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31779F0-0EAF-40D0-8788-6DA879AFED3C}" xr6:coauthVersionLast="47" xr6:coauthVersionMax="47" xr10:uidLastSave="{00000000-0000-0000-0000-000000000000}"/>
  <bookViews>
    <workbookView xWindow="30612" yWindow="3288" windowWidth="23256" windowHeight="12456" tabRatio="682" firstSheet="2" activeTab="2" xr2:uid="{00000000-000D-0000-FFFF-FFFF00000000}"/>
  </bookViews>
  <sheets>
    <sheet name="대시보드" sheetId="59" state="hidden" r:id="rId1"/>
    <sheet name="0. 개요" sheetId="58" state="hidden" r:id="rId2"/>
    <sheet name="0. 목차" sheetId="57" r:id="rId3"/>
    <sheet name="1.재무" sheetId="46" r:id="rId4"/>
    <sheet name="※ 재무_세부시트" sheetId="45" state="hidden" r:id="rId5"/>
    <sheet name="※ 수수료 기준_가입자" sheetId="25" state="hidden" r:id="rId6"/>
    <sheet name="2.무선가입자" sheetId="15" r:id="rId7"/>
    <sheet name="3-(1) 수수료 기준_가입자 (유선)" sheetId="55" r:id="rId8"/>
    <sheet name="2-(1) 수수료 기준_가입자(무선)" sheetId="54" r:id="rId9"/>
    <sheet name="3.유선가입자" sheetId="16" r:id="rId10"/>
    <sheet name="※ 영기팀 작성_가입자" sheetId="24" r:id="rId11"/>
    <sheet name="4. 디지털" sheetId="44" r:id="rId12"/>
    <sheet name="※ 디지털 세부데이터" sheetId="43" state="hidden" r:id="rId13"/>
    <sheet name="5. 소상공인" sheetId="17" r:id="rId14"/>
    <sheet name="6. B2B" sheetId="48" r:id="rId15"/>
    <sheet name="※ B2B 세부데이터" sheetId="47" state="hidden" r:id="rId16"/>
    <sheet name="※ 소상공인 세부데이터" sheetId="32" state="hidden" r:id="rId17"/>
    <sheet name="※ 유통플랫폼 세부데이터" sheetId="33" state="hidden" r:id="rId18"/>
    <sheet name="7.유통플랫폼사업" sheetId="13" r:id="rId19"/>
    <sheet name="※ 팀별 작성_인프라_인력" sheetId="22" state="hidden" r:id="rId20"/>
    <sheet name="8.인프라" sheetId="26" r:id="rId21"/>
    <sheet name="9.인력" sheetId="19" r:id="rId22"/>
    <sheet name="※ 인력 세부데이터" sheetId="34" state="hidden" r:id="rId23"/>
    <sheet name="10.영업품질" sheetId="20" r:id="rId24"/>
    <sheet name="※ 재고 세부데이터" sheetId="56" state="hidden" r:id="rId25"/>
    <sheet name="※ 영업품질 세부데이터" sheetId="53" state="hidden" r:id="rId26"/>
    <sheet name="11. 재고" sheetId="50" r:id="rId27"/>
    <sheet name="12.기타지표" sheetId="21" r:id="rId28"/>
    <sheet name="※ 기타지표 세부데이터" sheetId="36" state="hidden" r:id="rId29"/>
  </sheets>
  <definedNames>
    <definedName name="_xlnm.Print_Area" localSheetId="15">'※ B2B 세부데이터'!$A$3:$BL$47</definedName>
    <definedName name="_xlnm.Print_Area" localSheetId="4">'※ 재무_세부시트'!$A$1:$CX$183</definedName>
    <definedName name="_xlnm.Print_Area" localSheetId="2">'0. 목차'!$A$1:$AA$31</definedName>
    <definedName name="_xlnm.Print_Area" localSheetId="3">'1.재무'!$A$2:$U$142</definedName>
    <definedName name="_xlnm.Print_Area" localSheetId="23">'10.영업품질'!$A$3:$S$114</definedName>
    <definedName name="_xlnm.Print_Area" localSheetId="26">'11. 재고'!$A$3:$S$42</definedName>
    <definedName name="_xlnm.Print_Area" localSheetId="27">'12.기타지표'!$A$3:$T$56</definedName>
    <definedName name="_xlnm.Print_Area" localSheetId="8">'2-(1) 수수료 기준_가입자(무선)'!$A$2:$BX$110</definedName>
    <definedName name="_xlnm.Print_Area" localSheetId="6">'2.무선가입자'!$A$3:$Y$94</definedName>
    <definedName name="_xlnm.Print_Area" localSheetId="7">'3-(1) 수수료 기준_가입자 (유선)'!$A$2:$CJ$89</definedName>
    <definedName name="_xlnm.Print_Area" localSheetId="9">'3.유선가입자'!$A$3:$X$103</definedName>
    <definedName name="_xlnm.Print_Area" localSheetId="11">'4. 디지털'!$A$3:$AA$34</definedName>
    <definedName name="_xlnm.Print_Area" localSheetId="13">'5. 소상공인'!$A$3:$S$74</definedName>
    <definedName name="_xlnm.Print_Area" localSheetId="14">'6. B2B'!$A$3:$W$48</definedName>
    <definedName name="_xlnm.Print_Area" localSheetId="18">'7.유통플랫폼사업'!$B$3:$W$70</definedName>
    <definedName name="_xlnm.Print_Area" localSheetId="20">'8.인프라'!$A$3:$AA$81</definedName>
    <definedName name="_xlnm.Print_Area" localSheetId="21">'9.인력'!$A$3:$S$143</definedName>
    <definedName name="_xlnm.Print_Titles" localSheetId="3">'1.재무'!$2:$5</definedName>
    <definedName name="_xlnm.Print_Titles" localSheetId="23">'10.영업품질'!$3:$6</definedName>
    <definedName name="_xlnm.Print_Titles" localSheetId="8">'2-(1) 수수료 기준_가입자(무선)'!$2:$6</definedName>
    <definedName name="_xlnm.Print_Titles" localSheetId="6">'2.무선가입자'!$3:$6</definedName>
    <definedName name="_xlnm.Print_Titles" localSheetId="7">'3-(1) 수수료 기준_가입자 (유선)'!$3:$8</definedName>
    <definedName name="_xlnm.Print_Titles" localSheetId="9">'3.유선가입자'!$3:$6</definedName>
    <definedName name="_xlnm.Print_Titles" localSheetId="13">'5. 소상공인'!$3:$6</definedName>
    <definedName name="_xlnm.Print_Titles" localSheetId="20">'8.인프라'!$3:$4</definedName>
    <definedName name="_xlnm.Print_Titles" localSheetId="21">'9.인력'!$3:$3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Y4" i="25" l="1"/>
  <c r="BX34" i="25"/>
  <c r="BX23" i="25"/>
  <c r="BX13" i="25"/>
  <c r="BX4" i="25"/>
  <c r="CE319" i="24"/>
  <c r="CE320" i="24"/>
  <c r="CE321" i="24"/>
  <c r="CE322" i="24"/>
  <c r="CE323" i="24"/>
  <c r="CE324" i="24"/>
  <c r="CE325" i="24"/>
  <c r="CE326" i="24"/>
  <c r="CE327" i="24"/>
  <c r="CE328" i="24"/>
  <c r="CE329" i="24"/>
  <c r="CE318" i="24"/>
  <c r="CD313" i="24"/>
  <c r="CE314" i="24"/>
  <c r="CE315" i="24"/>
  <c r="CE316" i="24"/>
  <c r="CE317" i="24"/>
  <c r="CE313" i="24"/>
  <c r="CD44" i="25"/>
  <c r="CD57" i="25"/>
  <c r="CD50" i="25"/>
  <c r="CD43" i="25"/>
  <c r="CD35" i="25"/>
  <c r="CD34" i="25"/>
  <c r="CD23" i="25"/>
  <c r="CD14" i="25"/>
  <c r="CD13" i="25"/>
  <c r="CD6" i="25"/>
  <c r="CD7" i="25"/>
  <c r="CD8" i="25"/>
  <c r="CD9" i="25"/>
  <c r="CD10" i="25"/>
  <c r="CD11" i="25"/>
  <c r="CD12" i="25"/>
  <c r="CD5" i="25"/>
  <c r="CD4" i="25"/>
  <c r="CB5" i="25"/>
  <c r="CB6" i="25"/>
  <c r="CB7" i="25"/>
  <c r="CB8" i="25"/>
  <c r="CB9" i="25"/>
  <c r="CB10" i="25"/>
  <c r="CB11" i="25"/>
  <c r="CB12" i="25"/>
  <c r="CB13" i="25"/>
  <c r="CB14" i="25"/>
  <c r="CB15" i="25"/>
  <c r="CB16" i="25"/>
  <c r="CB17" i="25"/>
  <c r="CB18" i="25"/>
  <c r="CB19" i="25"/>
  <c r="CB20" i="25"/>
  <c r="CB21" i="25"/>
  <c r="CB22" i="25"/>
  <c r="CB23" i="25"/>
  <c r="CB24" i="25"/>
  <c r="CB25" i="25"/>
  <c r="CB26" i="25"/>
  <c r="CB27" i="25"/>
  <c r="CB28" i="25"/>
  <c r="CB29" i="25"/>
  <c r="CB30" i="25"/>
  <c r="CB31" i="25"/>
  <c r="CB32" i="25"/>
  <c r="CB33" i="25"/>
  <c r="CB34" i="25"/>
  <c r="CB35" i="25"/>
  <c r="CB36" i="25"/>
  <c r="CB37" i="25"/>
  <c r="CB38" i="25"/>
  <c r="CB39" i="25"/>
  <c r="CB40" i="25"/>
  <c r="CB41" i="25"/>
  <c r="CB42" i="25"/>
  <c r="CB43" i="25"/>
  <c r="CB44" i="25"/>
  <c r="CB45" i="25"/>
  <c r="CB46" i="25"/>
  <c r="CB47" i="25"/>
  <c r="CB48" i="25"/>
  <c r="CB49" i="25"/>
  <c r="CB50" i="25"/>
  <c r="CB51" i="25"/>
  <c r="CB52" i="25"/>
  <c r="CB53" i="25"/>
  <c r="CB54" i="25"/>
  <c r="CB55" i="25"/>
  <c r="CB56" i="25"/>
  <c r="CB57" i="25"/>
  <c r="CB58" i="25"/>
  <c r="CB59" i="25"/>
  <c r="CB60" i="25"/>
  <c r="CB61" i="25"/>
  <c r="CB62" i="25"/>
  <c r="CB63" i="25"/>
  <c r="CB4" i="25"/>
  <c r="CC4" i="25"/>
  <c r="CE44" i="25"/>
  <c r="CE45" i="25"/>
  <c r="CE46" i="25"/>
  <c r="CE47" i="25"/>
  <c r="CE48" i="25"/>
  <c r="CE49" i="25"/>
  <c r="CE50" i="25"/>
  <c r="CE51" i="25"/>
  <c r="CE52" i="25"/>
  <c r="CE53" i="25"/>
  <c r="CE54" i="25"/>
  <c r="CE55" i="25"/>
  <c r="CE56" i="25"/>
  <c r="CE57" i="25"/>
  <c r="CE58" i="25"/>
  <c r="CE59" i="25"/>
  <c r="CE60" i="25"/>
  <c r="CE61" i="25"/>
  <c r="CE62" i="25"/>
  <c r="CE63" i="25"/>
  <c r="CE43" i="25"/>
  <c r="CE5" i="25"/>
  <c r="CE6" i="25"/>
  <c r="CE7" i="25"/>
  <c r="CE8" i="25"/>
  <c r="CE9" i="25"/>
  <c r="CE10" i="25"/>
  <c r="CE11" i="25"/>
  <c r="CE12" i="25"/>
  <c r="CE13" i="25"/>
  <c r="CE14" i="25"/>
  <c r="CE15" i="25"/>
  <c r="CE16" i="25"/>
  <c r="CE17" i="25"/>
  <c r="CE18" i="25"/>
  <c r="CE19" i="25"/>
  <c r="CE20" i="25"/>
  <c r="CE21" i="25"/>
  <c r="CE22" i="25"/>
  <c r="CE23" i="25"/>
  <c r="CE24" i="25"/>
  <c r="CE25" i="25"/>
  <c r="CE26" i="25"/>
  <c r="CE27" i="25"/>
  <c r="CE28" i="25"/>
  <c r="CE29" i="25"/>
  <c r="CE30" i="25"/>
  <c r="CE31" i="25"/>
  <c r="CE32" i="25"/>
  <c r="CE33" i="25"/>
  <c r="CE34" i="25"/>
  <c r="CE35" i="25"/>
  <c r="CE36" i="25"/>
  <c r="CE37" i="25"/>
  <c r="CE38" i="25"/>
  <c r="CE4" i="25"/>
  <c r="CD371" i="24"/>
  <c r="CE371" i="24"/>
  <c r="CD372" i="24"/>
  <c r="CE372" i="24"/>
  <c r="CD373" i="24"/>
  <c r="CE373" i="24"/>
  <c r="CD374" i="24"/>
  <c r="CE374" i="24"/>
  <c r="CD375" i="24"/>
  <c r="CE375" i="24"/>
  <c r="CD376" i="24"/>
  <c r="CE376" i="24"/>
  <c r="CD377" i="24"/>
  <c r="CE377" i="24"/>
  <c r="CD378" i="24"/>
  <c r="CE378" i="24"/>
  <c r="CD379" i="24"/>
  <c r="CE379" i="24"/>
  <c r="CD380" i="24"/>
  <c r="CE380" i="24"/>
  <c r="CD381" i="24"/>
  <c r="CE381" i="24"/>
  <c r="CE370" i="24"/>
  <c r="CD370" i="24"/>
  <c r="CB370" i="24"/>
  <c r="CE366" i="24"/>
  <c r="CE367" i="24"/>
  <c r="CE368" i="24"/>
  <c r="CE369" i="24"/>
  <c r="CE365" i="24"/>
  <c r="CD366" i="24"/>
  <c r="CD367" i="24"/>
  <c r="CD368" i="24"/>
  <c r="CD369" i="24"/>
  <c r="CD365" i="24"/>
  <c r="CC369" i="24"/>
  <c r="CC365" i="24"/>
  <c r="CC366" i="24"/>
  <c r="CC367" i="24"/>
  <c r="CC368" i="24"/>
  <c r="CC351" i="24"/>
  <c r="CC352" i="24"/>
  <c r="CC353" i="24"/>
  <c r="CC354" i="24"/>
  <c r="CC355" i="24"/>
  <c r="CC356" i="24"/>
  <c r="CC357" i="24"/>
  <c r="CC358" i="24"/>
  <c r="CC359" i="24"/>
  <c r="CC360" i="24"/>
  <c r="CC361" i="24"/>
  <c r="CC362" i="24"/>
  <c r="CC363" i="24"/>
  <c r="CC364" i="24"/>
  <c r="CD351" i="24"/>
  <c r="CE351" i="24"/>
  <c r="CD352" i="24"/>
  <c r="CE352" i="24"/>
  <c r="CD353" i="24"/>
  <c r="CE353" i="24"/>
  <c r="CD354" i="24"/>
  <c r="CE354" i="24"/>
  <c r="CD355" i="24"/>
  <c r="CE355" i="24"/>
  <c r="CD356" i="24"/>
  <c r="CE356" i="24"/>
  <c r="CD357" i="24"/>
  <c r="CE357" i="24"/>
  <c r="CD358" i="24"/>
  <c r="CE358" i="24"/>
  <c r="CD359" i="24"/>
  <c r="CE359" i="24"/>
  <c r="CD360" i="24"/>
  <c r="CE360" i="24"/>
  <c r="CD361" i="24"/>
  <c r="CE361" i="24"/>
  <c r="CD362" i="24"/>
  <c r="CE362" i="24"/>
  <c r="CD363" i="24"/>
  <c r="CE363" i="24"/>
  <c r="CD364" i="24"/>
  <c r="CE364" i="24"/>
  <c r="CE350" i="24"/>
  <c r="CD350" i="24"/>
  <c r="CC347" i="24"/>
  <c r="CD347" i="24"/>
  <c r="CE347" i="24"/>
  <c r="CC348" i="24"/>
  <c r="CD348" i="24"/>
  <c r="CE348" i="24"/>
  <c r="CC349" i="24"/>
  <c r="CD349" i="24"/>
  <c r="CE349" i="24"/>
  <c r="CE346" i="24"/>
  <c r="CD346" i="24"/>
  <c r="CD345" i="24"/>
  <c r="CE345" i="24"/>
  <c r="CB345" i="24"/>
  <c r="CC297" i="24"/>
  <c r="BL22" i="54"/>
  <c r="BL13" i="54" s="1"/>
  <c r="CD294" i="24"/>
  <c r="CB289" i="24"/>
  <c r="BL56" i="25"/>
  <c r="BM43" i="25"/>
  <c r="BM44" i="25"/>
  <c r="BM45" i="25"/>
  <c r="BM46" i="25"/>
  <c r="BM47" i="25"/>
  <c r="BM48" i="25"/>
  <c r="BL44" i="25"/>
  <c r="BL45" i="25"/>
  <c r="BL46" i="25"/>
  <c r="BL47" i="25"/>
  <c r="BL48" i="25"/>
  <c r="BL49" i="25"/>
  <c r="BL43" i="25"/>
  <c r="BM56" i="25"/>
  <c r="BM63" i="25"/>
  <c r="BL63" i="25"/>
  <c r="BM61" i="25"/>
  <c r="BL61" i="25"/>
  <c r="BM54" i="25"/>
  <c r="BL54" i="25"/>
  <c r="BH49" i="25"/>
  <c r="BH61" i="25"/>
  <c r="BH54" i="25"/>
  <c r="BH47" i="25" s="1"/>
  <c r="R7" i="15" a="1"/>
  <c r="R16" i="15" a="1"/>
  <c r="R24" i="15" a="1"/>
  <c r="R32" i="15" a="1"/>
  <c r="R41" i="15" a="1"/>
  <c r="R50" i="15" a="1"/>
  <c r="R77" i="15" a="1"/>
  <c r="R85" i="15" a="1"/>
  <c r="R94" i="15" a="1"/>
  <c r="R54" i="15" a="1"/>
  <c r="R21" i="15" a="1"/>
  <c r="R13" i="15" a="1"/>
  <c r="R14" i="15" a="1"/>
  <c r="R93" i="15" a="1"/>
  <c r="R60" i="15" a="1"/>
  <c r="R68" i="15" a="1"/>
  <c r="R79" i="15" a="1"/>
  <c r="R11" i="15" a="1"/>
  <c r="R64" i="15" a="1"/>
  <c r="R82" i="15" a="1"/>
  <c r="R48" i="15" a="1"/>
  <c r="R66" i="15" a="1"/>
  <c r="R67" i="15" a="1"/>
  <c r="R8" i="15" a="1"/>
  <c r="R17" i="15" a="1"/>
  <c r="R25" i="15" a="1"/>
  <c r="R33" i="15" a="1"/>
  <c r="R42" i="15" a="1"/>
  <c r="R51" i="15" a="1"/>
  <c r="R78" i="15" a="1"/>
  <c r="R86" i="15" a="1"/>
  <c r="R46" i="15" a="1"/>
  <c r="R38" i="15" a="1"/>
  <c r="R39" i="15" a="1"/>
  <c r="R40" i="15" a="1"/>
  <c r="R61" i="15" a="1"/>
  <c r="R69" i="15" a="1"/>
  <c r="R52" i="15" a="1"/>
  <c r="R28" i="15" a="1"/>
  <c r="R29" i="15" a="1"/>
  <c r="R65" i="15" a="1"/>
  <c r="R83" i="15" a="1"/>
  <c r="R9" i="15" a="1"/>
  <c r="R18" i="15" a="1"/>
  <c r="R26" i="15" a="1"/>
  <c r="R34" i="15" a="1"/>
  <c r="R44" i="15" a="1"/>
  <c r="R87" i="15" a="1"/>
  <c r="R90" i="15" a="1"/>
  <c r="R55" i="15" a="1"/>
  <c r="R56" i="15" a="1"/>
  <c r="R49" i="15" a="1"/>
  <c r="R84" i="15" a="1"/>
  <c r="R59" i="15" a="1"/>
  <c r="R62" i="15" a="1"/>
  <c r="R70" i="15" a="1"/>
  <c r="R63" i="15" a="1"/>
  <c r="R20" i="15" a="1"/>
  <c r="R81" i="15" a="1"/>
  <c r="R12" i="15" a="1"/>
  <c r="R91" i="15" a="1"/>
  <c r="R30" i="15" a="1"/>
  <c r="R31" i="15" a="1"/>
  <c r="R76" i="15" a="1"/>
  <c r="R10" i="15" a="1"/>
  <c r="R19" i="15" a="1"/>
  <c r="R27" i="15" a="1"/>
  <c r="R35" i="15" a="1"/>
  <c r="R45" i="15" a="1"/>
  <c r="R53" i="15" a="1"/>
  <c r="R80" i="15" a="1"/>
  <c r="R89" i="15" a="1"/>
  <c r="R71" i="15" a="1"/>
  <c r="R36" i="15" a="1"/>
  <c r="R72" i="15" a="1"/>
  <c r="R47" i="15" a="1"/>
  <c r="R73" i="15" a="1"/>
  <c r="R22" i="15" a="1"/>
  <c r="R92" i="15" a="1"/>
  <c r="R23" i="15" a="1"/>
  <c r="V75" i="15" a="1"/>
  <c r="U52" i="15" a="1"/>
  <c r="T52" i="15" a="1"/>
  <c r="R23" i="15" l="1"/>
  <c r="R92" i="15"/>
  <c r="R22" i="15"/>
  <c r="R73" i="15"/>
  <c r="R47" i="15"/>
  <c r="R72" i="15"/>
  <c r="R36" i="15"/>
  <c r="R71" i="15"/>
  <c r="R89" i="15"/>
  <c r="R80" i="15"/>
  <c r="R53" i="15"/>
  <c r="R45" i="15"/>
  <c r="R35" i="15"/>
  <c r="R27" i="15"/>
  <c r="R19" i="15"/>
  <c r="R10" i="15"/>
  <c r="R76" i="15"/>
  <c r="R31" i="15"/>
  <c r="R30" i="15"/>
  <c r="R91" i="15"/>
  <c r="R12" i="15"/>
  <c r="R81" i="15"/>
  <c r="R20" i="15"/>
  <c r="R63" i="15"/>
  <c r="R70" i="15"/>
  <c r="R62" i="15"/>
  <c r="R59" i="15"/>
  <c r="R84" i="15"/>
  <c r="R49" i="15"/>
  <c r="R56" i="15"/>
  <c r="R55" i="15"/>
  <c r="R90" i="15"/>
  <c r="R87" i="15"/>
  <c r="R44" i="15"/>
  <c r="R34" i="15"/>
  <c r="R26" i="15"/>
  <c r="R18" i="15"/>
  <c r="R9" i="15"/>
  <c r="R83" i="15"/>
  <c r="R65" i="15"/>
  <c r="R29" i="15"/>
  <c r="R28" i="15"/>
  <c r="R52" i="15"/>
  <c r="R69" i="15"/>
  <c r="R61" i="15"/>
  <c r="R40" i="15"/>
  <c r="R39" i="15"/>
  <c r="R38" i="15"/>
  <c r="R46" i="15"/>
  <c r="R86" i="15"/>
  <c r="R78" i="15"/>
  <c r="R51" i="15"/>
  <c r="R42" i="15"/>
  <c r="R33" i="15"/>
  <c r="R25" i="15"/>
  <c r="R17" i="15"/>
  <c r="R8" i="15"/>
  <c r="R67" i="15"/>
  <c r="R66" i="15"/>
  <c r="R48" i="15"/>
  <c r="R82" i="15"/>
  <c r="R64" i="15"/>
  <c r="R11" i="15"/>
  <c r="R79" i="15"/>
  <c r="R68" i="15"/>
  <c r="R60" i="15"/>
  <c r="R93" i="15"/>
  <c r="R14" i="15"/>
  <c r="R13" i="15"/>
  <c r="R21" i="15"/>
  <c r="R54" i="15"/>
  <c r="R94" i="15"/>
  <c r="R85" i="15"/>
  <c r="R77" i="15"/>
  <c r="R50" i="15"/>
  <c r="R41" i="15"/>
  <c r="R32" i="15"/>
  <c r="R24" i="15"/>
  <c r="R16" i="15"/>
  <c r="R7" i="15"/>
  <c r="V75" i="15"/>
  <c r="U52" i="15"/>
  <c r="BM49" i="25"/>
  <c r="T52" i="15"/>
  <c r="R58" i="15" l="1"/>
  <c r="R75" i="15"/>
  <c r="BI61" i="25" l="1"/>
  <c r="BJ61" i="25" s="1"/>
  <c r="BX61" i="25"/>
  <c r="BY61" i="25" s="1"/>
  <c r="BI54" i="25"/>
  <c r="BJ54" i="25" s="1"/>
  <c r="BX54" i="25"/>
  <c r="BY54" i="25" s="1"/>
  <c r="BI47" i="25"/>
  <c r="BJ47" i="25" s="1"/>
  <c r="BX47" i="25"/>
  <c r="BY47" i="25" s="1"/>
  <c r="CC61" i="25" l="1"/>
  <c r="CC54" i="25"/>
  <c r="CC47" i="25"/>
  <c r="R4" i="46"/>
  <c r="F141" i="46" a="1"/>
  <c r="F139" i="46" a="1"/>
  <c r="F138" i="46" a="1"/>
  <c r="F134" i="46" a="1"/>
  <c r="F131" i="46" a="1"/>
  <c r="F142" i="46" a="1"/>
  <c r="F140" i="46" a="1"/>
  <c r="F132" i="46" a="1"/>
  <c r="F130" i="46" a="1"/>
  <c r="F133" i="46" a="1"/>
  <c r="F135" i="46" a="1"/>
  <c r="F137" i="46" a="1"/>
  <c r="F136" i="46" a="1"/>
  <c r="F135" i="46" l="1"/>
  <c r="F133" i="46"/>
  <c r="F137" i="46"/>
  <c r="F130" i="46"/>
  <c r="F131" i="46"/>
  <c r="F132" i="46"/>
  <c r="F140" i="46"/>
  <c r="F134" i="46"/>
  <c r="F142" i="46"/>
  <c r="F136" i="46"/>
  <c r="F138" i="46"/>
  <c r="F139" i="46"/>
  <c r="F141" i="46"/>
  <c r="CR200" i="45" l="1"/>
  <c r="CS183" i="45"/>
  <c r="CS182" i="45"/>
  <c r="CS181" i="45"/>
  <c r="CS180" i="45"/>
  <c r="CS179" i="45"/>
  <c r="CS178" i="45"/>
  <c r="CS177" i="45"/>
  <c r="CS176" i="45"/>
  <c r="CS175" i="45"/>
  <c r="CS174" i="45"/>
  <c r="CS173" i="45"/>
  <c r="CS172" i="45"/>
  <c r="CS171" i="45"/>
  <c r="CS170" i="45"/>
  <c r="CS169" i="45"/>
  <c r="CS168" i="45"/>
  <c r="CS167" i="45"/>
  <c r="CS166" i="45"/>
  <c r="CS165" i="45"/>
  <c r="CS164" i="45"/>
  <c r="CS163" i="45"/>
  <c r="CS162" i="45"/>
  <c r="CS161" i="45"/>
  <c r="CS160" i="45"/>
  <c r="CS159" i="45"/>
  <c r="CS158" i="45"/>
  <c r="CS157" i="45"/>
  <c r="CS156" i="45"/>
  <c r="CS155" i="45"/>
  <c r="CS154" i="45"/>
  <c r="CS153" i="45"/>
  <c r="CS152" i="45"/>
  <c r="CS151" i="45"/>
  <c r="CS150" i="45"/>
  <c r="CS149" i="45"/>
  <c r="CS148" i="45"/>
  <c r="CS147" i="45"/>
  <c r="CS146" i="45"/>
  <c r="CS145" i="45"/>
  <c r="CS144" i="45"/>
  <c r="CS143" i="45"/>
  <c r="CS142" i="45"/>
  <c r="CS141" i="45"/>
  <c r="CS140" i="45"/>
  <c r="CS139" i="45"/>
  <c r="CS138" i="45"/>
  <c r="CS137" i="45"/>
  <c r="CS136" i="45"/>
  <c r="CS135" i="45"/>
  <c r="CS134" i="45"/>
  <c r="CS133" i="45"/>
  <c r="CS132" i="45"/>
  <c r="CS131" i="45"/>
  <c r="CS130" i="45"/>
  <c r="CS129" i="45"/>
  <c r="CS128" i="45"/>
  <c r="CS127" i="45"/>
  <c r="CS126" i="45"/>
  <c r="CS125" i="45"/>
  <c r="CS124" i="45"/>
  <c r="CS123" i="45"/>
  <c r="CS122" i="45"/>
  <c r="CS121" i="45"/>
  <c r="CS120" i="45"/>
  <c r="CS119" i="45"/>
  <c r="CS118" i="45"/>
  <c r="CS117" i="45"/>
  <c r="CS116" i="45"/>
  <c r="CS115" i="45"/>
  <c r="CS114" i="45"/>
  <c r="CS113" i="45"/>
  <c r="CS112" i="45"/>
  <c r="CS111" i="45"/>
  <c r="CS110" i="45"/>
  <c r="CS109" i="45"/>
  <c r="CS108" i="45"/>
  <c r="CS107" i="45"/>
  <c r="CS106" i="45"/>
  <c r="CS105" i="45"/>
  <c r="CS104" i="45"/>
  <c r="CS103" i="45"/>
  <c r="CS102" i="45"/>
  <c r="CS101" i="45"/>
  <c r="CS100" i="45"/>
  <c r="CS99" i="45"/>
  <c r="CS98" i="45"/>
  <c r="CS97" i="45"/>
  <c r="CS96" i="45"/>
  <c r="CS95" i="45"/>
  <c r="CS94" i="45"/>
  <c r="CS93" i="45"/>
  <c r="CS92" i="45"/>
  <c r="CS91" i="45"/>
  <c r="CS90" i="45"/>
  <c r="CS88" i="45"/>
  <c r="CS87" i="45"/>
  <c r="CS86" i="45"/>
  <c r="CS83" i="45"/>
  <c r="CS82" i="45"/>
  <c r="CS81" i="45"/>
  <c r="CS80" i="45"/>
  <c r="CS79" i="45"/>
  <c r="CS78" i="45"/>
  <c r="CS76" i="45"/>
  <c r="CS75" i="45"/>
  <c r="CS74" i="45"/>
  <c r="CS73" i="45"/>
  <c r="CS72" i="45"/>
  <c r="CS71" i="45"/>
  <c r="CS70" i="45"/>
  <c r="CS69" i="45"/>
  <c r="CS68" i="45"/>
  <c r="CS67" i="45"/>
  <c r="CS66" i="45"/>
  <c r="CS65" i="45"/>
  <c r="CS64" i="45"/>
  <c r="CS63" i="45"/>
  <c r="CS62" i="45"/>
  <c r="CS61" i="45"/>
  <c r="CS60" i="45"/>
  <c r="CS59" i="45"/>
  <c r="CS58" i="45"/>
  <c r="CS57" i="45"/>
  <c r="CS56" i="45"/>
  <c r="CS55" i="45"/>
  <c r="CS54" i="45"/>
  <c r="CS52" i="45"/>
  <c r="CS51" i="45"/>
  <c r="CS50" i="45"/>
  <c r="CS49" i="45"/>
  <c r="CS48" i="45"/>
  <c r="CS47" i="45"/>
  <c r="CS46" i="45"/>
  <c r="CS45" i="45"/>
  <c r="CS44" i="45"/>
  <c r="CS43" i="45"/>
  <c r="CS42" i="45"/>
  <c r="CS41" i="45"/>
  <c r="CS40" i="45"/>
  <c r="CS39" i="45"/>
  <c r="CS38" i="45"/>
  <c r="CS37" i="45"/>
  <c r="CS36" i="45"/>
  <c r="CS35" i="45"/>
  <c r="CS34" i="45"/>
  <c r="CS33" i="45"/>
  <c r="CS32" i="45"/>
  <c r="CS31" i="45"/>
  <c r="CS30" i="45"/>
  <c r="CS29" i="45"/>
  <c r="CS28" i="45"/>
  <c r="CS27" i="45"/>
  <c r="CS26" i="45"/>
  <c r="CS25" i="45"/>
  <c r="CS24" i="45"/>
  <c r="CS23" i="45"/>
  <c r="CS22" i="45"/>
  <c r="CS21" i="45"/>
  <c r="CS20" i="45"/>
  <c r="CS19" i="45"/>
  <c r="CS18" i="45"/>
  <c r="CS17" i="45"/>
  <c r="CS16" i="45"/>
  <c r="CS15" i="45"/>
  <c r="CS14" i="45"/>
  <c r="CS13" i="45"/>
  <c r="CS12" i="45"/>
  <c r="CS11" i="45"/>
  <c r="CS10" i="45"/>
  <c r="CS9" i="45"/>
  <c r="CS8" i="45"/>
  <c r="CS7" i="45"/>
  <c r="CS6" i="45"/>
  <c r="CS5" i="45"/>
  <c r="CR183" i="45"/>
  <c r="CR182" i="45"/>
  <c r="CR181" i="45"/>
  <c r="CR180" i="45"/>
  <c r="CR179" i="45"/>
  <c r="CR178" i="45"/>
  <c r="CR177" i="45"/>
  <c r="CR176" i="45"/>
  <c r="CR175" i="45"/>
  <c r="CR174" i="45"/>
  <c r="CR173" i="45"/>
  <c r="CR172" i="45"/>
  <c r="CR171" i="45"/>
  <c r="CR170" i="45"/>
  <c r="CR169" i="45"/>
  <c r="CR168" i="45"/>
  <c r="CR167" i="45"/>
  <c r="CR166" i="45"/>
  <c r="CR165" i="45"/>
  <c r="CR164" i="45"/>
  <c r="CR163" i="45"/>
  <c r="CR162" i="45"/>
  <c r="CR161" i="45"/>
  <c r="CR160" i="45"/>
  <c r="CR159" i="45"/>
  <c r="CR158" i="45"/>
  <c r="CR157" i="45"/>
  <c r="CR156" i="45"/>
  <c r="CR155" i="45"/>
  <c r="CR154" i="45"/>
  <c r="CR153" i="45"/>
  <c r="CR152" i="45"/>
  <c r="CR151" i="45"/>
  <c r="CR150" i="45"/>
  <c r="CR149" i="45"/>
  <c r="CR148" i="45"/>
  <c r="CR147" i="45"/>
  <c r="CR146" i="45"/>
  <c r="CR145" i="45"/>
  <c r="CR144" i="45"/>
  <c r="CR143" i="45"/>
  <c r="CR142" i="45"/>
  <c r="CR141" i="45"/>
  <c r="CR140" i="45"/>
  <c r="CR139" i="45"/>
  <c r="CR138" i="45"/>
  <c r="CR137" i="45"/>
  <c r="CR136" i="45"/>
  <c r="CR135" i="45"/>
  <c r="CR134" i="45"/>
  <c r="CR133" i="45"/>
  <c r="CR132" i="45"/>
  <c r="CR131" i="45"/>
  <c r="CR130" i="45"/>
  <c r="CR129" i="45"/>
  <c r="CR128" i="45"/>
  <c r="CR127" i="45"/>
  <c r="CR126" i="45"/>
  <c r="CR125" i="45"/>
  <c r="CR124" i="45"/>
  <c r="CR123" i="45"/>
  <c r="CR122" i="45"/>
  <c r="CR121" i="45"/>
  <c r="CR120" i="45"/>
  <c r="CR119" i="45"/>
  <c r="CR118" i="45"/>
  <c r="CR117" i="45"/>
  <c r="CR116" i="45"/>
  <c r="CR115" i="45"/>
  <c r="CR114" i="45"/>
  <c r="CR113" i="45"/>
  <c r="CR112" i="45"/>
  <c r="CR111" i="45"/>
  <c r="CR110" i="45"/>
  <c r="CR109" i="45"/>
  <c r="CR108" i="45"/>
  <c r="CR107" i="45"/>
  <c r="CR106" i="45"/>
  <c r="CR105" i="45"/>
  <c r="CR104" i="45"/>
  <c r="CR103" i="45"/>
  <c r="CR102" i="45"/>
  <c r="CR101" i="45"/>
  <c r="CR100" i="45"/>
  <c r="CR99" i="45"/>
  <c r="CR98" i="45"/>
  <c r="CR97" i="45"/>
  <c r="CR96" i="45"/>
  <c r="CR95" i="45"/>
  <c r="CR94" i="45"/>
  <c r="CR93" i="45"/>
  <c r="CR92" i="45"/>
  <c r="CR91" i="45"/>
  <c r="CR90" i="45"/>
  <c r="CR88" i="45"/>
  <c r="CR87" i="45"/>
  <c r="CR86" i="45"/>
  <c r="CR83" i="45"/>
  <c r="CR82" i="45"/>
  <c r="CR81" i="45"/>
  <c r="CR80" i="45"/>
  <c r="CR79" i="45"/>
  <c r="CR78" i="45"/>
  <c r="CR76" i="45"/>
  <c r="CR75" i="45"/>
  <c r="CR74" i="45"/>
  <c r="CR73" i="45"/>
  <c r="CR72" i="45"/>
  <c r="CR71" i="45"/>
  <c r="CR70" i="45"/>
  <c r="CR69" i="45"/>
  <c r="CR68" i="45"/>
  <c r="CR67" i="45"/>
  <c r="CR66" i="45"/>
  <c r="CR65" i="45"/>
  <c r="CR64" i="45"/>
  <c r="CR63" i="45"/>
  <c r="CR62" i="45"/>
  <c r="CR61" i="45"/>
  <c r="CR60" i="45"/>
  <c r="CR59" i="45"/>
  <c r="CR58" i="45"/>
  <c r="CR57" i="45"/>
  <c r="CR56" i="45"/>
  <c r="CR55" i="45"/>
  <c r="CR54" i="45"/>
  <c r="CR52" i="45"/>
  <c r="CR51" i="45"/>
  <c r="CR50" i="45"/>
  <c r="CR49" i="45"/>
  <c r="CR48" i="45"/>
  <c r="CR47" i="45"/>
  <c r="CR46" i="45"/>
  <c r="CR45" i="45"/>
  <c r="CR44" i="45"/>
  <c r="CR43" i="45"/>
  <c r="CR42" i="45"/>
  <c r="CR41" i="45"/>
  <c r="CR40" i="45"/>
  <c r="CR39" i="45"/>
  <c r="CR38" i="45"/>
  <c r="CR37" i="45"/>
  <c r="CR36" i="45"/>
  <c r="CR35" i="45"/>
  <c r="CR34" i="45"/>
  <c r="CR33" i="45"/>
  <c r="CR32" i="45"/>
  <c r="CR31" i="45"/>
  <c r="CR30" i="45"/>
  <c r="CR29" i="45"/>
  <c r="CR28" i="45"/>
  <c r="CR27" i="45"/>
  <c r="CR26" i="45"/>
  <c r="CR25" i="45"/>
  <c r="CR24" i="45"/>
  <c r="CR23" i="45"/>
  <c r="CR22" i="45"/>
  <c r="CR21" i="45"/>
  <c r="CR20" i="45"/>
  <c r="CR19" i="45"/>
  <c r="CR18" i="45"/>
  <c r="CR17" i="45"/>
  <c r="CR16" i="45"/>
  <c r="CR15" i="45"/>
  <c r="CR14" i="45"/>
  <c r="CR13" i="45"/>
  <c r="CR12" i="45"/>
  <c r="CR11" i="45"/>
  <c r="CR10" i="45"/>
  <c r="CR9" i="45"/>
  <c r="CR8" i="45"/>
  <c r="CR7" i="45"/>
  <c r="CR6" i="45"/>
  <c r="CR5" i="45"/>
  <c r="M135" i="46" a="1"/>
  <c r="M142" i="46" a="1"/>
  <c r="M134" i="46" a="1"/>
  <c r="M114" i="46" a="1"/>
  <c r="M107" i="46" a="1"/>
  <c r="M110" i="46" a="1"/>
  <c r="M105" i="46" a="1"/>
  <c r="M132" i="46" a="1"/>
  <c r="M108" i="46" a="1"/>
  <c r="M109" i="46" a="1"/>
  <c r="M111" i="46" a="1"/>
  <c r="M141" i="46" a="1"/>
  <c r="M140" i="46" a="1"/>
  <c r="M112" i="46" a="1"/>
  <c r="M116" i="46" a="1"/>
  <c r="M113" i="46" a="1"/>
  <c r="M136" i="46" a="1"/>
  <c r="M133" i="46" a="1"/>
  <c r="M130" i="46" a="1"/>
  <c r="P6" i="46" a="1"/>
  <c r="M131" i="46" a="1"/>
  <c r="M106" i="46" a="1"/>
  <c r="M104" i="46" a="1"/>
  <c r="M137" i="46" a="1"/>
  <c r="M138" i="46" a="1"/>
  <c r="M139" i="46" a="1"/>
  <c r="M115" i="46" a="1"/>
  <c r="P6" i="46" l="1"/>
  <c r="M132" i="46"/>
  <c r="M135" i="46"/>
  <c r="M130" i="46"/>
  <c r="M139" i="46"/>
  <c r="M141" i="46"/>
  <c r="M142" i="46"/>
  <c r="M136" i="46"/>
  <c r="M137" i="46"/>
  <c r="M138" i="46"/>
  <c r="M131" i="46"/>
  <c r="M140" i="46"/>
  <c r="M133" i="46"/>
  <c r="M134" i="46"/>
  <c r="M109" i="46"/>
  <c r="M111" i="46"/>
  <c r="M107" i="46"/>
  <c r="M110" i="46"/>
  <c r="M104" i="46"/>
  <c r="M105" i="46"/>
  <c r="M113" i="46"/>
  <c r="M106" i="46"/>
  <c r="M114" i="46"/>
  <c r="M108" i="46"/>
  <c r="M116" i="46"/>
  <c r="M112" i="46"/>
  <c r="M115" i="46"/>
  <c r="F108" i="46" a="1"/>
  <c r="F106" i="46" a="1"/>
  <c r="F104" i="46" a="1"/>
  <c r="F112" i="46" a="1"/>
  <c r="F116" i="46" a="1"/>
  <c r="F105" i="46" a="1"/>
  <c r="F111" i="46" a="1"/>
  <c r="F109" i="46" a="1"/>
  <c r="F115" i="46" a="1"/>
  <c r="F110" i="46" a="1"/>
  <c r="F107" i="46" a="1"/>
  <c r="F113" i="46" a="1"/>
  <c r="F114" i="46" a="1"/>
  <c r="F110" i="46" l="1"/>
  <c r="F112" i="46"/>
  <c r="F113" i="46"/>
  <c r="F115" i="46"/>
  <c r="F108" i="46"/>
  <c r="F109" i="46"/>
  <c r="F111" i="46"/>
  <c r="F104" i="46"/>
  <c r="F105" i="46"/>
  <c r="F106" i="46"/>
  <c r="F114" i="46"/>
  <c r="F107" i="46"/>
  <c r="F116" i="46"/>
  <c r="CX183" i="45" l="1"/>
  <c r="CX182" i="45"/>
  <c r="CX181" i="45"/>
  <c r="CX180" i="45"/>
  <c r="CX179" i="45"/>
  <c r="CX178" i="45"/>
  <c r="CX177" i="45"/>
  <c r="CX176" i="45"/>
  <c r="CX175" i="45"/>
  <c r="CX174" i="45"/>
  <c r="CX173" i="45"/>
  <c r="CX172" i="45"/>
  <c r="CX171" i="45"/>
  <c r="CX170" i="45"/>
  <c r="CX169" i="45"/>
  <c r="CX168" i="45"/>
  <c r="CX167" i="45"/>
  <c r="CX166" i="45"/>
  <c r="CX165" i="45"/>
  <c r="CX164" i="45"/>
  <c r="CX163" i="45"/>
  <c r="CX162" i="45"/>
  <c r="CX161" i="45"/>
  <c r="CX160" i="45"/>
  <c r="CX159" i="45"/>
  <c r="CX158" i="45"/>
  <c r="CX157" i="45"/>
  <c r="CX156" i="45"/>
  <c r="CX155" i="45"/>
  <c r="CX154" i="45"/>
  <c r="CX153" i="45"/>
  <c r="CX152" i="45"/>
  <c r="CX151" i="45"/>
  <c r="CX150" i="45"/>
  <c r="CX149" i="45"/>
  <c r="CX148" i="45"/>
  <c r="CX147" i="45"/>
  <c r="CX146" i="45"/>
  <c r="CX145" i="45"/>
  <c r="CX144" i="45"/>
  <c r="CX143" i="45"/>
  <c r="CX142" i="45"/>
  <c r="CX141" i="45"/>
  <c r="CX140" i="45"/>
  <c r="CX139" i="45"/>
  <c r="CX138" i="45"/>
  <c r="CX137" i="45"/>
  <c r="CX136" i="45"/>
  <c r="CX135" i="45"/>
  <c r="CX134" i="45"/>
  <c r="CX133" i="45"/>
  <c r="CX132" i="45"/>
  <c r="CX131" i="45"/>
  <c r="CX130" i="45"/>
  <c r="CX129" i="45"/>
  <c r="CX128" i="45"/>
  <c r="CX127" i="45"/>
  <c r="CX126" i="45"/>
  <c r="CX125" i="45"/>
  <c r="CX124" i="45"/>
  <c r="CX123" i="45"/>
  <c r="CX122" i="45"/>
  <c r="CX121" i="45"/>
  <c r="CX120" i="45"/>
  <c r="CX119" i="45"/>
  <c r="CX118" i="45"/>
  <c r="CX117" i="45"/>
  <c r="CX116" i="45"/>
  <c r="CX115" i="45"/>
  <c r="CX114" i="45"/>
  <c r="CX113" i="45"/>
  <c r="CX112" i="45"/>
  <c r="CX111" i="45"/>
  <c r="CX110" i="45"/>
  <c r="CX109" i="45"/>
  <c r="CX108" i="45"/>
  <c r="CX107" i="45"/>
  <c r="CX106" i="45"/>
  <c r="CX105" i="45"/>
  <c r="CX104" i="45"/>
  <c r="CX103" i="45"/>
  <c r="CX102" i="45"/>
  <c r="CX101" i="45"/>
  <c r="CX100" i="45"/>
  <c r="CX99" i="45"/>
  <c r="CX98" i="45"/>
  <c r="CX97" i="45"/>
  <c r="CX96" i="45"/>
  <c r="CX95" i="45"/>
  <c r="CX94" i="45"/>
  <c r="CX93" i="45"/>
  <c r="CX92" i="45"/>
  <c r="CX91" i="45"/>
  <c r="CX90" i="45"/>
  <c r="CX88" i="45"/>
  <c r="CX87" i="45"/>
  <c r="CX86" i="45"/>
  <c r="CX83" i="45"/>
  <c r="CX82" i="45"/>
  <c r="CX81" i="45"/>
  <c r="CX80" i="45"/>
  <c r="CX79" i="45"/>
  <c r="CX78" i="45"/>
  <c r="CX76" i="45"/>
  <c r="CX75" i="45"/>
  <c r="CX74" i="45"/>
  <c r="CX73" i="45"/>
  <c r="CX72" i="45"/>
  <c r="CX71" i="45"/>
  <c r="CX70" i="45"/>
  <c r="CX69" i="45"/>
  <c r="CX68" i="45"/>
  <c r="CX67" i="45"/>
  <c r="CX66" i="45"/>
  <c r="CX65" i="45"/>
  <c r="CX64" i="45"/>
  <c r="CX63" i="45"/>
  <c r="CX62" i="45"/>
  <c r="CX61" i="45"/>
  <c r="CX60" i="45"/>
  <c r="CX59" i="45"/>
  <c r="CX58" i="45"/>
  <c r="CX57" i="45"/>
  <c r="CX56" i="45"/>
  <c r="CX55" i="45"/>
  <c r="CX54" i="45"/>
  <c r="CX52" i="45"/>
  <c r="CX51" i="45"/>
  <c r="CX50" i="45"/>
  <c r="CX49" i="45"/>
  <c r="CX48" i="45"/>
  <c r="CX47" i="45"/>
  <c r="CX46" i="45"/>
  <c r="CX45" i="45"/>
  <c r="CX44" i="45"/>
  <c r="CX42" i="45"/>
  <c r="CX41" i="45"/>
  <c r="CX40" i="45"/>
  <c r="CX39" i="45"/>
  <c r="CX38" i="45"/>
  <c r="CX37" i="45"/>
  <c r="CX36" i="45"/>
  <c r="CX35" i="45"/>
  <c r="CX34" i="45"/>
  <c r="CX33" i="45"/>
  <c r="CX32" i="45"/>
  <c r="CX31" i="45"/>
  <c r="CX30" i="45"/>
  <c r="CX29" i="45"/>
  <c r="CX28" i="45"/>
  <c r="CX27" i="45"/>
  <c r="CX26" i="45"/>
  <c r="CX25" i="45"/>
  <c r="CX24" i="45"/>
  <c r="CX23" i="45"/>
  <c r="CX22" i="45"/>
  <c r="CX21" i="45"/>
  <c r="CX20" i="45"/>
  <c r="CX19" i="45"/>
  <c r="CX18" i="45"/>
  <c r="CX17" i="45"/>
  <c r="CX16" i="45"/>
  <c r="CX15" i="45"/>
  <c r="CX14" i="45"/>
  <c r="CX13" i="45"/>
  <c r="CX12" i="45"/>
  <c r="CX11" i="45"/>
  <c r="CX10" i="45"/>
  <c r="CX9" i="45"/>
  <c r="CX8" i="45"/>
  <c r="CX7" i="45"/>
  <c r="CX6" i="45"/>
  <c r="CX5" i="45"/>
  <c r="CE82" i="45"/>
  <c r="CD82" i="45"/>
  <c r="CE88" i="45"/>
  <c r="CD88" i="45"/>
  <c r="CD176" i="45"/>
  <c r="CE163" i="45"/>
  <c r="CD163" i="45"/>
  <c r="CE171" i="45"/>
  <c r="CD171" i="45"/>
  <c r="CD182" i="45" s="1"/>
  <c r="CE158" i="45"/>
  <c r="CD158" i="45"/>
  <c r="CE150" i="45"/>
  <c r="CD150" i="45"/>
  <c r="CU150" i="45" s="1"/>
  <c r="CE145" i="45"/>
  <c r="CE156" i="45" s="1"/>
  <c r="CE80" i="45" s="1"/>
  <c r="CD145" i="45"/>
  <c r="CU145" i="45" s="1"/>
  <c r="CE137" i="45"/>
  <c r="CD137" i="45"/>
  <c r="CU137" i="45" s="1"/>
  <c r="CE132" i="45"/>
  <c r="CE143" i="45" s="1"/>
  <c r="CE79" i="45" s="1"/>
  <c r="CD132" i="45"/>
  <c r="CD143" i="45" s="1"/>
  <c r="CB80" i="45"/>
  <c r="CA80" i="45"/>
  <c r="BZ80" i="45"/>
  <c r="BY80" i="45"/>
  <c r="BX80" i="45"/>
  <c r="BW80" i="45"/>
  <c r="BV80" i="45"/>
  <c r="BU80" i="45"/>
  <c r="BT80" i="45"/>
  <c r="BS80" i="45"/>
  <c r="BR80" i="45"/>
  <c r="BQ80" i="45"/>
  <c r="CB79" i="45"/>
  <c r="CA79" i="45"/>
  <c r="BZ79" i="45"/>
  <c r="BY79" i="45"/>
  <c r="BX79" i="45"/>
  <c r="BW79" i="45"/>
  <c r="BV79" i="45"/>
  <c r="BU79" i="45"/>
  <c r="BT79" i="45"/>
  <c r="BS79" i="45"/>
  <c r="BR79" i="45"/>
  <c r="BQ79" i="45"/>
  <c r="CE78" i="45"/>
  <c r="CD78" i="45"/>
  <c r="CU183" i="45"/>
  <c r="CU181" i="45"/>
  <c r="CU180" i="45"/>
  <c r="CU179" i="45"/>
  <c r="CU178" i="45"/>
  <c r="CU177" i="45"/>
  <c r="CU175" i="45"/>
  <c r="CU174" i="45"/>
  <c r="CU173" i="45"/>
  <c r="CU172" i="45"/>
  <c r="CU171" i="45"/>
  <c r="CU170" i="45"/>
  <c r="CU168" i="45"/>
  <c r="CU167" i="45"/>
  <c r="CU166" i="45"/>
  <c r="CU165" i="45"/>
  <c r="CU164" i="45"/>
  <c r="CU163" i="45"/>
  <c r="CU162" i="45"/>
  <c r="CU161" i="45"/>
  <c r="CU160" i="45"/>
  <c r="CU159" i="45"/>
  <c r="CU157" i="45"/>
  <c r="CU155" i="45"/>
  <c r="CU154" i="45"/>
  <c r="CU153" i="45"/>
  <c r="CU152" i="45"/>
  <c r="CU151" i="45"/>
  <c r="CU149" i="45"/>
  <c r="CU148" i="45"/>
  <c r="CU147" i="45"/>
  <c r="CU146" i="45"/>
  <c r="CU144" i="45"/>
  <c r="CU142" i="45"/>
  <c r="CU141" i="45"/>
  <c r="CU140" i="45"/>
  <c r="CU139" i="45"/>
  <c r="CU138" i="45"/>
  <c r="CU136" i="45"/>
  <c r="CU135" i="45"/>
  <c r="CU134" i="45"/>
  <c r="CU133" i="45"/>
  <c r="CU132" i="45"/>
  <c r="CU131" i="45"/>
  <c r="CU130" i="45"/>
  <c r="CU129" i="45"/>
  <c r="CU128" i="45"/>
  <c r="CU127" i="45"/>
  <c r="CU126" i="45"/>
  <c r="CU125" i="45"/>
  <c r="CU124" i="45"/>
  <c r="CU123" i="45"/>
  <c r="CU122" i="45"/>
  <c r="CU121" i="45"/>
  <c r="CU120" i="45"/>
  <c r="CU119" i="45"/>
  <c r="CU118" i="45"/>
  <c r="CU117" i="45"/>
  <c r="CU116" i="45"/>
  <c r="CU115" i="45"/>
  <c r="CU114" i="45"/>
  <c r="CU113" i="45"/>
  <c r="CU112" i="45"/>
  <c r="CU111" i="45"/>
  <c r="CU110" i="45"/>
  <c r="CU109" i="45"/>
  <c r="CU108" i="45"/>
  <c r="CU107" i="45"/>
  <c r="CU106" i="45"/>
  <c r="CU105" i="45"/>
  <c r="CU104" i="45"/>
  <c r="CU103" i="45"/>
  <c r="CU102" i="45"/>
  <c r="CU101" i="45"/>
  <c r="CU100" i="45"/>
  <c r="CU99" i="45"/>
  <c r="CU98" i="45"/>
  <c r="CU97" i="45"/>
  <c r="CU96" i="45"/>
  <c r="CU95" i="45"/>
  <c r="CU94" i="45"/>
  <c r="CU93" i="45"/>
  <c r="CU92" i="45"/>
  <c r="CU91" i="45"/>
  <c r="CU90" i="45"/>
  <c r="CU88" i="45"/>
  <c r="CU87" i="45"/>
  <c r="CU86" i="45"/>
  <c r="CU83" i="45"/>
  <c r="CU82" i="45"/>
  <c r="CU78" i="45"/>
  <c r="CU76" i="45"/>
  <c r="CU75" i="45"/>
  <c r="CU74" i="45"/>
  <c r="CU73" i="45"/>
  <c r="CU72" i="45"/>
  <c r="CU71" i="45"/>
  <c r="CU70" i="45"/>
  <c r="CU69" i="45"/>
  <c r="CU68" i="45"/>
  <c r="CU67" i="45"/>
  <c r="CU66" i="45"/>
  <c r="CU65" i="45"/>
  <c r="CU64" i="45"/>
  <c r="CU63" i="45"/>
  <c r="CU62" i="45"/>
  <c r="CU61" i="45"/>
  <c r="CU60" i="45"/>
  <c r="CU59" i="45"/>
  <c r="CU58" i="45"/>
  <c r="CU57" i="45"/>
  <c r="CU56" i="45"/>
  <c r="CU55" i="45"/>
  <c r="CU54" i="45"/>
  <c r="CU52" i="45"/>
  <c r="CU51" i="45"/>
  <c r="CU50" i="45"/>
  <c r="CU49" i="45"/>
  <c r="CU48" i="45"/>
  <c r="CU47" i="45"/>
  <c r="CU46" i="45"/>
  <c r="CU45" i="45"/>
  <c r="CU44" i="45"/>
  <c r="CU42" i="45"/>
  <c r="CU41" i="45"/>
  <c r="CU40" i="45"/>
  <c r="CU39" i="45"/>
  <c r="CU38" i="45"/>
  <c r="CU37" i="45"/>
  <c r="CU36" i="45"/>
  <c r="CU35" i="45"/>
  <c r="CU34" i="45"/>
  <c r="CU33" i="45"/>
  <c r="CU32" i="45"/>
  <c r="CU31" i="45"/>
  <c r="CU30" i="45"/>
  <c r="CU29" i="45"/>
  <c r="CU28" i="45"/>
  <c r="CU27" i="45"/>
  <c r="CU26" i="45"/>
  <c r="CU25" i="45"/>
  <c r="CU24" i="45"/>
  <c r="CU23" i="45"/>
  <c r="CU22" i="45"/>
  <c r="CU21" i="45"/>
  <c r="CU20" i="45"/>
  <c r="CU19" i="45"/>
  <c r="CU18" i="45"/>
  <c r="CU17" i="45"/>
  <c r="CU16" i="45"/>
  <c r="CU15" i="45"/>
  <c r="CU14" i="45"/>
  <c r="CU13" i="45"/>
  <c r="CU12" i="45"/>
  <c r="CU11" i="45"/>
  <c r="CU10" i="45"/>
  <c r="CU9" i="45"/>
  <c r="CU8" i="45"/>
  <c r="CU7" i="45"/>
  <c r="CU6" i="45"/>
  <c r="CE169" i="45" l="1"/>
  <c r="CE81" i="45" s="1"/>
  <c r="CD169" i="45"/>
  <c r="CD81" i="45" s="1"/>
  <c r="CU81" i="45" s="1"/>
  <c r="CU169" i="45"/>
  <c r="CU158" i="45"/>
  <c r="CD156" i="45"/>
  <c r="CU143" i="45"/>
  <c r="CD79" i="45"/>
  <c r="CU79" i="45" s="1"/>
  <c r="CU156" i="45" l="1"/>
  <c r="CD80" i="45"/>
  <c r="CU80" i="45" s="1"/>
  <c r="CE76" i="45" l="1"/>
  <c r="CD76" i="45"/>
  <c r="CE65" i="45"/>
  <c r="CD65" i="45"/>
  <c r="CE61" i="45"/>
  <c r="CD61" i="45"/>
  <c r="CE55" i="45"/>
  <c r="CD55" i="45"/>
  <c r="CD54" i="45" s="1"/>
  <c r="CB65" i="45"/>
  <c r="CB61" i="45"/>
  <c r="CB55" i="45"/>
  <c r="CE54" i="45"/>
  <c r="CE22" i="45"/>
  <c r="BP194" i="45"/>
  <c r="BP195" i="45"/>
  <c r="BP196" i="45"/>
  <c r="BP197" i="45"/>
  <c r="BP198" i="45"/>
  <c r="BP199" i="45"/>
  <c r="BP200" i="45"/>
  <c r="BP201" i="45"/>
  <c r="BP202" i="45"/>
  <c r="BP203" i="45"/>
  <c r="BP204" i="45"/>
  <c r="BP205" i="45"/>
  <c r="BP206" i="45"/>
  <c r="BP207" i="45"/>
  <c r="BP209" i="45"/>
  <c r="BP210" i="45"/>
  <c r="BP211" i="45"/>
  <c r="BP212" i="45"/>
  <c r="BP213" i="45"/>
  <c r="BP214" i="45"/>
  <c r="BP215" i="45"/>
  <c r="BP216" i="45"/>
  <c r="BP88" i="45" l="1"/>
  <c r="BP81" i="45"/>
  <c r="BP80" i="45"/>
  <c r="BP79" i="45"/>
  <c r="BP163" i="45"/>
  <c r="BP150" i="45"/>
  <c r="BP158" i="45"/>
  <c r="BP145" i="45"/>
  <c r="BP137" i="45"/>
  <c r="BP132" i="45" l="1"/>
  <c r="BP143" i="45" s="1"/>
  <c r="CE20" i="45"/>
  <c r="CD20" i="45"/>
  <c r="CE43" i="45"/>
  <c r="CD43" i="45"/>
  <c r="CE6" i="45"/>
  <c r="CD6" i="45"/>
  <c r="CE14" i="45"/>
  <c r="CE36" i="45"/>
  <c r="CD36" i="45"/>
  <c r="CX43" i="45" l="1"/>
  <c r="CU43" i="45"/>
  <c r="CE25" i="45" l="1"/>
  <c r="CE44" i="45"/>
  <c r="CD44" i="45"/>
  <c r="CB44" i="45"/>
  <c r="CA44" i="45"/>
  <c r="BZ44" i="45"/>
  <c r="BY44" i="45"/>
  <c r="BX44" i="45"/>
  <c r="BW44" i="45"/>
  <c r="BV44" i="45"/>
  <c r="BU44" i="45"/>
  <c r="BT44" i="45"/>
  <c r="CE49" i="45"/>
  <c r="CD49" i="45"/>
  <c r="CD14" i="45"/>
  <c r="CE13" i="45" l="1"/>
  <c r="CE12" i="45" s="1"/>
  <c r="CE10" i="45" s="1"/>
  <c r="CD13" i="45"/>
  <c r="CD12" i="45" s="1"/>
  <c r="CD10" i="45" s="1"/>
  <c r="CB12" i="45"/>
  <c r="CA12" i="45"/>
  <c r="BZ12" i="45"/>
  <c r="BY12" i="45"/>
  <c r="BX12" i="45"/>
  <c r="BW12" i="45"/>
  <c r="BV12" i="45"/>
  <c r="BU12" i="45"/>
  <c r="BT12" i="45"/>
  <c r="BS12" i="45"/>
  <c r="BR12" i="45"/>
  <c r="CE5" i="45" l="1"/>
  <c r="CD5" i="45"/>
  <c r="CC52" i="45"/>
  <c r="CC51" i="45"/>
  <c r="CC50" i="45"/>
  <c r="CC49" i="45"/>
  <c r="CC47" i="45"/>
  <c r="CC46" i="45"/>
  <c r="CC45" i="45"/>
  <c r="CC44" i="45"/>
  <c r="CC43" i="45"/>
  <c r="CC42" i="45"/>
  <c r="CC41" i="45"/>
  <c r="CC40" i="45"/>
  <c r="CC39" i="45"/>
  <c r="CC38" i="45"/>
  <c r="CC37" i="45"/>
  <c r="CC36" i="45"/>
  <c r="CC35" i="45"/>
  <c r="CC34" i="45"/>
  <c r="CC33" i="45"/>
  <c r="CC32" i="45"/>
  <c r="CC31" i="45"/>
  <c r="CC30" i="45"/>
  <c r="CC29" i="45"/>
  <c r="CC28" i="45"/>
  <c r="CC27" i="45"/>
  <c r="CC26" i="45"/>
  <c r="CC25" i="45"/>
  <c r="CC24" i="45"/>
  <c r="CC23" i="45"/>
  <c r="CC22" i="45"/>
  <c r="CC21" i="45"/>
  <c r="CC20" i="45"/>
  <c r="CC19" i="45"/>
  <c r="CC18" i="45"/>
  <c r="CC17" i="45"/>
  <c r="CC16" i="45"/>
  <c r="CC15" i="45"/>
  <c r="CC14" i="45"/>
  <c r="CC13" i="45"/>
  <c r="CC12" i="45"/>
  <c r="CC11" i="45"/>
  <c r="CC9" i="45"/>
  <c r="CC8" i="45"/>
  <c r="CC7" i="45"/>
  <c r="CC6" i="45"/>
  <c r="CC76" i="45"/>
  <c r="CC75" i="45"/>
  <c r="CC74" i="45"/>
  <c r="CC73" i="45"/>
  <c r="CC72" i="45"/>
  <c r="CC71" i="45"/>
  <c r="CC70" i="45"/>
  <c r="CC69" i="45"/>
  <c r="CC68" i="45"/>
  <c r="CC67" i="45"/>
  <c r="CC66" i="45"/>
  <c r="CC65" i="45"/>
  <c r="CC64" i="45"/>
  <c r="CC63" i="45"/>
  <c r="CC62" i="45"/>
  <c r="CC61" i="45"/>
  <c r="CC60" i="45"/>
  <c r="CC59" i="45"/>
  <c r="CC58" i="45"/>
  <c r="CC57" i="45"/>
  <c r="CC56" i="45"/>
  <c r="CC55" i="45"/>
  <c r="CC54" i="45"/>
  <c r="CC87" i="45"/>
  <c r="CC86" i="45"/>
  <c r="CC83" i="45"/>
  <c r="CC82" i="45"/>
  <c r="CC81" i="45"/>
  <c r="CC80" i="45"/>
  <c r="CC79" i="45"/>
  <c r="CB54" i="45"/>
  <c r="CA54" i="45"/>
  <c r="BZ54" i="45"/>
  <c r="BY54" i="45"/>
  <c r="BX54" i="45"/>
  <c r="BW54" i="45"/>
  <c r="BV54" i="45"/>
  <c r="BU54" i="45"/>
  <c r="BT54" i="45"/>
  <c r="BS54" i="45"/>
  <c r="BR54" i="45"/>
  <c r="CB182" i="45"/>
  <c r="CA182" i="45"/>
  <c r="BZ182" i="45"/>
  <c r="BY182" i="45"/>
  <c r="BX182" i="45"/>
  <c r="BW182" i="45"/>
  <c r="BV182" i="45"/>
  <c r="BU182" i="45"/>
  <c r="BT182" i="45"/>
  <c r="BS182" i="45"/>
  <c r="BR182" i="45"/>
  <c r="BQ182" i="45"/>
  <c r="CB176" i="45"/>
  <c r="CA176" i="45"/>
  <c r="BZ176" i="45"/>
  <c r="BY176" i="45"/>
  <c r="BX176" i="45"/>
  <c r="BW176" i="45"/>
  <c r="BV176" i="45"/>
  <c r="BU176" i="45"/>
  <c r="BT176" i="45"/>
  <c r="BS176" i="45"/>
  <c r="BR176" i="45"/>
  <c r="BQ176" i="45"/>
  <c r="CB171" i="45"/>
  <c r="CA171" i="45"/>
  <c r="BZ171" i="45"/>
  <c r="BY171" i="45"/>
  <c r="BX171" i="45"/>
  <c r="BW171" i="45"/>
  <c r="BV171" i="45"/>
  <c r="BU171" i="45"/>
  <c r="BT171" i="45"/>
  <c r="BS171" i="45"/>
  <c r="BR171" i="45"/>
  <c r="BQ171" i="45"/>
  <c r="CB169" i="45"/>
  <c r="CA169" i="45"/>
  <c r="BZ169" i="45"/>
  <c r="BY169" i="45"/>
  <c r="BX169" i="45"/>
  <c r="BW169" i="45"/>
  <c r="BV169" i="45"/>
  <c r="BU169" i="45"/>
  <c r="BT169" i="45"/>
  <c r="BS169" i="45"/>
  <c r="BR169" i="45"/>
  <c r="BQ169" i="45"/>
  <c r="CB163" i="45"/>
  <c r="CA163" i="45"/>
  <c r="BZ163" i="45"/>
  <c r="BY163" i="45"/>
  <c r="BX163" i="45"/>
  <c r="BW163" i="45"/>
  <c r="BV163" i="45"/>
  <c r="BU163" i="45"/>
  <c r="BT163" i="45"/>
  <c r="BS163" i="45"/>
  <c r="BR163" i="45"/>
  <c r="BQ163" i="45"/>
  <c r="CB158" i="45"/>
  <c r="CA158" i="45"/>
  <c r="BZ158" i="45"/>
  <c r="BY158" i="45"/>
  <c r="BX158" i="45"/>
  <c r="BW158" i="45"/>
  <c r="BV158" i="45"/>
  <c r="BU158" i="45"/>
  <c r="BT158" i="45"/>
  <c r="BS158" i="45"/>
  <c r="BR158" i="45"/>
  <c r="BQ158" i="45"/>
  <c r="CB156" i="45"/>
  <c r="CA156" i="45"/>
  <c r="BZ156" i="45"/>
  <c r="BY156" i="45"/>
  <c r="BX156" i="45"/>
  <c r="BW156" i="45"/>
  <c r="BV156" i="45"/>
  <c r="BU156" i="45"/>
  <c r="BT156" i="45"/>
  <c r="BS156" i="45"/>
  <c r="BR156" i="45"/>
  <c r="BQ156" i="45"/>
  <c r="CB150" i="45"/>
  <c r="CA150" i="45"/>
  <c r="BZ150" i="45"/>
  <c r="BY150" i="45"/>
  <c r="BX150" i="45"/>
  <c r="BW150" i="45"/>
  <c r="BV150" i="45"/>
  <c r="BU150" i="45"/>
  <c r="BT150" i="45"/>
  <c r="BS150" i="45"/>
  <c r="BR150" i="45"/>
  <c r="BQ150" i="45"/>
  <c r="CB145" i="45"/>
  <c r="CA145" i="45"/>
  <c r="BZ145" i="45"/>
  <c r="BY145" i="45"/>
  <c r="BX145" i="45"/>
  <c r="BW145" i="45"/>
  <c r="BV145" i="45"/>
  <c r="BU145" i="45"/>
  <c r="BT145" i="45"/>
  <c r="BS145" i="45"/>
  <c r="BR145" i="45"/>
  <c r="BQ145" i="45"/>
  <c r="CB143" i="45"/>
  <c r="CA143" i="45"/>
  <c r="BZ143" i="45"/>
  <c r="BY143" i="45"/>
  <c r="BX143" i="45"/>
  <c r="BW143" i="45"/>
  <c r="BV143" i="45"/>
  <c r="BU143" i="45"/>
  <c r="BT143" i="45"/>
  <c r="BS143" i="45"/>
  <c r="BR143" i="45"/>
  <c r="BQ143" i="45"/>
  <c r="CB137" i="45"/>
  <c r="CA137" i="45"/>
  <c r="BZ137" i="45"/>
  <c r="BY137" i="45"/>
  <c r="BX137" i="45"/>
  <c r="BW137" i="45"/>
  <c r="BV137" i="45"/>
  <c r="BU137" i="45"/>
  <c r="BT137" i="45"/>
  <c r="BS137" i="45"/>
  <c r="BR137" i="45"/>
  <c r="BQ137" i="45"/>
  <c r="CB132" i="45"/>
  <c r="CA132" i="45"/>
  <c r="BZ132" i="45"/>
  <c r="BY132" i="45"/>
  <c r="BX132" i="45"/>
  <c r="BW132" i="45"/>
  <c r="BV132" i="45"/>
  <c r="BU132" i="45"/>
  <c r="BT132" i="45"/>
  <c r="BS132" i="45"/>
  <c r="BR132" i="45"/>
  <c r="BQ132" i="45"/>
  <c r="T5" i="13"/>
  <c r="M41" i="17" a="1"/>
  <c r="M18" i="17" a="1"/>
  <c r="M42" i="17" a="1"/>
  <c r="M40" i="17" a="1"/>
  <c r="M9" i="17" a="1"/>
  <c r="M69" i="17" a="1"/>
  <c r="M70" i="17" a="1"/>
  <c r="M44" i="17" a="1"/>
  <c r="M20" i="17" a="1"/>
  <c r="M63" i="17" a="1"/>
  <c r="M13" i="17" a="1"/>
  <c r="M71" i="17" a="1"/>
  <c r="M52" i="17" a="1"/>
  <c r="M73" i="17" a="1"/>
  <c r="M43" i="17" a="1"/>
  <c r="M10" i="17" a="1"/>
  <c r="M55" i="17" a="1"/>
  <c r="M57" i="17" a="1"/>
  <c r="M68" i="17" a="1"/>
  <c r="M67" i="17" a="1"/>
  <c r="M58" i="17" a="1"/>
  <c r="M49" i="17" a="1"/>
  <c r="M17" i="17" a="1"/>
  <c r="M51" i="17" a="1"/>
  <c r="M65" i="17" a="1"/>
  <c r="M22" i="17" a="1"/>
  <c r="M53" i="17" a="1"/>
  <c r="M60" i="17" a="1"/>
  <c r="M37" i="17" a="1"/>
  <c r="M11" i="17" a="1"/>
  <c r="M23" i="17" a="1"/>
  <c r="M16" i="17" a="1"/>
  <c r="M46" i="17" a="1"/>
  <c r="M19" i="17" a="1"/>
  <c r="M39" i="17" a="1"/>
  <c r="M45" i="17" a="1"/>
  <c r="M66" i="17" a="1"/>
  <c r="M14" i="17" a="1"/>
  <c r="M50" i="17" a="1"/>
  <c r="M56" i="17" a="1"/>
  <c r="M38" i="17" a="1"/>
  <c r="M21" i="17" a="1"/>
  <c r="M12" i="17" a="1"/>
  <c r="M7" i="17" a="1"/>
  <c r="M61" i="17" a="1"/>
  <c r="M62" i="17" a="1"/>
  <c r="M47" i="17" a="1"/>
  <c r="M59" i="17" a="1"/>
  <c r="M15" i="17" a="1"/>
  <c r="M64" i="17" a="1"/>
  <c r="M72" i="17" a="1"/>
  <c r="M24" i="17" a="1"/>
  <c r="M8" i="17" a="1"/>
  <c r="M6" i="17" a="1"/>
  <c r="M54" i="17" a="1"/>
  <c r="M52" i="17" l="1"/>
  <c r="M57" i="17"/>
  <c r="M53" i="17"/>
  <c r="M49" i="17"/>
  <c r="M51" i="17"/>
  <c r="M55" i="17"/>
  <c r="M58" i="17"/>
  <c r="M54" i="17"/>
  <c r="M56" i="17"/>
  <c r="M50" i="17"/>
  <c r="M73" i="17"/>
  <c r="M40" i="17"/>
  <c r="M19" i="17"/>
  <c r="M38" i="17"/>
  <c r="M24" i="17"/>
  <c r="M8" i="17"/>
  <c r="M66" i="17"/>
  <c r="M21" i="17"/>
  <c r="M20" i="17"/>
  <c r="M72" i="17"/>
  <c r="M47" i="17"/>
  <c r="M71" i="17"/>
  <c r="M46" i="17"/>
  <c r="M70" i="17"/>
  <c r="M9" i="17"/>
  <c r="M60" i="17"/>
  <c r="M23" i="17"/>
  <c r="M7" i="17"/>
  <c r="M41" i="17"/>
  <c r="M65" i="17"/>
  <c r="M64" i="17"/>
  <c r="M39" i="17"/>
  <c r="M63" i="17"/>
  <c r="M18" i="17"/>
  <c r="M62" i="17"/>
  <c r="M37" i="17"/>
  <c r="M61" i="17"/>
  <c r="M16" i="17"/>
  <c r="M68" i="17"/>
  <c r="M43" i="17"/>
  <c r="M15" i="17"/>
  <c r="M13" i="17"/>
  <c r="M12" i="17"/>
  <c r="M11" i="17"/>
  <c r="M10" i="17"/>
  <c r="M45" i="17"/>
  <c r="M17" i="17"/>
  <c r="M69" i="17"/>
  <c r="M44" i="17"/>
  <c r="M67" i="17"/>
  <c r="M59" i="17"/>
  <c r="M42" i="17"/>
  <c r="M22" i="17"/>
  <c r="M14" i="17"/>
  <c r="M6" i="17"/>
  <c r="Q59" i="26"/>
  <c r="Z81" i="26"/>
  <c r="Y81" i="26"/>
  <c r="Z80" i="26"/>
  <c r="Y80" i="26"/>
  <c r="Z79" i="26"/>
  <c r="Y79" i="26"/>
  <c r="Z78" i="26"/>
  <c r="Y78" i="26"/>
  <c r="Z77" i="26"/>
  <c r="Y77" i="26"/>
  <c r="Z76" i="26"/>
  <c r="Y76" i="26"/>
  <c r="Z75" i="26"/>
  <c r="Y75" i="26"/>
  <c r="Z74" i="26"/>
  <c r="Y74" i="26"/>
  <c r="Z73" i="26"/>
  <c r="Y73" i="26"/>
  <c r="Z72" i="26"/>
  <c r="Y72" i="26"/>
  <c r="Z71" i="26"/>
  <c r="Y71" i="26"/>
  <c r="Z70" i="26"/>
  <c r="Y70" i="26"/>
  <c r="Z66" i="26"/>
  <c r="Y66" i="26"/>
  <c r="W65" i="26"/>
  <c r="V65" i="26"/>
  <c r="W64" i="26"/>
  <c r="V64" i="26"/>
  <c r="W63" i="26"/>
  <c r="V63" i="26"/>
  <c r="W62" i="26"/>
  <c r="V62" i="26"/>
  <c r="W61" i="26"/>
  <c r="V61" i="26"/>
  <c r="W60" i="26"/>
  <c r="V60" i="26"/>
  <c r="W59" i="26"/>
  <c r="V59" i="26"/>
  <c r="W58" i="26"/>
  <c r="V58" i="26"/>
  <c r="W57" i="26"/>
  <c r="V57" i="26"/>
  <c r="W56" i="26"/>
  <c r="V56" i="26"/>
  <c r="W55" i="26"/>
  <c r="V55" i="26"/>
  <c r="W54" i="26"/>
  <c r="V54" i="26"/>
  <c r="W50" i="26"/>
  <c r="V50" i="26"/>
  <c r="Y25" i="26"/>
  <c r="V25" i="26"/>
  <c r="U25" i="26"/>
  <c r="T25" i="26"/>
  <c r="Y24" i="26"/>
  <c r="V24" i="26"/>
  <c r="U24" i="26"/>
  <c r="T24" i="26"/>
  <c r="Y23" i="26"/>
  <c r="V23" i="26"/>
  <c r="U23" i="26"/>
  <c r="T23" i="26"/>
  <c r="Y22" i="26"/>
  <c r="V22" i="26"/>
  <c r="U22" i="26"/>
  <c r="T22" i="26"/>
  <c r="Y21" i="26"/>
  <c r="V21" i="26"/>
  <c r="U21" i="26"/>
  <c r="T21" i="26"/>
  <c r="Y20" i="26"/>
  <c r="V20" i="26"/>
  <c r="U20" i="26"/>
  <c r="T20" i="26"/>
  <c r="Y19" i="26"/>
  <c r="V19" i="26"/>
  <c r="U19" i="26"/>
  <c r="T19" i="26"/>
  <c r="Y18" i="26"/>
  <c r="V18" i="26"/>
  <c r="U18" i="26"/>
  <c r="T18" i="26"/>
  <c r="Y17" i="26"/>
  <c r="V17" i="26"/>
  <c r="U17" i="26"/>
  <c r="T17" i="26"/>
  <c r="Y16" i="26"/>
  <c r="V16" i="26"/>
  <c r="U16" i="26"/>
  <c r="T16" i="26"/>
  <c r="Y15" i="26"/>
  <c r="V15" i="26"/>
  <c r="U15" i="26"/>
  <c r="T15" i="26"/>
  <c r="Y14" i="26"/>
  <c r="V14" i="26"/>
  <c r="U14" i="26"/>
  <c r="T14" i="26"/>
  <c r="Y13" i="26"/>
  <c r="V13" i="26"/>
  <c r="U13" i="26"/>
  <c r="T13" i="26"/>
  <c r="Y12" i="26"/>
  <c r="V12" i="26"/>
  <c r="U12" i="26"/>
  <c r="T12" i="26"/>
  <c r="Y11" i="26"/>
  <c r="V11" i="26"/>
  <c r="U11" i="26"/>
  <c r="T11" i="26"/>
  <c r="U10" i="26"/>
  <c r="T10" i="26"/>
  <c r="U9" i="26"/>
  <c r="T9" i="26"/>
  <c r="U8" i="26"/>
  <c r="T8" i="26"/>
  <c r="V48" i="26"/>
  <c r="R81" i="26"/>
  <c r="Q81" i="26"/>
  <c r="R80" i="26"/>
  <c r="Q80" i="26"/>
  <c r="R79" i="26"/>
  <c r="Q79" i="26"/>
  <c r="R78" i="26"/>
  <c r="Q78" i="26"/>
  <c r="R77" i="26"/>
  <c r="Q77" i="26"/>
  <c r="R76" i="26"/>
  <c r="Q76" i="26"/>
  <c r="R75" i="26"/>
  <c r="Q75" i="26"/>
  <c r="R65" i="26"/>
  <c r="Q65" i="26"/>
  <c r="R64" i="26"/>
  <c r="Q64" i="26"/>
  <c r="R63" i="26"/>
  <c r="Q63" i="26"/>
  <c r="R62" i="26"/>
  <c r="Q62" i="26"/>
  <c r="R61" i="26"/>
  <c r="Q61" i="26"/>
  <c r="R60" i="26"/>
  <c r="Q60" i="26"/>
  <c r="R59" i="26"/>
  <c r="Q56" i="26"/>
  <c r="BY4" i="22"/>
  <c r="BY187" i="22"/>
  <c r="BY186" i="22"/>
  <c r="BY185" i="22"/>
  <c r="BY184" i="22"/>
  <c r="BY183" i="22"/>
  <c r="BY182" i="22"/>
  <c r="BY181" i="22"/>
  <c r="BY180" i="22"/>
  <c r="BY179" i="22"/>
  <c r="BY178" i="22"/>
  <c r="BY177" i="22"/>
  <c r="BY176" i="22"/>
  <c r="BY175" i="22"/>
  <c r="BY174" i="22"/>
  <c r="BY173" i="22"/>
  <c r="BY172" i="22"/>
  <c r="BY154" i="22"/>
  <c r="BY153" i="22"/>
  <c r="BY152" i="22"/>
  <c r="BY151" i="22"/>
  <c r="BY150" i="22"/>
  <c r="BY149" i="22"/>
  <c r="BY148" i="22"/>
  <c r="BY147" i="22"/>
  <c r="BY146" i="22"/>
  <c r="BY145" i="22"/>
  <c r="BY144" i="22"/>
  <c r="BY143" i="22"/>
  <c r="BY142" i="22"/>
  <c r="BY141" i="22"/>
  <c r="BY140" i="22"/>
  <c r="BY139" i="22"/>
  <c r="BY137" i="22"/>
  <c r="BY136" i="22"/>
  <c r="BY135" i="22"/>
  <c r="BY134" i="22"/>
  <c r="BY133" i="22"/>
  <c r="BY132" i="22"/>
  <c r="BY131" i="22"/>
  <c r="BY130" i="22"/>
  <c r="BY129" i="22"/>
  <c r="BY128" i="22"/>
  <c r="BY127" i="22"/>
  <c r="BY126" i="22"/>
  <c r="BY125" i="22"/>
  <c r="BY124" i="22"/>
  <c r="BY123" i="22"/>
  <c r="BY122" i="22"/>
  <c r="BY121" i="22"/>
  <c r="BY120" i="22"/>
  <c r="BY119" i="22"/>
  <c r="BY118" i="22"/>
  <c r="BY117" i="22"/>
  <c r="BY116" i="22"/>
  <c r="BY115" i="22"/>
  <c r="BY114" i="22"/>
  <c r="BY113" i="22"/>
  <c r="BY112" i="22"/>
  <c r="BY111" i="22"/>
  <c r="BY110" i="22"/>
  <c r="BY109" i="22"/>
  <c r="BY108" i="22"/>
  <c r="BY107" i="22"/>
  <c r="BY106" i="22"/>
  <c r="BY105" i="22"/>
  <c r="BY104" i="22"/>
  <c r="BY103" i="22"/>
  <c r="BY102" i="22"/>
  <c r="BY101" i="22"/>
  <c r="BY100" i="22"/>
  <c r="BY99" i="22"/>
  <c r="BY98" i="22"/>
  <c r="BY97" i="22"/>
  <c r="BY96" i="22"/>
  <c r="BY95" i="22"/>
  <c r="BY94" i="22"/>
  <c r="BY93" i="22"/>
  <c r="BY92" i="22"/>
  <c r="BY91" i="22"/>
  <c r="BY90" i="22"/>
  <c r="BY89" i="22"/>
  <c r="BY88" i="22"/>
  <c r="BY87" i="22"/>
  <c r="BY86" i="22"/>
  <c r="BY85" i="22"/>
  <c r="BY84" i="22"/>
  <c r="BY83" i="22"/>
  <c r="BY82" i="22"/>
  <c r="BY81" i="22"/>
  <c r="BY79" i="22"/>
  <c r="BY78" i="22"/>
  <c r="BY77" i="22"/>
  <c r="BY76" i="22"/>
  <c r="BY75" i="22"/>
  <c r="BY74" i="22"/>
  <c r="BY73" i="22"/>
  <c r="BY72" i="22"/>
  <c r="BY71" i="22"/>
  <c r="BY70" i="22"/>
  <c r="BY69" i="22"/>
  <c r="BY68" i="22"/>
  <c r="BY67" i="22"/>
  <c r="BY66" i="22"/>
  <c r="BY65" i="22"/>
  <c r="BY64" i="22"/>
  <c r="BY63" i="22"/>
  <c r="BY62" i="22"/>
  <c r="BY61" i="22"/>
  <c r="BY60" i="22"/>
  <c r="BY59" i="22"/>
  <c r="BY58" i="22"/>
  <c r="BY57" i="22"/>
  <c r="BY56" i="22"/>
  <c r="BY55" i="22"/>
  <c r="BY54" i="22"/>
  <c r="BY53" i="22"/>
  <c r="BY52" i="22"/>
  <c r="BY51" i="22"/>
  <c r="BY50" i="22"/>
  <c r="BY49" i="22"/>
  <c r="BY48" i="22"/>
  <c r="BY47" i="22"/>
  <c r="BY46" i="22"/>
  <c r="BY45" i="22"/>
  <c r="BY44" i="22"/>
  <c r="BY43" i="22"/>
  <c r="BY42" i="22"/>
  <c r="BY41" i="22"/>
  <c r="BY40" i="22"/>
  <c r="BY39" i="22"/>
  <c r="BY38" i="22"/>
  <c r="BY37" i="22"/>
  <c r="BY36" i="22"/>
  <c r="BY35" i="22"/>
  <c r="BY34" i="22"/>
  <c r="BY33" i="22"/>
  <c r="BY32" i="22"/>
  <c r="BY31" i="22"/>
  <c r="BY30" i="22"/>
  <c r="BY29" i="22"/>
  <c r="BY28" i="22"/>
  <c r="BY27" i="22"/>
  <c r="BY26" i="22"/>
  <c r="BY25" i="22"/>
  <c r="BY24" i="22"/>
  <c r="BY23" i="22"/>
  <c r="BY22" i="22"/>
  <c r="BY21" i="22"/>
  <c r="BY20" i="22"/>
  <c r="BY19" i="22"/>
  <c r="BY18" i="22"/>
  <c r="BY17" i="22"/>
  <c r="BY16" i="22"/>
  <c r="BY15" i="22"/>
  <c r="BY14" i="22"/>
  <c r="BY13" i="22"/>
  <c r="BY12" i="22"/>
  <c r="BY11" i="22"/>
  <c r="BY10" i="22"/>
  <c r="BY9" i="22"/>
  <c r="BY8" i="22"/>
  <c r="BY7" i="22"/>
  <c r="BY6" i="22"/>
  <c r="BY5" i="22"/>
  <c r="R25" i="26"/>
  <c r="Q25" i="26"/>
  <c r="R24" i="26"/>
  <c r="Q24" i="26"/>
  <c r="R23" i="26"/>
  <c r="Q23" i="26"/>
  <c r="R22" i="26"/>
  <c r="Q22" i="26"/>
  <c r="R21" i="26"/>
  <c r="Q21" i="26"/>
  <c r="R20" i="26"/>
  <c r="Q20" i="26"/>
  <c r="R19" i="26"/>
  <c r="Q19" i="26"/>
  <c r="R18" i="26"/>
  <c r="Q18" i="26"/>
  <c r="R17" i="26"/>
  <c r="Q17" i="26"/>
  <c r="R16" i="26"/>
  <c r="Q16" i="26"/>
  <c r="R15" i="26"/>
  <c r="Q15" i="26"/>
  <c r="R14" i="26"/>
  <c r="Q14" i="26"/>
  <c r="R13" i="26"/>
  <c r="Q13" i="26"/>
  <c r="R12" i="26"/>
  <c r="Q12" i="26"/>
  <c r="R11" i="26"/>
  <c r="Q11" i="26"/>
  <c r="R10" i="26"/>
  <c r="Q10" i="26"/>
  <c r="R9" i="26"/>
  <c r="Q9" i="26"/>
  <c r="R8" i="26"/>
  <c r="Q8" i="26"/>
  <c r="V5" i="26"/>
  <c r="T131" i="19"/>
  <c r="BH19" i="55"/>
  <c r="BH17" i="55"/>
  <c r="BH18" i="55"/>
  <c r="BH16" i="55"/>
  <c r="BH15" i="55"/>
  <c r="BH14" i="55"/>
  <c r="BH20" i="55"/>
  <c r="BL14" i="55"/>
  <c r="BK14" i="55"/>
  <c r="BL13" i="55"/>
  <c r="BK13" i="55"/>
  <c r="BL12" i="55"/>
  <c r="BK12" i="55"/>
  <c r="BL11" i="55"/>
  <c r="BK11" i="55"/>
  <c r="BL10" i="55"/>
  <c r="BK10" i="55"/>
  <c r="BL9" i="55"/>
  <c r="BK9" i="55"/>
  <c r="BL6" i="55"/>
  <c r="BL5" i="55"/>
  <c r="BL4" i="55"/>
  <c r="BK6" i="55"/>
  <c r="BK5" i="55"/>
  <c r="BK4" i="55"/>
  <c r="BH5" i="55"/>
  <c r="BH4" i="55"/>
  <c r="BH56" i="55"/>
  <c r="BH85" i="55"/>
  <c r="BG85" i="55"/>
  <c r="BF85" i="55"/>
  <c r="BE85" i="55"/>
  <c r="BD85" i="55"/>
  <c r="BC85" i="55"/>
  <c r="BB85" i="55"/>
  <c r="BA85" i="55"/>
  <c r="AZ85" i="55"/>
  <c r="AY85" i="55"/>
  <c r="AX85" i="55"/>
  <c r="AW85" i="55"/>
  <c r="BH79" i="55"/>
  <c r="BG79" i="55"/>
  <c r="BF79" i="55"/>
  <c r="BE79" i="55"/>
  <c r="BD79" i="55"/>
  <c r="BC79" i="55"/>
  <c r="BB79" i="55"/>
  <c r="BA79" i="55"/>
  <c r="AZ79" i="55"/>
  <c r="AY79" i="55"/>
  <c r="AX79" i="55"/>
  <c r="AW79" i="55"/>
  <c r="BH73" i="55"/>
  <c r="BG73" i="55"/>
  <c r="BF73" i="55"/>
  <c r="BE73" i="55"/>
  <c r="BD73" i="55"/>
  <c r="BC73" i="55"/>
  <c r="BB73" i="55"/>
  <c r="BA73" i="55"/>
  <c r="AZ73" i="55"/>
  <c r="AY73" i="55"/>
  <c r="AX73" i="55"/>
  <c r="AW73" i="55"/>
  <c r="BH67" i="55"/>
  <c r="BG67" i="55"/>
  <c r="BF67" i="55"/>
  <c r="BE67" i="55"/>
  <c r="BD67" i="55"/>
  <c r="BC67" i="55"/>
  <c r="BB67" i="55"/>
  <c r="BA67" i="55"/>
  <c r="AZ67" i="55"/>
  <c r="AY67" i="55"/>
  <c r="AX67" i="55"/>
  <c r="AW67" i="55"/>
  <c r="AW61" i="55"/>
  <c r="AX61" i="55"/>
  <c r="AY61" i="55"/>
  <c r="AZ61" i="55"/>
  <c r="BA61" i="55"/>
  <c r="BB61" i="55"/>
  <c r="BC61" i="55"/>
  <c r="BD61" i="55"/>
  <c r="BE61" i="55"/>
  <c r="BF61" i="55"/>
  <c r="BG61" i="55"/>
  <c r="BH61" i="55"/>
  <c r="BI57" i="55"/>
  <c r="BI58" i="55"/>
  <c r="BI59" i="55"/>
  <c r="BI60" i="55"/>
  <c r="BI62" i="55"/>
  <c r="BI63" i="55"/>
  <c r="BI64" i="55"/>
  <c r="BI65" i="55"/>
  <c r="BI66" i="55"/>
  <c r="BI68" i="55"/>
  <c r="BI69" i="55"/>
  <c r="BI70" i="55"/>
  <c r="BI71" i="55"/>
  <c r="BI72" i="55"/>
  <c r="BI74" i="55"/>
  <c r="BI75" i="55"/>
  <c r="BI76" i="55"/>
  <c r="BI77" i="55"/>
  <c r="BI78" i="55"/>
  <c r="BG4" i="55"/>
  <c r="L60" i="13" a="1"/>
  <c r="K41" i="26" a="1"/>
  <c r="L15" i="13" a="1"/>
  <c r="K21" i="26" a="1"/>
  <c r="F130" i="19" a="1"/>
  <c r="L21" i="13" a="1"/>
  <c r="L14" i="13" a="1"/>
  <c r="L16" i="13" a="1"/>
  <c r="K35" i="26" a="1"/>
  <c r="J130" i="19" a="1"/>
  <c r="L66" i="13" a="1"/>
  <c r="L25" i="13" a="1"/>
  <c r="K13" i="26" a="1"/>
  <c r="L8" i="13" a="1"/>
  <c r="L45" i="13" a="1"/>
  <c r="K55" i="26" a="1"/>
  <c r="K22" i="26" a="1"/>
  <c r="L39" i="13" a="1"/>
  <c r="L36" i="13" a="1"/>
  <c r="K24" i="26" a="1"/>
  <c r="K25" i="26" a="1"/>
  <c r="K78" i="26" a="1"/>
  <c r="L43" i="13" a="1"/>
  <c r="L37" i="13" a="1"/>
  <c r="K33" i="26" a="1"/>
  <c r="L64" i="13" a="1"/>
  <c r="K44" i="26" a="1"/>
  <c r="K62" i="26" a="1"/>
  <c r="G130" i="19" a="1"/>
  <c r="F49" i="26" a="1"/>
  <c r="L24" i="13" a="1"/>
  <c r="L62" i="13" a="1"/>
  <c r="L47" i="13" a="1"/>
  <c r="K63" i="26" a="1"/>
  <c r="K70" i="26" a="1"/>
  <c r="K57" i="26" a="1"/>
  <c r="K40" i="26" a="1"/>
  <c r="K75" i="26" a="1"/>
  <c r="K73" i="26" a="1"/>
  <c r="L19" i="13" a="1"/>
  <c r="L17" i="13" a="1"/>
  <c r="L33" i="13" a="1"/>
  <c r="K56" i="26" a="1"/>
  <c r="K17" i="26" a="1"/>
  <c r="K11" i="26" a="1"/>
  <c r="K9" i="26" a="1"/>
  <c r="N59" i="26" a="1"/>
  <c r="L61" i="13" a="1"/>
  <c r="K130" i="19" a="1"/>
  <c r="K31" i="26" a="1"/>
  <c r="M130" i="19" a="1"/>
  <c r="L63" i="13" a="1"/>
  <c r="L46" i="13" a="1"/>
  <c r="K32" i="26" a="1"/>
  <c r="K10" i="26" a="1"/>
  <c r="L26" i="13" a="1"/>
  <c r="K65" i="26" a="1"/>
  <c r="L7" i="13" a="1"/>
  <c r="K29" i="26" a="1"/>
  <c r="K61" i="26" a="1"/>
  <c r="K64" i="26" a="1"/>
  <c r="K42" i="26" a="1"/>
  <c r="K18" i="26" a="1"/>
  <c r="L28" i="13" a="1"/>
  <c r="L30" i="13" a="1"/>
  <c r="L31" i="13" a="1"/>
  <c r="L18" i="13" a="1"/>
  <c r="K19" i="26" a="1"/>
  <c r="L70" i="13" a="1"/>
  <c r="L59" i="13" a="1"/>
  <c r="K20" i="26" a="1"/>
  <c r="K79" i="26" a="1"/>
  <c r="L9" i="13" a="1"/>
  <c r="K12" i="26" a="1"/>
  <c r="K8" i="26" a="1"/>
  <c r="L22" i="13" a="1"/>
  <c r="L13" i="13" a="1"/>
  <c r="K45" i="26" a="1"/>
  <c r="K54" i="26" a="1"/>
  <c r="K16" i="26" a="1"/>
  <c r="L10" i="13" a="1"/>
  <c r="K77" i="26" a="1"/>
  <c r="K46" i="26" a="1"/>
  <c r="K59" i="26" a="1"/>
  <c r="K34" i="26" a="1"/>
  <c r="L42" i="13" a="1"/>
  <c r="K30" i="26" a="1"/>
  <c r="L35" i="13" a="1"/>
  <c r="K76" i="26" a="1"/>
  <c r="K71" i="26" a="1"/>
  <c r="K14" i="26" a="1"/>
  <c r="L67" i="13" a="1"/>
  <c r="K74" i="26" a="1"/>
  <c r="K72" i="26" a="1"/>
  <c r="E130" i="19" a="1"/>
  <c r="N130" i="19" a="1"/>
  <c r="L58" i="13" a="1"/>
  <c r="K37" i="26" a="1"/>
  <c r="K36" i="26" a="1"/>
  <c r="K81" i="26" a="1"/>
  <c r="L40" i="13" a="1"/>
  <c r="I130" i="19" a="1"/>
  <c r="D130" i="19" a="1"/>
  <c r="L23" i="13" a="1"/>
  <c r="K43" i="26" a="1"/>
  <c r="L11" i="13" a="1"/>
  <c r="K39" i="26" a="1"/>
  <c r="L44" i="13" a="1"/>
  <c r="L38" i="13" a="1"/>
  <c r="L65" i="13" a="1"/>
  <c r="K80" i="26" a="1"/>
  <c r="K58" i="26" a="1"/>
  <c r="L20" i="13" a="1"/>
  <c r="L27" i="13" a="1"/>
  <c r="K15" i="26" a="1"/>
  <c r="L41" i="13" a="1"/>
  <c r="K38" i="26" a="1"/>
  <c r="K23" i="26" a="1"/>
  <c r="K60" i="26" a="1"/>
  <c r="L12" i="13" a="1"/>
  <c r="H130" i="19" a="1"/>
  <c r="L29" i="13" a="1"/>
  <c r="L34" i="13" a="1"/>
  <c r="L130" i="19" a="1"/>
  <c r="L11" i="13" l="1"/>
  <c r="L26" i="13"/>
  <c r="L27" i="13"/>
  <c r="L37" i="13"/>
  <c r="L46" i="13"/>
  <c r="L30" i="13"/>
  <c r="L15" i="13"/>
  <c r="L66" i="13"/>
  <c r="L61" i="13"/>
  <c r="L62" i="13"/>
  <c r="L28" i="13"/>
  <c r="L29" i="13"/>
  <c r="L14" i="13"/>
  <c r="L65" i="13"/>
  <c r="L31" i="13"/>
  <c r="L24" i="13"/>
  <c r="L59" i="13"/>
  <c r="L67" i="13"/>
  <c r="L18" i="13"/>
  <c r="L43" i="13"/>
  <c r="L36" i="13"/>
  <c r="L12" i="13"/>
  <c r="L45" i="13"/>
  <c r="L21" i="13"/>
  <c r="L38" i="13"/>
  <c r="L39" i="13"/>
  <c r="L7" i="13"/>
  <c r="L58" i="13"/>
  <c r="L16" i="13"/>
  <c r="L33" i="13"/>
  <c r="L17" i="13"/>
  <c r="L34" i="13"/>
  <c r="L70" i="13"/>
  <c r="L10" i="13"/>
  <c r="L35" i="13"/>
  <c r="L19" i="13"/>
  <c r="L44" i="13"/>
  <c r="L20" i="13"/>
  <c r="L63" i="13"/>
  <c r="L13" i="13"/>
  <c r="L64" i="13"/>
  <c r="L22" i="13"/>
  <c r="L47" i="13"/>
  <c r="L23" i="13"/>
  <c r="L40" i="13"/>
  <c r="L8" i="13"/>
  <c r="L41" i="13"/>
  <c r="L9" i="13"/>
  <c r="L25" i="13"/>
  <c r="L42" i="13"/>
  <c r="L60" i="13"/>
  <c r="N59" i="26"/>
  <c r="F49" i="26"/>
  <c r="K14" i="26"/>
  <c r="K42" i="26"/>
  <c r="K13" i="26"/>
  <c r="K21" i="26"/>
  <c r="K32" i="26"/>
  <c r="K40" i="26"/>
  <c r="K74" i="26"/>
  <c r="K34" i="26"/>
  <c r="K55" i="26"/>
  <c r="K63" i="26"/>
  <c r="K8" i="26"/>
  <c r="K16" i="26"/>
  <c r="K24" i="26"/>
  <c r="K35" i="26"/>
  <c r="K43" i="26"/>
  <c r="K77" i="26"/>
  <c r="K75" i="26"/>
  <c r="K56" i="26"/>
  <c r="K65" i="26"/>
  <c r="K9" i="26"/>
  <c r="K17" i="26"/>
  <c r="K25" i="26"/>
  <c r="K36" i="26"/>
  <c r="K44" i="26"/>
  <c r="K70" i="26"/>
  <c r="K78" i="26"/>
  <c r="K59" i="26"/>
  <c r="K33" i="26"/>
  <c r="K58" i="26"/>
  <c r="K10" i="26"/>
  <c r="K18" i="26"/>
  <c r="K29" i="26"/>
  <c r="K37" i="26"/>
  <c r="K45" i="26"/>
  <c r="K71" i="26"/>
  <c r="K79" i="26"/>
  <c r="K60" i="26"/>
  <c r="K41" i="26"/>
  <c r="K23" i="26"/>
  <c r="K11" i="26"/>
  <c r="K19" i="26"/>
  <c r="K30" i="26"/>
  <c r="K38" i="26"/>
  <c r="K46" i="26"/>
  <c r="K72" i="26"/>
  <c r="K80" i="26"/>
  <c r="K22" i="26"/>
  <c r="K15" i="26"/>
  <c r="K61" i="26"/>
  <c r="K12" i="26"/>
  <c r="K20" i="26"/>
  <c r="K31" i="26"/>
  <c r="K39" i="26"/>
  <c r="K73" i="26"/>
  <c r="K81" i="26"/>
  <c r="K64" i="26"/>
  <c r="K76" i="26"/>
  <c r="K57" i="26"/>
  <c r="K54" i="26"/>
  <c r="K62" i="26"/>
  <c r="K130" i="19"/>
  <c r="I130" i="19"/>
  <c r="J130" i="19"/>
  <c r="H130" i="19"/>
  <c r="G130" i="19"/>
  <c r="N130" i="19"/>
  <c r="F130" i="19"/>
  <c r="M130" i="19"/>
  <c r="E130" i="19"/>
  <c r="L130" i="19"/>
  <c r="D130" i="19"/>
  <c r="BI67" i="55"/>
  <c r="BI61" i="55"/>
  <c r="BI79" i="55"/>
  <c r="BI73" i="55"/>
  <c r="K50" i="26" l="1"/>
  <c r="K7" i="26"/>
  <c r="K66" i="26"/>
  <c r="BK35" i="54" l="1"/>
  <c r="AW20" i="54"/>
  <c r="AX20" i="54"/>
  <c r="AY20" i="54"/>
  <c r="AZ20" i="54"/>
  <c r="BA20" i="54"/>
  <c r="BB20" i="54"/>
  <c r="BC20" i="54"/>
  <c r="BD20" i="54"/>
  <c r="BE20" i="54"/>
  <c r="BF20" i="54"/>
  <c r="BG20" i="54"/>
  <c r="BH20" i="54"/>
  <c r="BL20" i="54"/>
  <c r="BK20" i="54"/>
  <c r="AI20" i="54"/>
  <c r="AJ20" i="54"/>
  <c r="AK20" i="54"/>
  <c r="AL20" i="54"/>
  <c r="AM20" i="54"/>
  <c r="AN20" i="54"/>
  <c r="AO20" i="54"/>
  <c r="AP20" i="54"/>
  <c r="AQ20" i="54"/>
  <c r="AR20" i="54"/>
  <c r="AS20" i="54"/>
  <c r="AT20" i="54"/>
  <c r="BK16" i="54"/>
  <c r="BK25" i="54" s="1"/>
  <c r="BK34" i="54"/>
  <c r="BK33" i="54"/>
  <c r="BK31" i="54"/>
  <c r="BK30" i="54"/>
  <c r="BK29" i="54"/>
  <c r="BK28" i="54"/>
  <c r="BK27" i="54"/>
  <c r="BK26" i="54"/>
  <c r="BK24" i="54"/>
  <c r="BK23" i="54"/>
  <c r="BK21" i="54"/>
  <c r="BK19" i="54"/>
  <c r="BK18" i="54"/>
  <c r="BK17" i="54"/>
  <c r="AY104" i="54"/>
  <c r="BA104" i="54"/>
  <c r="BB104" i="54"/>
  <c r="BC104" i="54"/>
  <c r="BC101" i="54" s="1"/>
  <c r="BF104" i="54"/>
  <c r="BG104" i="54"/>
  <c r="BH104" i="54"/>
  <c r="AX101" i="54"/>
  <c r="AZ101" i="54"/>
  <c r="BD101" i="54"/>
  <c r="BE101" i="54"/>
  <c r="BK101" i="54"/>
  <c r="BL101" i="54"/>
  <c r="BD91" i="54"/>
  <c r="BE91" i="54"/>
  <c r="BK91" i="54"/>
  <c r="BL91" i="54"/>
  <c r="BD81" i="54"/>
  <c r="BE81" i="54"/>
  <c r="BK81" i="54"/>
  <c r="BL81" i="54"/>
  <c r="AZ71" i="54"/>
  <c r="BD71" i="54"/>
  <c r="BE71" i="54"/>
  <c r="BK71" i="54"/>
  <c r="BL71" i="54"/>
  <c r="AY64" i="54"/>
  <c r="AY61" i="54" s="1"/>
  <c r="AZ64" i="54"/>
  <c r="AZ61" i="54" s="1"/>
  <c r="BA64" i="54"/>
  <c r="BB64" i="54"/>
  <c r="BC64" i="54"/>
  <c r="BC61" i="54" s="1"/>
  <c r="BD64" i="54"/>
  <c r="BD61" i="54" s="1"/>
  <c r="BE64" i="54"/>
  <c r="BE61" i="54" s="1"/>
  <c r="BF64" i="54"/>
  <c r="BG64" i="54"/>
  <c r="BH64" i="54"/>
  <c r="AX64" i="54"/>
  <c r="AX61" i="54" s="1"/>
  <c r="BK61" i="54"/>
  <c r="BL61" i="54"/>
  <c r="BE52" i="54"/>
  <c r="BK52" i="54"/>
  <c r="BL52" i="54"/>
  <c r="BE42" i="54"/>
  <c r="BK42" i="54"/>
  <c r="BK22" i="54" s="1"/>
  <c r="BL42" i="54"/>
  <c r="BH26" i="54"/>
  <c r="BH16" i="54"/>
  <c r="BJ34" i="54"/>
  <c r="BK14" i="54" l="1"/>
  <c r="BK7" i="54"/>
  <c r="BK8" i="54"/>
  <c r="BK12" i="54"/>
  <c r="BK32" i="54"/>
  <c r="BK9" i="54"/>
  <c r="BI104" i="54"/>
  <c r="BK10" i="54"/>
  <c r="BK13" i="54"/>
  <c r="BK11" i="54"/>
  <c r="AY101" i="54"/>
  <c r="BJ104" i="54"/>
  <c r="BP20" i="43" l="1"/>
  <c r="BP21" i="43"/>
  <c r="BP22" i="43"/>
  <c r="BP23" i="43"/>
  <c r="BP24" i="43"/>
  <c r="BP25" i="43"/>
  <c r="BP26" i="43"/>
  <c r="BP27" i="43"/>
  <c r="BP28" i="43"/>
  <c r="BP29" i="43"/>
  <c r="BP30" i="43"/>
  <c r="BP31" i="43"/>
  <c r="BP19" i="43"/>
  <c r="BG20" i="43"/>
  <c r="BG21" i="43"/>
  <c r="BG22" i="43"/>
  <c r="BG23" i="43"/>
  <c r="BG24" i="43"/>
  <c r="BG25" i="43"/>
  <c r="BG26" i="43"/>
  <c r="BG27" i="43"/>
  <c r="BG28" i="43"/>
  <c r="BG29" i="43"/>
  <c r="BG30" i="43"/>
  <c r="BG31" i="43"/>
  <c r="BG19" i="43"/>
  <c r="BF19" i="43"/>
  <c r="M18" i="44" a="1"/>
  <c r="Z19" i="44" a="1"/>
  <c r="Z22" i="44" a="1"/>
  <c r="Z31" i="44" a="1"/>
  <c r="M14" i="44" a="1"/>
  <c r="M13" i="44" a="1"/>
  <c r="M31" i="44" a="1"/>
  <c r="Z25" i="44" a="1"/>
  <c r="Z23" i="44" a="1"/>
  <c r="M30" i="44" a="1"/>
  <c r="M7" i="44" a="1"/>
  <c r="M22" i="44" a="1"/>
  <c r="M12" i="44" a="1"/>
  <c r="M16" i="44" a="1"/>
  <c r="Z20" i="44" a="1"/>
  <c r="Z28" i="44" a="1"/>
  <c r="Z32" i="44" a="1"/>
  <c r="M32" i="44" a="1"/>
  <c r="M20" i="44" a="1"/>
  <c r="M21" i="44" a="1"/>
  <c r="Z27" i="44" a="1"/>
  <c r="M15" i="44" a="1"/>
  <c r="M8" i="44" a="1"/>
  <c r="M29" i="44" a="1"/>
  <c r="M19" i="44" a="1"/>
  <c r="Z30" i="44" a="1"/>
  <c r="M6" i="44" a="1"/>
  <c r="M28" i="44" a="1"/>
  <c r="Z24" i="44" a="1"/>
  <c r="Z29" i="44" a="1"/>
  <c r="M23" i="44" a="1"/>
  <c r="M27" i="44" a="1"/>
  <c r="M24" i="44" a="1"/>
  <c r="M9" i="44" a="1"/>
  <c r="Z33" i="44" a="1"/>
  <c r="M17" i="44" a="1"/>
  <c r="M25" i="44" a="1"/>
  <c r="Z26" i="44" a="1"/>
  <c r="M10" i="44" a="1"/>
  <c r="M11" i="44" a="1"/>
  <c r="Z21" i="44" a="1"/>
  <c r="Z26" i="44" l="1"/>
  <c r="Z19" i="44"/>
  <c r="Z29" i="44"/>
  <c r="Z32" i="44"/>
  <c r="Z20" i="44"/>
  <c r="Z24" i="44"/>
  <c r="Z28" i="44"/>
  <c r="Z22" i="44"/>
  <c r="Z31" i="44"/>
  <c r="Z33" i="44"/>
  <c r="Z27" i="44"/>
  <c r="Z21" i="44"/>
  <c r="Z30" i="44"/>
  <c r="Z23" i="44"/>
  <c r="Z25" i="44"/>
  <c r="M21" i="44"/>
  <c r="M12" i="44"/>
  <c r="M19" i="44"/>
  <c r="M10" i="44"/>
  <c r="M17" i="44"/>
  <c r="M32" i="44"/>
  <c r="M7" i="44"/>
  <c r="M30" i="44"/>
  <c r="M29" i="44"/>
  <c r="M28" i="44"/>
  <c r="M18" i="44"/>
  <c r="M9" i="44"/>
  <c r="M16" i="44"/>
  <c r="M23" i="44"/>
  <c r="M15" i="44"/>
  <c r="M13" i="44"/>
  <c r="M20" i="44"/>
  <c r="M11" i="44"/>
  <c r="M27" i="44"/>
  <c r="M25" i="44"/>
  <c r="M24" i="44"/>
  <c r="M8" i="44"/>
  <c r="M31" i="44"/>
  <c r="M22" i="44"/>
  <c r="M14" i="44"/>
  <c r="M6" i="44"/>
  <c r="BL22" i="47" l="1"/>
  <c r="BL23" i="47"/>
  <c r="AW50" i="47"/>
  <c r="AX50" i="47"/>
  <c r="AY50" i="47"/>
  <c r="AZ50" i="47"/>
  <c r="BA50" i="47"/>
  <c r="BB50" i="47"/>
  <c r="BC50" i="47"/>
  <c r="BD50" i="47"/>
  <c r="BE50" i="47"/>
  <c r="BF50" i="47"/>
  <c r="AV54" i="47"/>
  <c r="AW54" i="47"/>
  <c r="AX54" i="47"/>
  <c r="AY54" i="47"/>
  <c r="AZ54" i="47"/>
  <c r="BA54" i="47"/>
  <c r="BB54" i="47"/>
  <c r="BC54" i="47"/>
  <c r="BD54" i="47"/>
  <c r="BE54" i="47"/>
  <c r="BF54" i="47"/>
  <c r="AU54" i="47"/>
  <c r="AV50" i="47"/>
  <c r="AU50" i="47"/>
  <c r="AU25" i="47"/>
  <c r="AU16" i="47"/>
  <c r="AV6" i="47"/>
  <c r="BJ1" i="36" l="1"/>
  <c r="BI1" i="36"/>
  <c r="BO1" i="36"/>
  <c r="BN1" i="36"/>
  <c r="BM1" i="36"/>
  <c r="BL1" i="36"/>
  <c r="Q5" i="21"/>
  <c r="P5" i="50"/>
  <c r="O1" i="20"/>
  <c r="N1" i="20"/>
  <c r="S1" i="20"/>
  <c r="R1" i="20"/>
  <c r="P1" i="20"/>
  <c r="BJ1" i="53"/>
  <c r="BI1" i="53"/>
  <c r="Q1" i="20"/>
  <c r="BN1" i="53"/>
  <c r="BO1" i="53"/>
  <c r="BM1" i="53"/>
  <c r="BL1" i="53"/>
  <c r="P5" i="20"/>
  <c r="BO7" i="53"/>
  <c r="BM5" i="53"/>
  <c r="BN8" i="53"/>
  <c r="BN4" i="53"/>
  <c r="BI70" i="53"/>
  <c r="AX31" i="53"/>
  <c r="L30" i="21" a="1"/>
  <c r="J6" i="50" a="1"/>
  <c r="L34" i="50" a="1"/>
  <c r="I6" i="50" a="1"/>
  <c r="L11" i="50" a="1"/>
  <c r="L47" i="21" a="1"/>
  <c r="L7" i="21" a="1"/>
  <c r="L18" i="21" a="1"/>
  <c r="L53" i="21" a="1"/>
  <c r="L9" i="50" a="1"/>
  <c r="L26" i="21" a="1"/>
  <c r="L40" i="21" a="1"/>
  <c r="F6" i="50" a="1"/>
  <c r="L10" i="50" a="1"/>
  <c r="L51" i="21" a="1"/>
  <c r="L32" i="21" a="1"/>
  <c r="L36" i="21" a="1"/>
  <c r="L25" i="21" a="1"/>
  <c r="L34" i="21" a="1"/>
  <c r="L22" i="21" a="1"/>
  <c r="L35" i="21" a="1"/>
  <c r="L17" i="21" a="1"/>
  <c r="L29" i="50" a="1"/>
  <c r="L17" i="50" a="1"/>
  <c r="L8" i="21" a="1"/>
  <c r="L46" i="21" a="1"/>
  <c r="L37" i="50" a="1"/>
  <c r="L23" i="50" a="1"/>
  <c r="L30" i="50" a="1"/>
  <c r="L13" i="50" a="1"/>
  <c r="L28" i="50" a="1"/>
  <c r="L38" i="50" a="1"/>
  <c r="L43" i="21" a="1"/>
  <c r="L37" i="21" a="1"/>
  <c r="L14" i="21" a="1"/>
  <c r="L33" i="21" a="1"/>
  <c r="L52" i="21" a="1"/>
  <c r="L54" i="21" a="1"/>
  <c r="L50" i="21" a="1"/>
  <c r="L41" i="21" a="1"/>
  <c r="L24" i="21" a="1"/>
  <c r="L18" i="50" a="1"/>
  <c r="L9" i="21" a="1"/>
  <c r="L12" i="50" a="1"/>
  <c r="G6" i="50" a="1"/>
  <c r="L19" i="50" a="1"/>
  <c r="L12" i="21" a="1"/>
  <c r="L31" i="50" a="1"/>
  <c r="L14" i="50" a="1"/>
  <c r="L10" i="21" a="1"/>
  <c r="L33" i="50" a="1"/>
  <c r="L40" i="50" a="1"/>
  <c r="L55" i="21" a="1"/>
  <c r="L48" i="21" a="1"/>
  <c r="L22" i="50" a="1"/>
  <c r="L24" i="50" a="1"/>
  <c r="L39" i="21" a="1"/>
  <c r="L31" i="21" a="1"/>
  <c r="L29" i="21" a="1"/>
  <c r="H6" i="50" a="1"/>
  <c r="L7" i="50" a="1"/>
  <c r="L15" i="21" a="1"/>
  <c r="L45" i="21" a="1"/>
  <c r="L27" i="21" a="1"/>
  <c r="L41" i="50" a="1"/>
  <c r="L8" i="50" a="1"/>
  <c r="L25" i="50" a="1"/>
  <c r="L20" i="50" a="1"/>
  <c r="L21" i="50" a="1"/>
  <c r="L38" i="21" a="1"/>
  <c r="L13" i="21" a="1"/>
  <c r="L16" i="21" a="1"/>
  <c r="K6" i="50" a="1"/>
  <c r="L49" i="21" a="1"/>
  <c r="L42" i="21" a="1"/>
  <c r="L16" i="50" a="1"/>
  <c r="L27" i="50" a="1"/>
  <c r="L32" i="50" a="1"/>
  <c r="L19" i="21" a="1"/>
  <c r="L44" i="21" a="1"/>
  <c r="L28" i="21" a="1"/>
  <c r="L35" i="50" a="1"/>
  <c r="L11" i="21" a="1"/>
  <c r="L36" i="50" a="1"/>
  <c r="L23" i="21" a="1"/>
  <c r="L8" i="50" l="1"/>
  <c r="L18" i="50"/>
  <c r="L40" i="50"/>
  <c r="L9" i="50"/>
  <c r="L16" i="50"/>
  <c r="L24" i="50"/>
  <c r="L17" i="50"/>
  <c r="L34" i="50"/>
  <c r="L35" i="50"/>
  <c r="L19" i="50"/>
  <c r="L36" i="50"/>
  <c r="L11" i="50"/>
  <c r="L37" i="50"/>
  <c r="L12" i="50"/>
  <c r="L30" i="50"/>
  <c r="L22" i="50"/>
  <c r="L14" i="50"/>
  <c r="L23" i="50"/>
  <c r="L41" i="50"/>
  <c r="L7" i="50"/>
  <c r="L33" i="50"/>
  <c r="L25" i="50"/>
  <c r="L27" i="50"/>
  <c r="L10" i="50"/>
  <c r="L28" i="50"/>
  <c r="L20" i="50"/>
  <c r="L29" i="50"/>
  <c r="L21" i="50"/>
  <c r="L38" i="50"/>
  <c r="L13" i="50"/>
  <c r="L31" i="50"/>
  <c r="L32" i="50"/>
  <c r="G6" i="50"/>
  <c r="H6" i="50"/>
  <c r="F6" i="50"/>
  <c r="I6" i="50"/>
  <c r="J6" i="50"/>
  <c r="K6" i="50"/>
  <c r="L16" i="21"/>
  <c r="L32" i="21"/>
  <c r="L33" i="21"/>
  <c r="L42" i="21"/>
  <c r="L27" i="21"/>
  <c r="L28" i="21"/>
  <c r="L29" i="21"/>
  <c r="L38" i="21"/>
  <c r="L54" i="21"/>
  <c r="L24" i="21"/>
  <c r="L25" i="21"/>
  <c r="L26" i="21"/>
  <c r="L51" i="21"/>
  <c r="L36" i="21"/>
  <c r="L37" i="21"/>
  <c r="L46" i="21"/>
  <c r="L14" i="21"/>
  <c r="L40" i="21"/>
  <c r="L15" i="21"/>
  <c r="L41" i="21"/>
  <c r="L50" i="21"/>
  <c r="L9" i="21"/>
  <c r="L43" i="21"/>
  <c r="L10" i="21"/>
  <c r="L52" i="21"/>
  <c r="L11" i="21"/>
  <c r="L45" i="21"/>
  <c r="L22" i="21"/>
  <c r="L13" i="21"/>
  <c r="L31" i="21"/>
  <c r="L39" i="21"/>
  <c r="L55" i="21"/>
  <c r="L48" i="21"/>
  <c r="L7" i="21"/>
  <c r="L49" i="21"/>
  <c r="L8" i="21"/>
  <c r="L34" i="21"/>
  <c r="L17" i="21"/>
  <c r="L35" i="21"/>
  <c r="L18" i="21"/>
  <c r="L44" i="21"/>
  <c r="L19" i="21"/>
  <c r="L53" i="21"/>
  <c r="L12" i="21"/>
  <c r="L30" i="21"/>
  <c r="L23" i="21"/>
  <c r="L47" i="21"/>
  <c r="AX60" i="32" l="1"/>
  <c r="AY60" i="32"/>
  <c r="AZ60" i="32"/>
  <c r="BA60" i="32"/>
  <c r="BB60" i="32"/>
  <c r="BC60" i="32"/>
  <c r="BD60" i="32"/>
  <c r="BE60" i="32"/>
  <c r="BF60" i="32"/>
  <c r="BG60" i="32"/>
  <c r="BH60" i="32"/>
  <c r="AX61" i="32"/>
  <c r="AX62" i="32"/>
  <c r="AX63" i="32"/>
  <c r="AX64" i="32"/>
  <c r="AX65" i="32"/>
  <c r="AX54" i="32"/>
  <c r="AX55" i="32"/>
  <c r="AX56" i="32"/>
  <c r="AX57" i="32"/>
  <c r="AX58" i="32"/>
  <c r="AX59" i="32"/>
  <c r="AW14" i="56" l="1"/>
  <c r="AW13" i="56"/>
  <c r="BM188" i="22" l="1"/>
  <c r="BM189" i="22"/>
  <c r="BM190" i="22"/>
  <c r="BM191" i="22"/>
  <c r="BM192" i="22"/>
  <c r="BM193" i="22"/>
  <c r="BM194" i="22"/>
  <c r="BM195" i="22"/>
  <c r="BM196" i="22"/>
  <c r="BM197" i="22"/>
  <c r="BM198" i="22"/>
  <c r="BM199" i="22"/>
  <c r="BM200" i="22"/>
  <c r="BM201" i="22"/>
  <c r="BM202" i="22"/>
  <c r="BM203" i="22"/>
  <c r="BM155" i="22"/>
  <c r="BM156" i="22"/>
  <c r="BM157" i="22"/>
  <c r="BM158" i="22"/>
  <c r="BM159" i="22"/>
  <c r="BM160" i="22"/>
  <c r="BM161" i="22"/>
  <c r="BM162" i="22"/>
  <c r="BM163" i="22"/>
  <c r="BM164" i="22"/>
  <c r="BM165" i="22"/>
  <c r="BM166" i="22"/>
  <c r="BM167" i="22"/>
  <c r="BM168" i="22"/>
  <c r="BM169" i="22"/>
  <c r="BM170" i="22"/>
  <c r="BM291" i="24" l="1"/>
  <c r="BM146" i="24"/>
  <c r="BM144" i="24"/>
  <c r="BM100" i="24"/>
  <c r="BM12" i="24"/>
  <c r="CU3" i="45" l="1"/>
  <c r="CB14" i="45" l="1"/>
  <c r="CL214" i="45"/>
  <c r="CK214" i="45"/>
  <c r="CJ214" i="45"/>
  <c r="CO213" i="45"/>
  <c r="CN213" i="45"/>
  <c r="CG211" i="45"/>
  <c r="CF211" i="45"/>
  <c r="CO210" i="45"/>
  <c r="CL210" i="45"/>
  <c r="CK210" i="45"/>
  <c r="CJ210" i="45"/>
  <c r="CI210" i="45"/>
  <c r="CN209" i="45"/>
  <c r="CK209" i="45"/>
  <c r="CO204" i="45"/>
  <c r="CN204" i="45"/>
  <c r="CD204" i="45"/>
  <c r="CF200" i="45"/>
  <c r="CE200" i="45"/>
  <c r="CO199" i="45"/>
  <c r="CN199" i="45"/>
  <c r="CM199" i="45"/>
  <c r="CL199" i="45"/>
  <c r="CK199" i="45"/>
  <c r="CJ199" i="45"/>
  <c r="CI199" i="45"/>
  <c r="CH199" i="45"/>
  <c r="CG199" i="45"/>
  <c r="CF199" i="45"/>
  <c r="CE199" i="45"/>
  <c r="CO198" i="45"/>
  <c r="CN198" i="45"/>
  <c r="CM198" i="45"/>
  <c r="CF198" i="45"/>
  <c r="CN196" i="45"/>
  <c r="CK196" i="45"/>
  <c r="CH196" i="45"/>
  <c r="CG196" i="45"/>
  <c r="CE195" i="45"/>
  <c r="CD195" i="45"/>
  <c r="CO216" i="45"/>
  <c r="CN216" i="45"/>
  <c r="CM216" i="45"/>
  <c r="CL216" i="45"/>
  <c r="CK216" i="45"/>
  <c r="CJ216" i="45"/>
  <c r="CI216" i="45"/>
  <c r="CH216" i="45"/>
  <c r="CG216" i="45"/>
  <c r="CF216" i="45"/>
  <c r="CE216" i="45"/>
  <c r="CD216" i="45"/>
  <c r="CO215" i="45"/>
  <c r="CN215" i="45"/>
  <c r="CM215" i="45"/>
  <c r="CL215" i="45"/>
  <c r="CK215" i="45"/>
  <c r="CO214" i="45"/>
  <c r="CN214" i="45"/>
  <c r="CM213" i="45"/>
  <c r="CI213" i="45"/>
  <c r="CH214" i="45"/>
  <c r="CG214" i="45"/>
  <c r="CF214" i="45"/>
  <c r="CE214" i="45"/>
  <c r="CD214" i="45"/>
  <c r="CO211" i="45"/>
  <c r="CN211" i="45"/>
  <c r="CM211" i="45"/>
  <c r="CL211" i="45"/>
  <c r="CK211" i="45"/>
  <c r="CE211" i="45"/>
  <c r="CN210" i="45"/>
  <c r="CM210" i="45"/>
  <c r="CH210" i="45"/>
  <c r="CG210" i="45"/>
  <c r="CF210" i="45"/>
  <c r="CE210" i="45"/>
  <c r="CD210" i="45"/>
  <c r="CO209" i="45"/>
  <c r="CM209" i="45"/>
  <c r="CL209" i="45"/>
  <c r="CJ209" i="45"/>
  <c r="CI209" i="45"/>
  <c r="CH209" i="45"/>
  <c r="CG209" i="45"/>
  <c r="CF209" i="45"/>
  <c r="CE209" i="45"/>
  <c r="CD209" i="45"/>
  <c r="CO207" i="45"/>
  <c r="CN207" i="45"/>
  <c r="CM207" i="45"/>
  <c r="CH207" i="45"/>
  <c r="CG207" i="45"/>
  <c r="CF207" i="45"/>
  <c r="CE207" i="45"/>
  <c r="CF206" i="45"/>
  <c r="CE206" i="45"/>
  <c r="CM204" i="45"/>
  <c r="CL204" i="45"/>
  <c r="CK204" i="45"/>
  <c r="CJ204" i="45"/>
  <c r="CI204" i="45"/>
  <c r="CH204" i="45"/>
  <c r="CG204" i="45"/>
  <c r="CF204" i="45"/>
  <c r="CE204" i="45"/>
  <c r="CE203" i="45"/>
  <c r="CD203" i="45"/>
  <c r="CN203" i="45"/>
  <c r="CJ203" i="45"/>
  <c r="CI203" i="45"/>
  <c r="CH203" i="45"/>
  <c r="CO203" i="45"/>
  <c r="CO202" i="45"/>
  <c r="CN202" i="45"/>
  <c r="CM202" i="45"/>
  <c r="CL202" i="45"/>
  <c r="CH202" i="45"/>
  <c r="CG202" i="45"/>
  <c r="CE202" i="45"/>
  <c r="CD202" i="45"/>
  <c r="CO201" i="45"/>
  <c r="CN201" i="45"/>
  <c r="CM201" i="45"/>
  <c r="CL201" i="45"/>
  <c r="CN200" i="45"/>
  <c r="CM200" i="45"/>
  <c r="CL200" i="45"/>
  <c r="CK200" i="45"/>
  <c r="CJ200" i="45"/>
  <c r="CI200" i="45"/>
  <c r="CH200" i="45"/>
  <c r="CG200" i="45"/>
  <c r="CO197" i="45"/>
  <c r="CE196" i="45"/>
  <c r="CM194" i="45"/>
  <c r="CK195" i="45"/>
  <c r="CJ196" i="45"/>
  <c r="CI195" i="45"/>
  <c r="CH195" i="45"/>
  <c r="CF196" i="45"/>
  <c r="A2" i="58"/>
  <c r="AI61" i="34"/>
  <c r="AI1" i="34"/>
  <c r="AH1" i="34"/>
  <c r="CO206" i="45" l="1"/>
  <c r="CF203" i="45"/>
  <c r="CF215" i="45"/>
  <c r="CD212" i="45"/>
  <c r="CI202" i="45"/>
  <c r="CF202" i="45"/>
  <c r="CD213" i="45"/>
  <c r="CL198" i="45"/>
  <c r="CK203" i="45"/>
  <c r="CM214" i="45"/>
  <c r="CG203" i="45"/>
  <c r="CI196" i="45"/>
  <c r="CE213" i="45"/>
  <c r="CL203" i="45"/>
  <c r="CD207" i="45"/>
  <c r="CJ195" i="45"/>
  <c r="CE212" i="45"/>
  <c r="CF213" i="45"/>
  <c r="CG215" i="45"/>
  <c r="CH215" i="45"/>
  <c r="CK198" i="45"/>
  <c r="CK202" i="45"/>
  <c r="CD200" i="45"/>
  <c r="CJ213" i="45"/>
  <c r="CL213" i="45"/>
  <c r="CG195" i="45"/>
  <c r="CI212" i="45"/>
  <c r="CH201" i="45"/>
  <c r="CM206" i="45"/>
  <c r="CI207" i="45"/>
  <c r="CI201" i="45"/>
  <c r="CJ198" i="45"/>
  <c r="CH212" i="45"/>
  <c r="CO195" i="45"/>
  <c r="CO196" i="45"/>
  <c r="CF197" i="45"/>
  <c r="CG212" i="45"/>
  <c r="CG213" i="45"/>
  <c r="CH213" i="45"/>
  <c r="CD206" i="45"/>
  <c r="CO212" i="45"/>
  <c r="CE215" i="45"/>
  <c r="CJ207" i="45"/>
  <c r="CI198" i="45"/>
  <c r="CI197" i="45"/>
  <c r="CE201" i="45"/>
  <c r="CH206" i="45"/>
  <c r="CJ202" i="45"/>
  <c r="CI215" i="45"/>
  <c r="CO200" i="45"/>
  <c r="CE197" i="45"/>
  <c r="CE198" i="45"/>
  <c r="CF201" i="45"/>
  <c r="CF212" i="45"/>
  <c r="CG201" i="45"/>
  <c r="CK212" i="45"/>
  <c r="CK213" i="45"/>
  <c r="CF195" i="45"/>
  <c r="CJ206" i="45"/>
  <c r="CK207" i="45"/>
  <c r="CL207" i="45"/>
  <c r="CJ197" i="45"/>
  <c r="CL195" i="45"/>
  <c r="CL196" i="45"/>
  <c r="CD197" i="45"/>
  <c r="CD215" i="45"/>
  <c r="CM195" i="45"/>
  <c r="CM196" i="45"/>
  <c r="CG197" i="45"/>
  <c r="CG198" i="45"/>
  <c r="CN195" i="45"/>
  <c r="CH198" i="45"/>
  <c r="CM197" i="45"/>
  <c r="CI214" i="45"/>
  <c r="CD198" i="45"/>
  <c r="CD211" i="45"/>
  <c r="CH211" i="45"/>
  <c r="CI211" i="45"/>
  <c r="CJ211" i="45"/>
  <c r="CN212" i="45"/>
  <c r="CJ215" i="45"/>
  <c r="AN1" i="34"/>
  <c r="AJ61" i="34"/>
  <c r="AK61" i="34"/>
  <c r="AL61" i="34"/>
  <c r="AM61" i="34"/>
  <c r="AN61" i="34"/>
  <c r="AO61" i="34"/>
  <c r="AP61" i="34"/>
  <c r="AQ61" i="34"/>
  <c r="AR61" i="34"/>
  <c r="CD196" i="45" l="1"/>
  <c r="CJ212" i="45"/>
  <c r="CL212" i="45"/>
  <c r="CN206" i="45"/>
  <c r="CG206" i="45"/>
  <c r="CO194" i="45"/>
  <c r="CG194" i="45"/>
  <c r="CF194" i="45"/>
  <c r="CJ201" i="45"/>
  <c r="CN197" i="45"/>
  <c r="CM212" i="45"/>
  <c r="CE194" i="45"/>
  <c r="CL197" i="45"/>
  <c r="CD201" i="45"/>
  <c r="CH197" i="45"/>
  <c r="CM203" i="45"/>
  <c r="CK197" i="45"/>
  <c r="CN194" i="45"/>
  <c r="CL206" i="45"/>
  <c r="CD194" i="45"/>
  <c r="CI206" i="45"/>
  <c r="CK206" i="45"/>
  <c r="CK201" i="45"/>
  <c r="AH76" i="34"/>
  <c r="AI76" i="34"/>
  <c r="AI77" i="34" s="1"/>
  <c r="AJ76" i="34"/>
  <c r="AK76" i="34"/>
  <c r="AK77" i="34" s="1"/>
  <c r="AL76" i="34"/>
  <c r="AL77" i="34" s="1"/>
  <c r="AM76" i="34"/>
  <c r="AM77" i="34" s="1"/>
  <c r="AN76" i="34"/>
  <c r="AO76" i="34"/>
  <c r="AP76" i="34"/>
  <c r="AH77" i="34"/>
  <c r="CH194" i="45" l="1"/>
  <c r="CF205" i="45"/>
  <c r="CG205" i="45"/>
  <c r="CJ194" i="45"/>
  <c r="CM205" i="45"/>
  <c r="CE205" i="45"/>
  <c r="CK194" i="45"/>
  <c r="CL194" i="45"/>
  <c r="CO205" i="45"/>
  <c r="CD205" i="45"/>
  <c r="CN205" i="45"/>
  <c r="CI194" i="45"/>
  <c r="AJ1" i="34"/>
  <c r="CD199" i="45" l="1"/>
  <c r="CL205" i="45"/>
  <c r="CI205" i="45"/>
  <c r="CJ205" i="45"/>
  <c r="CK205" i="45"/>
  <c r="CH205" i="45"/>
  <c r="AK1" i="34"/>
  <c r="AL1" i="34"/>
  <c r="AM1" i="34"/>
  <c r="AO1" i="34"/>
  <c r="AP1" i="34"/>
  <c r="AQ1" i="34"/>
  <c r="AR1" i="34"/>
  <c r="AF94" i="34"/>
  <c r="BH33" i="45" l="1"/>
  <c r="BI33" i="45"/>
  <c r="BJ33" i="45"/>
  <c r="BK33" i="45"/>
  <c r="BL33" i="45"/>
  <c r="BH35" i="45" l="1"/>
  <c r="BF28" i="54" l="1"/>
  <c r="BG28" i="54"/>
  <c r="BH28" i="54"/>
  <c r="BF29" i="54"/>
  <c r="BG29" i="54"/>
  <c r="BH29" i="54"/>
  <c r="CB118" i="45" l="1"/>
  <c r="CB115" i="45"/>
  <c r="CB111" i="45"/>
  <c r="CB114" i="45" l="1"/>
  <c r="CB125" i="45"/>
  <c r="CB102" i="45" l="1"/>
  <c r="CB98" i="45"/>
  <c r="CB92" i="45"/>
  <c r="BQ92" i="45"/>
  <c r="BR92" i="45"/>
  <c r="BS92" i="45"/>
  <c r="BS90" i="45" s="1"/>
  <c r="BT92" i="45"/>
  <c r="BT90" i="45" s="1"/>
  <c r="BU92" i="45"/>
  <c r="BU90" i="45" s="1"/>
  <c r="BV92" i="45"/>
  <c r="BV90" i="45" s="1"/>
  <c r="BW92" i="45"/>
  <c r="BW90" i="45" s="1"/>
  <c r="BX92" i="45"/>
  <c r="BX90" i="45" s="1"/>
  <c r="BY92" i="45"/>
  <c r="BY90" i="45" s="1"/>
  <c r="BZ92" i="45"/>
  <c r="BZ90" i="45" s="1"/>
  <c r="CA92" i="45"/>
  <c r="CA90" i="45" s="1"/>
  <c r="BR90" i="45" l="1"/>
  <c r="BQ90" i="45"/>
  <c r="CB90" i="45"/>
  <c r="CB97" i="45" s="1"/>
  <c r="CB82" i="45"/>
  <c r="CB81" i="45"/>
  <c r="CB76" i="45"/>
  <c r="CB49" i="45"/>
  <c r="CB48" i="45"/>
  <c r="CB107" i="45" l="1"/>
  <c r="CB38" i="45" l="1"/>
  <c r="CB36" i="45"/>
  <c r="CB43" i="45" l="1"/>
  <c r="CB13" i="45" l="1"/>
  <c r="CB10" i="45"/>
  <c r="CB6" i="45"/>
  <c r="CB5" i="45" l="1"/>
  <c r="CB20" i="45"/>
  <c r="CB78" i="45" l="1"/>
  <c r="CB88" i="45" l="1"/>
  <c r="BH49" i="55" l="1"/>
  <c r="BH54" i="55"/>
  <c r="BH53" i="55"/>
  <c r="BH52" i="55"/>
  <c r="BH51" i="55"/>
  <c r="BH55" i="55"/>
  <c r="BH13" i="55" s="1"/>
  <c r="BH6" i="55" s="1"/>
  <c r="BX127" i="45"/>
  <c r="BY127" i="45"/>
  <c r="BZ127" i="45"/>
  <c r="CA127" i="45"/>
  <c r="BV127" i="45"/>
  <c r="BW127" i="45"/>
  <c r="BR127" i="45"/>
  <c r="BS127" i="45"/>
  <c r="BT127" i="45"/>
  <c r="BU127" i="45"/>
  <c r="BQ127" i="45"/>
  <c r="BH9" i="55" l="1"/>
  <c r="BH10" i="55"/>
  <c r="BH11" i="55"/>
  <c r="BH12" i="55"/>
  <c r="BH18" i="54"/>
  <c r="BH19" i="54"/>
  <c r="BH10" i="54" s="1"/>
  <c r="BH21" i="54"/>
  <c r="BH23" i="54"/>
  <c r="BH24" i="54"/>
  <c r="BH30" i="54"/>
  <c r="BH31" i="54"/>
  <c r="BH33" i="54"/>
  <c r="BH34" i="54"/>
  <c r="BG96" i="54"/>
  <c r="BG101" i="54" s="1"/>
  <c r="BH96" i="54"/>
  <c r="BH101" i="54" s="1"/>
  <c r="BI98" i="54"/>
  <c r="BG86" i="54"/>
  <c r="BH86" i="54"/>
  <c r="M49" i="26" a="1"/>
  <c r="N64" i="19" a="1"/>
  <c r="BH14" i="54" l="1"/>
  <c r="BH12" i="54"/>
  <c r="BH11" i="54"/>
  <c r="BH9" i="54"/>
  <c r="BH7" i="54"/>
  <c r="BK15" i="54" s="1"/>
  <c r="N64" i="19"/>
  <c r="M49" i="26"/>
  <c r="BH56" i="54"/>
  <c r="BH47" i="54"/>
  <c r="BH45" i="54"/>
  <c r="BH37" i="54"/>
  <c r="BH17" i="54" s="1"/>
  <c r="BH42" i="54" l="1"/>
  <c r="BH27" i="54"/>
  <c r="BH8" i="54" s="1"/>
  <c r="BH61" i="54"/>
  <c r="BP110" i="34"/>
  <c r="BP118" i="34" l="1"/>
  <c r="BP117" i="34"/>
  <c r="BP116" i="34"/>
  <c r="BP115" i="34"/>
  <c r="BP114" i="34"/>
  <c r="BP113" i="34"/>
  <c r="BP112" i="34"/>
  <c r="BP111" i="34"/>
  <c r="BP109" i="34"/>
  <c r="BP108" i="34"/>
  <c r="BP107" i="34"/>
  <c r="BP105" i="34"/>
  <c r="BP104" i="34"/>
  <c r="BH84" i="54"/>
  <c r="BH81" i="54" s="1"/>
  <c r="BH74" i="54"/>
  <c r="BH71" i="54" s="1"/>
  <c r="BH94" i="54"/>
  <c r="BH54" i="54"/>
  <c r="BH52" i="54" s="1"/>
  <c r="BH91" i="54" l="1"/>
  <c r="BH35" i="54"/>
  <c r="BH32" i="54"/>
  <c r="BH22" i="54"/>
  <c r="BH13" i="54" l="1"/>
  <c r="CE7" i="54"/>
  <c r="CH16" i="43"/>
  <c r="CI16" i="43" s="1"/>
  <c r="CH15" i="43"/>
  <c r="CI15" i="43" s="1"/>
  <c r="CH12" i="43"/>
  <c r="CI12" i="43" s="1"/>
  <c r="CH11" i="43"/>
  <c r="CI11" i="43" s="1"/>
  <c r="CH10" i="43"/>
  <c r="CI10" i="43" s="1"/>
  <c r="CH9" i="43"/>
  <c r="CI9" i="43" s="1"/>
  <c r="CH8" i="43"/>
  <c r="CI8" i="43" s="1"/>
  <c r="CH7" i="43"/>
  <c r="CI7" i="43" s="1"/>
  <c r="CH6" i="43"/>
  <c r="CI6" i="43" s="1"/>
  <c r="CH5" i="43"/>
  <c r="CI5" i="43" s="1"/>
  <c r="BY48" i="45" l="1"/>
  <c r="BZ48" i="45"/>
  <c r="CA48" i="45"/>
  <c r="CA118" i="45"/>
  <c r="CA115" i="45"/>
  <c r="CA111" i="45"/>
  <c r="CA102" i="45"/>
  <c r="CA98" i="45"/>
  <c r="CA97" i="45" l="1"/>
  <c r="CA114" i="45"/>
  <c r="CA125" i="45" l="1"/>
  <c r="CA107" i="45"/>
  <c r="CA82" i="45" l="1"/>
  <c r="CA81" i="45"/>
  <c r="CA76" i="45"/>
  <c r="CA65" i="45"/>
  <c r="CA61" i="45"/>
  <c r="CA55" i="45"/>
  <c r="CA43" i="45" l="1"/>
  <c r="CA49" i="45"/>
  <c r="CA36" i="45"/>
  <c r="CA14" i="45" l="1"/>
  <c r="CA13" i="45" l="1"/>
  <c r="CA6" i="45"/>
  <c r="CA20" i="45" l="1"/>
  <c r="CA10" i="45"/>
  <c r="CA5" i="45"/>
  <c r="CA78" i="45" l="1"/>
  <c r="M64" i="19" a="1"/>
  <c r="CA88" i="45" l="1"/>
  <c r="M64" i="19"/>
  <c r="L49" i="26" a="1"/>
  <c r="L49" i="26" l="1"/>
  <c r="AF57" i="56"/>
  <c r="AE57" i="56"/>
  <c r="Q57" i="56"/>
  <c r="P57" i="56"/>
  <c r="AF56" i="56"/>
  <c r="AE56" i="56"/>
  <c r="Q56" i="56"/>
  <c r="P56" i="56"/>
  <c r="AF55" i="56"/>
  <c r="AE55" i="56"/>
  <c r="Q55" i="56"/>
  <c r="P55" i="56"/>
  <c r="AF54" i="56"/>
  <c r="AE54" i="56"/>
  <c r="Q54" i="56"/>
  <c r="P54" i="56"/>
  <c r="AF53" i="56"/>
  <c r="AE53" i="56"/>
  <c r="Q53" i="56"/>
  <c r="P53" i="56"/>
  <c r="AF52" i="56"/>
  <c r="AE52" i="56"/>
  <c r="Q52" i="56"/>
  <c r="P52" i="56"/>
  <c r="AF51" i="56"/>
  <c r="AE51" i="56"/>
  <c r="Q51" i="56"/>
  <c r="P51" i="56"/>
  <c r="AF50" i="56"/>
  <c r="AE50" i="56"/>
  <c r="Q50" i="56"/>
  <c r="P50" i="56"/>
  <c r="AF49" i="56"/>
  <c r="AE49" i="56"/>
  <c r="Q49" i="56"/>
  <c r="P49" i="56"/>
  <c r="AF48" i="56"/>
  <c r="AE48" i="56"/>
  <c r="Q48" i="56"/>
  <c r="P48" i="56"/>
  <c r="AF47" i="56"/>
  <c r="AE47" i="56"/>
  <c r="Q47" i="56"/>
  <c r="P47" i="56"/>
  <c r="AF46" i="56"/>
  <c r="AE46" i="56"/>
  <c r="Q46" i="56"/>
  <c r="P46" i="56"/>
  <c r="AF45" i="56"/>
  <c r="AE45" i="56"/>
  <c r="Q45" i="56"/>
  <c r="P45" i="56"/>
  <c r="AF44" i="56"/>
  <c r="AE44" i="56"/>
  <c r="Q44" i="56"/>
  <c r="P44" i="56"/>
  <c r="AF43" i="56"/>
  <c r="AE43" i="56"/>
  <c r="Q43" i="56"/>
  <c r="P43" i="56"/>
  <c r="AF42" i="56"/>
  <c r="AE42" i="56"/>
  <c r="Q42" i="56"/>
  <c r="P42" i="56"/>
  <c r="AF41" i="56"/>
  <c r="AE41" i="56"/>
  <c r="Q41" i="56"/>
  <c r="P41" i="56"/>
  <c r="AF40" i="56"/>
  <c r="AE40" i="56"/>
  <c r="Q40" i="56"/>
  <c r="P40" i="56"/>
  <c r="BG61" i="22" l="1"/>
  <c r="BG62" i="22"/>
  <c r="BG63" i="22"/>
  <c r="BG64" i="22"/>
  <c r="BG65" i="22"/>
  <c r="BG66" i="22"/>
  <c r="BG67" i="22"/>
  <c r="BG68" i="22"/>
  <c r="BG69" i="22"/>
  <c r="BG70" i="22"/>
  <c r="BG71" i="22"/>
  <c r="BG72" i="22"/>
  <c r="BG73" i="22"/>
  <c r="BG74" i="22"/>
  <c r="BG75" i="22"/>
  <c r="BG76" i="22"/>
  <c r="BG77" i="22"/>
  <c r="BG78" i="22"/>
  <c r="BG79" i="22"/>
  <c r="BG16" i="54" l="1"/>
  <c r="BH25" i="54" s="1"/>
  <c r="BG18" i="54"/>
  <c r="BG19" i="54"/>
  <c r="BG10" i="54" s="1"/>
  <c r="BG21" i="54"/>
  <c r="BG23" i="54"/>
  <c r="BG24" i="54"/>
  <c r="BG26" i="54"/>
  <c r="BG7" i="54" s="1"/>
  <c r="BG9" i="54"/>
  <c r="BG30" i="54"/>
  <c r="BG11" i="54" s="1"/>
  <c r="BG31" i="54"/>
  <c r="BG33" i="54"/>
  <c r="BG14" i="54" s="1"/>
  <c r="BG34" i="54"/>
  <c r="BG94" i="54"/>
  <c r="BG91" i="54" s="1"/>
  <c r="BG84" i="54"/>
  <c r="BG81" i="54" s="1"/>
  <c r="BG74" i="54"/>
  <c r="BG71" i="54" s="1"/>
  <c r="BG54" i="54"/>
  <c r="BG52" i="54" s="1"/>
  <c r="BG45" i="54"/>
  <c r="BG37" i="54"/>
  <c r="BG47" i="54"/>
  <c r="BG42" i="54" l="1"/>
  <c r="BG12" i="54"/>
  <c r="BH15" i="54"/>
  <c r="BG35" i="54"/>
  <c r="BG17" i="54"/>
  <c r="AF10" i="56" l="1"/>
  <c r="B1" i="53" l="1"/>
  <c r="B2" i="22"/>
  <c r="B1" i="34"/>
  <c r="B1" i="47"/>
  <c r="B1" i="33"/>
  <c r="B1" i="32"/>
  <c r="CA191" i="22" l="1"/>
  <c r="CD208" i="22"/>
  <c r="CD4" i="22"/>
  <c r="B1" i="56"/>
  <c r="CA4" i="22"/>
  <c r="CC140" i="22"/>
  <c r="CC220" i="22"/>
  <c r="CC284" i="22"/>
  <c r="CC348" i="22"/>
  <c r="CC412" i="22"/>
  <c r="CC117" i="22"/>
  <c r="CD272" i="22"/>
  <c r="CA371" i="22"/>
  <c r="CA125" i="22"/>
  <c r="CD72" i="22"/>
  <c r="CA248" i="22"/>
  <c r="CA342" i="22"/>
  <c r="CC430" i="22"/>
  <c r="CC249" i="22"/>
  <c r="CD342" i="22"/>
  <c r="CA85" i="22"/>
  <c r="CA235" i="22"/>
  <c r="CA357" i="22"/>
  <c r="CD116" i="22"/>
  <c r="CD54" i="22"/>
  <c r="CD227" i="22"/>
  <c r="CA339" i="22"/>
  <c r="CA91" i="22"/>
  <c r="CA187" i="22"/>
  <c r="CC235" i="22"/>
  <c r="CC345" i="22"/>
  <c r="CD117" i="22"/>
  <c r="CC40" i="22"/>
  <c r="CD235" i="22"/>
  <c r="CD351" i="22"/>
  <c r="CA102" i="22"/>
  <c r="CD222" i="22"/>
  <c r="CA346" i="22"/>
  <c r="CA97" i="22"/>
  <c r="CD226" i="22"/>
  <c r="CD396" i="22"/>
  <c r="CC55" i="22"/>
  <c r="CA417" i="22"/>
  <c r="CA256" i="22"/>
  <c r="CD404" i="22"/>
  <c r="CC61" i="22"/>
  <c r="CD211" i="22"/>
  <c r="CA238" i="22"/>
  <c r="CD414" i="22"/>
  <c r="CC74" i="22"/>
  <c r="CC18" i="22"/>
  <c r="CD329" i="22"/>
  <c r="CC230" i="22"/>
  <c r="CD389" i="22"/>
  <c r="CD265" i="22"/>
  <c r="CA87" i="22"/>
  <c r="CC301" i="22"/>
  <c r="CC334" i="22"/>
  <c r="CA22" i="22"/>
  <c r="CA120" i="22"/>
  <c r="CD312" i="22"/>
  <c r="CA200" i="22"/>
  <c r="CC56" i="22"/>
  <c r="CA156" i="22"/>
  <c r="CD428" i="22"/>
  <c r="CA92" i="22"/>
  <c r="CC178" i="22"/>
  <c r="CD212" i="22"/>
  <c r="CA185" i="22"/>
  <c r="CA396" i="22"/>
  <c r="CD313" i="22"/>
  <c r="CD14" i="22"/>
  <c r="CC427" i="22"/>
  <c r="CA428" i="22"/>
  <c r="CC69" i="22"/>
  <c r="CA134" i="22"/>
  <c r="CD252" i="22"/>
  <c r="CA385" i="22"/>
  <c r="CD310" i="22"/>
  <c r="CA416" i="22"/>
  <c r="CD10" i="22"/>
  <c r="CA79" i="22"/>
  <c r="CD134" i="22"/>
  <c r="CC269" i="22"/>
  <c r="CA119" i="22"/>
  <c r="CC50" i="22"/>
  <c r="CC137" i="22"/>
  <c r="CC393" i="22"/>
  <c r="CC127" i="22"/>
  <c r="CA158" i="22"/>
  <c r="CC138" i="22"/>
  <c r="CA290" i="22"/>
  <c r="CD299" i="22"/>
  <c r="CD291" i="22"/>
  <c r="CC398" i="22"/>
  <c r="CA329" i="22"/>
  <c r="CA83" i="22"/>
  <c r="CC349" i="22"/>
  <c r="CC21" i="22"/>
  <c r="CD144" i="22"/>
  <c r="CD359" i="22"/>
  <c r="CC100" i="22"/>
  <c r="CD213" i="22"/>
  <c r="CD48" i="22"/>
  <c r="CC283" i="22"/>
  <c r="CA399" i="22"/>
  <c r="CD132" i="22"/>
  <c r="CA16" i="22"/>
  <c r="CD273" i="22"/>
  <c r="CA40" i="22"/>
  <c r="CD307" i="22"/>
  <c r="CA300" i="22"/>
  <c r="CD146" i="22"/>
  <c r="CA336" i="22"/>
  <c r="CD104" i="22"/>
  <c r="CC263" i="22"/>
  <c r="CC322" i="22"/>
  <c r="CD15" i="22"/>
  <c r="CC104" i="22"/>
  <c r="CC218" i="22"/>
  <c r="CC381" i="22"/>
  <c r="CD295" i="22"/>
  <c r="CD284" i="22"/>
  <c r="CA394" i="22"/>
  <c r="CC406" i="22"/>
  <c r="CC35" i="22"/>
  <c r="CD268" i="22"/>
  <c r="CC318" i="22"/>
  <c r="CA293" i="22"/>
  <c r="CA169" i="22"/>
  <c r="CC17" i="22"/>
  <c r="CD9" i="22"/>
  <c r="CA225" i="22"/>
  <c r="CC316" i="22"/>
  <c r="CA228" i="22"/>
  <c r="CA173" i="22"/>
  <c r="CD293" i="22"/>
  <c r="CD59" i="22"/>
  <c r="CC12" i="22"/>
  <c r="CA285" i="22"/>
  <c r="CA297" i="22"/>
  <c r="CA400" i="22"/>
  <c r="CA122" i="22"/>
  <c r="CD325" i="22"/>
  <c r="CD145" i="22"/>
  <c r="CD300" i="22"/>
  <c r="CA277" i="22"/>
  <c r="CA271" i="22"/>
  <c r="CC355" i="22"/>
  <c r="CD269" i="22"/>
  <c r="CA147" i="22"/>
  <c r="CC176" i="22"/>
  <c r="CC89" i="22"/>
  <c r="CD36" i="22"/>
  <c r="CA397" i="22"/>
  <c r="CC429" i="22"/>
  <c r="CC405" i="22"/>
  <c r="CC303" i="22"/>
  <c r="CC80" i="22"/>
  <c r="CC144" i="22"/>
  <c r="CC224" i="22"/>
  <c r="CC288" i="22"/>
  <c r="CC352" i="22"/>
  <c r="CC416" i="22"/>
  <c r="CC121" i="22"/>
  <c r="CD277" i="22"/>
  <c r="CD375" i="22"/>
  <c r="CD129" i="22"/>
  <c r="CD68" i="22"/>
  <c r="CC253" i="22"/>
  <c r="CD346" i="22"/>
  <c r="CC79" i="22"/>
  <c r="CA259" i="22"/>
  <c r="CC347" i="22"/>
  <c r="CD89" i="22"/>
  <c r="CA195" i="22"/>
  <c r="CC241" i="22"/>
  <c r="CA363" i="22"/>
  <c r="CD137" i="22"/>
  <c r="CD45" i="22"/>
  <c r="CD241" i="22"/>
  <c r="CA345" i="22"/>
  <c r="CA96" i="22"/>
  <c r="CA242" i="22"/>
  <c r="CA351" i="22"/>
  <c r="CD122" i="22"/>
  <c r="CA36" i="22"/>
  <c r="CA249" i="22"/>
  <c r="CD363" i="22"/>
  <c r="CD112" i="22"/>
  <c r="CA236" i="22"/>
  <c r="CA352" i="22"/>
  <c r="CC102" i="22"/>
  <c r="CC76" i="22"/>
  <c r="CC237" i="22"/>
  <c r="CA404" i="22"/>
  <c r="CC48" i="22"/>
  <c r="CC87" i="22"/>
  <c r="CD264" i="22"/>
  <c r="CC414" i="22"/>
  <c r="CA35" i="22"/>
  <c r="CA286" i="22"/>
  <c r="CD246" i="22"/>
  <c r="CA423" i="22"/>
  <c r="CA67" i="22"/>
  <c r="CD7" i="22"/>
  <c r="CC373" i="22"/>
  <c r="CA239" i="22"/>
  <c r="CA398" i="22"/>
  <c r="CD66" i="22"/>
  <c r="CC293" i="22"/>
  <c r="CA94" i="22"/>
  <c r="CA347" i="22"/>
  <c r="CC73" i="22"/>
  <c r="CA368" i="22"/>
  <c r="CD11" i="22"/>
  <c r="CC171" i="22"/>
  <c r="CA348" i="22"/>
  <c r="CD5" i="22"/>
  <c r="CD280" i="22"/>
  <c r="CA170" i="22"/>
  <c r="CA90" i="22"/>
  <c r="CD175" i="22"/>
  <c r="CC33" i="22"/>
  <c r="CD231" i="22"/>
  <c r="CA65" i="22"/>
  <c r="CD19" i="22"/>
  <c r="CA414" i="22"/>
  <c r="CA384" i="22"/>
  <c r="CC262" i="22"/>
  <c r="CD88" i="22"/>
  <c r="CA171" i="22"/>
  <c r="CD298" i="22"/>
  <c r="CA145" i="22"/>
  <c r="CC413" i="22"/>
  <c r="CC70" i="22"/>
  <c r="CC82" i="22"/>
  <c r="CA415" i="22"/>
  <c r="CD22" i="22"/>
  <c r="CD253" i="22"/>
  <c r="CA78" i="22"/>
  <c r="CD384" i="22"/>
  <c r="CA378" i="22"/>
  <c r="CA111" i="22"/>
  <c r="CC213" i="22"/>
  <c r="CD78" i="22"/>
  <c r="CA307" i="22"/>
  <c r="CD121" i="22"/>
  <c r="CA167" i="22"/>
  <c r="CD271" i="22"/>
  <c r="CC266" i="22"/>
  <c r="CA388" i="22"/>
  <c r="CD382" i="22"/>
  <c r="CC99" i="22"/>
  <c r="CD140" i="22"/>
  <c r="CC118" i="22"/>
  <c r="CD131" i="22"/>
  <c r="CD105" i="22"/>
  <c r="CA395" i="22"/>
  <c r="CD304" i="22"/>
  <c r="CC14" i="22"/>
  <c r="CC57" i="22"/>
  <c r="CD311" i="22"/>
  <c r="CA376" i="22"/>
  <c r="CD130" i="22"/>
  <c r="CA284" i="22"/>
  <c r="CC278" i="22"/>
  <c r="CA272" i="22"/>
  <c r="CD399" i="22"/>
  <c r="CD388" i="22"/>
  <c r="CD364" i="22"/>
  <c r="CA115" i="22"/>
  <c r="CD123" i="22"/>
  <c r="CD93" i="22"/>
  <c r="CA276" i="22"/>
  <c r="CA176" i="22"/>
  <c r="CA11" i="22"/>
  <c r="CA270" i="22"/>
  <c r="CD315" i="22"/>
  <c r="CA317" i="22"/>
  <c r="CD44" i="22"/>
  <c r="CD288" i="22"/>
  <c r="CD63" i="22"/>
  <c r="CC16" i="22"/>
  <c r="CA279" i="22"/>
  <c r="CA291" i="22"/>
  <c r="CC394" i="22"/>
  <c r="CA408" i="22"/>
  <c r="CC123" i="22"/>
  <c r="CD24" i="22"/>
  <c r="CA109" i="22"/>
  <c r="CD319" i="22"/>
  <c r="CD57" i="22"/>
  <c r="CA21" i="22"/>
  <c r="CC338" i="22"/>
  <c r="CA232" i="22"/>
  <c r="CA287" i="22"/>
  <c r="CD367" i="22"/>
  <c r="CC252" i="22"/>
  <c r="CA322" i="22"/>
  <c r="CD40" i="22"/>
  <c r="CC243" i="22"/>
  <c r="CA302" i="22"/>
  <c r="CC290" i="22"/>
  <c r="CA8" i="22"/>
  <c r="CD172" i="22"/>
  <c r="CD317" i="22"/>
  <c r="CA304" i="22"/>
  <c r="CA326" i="22"/>
  <c r="CD362" i="22"/>
  <c r="CA142" i="22"/>
  <c r="CA151" i="22"/>
  <c r="CD81" i="22"/>
  <c r="CC217" i="22"/>
  <c r="CC305" i="22"/>
  <c r="CC256" i="22"/>
  <c r="CD326" i="22"/>
  <c r="CC181" i="22"/>
  <c r="CC298" i="22"/>
  <c r="CC186" i="22"/>
  <c r="CD290" i="22"/>
  <c r="CA163" i="22"/>
  <c r="CC84" i="22"/>
  <c r="CC148" i="22"/>
  <c r="CC228" i="22"/>
  <c r="CC292" i="22"/>
  <c r="CC356" i="22"/>
  <c r="CC420" i="22"/>
  <c r="CC125" i="22"/>
  <c r="CC282" i="22"/>
  <c r="CA381" i="22"/>
  <c r="CD138" i="22"/>
  <c r="CD64" i="22"/>
  <c r="CA263" i="22"/>
  <c r="CC351" i="22"/>
  <c r="CA84" i="22"/>
  <c r="CD263" i="22"/>
  <c r="CD352" i="22"/>
  <c r="CD98" i="22"/>
  <c r="CA199" i="22"/>
  <c r="CA254" i="22"/>
  <c r="CA369" i="22"/>
  <c r="CC142" i="22"/>
  <c r="CC36" i="22"/>
  <c r="CC247" i="22"/>
  <c r="CD350" i="22"/>
  <c r="CC106" i="22"/>
  <c r="CD248" i="22"/>
  <c r="CA358" i="22"/>
  <c r="CD127" i="22"/>
  <c r="CA32" i="22"/>
  <c r="CA255" i="22"/>
  <c r="CA370" i="22"/>
  <c r="CA118" i="22"/>
  <c r="CC242" i="22"/>
  <c r="CC358" i="22"/>
  <c r="CC107" i="22"/>
  <c r="CA72" i="22"/>
  <c r="CD255" i="22"/>
  <c r="CC422" i="22"/>
  <c r="CC42" i="22"/>
  <c r="CA132" i="22"/>
  <c r="CC274" i="22"/>
  <c r="CD422" i="22"/>
  <c r="CA30" i="22"/>
  <c r="CD337" i="22"/>
  <c r="CD256" i="22"/>
  <c r="CA433" i="22"/>
  <c r="CA55" i="22"/>
  <c r="CC211" i="22"/>
  <c r="CC390" i="22"/>
  <c r="CA247" i="22"/>
  <c r="CC407" i="22"/>
  <c r="CD41" i="22"/>
  <c r="CA301" i="22"/>
  <c r="CD100" i="22"/>
  <c r="CA380" i="22"/>
  <c r="CD46" i="22"/>
  <c r="CD385" i="22"/>
  <c r="CA38" i="22"/>
  <c r="CD401" i="22"/>
  <c r="CD279" i="22"/>
  <c r="CA332" i="22"/>
  <c r="CD179" i="22"/>
  <c r="CA105" i="22"/>
  <c r="CA49" i="22"/>
  <c r="CD244" i="22"/>
  <c r="CA251" i="22"/>
  <c r="CA52" i="22"/>
  <c r="CA217" i="22"/>
  <c r="CA106" i="22"/>
  <c r="CA82" i="22"/>
  <c r="CC385" i="22"/>
  <c r="CA104" i="22"/>
  <c r="CC38" i="22"/>
  <c r="CA135" i="22"/>
  <c r="CC259" i="22"/>
  <c r="CA155" i="22"/>
  <c r="CA257" i="22"/>
  <c r="CC403" i="22"/>
  <c r="CA314" i="22"/>
  <c r="CA223" i="22"/>
  <c r="CD42" i="22"/>
  <c r="CA121" i="22"/>
  <c r="CA288" i="22"/>
  <c r="CD287" i="22"/>
  <c r="CC330" i="22"/>
  <c r="CC395" i="22"/>
  <c r="CC271" i="22"/>
  <c r="CA375" i="22"/>
  <c r="CA382" i="22"/>
  <c r="CA20" i="22"/>
  <c r="CA267" i="22"/>
  <c r="CC44" i="22"/>
  <c r="CD99" i="22"/>
  <c r="CD108" i="22"/>
  <c r="CA275" i="22"/>
  <c r="CA140" i="22"/>
  <c r="CA377" i="22"/>
  <c r="CD21" i="22"/>
  <c r="CD69" i="22"/>
  <c r="CA186" i="22"/>
  <c r="CC245" i="22"/>
  <c r="CC308" i="22"/>
  <c r="CD400" i="22"/>
  <c r="CD282" i="22"/>
  <c r="CC377" i="22"/>
  <c r="CD171" i="22"/>
  <c r="CD381" i="22"/>
  <c r="CC143" i="22"/>
  <c r="CC299" i="22"/>
  <c r="CA283" i="22"/>
  <c r="CA162" i="22"/>
  <c r="CC75" i="22"/>
  <c r="CA27" i="22"/>
  <c r="CA213" i="22"/>
  <c r="CD413" i="22"/>
  <c r="CC248" i="22"/>
  <c r="CD405" i="22"/>
  <c r="CC287" i="22"/>
  <c r="CA387" i="22"/>
  <c r="CA405" i="22"/>
  <c r="CA138" i="22"/>
  <c r="CC153" i="22"/>
  <c r="CC307" i="22"/>
  <c r="CC52" i="22"/>
  <c r="CA161" i="22"/>
  <c r="CC250" i="22"/>
  <c r="CD128" i="22"/>
  <c r="CD419" i="22"/>
  <c r="CC367" i="22"/>
  <c r="CC6" i="22"/>
  <c r="CA359" i="22"/>
  <c r="CC172" i="22"/>
  <c r="CC410" i="22"/>
  <c r="CA391" i="22"/>
  <c r="CA144" i="22"/>
  <c r="CD181" i="22"/>
  <c r="CD142" i="22"/>
  <c r="CC177" i="22"/>
  <c r="CD285" i="22"/>
  <c r="CD124" i="22"/>
  <c r="CD220" i="22"/>
  <c r="CD18" i="22"/>
  <c r="CC115" i="22"/>
  <c r="CC365" i="22"/>
  <c r="CD316" i="22"/>
  <c r="CD113" i="22"/>
  <c r="CD25" i="22"/>
  <c r="CD289" i="22"/>
  <c r="CA349" i="22"/>
  <c r="CC112" i="22"/>
  <c r="CA420" i="22"/>
  <c r="CD297" i="22"/>
  <c r="CA210" i="22"/>
  <c r="CD55" i="22"/>
  <c r="CC8" i="22"/>
  <c r="CA412" i="22"/>
  <c r="CC418" i="22"/>
  <c r="CC88" i="22"/>
  <c r="CC152" i="22"/>
  <c r="CC232" i="22"/>
  <c r="CC296" i="22"/>
  <c r="CC360" i="22"/>
  <c r="CC424" i="22"/>
  <c r="CC129" i="22"/>
  <c r="CA292" i="22"/>
  <c r="CA386" i="22"/>
  <c r="CA143" i="22"/>
  <c r="CD60" i="22"/>
  <c r="CD267" i="22"/>
  <c r="CD356" i="22"/>
  <c r="CA219" i="22"/>
  <c r="CA269" i="22"/>
  <c r="CD357" i="22"/>
  <c r="CD107" i="22"/>
  <c r="CA203" i="22"/>
  <c r="CD259" i="22"/>
  <c r="CD374" i="22"/>
  <c r="CC147" i="22"/>
  <c r="CC32" i="22"/>
  <c r="CC254" i="22"/>
  <c r="CC357" i="22"/>
  <c r="CD111" i="22"/>
  <c r="CC77" i="22"/>
  <c r="CD254" i="22"/>
  <c r="CC363" i="22"/>
  <c r="CA133" i="22"/>
  <c r="CA28" i="22"/>
  <c r="CA261" i="22"/>
  <c r="CC375" i="22"/>
  <c r="CA123" i="22"/>
  <c r="CD249" i="22"/>
  <c r="CA364" i="22"/>
  <c r="CA113" i="22"/>
  <c r="CD62" i="22"/>
  <c r="CA264" i="22"/>
  <c r="CA432" i="22"/>
  <c r="CC53" i="22"/>
  <c r="CC183" i="22"/>
  <c r="CA282" i="22"/>
  <c r="CD432" i="22"/>
  <c r="CA25" i="22"/>
  <c r="CA383" i="22"/>
  <c r="CA265" i="22"/>
  <c r="CD84" i="22"/>
  <c r="CA48" i="22"/>
  <c r="CA294" i="22"/>
  <c r="CD426" i="22"/>
  <c r="CC13" i="22"/>
  <c r="CA116" i="22"/>
  <c r="CA114" i="22"/>
  <c r="CA127" i="22"/>
  <c r="CA229" i="22"/>
  <c r="CC275" i="22"/>
  <c r="CA136" i="22"/>
  <c r="CA62" i="22"/>
  <c r="CC323" i="22"/>
  <c r="CC372" i="22"/>
  <c r="CD387" i="22"/>
  <c r="CA108" i="22"/>
  <c r="CD29" i="22"/>
  <c r="CC146" i="22"/>
  <c r="CA280" i="22"/>
  <c r="CA341" i="22"/>
  <c r="CC376" i="22"/>
  <c r="CC387" i="22"/>
  <c r="CA149" i="22"/>
  <c r="CC34" i="22"/>
  <c r="CC354" i="22"/>
  <c r="CD348" i="22"/>
  <c r="CC135" i="22"/>
  <c r="CC380" i="22"/>
  <c r="CA50" i="22"/>
  <c r="CD153" i="22"/>
  <c r="CD12" i="22"/>
  <c r="CA110" i="22"/>
  <c r="CC49" i="22"/>
  <c r="CA419" i="22"/>
  <c r="CC421" i="22"/>
  <c r="CC384" i="22"/>
  <c r="CC45" i="22"/>
  <c r="CC92" i="22"/>
  <c r="CC236" i="22"/>
  <c r="CC300" i="22"/>
  <c r="CC364" i="22"/>
  <c r="CC428" i="22"/>
  <c r="CC133" i="22"/>
  <c r="CC297" i="22"/>
  <c r="CD390" i="22"/>
  <c r="CC151" i="22"/>
  <c r="CD56" i="22"/>
  <c r="CA273" i="22"/>
  <c r="CD361" i="22"/>
  <c r="CD223" i="22"/>
  <c r="CA274" i="22"/>
  <c r="CC362" i="22"/>
  <c r="CA117" i="22"/>
  <c r="CD75" i="22"/>
  <c r="CA266" i="22"/>
  <c r="CD380" i="22"/>
  <c r="CC28" i="22"/>
  <c r="CA260" i="22"/>
  <c r="CC369" i="22"/>
  <c r="CC122" i="22"/>
  <c r="CA73" i="22"/>
  <c r="CD260" i="22"/>
  <c r="CD369" i="22"/>
  <c r="CA148" i="22"/>
  <c r="CA24" i="22"/>
  <c r="CD266" i="22"/>
  <c r="CC382" i="22"/>
  <c r="CA128" i="22"/>
  <c r="CC261" i="22"/>
  <c r="CD376" i="22"/>
  <c r="CD133" i="22"/>
  <c r="CD53" i="22"/>
  <c r="CD281" i="22"/>
  <c r="CC83" i="22"/>
  <c r="CA231" i="22"/>
  <c r="CA66" i="22"/>
  <c r="CC291" i="22"/>
  <c r="CD92" i="22"/>
  <c r="CA19" i="22"/>
  <c r="CC208" i="22"/>
  <c r="CD274" i="22"/>
  <c r="CA100" i="22"/>
  <c r="CA42" i="22"/>
  <c r="CC337" i="22"/>
  <c r="CA103" i="22"/>
  <c r="CC265" i="22"/>
  <c r="CA425" i="22"/>
  <c r="CD109" i="22"/>
  <c r="CA319" i="22"/>
  <c r="CC131" i="22"/>
  <c r="CD102" i="22"/>
  <c r="CD6" i="22"/>
  <c r="CA422" i="22"/>
  <c r="CC10" i="22"/>
  <c r="CC306" i="22"/>
  <c r="CC110" i="22"/>
  <c r="CA331" i="22"/>
  <c r="CC226" i="22"/>
  <c r="CA43" i="22"/>
  <c r="CD270" i="22"/>
  <c r="CC383" i="22"/>
  <c r="CC126" i="22"/>
  <c r="CC286" i="22"/>
  <c r="CA31" i="22"/>
  <c r="CC149" i="22"/>
  <c r="CD135" i="22"/>
  <c r="CD136" i="22"/>
  <c r="CD65" i="22"/>
  <c r="CA130" i="22"/>
  <c r="CA289" i="22"/>
  <c r="CD232" i="22"/>
  <c r="CD305" i="22"/>
  <c r="CD236" i="22"/>
  <c r="CC150" i="22"/>
  <c r="CC22" i="22"/>
  <c r="CC96" i="22"/>
  <c r="CC240" i="22"/>
  <c r="CC304" i="22"/>
  <c r="CC368" i="22"/>
  <c r="CC432" i="22"/>
  <c r="CD52" i="22"/>
  <c r="CA278" i="22"/>
  <c r="CC366" i="22"/>
  <c r="CD278" i="22"/>
  <c r="CA372" i="22"/>
  <c r="CD71" i="22"/>
  <c r="CC24" i="22"/>
  <c r="CC63" i="22"/>
  <c r="CC273" i="22"/>
  <c r="CA139" i="22"/>
  <c r="CD17" i="22"/>
  <c r="CA14" i="22"/>
  <c r="CD34" i="22"/>
  <c r="CC433" i="22"/>
  <c r="CC221" i="22"/>
  <c r="CA246" i="22"/>
  <c r="CC46" i="22"/>
  <c r="CD150" i="22"/>
  <c r="CC251" i="22"/>
  <c r="CC244" i="22"/>
  <c r="CA209" i="22"/>
  <c r="CA160" i="22"/>
  <c r="CA234" i="22"/>
  <c r="CD67" i="22"/>
  <c r="CC20" i="22"/>
  <c r="CA59" i="22"/>
  <c r="CC285" i="22"/>
  <c r="CD143" i="22"/>
  <c r="CA212" i="22"/>
  <c r="CA9" i="22"/>
  <c r="CA208" i="22"/>
  <c r="CA34" i="22"/>
  <c r="CA99" i="22"/>
  <c r="CD402" i="22"/>
  <c r="CD242" i="22"/>
  <c r="CC26" i="22"/>
  <c r="CC289" i="22"/>
  <c r="CC312" i="22"/>
  <c r="CC81" i="22"/>
  <c r="CD238" i="22"/>
  <c r="CD139" i="22"/>
  <c r="CD176" i="22"/>
  <c r="CC54" i="22"/>
  <c r="CA12" i="22"/>
  <c r="CC279" i="22"/>
  <c r="CD114" i="22"/>
  <c r="CA318" i="22"/>
  <c r="CA131" i="22"/>
  <c r="CA175" i="22"/>
  <c r="CC281" i="22"/>
  <c r="CD30" i="22"/>
  <c r="CD120" i="22"/>
  <c r="CC108" i="22"/>
  <c r="CC85" i="22"/>
  <c r="CD292" i="22"/>
  <c r="CD391" i="22"/>
  <c r="CD417" i="22"/>
  <c r="CD393" i="22"/>
  <c r="CC399" i="22"/>
  <c r="CD412" i="22"/>
  <c r="CC31" i="22"/>
  <c r="CC130" i="22"/>
  <c r="CC175" i="22"/>
  <c r="CD73" i="22"/>
  <c r="CC214" i="22"/>
  <c r="CA184" i="22"/>
  <c r="CC173" i="22"/>
  <c r="CC320" i="22"/>
  <c r="CC233" i="22"/>
  <c r="CD395" i="22"/>
  <c r="CD152" i="22"/>
  <c r="CD308" i="22"/>
  <c r="CA296" i="22"/>
  <c r="CD147" i="22"/>
  <c r="CA192" i="22"/>
  <c r="CD177" i="22"/>
  <c r="CC116" i="22"/>
  <c r="CC276" i="22"/>
  <c r="CC101" i="22"/>
  <c r="CC425" i="22"/>
  <c r="CD233" i="22"/>
  <c r="CD224" i="22"/>
  <c r="CA157" i="22"/>
  <c r="CD344" i="22"/>
  <c r="CC67" i="22"/>
  <c r="CA153" i="22"/>
  <c r="CA321" i="22"/>
  <c r="CD35" i="22"/>
  <c r="CD182" i="22"/>
  <c r="CD424" i="22"/>
  <c r="CC7" i="22"/>
  <c r="CC154" i="22"/>
  <c r="CA361" i="22"/>
  <c r="CA373" i="22"/>
  <c r="CD397" i="22"/>
  <c r="CA13" i="22"/>
  <c r="CD335" i="22"/>
  <c r="CA250" i="22"/>
  <c r="CC39" i="22"/>
  <c r="CC179" i="22"/>
  <c r="CA17" i="22"/>
  <c r="CC141" i="22"/>
  <c r="CC90" i="22"/>
  <c r="CD82" i="22"/>
  <c r="CD377" i="22"/>
  <c r="CA262" i="22"/>
  <c r="CC64" i="22"/>
  <c r="CA410" i="22"/>
  <c r="CA241" i="22"/>
  <c r="CA430" i="22"/>
  <c r="CC231" i="22"/>
  <c r="CD379" i="22"/>
  <c r="CD383" i="22"/>
  <c r="CC43" i="22"/>
  <c r="CD38" i="22"/>
  <c r="CA309" i="22"/>
  <c r="CD216" i="22"/>
  <c r="CA365" i="22"/>
  <c r="CC139" i="22"/>
  <c r="CA71" i="22"/>
  <c r="CC5" i="22"/>
  <c r="CD185" i="22"/>
  <c r="CA101" i="22"/>
  <c r="CC327" i="22"/>
  <c r="CD154" i="22"/>
  <c r="CC409" i="22"/>
  <c r="CD225" i="22"/>
  <c r="CA190" i="22"/>
  <c r="CC111" i="22"/>
  <c r="CA330" i="22"/>
  <c r="CD243" i="22"/>
  <c r="CD286" i="22"/>
  <c r="CC326" i="22"/>
  <c r="CD187" i="22"/>
  <c r="CA409" i="22"/>
  <c r="CD433" i="22"/>
  <c r="CC119" i="22"/>
  <c r="CC98" i="22"/>
  <c r="CA198" i="22"/>
  <c r="CD39" i="22"/>
  <c r="CA201" i="22"/>
  <c r="CA181" i="22"/>
  <c r="CC419" i="22"/>
  <c r="CD322" i="22"/>
  <c r="CC396" i="22"/>
  <c r="CA402" i="22"/>
  <c r="CD215" i="22"/>
  <c r="CA197" i="22"/>
  <c r="CA146" i="22"/>
  <c r="CA74" i="22"/>
  <c r="CD366" i="22"/>
  <c r="CA340" i="22"/>
  <c r="CC216" i="22"/>
  <c r="CA418" i="22"/>
  <c r="CA328" i="22"/>
  <c r="CD343" i="22"/>
  <c r="CA281" i="22"/>
  <c r="CC402" i="22"/>
  <c r="CA15" i="22"/>
  <c r="CD341" i="22"/>
  <c r="CC314" i="22"/>
  <c r="CD58" i="22"/>
  <c r="CA180" i="22"/>
  <c r="CC47" i="22"/>
  <c r="CA57" i="22"/>
  <c r="CA392" i="22"/>
  <c r="CC264" i="22"/>
  <c r="CD429" i="22"/>
  <c r="CC19" i="22"/>
  <c r="CC29" i="22"/>
  <c r="CC378" i="22"/>
  <c r="CD409" i="22"/>
  <c r="CA356" i="22"/>
  <c r="CD421" i="22"/>
  <c r="CC309" i="22"/>
  <c r="CC343" i="22"/>
  <c r="CD318" i="22"/>
  <c r="CA245" i="22"/>
  <c r="CA164" i="22"/>
  <c r="CC97" i="22"/>
  <c r="CD418" i="22"/>
  <c r="CD354" i="22"/>
  <c r="CD328" i="22"/>
  <c r="CA58" i="22"/>
  <c r="CA350" i="22"/>
  <c r="CD392" i="22"/>
  <c r="CC120" i="22"/>
  <c r="CC280" i="22"/>
  <c r="CC105" i="22"/>
  <c r="CD83" i="22"/>
  <c r="CC238" i="22"/>
  <c r="CD229" i="22"/>
  <c r="CC350" i="22"/>
  <c r="CA45" i="22"/>
  <c r="CD333" i="22"/>
  <c r="CA216" i="22"/>
  <c r="CC187" i="22"/>
  <c r="CA431" i="22"/>
  <c r="CA218" i="22"/>
  <c r="CA47" i="22"/>
  <c r="CD370" i="22"/>
  <c r="CC94" i="22"/>
  <c r="CA152" i="22"/>
  <c r="CA240" i="22"/>
  <c r="CA344" i="22"/>
  <c r="CC257" i="22"/>
  <c r="CA18" i="22"/>
  <c r="CA193" i="22"/>
  <c r="CD276" i="22"/>
  <c r="CD334" i="22"/>
  <c r="CC185" i="22"/>
  <c r="CD141" i="22"/>
  <c r="CD119" i="22"/>
  <c r="CA98" i="22"/>
  <c r="CC51" i="22"/>
  <c r="CD427" i="22"/>
  <c r="CA70" i="22"/>
  <c r="CA77" i="22"/>
  <c r="CA389" i="22"/>
  <c r="CD275" i="22"/>
  <c r="CA355" i="22"/>
  <c r="CD368" i="22"/>
  <c r="CC431" i="22"/>
  <c r="CD184" i="22"/>
  <c r="CD186" i="22"/>
  <c r="CA168" i="22"/>
  <c r="CC145" i="22"/>
  <c r="CD94" i="22"/>
  <c r="CC391" i="22"/>
  <c r="CD20" i="22"/>
  <c r="CA253" i="22"/>
  <c r="CA323" i="22"/>
  <c r="CA41" i="22"/>
  <c r="CA178" i="22"/>
  <c r="CD347" i="22"/>
  <c r="CD415" i="22"/>
  <c r="CC114" i="22"/>
  <c r="CD365" i="22"/>
  <c r="CA258" i="22"/>
  <c r="CD327" i="22"/>
  <c r="CD148" i="22"/>
  <c r="CD303" i="22"/>
  <c r="CA426" i="22"/>
  <c r="CD125" i="22"/>
  <c r="CA295" i="22"/>
  <c r="CC388" i="22"/>
  <c r="CC339" i="22"/>
  <c r="CD13" i="22"/>
  <c r="CC417" i="22"/>
  <c r="CA305" i="22"/>
  <c r="CD209" i="22"/>
  <c r="CA338" i="22"/>
  <c r="CC209" i="22"/>
  <c r="CA137" i="22"/>
  <c r="CD210" i="22"/>
  <c r="CA324" i="22"/>
  <c r="CC277" i="22"/>
  <c r="CC78" i="22"/>
  <c r="CA202" i="22"/>
  <c r="CD221" i="22"/>
  <c r="CC72" i="22"/>
  <c r="CA166" i="22"/>
  <c r="CD87" i="22"/>
  <c r="CC359" i="22"/>
  <c r="CC295" i="22"/>
  <c r="CD336" i="22"/>
  <c r="CD406" i="22"/>
  <c r="CC229" i="22"/>
  <c r="CC27" i="22"/>
  <c r="CA211" i="22"/>
  <c r="CD355" i="22"/>
  <c r="CC260" i="22"/>
  <c r="CC423" i="22"/>
  <c r="CD339" i="22"/>
  <c r="CA354" i="22"/>
  <c r="CC60" i="22"/>
  <c r="CA126" i="22"/>
  <c r="CA343" i="22"/>
  <c r="CD218" i="22"/>
  <c r="CD416" i="22"/>
  <c r="CA303" i="22"/>
  <c r="CA407" i="22"/>
  <c r="CC246" i="22"/>
  <c r="CA220" i="22"/>
  <c r="CC341" i="22"/>
  <c r="CD358" i="22"/>
  <c r="CC223" i="22"/>
  <c r="CD332" i="22"/>
  <c r="CA63" i="22"/>
  <c r="CA413" i="22"/>
  <c r="CC329" i="22"/>
  <c r="CC272" i="22"/>
  <c r="CD338" i="22"/>
  <c r="CA54" i="22"/>
  <c r="CD61" i="22"/>
  <c r="CC389" i="22"/>
  <c r="CA421" i="22"/>
  <c r="CD261" i="22"/>
  <c r="CC37" i="22"/>
  <c r="CC124" i="22"/>
  <c r="CC324" i="22"/>
  <c r="CC109" i="22"/>
  <c r="CA93" i="22"/>
  <c r="CC302" i="22"/>
  <c r="CC234" i="22"/>
  <c r="CD79" i="22"/>
  <c r="CC215" i="22"/>
  <c r="CD423" i="22"/>
  <c r="CC222" i="22"/>
  <c r="CD86" i="22"/>
  <c r="CC325" i="22"/>
  <c r="CA23" i="22"/>
  <c r="CA379" i="22"/>
  <c r="CA29" i="22"/>
  <c r="CC258" i="22"/>
  <c r="CD371" i="22"/>
  <c r="CD372" i="22"/>
  <c r="CA7" i="22"/>
  <c r="CC65" i="22"/>
  <c r="CD294" i="22"/>
  <c r="CA353" i="22"/>
  <c r="CD37" i="22"/>
  <c r="CC342" i="22"/>
  <c r="CD178" i="22"/>
  <c r="CA39" i="22"/>
  <c r="CA89" i="22"/>
  <c r="CC225" i="22"/>
  <c r="CA230" i="22"/>
  <c r="CA221" i="22"/>
  <c r="CA56" i="22"/>
  <c r="CC9" i="22"/>
  <c r="CA403" i="22"/>
  <c r="CD95" i="22"/>
  <c r="CD360" i="22"/>
  <c r="CC311" i="22"/>
  <c r="CD27" i="22"/>
  <c r="CA360" i="22"/>
  <c r="CD70" i="22"/>
  <c r="CC340" i="22"/>
  <c r="CD314" i="22"/>
  <c r="CA298" i="22"/>
  <c r="CD398" i="22"/>
  <c r="CA60" i="22"/>
  <c r="CA37" i="22"/>
  <c r="CD26" i="22"/>
  <c r="CC184" i="22"/>
  <c r="CD47" i="22"/>
  <c r="CA112" i="22"/>
  <c r="CA183" i="22"/>
  <c r="CC401" i="22"/>
  <c r="CD306" i="22"/>
  <c r="CD349" i="22"/>
  <c r="CA194" i="22"/>
  <c r="CD43" i="22"/>
  <c r="CA427" i="22"/>
  <c r="CD240" i="22"/>
  <c r="CD234" i="22"/>
  <c r="CA26" i="22"/>
  <c r="CA6" i="22"/>
  <c r="CC392" i="22"/>
  <c r="CA196" i="22"/>
  <c r="CD345" i="22"/>
  <c r="CD8" i="22"/>
  <c r="CC103" i="22"/>
  <c r="CD118" i="22"/>
  <c r="CC71" i="22"/>
  <c r="CC331" i="22"/>
  <c r="CD411" i="22"/>
  <c r="CA424" i="22"/>
  <c r="CA141" i="22"/>
  <c r="CA189" i="22"/>
  <c r="CA165" i="22"/>
  <c r="CD183" i="22"/>
  <c r="CC59" i="22"/>
  <c r="CC415" i="22"/>
  <c r="CD77" i="22"/>
  <c r="CA68" i="22"/>
  <c r="CA227" i="22"/>
  <c r="CA61" i="22"/>
  <c r="CA429" i="22"/>
  <c r="CC30" i="22"/>
  <c r="CC255" i="22"/>
  <c r="CA214" i="22"/>
  <c r="CC411" i="22"/>
  <c r="CD296" i="22"/>
  <c r="CC23" i="22"/>
  <c r="CD219" i="22"/>
  <c r="CD217" i="22"/>
  <c r="CA233" i="22"/>
  <c r="CC408" i="22"/>
  <c r="CA64" i="22"/>
  <c r="CC86" i="22"/>
  <c r="CA362" i="22"/>
  <c r="CC41" i="22"/>
  <c r="CA33" i="22"/>
  <c r="CD431" i="22"/>
  <c r="CC93" i="22"/>
  <c r="CC4" i="22"/>
  <c r="CC15" i="22"/>
  <c r="CD23" i="22"/>
  <c r="CA150" i="22"/>
  <c r="CA226" i="22"/>
  <c r="CC361" i="22"/>
  <c r="CA86" i="22"/>
  <c r="CD96" i="22"/>
  <c r="CD353" i="22"/>
  <c r="CA53" i="22"/>
  <c r="CC270" i="22"/>
  <c r="CC128" i="22"/>
  <c r="CC328" i="22"/>
  <c r="CC113" i="22"/>
  <c r="CD97" i="22"/>
  <c r="CA312" i="22"/>
  <c r="CA244" i="22"/>
  <c r="CA174" i="22"/>
  <c r="CD85" i="22"/>
  <c r="CA222" i="22"/>
  <c r="CA172" i="22"/>
  <c r="CD91" i="22"/>
  <c r="CA335" i="22"/>
  <c r="CC379" i="22"/>
  <c r="CA367" i="22"/>
  <c r="CC319" i="22"/>
  <c r="CD331" i="22"/>
  <c r="CD151" i="22"/>
  <c r="CD50" i="22"/>
  <c r="CA215" i="22"/>
  <c r="CA337" i="22"/>
  <c r="CD373" i="22"/>
  <c r="CA129" i="22"/>
  <c r="CA401" i="22"/>
  <c r="CD386" i="22"/>
  <c r="CD174" i="22"/>
  <c r="CA325" i="22"/>
  <c r="CA406" i="22"/>
  <c r="CA95" i="22"/>
  <c r="CD410" i="22"/>
  <c r="CD74" i="22"/>
  <c r="CA252" i="22"/>
  <c r="CD76" i="22"/>
  <c r="CD173" i="22"/>
  <c r="CC66" i="22"/>
  <c r="CD420" i="22"/>
  <c r="CD237" i="22"/>
  <c r="CA299" i="22"/>
  <c r="CD340" i="22"/>
  <c r="CD425" i="22"/>
  <c r="CA311" i="22"/>
  <c r="CA316" i="22"/>
  <c r="CA393" i="22"/>
  <c r="CD214" i="22"/>
  <c r="CA75" i="22"/>
  <c r="CD230" i="22"/>
  <c r="CC134" i="22"/>
  <c r="CC219" i="22"/>
  <c r="CD257" i="22"/>
  <c r="CC132" i="22"/>
  <c r="CC332" i="22"/>
  <c r="CA243" i="22"/>
  <c r="CD106" i="22"/>
  <c r="CC317" i="22"/>
  <c r="CA308" i="22"/>
  <c r="CC182" i="22"/>
  <c r="CD90" i="22"/>
  <c r="CD302" i="22"/>
  <c r="CA177" i="22"/>
  <c r="CD80" i="22"/>
  <c r="CD309" i="22"/>
  <c r="CC210" i="22"/>
  <c r="CC353" i="22"/>
  <c r="CA268" i="22"/>
  <c r="CC397" i="22"/>
  <c r="CD258" i="22"/>
  <c r="CC174" i="22"/>
  <c r="CD301" i="22"/>
  <c r="CA124" i="22"/>
  <c r="CA390" i="22"/>
  <c r="CD408" i="22"/>
  <c r="CD31" i="22"/>
  <c r="CC95" i="22"/>
  <c r="CC386" i="22"/>
  <c r="CA237" i="22"/>
  <c r="CA374" i="22"/>
  <c r="CD149" i="22"/>
  <c r="CD126" i="22"/>
  <c r="CD251" i="22"/>
  <c r="CC62" i="22"/>
  <c r="CC136" i="22"/>
  <c r="CC336" i="22"/>
  <c r="CD247" i="22"/>
  <c r="CD115" i="22"/>
  <c r="CA327" i="22"/>
  <c r="CC313" i="22"/>
  <c r="CA182" i="22"/>
  <c r="CD101" i="22"/>
  <c r="CC321" i="22"/>
  <c r="CD180" i="22"/>
  <c r="CD407" i="22"/>
  <c r="CD403" i="22"/>
  <c r="CA179" i="22"/>
  <c r="CC180" i="22"/>
  <c r="CD51" i="22"/>
  <c r="CA107" i="22"/>
  <c r="CC370" i="22"/>
  <c r="CA154" i="22"/>
  <c r="CD110" i="22"/>
  <c r="CA44" i="22"/>
  <c r="CC344" i="22"/>
  <c r="CD320" i="22"/>
  <c r="CA334" i="22"/>
  <c r="CD378" i="22"/>
  <c r="CD28" i="22"/>
  <c r="CA10" i="22"/>
  <c r="CA88" i="22"/>
  <c r="CA411" i="22"/>
  <c r="CD262" i="22"/>
  <c r="CA333" i="22"/>
  <c r="CC58" i="22"/>
  <c r="CA310" i="22"/>
  <c r="CD330" i="22"/>
  <c r="CD103" i="22"/>
  <c r="CA159" i="22"/>
  <c r="CC267" i="22"/>
  <c r="CC333" i="22"/>
  <c r="CC315" i="22"/>
  <c r="CC294" i="22"/>
  <c r="CA51" i="22"/>
  <c r="CA46" i="22"/>
  <c r="CC212" i="22"/>
  <c r="CD321" i="22"/>
  <c r="CC335" i="22"/>
  <c r="CD245" i="22"/>
  <c r="CD16" i="22"/>
  <c r="CD32" i="22"/>
  <c r="CC400" i="22"/>
  <c r="CC227" i="22"/>
  <c r="CD430" i="22"/>
  <c r="CA69" i="22"/>
  <c r="CD33" i="22"/>
  <c r="CA306" i="22"/>
  <c r="CA224" i="22"/>
  <c r="CA5" i="22"/>
  <c r="CC404" i="22"/>
  <c r="CC68" i="22"/>
  <c r="CA81" i="22"/>
  <c r="CD283" i="22"/>
  <c r="CD250" i="22"/>
  <c r="CD323" i="22"/>
  <c r="CA313" i="22"/>
  <c r="CC346" i="22"/>
  <c r="CA320" i="22"/>
  <c r="CD49" i="22"/>
  <c r="CA188" i="22"/>
  <c r="CC310" i="22"/>
  <c r="CC25" i="22"/>
  <c r="CA366" i="22"/>
  <c r="CC268" i="22"/>
  <c r="CA80" i="22"/>
  <c r="CC91" i="22"/>
  <c r="CC371" i="22"/>
  <c r="CD239" i="22"/>
  <c r="CD394" i="22"/>
  <c r="CC374" i="22"/>
  <c r="CD228" i="22"/>
  <c r="CC426" i="22"/>
  <c r="CA315" i="22"/>
  <c r="CC11" i="22"/>
  <c r="CC239" i="22"/>
  <c r="CD324" i="22"/>
  <c r="CA76" i="22"/>
  <c r="BP103" i="34"/>
  <c r="BZ118" i="45"/>
  <c r="BZ115" i="45"/>
  <c r="BZ111" i="45"/>
  <c r="BX102" i="45"/>
  <c r="BY102" i="45"/>
  <c r="BZ102" i="45"/>
  <c r="BZ98" i="45"/>
  <c r="BZ97" i="45" l="1"/>
  <c r="BZ114" i="45"/>
  <c r="BZ125" i="45" l="1"/>
  <c r="BZ107" i="45"/>
  <c r="BZ82" i="45"/>
  <c r="BZ81" i="45"/>
  <c r="BZ76" i="45"/>
  <c r="BZ65" i="45"/>
  <c r="BZ61" i="45"/>
  <c r="BZ55" i="45" l="1"/>
  <c r="BZ49" i="45"/>
  <c r="BZ43" i="45" l="1"/>
  <c r="BZ36" i="45" l="1"/>
  <c r="BZ14" i="45" l="1"/>
  <c r="BZ13" i="45" l="1"/>
  <c r="BZ6" i="45"/>
  <c r="BZ20" i="45" l="1"/>
  <c r="BZ5" i="45" l="1"/>
  <c r="BZ78" i="45" s="1"/>
  <c r="BZ10" i="45"/>
  <c r="BD109" i="54"/>
  <c r="BE109" i="54"/>
  <c r="BF110" i="54"/>
  <c r="BF109" i="54" s="1"/>
  <c r="BF23" i="54"/>
  <c r="BF47" i="54"/>
  <c r="BF37" i="54"/>
  <c r="BF30" i="54"/>
  <c r="BF31" i="54"/>
  <c r="BF33" i="54"/>
  <c r="BF96" i="54"/>
  <c r="BF101" i="54" s="1"/>
  <c r="BF86" i="54"/>
  <c r="BF14" i="54" l="1"/>
  <c r="BZ88" i="45"/>
  <c r="BF56" i="54"/>
  <c r="BF61" i="54" s="1"/>
  <c r="BF27" i="54" l="1"/>
  <c r="BF61" i="22" l="1"/>
  <c r="BF62" i="22"/>
  <c r="BF63" i="22"/>
  <c r="BF64" i="22"/>
  <c r="BF65" i="22"/>
  <c r="BF66" i="22"/>
  <c r="BF67" i="22"/>
  <c r="BF68" i="22"/>
  <c r="BF69" i="22"/>
  <c r="BF70" i="22"/>
  <c r="BF71" i="22"/>
  <c r="BF72" i="22"/>
  <c r="BF73" i="22"/>
  <c r="BF74" i="22"/>
  <c r="BF75" i="22"/>
  <c r="BF76" i="22"/>
  <c r="BF77" i="22"/>
  <c r="BF78" i="22"/>
  <c r="BF79" i="22"/>
  <c r="BI49" i="54" l="1"/>
  <c r="BF45" i="54" l="1"/>
  <c r="BF42" i="54" s="1"/>
  <c r="BF54" i="54"/>
  <c r="BF52" i="54" s="1"/>
  <c r="BF94" i="54"/>
  <c r="BF91" i="54" s="1"/>
  <c r="BF84" i="54"/>
  <c r="BF81" i="54" s="1"/>
  <c r="BF74" i="54"/>
  <c r="BF71" i="54" s="1"/>
  <c r="BF32" i="54"/>
  <c r="BF16" i="54"/>
  <c r="BF26" i="54"/>
  <c r="BY82" i="45"/>
  <c r="BY81" i="45"/>
  <c r="BY118" i="45"/>
  <c r="BY115" i="45"/>
  <c r="BY111" i="45"/>
  <c r="BY98" i="45"/>
  <c r="BY76" i="45"/>
  <c r="BY65" i="45"/>
  <c r="BY61" i="45"/>
  <c r="BF7" i="54" l="1"/>
  <c r="BG15" i="54" s="1"/>
  <c r="BG25" i="54"/>
  <c r="BF35" i="54"/>
  <c r="BY97" i="45"/>
  <c r="BY114" i="45"/>
  <c r="BY55" i="45"/>
  <c r="BY107" i="45" l="1"/>
  <c r="BY125" i="45"/>
  <c r="BY49" i="45"/>
  <c r="BY43" i="45"/>
  <c r="BY36" i="45"/>
  <c r="BY14" i="45" l="1"/>
  <c r="BY13" i="45" l="1"/>
  <c r="BY6" i="45"/>
  <c r="BY5" i="45" l="1"/>
  <c r="BY20" i="45"/>
  <c r="BY78" i="45" l="1"/>
  <c r="BY10" i="45"/>
  <c r="BY88" i="45" l="1"/>
  <c r="M34" i="16"/>
  <c r="N54" i="15" a="1"/>
  <c r="N93" i="15" a="1"/>
  <c r="N93" i="15" l="1"/>
  <c r="N54" i="15"/>
  <c r="DP83" i="45" l="1"/>
  <c r="DP86" i="45"/>
  <c r="DO86" i="45"/>
  <c r="DO83" i="45"/>
  <c r="DO159" i="45"/>
  <c r="DP159" i="45"/>
  <c r="DO160" i="45"/>
  <c r="DP160" i="45"/>
  <c r="DO161" i="45"/>
  <c r="DP161" i="45"/>
  <c r="DO162" i="45"/>
  <c r="DP162" i="45"/>
  <c r="DO164" i="45"/>
  <c r="DP164" i="45"/>
  <c r="DO165" i="45"/>
  <c r="DP165" i="45"/>
  <c r="DO166" i="45"/>
  <c r="DP166" i="45"/>
  <c r="DQ166" i="45" s="1"/>
  <c r="DO167" i="45"/>
  <c r="DP167" i="45"/>
  <c r="DO168" i="45"/>
  <c r="DP168" i="45"/>
  <c r="DO170" i="45"/>
  <c r="DP170" i="45"/>
  <c r="DQ170" i="45" s="1"/>
  <c r="DQ164" i="45" l="1"/>
  <c r="DQ162" i="45"/>
  <c r="DQ168" i="45"/>
  <c r="DQ165" i="45"/>
  <c r="DQ160" i="45"/>
  <c r="DO87" i="45"/>
  <c r="DQ161" i="45"/>
  <c r="DQ167" i="45"/>
  <c r="DP87" i="45"/>
  <c r="DQ87" i="45" s="1"/>
  <c r="BE63" i="22"/>
  <c r="BE61" i="22"/>
  <c r="BE62" i="22"/>
  <c r="BE64" i="22"/>
  <c r="BE65" i="22"/>
  <c r="BE66" i="22"/>
  <c r="BE67" i="22"/>
  <c r="BE68" i="22"/>
  <c r="BE69" i="22"/>
  <c r="BE70" i="22"/>
  <c r="BE71" i="22"/>
  <c r="BE72" i="22"/>
  <c r="BE73" i="22"/>
  <c r="BE74" i="22"/>
  <c r="BE75" i="22"/>
  <c r="BE76" i="22"/>
  <c r="BE77" i="22"/>
  <c r="BE78" i="22"/>
  <c r="BE79" i="22"/>
  <c r="BO119" i="34" l="1"/>
  <c r="BE27" i="54" l="1"/>
  <c r="BE17" i="54"/>
  <c r="BE18" i="54"/>
  <c r="BE19" i="54"/>
  <c r="BE21" i="54"/>
  <c r="BE23" i="54"/>
  <c r="BE24" i="54"/>
  <c r="BE26" i="54"/>
  <c r="BE28" i="54"/>
  <c r="BE29" i="54"/>
  <c r="BE30" i="54"/>
  <c r="BE31" i="54"/>
  <c r="BE33" i="54"/>
  <c r="BE34" i="54"/>
  <c r="BE11" i="54"/>
  <c r="BE8" i="54" l="1"/>
  <c r="BE22" i="54"/>
  <c r="BE35" i="54"/>
  <c r="BE32" i="54"/>
  <c r="BE12" i="54"/>
  <c r="BE10" i="54"/>
  <c r="BE9" i="54"/>
  <c r="BE16" i="54"/>
  <c r="BE7" i="54" s="1"/>
  <c r="BF15" i="54" s="1"/>
  <c r="BE14" i="54"/>
  <c r="BE13" i="54" l="1"/>
  <c r="L34" i="16" l="1"/>
  <c r="O118" i="46" a="1"/>
  <c r="O8" i="46" a="1"/>
  <c r="O126" i="46" a="1"/>
  <c r="O18" i="46" a="1"/>
  <c r="O63" i="46" a="1"/>
  <c r="O122" i="46" a="1"/>
  <c r="O28" i="46" a="1"/>
  <c r="O23" i="46" a="1"/>
  <c r="O31" i="46" a="1"/>
  <c r="O71" i="46" a="1"/>
  <c r="O33" i="46" a="1"/>
  <c r="O124" i="46" a="1"/>
  <c r="O119" i="46" a="1"/>
  <c r="O19" i="46" a="1"/>
  <c r="O69" i="46" a="1"/>
  <c r="O138" i="46" a="1"/>
  <c r="O67" i="46" a="1"/>
  <c r="O41" i="46" a="1"/>
  <c r="O84" i="46" a="1"/>
  <c r="O24" i="46" a="1"/>
  <c r="O47" i="46" a="1"/>
  <c r="O73" i="46" a="1"/>
  <c r="O121" i="46" a="1"/>
  <c r="O87" i="46" a="1"/>
  <c r="O74" i="46" a="1"/>
  <c r="O12" i="46" a="1"/>
  <c r="O29" i="46" a="1"/>
  <c r="O123" i="46" a="1"/>
  <c r="O20" i="46" a="1"/>
  <c r="O27" i="46" a="1"/>
  <c r="O140" i="46" a="1"/>
  <c r="O16" i="46" a="1"/>
  <c r="O40" i="46" a="1"/>
  <c r="O120" i="46" a="1"/>
  <c r="O137" i="46" a="1"/>
  <c r="O131" i="46" a="1"/>
  <c r="O57" i="46" a="1"/>
  <c r="O51" i="46" a="1"/>
  <c r="O5" i="46" a="1"/>
  <c r="O46" i="46" a="1"/>
  <c r="O125" i="46" a="1"/>
  <c r="O133" i="46" a="1"/>
  <c r="O52" i="46" a="1"/>
  <c r="O9" i="46" a="1"/>
  <c r="O68" i="46" a="1"/>
  <c r="O132" i="46" a="1"/>
  <c r="O42" i="46" a="1"/>
  <c r="O26" i="46" a="1"/>
  <c r="O34" i="46" a="1"/>
  <c r="O39" i="46" a="1"/>
  <c r="O38" i="46" a="1"/>
  <c r="O72" i="46" a="1"/>
  <c r="O25" i="46" a="1"/>
  <c r="O10" i="46" a="1"/>
  <c r="O22" i="46" a="1"/>
  <c r="O134" i="46" a="1"/>
  <c r="O35" i="46" a="1"/>
  <c r="O129" i="46" a="1"/>
  <c r="O59" i="46" a="1"/>
  <c r="O64" i="46" a="1"/>
  <c r="O139" i="46" a="1"/>
  <c r="O30" i="46" a="1"/>
  <c r="O60" i="46" a="1"/>
  <c r="O17" i="46" a="1"/>
  <c r="O32" i="46" a="1"/>
  <c r="O53" i="46" a="1"/>
  <c r="O127" i="46" a="1"/>
  <c r="O58" i="46" a="1"/>
  <c r="O75" i="46" a="1"/>
  <c r="O142" i="46" a="1"/>
  <c r="O136" i="46" a="1"/>
  <c r="O70" i="46" a="1"/>
  <c r="O137" i="46" l="1"/>
  <c r="O69" i="46"/>
  <c r="O52" i="46"/>
  <c r="O5" i="46"/>
  <c r="O68" i="46"/>
  <c r="O60" i="46"/>
  <c r="O12" i="46"/>
  <c r="O127" i="46"/>
  <c r="O119" i="46"/>
  <c r="O84" i="46"/>
  <c r="O75" i="46"/>
  <c r="O67" i="46"/>
  <c r="O59" i="46"/>
  <c r="O42" i="46"/>
  <c r="O34" i="46"/>
  <c r="O27" i="46"/>
  <c r="O19" i="46"/>
  <c r="O142" i="46"/>
  <c r="O134" i="46"/>
  <c r="O126" i="46"/>
  <c r="O118" i="46"/>
  <c r="O74" i="46"/>
  <c r="O58" i="46"/>
  <c r="O41" i="46"/>
  <c r="O33" i="46"/>
  <c r="O26" i="46"/>
  <c r="O18" i="46"/>
  <c r="O10" i="46"/>
  <c r="O28" i="46"/>
  <c r="O73" i="46"/>
  <c r="O32" i="46"/>
  <c r="O25" i="46"/>
  <c r="O17" i="46"/>
  <c r="O9" i="46"/>
  <c r="O35" i="46"/>
  <c r="O133" i="46"/>
  <c r="O57" i="46"/>
  <c r="O140" i="46"/>
  <c r="O124" i="46"/>
  <c r="O72" i="46"/>
  <c r="O64" i="46"/>
  <c r="O47" i="46"/>
  <c r="O39" i="46"/>
  <c r="O31" i="46"/>
  <c r="O24" i="46"/>
  <c r="O16" i="46"/>
  <c r="O8" i="46"/>
  <c r="O121" i="46"/>
  <c r="O136" i="46"/>
  <c r="O20" i="46"/>
  <c r="O125" i="46"/>
  <c r="O40" i="46"/>
  <c r="O132" i="46"/>
  <c r="O51" i="46"/>
  <c r="O139" i="46"/>
  <c r="O131" i="46"/>
  <c r="O123" i="46"/>
  <c r="O71" i="46"/>
  <c r="O63" i="46"/>
  <c r="O46" i="46"/>
  <c r="O38" i="46"/>
  <c r="O30" i="46"/>
  <c r="O23" i="46"/>
  <c r="O129" i="46"/>
  <c r="O120" i="46"/>
  <c r="O87" i="46"/>
  <c r="O138" i="46"/>
  <c r="O122" i="46"/>
  <c r="O70" i="46"/>
  <c r="O53" i="46"/>
  <c r="O29" i="46"/>
  <c r="O22" i="46"/>
  <c r="BX118" i="45" l="1"/>
  <c r="BX115" i="45"/>
  <c r="BX111" i="45"/>
  <c r="BW102" i="45"/>
  <c r="BV102" i="45"/>
  <c r="BU102" i="45"/>
  <c r="BT102" i="45"/>
  <c r="BS102" i="45"/>
  <c r="BX98" i="45"/>
  <c r="BX76" i="45"/>
  <c r="BX65" i="45"/>
  <c r="BX61" i="45"/>
  <c r="BX55" i="45"/>
  <c r="O56" i="46" a="1"/>
  <c r="O65" i="46" a="1"/>
  <c r="O77" i="46" a="1"/>
  <c r="O117" i="46" a="1"/>
  <c r="O76" i="46" a="1"/>
  <c r="O66" i="46" a="1"/>
  <c r="O130" i="46" a="1"/>
  <c r="O128" i="46" a="1"/>
  <c r="O62" i="46" a="1"/>
  <c r="O61" i="46" a="1"/>
  <c r="O61" i="46" l="1"/>
  <c r="O65" i="46"/>
  <c r="O76" i="46"/>
  <c r="O56" i="46"/>
  <c r="O62" i="46"/>
  <c r="O66" i="46"/>
  <c r="O77" i="46"/>
  <c r="BX114" i="45"/>
  <c r="O130" i="46"/>
  <c r="O128" i="46"/>
  <c r="O117" i="46"/>
  <c r="BX81" i="45"/>
  <c r="BX97" i="45"/>
  <c r="O55" i="46" a="1"/>
  <c r="BX125" i="45" l="1"/>
  <c r="O55" i="46"/>
  <c r="BX82" i="45"/>
  <c r="BX107" i="45"/>
  <c r="BX43" i="45"/>
  <c r="O81" i="46" a="1"/>
  <c r="O43" i="46" a="1"/>
  <c r="O82" i="46" a="1"/>
  <c r="O83" i="46" a="1"/>
  <c r="O43" i="46" l="1"/>
  <c r="O82" i="46"/>
  <c r="O83" i="46"/>
  <c r="O81" i="46"/>
  <c r="BX36" i="45"/>
  <c r="O36" i="46" a="1"/>
  <c r="O80" i="46" a="1"/>
  <c r="O37" i="46" a="1"/>
  <c r="O36" i="46" l="1"/>
  <c r="O37" i="46"/>
  <c r="O80" i="46"/>
  <c r="BX14" i="45"/>
  <c r="BX49" i="45"/>
  <c r="O50" i="46" a="1"/>
  <c r="O15" i="46" a="1"/>
  <c r="O50" i="46" l="1"/>
  <c r="O15" i="46"/>
  <c r="BX13" i="45"/>
  <c r="BX6" i="45"/>
  <c r="O44" i="46" a="1"/>
  <c r="O14" i="46" a="1"/>
  <c r="O7" i="46" a="1"/>
  <c r="O45" i="46" a="1"/>
  <c r="O44" i="46" l="1"/>
  <c r="BX48" i="45"/>
  <c r="O14" i="46"/>
  <c r="O7" i="46"/>
  <c r="O45" i="46"/>
  <c r="CR201" i="45"/>
  <c r="BX20" i="45"/>
  <c r="BX5" i="45"/>
  <c r="O48" i="46" a="1"/>
  <c r="O49" i="46" a="1"/>
  <c r="O21" i="46" a="1"/>
  <c r="O13" i="46" a="1"/>
  <c r="O6" i="46" a="1"/>
  <c r="O49" i="46" l="1"/>
  <c r="O48" i="46"/>
  <c r="O21" i="46"/>
  <c r="O6" i="46"/>
  <c r="O13" i="46"/>
  <c r="BX10" i="45"/>
  <c r="BX78" i="45"/>
  <c r="M93" i="15" a="1"/>
  <c r="O79" i="46" a="1"/>
  <c r="O11" i="46" a="1"/>
  <c r="M54" i="15" a="1"/>
  <c r="O11" i="46" l="1"/>
  <c r="O79" i="46"/>
  <c r="BX88" i="45"/>
  <c r="M54" i="15"/>
  <c r="M93" i="15"/>
  <c r="O89" i="46" a="1"/>
  <c r="O88" i="46" a="1"/>
  <c r="O88" i="46" l="1"/>
  <c r="O89" i="46"/>
  <c r="BD27" i="54"/>
  <c r="BD28" i="54"/>
  <c r="BD29" i="54"/>
  <c r="BD30" i="54"/>
  <c r="BD31" i="54"/>
  <c r="BD33" i="54"/>
  <c r="BD34" i="54"/>
  <c r="BD35" i="54"/>
  <c r="BF17" i="54"/>
  <c r="BF8" i="54" s="1"/>
  <c r="BD18" i="54"/>
  <c r="BD9" i="54" s="1"/>
  <c r="BF18" i="54"/>
  <c r="BF9" i="54" s="1"/>
  <c r="BD19" i="54"/>
  <c r="BF19" i="54"/>
  <c r="BF10" i="54" s="1"/>
  <c r="BF11" i="54"/>
  <c r="BD21" i="54"/>
  <c r="BF21" i="54"/>
  <c r="BF12" i="54" s="1"/>
  <c r="BD23" i="54"/>
  <c r="BD24" i="54"/>
  <c r="BF24" i="54"/>
  <c r="BF25" i="54"/>
  <c r="BD32" i="54"/>
  <c r="BD47" i="54"/>
  <c r="BG22" i="54"/>
  <c r="BD37" i="54"/>
  <c r="BB45" i="54"/>
  <c r="BC45" i="54"/>
  <c r="BC42" i="54" s="1"/>
  <c r="BD45" i="54"/>
  <c r="BD42" i="54" s="1"/>
  <c r="BF22" i="54"/>
  <c r="BF13" i="54" s="1"/>
  <c r="BD14" i="54" l="1"/>
  <c r="BD12" i="54"/>
  <c r="BD17" i="54"/>
  <c r="BD8" i="54" s="1"/>
  <c r="BD10" i="54"/>
  <c r="BD11" i="54"/>
  <c r="BD4" i="54"/>
  <c r="CA346" i="24" l="1"/>
  <c r="CA347" i="24"/>
  <c r="CA348" i="24"/>
  <c r="CA349" i="24"/>
  <c r="CA350" i="24"/>
  <c r="CA351" i="24"/>
  <c r="CA352" i="24"/>
  <c r="CA353" i="24"/>
  <c r="CA354" i="24"/>
  <c r="CA355" i="24"/>
  <c r="CA356" i="24"/>
  <c r="CA357" i="24"/>
  <c r="CA358" i="24"/>
  <c r="CA359" i="24"/>
  <c r="CA360" i="24"/>
  <c r="CA361" i="24"/>
  <c r="CA362" i="24"/>
  <c r="CA363" i="24"/>
  <c r="CA364" i="24"/>
  <c r="CA370" i="24"/>
  <c r="CA371" i="24"/>
  <c r="CA372" i="24"/>
  <c r="CA373" i="24"/>
  <c r="CA374" i="24"/>
  <c r="CA375" i="24"/>
  <c r="CA376" i="24"/>
  <c r="CA377" i="24"/>
  <c r="CA378" i="24"/>
  <c r="CA379" i="24"/>
  <c r="CA380" i="24"/>
  <c r="CA381" i="24"/>
  <c r="CA332" i="24"/>
  <c r="CA333" i="24"/>
  <c r="CA334" i="24"/>
  <c r="CA335" i="24"/>
  <c r="CA336" i="24"/>
  <c r="CA345" i="24"/>
  <c r="CA331" i="24"/>
  <c r="BZ289" i="24"/>
  <c r="CA290" i="24"/>
  <c r="CA291" i="24"/>
  <c r="CA292" i="24"/>
  <c r="CA293" i="24"/>
  <c r="CA294" i="24"/>
  <c r="CA295" i="24"/>
  <c r="CA296" i="24"/>
  <c r="CA297" i="24"/>
  <c r="CA298" i="24"/>
  <c r="CA299" i="24"/>
  <c r="CA300" i="24"/>
  <c r="CA301" i="24"/>
  <c r="CA302" i="24"/>
  <c r="CA303" i="24"/>
  <c r="CA304" i="24"/>
  <c r="CA305" i="24"/>
  <c r="CA306" i="24"/>
  <c r="CA307" i="24"/>
  <c r="CA308" i="24"/>
  <c r="CA309" i="24"/>
  <c r="CA310" i="24"/>
  <c r="CA311" i="24"/>
  <c r="CA312" i="24"/>
  <c r="CA313" i="24"/>
  <c r="CA314" i="24"/>
  <c r="CA315" i="24"/>
  <c r="CA316" i="24"/>
  <c r="CA317" i="24"/>
  <c r="CA318" i="24"/>
  <c r="CA319" i="24"/>
  <c r="CA320" i="24"/>
  <c r="CA321" i="24"/>
  <c r="CA322" i="24"/>
  <c r="CA323" i="24"/>
  <c r="CA324" i="24"/>
  <c r="CA325" i="24"/>
  <c r="CA326" i="24"/>
  <c r="CA327" i="24"/>
  <c r="CA328" i="24"/>
  <c r="CA329" i="24"/>
  <c r="CA289" i="24"/>
  <c r="CA157" i="24"/>
  <c r="CA158" i="24"/>
  <c r="CA159" i="24"/>
  <c r="CA160" i="24"/>
  <c r="CA161" i="24"/>
  <c r="CA162" i="24"/>
  <c r="CA163" i="24"/>
  <c r="CA164" i="24"/>
  <c r="CA165" i="24"/>
  <c r="CA166" i="24"/>
  <c r="CA172" i="24"/>
  <c r="CA173" i="24"/>
  <c r="CA174" i="24"/>
  <c r="CA175" i="24"/>
  <c r="CA176" i="24"/>
  <c r="CA177" i="24"/>
  <c r="CA178" i="24"/>
  <c r="CA179" i="24"/>
  <c r="CA180" i="24"/>
  <c r="CA181" i="24"/>
  <c r="CA182" i="24"/>
  <c r="CA183" i="24"/>
  <c r="CA184" i="24"/>
  <c r="CA185" i="24"/>
  <c r="CA186" i="24"/>
  <c r="CA187" i="24"/>
  <c r="CA188" i="24"/>
  <c r="CA189" i="24"/>
  <c r="CA190" i="24"/>
  <c r="CA191" i="24"/>
  <c r="CA192" i="24"/>
  <c r="CA193" i="24"/>
  <c r="CA194" i="24"/>
  <c r="CA195" i="24"/>
  <c r="CA196" i="24"/>
  <c r="CA197" i="24"/>
  <c r="CA198" i="24"/>
  <c r="CA199" i="24"/>
  <c r="CA200" i="24"/>
  <c r="CA201" i="24"/>
  <c r="CA202" i="24"/>
  <c r="CA203" i="24"/>
  <c r="CA204" i="24"/>
  <c r="CA205" i="24"/>
  <c r="CA206" i="24"/>
  <c r="CA207" i="24"/>
  <c r="CA208" i="24"/>
  <c r="CA209" i="24"/>
  <c r="CA210" i="24"/>
  <c r="CA211" i="24"/>
  <c r="CA212" i="24"/>
  <c r="CA213" i="24"/>
  <c r="CA214" i="24"/>
  <c r="CA215" i="24"/>
  <c r="CA216" i="24"/>
  <c r="CA217" i="24"/>
  <c r="CA218" i="24"/>
  <c r="CA219" i="24"/>
  <c r="CA220" i="24"/>
  <c r="CA221" i="24"/>
  <c r="CA222" i="24"/>
  <c r="CA223" i="24"/>
  <c r="CA224" i="24"/>
  <c r="CA225" i="24"/>
  <c r="CA226" i="24"/>
  <c r="CA227" i="24"/>
  <c r="CA228" i="24"/>
  <c r="CA229" i="24"/>
  <c r="CA230" i="24"/>
  <c r="CA231" i="24"/>
  <c r="CA232" i="24"/>
  <c r="CA233" i="24"/>
  <c r="CA234" i="24"/>
  <c r="CA235" i="24"/>
  <c r="CA236" i="24"/>
  <c r="CA237" i="24"/>
  <c r="CA238" i="24"/>
  <c r="CA239" i="24"/>
  <c r="CA240" i="24"/>
  <c r="CA241" i="24"/>
  <c r="CA242" i="24"/>
  <c r="CA243" i="24"/>
  <c r="CA244" i="24"/>
  <c r="CA245" i="24"/>
  <c r="CA246" i="24"/>
  <c r="CA247" i="24"/>
  <c r="CA248" i="24"/>
  <c r="CA249" i="24"/>
  <c r="CA250" i="24"/>
  <c r="CA251" i="24"/>
  <c r="CA252" i="24"/>
  <c r="CA253" i="24"/>
  <c r="CA254" i="24"/>
  <c r="CA255" i="24"/>
  <c r="CA256" i="24"/>
  <c r="CA257" i="24"/>
  <c r="CA259" i="24"/>
  <c r="CA260" i="24"/>
  <c r="CA261" i="24"/>
  <c r="CA262" i="24"/>
  <c r="CA263" i="24"/>
  <c r="CA264" i="24"/>
  <c r="CA265" i="24"/>
  <c r="CA266" i="24"/>
  <c r="CA267" i="24"/>
  <c r="CA268" i="24"/>
  <c r="CA269" i="24"/>
  <c r="CA270" i="24"/>
  <c r="CA271" i="24"/>
  <c r="CA272" i="24"/>
  <c r="CA273" i="24"/>
  <c r="CA274" i="24"/>
  <c r="CA275" i="24"/>
  <c r="CA276" i="24"/>
  <c r="CA277" i="24"/>
  <c r="CA278" i="24"/>
  <c r="CA279" i="24"/>
  <c r="CA280" i="24"/>
  <c r="CA281" i="24"/>
  <c r="CA282" i="24"/>
  <c r="CA283" i="24"/>
  <c r="CA284" i="24"/>
  <c r="CA140" i="24"/>
  <c r="CA141" i="24"/>
  <c r="CA142" i="24"/>
  <c r="CA143" i="24"/>
  <c r="CA144" i="24"/>
  <c r="CA145" i="24"/>
  <c r="CA146" i="24"/>
  <c r="CA147" i="24"/>
  <c r="CA148" i="24"/>
  <c r="CA149" i="24"/>
  <c r="CA150" i="24"/>
  <c r="CA151" i="24"/>
  <c r="CA152" i="24"/>
  <c r="CA153" i="24"/>
  <c r="CA154" i="24"/>
  <c r="CA155" i="24"/>
  <c r="CA156" i="24"/>
  <c r="CA101" i="24"/>
  <c r="CA102" i="24"/>
  <c r="CA103" i="24"/>
  <c r="CA104" i="24"/>
  <c r="CA105" i="24"/>
  <c r="CA106" i="24"/>
  <c r="CA107" i="24"/>
  <c r="CA108" i="24"/>
  <c r="CA109" i="24"/>
  <c r="CA110" i="24"/>
  <c r="CA111" i="24"/>
  <c r="CA112" i="24"/>
  <c r="CA113" i="24"/>
  <c r="CA114" i="24"/>
  <c r="CA115" i="24"/>
  <c r="CA116" i="24"/>
  <c r="CA117" i="24"/>
  <c r="CA118" i="24"/>
  <c r="CA119" i="24"/>
  <c r="CA120" i="24"/>
  <c r="CA121" i="24"/>
  <c r="CA122" i="24"/>
  <c r="CA123" i="24"/>
  <c r="CA124" i="24"/>
  <c r="CA125" i="24"/>
  <c r="CA126" i="24"/>
  <c r="CA127" i="24"/>
  <c r="CA128" i="24"/>
  <c r="CA129" i="24"/>
  <c r="CA130" i="24"/>
  <c r="CA131" i="24"/>
  <c r="CA132" i="24"/>
  <c r="CA133" i="24"/>
  <c r="CA134" i="24"/>
  <c r="CA135" i="24"/>
  <c r="CA136" i="24"/>
  <c r="CA137" i="24"/>
  <c r="CA138" i="24"/>
  <c r="CA139" i="24"/>
  <c r="CA100" i="24"/>
  <c r="CA11" i="24"/>
  <c r="CA12" i="24"/>
  <c r="CA13" i="24"/>
  <c r="CA14" i="24"/>
  <c r="CA15" i="24"/>
  <c r="CA16" i="24"/>
  <c r="CA17" i="24"/>
  <c r="CA18" i="24"/>
  <c r="CA19" i="24"/>
  <c r="CA20" i="24"/>
  <c r="CA21" i="24"/>
  <c r="CA22" i="24"/>
  <c r="CA23" i="24"/>
  <c r="CA24" i="24"/>
  <c r="CA25" i="24"/>
  <c r="CA26" i="24"/>
  <c r="CA27" i="24"/>
  <c r="CA28" i="24"/>
  <c r="CA29" i="24"/>
  <c r="CA30" i="24"/>
  <c r="CA31" i="24"/>
  <c r="CA32" i="24"/>
  <c r="CA33" i="24"/>
  <c r="CA34" i="24"/>
  <c r="CA35" i="24"/>
  <c r="CA36" i="24"/>
  <c r="CA37" i="24"/>
  <c r="CA38" i="24"/>
  <c r="CA39" i="24"/>
  <c r="CA40" i="24"/>
  <c r="CA41" i="24"/>
  <c r="CA42" i="24"/>
  <c r="CA43" i="24"/>
  <c r="CA44" i="24"/>
  <c r="CA45" i="24"/>
  <c r="CA46" i="24"/>
  <c r="CA47" i="24"/>
  <c r="CA48" i="24"/>
  <c r="CA49" i="24"/>
  <c r="CA50" i="24"/>
  <c r="CA52" i="24"/>
  <c r="CA53" i="24"/>
  <c r="CA54" i="24"/>
  <c r="CA55" i="24"/>
  <c r="CA56" i="24"/>
  <c r="CA57" i="24"/>
  <c r="CA58" i="24"/>
  <c r="CA59" i="24"/>
  <c r="CA60" i="24"/>
  <c r="CA61" i="24"/>
  <c r="CA62" i="24"/>
  <c r="CA63" i="24"/>
  <c r="CA64" i="24"/>
  <c r="CA65" i="24"/>
  <c r="CA66" i="24"/>
  <c r="CA67" i="24"/>
  <c r="CA68" i="24"/>
  <c r="CA69" i="24"/>
  <c r="CA70" i="24"/>
  <c r="CA71" i="24"/>
  <c r="CA72" i="24"/>
  <c r="CA73" i="24"/>
  <c r="CA74" i="24"/>
  <c r="CA75" i="24"/>
  <c r="CA76" i="24"/>
  <c r="CA77" i="24"/>
  <c r="CA78" i="24"/>
  <c r="CA79" i="24"/>
  <c r="CA80" i="24"/>
  <c r="CA81" i="24"/>
  <c r="CA82" i="24"/>
  <c r="CA83" i="24"/>
  <c r="CA84" i="24"/>
  <c r="CA85" i="24"/>
  <c r="CA86" i="24"/>
  <c r="CA87" i="24"/>
  <c r="CA88" i="24"/>
  <c r="CA89" i="24"/>
  <c r="CA90" i="24"/>
  <c r="CA10" i="24"/>
  <c r="BD61" i="22" l="1"/>
  <c r="BD62" i="22"/>
  <c r="BD63" i="22"/>
  <c r="BD64" i="22"/>
  <c r="BD65" i="22"/>
  <c r="BD66" i="22"/>
  <c r="BD67" i="22"/>
  <c r="BD68" i="22"/>
  <c r="BD69" i="22"/>
  <c r="BD70" i="22"/>
  <c r="BD71" i="22"/>
  <c r="BD72" i="22"/>
  <c r="BD73" i="22"/>
  <c r="BD74" i="22"/>
  <c r="BD75" i="22"/>
  <c r="BD76" i="22"/>
  <c r="BD77" i="22"/>
  <c r="BD78" i="22"/>
  <c r="BD79" i="22"/>
  <c r="AN31" i="53" l="1"/>
  <c r="AM31" i="53"/>
  <c r="AU59" i="53" l="1"/>
  <c r="BM59" i="53" s="1"/>
  <c r="AT59" i="53"/>
  <c r="AT61" i="53" s="1"/>
  <c r="AU61" i="53" s="1"/>
  <c r="BM61" i="53" s="1"/>
  <c r="BN61" i="53" s="1"/>
  <c r="AO14" i="56"/>
  <c r="AO13" i="56"/>
  <c r="AN25" i="47" l="1"/>
  <c r="AN16" i="47"/>
  <c r="AB26" i="44" l="1"/>
  <c r="X26" i="44" a="1"/>
  <c r="W26" i="44" a="1"/>
  <c r="X26" i="44" l="1"/>
  <c r="W26" i="44"/>
  <c r="BC54" i="54" l="1"/>
  <c r="BC52" i="54" s="1"/>
  <c r="BD54" i="54"/>
  <c r="BC74" i="54"/>
  <c r="BC71" i="54" s="1"/>
  <c r="BC84" i="54"/>
  <c r="BC81" i="54" s="1"/>
  <c r="BC94" i="54"/>
  <c r="BC91" i="54" s="1"/>
  <c r="BC110" i="54"/>
  <c r="BC109" i="54" s="1"/>
  <c r="BD16" i="54"/>
  <c r="BD26" i="54"/>
  <c r="BJ402" i="22"/>
  <c r="CB402" i="22" s="1"/>
  <c r="BJ433" i="22"/>
  <c r="CB433" i="22" s="1"/>
  <c r="BJ432" i="22"/>
  <c r="CB432" i="22" s="1"/>
  <c r="BJ431" i="22"/>
  <c r="CB431" i="22" s="1"/>
  <c r="BJ430" i="22"/>
  <c r="CB430" i="22" s="1"/>
  <c r="BJ429" i="22"/>
  <c r="CB429" i="22" s="1"/>
  <c r="BJ428" i="22"/>
  <c r="CB428" i="22" s="1"/>
  <c r="BJ427" i="22"/>
  <c r="CB427" i="22" s="1"/>
  <c r="BJ426" i="22"/>
  <c r="CB426" i="22" s="1"/>
  <c r="BJ425" i="22"/>
  <c r="CB425" i="22" s="1"/>
  <c r="BJ424" i="22"/>
  <c r="CB424" i="22" s="1"/>
  <c r="BJ423" i="22"/>
  <c r="CB423" i="22" s="1"/>
  <c r="BJ422" i="22"/>
  <c r="CB422" i="22" s="1"/>
  <c r="BJ421" i="22"/>
  <c r="CB421" i="22" s="1"/>
  <c r="BJ420" i="22"/>
  <c r="CB420" i="22" s="1"/>
  <c r="BJ419" i="22"/>
  <c r="CB419" i="22" s="1"/>
  <c r="BJ418" i="22"/>
  <c r="CB418" i="22" s="1"/>
  <c r="BJ417" i="22"/>
  <c r="CB417" i="22" s="1"/>
  <c r="BJ416" i="22"/>
  <c r="CB416" i="22" s="1"/>
  <c r="BJ415" i="22"/>
  <c r="CB415" i="22" s="1"/>
  <c r="BJ414" i="22"/>
  <c r="CB414" i="22" s="1"/>
  <c r="BJ413" i="22"/>
  <c r="CB413" i="22" s="1"/>
  <c r="BJ412" i="22"/>
  <c r="CB412" i="22" s="1"/>
  <c r="BJ411" i="22"/>
  <c r="CB411" i="22" s="1"/>
  <c r="BJ410" i="22"/>
  <c r="CB410" i="22" s="1"/>
  <c r="BJ409" i="22"/>
  <c r="CB409" i="22" s="1"/>
  <c r="BJ408" i="22"/>
  <c r="CB408" i="22" s="1"/>
  <c r="BJ407" i="22"/>
  <c r="CB407" i="22" s="1"/>
  <c r="BJ406" i="22"/>
  <c r="CB406" i="22" s="1"/>
  <c r="BJ405" i="22"/>
  <c r="CB405" i="22" s="1"/>
  <c r="BJ404" i="22"/>
  <c r="CB404" i="22" s="1"/>
  <c r="BJ403" i="22"/>
  <c r="CB403" i="22" s="1"/>
  <c r="BJ401" i="22"/>
  <c r="CB401" i="22" s="1"/>
  <c r="BJ400" i="22"/>
  <c r="CB400" i="22" s="1"/>
  <c r="BJ399" i="22"/>
  <c r="CB399" i="22" s="1"/>
  <c r="BJ398" i="22"/>
  <c r="CB398" i="22" s="1"/>
  <c r="BJ397" i="22"/>
  <c r="CB397" i="22" s="1"/>
  <c r="BJ396" i="22"/>
  <c r="CB396" i="22" s="1"/>
  <c r="BJ395" i="22"/>
  <c r="CB395" i="22" s="1"/>
  <c r="BJ394" i="22"/>
  <c r="CB394" i="22" s="1"/>
  <c r="BJ393" i="22"/>
  <c r="CB393" i="22" s="1"/>
  <c r="BJ392" i="22"/>
  <c r="CB392" i="22" s="1"/>
  <c r="BJ391" i="22"/>
  <c r="CB391" i="22" s="1"/>
  <c r="BJ390" i="22"/>
  <c r="CB390" i="22" s="1"/>
  <c r="BJ389" i="22"/>
  <c r="CB389" i="22" s="1"/>
  <c r="BJ388" i="22"/>
  <c r="CB388" i="22" s="1"/>
  <c r="BJ387" i="22"/>
  <c r="CB387" i="22" s="1"/>
  <c r="BJ386" i="22"/>
  <c r="CB386" i="22" s="1"/>
  <c r="BJ384" i="22"/>
  <c r="CB384" i="22" s="1"/>
  <c r="BJ383" i="22"/>
  <c r="CB383" i="22" s="1"/>
  <c r="BJ382" i="22"/>
  <c r="CB382" i="22" s="1"/>
  <c r="BJ381" i="22"/>
  <c r="CB381" i="22" s="1"/>
  <c r="BJ380" i="22"/>
  <c r="CB380" i="22" s="1"/>
  <c r="BJ379" i="22"/>
  <c r="CB379" i="22" s="1"/>
  <c r="BJ378" i="22"/>
  <c r="CB378" i="22" s="1"/>
  <c r="BJ377" i="22"/>
  <c r="CB377" i="22" s="1"/>
  <c r="BJ376" i="22"/>
  <c r="CB376" i="22" s="1"/>
  <c r="BJ375" i="22"/>
  <c r="CB375" i="22" s="1"/>
  <c r="BJ374" i="22"/>
  <c r="CB374" i="22" s="1"/>
  <c r="BJ373" i="22"/>
  <c r="CB373" i="22" s="1"/>
  <c r="BJ372" i="22"/>
  <c r="CB372" i="22" s="1"/>
  <c r="BJ371" i="22"/>
  <c r="CB371" i="22" s="1"/>
  <c r="BJ370" i="22"/>
  <c r="CB370" i="22" s="1"/>
  <c r="BJ369" i="22"/>
  <c r="CB369" i="22" s="1"/>
  <c r="BJ368" i="22"/>
  <c r="CB368" i="22" s="1"/>
  <c r="BJ367" i="22"/>
  <c r="CB367" i="22" s="1"/>
  <c r="BJ366" i="22"/>
  <c r="CB366" i="22" s="1"/>
  <c r="BJ365" i="22"/>
  <c r="CB365" i="22" s="1"/>
  <c r="BJ364" i="22"/>
  <c r="CB364" i="22" s="1"/>
  <c r="BJ363" i="22"/>
  <c r="CB363" i="22" s="1"/>
  <c r="BJ362" i="22"/>
  <c r="CB362" i="22" s="1"/>
  <c r="BJ361" i="22"/>
  <c r="CB361" i="22" s="1"/>
  <c r="BJ360" i="22"/>
  <c r="CB360" i="22" s="1"/>
  <c r="BJ359" i="22"/>
  <c r="CB359" i="22" s="1"/>
  <c r="BJ358" i="22"/>
  <c r="CB358" i="22" s="1"/>
  <c r="BJ357" i="22"/>
  <c r="CB357" i="22" s="1"/>
  <c r="BJ356" i="22"/>
  <c r="CB356" i="22" s="1"/>
  <c r="BJ355" i="22"/>
  <c r="CB355" i="22" s="1"/>
  <c r="BJ354" i="22"/>
  <c r="CB354" i="22" s="1"/>
  <c r="BJ353" i="22"/>
  <c r="CB353" i="22" s="1"/>
  <c r="BJ352" i="22"/>
  <c r="CB352" i="22" s="1"/>
  <c r="BJ351" i="22"/>
  <c r="CB351" i="22" s="1"/>
  <c r="BJ350" i="22"/>
  <c r="CB350" i="22" s="1"/>
  <c r="BJ349" i="22"/>
  <c r="CB349" i="22" s="1"/>
  <c r="BJ348" i="22"/>
  <c r="CB348" i="22" s="1"/>
  <c r="BJ347" i="22"/>
  <c r="CB347" i="22" s="1"/>
  <c r="BJ346" i="22"/>
  <c r="CB346" i="22" s="1"/>
  <c r="BJ345" i="22"/>
  <c r="CB345" i="22" s="1"/>
  <c r="BJ344" i="22"/>
  <c r="CB344" i="22" s="1"/>
  <c r="BJ343" i="22"/>
  <c r="CB343" i="22" s="1"/>
  <c r="BJ342" i="22"/>
  <c r="CB342" i="22" s="1"/>
  <c r="BJ341" i="22"/>
  <c r="CB341" i="22" s="1"/>
  <c r="BJ340" i="22"/>
  <c r="CB340" i="22" s="1"/>
  <c r="BJ339" i="22"/>
  <c r="CB339" i="22" s="1"/>
  <c r="BJ338" i="22"/>
  <c r="CB338" i="22" s="1"/>
  <c r="BJ337" i="22"/>
  <c r="CB337" i="22" s="1"/>
  <c r="BJ209" i="22"/>
  <c r="CB209" i="22" s="1"/>
  <c r="BJ210" i="22"/>
  <c r="CB210" i="22" s="1"/>
  <c r="BJ211" i="22"/>
  <c r="CB211" i="22" s="1"/>
  <c r="BJ217" i="22"/>
  <c r="CB217" i="22" s="1"/>
  <c r="BJ218" i="22"/>
  <c r="CB218" i="22" s="1"/>
  <c r="BJ219" i="22"/>
  <c r="CB219" i="22" s="1"/>
  <c r="BJ220" i="22"/>
  <c r="CB220" i="22" s="1"/>
  <c r="BJ221" i="22"/>
  <c r="CB221" i="22" s="1"/>
  <c r="BJ222" i="22"/>
  <c r="CB222" i="22" s="1"/>
  <c r="BJ223" i="22"/>
  <c r="CB223" i="22" s="1"/>
  <c r="BJ225" i="22"/>
  <c r="CB225" i="22" s="1"/>
  <c r="BJ226" i="22"/>
  <c r="CB226" i="22" s="1"/>
  <c r="BJ227" i="22"/>
  <c r="CB227" i="22" s="1"/>
  <c r="BJ233" i="22"/>
  <c r="CB233" i="22" s="1"/>
  <c r="BJ234" i="22"/>
  <c r="CB234" i="22" s="1"/>
  <c r="BJ235" i="22"/>
  <c r="CB235" i="22" s="1"/>
  <c r="BJ236" i="22"/>
  <c r="CB236" i="22" s="1"/>
  <c r="BJ237" i="22"/>
  <c r="CB237" i="22" s="1"/>
  <c r="BJ238" i="22"/>
  <c r="CB238" i="22" s="1"/>
  <c r="BJ239" i="22"/>
  <c r="CB239" i="22" s="1"/>
  <c r="BJ241" i="22"/>
  <c r="CB241" i="22" s="1"/>
  <c r="BJ242" i="22"/>
  <c r="CB242" i="22" s="1"/>
  <c r="BJ243" i="22"/>
  <c r="CB243" i="22" s="1"/>
  <c r="BJ249" i="22"/>
  <c r="CB249" i="22" s="1"/>
  <c r="BJ250" i="22"/>
  <c r="CB250" i="22" s="1"/>
  <c r="BJ251" i="22"/>
  <c r="CB251" i="22" s="1"/>
  <c r="BJ252" i="22"/>
  <c r="CB252" i="22" s="1"/>
  <c r="BJ253" i="22"/>
  <c r="CB253" i="22" s="1"/>
  <c r="BJ254" i="22"/>
  <c r="CB254" i="22" s="1"/>
  <c r="BJ255" i="22"/>
  <c r="CB255" i="22" s="1"/>
  <c r="BJ257" i="22"/>
  <c r="CB257" i="22" s="1"/>
  <c r="BJ258" i="22"/>
  <c r="CB258" i="22" s="1"/>
  <c r="BJ259" i="22"/>
  <c r="CB259" i="22" s="1"/>
  <c r="BJ265" i="22"/>
  <c r="CB265" i="22" s="1"/>
  <c r="BJ266" i="22"/>
  <c r="CB266" i="22" s="1"/>
  <c r="BJ267" i="22"/>
  <c r="CB267" i="22" s="1"/>
  <c r="BJ268" i="22"/>
  <c r="CB268" i="22" s="1"/>
  <c r="BJ269" i="22"/>
  <c r="CB269" i="22" s="1"/>
  <c r="BJ270" i="22"/>
  <c r="CB270" i="22" s="1"/>
  <c r="BJ271" i="22"/>
  <c r="CB271" i="22" s="1"/>
  <c r="BJ273" i="22"/>
  <c r="CB273" i="22" s="1"/>
  <c r="BJ274" i="22"/>
  <c r="CB274" i="22" s="1"/>
  <c r="BJ275" i="22"/>
  <c r="CB275" i="22" s="1"/>
  <c r="BJ281" i="22"/>
  <c r="CB281" i="22" s="1"/>
  <c r="BJ282" i="22"/>
  <c r="CB282" i="22" s="1"/>
  <c r="BJ283" i="22"/>
  <c r="CB283" i="22" s="1"/>
  <c r="BJ284" i="22"/>
  <c r="CB284" i="22" s="1"/>
  <c r="BJ285" i="22"/>
  <c r="CB285" i="22" s="1"/>
  <c r="BJ286" i="22"/>
  <c r="CB286" i="22" s="1"/>
  <c r="BJ287" i="22"/>
  <c r="CB287" i="22" s="1"/>
  <c r="BJ289" i="22"/>
  <c r="CB289" i="22" s="1"/>
  <c r="BJ290" i="22"/>
  <c r="CB290" i="22" s="1"/>
  <c r="BJ291" i="22"/>
  <c r="CB291" i="22" s="1"/>
  <c r="BJ297" i="22"/>
  <c r="CB297" i="22" s="1"/>
  <c r="BJ298" i="22"/>
  <c r="CB298" i="22" s="1"/>
  <c r="BJ299" i="22"/>
  <c r="CB299" i="22" s="1"/>
  <c r="BJ300" i="22"/>
  <c r="CB300" i="22" s="1"/>
  <c r="BJ301" i="22"/>
  <c r="CB301" i="22" s="1"/>
  <c r="BJ302" i="22"/>
  <c r="CB302" i="22" s="1"/>
  <c r="BJ303" i="22"/>
  <c r="CB303" i="22" s="1"/>
  <c r="BD52" i="54" l="1"/>
  <c r="BD22" i="54" s="1"/>
  <c r="BD13" i="54" s="1"/>
  <c r="BE25" i="54"/>
  <c r="BD7" i="54"/>
  <c r="T28" i="19"/>
  <c r="X69" i="13"/>
  <c r="L27" i="19" a="1"/>
  <c r="Q69" i="13" a="1"/>
  <c r="O69" i="13" a="1"/>
  <c r="N69" i="13" a="1"/>
  <c r="N27" i="19" a="1"/>
  <c r="P69" i="13" a="1"/>
  <c r="M69" i="13" a="1"/>
  <c r="M27" i="19" a="1"/>
  <c r="L27" i="19" l="1"/>
  <c r="Q69" i="13"/>
  <c r="N27" i="19"/>
  <c r="M27" i="19"/>
  <c r="P69" i="13"/>
  <c r="O69" i="13"/>
  <c r="N69" i="13"/>
  <c r="BE15" i="54"/>
  <c r="M69" i="13"/>
  <c r="CC7" i="54"/>
  <c r="BW82" i="45"/>
  <c r="BW81" i="45"/>
  <c r="BW118" i="45"/>
  <c r="BW115" i="45"/>
  <c r="BW111" i="45"/>
  <c r="BW114" i="45" l="1"/>
  <c r="BW125" i="45" l="1"/>
  <c r="BW98" i="45"/>
  <c r="BW97" i="45" l="1"/>
  <c r="BW107" i="45" s="1"/>
  <c r="BW76" i="45"/>
  <c r="BV76" i="45"/>
  <c r="BU76" i="45"/>
  <c r="BT76" i="45"/>
  <c r="BS76" i="45"/>
  <c r="BV65" i="45"/>
  <c r="BW65" i="45"/>
  <c r="BU65" i="45"/>
  <c r="BT65" i="45"/>
  <c r="BS65" i="45"/>
  <c r="BW61" i="45"/>
  <c r="BV61" i="45"/>
  <c r="BU61" i="45"/>
  <c r="BT61" i="45"/>
  <c r="BS61" i="45"/>
  <c r="BW55" i="45"/>
  <c r="BV55" i="45"/>
  <c r="BU55" i="45"/>
  <c r="BT55" i="45"/>
  <c r="BS55" i="45"/>
  <c r="BT49" i="45"/>
  <c r="BU49" i="45"/>
  <c r="BV49" i="45"/>
  <c r="BW49" i="45"/>
  <c r="BW48" i="45" s="1"/>
  <c r="BS49" i="45"/>
  <c r="BR49" i="45"/>
  <c r="BW43" i="45" l="1"/>
  <c r="BW33" i="45"/>
  <c r="BW36" i="45" s="1"/>
  <c r="BW14" i="45"/>
  <c r="BV14" i="45"/>
  <c r="BW13" i="45" l="1"/>
  <c r="BW6" i="45"/>
  <c r="BW10" i="45" l="1"/>
  <c r="BW20" i="45"/>
  <c r="BW5" i="45" l="1"/>
  <c r="BW78" i="45"/>
  <c r="BW88" i="45" s="1"/>
  <c r="K64" i="19" a="1"/>
  <c r="K27" i="19" a="1"/>
  <c r="K27" i="19" l="1"/>
  <c r="K64" i="19"/>
  <c r="BC16" i="54" l="1"/>
  <c r="BC17" i="54"/>
  <c r="BC18" i="54"/>
  <c r="BC19" i="54"/>
  <c r="BC21" i="54"/>
  <c r="BC22" i="54"/>
  <c r="BC23" i="54"/>
  <c r="BC24" i="54"/>
  <c r="BC26" i="54"/>
  <c r="BC27" i="54"/>
  <c r="BC28" i="54"/>
  <c r="BC29" i="54"/>
  <c r="BC30" i="54"/>
  <c r="BC31" i="54"/>
  <c r="BC32" i="54"/>
  <c r="BC33" i="54"/>
  <c r="BC34" i="54"/>
  <c r="BC35" i="54"/>
  <c r="BC14" i="54" l="1"/>
  <c r="BC12" i="54"/>
  <c r="BC8" i="54"/>
  <c r="BC7" i="54"/>
  <c r="BD15" i="54" s="1"/>
  <c r="BD25" i="54"/>
  <c r="BC11" i="54"/>
  <c r="BC13" i="54"/>
  <c r="BC10" i="54"/>
  <c r="BC9" i="54"/>
  <c r="BC61" i="22" l="1"/>
  <c r="BC62" i="22"/>
  <c r="BC63" i="22"/>
  <c r="BC64" i="22"/>
  <c r="BC65" i="22"/>
  <c r="BC66" i="22"/>
  <c r="BC67" i="22"/>
  <c r="BC68" i="22"/>
  <c r="BC69" i="22"/>
  <c r="BC70" i="22"/>
  <c r="BC71" i="22"/>
  <c r="BC72" i="22"/>
  <c r="BC73" i="22"/>
  <c r="BC74" i="22"/>
  <c r="BC75" i="22"/>
  <c r="BC76" i="22"/>
  <c r="BC77" i="22"/>
  <c r="BC78" i="22"/>
  <c r="BC79" i="22"/>
  <c r="AU93" i="53" l="1"/>
  <c r="BM93" i="53" s="1"/>
  <c r="AT93" i="53"/>
  <c r="AU105" i="53"/>
  <c r="BM105" i="53" s="1"/>
  <c r="AT105" i="53"/>
  <c r="AN14" i="56"/>
  <c r="AN13" i="56"/>
  <c r="AI71" i="54" l="1"/>
  <c r="AI61" i="54"/>
  <c r="AI52" i="54"/>
  <c r="AI42" i="54"/>
  <c r="AJ42" i="54"/>
  <c r="AK42" i="54"/>
  <c r="AL42" i="54"/>
  <c r="AM42" i="54"/>
  <c r="AN42" i="54"/>
  <c r="AO42" i="54"/>
  <c r="AP42" i="54"/>
  <c r="AQ42" i="54"/>
  <c r="AR42" i="54"/>
  <c r="AS42" i="54"/>
  <c r="AT42" i="54"/>
  <c r="AI35" i="54"/>
  <c r="AT34" i="54"/>
  <c r="AS34" i="54"/>
  <c r="AR34" i="54"/>
  <c r="AQ34" i="54"/>
  <c r="AP34" i="54"/>
  <c r="AO34" i="54"/>
  <c r="AN34" i="54"/>
  <c r="AM34" i="54"/>
  <c r="AL34" i="54"/>
  <c r="AK34" i="54"/>
  <c r="AJ34" i="54"/>
  <c r="AI34" i="54"/>
  <c r="AT33" i="54"/>
  <c r="AS33" i="54"/>
  <c r="AR33" i="54"/>
  <c r="AQ33" i="54"/>
  <c r="AP33" i="54"/>
  <c r="AO33" i="54"/>
  <c r="AN33" i="54"/>
  <c r="AM33" i="54"/>
  <c r="AL33" i="54"/>
  <c r="AK33" i="54"/>
  <c r="AJ33" i="54"/>
  <c r="AI33" i="54"/>
  <c r="AT31" i="54"/>
  <c r="AS31" i="54"/>
  <c r="AR31" i="54"/>
  <c r="AQ31" i="54"/>
  <c r="AP31" i="54"/>
  <c r="AO31" i="54"/>
  <c r="AN31" i="54"/>
  <c r="AM31" i="54"/>
  <c r="AL31" i="54"/>
  <c r="AK31" i="54"/>
  <c r="AJ31" i="54"/>
  <c r="AI31" i="54"/>
  <c r="AT30" i="54"/>
  <c r="AS30" i="54"/>
  <c r="AR30" i="54"/>
  <c r="AQ30" i="54"/>
  <c r="AP30" i="54"/>
  <c r="AO30" i="54"/>
  <c r="AN30" i="54"/>
  <c r="AM30" i="54"/>
  <c r="AL30" i="54"/>
  <c r="AK30" i="54"/>
  <c r="AJ30" i="54"/>
  <c r="AI30" i="54"/>
  <c r="AT29" i="54"/>
  <c r="AS29" i="54"/>
  <c r="AR29" i="54"/>
  <c r="AQ29" i="54"/>
  <c r="AP29" i="54"/>
  <c r="AO29" i="54"/>
  <c r="AN29" i="54"/>
  <c r="AM29" i="54"/>
  <c r="AL29" i="54"/>
  <c r="AK29" i="54"/>
  <c r="AJ29" i="54"/>
  <c r="AI29" i="54"/>
  <c r="AT28" i="54"/>
  <c r="AS28" i="54"/>
  <c r="AR28" i="54"/>
  <c r="AQ28" i="54"/>
  <c r="AP28" i="54"/>
  <c r="AO28" i="54"/>
  <c r="AN28" i="54"/>
  <c r="AM28" i="54"/>
  <c r="AL28" i="54"/>
  <c r="AK28" i="54"/>
  <c r="AJ28" i="54"/>
  <c r="AI28" i="54"/>
  <c r="AT26" i="54"/>
  <c r="CE26" i="54" s="1"/>
  <c r="AS26" i="54"/>
  <c r="AR26" i="54"/>
  <c r="AQ26" i="54"/>
  <c r="AP26" i="54"/>
  <c r="AO26" i="54"/>
  <c r="AN26" i="54"/>
  <c r="AM26" i="54"/>
  <c r="AL26" i="54"/>
  <c r="AK26" i="54"/>
  <c r="AJ26" i="54"/>
  <c r="AI26" i="54"/>
  <c r="AI17" i="54"/>
  <c r="AI24" i="54"/>
  <c r="AW101" i="54"/>
  <c r="AI81" i="54"/>
  <c r="AT71" i="54"/>
  <c r="AS71" i="54"/>
  <c r="AR71" i="54"/>
  <c r="AQ71" i="54"/>
  <c r="AP71" i="54"/>
  <c r="AO71" i="54"/>
  <c r="AN71" i="54"/>
  <c r="AM71" i="54"/>
  <c r="AL71" i="54"/>
  <c r="AK71" i="54"/>
  <c r="AJ71" i="54"/>
  <c r="AT61" i="54"/>
  <c r="AS61" i="54"/>
  <c r="AR61" i="54"/>
  <c r="AQ61" i="54"/>
  <c r="AP61" i="54"/>
  <c r="AO61" i="54"/>
  <c r="AN61" i="54"/>
  <c r="AM61" i="54"/>
  <c r="AL61" i="54"/>
  <c r="AK61" i="54"/>
  <c r="AJ61" i="54"/>
  <c r="AT25" i="54"/>
  <c r="AS25" i="54"/>
  <c r="AR25" i="54"/>
  <c r="AQ25" i="54"/>
  <c r="AP25" i="54"/>
  <c r="AO25" i="54"/>
  <c r="AN25" i="54"/>
  <c r="AM25" i="54"/>
  <c r="AL25" i="54"/>
  <c r="AK25" i="54"/>
  <c r="AJ25" i="54"/>
  <c r="AT23" i="54"/>
  <c r="AS23" i="54"/>
  <c r="AR23" i="54"/>
  <c r="AQ23" i="54"/>
  <c r="AP23" i="54"/>
  <c r="AO23" i="54"/>
  <c r="AN23" i="54"/>
  <c r="AM23" i="54"/>
  <c r="AL23" i="54"/>
  <c r="AK23" i="54"/>
  <c r="AJ23" i="54"/>
  <c r="AT21" i="54"/>
  <c r="AS21" i="54"/>
  <c r="AR21" i="54"/>
  <c r="AQ21" i="54"/>
  <c r="AP21" i="54"/>
  <c r="AO21" i="54"/>
  <c r="AN21" i="54"/>
  <c r="AM21" i="54"/>
  <c r="AL21" i="54"/>
  <c r="AK21" i="54"/>
  <c r="AJ21" i="54"/>
  <c r="AT19" i="54"/>
  <c r="AS19" i="54"/>
  <c r="AR19" i="54"/>
  <c r="AQ19" i="54"/>
  <c r="AP19" i="54"/>
  <c r="AO19" i="54"/>
  <c r="AN19" i="54"/>
  <c r="AM19" i="54"/>
  <c r="AL19" i="54"/>
  <c r="AK19" i="54"/>
  <c r="AJ19" i="54"/>
  <c r="AT18" i="54"/>
  <c r="AS18" i="54"/>
  <c r="AR18" i="54"/>
  <c r="AQ18" i="54"/>
  <c r="AP18" i="54"/>
  <c r="AO18" i="54"/>
  <c r="AN18" i="54"/>
  <c r="AM18" i="54"/>
  <c r="AL18" i="54"/>
  <c r="AK18" i="54"/>
  <c r="AJ18" i="54"/>
  <c r="AT17" i="54"/>
  <c r="AS17" i="54"/>
  <c r="AR17" i="54"/>
  <c r="AQ17" i="54"/>
  <c r="AP17" i="54"/>
  <c r="AO17" i="54"/>
  <c r="AN17" i="54"/>
  <c r="AM17" i="54"/>
  <c r="AL17" i="54"/>
  <c r="AK17" i="54"/>
  <c r="AJ17" i="54"/>
  <c r="AT16" i="54"/>
  <c r="CE16" i="54" s="1"/>
  <c r="AS16" i="54"/>
  <c r="AR16" i="54"/>
  <c r="AQ16" i="54"/>
  <c r="AP16" i="54"/>
  <c r="AO16" i="54"/>
  <c r="AN16" i="54"/>
  <c r="AM16" i="54"/>
  <c r="AL16" i="54"/>
  <c r="AK16" i="54"/>
  <c r="AJ16" i="54"/>
  <c r="AI25" i="54"/>
  <c r="AI23" i="54"/>
  <c r="AI21" i="54"/>
  <c r="AI19" i="54"/>
  <c r="AI18" i="54"/>
  <c r="AI16" i="54"/>
  <c r="AW84" i="54"/>
  <c r="AY84" i="54"/>
  <c r="AY81" i="54" s="1"/>
  <c r="AZ84" i="54"/>
  <c r="AZ81" i="54" s="1"/>
  <c r="BA84" i="54"/>
  <c r="BA81" i="54" s="1"/>
  <c r="AZ18" i="54"/>
  <c r="AZ19" i="54"/>
  <c r="AZ21" i="54"/>
  <c r="AZ23" i="54"/>
  <c r="AX37" i="54"/>
  <c r="AY37" i="54"/>
  <c r="AZ37" i="54"/>
  <c r="AZ17" i="54" s="1"/>
  <c r="AI86" i="54"/>
  <c r="AI27" i="54" s="1"/>
  <c r="AJ86" i="54"/>
  <c r="AJ27" i="54" s="1"/>
  <c r="AK86" i="54"/>
  <c r="AK27" i="54" s="1"/>
  <c r="AL86" i="54"/>
  <c r="AL27" i="54" s="1"/>
  <c r="AM86" i="54"/>
  <c r="AM27" i="54" s="1"/>
  <c r="AN86" i="54"/>
  <c r="AN27" i="54" s="1"/>
  <c r="AO86" i="54"/>
  <c r="AO27" i="54" s="1"/>
  <c r="AP86" i="54"/>
  <c r="AP27" i="54" s="1"/>
  <c r="AQ86" i="54"/>
  <c r="AQ27" i="54" s="1"/>
  <c r="AR86" i="54"/>
  <c r="AR27" i="54" s="1"/>
  <c r="AS86" i="54"/>
  <c r="AS27" i="54" s="1"/>
  <c r="AT86" i="54"/>
  <c r="AT27" i="54" s="1"/>
  <c r="AK83" i="54"/>
  <c r="AK81" i="54" s="1"/>
  <c r="AL83" i="54"/>
  <c r="AL24" i="54" s="1"/>
  <c r="AM83" i="54"/>
  <c r="AM24" i="54" s="1"/>
  <c r="AN83" i="54"/>
  <c r="AN24" i="54" s="1"/>
  <c r="AO83" i="54"/>
  <c r="AO24" i="54" s="1"/>
  <c r="AP83" i="54"/>
  <c r="AP81" i="54" s="1"/>
  <c r="AQ83" i="54"/>
  <c r="AQ81" i="54" s="1"/>
  <c r="AR83" i="54"/>
  <c r="AR24" i="54" s="1"/>
  <c r="AS83" i="54"/>
  <c r="AS81" i="54" s="1"/>
  <c r="AT83" i="54"/>
  <c r="AT24" i="54" s="1"/>
  <c r="AJ83" i="54"/>
  <c r="AJ81" i="54" s="1"/>
  <c r="AK94" i="54"/>
  <c r="AK35" i="54" s="1"/>
  <c r="AL94" i="54"/>
  <c r="AM94" i="54"/>
  <c r="AN94" i="54"/>
  <c r="AO94" i="54"/>
  <c r="AP94" i="54"/>
  <c r="AQ94" i="54"/>
  <c r="AR94" i="54"/>
  <c r="AR91" i="54" s="1"/>
  <c r="AS94" i="54"/>
  <c r="AS35" i="54" s="1"/>
  <c r="AT94" i="54"/>
  <c r="AT35" i="54" s="1"/>
  <c r="AJ94" i="54"/>
  <c r="AJ35" i="54" s="1"/>
  <c r="N59" i="46" a="1"/>
  <c r="N63" i="46" a="1"/>
  <c r="N83" i="46" a="1"/>
  <c r="N120" i="46" a="1"/>
  <c r="N79" i="46" a="1"/>
  <c r="N8" i="46" a="1"/>
  <c r="N6" i="46" a="1"/>
  <c r="N13" i="46" a="1"/>
  <c r="N58" i="46" a="1"/>
  <c r="N5" i="46" a="1"/>
  <c r="N19" i="46" a="1"/>
  <c r="N72" i="46" a="1"/>
  <c r="N70" i="46" a="1"/>
  <c r="N33" i="46" a="1"/>
  <c r="N66" i="46" a="1"/>
  <c r="N15" i="46" a="1"/>
  <c r="N16" i="46" a="1"/>
  <c r="N67" i="46" a="1"/>
  <c r="N55" i="46" a="1"/>
  <c r="N118" i="46" a="1"/>
  <c r="N89" i="46" a="1"/>
  <c r="N57" i="46" a="1"/>
  <c r="N30" i="46" a="1"/>
  <c r="N28" i="46" a="1"/>
  <c r="N123" i="46" a="1"/>
  <c r="N117" i="46" a="1"/>
  <c r="N45" i="46" a="1"/>
  <c r="N69" i="46" a="1"/>
  <c r="N27" i="46" a="1"/>
  <c r="N18" i="46" a="1"/>
  <c r="N74" i="46" a="1"/>
  <c r="N75" i="46" a="1"/>
  <c r="N87" i="46" a="1"/>
  <c r="N34" i="46" a="1"/>
  <c r="N61" i="46" a="1"/>
  <c r="N35" i="46" a="1"/>
  <c r="N141" i="46" a="1"/>
  <c r="N36" i="46" a="1"/>
  <c r="N7" i="46" a="1"/>
  <c r="N124" i="46" a="1"/>
  <c r="N68" i="46" a="1"/>
  <c r="N62" i="46" a="1"/>
  <c r="N46" i="46" a="1"/>
  <c r="N126" i="46" a="1"/>
  <c r="N127" i="46" a="1"/>
  <c r="N142" i="46" a="1"/>
  <c r="N9" i="46" a="1"/>
  <c r="N31" i="46" a="1"/>
  <c r="N128" i="46" a="1"/>
  <c r="N49" i="46" a="1"/>
  <c r="N138" i="46" a="1"/>
  <c r="N43" i="46" a="1"/>
  <c r="N131" i="46" a="1"/>
  <c r="L93" i="15" a="1"/>
  <c r="N139" i="46" a="1"/>
  <c r="N135" i="46" a="1"/>
  <c r="N125" i="46" a="1"/>
  <c r="N20" i="46" a="1"/>
  <c r="N60" i="46" a="1"/>
  <c r="N76" i="46" a="1"/>
  <c r="N44" i="46" a="1"/>
  <c r="N119" i="46" a="1"/>
  <c r="N48" i="46" a="1"/>
  <c r="N122" i="46" a="1"/>
  <c r="N121" i="46" a="1"/>
  <c r="N29" i="46" a="1"/>
  <c r="N11" i="46" a="1"/>
  <c r="N71" i="46" a="1"/>
  <c r="N80" i="46" a="1"/>
  <c r="N10" i="46" a="1"/>
  <c r="N56" i="46" a="1"/>
  <c r="N17" i="46" a="1"/>
  <c r="N129" i="46" a="1"/>
  <c r="N40" i="46" a="1"/>
  <c r="N52" i="46" a="1"/>
  <c r="N42" i="46" a="1"/>
  <c r="N47" i="46" a="1"/>
  <c r="N32" i="46" a="1"/>
  <c r="N41" i="46" a="1"/>
  <c r="N140" i="46" a="1"/>
  <c r="N88" i="46" a="1"/>
  <c r="N130" i="46" a="1"/>
  <c r="N39" i="46" a="1"/>
  <c r="N77" i="46" a="1"/>
  <c r="N81" i="46" a="1"/>
  <c r="N12" i="46" a="1"/>
  <c r="N82" i="46" a="1"/>
  <c r="N53" i="46" a="1"/>
  <c r="N64" i="46" a="1"/>
  <c r="N84" i="46" a="1"/>
  <c r="N25" i="46" a="1"/>
  <c r="N50" i="46" a="1"/>
  <c r="N24" i="46" a="1"/>
  <c r="N136" i="46" a="1"/>
  <c r="N65" i="46" a="1"/>
  <c r="N73" i="46" a="1"/>
  <c r="N51" i="46" a="1"/>
  <c r="N137" i="46" a="1"/>
  <c r="N20" i="46" l="1"/>
  <c r="N34" i="46"/>
  <c r="N137" i="46"/>
  <c r="N129" i="46"/>
  <c r="N121" i="46"/>
  <c r="N88" i="46"/>
  <c r="N77" i="46"/>
  <c r="N69" i="46"/>
  <c r="N61" i="46"/>
  <c r="N52" i="46"/>
  <c r="N44" i="46"/>
  <c r="N36" i="46"/>
  <c r="N13" i="46"/>
  <c r="N136" i="46"/>
  <c r="N35" i="46"/>
  <c r="N75" i="46"/>
  <c r="N11" i="46"/>
  <c r="N68" i="46"/>
  <c r="N135" i="46"/>
  <c r="N84" i="46"/>
  <c r="N126" i="46"/>
  <c r="N118" i="46"/>
  <c r="N83" i="46"/>
  <c r="N74" i="46"/>
  <c r="N66" i="46"/>
  <c r="N58" i="46"/>
  <c r="N49" i="46"/>
  <c r="N41" i="46"/>
  <c r="N33" i="46"/>
  <c r="N18" i="46"/>
  <c r="N10" i="46"/>
  <c r="N60" i="46"/>
  <c r="N43" i="46"/>
  <c r="N127" i="46"/>
  <c r="N50" i="46"/>
  <c r="N141" i="46"/>
  <c r="N125" i="46"/>
  <c r="N117" i="46"/>
  <c r="N82" i="46"/>
  <c r="N73" i="46"/>
  <c r="N65" i="46"/>
  <c r="N57" i="46"/>
  <c r="N48" i="46"/>
  <c r="N40" i="46"/>
  <c r="N32" i="46"/>
  <c r="N25" i="46"/>
  <c r="N17" i="46"/>
  <c r="N9" i="46"/>
  <c r="N12" i="46"/>
  <c r="N42" i="46"/>
  <c r="N51" i="46"/>
  <c r="N19" i="46"/>
  <c r="N140" i="46"/>
  <c r="N124" i="46"/>
  <c r="N81" i="46"/>
  <c r="N72" i="46"/>
  <c r="N64" i="46"/>
  <c r="N56" i="46"/>
  <c r="N47" i="46"/>
  <c r="N39" i="46"/>
  <c r="N31" i="46"/>
  <c r="N24" i="46"/>
  <c r="N16" i="46"/>
  <c r="N8" i="46"/>
  <c r="N120" i="46"/>
  <c r="N76" i="46"/>
  <c r="N142" i="46"/>
  <c r="N128" i="46"/>
  <c r="N87" i="46"/>
  <c r="N67" i="46"/>
  <c r="N139" i="46"/>
  <c r="N131" i="46"/>
  <c r="N123" i="46"/>
  <c r="N80" i="46"/>
  <c r="N71" i="46"/>
  <c r="N63" i="46"/>
  <c r="N55" i="46"/>
  <c r="N46" i="46"/>
  <c r="N30" i="46"/>
  <c r="N15" i="46"/>
  <c r="N7" i="46"/>
  <c r="N28" i="46"/>
  <c r="N27" i="46"/>
  <c r="N119" i="46"/>
  <c r="N59" i="46"/>
  <c r="N138" i="46"/>
  <c r="N130" i="46"/>
  <c r="N122" i="46"/>
  <c r="N89" i="46"/>
  <c r="N79" i="46"/>
  <c r="N70" i="46"/>
  <c r="N62" i="46"/>
  <c r="N53" i="46"/>
  <c r="N45" i="46"/>
  <c r="N29" i="46"/>
  <c r="N6" i="46"/>
  <c r="N5" i="46"/>
  <c r="L93" i="15"/>
  <c r="AQ91" i="54"/>
  <c r="AQ32" i="54" s="1"/>
  <c r="AR81" i="54"/>
  <c r="AR22" i="54" s="1"/>
  <c r="AN91" i="54"/>
  <c r="AN32" i="54" s="1"/>
  <c r="AP91" i="54"/>
  <c r="AP32" i="54" s="1"/>
  <c r="AO91" i="54"/>
  <c r="AO32" i="54" s="1"/>
  <c r="AR32" i="54"/>
  <c r="AM91" i="54"/>
  <c r="AM32" i="54" s="1"/>
  <c r="AL91" i="54"/>
  <c r="AL32" i="54" s="1"/>
  <c r="AP35" i="54"/>
  <c r="AP24" i="54"/>
  <c r="AK91" i="54"/>
  <c r="AK32" i="54" s="1"/>
  <c r="AQ24" i="54"/>
  <c r="AJ91" i="54"/>
  <c r="AJ32" i="54" s="1"/>
  <c r="AL35" i="54"/>
  <c r="AI91" i="54"/>
  <c r="AI32" i="54" s="1"/>
  <c r="AM35" i="54"/>
  <c r="AS24" i="54"/>
  <c r="AT81" i="54"/>
  <c r="AT22" i="54" s="1"/>
  <c r="AN35" i="54"/>
  <c r="AO35" i="54"/>
  <c r="AQ35" i="54"/>
  <c r="AT91" i="54"/>
  <c r="AT32" i="54" s="1"/>
  <c r="AR35" i="54"/>
  <c r="AI22" i="54"/>
  <c r="AS91" i="54"/>
  <c r="AS32" i="54" s="1"/>
  <c r="AO81" i="54"/>
  <c r="AO22" i="54" s="1"/>
  <c r="AN81" i="54"/>
  <c r="AN22" i="54" s="1"/>
  <c r="AJ24" i="54"/>
  <c r="AM81" i="54"/>
  <c r="AM22" i="54" s="1"/>
  <c r="AK24" i="54"/>
  <c r="AJ22" i="54"/>
  <c r="AL81" i="54"/>
  <c r="AL22" i="54" s="1"/>
  <c r="AS22" i="54"/>
  <c r="AP22" i="54"/>
  <c r="AQ22" i="54"/>
  <c r="AK22" i="54"/>
  <c r="AZ16" i="54" l="1"/>
  <c r="BA23" i="54"/>
  <c r="BA18" i="54"/>
  <c r="BA24" i="54"/>
  <c r="AW91" i="54"/>
  <c r="AW81" i="54"/>
  <c r="AX74" i="54"/>
  <c r="AX71" i="54" s="1"/>
  <c r="AY54" i="54" l="1"/>
  <c r="AY52" i="54" s="1"/>
  <c r="AZ54" i="54"/>
  <c r="AZ52" i="54" s="1"/>
  <c r="BA54" i="54"/>
  <c r="BB54" i="54"/>
  <c r="AX54" i="54"/>
  <c r="AX52" i="54" s="1"/>
  <c r="AW54" i="54"/>
  <c r="AW52" i="54" s="1"/>
  <c r="AZ45" i="54"/>
  <c r="BA45" i="54"/>
  <c r="AZ42" i="54" l="1"/>
  <c r="AZ22" i="54" s="1"/>
  <c r="BV118" i="45"/>
  <c r="BV115" i="45"/>
  <c r="BV111" i="45"/>
  <c r="BV98" i="45"/>
  <c r="BV114" i="45" l="1"/>
  <c r="BV125" i="45" s="1"/>
  <c r="BV97" i="45" l="1"/>
  <c r="BV107" i="45" s="1"/>
  <c r="BV82" i="45"/>
  <c r="BV81" i="45"/>
  <c r="BU6" i="45"/>
  <c r="BV6" i="45"/>
  <c r="BV48" i="45"/>
  <c r="BV43" i="45" l="1"/>
  <c r="BV33" i="45"/>
  <c r="BU33" i="45"/>
  <c r="BT33" i="45"/>
  <c r="BT36" i="45" l="1"/>
  <c r="BU36" i="45"/>
  <c r="BV36" i="45"/>
  <c r="BV13" i="45" l="1"/>
  <c r="BV20" i="45" s="1"/>
  <c r="BV10" i="45" l="1"/>
  <c r="BV5" i="45" l="1"/>
  <c r="BV78" i="45" l="1"/>
  <c r="BV88" i="45" s="1"/>
  <c r="BI191" i="22"/>
  <c r="AB33" i="44"/>
  <c r="AB32" i="44"/>
  <c r="X33" i="44" a="1"/>
  <c r="W33" i="44" a="1"/>
  <c r="W33" i="44" l="1"/>
  <c r="X33" i="44"/>
  <c r="BB291" i="24"/>
  <c r="BB144" i="24"/>
  <c r="BB58" i="24"/>
  <c r="BB57" i="24"/>
  <c r="BB54" i="24"/>
  <c r="BB12" i="24"/>
  <c r="L54" i="15" a="1"/>
  <c r="L54" i="15" l="1"/>
  <c r="AK19" i="43"/>
  <c r="AM39" i="33" l="1"/>
  <c r="AM36" i="33"/>
  <c r="AM18" i="56" l="1"/>
  <c r="AM14" i="56" s="1"/>
  <c r="AM13" i="56"/>
  <c r="BA67" i="22" l="1"/>
  <c r="AY61" i="22"/>
  <c r="AZ61" i="22"/>
  <c r="BA61" i="22"/>
  <c r="BB61" i="22"/>
  <c r="AY62" i="22"/>
  <c r="AZ62" i="22"/>
  <c r="BA62" i="22"/>
  <c r="BB62" i="22"/>
  <c r="AY63" i="22"/>
  <c r="AZ63" i="22"/>
  <c r="BA63" i="22"/>
  <c r="BB63" i="22"/>
  <c r="AY64" i="22"/>
  <c r="AZ64" i="22"/>
  <c r="BA64" i="22"/>
  <c r="BB64" i="22"/>
  <c r="AY65" i="22"/>
  <c r="AZ65" i="22"/>
  <c r="BA65" i="22"/>
  <c r="BB65" i="22"/>
  <c r="AY66" i="22"/>
  <c r="AZ66" i="22"/>
  <c r="BA66" i="22"/>
  <c r="BB66" i="22"/>
  <c r="AY67" i="22"/>
  <c r="AZ67" i="22"/>
  <c r="BB67" i="22"/>
  <c r="AY68" i="22"/>
  <c r="AZ68" i="22"/>
  <c r="BA68" i="22"/>
  <c r="BB68" i="22"/>
  <c r="AY69" i="22"/>
  <c r="AZ69" i="22"/>
  <c r="BA69" i="22"/>
  <c r="BB69" i="22"/>
  <c r="AY70" i="22"/>
  <c r="AZ70" i="22"/>
  <c r="BA70" i="22"/>
  <c r="BB70" i="22"/>
  <c r="AY71" i="22"/>
  <c r="AZ71" i="22"/>
  <c r="BA71" i="22"/>
  <c r="BB71" i="22"/>
  <c r="AY72" i="22"/>
  <c r="AZ72" i="22"/>
  <c r="BA72" i="22"/>
  <c r="BB72" i="22"/>
  <c r="AY73" i="22"/>
  <c r="AZ73" i="22"/>
  <c r="BA73" i="22"/>
  <c r="BB73" i="22"/>
  <c r="AY74" i="22"/>
  <c r="AZ74" i="22"/>
  <c r="BA74" i="22"/>
  <c r="BB74" i="22"/>
  <c r="AY75" i="22"/>
  <c r="AZ75" i="22"/>
  <c r="BA75" i="22"/>
  <c r="BB75" i="22"/>
  <c r="AY76" i="22"/>
  <c r="AZ76" i="22"/>
  <c r="BA76" i="22"/>
  <c r="BB76" i="22"/>
  <c r="AY77" i="22"/>
  <c r="AZ77" i="22"/>
  <c r="BA77" i="22"/>
  <c r="BB77" i="22"/>
  <c r="AY78" i="22"/>
  <c r="AZ78" i="22"/>
  <c r="BA78" i="22"/>
  <c r="BB78" i="22"/>
  <c r="AY79" i="22"/>
  <c r="AZ79" i="22"/>
  <c r="BA79" i="22"/>
  <c r="BB79" i="22"/>
  <c r="BJ307" i="22" l="1"/>
  <c r="BJ306" i="22"/>
  <c r="BJ305" i="22"/>
  <c r="AL25" i="47" l="1"/>
  <c r="AL16" i="47"/>
  <c r="AL31" i="53" l="1"/>
  <c r="AT31" i="53" s="1"/>
  <c r="AU31" i="53" s="1"/>
  <c r="BM31" i="53" s="1"/>
  <c r="BN31" i="53" s="1"/>
  <c r="AX92" i="55" l="1"/>
  <c r="AY92" i="55"/>
  <c r="BC92" i="55"/>
  <c r="BD92" i="55"/>
  <c r="BE92" i="55"/>
  <c r="BF92" i="55"/>
  <c r="BG92" i="55"/>
  <c r="BH92" i="55"/>
  <c r="AW92" i="55"/>
  <c r="K126" i="46" a="1"/>
  <c r="K129" i="46" a="1"/>
  <c r="K138" i="46" a="1"/>
  <c r="K136" i="46" a="1"/>
  <c r="K118" i="46" a="1"/>
  <c r="K133" i="46" a="1"/>
  <c r="K124" i="46" a="1"/>
  <c r="K142" i="46" a="1"/>
  <c r="K139" i="46" a="1"/>
  <c r="K131" i="46" a="1"/>
  <c r="K121" i="46" a="1"/>
  <c r="K125" i="46" a="1"/>
  <c r="K140" i="46" a="1"/>
  <c r="K120" i="46" a="1"/>
  <c r="K132" i="46" a="1"/>
  <c r="K137" i="46" a="1"/>
  <c r="K134" i="46" a="1"/>
  <c r="K119" i="46" a="1"/>
  <c r="K123" i="46" a="1"/>
  <c r="K127" i="46" a="1"/>
  <c r="K137" i="46" l="1"/>
  <c r="K132" i="46"/>
  <c r="K119" i="46"/>
  <c r="K140" i="46"/>
  <c r="K124" i="46"/>
  <c r="K139" i="46"/>
  <c r="K131" i="46"/>
  <c r="K123" i="46"/>
  <c r="K129" i="46"/>
  <c r="K120" i="46"/>
  <c r="K136" i="46"/>
  <c r="K138" i="46"/>
  <c r="K121" i="46"/>
  <c r="K142" i="46"/>
  <c r="K118" i="46"/>
  <c r="K127" i="46"/>
  <c r="K134" i="46"/>
  <c r="K126" i="46"/>
  <c r="K133" i="46"/>
  <c r="K125" i="46"/>
  <c r="BU118" i="45"/>
  <c r="K117" i="46" a="1"/>
  <c r="K135" i="46" a="1"/>
  <c r="K122" i="46" a="1"/>
  <c r="K130" i="46" a="1"/>
  <c r="K135" i="46" l="1"/>
  <c r="K130" i="46"/>
  <c r="K122" i="46"/>
  <c r="BU81" i="45"/>
  <c r="K117" i="46"/>
  <c r="BU43" i="45"/>
  <c r="K128" i="46" a="1"/>
  <c r="K141" i="46" a="1"/>
  <c r="K141" i="46" l="1"/>
  <c r="BU82" i="45"/>
  <c r="K128" i="46"/>
  <c r="BU48" i="45"/>
  <c r="BU14" i="45"/>
  <c r="BU13" i="45" l="1"/>
  <c r="BU10" i="45" l="1"/>
  <c r="BU20" i="45"/>
  <c r="BU5" i="45" l="1"/>
  <c r="BU78" i="45" s="1"/>
  <c r="AZ92" i="55" l="1"/>
  <c r="BB92" i="55" l="1"/>
  <c r="BA92" i="55"/>
  <c r="BI85" i="55"/>
  <c r="BA16" i="54" l="1"/>
  <c r="BA25" i="54" s="1"/>
  <c r="BJ44" i="54"/>
  <c r="BI44" i="54"/>
  <c r="AY93" i="54"/>
  <c r="AZ93" i="54"/>
  <c r="AZ91" i="54" s="1"/>
  <c r="BA93" i="54"/>
  <c r="BB93" i="54"/>
  <c r="AX93" i="54"/>
  <c r="BB21" i="54"/>
  <c r="BB37" i="54"/>
  <c r="BB42" i="54" s="1"/>
  <c r="BA37" i="54"/>
  <c r="BA42" i="54" s="1"/>
  <c r="BA19" i="54"/>
  <c r="AW23" i="54"/>
  <c r="AX24" i="54"/>
  <c r="AY24" i="54"/>
  <c r="AZ24" i="54"/>
  <c r="BB24" i="54"/>
  <c r="AW24" i="54"/>
  <c r="BB47" i="54"/>
  <c r="BB52" i="54" s="1"/>
  <c r="BA47" i="54"/>
  <c r="BA52" i="54" s="1"/>
  <c r="BB74" i="54"/>
  <c r="BB71" i="54" s="1"/>
  <c r="BA74" i="54"/>
  <c r="BA71" i="54" s="1"/>
  <c r="BB56" i="54"/>
  <c r="BB61" i="54" s="1"/>
  <c r="BG56" i="54"/>
  <c r="BG61" i="54" s="1"/>
  <c r="BA56" i="54"/>
  <c r="BA61" i="54" s="1"/>
  <c r="BB26" i="54"/>
  <c r="BB28" i="54"/>
  <c r="BB29" i="54"/>
  <c r="BA26" i="54"/>
  <c r="BA28" i="54"/>
  <c r="BA9" i="54" s="1"/>
  <c r="BA29" i="54"/>
  <c r="BB16" i="54"/>
  <c r="BC25" i="54" s="1"/>
  <c r="BB18" i="54"/>
  <c r="BB19" i="54"/>
  <c r="BA10" i="54" l="1"/>
  <c r="BJ24" i="54"/>
  <c r="BG32" i="54"/>
  <c r="BG13" i="54" s="1"/>
  <c r="BG27" i="54"/>
  <c r="BG8" i="54" s="1"/>
  <c r="BB7" i="54"/>
  <c r="BC15" i="54" s="1"/>
  <c r="BB10" i="54"/>
  <c r="BB9" i="54"/>
  <c r="BB25" i="54"/>
  <c r="BA7" i="54"/>
  <c r="BA15" i="54" s="1"/>
  <c r="BB15" i="54" l="1"/>
  <c r="BB96" i="54"/>
  <c r="BB101" i="54" s="1"/>
  <c r="BA96" i="54"/>
  <c r="BA101" i="54" s="1"/>
  <c r="BB84" i="54"/>
  <c r="BB81" i="54" s="1"/>
  <c r="BB86" i="54"/>
  <c r="BA86" i="54"/>
  <c r="BB94" i="54"/>
  <c r="BB91" i="54" s="1"/>
  <c r="BA94" i="54"/>
  <c r="BA91" i="54" s="1"/>
  <c r="BB110" i="54"/>
  <c r="BB109" i="54" s="1"/>
  <c r="BA110" i="54"/>
  <c r="BA109" i="54" s="1"/>
  <c r="AZ109" i="54"/>
  <c r="BB27" i="54" l="1"/>
  <c r="BA22" i="54"/>
  <c r="BA17" i="54"/>
  <c r="BB17" i="54"/>
  <c r="BB8" i="54" s="1"/>
  <c r="BA27" i="54"/>
  <c r="BU115" i="45"/>
  <c r="BU111" i="45"/>
  <c r="BU98" i="45"/>
  <c r="BU114" i="45" l="1"/>
  <c r="BA8" i="54"/>
  <c r="BU97" i="45"/>
  <c r="BU107" i="45" s="1"/>
  <c r="BU125" i="45" l="1"/>
  <c r="BU88" i="45" l="1"/>
  <c r="AL18" i="56"/>
  <c r="AL14" i="56" s="1"/>
  <c r="AL13" i="56"/>
  <c r="AL39" i="33" l="1"/>
  <c r="AL36" i="33"/>
  <c r="BA291" i="24" l="1"/>
  <c r="BA144" i="24"/>
  <c r="BA140" i="24"/>
  <c r="BJ140" i="24" s="1"/>
  <c r="BA100" i="24"/>
  <c r="BA12" i="24"/>
  <c r="AK38" i="47" l="1"/>
  <c r="AK37" i="47"/>
  <c r="AK36" i="47"/>
  <c r="AK35" i="47"/>
  <c r="AK25" i="47"/>
  <c r="AK16" i="47"/>
  <c r="AK14" i="47"/>
  <c r="AK13" i="47"/>
  <c r="AK12" i="47"/>
  <c r="AK11" i="47"/>
  <c r="AK10" i="47"/>
  <c r="AK9" i="47"/>
  <c r="AK8" i="47"/>
  <c r="AK7" i="47"/>
  <c r="AK6" i="47"/>
  <c r="AT10" i="47" l="1"/>
  <c r="BL10" i="47" s="1"/>
  <c r="AS10" i="47"/>
  <c r="AT11" i="47"/>
  <c r="BL11" i="47" s="1"/>
  <c r="AS11" i="47"/>
  <c r="AS9" i="47"/>
  <c r="AT9" i="47"/>
  <c r="BL9" i="47" s="1"/>
  <c r="AS12" i="47"/>
  <c r="AT12" i="47"/>
  <c r="BL12" i="47" s="1"/>
  <c r="AS6" i="47"/>
  <c r="AT6" i="47"/>
  <c r="BL6" i="47" s="1"/>
  <c r="AT8" i="47"/>
  <c r="BL8" i="47" s="1"/>
  <c r="AS8" i="47"/>
  <c r="AT13" i="47"/>
  <c r="BL13" i="47" s="1"/>
  <c r="AS13" i="47"/>
  <c r="AS7" i="47"/>
  <c r="AT7" i="47"/>
  <c r="BL7" i="47" s="1"/>
  <c r="AT14" i="47"/>
  <c r="BL14" i="47" s="1"/>
  <c r="AS14" i="47"/>
  <c r="AT115" i="53" l="1"/>
  <c r="AU115" i="53" s="1"/>
  <c r="BM115" i="53" s="1"/>
  <c r="BN115" i="53" s="1"/>
  <c r="BL115" i="53"/>
  <c r="CC81" i="24"/>
  <c r="CC79" i="24" l="1"/>
  <c r="CC80" i="24"/>
  <c r="BI45" i="25" l="1"/>
  <c r="BI44" i="25"/>
  <c r="BI43" i="25"/>
  <c r="Y36" i="16"/>
  <c r="Y31" i="16"/>
  <c r="Y32" i="16"/>
  <c r="Y33" i="16"/>
  <c r="Z31" i="16"/>
  <c r="Y47" i="16"/>
  <c r="Y37" i="16"/>
  <c r="M36" i="16" a="1"/>
  <c r="M47" i="16" a="1"/>
  <c r="L37" i="16" a="1"/>
  <c r="L36" i="16" a="1"/>
  <c r="M37" i="16" a="1"/>
  <c r="L47" i="16" a="1"/>
  <c r="N31" i="16" a="1"/>
  <c r="M37" i="16" l="1"/>
  <c r="M47" i="16"/>
  <c r="M36" i="16"/>
  <c r="L37" i="16"/>
  <c r="L47" i="16"/>
  <c r="L36" i="16"/>
  <c r="N31" i="16"/>
  <c r="M31" i="16" l="1"/>
  <c r="L31" i="16"/>
  <c r="BT82" i="45"/>
  <c r="BT81" i="45"/>
  <c r="BT118" i="45"/>
  <c r="BT115" i="45"/>
  <c r="BT111" i="45"/>
  <c r="BT98" i="45"/>
  <c r="BT114" i="45" l="1"/>
  <c r="BT97" i="45"/>
  <c r="BT107" i="45" s="1"/>
  <c r="BT125" i="45" l="1"/>
  <c r="BT43" i="45"/>
  <c r="BT48" i="45"/>
  <c r="BT14" i="45" l="1"/>
  <c r="BT13" i="45" l="1"/>
  <c r="BT6" i="45"/>
  <c r="BT10" i="45" l="1"/>
  <c r="BT20" i="45"/>
  <c r="BT5" i="45"/>
  <c r="T60" i="19"/>
  <c r="T61" i="19"/>
  <c r="T62" i="19"/>
  <c r="T63" i="19"/>
  <c r="BI72" i="24"/>
  <c r="BT200" i="45"/>
  <c r="BT201" i="45"/>
  <c r="BU201" i="45"/>
  <c r="BV201" i="45"/>
  <c r="BW201" i="45"/>
  <c r="BZ201" i="45"/>
  <c r="CA201" i="45"/>
  <c r="CB201" i="45"/>
  <c r="M61" i="19" a="1"/>
  <c r="H61" i="19" a="1"/>
  <c r="N59" i="19" a="1"/>
  <c r="F60" i="19" a="1"/>
  <c r="S62" i="19" a="1"/>
  <c r="K59" i="19" a="1"/>
  <c r="P60" i="19" a="1"/>
  <c r="K62" i="19" a="1"/>
  <c r="L59" i="19" a="1"/>
  <c r="R60" i="19" a="1"/>
  <c r="Q60" i="19" a="1"/>
  <c r="H60" i="19" a="1"/>
  <c r="O60" i="19" a="1"/>
  <c r="G61" i="19" a="1"/>
  <c r="P61" i="19" a="1"/>
  <c r="E62" i="19" a="1"/>
  <c r="I60" i="19" a="1"/>
  <c r="P62" i="19" a="1"/>
  <c r="F61" i="19" a="1"/>
  <c r="N60" i="19" a="1"/>
  <c r="N62" i="19" a="1"/>
  <c r="S60" i="19" a="1"/>
  <c r="J60" i="19" a="1"/>
  <c r="K60" i="19" a="1"/>
  <c r="J62" i="19" a="1"/>
  <c r="N61" i="19" a="1"/>
  <c r="L61" i="19" a="1"/>
  <c r="M60" i="19" a="1"/>
  <c r="M62" i="19" a="1"/>
  <c r="I62" i="19" a="1"/>
  <c r="O62" i="19" a="1"/>
  <c r="R61" i="19" a="1"/>
  <c r="S61" i="19" a="1"/>
  <c r="F62" i="19" a="1"/>
  <c r="L60" i="19" a="1"/>
  <c r="I61" i="19" a="1"/>
  <c r="Q61" i="19" a="1"/>
  <c r="M59" i="19" a="1"/>
  <c r="G60" i="19" a="1"/>
  <c r="L62" i="19" a="1"/>
  <c r="R62" i="19" a="1"/>
  <c r="O61" i="19" a="1"/>
  <c r="K61" i="19" a="1"/>
  <c r="G62" i="19" a="1"/>
  <c r="H62" i="19" a="1"/>
  <c r="D62" i="19" a="1"/>
  <c r="J61" i="19" a="1"/>
  <c r="L62" i="19" l="1"/>
  <c r="L61" i="19"/>
  <c r="L60" i="19"/>
  <c r="L59" i="19"/>
  <c r="N61" i="19"/>
  <c r="N60" i="19"/>
  <c r="N62" i="19"/>
  <c r="N59" i="19"/>
  <c r="M62" i="19"/>
  <c r="M61" i="19"/>
  <c r="M60" i="19"/>
  <c r="M59" i="19"/>
  <c r="K62" i="19"/>
  <c r="K61" i="19"/>
  <c r="K60" i="19"/>
  <c r="K59" i="19"/>
  <c r="BT78" i="45"/>
  <c r="BT88" i="45" s="1"/>
  <c r="J62" i="19"/>
  <c r="P61" i="19"/>
  <c r="I62" i="19"/>
  <c r="O61" i="19"/>
  <c r="S62" i="19"/>
  <c r="H62" i="19"/>
  <c r="R62" i="19"/>
  <c r="G62" i="19"/>
  <c r="E62" i="19"/>
  <c r="J61" i="19"/>
  <c r="D62" i="19"/>
  <c r="I61" i="19"/>
  <c r="P62" i="19"/>
  <c r="S61" i="19"/>
  <c r="H61" i="19"/>
  <c r="F62" i="19"/>
  <c r="O62" i="19"/>
  <c r="R61" i="19"/>
  <c r="G61" i="19"/>
  <c r="Q61" i="19"/>
  <c r="F61" i="19"/>
  <c r="O60" i="19"/>
  <c r="P60" i="19"/>
  <c r="J60" i="19"/>
  <c r="I60" i="19"/>
  <c r="S60" i="19"/>
  <c r="H60" i="19"/>
  <c r="R60" i="19"/>
  <c r="G60" i="19"/>
  <c r="Q60" i="19"/>
  <c r="F60" i="19"/>
  <c r="BT197" i="45"/>
  <c r="BI14" i="24" l="1"/>
  <c r="N38" i="46" a="1"/>
  <c r="N22" i="46" a="1"/>
  <c r="N14" i="46" a="1"/>
  <c r="N38" i="46" l="1"/>
  <c r="N14" i="46"/>
  <c r="N22" i="46"/>
  <c r="N37" i="46" a="1"/>
  <c r="N21" i="46" a="1"/>
  <c r="N26" i="46" a="1"/>
  <c r="BX201" i="45" l="1"/>
  <c r="N37" i="46"/>
  <c r="N26" i="46"/>
  <c r="N21" i="46"/>
  <c r="AF58" i="34"/>
  <c r="Q58" i="34"/>
  <c r="Q62" i="19" a="1"/>
  <c r="E61" i="19" a="1"/>
  <c r="N23" i="46" a="1"/>
  <c r="D61" i="19" a="1"/>
  <c r="E61" i="19" l="1"/>
  <c r="D61" i="19"/>
  <c r="N23" i="46"/>
  <c r="Q62" i="19"/>
  <c r="AE33" i="43" l="1"/>
  <c r="AD33" i="43"/>
  <c r="AE32" i="43"/>
  <c r="AD32" i="43"/>
  <c r="BI257" i="24"/>
  <c r="BI256" i="24"/>
  <c r="BI255" i="24"/>
  <c r="BI254" i="24"/>
  <c r="BI253" i="24"/>
  <c r="BI252" i="24"/>
  <c r="BI251" i="24"/>
  <c r="BI250" i="24"/>
  <c r="BI249" i="24"/>
  <c r="BI248" i="24"/>
  <c r="BI247" i="24"/>
  <c r="BI246" i="24"/>
  <c r="BI245" i="24"/>
  <c r="BI244" i="24"/>
  <c r="BI243" i="24"/>
  <c r="BI242" i="24"/>
  <c r="BI241" i="24"/>
  <c r="BI240" i="24"/>
  <c r="BI239" i="24"/>
  <c r="BI238" i="24"/>
  <c r="BI237" i="24"/>
  <c r="BI236" i="24"/>
  <c r="BI235" i="24"/>
  <c r="BI234" i="24"/>
  <c r="BI233" i="24"/>
  <c r="BI232" i="24"/>
  <c r="BI231" i="24"/>
  <c r="BI230" i="24"/>
  <c r="BI229" i="24"/>
  <c r="BI228" i="24"/>
  <c r="BI227" i="24"/>
  <c r="BI226" i="24"/>
  <c r="BI224" i="24"/>
  <c r="BI223" i="24"/>
  <c r="BI222" i="24"/>
  <c r="BI221" i="24"/>
  <c r="BI220" i="24"/>
  <c r="BI219" i="24"/>
  <c r="BI218" i="24"/>
  <c r="BI217" i="24"/>
  <c r="BI216" i="24"/>
  <c r="BI215" i="24"/>
  <c r="BI214" i="24"/>
  <c r="BI213" i="24"/>
  <c r="BI212" i="24"/>
  <c r="BI211" i="24"/>
  <c r="BI210" i="24"/>
  <c r="BI209" i="24"/>
  <c r="BI208" i="24"/>
  <c r="BI207" i="24"/>
  <c r="BI206" i="24"/>
  <c r="BI205" i="24"/>
  <c r="BI204" i="24"/>
  <c r="BI203" i="24"/>
  <c r="BI202" i="24"/>
  <c r="BI201" i="24"/>
  <c r="BI200" i="24"/>
  <c r="BI199" i="24"/>
  <c r="BI198" i="24"/>
  <c r="BI197" i="24"/>
  <c r="BI196" i="24"/>
  <c r="BI195" i="24"/>
  <c r="BI194" i="24"/>
  <c r="BI193" i="24"/>
  <c r="BI192" i="24"/>
  <c r="BI191" i="24"/>
  <c r="BI190" i="24"/>
  <c r="BI189" i="24"/>
  <c r="BI187" i="24"/>
  <c r="BI186" i="24"/>
  <c r="BI185" i="24"/>
  <c r="BI184" i="24"/>
  <c r="BI183" i="24"/>
  <c r="BI182" i="24"/>
  <c r="BI181" i="24"/>
  <c r="BI180" i="24"/>
  <c r="BI179" i="24"/>
  <c r="BI178" i="24"/>
  <c r="BI177" i="24"/>
  <c r="BI176" i="24"/>
  <c r="BI175" i="24"/>
  <c r="BI174" i="24"/>
  <c r="BI173" i="24"/>
  <c r="BI172" i="24"/>
  <c r="BI166" i="24"/>
  <c r="BI165" i="24"/>
  <c r="BI164" i="24"/>
  <c r="BI163" i="24"/>
  <c r="BI162" i="24"/>
  <c r="BI161" i="24"/>
  <c r="BI160" i="24"/>
  <c r="BI159" i="24"/>
  <c r="BI158" i="24"/>
  <c r="BI157" i="24"/>
  <c r="BI156" i="24"/>
  <c r="BI155" i="24"/>
  <c r="BI154" i="24"/>
  <c r="BI153" i="24"/>
  <c r="BI152" i="24"/>
  <c r="BI150" i="24"/>
  <c r="BI149" i="24"/>
  <c r="BI148" i="24"/>
  <c r="BI147" i="24"/>
  <c r="BI146" i="24"/>
  <c r="BI145" i="24"/>
  <c r="BI143" i="24"/>
  <c r="BI142" i="24"/>
  <c r="BI141" i="24"/>
  <c r="BI140" i="24"/>
  <c r="BI139" i="24"/>
  <c r="BI138" i="24"/>
  <c r="BI137" i="24"/>
  <c r="BI136" i="24"/>
  <c r="BI135" i="24"/>
  <c r="BI134" i="24"/>
  <c r="BI133" i="24"/>
  <c r="BI132" i="24"/>
  <c r="BI131" i="24"/>
  <c r="BI130" i="24"/>
  <c r="BI129" i="24"/>
  <c r="BI128" i="24"/>
  <c r="BI127" i="24"/>
  <c r="BI126" i="24"/>
  <c r="BI125" i="24"/>
  <c r="BI124" i="24"/>
  <c r="BI123" i="24"/>
  <c r="BI122" i="24"/>
  <c r="BI121" i="24"/>
  <c r="BI120" i="24"/>
  <c r="BI119" i="24"/>
  <c r="BI118" i="24"/>
  <c r="BI117" i="24"/>
  <c r="BI116" i="24"/>
  <c r="BI115" i="24"/>
  <c r="BI114" i="24"/>
  <c r="BI113" i="24"/>
  <c r="BI112" i="24"/>
  <c r="BI111" i="24"/>
  <c r="BI110" i="24"/>
  <c r="BI109" i="24"/>
  <c r="BI108" i="24"/>
  <c r="BI107" i="24"/>
  <c r="BI106" i="24"/>
  <c r="BI105" i="24"/>
  <c r="BI104" i="24"/>
  <c r="BI103" i="24"/>
  <c r="BI102" i="24"/>
  <c r="BI101" i="24"/>
  <c r="AU333" i="24"/>
  <c r="AF333" i="24"/>
  <c r="BI293" i="24"/>
  <c r="AT293" i="24"/>
  <c r="AU293" i="24" s="1"/>
  <c r="AE293" i="24"/>
  <c r="AF293" i="24" s="1"/>
  <c r="AT222" i="24"/>
  <c r="AU222" i="24" s="1"/>
  <c r="AE222" i="24"/>
  <c r="AF222" i="24" s="1"/>
  <c r="P222" i="24"/>
  <c r="Q222" i="24" s="1"/>
  <c r="AT185" i="24"/>
  <c r="AU185" i="24" s="1"/>
  <c r="AE185" i="24"/>
  <c r="AF185" i="24" s="1"/>
  <c r="P185" i="24"/>
  <c r="Q185" i="24" s="1"/>
  <c r="AD148" i="24"/>
  <c r="AC148" i="24"/>
  <c r="AB148" i="24"/>
  <c r="AA148" i="24"/>
  <c r="Z148" i="24"/>
  <c r="Y148" i="24"/>
  <c r="X148" i="24"/>
  <c r="W148" i="24"/>
  <c r="V148" i="24"/>
  <c r="U148" i="24"/>
  <c r="T148" i="24"/>
  <c r="S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AT104" i="24"/>
  <c r="AU104" i="24" s="1"/>
  <c r="AE104" i="24"/>
  <c r="AF104" i="24" s="1"/>
  <c r="P104" i="24"/>
  <c r="Q104" i="24" s="1"/>
  <c r="AT68" i="24"/>
  <c r="AU68" i="24" s="1"/>
  <c r="BI60" i="24"/>
  <c r="AT60" i="24"/>
  <c r="AU60" i="24" s="1"/>
  <c r="AE60" i="24"/>
  <c r="AF60" i="24" s="1"/>
  <c r="P60" i="24"/>
  <c r="Q60" i="24" s="1"/>
  <c r="AT14" i="24"/>
  <c r="AU14" i="24" s="1"/>
  <c r="AE14" i="24"/>
  <c r="AF14" i="24" s="1"/>
  <c r="P14" i="24"/>
  <c r="Q14" i="24" s="1"/>
  <c r="BS33" i="45"/>
  <c r="BS36" i="45" l="1"/>
  <c r="AE148" i="24"/>
  <c r="AF148" i="24" s="1"/>
  <c r="BZ148" i="24" s="1"/>
  <c r="P148" i="24"/>
  <c r="Q148" i="24" s="1"/>
  <c r="BS118" i="45" l="1"/>
  <c r="BS115" i="45"/>
  <c r="BS111" i="45"/>
  <c r="BS98" i="45"/>
  <c r="BS43" i="45"/>
  <c r="BS82" i="45" l="1"/>
  <c r="BS81" i="45"/>
  <c r="BS114" i="45"/>
  <c r="BS125" i="45" s="1"/>
  <c r="BS97" i="45" l="1"/>
  <c r="BS107" i="45" s="1"/>
  <c r="BS6" i="45"/>
  <c r="BS14" i="45"/>
  <c r="BS44" i="45" l="1"/>
  <c r="BS48" i="45" l="1"/>
  <c r="BS13" i="45"/>
  <c r="BS201" i="45" l="1"/>
  <c r="CC48" i="45"/>
  <c r="BS20" i="45"/>
  <c r="AI38" i="47"/>
  <c r="AT38" i="47" s="1"/>
  <c r="AI37" i="47"/>
  <c r="AT37" i="47" s="1"/>
  <c r="AI36" i="47"/>
  <c r="AT36" i="47" s="1"/>
  <c r="AI35" i="47"/>
  <c r="AT35" i="47" s="1"/>
  <c r="AI25" i="47"/>
  <c r="AI16" i="47"/>
  <c r="AT16" i="47" l="1"/>
  <c r="BL16" i="47" s="1"/>
  <c r="AS16" i="47"/>
  <c r="AT25" i="47"/>
  <c r="BL25" i="47" s="1"/>
  <c r="AS25" i="47"/>
  <c r="BS10" i="45"/>
  <c r="BS5" i="45"/>
  <c r="BS78" i="45" s="1"/>
  <c r="BS88" i="45" s="1"/>
  <c r="AJ18" i="56"/>
  <c r="AJ14" i="56" s="1"/>
  <c r="AJ13" i="56"/>
  <c r="AJ4" i="56"/>
  <c r="AJ5" i="56" s="1"/>
  <c r="AF74" i="36" l="1"/>
  <c r="AE74" i="36"/>
  <c r="Q74" i="36"/>
  <c r="P74" i="36"/>
  <c r="AF73" i="36"/>
  <c r="AE73" i="36"/>
  <c r="Q73" i="36"/>
  <c r="P73" i="36"/>
  <c r="AF72" i="36"/>
  <c r="AE72" i="36"/>
  <c r="Q72" i="36"/>
  <c r="P72" i="36"/>
  <c r="AY16" i="54" l="1"/>
  <c r="AZ25" i="54" s="1"/>
  <c r="AY17" i="54"/>
  <c r="BA21" i="54"/>
  <c r="BB22" i="54"/>
  <c r="AY23" i="54"/>
  <c r="BB23" i="54"/>
  <c r="AY26" i="54"/>
  <c r="AY27" i="54"/>
  <c r="AY28" i="54"/>
  <c r="AY30" i="54"/>
  <c r="BA30" i="54"/>
  <c r="BB30" i="54"/>
  <c r="BB11" i="54" s="1"/>
  <c r="AY31" i="54"/>
  <c r="BA31" i="54"/>
  <c r="BB31" i="54"/>
  <c r="BB12" i="54" s="1"/>
  <c r="BA32" i="54"/>
  <c r="BB32" i="54"/>
  <c r="BE4" i="54"/>
  <c r="AY33" i="54"/>
  <c r="BA33" i="54"/>
  <c r="BA14" i="54" s="1"/>
  <c r="BB33" i="54"/>
  <c r="AY34" i="54"/>
  <c r="BA34" i="54"/>
  <c r="BB34" i="54"/>
  <c r="BF34" i="54"/>
  <c r="BA35" i="54"/>
  <c r="BB35" i="54"/>
  <c r="AY21" i="54"/>
  <c r="AY29" i="54"/>
  <c r="AY74" i="54"/>
  <c r="AY71" i="54" s="1"/>
  <c r="AY94" i="54"/>
  <c r="AY91" i="54" s="1"/>
  <c r="AY110" i="54"/>
  <c r="AY109" i="54" s="1"/>
  <c r="BA12" i="54" l="1"/>
  <c r="BB14" i="54"/>
  <c r="BB13" i="54"/>
  <c r="BH4" i="54"/>
  <c r="BA11" i="54"/>
  <c r="BG4" i="54"/>
  <c r="BF4" i="54"/>
  <c r="BA13" i="54"/>
  <c r="AY7" i="54"/>
  <c r="BJ40" i="54"/>
  <c r="AY35" i="54"/>
  <c r="AY19" i="54"/>
  <c r="AY18" i="54"/>
  <c r="AY32" i="54"/>
  <c r="AB31" i="44" l="1"/>
  <c r="K31" i="44" a="1"/>
  <c r="J31" i="44" a="1"/>
  <c r="F31" i="44" a="1"/>
  <c r="W31" i="44" a="1"/>
  <c r="D31" i="44" a="1"/>
  <c r="X31" i="44" a="1"/>
  <c r="G31" i="44" a="1"/>
  <c r="I31" i="44" a="1"/>
  <c r="H31" i="44" a="1"/>
  <c r="K31" i="44" l="1"/>
  <c r="I31" i="44"/>
  <c r="H31" i="44"/>
  <c r="G31" i="44"/>
  <c r="X31" i="44"/>
  <c r="F31" i="44"/>
  <c r="D31" i="44"/>
  <c r="J31" i="44"/>
  <c r="W31" i="44"/>
  <c r="AX110" i="54" l="1"/>
  <c r="AW110" i="54"/>
  <c r="AW109" i="54" s="1"/>
  <c r="AW111" i="54" s="1"/>
  <c r="AX94" i="54"/>
  <c r="AX91" i="54" s="1"/>
  <c r="AX84" i="54"/>
  <c r="AX81" i="54" s="1"/>
  <c r="AW66" i="54"/>
  <c r="AX29" i="54"/>
  <c r="AW29" i="54"/>
  <c r="AX18" i="54"/>
  <c r="AX21" i="54"/>
  <c r="AW21" i="54"/>
  <c r="AY11" i="54"/>
  <c r="AW19" i="54"/>
  <c r="AW37" i="54"/>
  <c r="AX36" i="54"/>
  <c r="AW36" i="54"/>
  <c r="AX34" i="54"/>
  <c r="AW34" i="54"/>
  <c r="AY14" i="54"/>
  <c r="AX33" i="54"/>
  <c r="AW33" i="54"/>
  <c r="AX31" i="54"/>
  <c r="AW31" i="54"/>
  <c r="AX30" i="54"/>
  <c r="AW30" i="54"/>
  <c r="AX28" i="54"/>
  <c r="AW28" i="54"/>
  <c r="AX27" i="54"/>
  <c r="AW27" i="54"/>
  <c r="AX26" i="54"/>
  <c r="AW26" i="54"/>
  <c r="BI26" i="54" s="1"/>
  <c r="AX23" i="54"/>
  <c r="AX19" i="54"/>
  <c r="AY8" i="54"/>
  <c r="AX17" i="54"/>
  <c r="AY12" i="54"/>
  <c r="BJ19" i="54" l="1"/>
  <c r="BJ27" i="54"/>
  <c r="AW17" i="54"/>
  <c r="BJ17" i="54" s="1"/>
  <c r="BW36" i="54"/>
  <c r="BW26" i="54"/>
  <c r="AW16" i="54"/>
  <c r="BI16" i="54" s="1"/>
  <c r="AW45" i="54"/>
  <c r="AW42" i="54" s="1"/>
  <c r="AX45" i="54"/>
  <c r="AX42" i="54" s="1"/>
  <c r="AY45" i="54"/>
  <c r="AX109" i="54"/>
  <c r="AX111" i="54" s="1"/>
  <c r="AW11" i="54"/>
  <c r="AX10" i="54"/>
  <c r="AW14" i="54"/>
  <c r="AX14" i="54"/>
  <c r="AX12" i="54"/>
  <c r="AX11" i="54"/>
  <c r="AX32" i="54"/>
  <c r="AX16" i="54"/>
  <c r="AX7" i="54" s="1"/>
  <c r="AW12" i="54"/>
  <c r="AX8" i="54"/>
  <c r="AW10" i="54"/>
  <c r="AY10" i="54"/>
  <c r="AW18" i="54"/>
  <c r="AX9" i="54"/>
  <c r="AY9" i="54"/>
  <c r="AX35" i="54"/>
  <c r="AW8" i="54" l="1"/>
  <c r="AW9" i="54"/>
  <c r="BJ18" i="54"/>
  <c r="AY42" i="54"/>
  <c r="AY22" i="54" s="1"/>
  <c r="AY13" i="54" s="1"/>
  <c r="AW7" i="54"/>
  <c r="BI7" i="54" s="1"/>
  <c r="BJ8" i="54"/>
  <c r="BI8" i="54"/>
  <c r="AY25" i="54"/>
  <c r="AY15" i="54" s="1"/>
  <c r="BW7" i="54"/>
  <c r="BW16" i="54"/>
  <c r="AX25" i="54"/>
  <c r="AX15" i="54" s="1"/>
  <c r="AX22" i="54"/>
  <c r="AX13" i="54" l="1"/>
  <c r="AY100" i="22"/>
  <c r="BJ100" i="22" s="1"/>
  <c r="AU151" i="24" l="1"/>
  <c r="AT151" i="24"/>
  <c r="AU188" i="24"/>
  <c r="AT188" i="24"/>
  <c r="AU225" i="24"/>
  <c r="AT225" i="24"/>
  <c r="AY291" i="24"/>
  <c r="BJ291" i="24" s="1"/>
  <c r="AY144" i="24"/>
  <c r="AY100" i="24"/>
  <c r="AY58" i="24"/>
  <c r="BJ58" i="24" s="1"/>
  <c r="AY57" i="24"/>
  <c r="BJ57" i="24" s="1"/>
  <c r="AY54" i="24"/>
  <c r="BJ54" i="24" s="1"/>
  <c r="AY12" i="24"/>
  <c r="BJ12" i="24" s="1"/>
  <c r="BI144" i="24" l="1"/>
  <c r="BJ144" i="24"/>
  <c r="BI100" i="24"/>
  <c r="BJ100" i="24"/>
  <c r="BJ335" i="22"/>
  <c r="BJ334" i="22"/>
  <c r="BJ333" i="22"/>
  <c r="BJ332" i="22"/>
  <c r="BJ331" i="22"/>
  <c r="BJ330" i="22"/>
  <c r="BJ329" i="22"/>
  <c r="BJ314" i="22"/>
  <c r="BJ313" i="22"/>
  <c r="BJ296" i="22"/>
  <c r="BJ295" i="22"/>
  <c r="BJ293" i="22"/>
  <c r="BJ292" i="22"/>
  <c r="BJ280" i="22"/>
  <c r="BJ279" i="22"/>
  <c r="BJ278" i="22"/>
  <c r="BJ277" i="22"/>
  <c r="BJ276" i="22"/>
  <c r="BJ264" i="22"/>
  <c r="BJ263" i="22"/>
  <c r="BJ262" i="22"/>
  <c r="BJ261" i="22"/>
  <c r="BJ260" i="22"/>
  <c r="BJ256" i="22"/>
  <c r="BJ248" i="22"/>
  <c r="BJ247" i="22"/>
  <c r="BJ246" i="22"/>
  <c r="BJ245" i="22"/>
  <c r="BJ244" i="22"/>
  <c r="BJ240" i="22"/>
  <c r="BJ232" i="22"/>
  <c r="BJ231" i="22"/>
  <c r="BJ230" i="22"/>
  <c r="BJ229" i="22"/>
  <c r="BJ228" i="22"/>
  <c r="BJ224" i="22"/>
  <c r="BJ326" i="22" l="1"/>
  <c r="BJ327" i="22"/>
  <c r="BJ308" i="22"/>
  <c r="BJ309" i="22"/>
  <c r="BJ310" i="22"/>
  <c r="BJ311" i="22"/>
  <c r="BJ328" i="22"/>
  <c r="BJ312" i="22"/>
  <c r="BJ288" i="22"/>
  <c r="BJ294" i="22"/>
  <c r="BJ324" i="22"/>
  <c r="BJ325" i="22"/>
  <c r="BJ272" i="22" l="1"/>
  <c r="BJ304" i="22"/>
  <c r="U55" i="21"/>
  <c r="U54" i="21"/>
  <c r="U53" i="21"/>
  <c r="M54" i="21" a="1"/>
  <c r="G53" i="21" a="1"/>
  <c r="F53" i="21" a="1"/>
  <c r="D53" i="21" a="1"/>
  <c r="N53" i="21" a="1"/>
  <c r="M55" i="21" a="1"/>
  <c r="G55" i="21" a="1"/>
  <c r="E53" i="21" a="1"/>
  <c r="T55" i="21" a="1"/>
  <c r="J55" i="21" a="1"/>
  <c r="E55" i="21" a="1"/>
  <c r="K55" i="21" a="1"/>
  <c r="N55" i="21" a="1"/>
  <c r="D54" i="21" a="1"/>
  <c r="F54" i="21" a="1"/>
  <c r="N54" i="21" a="1"/>
  <c r="I55" i="21" a="1"/>
  <c r="J54" i="21" a="1"/>
  <c r="K54" i="21" a="1"/>
  <c r="M53" i="21" a="1"/>
  <c r="H54" i="21" a="1"/>
  <c r="H55" i="21" a="1"/>
  <c r="N53" i="21" l="1"/>
  <c r="N54" i="21"/>
  <c r="N55" i="21"/>
  <c r="M53" i="21"/>
  <c r="M54" i="21"/>
  <c r="M55" i="21"/>
  <c r="J54" i="21"/>
  <c r="D53" i="21"/>
  <c r="F53" i="21"/>
  <c r="I55" i="21"/>
  <c r="K54" i="21"/>
  <c r="E53" i="21"/>
  <c r="K55" i="21"/>
  <c r="G53" i="21"/>
  <c r="J55" i="21"/>
  <c r="H54" i="21"/>
  <c r="D54" i="21"/>
  <c r="F54" i="21"/>
  <c r="E55" i="21"/>
  <c r="G55" i="21"/>
  <c r="T55" i="21"/>
  <c r="H55" i="21"/>
  <c r="F55" i="21" a="1"/>
  <c r="T54" i="21" a="1"/>
  <c r="T53" i="21" a="1"/>
  <c r="I53" i="21" a="1"/>
  <c r="D55" i="21" a="1"/>
  <c r="K53" i="21" a="1"/>
  <c r="J53" i="21" a="1"/>
  <c r="I54" i="21" a="1"/>
  <c r="E54" i="21" a="1"/>
  <c r="H53" i="21" a="1"/>
  <c r="G54" i="21" a="1"/>
  <c r="I53" i="21" l="1"/>
  <c r="T53" i="21"/>
  <c r="F55" i="21"/>
  <c r="K53" i="21"/>
  <c r="D55" i="21"/>
  <c r="J53" i="21"/>
  <c r="T54" i="21"/>
  <c r="G54" i="21"/>
  <c r="I54" i="21"/>
  <c r="H53" i="21"/>
  <c r="E54" i="21"/>
  <c r="Y30" i="16" l="1"/>
  <c r="AO24" i="45"/>
  <c r="G84" i="46" a="1"/>
  <c r="J84" i="46" a="1"/>
  <c r="K84" i="46" a="1"/>
  <c r="F84" i="46" a="1"/>
  <c r="I84" i="46" a="1"/>
  <c r="L84" i="46" a="1"/>
  <c r="H84" i="46" a="1"/>
  <c r="BQ24" i="43" l="1"/>
  <c r="BQ30" i="43"/>
  <c r="BQ31" i="43"/>
  <c r="L84" i="46"/>
  <c r="G84" i="46"/>
  <c r="K84" i="46"/>
  <c r="J84" i="46"/>
  <c r="I84" i="46"/>
  <c r="H84" i="46"/>
  <c r="F84" i="46"/>
  <c r="BR118" i="45" l="1"/>
  <c r="BR115" i="45"/>
  <c r="BR111" i="45"/>
  <c r="AA26" i="44" a="1"/>
  <c r="AA33" i="44" a="1"/>
  <c r="BR82" i="45" l="1"/>
  <c r="AA26" i="44"/>
  <c r="AA33" i="44"/>
  <c r="BR114" i="45"/>
  <c r="BR125" i="45" l="1"/>
  <c r="BR81" i="45"/>
  <c r="BR102" i="45"/>
  <c r="BR98" i="45"/>
  <c r="BQ98" i="45"/>
  <c r="BR76" i="45"/>
  <c r="BR65" i="45"/>
  <c r="BR61" i="45"/>
  <c r="BR97" i="45" l="1"/>
  <c r="BR55" i="45"/>
  <c r="BQ55" i="45"/>
  <c r="BR43" i="45"/>
  <c r="BR107" i="45" l="1"/>
  <c r="BR36" i="45"/>
  <c r="BQ14" i="45" l="1"/>
  <c r="BR14" i="45" l="1"/>
  <c r="BR44" i="45" l="1"/>
  <c r="BR13" i="45"/>
  <c r="BR48" i="45" l="1"/>
  <c r="BR20" i="45"/>
  <c r="BR6" i="45"/>
  <c r="BR8" i="45" l="1"/>
  <c r="BR10" i="45"/>
  <c r="BR5" i="45"/>
  <c r="BR78" i="45" l="1"/>
  <c r="BR88" i="45" l="1"/>
  <c r="BQ76" i="45"/>
  <c r="BQ65" i="45"/>
  <c r="BQ61" i="45"/>
  <c r="BQ37" i="45" l="1"/>
  <c r="BQ13" i="45" l="1"/>
  <c r="BQ20" i="45" l="1"/>
  <c r="BQ54" i="45"/>
  <c r="BQ43" i="45"/>
  <c r="R84" i="46" a="1"/>
  <c r="CV60" i="45" l="1"/>
  <c r="CW69" i="45"/>
  <c r="CW72" i="45"/>
  <c r="CW74" i="45"/>
  <c r="CV75" i="45"/>
  <c r="CW73" i="45"/>
  <c r="CW71" i="45"/>
  <c r="CV70" i="45"/>
  <c r="CV42" i="45"/>
  <c r="CV41" i="45"/>
  <c r="CW39" i="45"/>
  <c r="CV45" i="45"/>
  <c r="CV46" i="45"/>
  <c r="R84" i="46"/>
  <c r="CV47" i="45"/>
  <c r="CW47" i="45"/>
  <c r="CW45" i="45"/>
  <c r="CW46" i="45"/>
  <c r="CV7" i="45"/>
  <c r="CW7" i="45"/>
  <c r="CW75" i="45"/>
  <c r="CV71" i="45"/>
  <c r="CV72" i="45"/>
  <c r="CV73" i="45"/>
  <c r="CV74" i="45"/>
  <c r="CW70" i="45"/>
  <c r="CV69" i="45"/>
  <c r="CW60" i="45"/>
  <c r="CV39" i="45"/>
  <c r="CV40" i="45"/>
  <c r="CW38" i="45"/>
  <c r="CW40" i="45"/>
  <c r="CW41" i="45"/>
  <c r="CW42" i="45"/>
  <c r="CV38" i="45"/>
  <c r="D34" i="16"/>
  <c r="E34" i="16"/>
  <c r="F34" i="16"/>
  <c r="G34" i="16"/>
  <c r="H34" i="16"/>
  <c r="I34" i="16"/>
  <c r="J34" i="16"/>
  <c r="K34" i="16"/>
  <c r="S34" i="16"/>
  <c r="V34" i="16"/>
  <c r="W34" i="16"/>
  <c r="X34" i="16"/>
  <c r="Y34" i="16"/>
  <c r="Z34" i="16"/>
  <c r="Y49" i="16"/>
  <c r="H49" i="16" a="1"/>
  <c r="M49" i="16" a="1"/>
  <c r="K49" i="16" a="1"/>
  <c r="I49" i="16" a="1"/>
  <c r="L49" i="16" a="1"/>
  <c r="G49" i="16" a="1"/>
  <c r="F49" i="16" a="1"/>
  <c r="J49" i="16" a="1"/>
  <c r="U84" i="46" a="1"/>
  <c r="M49" i="16" l="1"/>
  <c r="L49" i="16"/>
  <c r="U84" i="46"/>
  <c r="K49" i="16"/>
  <c r="I49" i="16"/>
  <c r="H49" i="16"/>
  <c r="G49" i="16"/>
  <c r="J49" i="16"/>
  <c r="F49" i="16"/>
  <c r="N34" i="16" a="1"/>
  <c r="N34" i="16" l="1"/>
  <c r="U33" i="21" l="1"/>
  <c r="U32" i="21"/>
  <c r="U31" i="21"/>
  <c r="U30" i="21"/>
  <c r="D31" i="21" a="1"/>
  <c r="H32" i="21" a="1"/>
  <c r="N31" i="21" a="1"/>
  <c r="M30" i="21" a="1"/>
  <c r="M31" i="21" a="1"/>
  <c r="F31" i="21" a="1"/>
  <c r="J31" i="21" a="1"/>
  <c r="N33" i="21" a="1"/>
  <c r="D33" i="21" a="1"/>
  <c r="M33" i="21" a="1"/>
  <c r="K31" i="21" a="1"/>
  <c r="G31" i="21" a="1"/>
  <c r="F33" i="21" a="1"/>
  <c r="G30" i="21" a="1"/>
  <c r="N32" i="21" a="1"/>
  <c r="M32" i="21" a="1"/>
  <c r="N30" i="21" a="1"/>
  <c r="I30" i="21" a="1"/>
  <c r="K33" i="21" a="1"/>
  <c r="J33" i="21" a="1"/>
  <c r="J30" i="21" a="1"/>
  <c r="K30" i="21" a="1"/>
  <c r="H30" i="21" a="1"/>
  <c r="N30" i="21" l="1"/>
  <c r="N31" i="21"/>
  <c r="N32" i="21"/>
  <c r="N33" i="21"/>
  <c r="M31" i="21"/>
  <c r="M32" i="21"/>
  <c r="M30" i="21"/>
  <c r="M33" i="21"/>
  <c r="H30" i="21"/>
  <c r="K33" i="21"/>
  <c r="I30" i="21"/>
  <c r="J30" i="21"/>
  <c r="D31" i="21"/>
  <c r="F31" i="21"/>
  <c r="H32" i="21"/>
  <c r="K30" i="21"/>
  <c r="F33" i="21"/>
  <c r="D33" i="21"/>
  <c r="G31" i="21"/>
  <c r="J31" i="21"/>
  <c r="G30" i="21"/>
  <c r="K31" i="21"/>
  <c r="J33" i="21"/>
  <c r="G33" i="21" a="1"/>
  <c r="H31" i="21" a="1"/>
  <c r="J32" i="21" a="1"/>
  <c r="F30" i="21" a="1"/>
  <c r="F32" i="21" a="1"/>
  <c r="I32" i="21" a="1"/>
  <c r="K32" i="21" a="1"/>
  <c r="H33" i="21" a="1"/>
  <c r="D30" i="21" a="1"/>
  <c r="G32" i="21" a="1"/>
  <c r="I33" i="21" a="1"/>
  <c r="I31" i="21" a="1"/>
  <c r="D32" i="21" a="1"/>
  <c r="F30" i="21" l="1"/>
  <c r="J32" i="21"/>
  <c r="F32" i="21"/>
  <c r="G32" i="21"/>
  <c r="D32" i="21"/>
  <c r="D30" i="21"/>
  <c r="K32" i="21"/>
  <c r="H33" i="21"/>
  <c r="I31" i="21"/>
  <c r="G33" i="21"/>
  <c r="I33" i="21"/>
  <c r="H31" i="21"/>
  <c r="I32" i="21"/>
  <c r="BI80" i="54" l="1"/>
  <c r="CB79" i="55"/>
  <c r="CC51" i="55"/>
  <c r="CB50" i="55"/>
  <c r="CB44" i="55"/>
  <c r="CB98" i="55"/>
  <c r="CB97" i="55"/>
  <c r="CB96" i="55"/>
  <c r="CB95" i="55"/>
  <c r="CB94" i="55"/>
  <c r="BZ94" i="55"/>
  <c r="CB93" i="55"/>
  <c r="CA93" i="55"/>
  <c r="BZ93" i="55"/>
  <c r="CB92" i="55"/>
  <c r="CA92" i="55"/>
  <c r="BZ92" i="55"/>
  <c r="CB91" i="55"/>
  <c r="CA91" i="55"/>
  <c r="BZ91" i="55"/>
  <c r="CB90" i="55"/>
  <c r="CA90" i="55"/>
  <c r="BZ90" i="55"/>
  <c r="CB89" i="55"/>
  <c r="CA89" i="55"/>
  <c r="BZ89" i="55"/>
  <c r="CB88" i="55"/>
  <c r="CA88" i="55"/>
  <c r="BZ88" i="55"/>
  <c r="CB87" i="55"/>
  <c r="CA87" i="55"/>
  <c r="BZ87" i="55"/>
  <c r="CB84" i="55"/>
  <c r="BZ84" i="55"/>
  <c r="CB83" i="55"/>
  <c r="BZ83" i="55"/>
  <c r="CB81" i="55"/>
  <c r="BZ81" i="55"/>
  <c r="BZ80" i="55"/>
  <c r="CB78" i="55"/>
  <c r="BZ78" i="55"/>
  <c r="CB77" i="55"/>
  <c r="BZ77" i="55"/>
  <c r="CB76" i="55"/>
  <c r="BZ76" i="55"/>
  <c r="CB75" i="55"/>
  <c r="BZ75" i="55"/>
  <c r="BZ74" i="55"/>
  <c r="CB72" i="55"/>
  <c r="BZ72" i="55"/>
  <c r="CB71" i="55"/>
  <c r="BZ71" i="55"/>
  <c r="CB70" i="55"/>
  <c r="BZ70" i="55"/>
  <c r="CB69" i="55"/>
  <c r="BZ69" i="55"/>
  <c r="BZ68" i="55"/>
  <c r="CB66" i="55"/>
  <c r="BZ66" i="55"/>
  <c r="CB65" i="55"/>
  <c r="BZ65" i="55"/>
  <c r="CB64" i="55"/>
  <c r="BZ64" i="55"/>
  <c r="CB63" i="55"/>
  <c r="BZ63" i="55"/>
  <c r="BZ48" i="55"/>
  <c r="CB47" i="55"/>
  <c r="BZ47" i="55"/>
  <c r="CB46" i="55"/>
  <c r="BZ46" i="55"/>
  <c r="CB45" i="55"/>
  <c r="BZ45" i="55"/>
  <c r="BZ44" i="55"/>
  <c r="CB42" i="55"/>
  <c r="BZ42" i="55"/>
  <c r="CB41" i="55"/>
  <c r="BZ41" i="55"/>
  <c r="BZ40" i="55"/>
  <c r="CB39" i="55"/>
  <c r="BZ39" i="55"/>
  <c r="CB36" i="55"/>
  <c r="BZ36" i="55"/>
  <c r="CB35" i="55"/>
  <c r="BZ35" i="55"/>
  <c r="CB34" i="55"/>
  <c r="BZ34" i="55"/>
  <c r="CB33" i="55"/>
  <c r="BZ33" i="55"/>
  <c r="CB30" i="55"/>
  <c r="BZ30" i="55"/>
  <c r="CB29" i="55"/>
  <c r="BZ29" i="55"/>
  <c r="CB28" i="55"/>
  <c r="BZ28" i="55"/>
  <c r="CB27" i="55"/>
  <c r="BZ27" i="55"/>
  <c r="BI106" i="54"/>
  <c r="BI95" i="54"/>
  <c r="BI85" i="54"/>
  <c r="BI75" i="54"/>
  <c r="BI65" i="54"/>
  <c r="BI55" i="54"/>
  <c r="BI46" i="54"/>
  <c r="BI4" i="25"/>
  <c r="CB106" i="54"/>
  <c r="CB95" i="54"/>
  <c r="CB115" i="54"/>
  <c r="CB114" i="54"/>
  <c r="CB113" i="54"/>
  <c r="CB112" i="54"/>
  <c r="CB111" i="54"/>
  <c r="CB110" i="54"/>
  <c r="CB109" i="54"/>
  <c r="CB108" i="54"/>
  <c r="CB107" i="54"/>
  <c r="CB104" i="54"/>
  <c r="CB103" i="54"/>
  <c r="CB102" i="54"/>
  <c r="CB101" i="54"/>
  <c r="CB100" i="54"/>
  <c r="CB99" i="54"/>
  <c r="CB98" i="54"/>
  <c r="CB97" i="54"/>
  <c r="CB96" i="54"/>
  <c r="CB87" i="54"/>
  <c r="CB88" i="54"/>
  <c r="CB89" i="54"/>
  <c r="CB90" i="54"/>
  <c r="CB91" i="54"/>
  <c r="CB92" i="54"/>
  <c r="CB93" i="54"/>
  <c r="CB94" i="54"/>
  <c r="CB86" i="54"/>
  <c r="CB85" i="54"/>
  <c r="CB80" i="54"/>
  <c r="CB84" i="54"/>
  <c r="CB77" i="54"/>
  <c r="CB78" i="54"/>
  <c r="CB79" i="54"/>
  <c r="CB81" i="54"/>
  <c r="CB82" i="54"/>
  <c r="CB83" i="54"/>
  <c r="CB75" i="54"/>
  <c r="CB76" i="54"/>
  <c r="CB74" i="54"/>
  <c r="CB73" i="54"/>
  <c r="CB72" i="54"/>
  <c r="CB71" i="54"/>
  <c r="CB70" i="54"/>
  <c r="CB69" i="54"/>
  <c r="CB68" i="54"/>
  <c r="CB67" i="54"/>
  <c r="CB66" i="54"/>
  <c r="CB65" i="54"/>
  <c r="CB57" i="54"/>
  <c r="CB58" i="54"/>
  <c r="CB59" i="54"/>
  <c r="CB60" i="54"/>
  <c r="CB61" i="54"/>
  <c r="CB62" i="54"/>
  <c r="CB63" i="54"/>
  <c r="CB64" i="54"/>
  <c r="CB48" i="54"/>
  <c r="CB49" i="54"/>
  <c r="CB50" i="54"/>
  <c r="CB51" i="54"/>
  <c r="CB52" i="54"/>
  <c r="CB53" i="54"/>
  <c r="CB54" i="54"/>
  <c r="CB38" i="54"/>
  <c r="CB39" i="54"/>
  <c r="CB40" i="54"/>
  <c r="CB41" i="54"/>
  <c r="CB42" i="54"/>
  <c r="CB43" i="54"/>
  <c r="CB44" i="54"/>
  <c r="CB45" i="54"/>
  <c r="CB28" i="54"/>
  <c r="CB29" i="54"/>
  <c r="CB30" i="54"/>
  <c r="CB31" i="54"/>
  <c r="CB32" i="54"/>
  <c r="CB33" i="54"/>
  <c r="CB34" i="54"/>
  <c r="CB35" i="54"/>
  <c r="CB56" i="54"/>
  <c r="CB55" i="54"/>
  <c r="CB47" i="54"/>
  <c r="CB46" i="54"/>
  <c r="CB37" i="54"/>
  <c r="CB27" i="54"/>
  <c r="CB26" i="54"/>
  <c r="CB25" i="54"/>
  <c r="CB24" i="54"/>
  <c r="CB23" i="54"/>
  <c r="CB22" i="54"/>
  <c r="CB21" i="54"/>
  <c r="CB20" i="54"/>
  <c r="CB19" i="54"/>
  <c r="CB18" i="54"/>
  <c r="CB17" i="54"/>
  <c r="CB9" i="54"/>
  <c r="CB10" i="54"/>
  <c r="CB11" i="54"/>
  <c r="CB12" i="54"/>
  <c r="CB13" i="54"/>
  <c r="CB14" i="54"/>
  <c r="CB15" i="54"/>
  <c r="CB8" i="54"/>
  <c r="BZ8" i="54"/>
  <c r="BZ9" i="54"/>
  <c r="BZ10" i="54"/>
  <c r="BZ12" i="54"/>
  <c r="BZ13" i="54"/>
  <c r="BZ14" i="54"/>
  <c r="BZ15" i="54"/>
  <c r="BZ16" i="54"/>
  <c r="BZ17" i="54"/>
  <c r="BZ18" i="54"/>
  <c r="BZ19" i="54"/>
  <c r="BZ20" i="54"/>
  <c r="BZ21" i="54"/>
  <c r="BZ22" i="54"/>
  <c r="BZ23" i="54"/>
  <c r="BZ24" i="54"/>
  <c r="BZ25" i="54"/>
  <c r="BZ26" i="54"/>
  <c r="BZ27" i="54"/>
  <c r="BZ28" i="54"/>
  <c r="BZ29" i="54"/>
  <c r="BZ30" i="54"/>
  <c r="BZ31" i="54"/>
  <c r="BZ32" i="54"/>
  <c r="BZ33" i="54"/>
  <c r="BZ34" i="54"/>
  <c r="BZ35" i="54"/>
  <c r="BZ36" i="54"/>
  <c r="BZ37" i="54"/>
  <c r="BZ38" i="54"/>
  <c r="BZ39" i="54"/>
  <c r="BZ40" i="54"/>
  <c r="BZ41" i="54"/>
  <c r="BZ42" i="54"/>
  <c r="BZ43" i="54"/>
  <c r="BZ44" i="54"/>
  <c r="BZ45" i="54"/>
  <c r="BZ46" i="54"/>
  <c r="BZ47" i="54"/>
  <c r="BZ48" i="54"/>
  <c r="BZ49" i="54"/>
  <c r="BZ50" i="54"/>
  <c r="BZ51" i="54"/>
  <c r="BZ52" i="54"/>
  <c r="BZ53" i="54"/>
  <c r="BZ54" i="54"/>
  <c r="BZ55" i="54"/>
  <c r="BZ56" i="54"/>
  <c r="BZ57" i="54"/>
  <c r="BZ58" i="54"/>
  <c r="BZ59" i="54"/>
  <c r="BZ60" i="54"/>
  <c r="BZ61" i="54"/>
  <c r="BZ62" i="54"/>
  <c r="BZ63" i="54"/>
  <c r="BZ64" i="54"/>
  <c r="BZ65" i="54"/>
  <c r="BZ66" i="54"/>
  <c r="BZ67" i="54"/>
  <c r="BZ68" i="54"/>
  <c r="BZ69" i="54"/>
  <c r="BZ70" i="54"/>
  <c r="BZ71" i="54"/>
  <c r="BZ72" i="54"/>
  <c r="BZ73" i="54"/>
  <c r="BZ74" i="54"/>
  <c r="BZ75" i="54"/>
  <c r="BZ76" i="54"/>
  <c r="BZ77" i="54"/>
  <c r="BZ78" i="54"/>
  <c r="BZ79" i="54"/>
  <c r="BZ80" i="54"/>
  <c r="BZ81" i="54"/>
  <c r="BZ82" i="54"/>
  <c r="BZ83" i="54"/>
  <c r="BZ84" i="54"/>
  <c r="BZ85" i="54"/>
  <c r="BZ86" i="54"/>
  <c r="BZ87" i="54"/>
  <c r="BZ88" i="54"/>
  <c r="BZ89" i="54"/>
  <c r="BZ90" i="54"/>
  <c r="BZ91" i="54"/>
  <c r="BZ92" i="54"/>
  <c r="BZ93" i="54"/>
  <c r="BZ94" i="54"/>
  <c r="BZ95" i="54"/>
  <c r="BZ96" i="54"/>
  <c r="BZ97" i="54"/>
  <c r="BZ98" i="54"/>
  <c r="BZ99" i="54"/>
  <c r="BZ100" i="54"/>
  <c r="BZ101" i="54"/>
  <c r="BZ102" i="54"/>
  <c r="BZ103" i="54"/>
  <c r="BZ104" i="54"/>
  <c r="BZ105" i="54"/>
  <c r="BZ106" i="54"/>
  <c r="BZ107" i="54"/>
  <c r="BZ108" i="54"/>
  <c r="BZ109" i="54"/>
  <c r="BZ110" i="54"/>
  <c r="BZ111" i="54"/>
  <c r="CB36" i="54"/>
  <c r="AV110" i="54"/>
  <c r="AU110" i="54"/>
  <c r="AV109" i="54"/>
  <c r="AU109" i="54"/>
  <c r="AV108" i="54"/>
  <c r="AU108" i="54"/>
  <c r="AV107" i="54"/>
  <c r="AU107" i="54"/>
  <c r="AV106" i="54"/>
  <c r="AU106" i="54"/>
  <c r="AV104" i="54"/>
  <c r="AU104" i="54"/>
  <c r="AV103" i="54"/>
  <c r="AU103" i="54"/>
  <c r="AV102" i="54"/>
  <c r="AU102" i="54"/>
  <c r="AV101" i="54"/>
  <c r="AU101" i="54"/>
  <c r="AV100" i="54"/>
  <c r="AU100" i="54"/>
  <c r="AV99" i="54"/>
  <c r="AU99" i="54"/>
  <c r="AV98" i="54"/>
  <c r="AU98" i="54"/>
  <c r="AV97" i="54"/>
  <c r="AU97" i="54"/>
  <c r="AV96" i="54"/>
  <c r="AU96" i="54"/>
  <c r="AV95" i="54"/>
  <c r="AU95" i="54"/>
  <c r="AV94" i="54"/>
  <c r="AU94" i="54"/>
  <c r="AV93" i="54"/>
  <c r="AV34" i="54" s="1"/>
  <c r="AU93" i="54"/>
  <c r="AU34" i="54" s="1"/>
  <c r="AV92" i="54"/>
  <c r="AU92" i="54"/>
  <c r="AV91" i="54"/>
  <c r="AU91" i="54"/>
  <c r="AV90" i="54"/>
  <c r="AU90" i="54"/>
  <c r="AV89" i="54"/>
  <c r="AU89" i="54"/>
  <c r="AV88" i="54"/>
  <c r="AU88" i="54"/>
  <c r="AV87" i="54"/>
  <c r="AU87" i="54"/>
  <c r="AV86" i="54"/>
  <c r="AU86" i="54"/>
  <c r="AV85" i="54"/>
  <c r="AU85" i="54"/>
  <c r="AV84" i="54"/>
  <c r="AU84" i="54"/>
  <c r="AV83" i="54"/>
  <c r="AU83" i="54"/>
  <c r="AV82" i="54"/>
  <c r="AU82" i="54"/>
  <c r="AV81" i="54"/>
  <c r="AU81" i="54"/>
  <c r="AV80" i="54"/>
  <c r="AU80" i="54"/>
  <c r="AV79" i="54"/>
  <c r="AU79" i="54"/>
  <c r="AV78" i="54"/>
  <c r="AU78" i="54"/>
  <c r="AV77" i="54"/>
  <c r="AU77" i="54"/>
  <c r="AV76" i="54"/>
  <c r="AU76" i="54"/>
  <c r="AV75" i="54"/>
  <c r="AU75" i="54"/>
  <c r="AV74" i="54"/>
  <c r="AU74" i="54"/>
  <c r="AV72" i="54"/>
  <c r="AU72" i="54"/>
  <c r="AV71" i="54"/>
  <c r="AU71" i="54"/>
  <c r="AV70" i="54"/>
  <c r="AU70" i="54"/>
  <c r="AV69" i="54"/>
  <c r="AU69" i="54"/>
  <c r="AU68" i="54"/>
  <c r="AU67" i="54"/>
  <c r="AU66" i="54"/>
  <c r="AV65" i="54"/>
  <c r="AU65" i="54"/>
  <c r="AW74" i="54" s="1"/>
  <c r="AV64" i="54"/>
  <c r="AU64" i="54"/>
  <c r="AV62" i="54"/>
  <c r="AU62" i="54"/>
  <c r="AV61" i="54"/>
  <c r="AU61" i="54"/>
  <c r="AV60" i="54"/>
  <c r="AU60" i="54"/>
  <c r="AV59" i="54"/>
  <c r="AU59" i="54"/>
  <c r="AV58" i="54"/>
  <c r="AU58" i="54"/>
  <c r="AV57" i="54"/>
  <c r="AU57" i="54"/>
  <c r="AV56" i="54"/>
  <c r="AU56" i="54"/>
  <c r="AV55" i="54"/>
  <c r="AU55" i="54"/>
  <c r="AW64" i="54" s="1"/>
  <c r="AV54" i="54"/>
  <c r="AU54" i="54"/>
  <c r="AV53" i="54"/>
  <c r="AU53" i="54"/>
  <c r="AV52" i="54"/>
  <c r="AU52" i="54"/>
  <c r="AV51" i="54"/>
  <c r="AU51" i="54"/>
  <c r="AV50" i="54"/>
  <c r="AU50" i="54"/>
  <c r="AV47" i="54"/>
  <c r="AU47" i="54"/>
  <c r="AV46" i="54"/>
  <c r="AU46" i="54"/>
  <c r="AV45" i="54"/>
  <c r="AU45" i="54"/>
  <c r="AV43" i="54"/>
  <c r="AU43" i="54"/>
  <c r="AV42" i="54"/>
  <c r="AU42" i="54"/>
  <c r="AV41" i="54"/>
  <c r="AU41" i="54"/>
  <c r="AV40" i="54"/>
  <c r="AU40" i="54"/>
  <c r="AV39" i="54"/>
  <c r="AU39" i="54"/>
  <c r="AV38" i="54"/>
  <c r="AU38" i="54"/>
  <c r="AV37" i="54"/>
  <c r="AU37" i="54"/>
  <c r="AV36" i="54"/>
  <c r="AU36" i="54"/>
  <c r="AV27" i="54"/>
  <c r="AU26" i="54"/>
  <c r="AV8" i="54"/>
  <c r="AU20" i="54" l="1"/>
  <c r="AV20" i="54"/>
  <c r="CB43" i="55"/>
  <c r="CB15" i="55"/>
  <c r="CB21" i="55"/>
  <c r="BX64" i="54"/>
  <c r="BW64" i="54"/>
  <c r="BX74" i="54"/>
  <c r="BW74" i="54"/>
  <c r="AV35" i="54"/>
  <c r="AW61" i="54"/>
  <c r="AW32" i="54" s="1"/>
  <c r="AW35" i="54"/>
  <c r="CE35" i="54" s="1"/>
  <c r="AW71" i="54"/>
  <c r="AW22" i="54" s="1"/>
  <c r="AW13" i="54" s="1"/>
  <c r="AW25" i="54"/>
  <c r="CE25" i="54" s="1"/>
  <c r="AV18" i="54"/>
  <c r="AV19" i="54"/>
  <c r="BZ79" i="55"/>
  <c r="BZ31" i="55"/>
  <c r="CB31" i="55"/>
  <c r="BZ32" i="55"/>
  <c r="CB38" i="55"/>
  <c r="AV32" i="54"/>
  <c r="AV33" i="54"/>
  <c r="AU32" i="54"/>
  <c r="AU33" i="54"/>
  <c r="AU35" i="54"/>
  <c r="AU27" i="54"/>
  <c r="AV31" i="54"/>
  <c r="AU18" i="54"/>
  <c r="AU16" i="54"/>
  <c r="AU7" i="54" s="1"/>
  <c r="AV16" i="54"/>
  <c r="AV28" i="54"/>
  <c r="AV25" i="54"/>
  <c r="AV111" i="54"/>
  <c r="AU19" i="54"/>
  <c r="AU17" i="54"/>
  <c r="AV29" i="54"/>
  <c r="AV17" i="54"/>
  <c r="CB7" i="54"/>
  <c r="AV21" i="54"/>
  <c r="AU22" i="54"/>
  <c r="BI36" i="54"/>
  <c r="AU30" i="54"/>
  <c r="AV23" i="54"/>
  <c r="AV24" i="54"/>
  <c r="AU23" i="54"/>
  <c r="AU31" i="54"/>
  <c r="AU111" i="54"/>
  <c r="AU25" i="54"/>
  <c r="AV22" i="54"/>
  <c r="AU29" i="54"/>
  <c r="AV26" i="54"/>
  <c r="AV30" i="54"/>
  <c r="AU21" i="54"/>
  <c r="AU28" i="54"/>
  <c r="AU24" i="54"/>
  <c r="BZ7" i="54"/>
  <c r="BZ67" i="55"/>
  <c r="BZ49" i="55"/>
  <c r="BZ15" i="55"/>
  <c r="BZ21" i="55"/>
  <c r="BZ50" i="55"/>
  <c r="BZ37" i="55"/>
  <c r="BZ82" i="55"/>
  <c r="CB82" i="55"/>
  <c r="BZ38" i="55"/>
  <c r="BZ43" i="55"/>
  <c r="P84" i="46" a="1"/>
  <c r="CB49" i="55" l="1"/>
  <c r="AM4" i="55"/>
  <c r="AK5" i="55"/>
  <c r="AP5" i="55"/>
  <c r="AR4" i="55"/>
  <c r="AO6" i="55"/>
  <c r="AV15" i="54"/>
  <c r="AQ4" i="55"/>
  <c r="AP4" i="55"/>
  <c r="CC9" i="55"/>
  <c r="CC15" i="55"/>
  <c r="AK4" i="55"/>
  <c r="AL4" i="55"/>
  <c r="AJ4" i="55"/>
  <c r="BX71" i="54"/>
  <c r="BW71" i="54"/>
  <c r="BX61" i="54"/>
  <c r="BW61" i="54"/>
  <c r="AV9" i="54"/>
  <c r="AW15" i="54"/>
  <c r="CE15" i="54" s="1"/>
  <c r="AV12" i="54"/>
  <c r="AU14" i="54"/>
  <c r="AV14" i="54"/>
  <c r="AU13" i="54"/>
  <c r="AU15" i="54"/>
  <c r="AV13" i="54"/>
  <c r="AL5" i="55"/>
  <c r="CB37" i="55"/>
  <c r="BZ26" i="55"/>
  <c r="AS4" i="55"/>
  <c r="AR5" i="55"/>
  <c r="AO4" i="55"/>
  <c r="AU11" i="54"/>
  <c r="AV7" i="54"/>
  <c r="AU8" i="54"/>
  <c r="AU9" i="54"/>
  <c r="AU10" i="54"/>
  <c r="AU12" i="54"/>
  <c r="AV10" i="54"/>
  <c r="CB16" i="54"/>
  <c r="AV11" i="54"/>
  <c r="P84" i="46"/>
  <c r="AJ6" i="55"/>
  <c r="CB20" i="55"/>
  <c r="CB26" i="55"/>
  <c r="BZ73" i="55"/>
  <c r="AI5" i="55"/>
  <c r="BZ85" i="55"/>
  <c r="BZ20" i="55"/>
  <c r="AO5" i="55" l="1"/>
  <c r="CC20" i="55"/>
  <c r="AN5" i="55"/>
  <c r="AL6" i="55"/>
  <c r="AU4" i="54"/>
  <c r="AV4" i="54"/>
  <c r="AN6" i="55"/>
  <c r="AP6" i="55"/>
  <c r="AK6" i="55"/>
  <c r="AN4" i="55"/>
  <c r="AQ6" i="55"/>
  <c r="AQ5" i="55"/>
  <c r="AR6" i="55"/>
  <c r="AM6" i="55"/>
  <c r="AM5" i="55"/>
  <c r="AS5" i="55"/>
  <c r="AS6" i="55"/>
  <c r="AJ5" i="55"/>
  <c r="P98" i="34" l="1"/>
  <c r="P82" i="34"/>
  <c r="P78" i="34"/>
  <c r="P74" i="34"/>
  <c r="P72" i="34"/>
  <c r="P70" i="34"/>
  <c r="P68" i="34"/>
  <c r="P66" i="34"/>
  <c r="Q65" i="34"/>
  <c r="Q64" i="34"/>
  <c r="Q63" i="34"/>
  <c r="Q62" i="34"/>
  <c r="AI18" i="56" l="1"/>
  <c r="AI14" i="56" s="1"/>
  <c r="AI13" i="56"/>
  <c r="AI9" i="56"/>
  <c r="AI4" i="56"/>
  <c r="AI5" i="56" s="1"/>
  <c r="AF52" i="36" l="1"/>
  <c r="AE52" i="36"/>
  <c r="AF51" i="36"/>
  <c r="AE51" i="36"/>
  <c r="AF50" i="36"/>
  <c r="AE50" i="36"/>
  <c r="AF49" i="36"/>
  <c r="AE49" i="36"/>
  <c r="AF48" i="36"/>
  <c r="AE48" i="36"/>
  <c r="AF47" i="36"/>
  <c r="AE47" i="36"/>
  <c r="AF46" i="36"/>
  <c r="AE46" i="36"/>
  <c r="AF45" i="36"/>
  <c r="AE45" i="36"/>
  <c r="AF44" i="36"/>
  <c r="AE44" i="36"/>
  <c r="AF43" i="36"/>
  <c r="AE43" i="36"/>
  <c r="AF42" i="36"/>
  <c r="AE42" i="36"/>
  <c r="AF41" i="36"/>
  <c r="AE41" i="36"/>
  <c r="E30" i="21" a="1"/>
  <c r="E31" i="21" a="1"/>
  <c r="E32" i="21" a="1"/>
  <c r="E33" i="21" a="1"/>
  <c r="E31" i="21" l="1"/>
  <c r="E30" i="21"/>
  <c r="E33" i="21"/>
  <c r="E32" i="21"/>
  <c r="AG19" i="43"/>
  <c r="AX62" i="22" l="1"/>
  <c r="BJ62" i="22" s="1"/>
  <c r="AX63" i="22"/>
  <c r="BJ63" i="22" s="1"/>
  <c r="AX64" i="22"/>
  <c r="BJ64" i="22" s="1"/>
  <c r="AX65" i="22"/>
  <c r="BJ65" i="22" s="1"/>
  <c r="AX66" i="22"/>
  <c r="BJ66" i="22" s="1"/>
  <c r="AX67" i="22"/>
  <c r="BJ67" i="22" s="1"/>
  <c r="AX68" i="22"/>
  <c r="BJ68" i="22" s="1"/>
  <c r="AX69" i="22"/>
  <c r="BJ69" i="22" s="1"/>
  <c r="AX70" i="22"/>
  <c r="BJ70" i="22" s="1"/>
  <c r="AX71" i="22"/>
  <c r="BJ71" i="22" s="1"/>
  <c r="AX72" i="22"/>
  <c r="BJ72" i="22" s="1"/>
  <c r="AX73" i="22"/>
  <c r="BJ73" i="22" s="1"/>
  <c r="AX74" i="22"/>
  <c r="BJ74" i="22" s="1"/>
  <c r="AX75" i="22"/>
  <c r="BJ75" i="22" s="1"/>
  <c r="AX76" i="22"/>
  <c r="BJ76" i="22" s="1"/>
  <c r="AX77" i="22"/>
  <c r="BJ77" i="22" s="1"/>
  <c r="AX78" i="22"/>
  <c r="BJ78" i="22" s="1"/>
  <c r="AX79" i="22"/>
  <c r="BJ79" i="22" s="1"/>
  <c r="AX61" i="22"/>
  <c r="BJ61" i="22" s="1"/>
  <c r="T31" i="21" a="1"/>
  <c r="T31" i="21" l="1"/>
  <c r="BI13" i="25"/>
  <c r="Q31" i="16" a="1"/>
  <c r="V49" i="16" a="1"/>
  <c r="Q49" i="16" a="1"/>
  <c r="Q34" i="16" a="1"/>
  <c r="T33" i="21" a="1"/>
  <c r="T30" i="21" a="1"/>
  <c r="T32" i="21" a="1"/>
  <c r="T32" i="21" l="1"/>
  <c r="T30" i="21"/>
  <c r="T33" i="21"/>
  <c r="Q31" i="16"/>
  <c r="V49" i="16"/>
  <c r="Q49" i="16"/>
  <c r="Q34" i="16"/>
  <c r="AA77" i="15" l="1"/>
  <c r="AA78" i="15"/>
  <c r="AA79" i="15"/>
  <c r="AA80" i="15"/>
  <c r="AA81" i="15"/>
  <c r="AA82" i="15"/>
  <c r="AA83" i="15"/>
  <c r="AA84" i="15"/>
  <c r="AA85" i="15"/>
  <c r="AA86" i="15"/>
  <c r="AA87" i="15"/>
  <c r="AA76" i="15"/>
  <c r="AA52" i="15"/>
  <c r="AA53" i="15"/>
  <c r="AA55" i="15"/>
  <c r="AA56" i="15"/>
  <c r="AA51" i="15"/>
  <c r="AA50" i="15"/>
  <c r="AA60" i="15"/>
  <c r="AA61" i="15"/>
  <c r="AA62" i="15"/>
  <c r="AA63" i="15"/>
  <c r="AA64" i="15"/>
  <c r="AA65" i="15"/>
  <c r="AA66" i="15"/>
  <c r="AA67" i="15"/>
  <c r="AA68" i="15"/>
  <c r="AA69" i="15"/>
  <c r="AA70" i="15"/>
  <c r="AA71" i="15"/>
  <c r="AA72" i="15"/>
  <c r="AA73" i="15"/>
  <c r="AA74" i="15"/>
  <c r="AA75" i="15"/>
  <c r="AA59" i="15"/>
  <c r="AA58" i="15"/>
  <c r="O76" i="15" a="1"/>
  <c r="O50" i="15" a="1"/>
  <c r="O65" i="15" a="1"/>
  <c r="O50" i="15" l="1"/>
  <c r="O65" i="15"/>
  <c r="O76" i="15"/>
  <c r="Z7" i="15" l="1"/>
  <c r="Z6" i="15"/>
  <c r="I7" i="15" a="1"/>
  <c r="L7" i="15" a="1"/>
  <c r="O52" i="15" a="1"/>
  <c r="N6" i="15" a="1"/>
  <c r="H7" i="15" a="1"/>
  <c r="M7" i="15" a="1"/>
  <c r="N7" i="15" a="1"/>
  <c r="M6" i="15" a="1"/>
  <c r="N7" i="15" l="1"/>
  <c r="N6" i="15"/>
  <c r="M6" i="15"/>
  <c r="M7" i="15"/>
  <c r="L7" i="15"/>
  <c r="I7" i="15"/>
  <c r="H7" i="15"/>
  <c r="O52" i="15"/>
  <c r="AG40" i="54" l="1"/>
  <c r="Z76" i="15" l="1"/>
  <c r="D76" i="15" a="1"/>
  <c r="W75" i="15" a="1"/>
  <c r="M76" i="15" a="1"/>
  <c r="L76" i="15" a="1"/>
  <c r="N76" i="15" a="1"/>
  <c r="D76" i="15" l="1"/>
  <c r="N76" i="15"/>
  <c r="M76" i="15"/>
  <c r="L76" i="15"/>
  <c r="W75" i="15"/>
  <c r="BJ5" i="25"/>
  <c r="BJ6" i="25"/>
  <c r="BJ7" i="25"/>
  <c r="BJ8" i="25"/>
  <c r="BJ9" i="25"/>
  <c r="BJ10" i="25"/>
  <c r="BJ11" i="25"/>
  <c r="BJ12" i="25"/>
  <c r="BJ13" i="25"/>
  <c r="BJ14" i="25"/>
  <c r="BJ15" i="25"/>
  <c r="BJ16" i="25"/>
  <c r="BJ17" i="25"/>
  <c r="BJ18" i="25"/>
  <c r="BJ19" i="25"/>
  <c r="BJ20" i="25"/>
  <c r="BJ21" i="25"/>
  <c r="BJ22" i="25"/>
  <c r="BJ23" i="25"/>
  <c r="BJ24" i="25"/>
  <c r="BJ25" i="25"/>
  <c r="BJ26" i="25"/>
  <c r="BJ27" i="25"/>
  <c r="BJ28" i="25"/>
  <c r="BJ29" i="25"/>
  <c r="BJ30" i="25"/>
  <c r="BJ31" i="25"/>
  <c r="BJ32" i="25"/>
  <c r="BJ34" i="25"/>
  <c r="BJ35" i="25"/>
  <c r="BJ36" i="25"/>
  <c r="BJ37" i="25"/>
  <c r="BJ38" i="25"/>
  <c r="BI5" i="25"/>
  <c r="BA33" i="45" l="1"/>
  <c r="AZ33" i="45"/>
  <c r="AY33" i="45"/>
  <c r="AX33" i="45"/>
  <c r="AW33" i="45"/>
  <c r="AV33" i="45"/>
  <c r="AU33" i="45"/>
  <c r="AT33" i="45"/>
  <c r="AR33" i="45"/>
  <c r="AQ33" i="45"/>
  <c r="BD33" i="45"/>
  <c r="BE33" i="45"/>
  <c r="BF33" i="45"/>
  <c r="BG33" i="45"/>
  <c r="BM33" i="45"/>
  <c r="BN33" i="45"/>
  <c r="BO33" i="45"/>
  <c r="BJ54" i="54"/>
  <c r="I139" i="46" a="1"/>
  <c r="J131" i="46" a="1"/>
  <c r="G132" i="46" a="1"/>
  <c r="L134" i="46" a="1"/>
  <c r="J134" i="46" a="1"/>
  <c r="I135" i="46" a="1"/>
  <c r="H138" i="46" a="1"/>
  <c r="J130" i="46" a="1"/>
  <c r="R131" i="46" a="1"/>
  <c r="L135" i="46" a="1"/>
  <c r="J140" i="46" a="1"/>
  <c r="J138" i="46" a="1"/>
  <c r="R139" i="46" a="1"/>
  <c r="L141" i="46" a="1"/>
  <c r="H135" i="46" a="1"/>
  <c r="G142" i="46" a="1"/>
  <c r="L132" i="46" a="1"/>
  <c r="L133" i="46" a="1"/>
  <c r="I131" i="46" a="1"/>
  <c r="G140" i="46" a="1"/>
  <c r="I137" i="46" a="1"/>
  <c r="G136" i="46" a="1"/>
  <c r="L140" i="46" a="1"/>
  <c r="H131" i="46" a="1"/>
  <c r="J132" i="46" a="1"/>
  <c r="G133" i="46" a="1"/>
  <c r="J137" i="46" a="1"/>
  <c r="L137" i="46" a="1"/>
  <c r="H133" i="46" a="1"/>
  <c r="J133" i="46" a="1"/>
  <c r="I136" i="46" a="1"/>
  <c r="R142" i="46" a="1"/>
  <c r="L138" i="46" a="1"/>
  <c r="I140" i="46" a="1"/>
  <c r="H130" i="46" a="1"/>
  <c r="G139" i="46" a="1"/>
  <c r="R140" i="46" a="1"/>
  <c r="J139" i="46" a="1"/>
  <c r="I142" i="46" a="1"/>
  <c r="J142" i="46" a="1"/>
  <c r="H140" i="46" a="1"/>
  <c r="I138" i="46" a="1"/>
  <c r="L142" i="46" a="1"/>
  <c r="I141" i="46" a="1"/>
  <c r="G134" i="46" a="1"/>
  <c r="I130" i="46" a="1"/>
  <c r="H139" i="46" a="1"/>
  <c r="H141" i="46" a="1"/>
  <c r="G138" i="46" a="1"/>
  <c r="H134" i="46" a="1"/>
  <c r="H142" i="46" a="1"/>
  <c r="H137" i="46" a="1"/>
  <c r="R138" i="46" a="1"/>
  <c r="L130" i="46" a="1"/>
  <c r="I133" i="46" a="1"/>
  <c r="J136" i="46" a="1"/>
  <c r="L136" i="46" a="1"/>
  <c r="G137" i="46" a="1"/>
  <c r="I134" i="46" a="1"/>
  <c r="H132" i="46" a="1"/>
  <c r="J141" i="46" a="1"/>
  <c r="H136" i="46" a="1"/>
  <c r="I132" i="46" a="1"/>
  <c r="L131" i="46" a="1"/>
  <c r="J135" i="46" a="1"/>
  <c r="L139" i="46" a="1"/>
  <c r="G131" i="46" a="1"/>
  <c r="I131" i="46" l="1"/>
  <c r="H133" i="46"/>
  <c r="H137" i="46"/>
  <c r="G139" i="46"/>
  <c r="H130" i="46"/>
  <c r="I132" i="46"/>
  <c r="H134" i="46"/>
  <c r="I136" i="46"/>
  <c r="H138" i="46"/>
  <c r="R138" i="46"/>
  <c r="G140" i="46"/>
  <c r="H142" i="46"/>
  <c r="R142" i="46"/>
  <c r="J131" i="46"/>
  <c r="I133" i="46"/>
  <c r="H135" i="46"/>
  <c r="I137" i="46"/>
  <c r="H139" i="46"/>
  <c r="R139" i="46"/>
  <c r="I130" i="46"/>
  <c r="J132" i="46"/>
  <c r="I134" i="46"/>
  <c r="J136" i="46"/>
  <c r="I138" i="46"/>
  <c r="H140" i="46"/>
  <c r="R140" i="46"/>
  <c r="J133" i="46"/>
  <c r="I135" i="46"/>
  <c r="J137" i="46"/>
  <c r="I139" i="46"/>
  <c r="H141" i="46"/>
  <c r="I142" i="46"/>
  <c r="J130" i="46"/>
  <c r="J134" i="46"/>
  <c r="J138" i="46"/>
  <c r="I140" i="46"/>
  <c r="J142" i="46"/>
  <c r="L131" i="46"/>
  <c r="J135" i="46"/>
  <c r="J139" i="46"/>
  <c r="I141" i="46"/>
  <c r="L132" i="46"/>
  <c r="L136" i="46"/>
  <c r="J140" i="46"/>
  <c r="L133" i="46"/>
  <c r="L137" i="46"/>
  <c r="J141" i="46"/>
  <c r="L130" i="46"/>
  <c r="L134" i="46"/>
  <c r="L138" i="46"/>
  <c r="L135" i="46"/>
  <c r="L139" i="46"/>
  <c r="L140" i="46"/>
  <c r="G131" i="46"/>
  <c r="L141" i="46"/>
  <c r="G132" i="46"/>
  <c r="G136" i="46"/>
  <c r="H131" i="46"/>
  <c r="R131" i="46"/>
  <c r="G133" i="46"/>
  <c r="G137" i="46"/>
  <c r="L142" i="46"/>
  <c r="H132" i="46"/>
  <c r="G134" i="46"/>
  <c r="H136" i="46"/>
  <c r="G138" i="46"/>
  <c r="G142" i="46"/>
  <c r="I5" i="46" a="1"/>
  <c r="L5" i="46" a="1"/>
  <c r="G5" i="46" a="1"/>
  <c r="H5" i="46" a="1"/>
  <c r="J5" i="46" a="1"/>
  <c r="K5" i="46" a="1"/>
  <c r="G5" i="46" l="1"/>
  <c r="L5" i="46"/>
  <c r="J5" i="46"/>
  <c r="I5" i="46"/>
  <c r="H5" i="46"/>
  <c r="K5" i="46"/>
  <c r="BQ36" i="45" l="1"/>
  <c r="BQ6" i="45" l="1"/>
  <c r="BQ8" i="45" l="1"/>
  <c r="BQ12" i="45"/>
  <c r="BQ118" i="45"/>
  <c r="BQ115" i="45"/>
  <c r="BQ111" i="45"/>
  <c r="BQ102" i="45"/>
  <c r="G130" i="46" a="1"/>
  <c r="G135" i="46" a="1"/>
  <c r="DP163" i="45" l="1"/>
  <c r="DP158" i="45"/>
  <c r="CV8" i="45"/>
  <c r="G135" i="46"/>
  <c r="G130" i="46"/>
  <c r="BQ197" i="45"/>
  <c r="BQ10" i="45"/>
  <c r="BQ114" i="45"/>
  <c r="BQ97" i="45"/>
  <c r="R130" i="46" a="1"/>
  <c r="CC10" i="45" l="1"/>
  <c r="BQ107" i="45"/>
  <c r="BQ125" i="45"/>
  <c r="R130" i="46"/>
  <c r="BQ49" i="45" l="1"/>
  <c r="BQ44" i="45" l="1"/>
  <c r="BQ5" i="45"/>
  <c r="CC5" i="45" s="1"/>
  <c r="Y41" i="16"/>
  <c r="Y35" i="16"/>
  <c r="BQ48" i="45" l="1"/>
  <c r="CV48" i="45"/>
  <c r="CW48" i="45"/>
  <c r="BQ78" i="45"/>
  <c r="Y29" i="16"/>
  <c r="Q33" i="16" a="1"/>
  <c r="Q32" i="16" a="1"/>
  <c r="Q35" i="16" a="1"/>
  <c r="Q29" i="16" a="1"/>
  <c r="Q30" i="16" a="1"/>
  <c r="Q41" i="16" a="1"/>
  <c r="CC78" i="45" l="1"/>
  <c r="Q30" i="16"/>
  <c r="Q32" i="16"/>
  <c r="Q33" i="16"/>
  <c r="Q35" i="16"/>
  <c r="Q41" i="16"/>
  <c r="Q29" i="16"/>
  <c r="CV78" i="45" l="1"/>
  <c r="Z77" i="15"/>
  <c r="Z78" i="15"/>
  <c r="Z79" i="15"/>
  <c r="Z80" i="15"/>
  <c r="Z81" i="15"/>
  <c r="Z82" i="15"/>
  <c r="Z83" i="15"/>
  <c r="Z84" i="15"/>
  <c r="Z85" i="15"/>
  <c r="Z86" i="15"/>
  <c r="Z87" i="15"/>
  <c r="Z60" i="15"/>
  <c r="Z61" i="15"/>
  <c r="Z62" i="15"/>
  <c r="Z63" i="15"/>
  <c r="Z64" i="15"/>
  <c r="Z65" i="15"/>
  <c r="Z66" i="15"/>
  <c r="Z67" i="15"/>
  <c r="Z68" i="15"/>
  <c r="Z69" i="15"/>
  <c r="Z70" i="15"/>
  <c r="Z71" i="15"/>
  <c r="Z72" i="15"/>
  <c r="Z73" i="15"/>
  <c r="Z59" i="15"/>
  <c r="Z52" i="15"/>
  <c r="Z53" i="15"/>
  <c r="Z55" i="15"/>
  <c r="Z56" i="15"/>
  <c r="Z51" i="15"/>
  <c r="Z50" i="15"/>
  <c r="D64" i="15" a="1"/>
  <c r="D67" i="15" a="1"/>
  <c r="D68" i="15" a="1"/>
  <c r="D70" i="15" a="1"/>
  <c r="D71" i="15" a="1"/>
  <c r="D84" i="15" a="1"/>
  <c r="D85" i="15" a="1"/>
  <c r="D61" i="15" a="1"/>
  <c r="D77" i="15" a="1"/>
  <c r="D65" i="15" a="1"/>
  <c r="D66" i="15" a="1"/>
  <c r="D69" i="15" a="1"/>
  <c r="D83" i="15" a="1"/>
  <c r="D72" i="15" a="1"/>
  <c r="D86" i="15" a="1"/>
  <c r="D87" i="15" a="1"/>
  <c r="D60" i="15" a="1"/>
  <c r="D78" i="15" a="1"/>
  <c r="D59" i="15" a="1"/>
  <c r="D79" i="15" a="1"/>
  <c r="D73" i="15" a="1"/>
  <c r="D62" i="15" a="1"/>
  <c r="D80" i="15" a="1"/>
  <c r="D81" i="15" a="1"/>
  <c r="D82" i="15" a="1"/>
  <c r="D63" i="15" a="1"/>
  <c r="N68" i="15" a="1"/>
  <c r="N86" i="15" a="1"/>
  <c r="M72" i="15" a="1"/>
  <c r="M73" i="15" a="1"/>
  <c r="L51" i="15" a="1"/>
  <c r="M83" i="15" a="1"/>
  <c r="N65" i="15" a="1"/>
  <c r="L50" i="15" a="1"/>
  <c r="M79" i="15" a="1"/>
  <c r="L52" i="15" a="1"/>
  <c r="L65" i="15" a="1"/>
  <c r="M78" i="15" a="1"/>
  <c r="N72" i="15" a="1"/>
  <c r="N77" i="15" a="1"/>
  <c r="N60" i="15" a="1"/>
  <c r="M56" i="15" a="1"/>
  <c r="M68" i="15" a="1"/>
  <c r="L69" i="15" a="1"/>
  <c r="N63" i="15" a="1"/>
  <c r="L72" i="15" a="1"/>
  <c r="W54" i="15" a="1"/>
  <c r="L73" i="15" a="1"/>
  <c r="N70" i="15" a="1"/>
  <c r="L70" i="15" a="1"/>
  <c r="M80" i="15" a="1"/>
  <c r="M60" i="15" a="1"/>
  <c r="M51" i="15" a="1"/>
  <c r="N52" i="15" a="1"/>
  <c r="N59" i="15" a="1"/>
  <c r="N78" i="15" a="1"/>
  <c r="M63" i="15" a="1"/>
  <c r="N82" i="15" a="1"/>
  <c r="M86" i="15" a="1"/>
  <c r="M53" i="15" a="1"/>
  <c r="L85" i="15" a="1"/>
  <c r="F60" i="15" a="1"/>
  <c r="N85" i="15" a="1"/>
  <c r="L83" i="15" a="1"/>
  <c r="N79" i="15" a="1"/>
  <c r="L80" i="15" a="1"/>
  <c r="N56" i="15" a="1"/>
  <c r="M59" i="15" a="1"/>
  <c r="M62" i="15" a="1"/>
  <c r="M77" i="15" a="1"/>
  <c r="N62" i="15" a="1"/>
  <c r="L82" i="15" a="1"/>
  <c r="L62" i="15" a="1"/>
  <c r="N66" i="15" a="1"/>
  <c r="M85" i="15" a="1"/>
  <c r="N71" i="15" a="1"/>
  <c r="N80" i="15" a="1"/>
  <c r="L63" i="15" a="1"/>
  <c r="L55" i="15" a="1"/>
  <c r="M69" i="15" a="1"/>
  <c r="N53" i="15" a="1"/>
  <c r="N87" i="15" a="1"/>
  <c r="L56" i="15" a="1"/>
  <c r="N61" i="15" a="1"/>
  <c r="M50" i="15" a="1"/>
  <c r="L79" i="15" a="1"/>
  <c r="M70" i="15" a="1"/>
  <c r="M64" i="15" a="1"/>
  <c r="N51" i="15" a="1"/>
  <c r="N84" i="15" a="1"/>
  <c r="L61" i="15" a="1"/>
  <c r="L71" i="15" a="1"/>
  <c r="M87" i="15" a="1"/>
  <c r="N81" i="15" a="1"/>
  <c r="L66" i="15" a="1"/>
  <c r="N67" i="15" a="1"/>
  <c r="L53" i="15" a="1"/>
  <c r="L67" i="15" a="1"/>
  <c r="M71" i="15" a="1"/>
  <c r="M82" i="15" a="1"/>
  <c r="M84" i="15" a="1"/>
  <c r="N83" i="15" a="1"/>
  <c r="L60" i="15" a="1"/>
  <c r="N69" i="15" a="1"/>
  <c r="L81" i="15" a="1"/>
  <c r="M55" i="15" a="1"/>
  <c r="N73" i="15" a="1"/>
  <c r="L86" i="15" a="1"/>
  <c r="N50" i="15" a="1"/>
  <c r="L78" i="15" a="1"/>
  <c r="M52" i="15" a="1"/>
  <c r="L68" i="15" a="1"/>
  <c r="N64" i="15" a="1"/>
  <c r="M81" i="15" a="1"/>
  <c r="M66" i="15" a="1"/>
  <c r="L77" i="15" a="1"/>
  <c r="N55" i="15" a="1"/>
  <c r="L64" i="15" a="1"/>
  <c r="M61" i="15" a="1"/>
  <c r="L84" i="15" a="1"/>
  <c r="M67" i="15" a="1"/>
  <c r="L59" i="15" a="1"/>
  <c r="L87" i="15" a="1"/>
  <c r="M65" i="15" a="1"/>
  <c r="D63" i="15" l="1"/>
  <c r="D82" i="15"/>
  <c r="D81" i="15"/>
  <c r="D80" i="15"/>
  <c r="D62" i="15"/>
  <c r="D73" i="15"/>
  <c r="D79" i="15"/>
  <c r="D59" i="15"/>
  <c r="D78" i="15"/>
  <c r="D60" i="15"/>
  <c r="D87" i="15"/>
  <c r="D86" i="15"/>
  <c r="D72" i="15"/>
  <c r="D83" i="15"/>
  <c r="D69" i="15"/>
  <c r="D66" i="15"/>
  <c r="D65" i="15"/>
  <c r="D77" i="15"/>
  <c r="D61" i="15"/>
  <c r="D85" i="15"/>
  <c r="D84" i="15"/>
  <c r="D71" i="15"/>
  <c r="D70" i="15"/>
  <c r="D68" i="15"/>
  <c r="D67" i="15"/>
  <c r="D64" i="15"/>
  <c r="N85" i="15"/>
  <c r="N59" i="15"/>
  <c r="N70" i="15"/>
  <c r="N60" i="15"/>
  <c r="N81" i="15"/>
  <c r="N52" i="15"/>
  <c r="N71" i="15"/>
  <c r="N80" i="15"/>
  <c r="N79" i="15"/>
  <c r="N61" i="15"/>
  <c r="N72" i="15"/>
  <c r="N78" i="15"/>
  <c r="N55" i="15"/>
  <c r="N86" i="15"/>
  <c r="N83" i="15"/>
  <c r="N68" i="15"/>
  <c r="N66" i="15"/>
  <c r="N50" i="15"/>
  <c r="N64" i="15"/>
  <c r="N77" i="15"/>
  <c r="N53" i="15"/>
  <c r="N84" i="15"/>
  <c r="N69" i="15"/>
  <c r="N51" i="15"/>
  <c r="N63" i="15"/>
  <c r="N87" i="15"/>
  <c r="N73" i="15"/>
  <c r="N82" i="15"/>
  <c r="N67" i="15"/>
  <c r="N65" i="15"/>
  <c r="N56" i="15"/>
  <c r="N62" i="15"/>
  <c r="M55" i="15"/>
  <c r="M59" i="15"/>
  <c r="M85" i="15"/>
  <c r="M60" i="15"/>
  <c r="M80" i="15"/>
  <c r="M69" i="15"/>
  <c r="M87" i="15"/>
  <c r="M65" i="15"/>
  <c r="M53" i="15"/>
  <c r="M73" i="15"/>
  <c r="M71" i="15"/>
  <c r="M70" i="15"/>
  <c r="M81" i="15"/>
  <c r="M66" i="15"/>
  <c r="M64" i="15"/>
  <c r="M77" i="15"/>
  <c r="M52" i="15"/>
  <c r="M84" i="15"/>
  <c r="M82" i="15"/>
  <c r="M68" i="15"/>
  <c r="M79" i="15"/>
  <c r="M50" i="15"/>
  <c r="M51" i="15"/>
  <c r="M63" i="15"/>
  <c r="M61" i="15"/>
  <c r="M86" i="15"/>
  <c r="M72" i="15"/>
  <c r="M83" i="15"/>
  <c r="M67" i="15"/>
  <c r="M78" i="15"/>
  <c r="M56" i="15"/>
  <c r="M62" i="15"/>
  <c r="L82" i="15"/>
  <c r="L70" i="15"/>
  <c r="L60" i="15"/>
  <c r="L81" i="15"/>
  <c r="L87" i="15"/>
  <c r="L72" i="15"/>
  <c r="L69" i="15"/>
  <c r="L51" i="15"/>
  <c r="L53" i="15"/>
  <c r="L59" i="15"/>
  <c r="L73" i="15"/>
  <c r="L71" i="15"/>
  <c r="L68" i="15"/>
  <c r="L80" i="15"/>
  <c r="L78" i="15"/>
  <c r="L64" i="15"/>
  <c r="L62" i="15"/>
  <c r="L52" i="15"/>
  <c r="L86" i="15"/>
  <c r="L85" i="15"/>
  <c r="L84" i="15"/>
  <c r="L83" i="15"/>
  <c r="L67" i="15"/>
  <c r="L66" i="15"/>
  <c r="L79" i="15"/>
  <c r="L65" i="15"/>
  <c r="L50" i="15"/>
  <c r="L77" i="15"/>
  <c r="L63" i="15"/>
  <c r="L56" i="15"/>
  <c r="L55" i="15"/>
  <c r="L61" i="15"/>
  <c r="F60" i="15"/>
  <c r="W54" i="15"/>
  <c r="Z45" i="15"/>
  <c r="AA44" i="15"/>
  <c r="Z44" i="15"/>
  <c r="N44" i="15" a="1"/>
  <c r="L45" i="15" a="1"/>
  <c r="M45" i="15" a="1"/>
  <c r="N45" i="15" a="1"/>
  <c r="M44" i="15" a="1"/>
  <c r="L44" i="15" a="1"/>
  <c r="O44" i="15" a="1"/>
  <c r="D75" i="15" l="1"/>
  <c r="D58" i="15"/>
  <c r="N45" i="15"/>
  <c r="N44" i="15"/>
  <c r="N75" i="15"/>
  <c r="N58" i="15"/>
  <c r="M75" i="15"/>
  <c r="M45" i="15"/>
  <c r="M44" i="15"/>
  <c r="M58" i="15"/>
  <c r="L75" i="15"/>
  <c r="L45" i="15"/>
  <c r="L44" i="15"/>
  <c r="L58" i="15"/>
  <c r="O44" i="15"/>
  <c r="N46" i="15" l="1"/>
  <c r="M46" i="15"/>
  <c r="L46" i="15"/>
  <c r="BJ43" i="55"/>
  <c r="CA43" i="55" s="1"/>
  <c r="BJ42" i="55"/>
  <c r="CA42" i="55" s="1"/>
  <c r="BJ41" i="55"/>
  <c r="CA41" i="55" s="1"/>
  <c r="BJ40" i="55"/>
  <c r="F59" i="15" a="1"/>
  <c r="F59" i="15" l="1"/>
  <c r="BI43" i="55"/>
  <c r="BI42" i="55"/>
  <c r="BI41" i="55"/>
  <c r="BI40" i="55"/>
  <c r="BI39" i="55"/>
  <c r="BI81" i="55"/>
  <c r="BI45" i="55"/>
  <c r="BI33" i="55"/>
  <c r="BI27" i="55"/>
  <c r="BW80" i="55" l="1"/>
  <c r="BX80" i="55"/>
  <c r="BI21" i="55"/>
  <c r="AA45" i="15"/>
  <c r="AA46" i="15"/>
  <c r="AA47" i="15"/>
  <c r="AA48" i="15"/>
  <c r="AA49" i="15"/>
  <c r="R29" i="16" a="1"/>
  <c r="O45" i="15" a="1"/>
  <c r="P44" i="15" a="1"/>
  <c r="S49" i="16" a="1"/>
  <c r="O34" i="16" a="1"/>
  <c r="T34" i="16" a="1"/>
  <c r="BX56" i="55" l="1"/>
  <c r="BW56" i="55"/>
  <c r="S49" i="16"/>
  <c r="O34" i="16"/>
  <c r="T34" i="16"/>
  <c r="R29" i="16"/>
  <c r="P44" i="15"/>
  <c r="O45" i="15"/>
  <c r="BJ80" i="55" l="1"/>
  <c r="BI80" i="55"/>
  <c r="BJ79" i="55"/>
  <c r="CA79" i="55" s="1"/>
  <c r="BJ78" i="55"/>
  <c r="CA78" i="55" s="1"/>
  <c r="BJ77" i="55"/>
  <c r="CA77" i="55" s="1"/>
  <c r="BJ76" i="55"/>
  <c r="CA76" i="55" s="1"/>
  <c r="BJ75" i="55"/>
  <c r="CA75" i="55" s="1"/>
  <c r="BJ44" i="55"/>
  <c r="CA44" i="55" s="1"/>
  <c r="BI44" i="55"/>
  <c r="BJ39" i="55"/>
  <c r="CA39" i="55" s="1"/>
  <c r="BI107" i="54"/>
  <c r="U142" i="46" a="1"/>
  <c r="U140" i="46" a="1"/>
  <c r="U130" i="46" a="1"/>
  <c r="U141" i="46" a="1"/>
  <c r="U131" i="46" a="1"/>
  <c r="U139" i="46" a="1"/>
  <c r="U138" i="46" a="1"/>
  <c r="U138" i="46" l="1"/>
  <c r="U139" i="46"/>
  <c r="U140" i="46"/>
  <c r="U141" i="46"/>
  <c r="U142" i="46"/>
  <c r="U130" i="46"/>
  <c r="U131" i="46"/>
  <c r="T108" i="19"/>
  <c r="T109" i="19"/>
  <c r="T10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100" i="19"/>
  <c r="T101" i="19"/>
  <c r="T102" i="19"/>
  <c r="T103" i="19"/>
  <c r="T104" i="19"/>
  <c r="G82" i="19" a="1"/>
  <c r="N81" i="19" a="1"/>
  <c r="G83" i="19" a="1"/>
  <c r="E69" i="19" a="1"/>
  <c r="O76" i="19" a="1"/>
  <c r="G95" i="19" a="1"/>
  <c r="H82" i="19" a="1"/>
  <c r="M69" i="19" a="1"/>
  <c r="G94" i="19" a="1"/>
  <c r="O80" i="19" a="1"/>
  <c r="M85" i="19" a="1"/>
  <c r="I89" i="19" a="1"/>
  <c r="M98" i="19" a="1"/>
  <c r="F75" i="19" a="1"/>
  <c r="I84" i="19" a="1"/>
  <c r="J84" i="19" a="1"/>
  <c r="H98" i="19" a="1"/>
  <c r="I64" i="19" a="1"/>
  <c r="M67" i="19" a="1"/>
  <c r="E67" i="19" a="1"/>
  <c r="M95" i="19" a="1"/>
  <c r="K70" i="19" a="1"/>
  <c r="F77" i="19" a="1"/>
  <c r="J97" i="19" a="1"/>
  <c r="K78" i="19" a="1"/>
  <c r="O75" i="19" a="1"/>
  <c r="F74" i="19" a="1"/>
  <c r="K102" i="19" a="1"/>
  <c r="J82" i="19" a="1"/>
  <c r="L94" i="19" a="1"/>
  <c r="L99" i="19" a="1"/>
  <c r="Q94" i="19" a="1"/>
  <c r="E101" i="19" a="1"/>
  <c r="I73" i="19" a="1"/>
  <c r="J91" i="19" a="1"/>
  <c r="E92" i="19" a="1"/>
  <c r="K88" i="19" a="1"/>
  <c r="L81" i="19" a="1"/>
  <c r="K83" i="19" a="1"/>
  <c r="D95" i="19" a="1"/>
  <c r="I79" i="19" a="1"/>
  <c r="K89" i="19" a="1"/>
  <c r="D89" i="19" a="1"/>
  <c r="G80" i="19" a="1"/>
  <c r="J74" i="19" a="1"/>
  <c r="N102" i="19" a="1"/>
  <c r="L66" i="19" a="1"/>
  <c r="K80" i="19" a="1"/>
  <c r="K79" i="19" a="1"/>
  <c r="L74" i="19" a="1"/>
  <c r="K76" i="19" a="1"/>
  <c r="D70" i="19" a="1"/>
  <c r="F79" i="19" a="1"/>
  <c r="J72" i="19" a="1"/>
  <c r="O93" i="19" a="1"/>
  <c r="H101" i="19" a="1"/>
  <c r="L71" i="19" a="1"/>
  <c r="K73" i="19" a="1"/>
  <c r="M93" i="19" a="1"/>
  <c r="M71" i="19" a="1"/>
  <c r="H85" i="19" a="1"/>
  <c r="G66" i="19" a="1"/>
  <c r="K72" i="19" a="1"/>
  <c r="G85" i="19" a="1"/>
  <c r="G77" i="19" a="1"/>
  <c r="M74" i="19" a="1"/>
  <c r="E97" i="19" a="1"/>
  <c r="L93" i="19" a="1"/>
  <c r="E91" i="19" a="1"/>
  <c r="G84" i="19" a="1"/>
  <c r="M88" i="19" a="1"/>
  <c r="N87" i="19" a="1"/>
  <c r="O67" i="19" a="1"/>
  <c r="K103" i="19" a="1"/>
  <c r="I81" i="19" a="1"/>
  <c r="G64" i="19" a="1"/>
  <c r="L77" i="19" a="1"/>
  <c r="D81" i="19" a="1"/>
  <c r="J92" i="19" a="1"/>
  <c r="L101" i="19" a="1"/>
  <c r="N85" i="19" a="1"/>
  <c r="M66" i="19" a="1"/>
  <c r="G101" i="19" a="1"/>
  <c r="K75" i="19" a="1"/>
  <c r="I86" i="19" a="1"/>
  <c r="N84" i="19" a="1"/>
  <c r="K74" i="19" a="1"/>
  <c r="D73" i="19" a="1"/>
  <c r="I83" i="19" a="1"/>
  <c r="F90" i="19" a="1"/>
  <c r="O88" i="19" a="1"/>
  <c r="J89" i="19" a="1"/>
  <c r="D69" i="19" a="1"/>
  <c r="M100" i="19" a="1"/>
  <c r="M102" i="19" a="1"/>
  <c r="H95" i="19" a="1"/>
  <c r="N89" i="19" a="1"/>
  <c r="K93" i="19" a="1"/>
  <c r="E73" i="19" a="1"/>
  <c r="M65" i="19" a="1"/>
  <c r="O66" i="19" a="1"/>
  <c r="L92" i="19" a="1"/>
  <c r="K85" i="19" a="1"/>
  <c r="F104" i="19" a="1"/>
  <c r="I80" i="19" a="1"/>
  <c r="I102" i="19" a="1"/>
  <c r="O78" i="19" a="1"/>
  <c r="J77" i="19" a="1"/>
  <c r="E98" i="19" a="1"/>
  <c r="E77" i="19" a="1"/>
  <c r="O71" i="19" a="1"/>
  <c r="F76" i="19" a="1"/>
  <c r="N70" i="19" a="1"/>
  <c r="I94" i="19" a="1"/>
  <c r="H67" i="19" a="1"/>
  <c r="M70" i="19" a="1"/>
  <c r="L85" i="19" a="1"/>
  <c r="N86" i="19" a="1"/>
  <c r="G103" i="19" a="1"/>
  <c r="O85" i="19" a="1"/>
  <c r="I93" i="19" a="1"/>
  <c r="I91" i="19" a="1"/>
  <c r="K87" i="19" a="1"/>
  <c r="K82" i="19" a="1"/>
  <c r="O100" i="19" a="1"/>
  <c r="L67" i="19" a="1"/>
  <c r="G98" i="19" a="1"/>
  <c r="M107" i="19" a="1"/>
  <c r="D98" i="19" a="1"/>
  <c r="O97" i="19" a="1"/>
  <c r="G100" i="19" a="1"/>
  <c r="D76" i="19" a="1"/>
  <c r="G92" i="19" a="1"/>
  <c r="E102" i="19" a="1"/>
  <c r="J73" i="19" a="1"/>
  <c r="M76" i="19" a="1"/>
  <c r="M90" i="19" a="1"/>
  <c r="E75" i="19" a="1"/>
  <c r="H91" i="19" a="1"/>
  <c r="N74" i="19" a="1"/>
  <c r="K84" i="19" a="1"/>
  <c r="K66" i="19" a="1"/>
  <c r="I87" i="19" a="1"/>
  <c r="N88" i="19" a="1"/>
  <c r="G68" i="19" a="1"/>
  <c r="E65" i="19" a="1"/>
  <c r="J65" i="19" a="1"/>
  <c r="G70" i="19" a="1"/>
  <c r="F101" i="19" a="1"/>
  <c r="G67" i="19" a="1"/>
  <c r="J67" i="19" a="1"/>
  <c r="O91" i="19" a="1"/>
  <c r="I88" i="19" a="1"/>
  <c r="L98" i="19" a="1"/>
  <c r="N94" i="19" a="1"/>
  <c r="M92" i="19" a="1"/>
  <c r="N82" i="19" a="1"/>
  <c r="N101" i="19" a="1"/>
  <c r="F67" i="19" a="1"/>
  <c r="N97" i="19" a="1"/>
  <c r="F92" i="19" a="1"/>
  <c r="K107" i="19" a="1"/>
  <c r="F88" i="19" a="1"/>
  <c r="N72" i="19" a="1"/>
  <c r="H77" i="19" a="1"/>
  <c r="E94" i="19" a="1"/>
  <c r="H75" i="19" a="1"/>
  <c r="K67" i="19" a="1"/>
  <c r="H80" i="19" a="1"/>
  <c r="N100" i="19" a="1"/>
  <c r="E99" i="19" a="1"/>
  <c r="G91" i="19" a="1"/>
  <c r="H102" i="19" a="1"/>
  <c r="E90" i="19" a="1"/>
  <c r="F99" i="19" a="1"/>
  <c r="O89" i="19" a="1"/>
  <c r="H74" i="19" a="1"/>
  <c r="E96" i="19" a="1"/>
  <c r="G69" i="19" a="1"/>
  <c r="F80" i="19" a="1"/>
  <c r="L89" i="19" a="1"/>
  <c r="O103" i="19" a="1"/>
  <c r="D67" i="19" a="1"/>
  <c r="J95" i="19" a="1"/>
  <c r="D66" i="19" a="1"/>
  <c r="N95" i="19" a="1"/>
  <c r="G75" i="19" a="1"/>
  <c r="D75" i="19" a="1"/>
  <c r="G93" i="19" a="1"/>
  <c r="M87" i="19" a="1"/>
  <c r="J86" i="19" a="1"/>
  <c r="N66" i="19" a="1"/>
  <c r="F102" i="19" a="1"/>
  <c r="J88" i="19" a="1"/>
  <c r="F70" i="19" a="1"/>
  <c r="F96" i="19" a="1"/>
  <c r="E68" i="19" a="1"/>
  <c r="F65" i="19" a="1"/>
  <c r="N103" i="19" a="1"/>
  <c r="H87" i="19" a="1"/>
  <c r="E78" i="19" a="1"/>
  <c r="K71" i="19" a="1"/>
  <c r="L65" i="19" a="1"/>
  <c r="J66" i="19" a="1"/>
  <c r="H89" i="19" a="1"/>
  <c r="N108" i="19" a="1"/>
  <c r="K101" i="19" a="1"/>
  <c r="O69" i="19" a="1"/>
  <c r="N80" i="19" a="1"/>
  <c r="M77" i="19" a="1"/>
  <c r="J79" i="19" a="1"/>
  <c r="H90" i="19" a="1"/>
  <c r="I104" i="19" a="1"/>
  <c r="H65" i="19" a="1"/>
  <c r="N71" i="19" a="1"/>
  <c r="I103" i="19" a="1"/>
  <c r="H66" i="19" a="1"/>
  <c r="N65" i="19" a="1"/>
  <c r="O90" i="19" a="1"/>
  <c r="F69" i="19" a="1"/>
  <c r="J100" i="19" a="1"/>
  <c r="M68" i="19" a="1"/>
  <c r="I99" i="19" a="1"/>
  <c r="L70" i="19" a="1"/>
  <c r="L108" i="19" a="1"/>
  <c r="K95" i="19" a="1"/>
  <c r="I71" i="19" a="1"/>
  <c r="O65" i="19" a="1"/>
  <c r="M79" i="19" a="1"/>
  <c r="D92" i="19" a="1"/>
  <c r="O92" i="19" a="1"/>
  <c r="J94" i="19" a="1"/>
  <c r="E74" i="19" a="1"/>
  <c r="K91" i="19" a="1"/>
  <c r="J101" i="19" a="1"/>
  <c r="O68" i="19" a="1"/>
  <c r="E82" i="19" a="1"/>
  <c r="F87" i="19" a="1"/>
  <c r="F100" i="19" a="1"/>
  <c r="N79" i="19" a="1"/>
  <c r="M104" i="19" a="1"/>
  <c r="I101" i="19" a="1"/>
  <c r="M78" i="19" a="1"/>
  <c r="F98" i="19" a="1"/>
  <c r="H94" i="19" a="1"/>
  <c r="M82" i="19" a="1"/>
  <c r="L100" i="19" a="1"/>
  <c r="E72" i="19" a="1"/>
  <c r="M80" i="19" a="1"/>
  <c r="J99" i="19" a="1"/>
  <c r="K81" i="19" a="1"/>
  <c r="J98" i="19" a="1"/>
  <c r="I77" i="19" a="1"/>
  <c r="F84" i="19" a="1"/>
  <c r="H81" i="19" a="1"/>
  <c r="F68" i="19" a="1"/>
  <c r="J93" i="19" a="1"/>
  <c r="M101" i="19" a="1"/>
  <c r="O74" i="19" a="1"/>
  <c r="I100" i="19" a="1"/>
  <c r="M73" i="19" a="1"/>
  <c r="O104" i="19" a="1"/>
  <c r="O101" i="19" a="1"/>
  <c r="G78" i="19" a="1"/>
  <c r="E95" i="19" a="1"/>
  <c r="J87" i="19" a="1"/>
  <c r="G90" i="19" a="1"/>
  <c r="E86" i="19" a="1"/>
  <c r="H76" i="19" a="1"/>
  <c r="K97" i="19" a="1"/>
  <c r="K92" i="19" a="1"/>
  <c r="F82" i="19" a="1"/>
  <c r="L96" i="19" a="1"/>
  <c r="I72" i="19" a="1"/>
  <c r="K104" i="19" a="1"/>
  <c r="G88" i="19" a="1"/>
  <c r="K108" i="19" a="1"/>
  <c r="K100" i="19" a="1"/>
  <c r="I92" i="19" a="1"/>
  <c r="F97" i="19" a="1"/>
  <c r="J85" i="19" a="1"/>
  <c r="K90" i="19" a="1"/>
  <c r="D68" i="19" a="1"/>
  <c r="K86" i="19" a="1"/>
  <c r="L82" i="19" a="1"/>
  <c r="G87" i="19" a="1"/>
  <c r="O79" i="19" a="1"/>
  <c r="K77" i="19" a="1"/>
  <c r="L73" i="19" a="1"/>
  <c r="H70" i="19" a="1"/>
  <c r="N104" i="19" a="1"/>
  <c r="M99" i="19" a="1"/>
  <c r="O73" i="19" a="1"/>
  <c r="G99" i="19" a="1"/>
  <c r="G73" i="19" a="1"/>
  <c r="E93" i="19" a="1"/>
  <c r="I68" i="19" a="1"/>
  <c r="M91" i="19" a="1"/>
  <c r="E70" i="19" a="1"/>
  <c r="J68" i="19" a="1"/>
  <c r="F72" i="19" a="1"/>
  <c r="M86" i="19" a="1"/>
  <c r="I75" i="19" a="1"/>
  <c r="N91" i="19" a="1"/>
  <c r="I90" i="19" a="1"/>
  <c r="L72" i="19" a="1"/>
  <c r="H88" i="19" a="1"/>
  <c r="K65" i="19" a="1"/>
  <c r="L69" i="19" a="1"/>
  <c r="L107" i="19" a="1"/>
  <c r="G79" i="19" a="1"/>
  <c r="Q91" i="19" a="1"/>
  <c r="F71" i="19" a="1"/>
  <c r="G89" i="19" a="1"/>
  <c r="G104" i="19" a="1"/>
  <c r="D86" i="19" a="1"/>
  <c r="L75" i="19" a="1"/>
  <c r="N78" i="19" a="1"/>
  <c r="F91" i="19" a="1"/>
  <c r="O72" i="19" a="1"/>
  <c r="F95" i="19" a="1"/>
  <c r="L76" i="19" a="1"/>
  <c r="N98" i="19" a="1"/>
  <c r="G102" i="19" a="1"/>
  <c r="N93" i="19" a="1"/>
  <c r="K98" i="19" a="1"/>
  <c r="N76" i="19" a="1"/>
  <c r="O86" i="19" a="1"/>
  <c r="K99" i="19" a="1"/>
  <c r="J83" i="19" a="1"/>
  <c r="H83" i="19" a="1"/>
  <c r="N83" i="19" a="1"/>
  <c r="I82" i="19" a="1"/>
  <c r="G81" i="19" a="1"/>
  <c r="F73" i="19" a="1"/>
  <c r="E85" i="19" a="1"/>
  <c r="D102" i="19" a="1"/>
  <c r="N73" i="19" a="1"/>
  <c r="J70" i="19" a="1"/>
  <c r="H79" i="19" a="1"/>
  <c r="K69" i="19" a="1"/>
  <c r="F94" i="19" a="1"/>
  <c r="H97" i="19" a="1"/>
  <c r="H92" i="19" a="1"/>
  <c r="H86" i="19" a="1"/>
  <c r="J103" i="19" a="1"/>
  <c r="L68" i="19" a="1"/>
  <c r="O98" i="19" a="1"/>
  <c r="L90" i="19" a="1"/>
  <c r="O102" i="19" a="1"/>
  <c r="F66" i="19" a="1"/>
  <c r="M72" i="19" a="1"/>
  <c r="H73" i="19" a="1"/>
  <c r="I67" i="19" a="1"/>
  <c r="J69" i="19" a="1"/>
  <c r="D101" i="19" a="1"/>
  <c r="J104" i="19" a="1"/>
  <c r="O83" i="19" a="1"/>
  <c r="O84" i="19" a="1"/>
  <c r="N77" i="19" a="1"/>
  <c r="N69" i="19" a="1"/>
  <c r="O81" i="19" a="1"/>
  <c r="O77" i="19" a="1"/>
  <c r="I78" i="19" a="1"/>
  <c r="E100" i="19" a="1"/>
  <c r="O95" i="19" a="1"/>
  <c r="N92" i="19" a="1"/>
  <c r="M97" i="19" a="1"/>
  <c r="M83" i="19" a="1"/>
  <c r="D82" i="19" a="1"/>
  <c r="N75" i="19" a="1"/>
  <c r="M103" i="19" a="1"/>
  <c r="O87" i="19" a="1"/>
  <c r="L95" i="19" a="1"/>
  <c r="I98" i="19" a="1"/>
  <c r="F83" i="19" a="1"/>
  <c r="O96" i="19" a="1"/>
  <c r="N99" i="19" a="1"/>
  <c r="I96" i="19" a="1"/>
  <c r="G96" i="19" a="1"/>
  <c r="L86" i="19" a="1"/>
  <c r="H93" i="19" a="1"/>
  <c r="H96" i="19" a="1"/>
  <c r="J81" i="19" a="1"/>
  <c r="I85" i="19" a="1"/>
  <c r="J78" i="19" a="1"/>
  <c r="G76" i="19" a="1"/>
  <c r="G86" i="19" a="1"/>
  <c r="D74" i="19" a="1"/>
  <c r="F81" i="19" a="1"/>
  <c r="N107" i="19" a="1"/>
  <c r="O70" i="19" a="1"/>
  <c r="H72" i="19" a="1"/>
  <c r="L97" i="19" a="1"/>
  <c r="L78" i="19" a="1"/>
  <c r="D77" i="19" a="1"/>
  <c r="F89" i="19" a="1"/>
  <c r="E89" i="19" a="1"/>
  <c r="N67" i="19" a="1"/>
  <c r="H69" i="19" a="1"/>
  <c r="I65" i="19" a="1"/>
  <c r="I95" i="19" a="1"/>
  <c r="F85" i="19" a="1"/>
  <c r="I76" i="19" a="1"/>
  <c r="J76" i="19" a="1"/>
  <c r="I70" i="19" a="1"/>
  <c r="M96" i="19" a="1"/>
  <c r="M81" i="19" a="1"/>
  <c r="E71" i="19" a="1"/>
  <c r="F103" i="19" a="1"/>
  <c r="D78" i="19" a="1"/>
  <c r="J64" i="19" a="1"/>
  <c r="D71" i="19" a="1"/>
  <c r="F78" i="19" a="1"/>
  <c r="H103" i="19" a="1"/>
  <c r="I69" i="19" a="1"/>
  <c r="G97" i="19" a="1"/>
  <c r="D65" i="19" a="1"/>
  <c r="H100" i="19" a="1"/>
  <c r="E66" i="19" a="1"/>
  <c r="O94" i="19" a="1"/>
  <c r="I66" i="19" a="1"/>
  <c r="G65" i="19" a="1"/>
  <c r="L91" i="19" a="1"/>
  <c r="M84" i="19" a="1"/>
  <c r="H71" i="19" a="1"/>
  <c r="K96" i="19" a="1"/>
  <c r="K94" i="19" a="1"/>
  <c r="G71" i="19" a="1"/>
  <c r="D85" i="19" a="1"/>
  <c r="I74" i="19" a="1"/>
  <c r="G72" i="19" a="1"/>
  <c r="E76" i="19" a="1"/>
  <c r="N68" i="19" a="1"/>
  <c r="J71" i="19" a="1"/>
  <c r="O99" i="19" a="1"/>
  <c r="H84" i="19" a="1"/>
  <c r="K68" i="19" a="1"/>
  <c r="J96" i="19" a="1"/>
  <c r="M89" i="19" a="1"/>
  <c r="J75" i="19" a="1"/>
  <c r="H104" i="19" a="1"/>
  <c r="F86" i="19" a="1"/>
  <c r="J102" i="19" a="1"/>
  <c r="N96" i="19" a="1"/>
  <c r="M94" i="19" a="1"/>
  <c r="D72" i="19" a="1"/>
  <c r="H68" i="19" a="1"/>
  <c r="Q97" i="19" a="1"/>
  <c r="F93" i="19" a="1"/>
  <c r="G74" i="19" a="1"/>
  <c r="H99" i="19" a="1"/>
  <c r="O82" i="19" a="1"/>
  <c r="M108" i="19" a="1"/>
  <c r="J90" i="19" a="1"/>
  <c r="E81" i="19" a="1"/>
  <c r="Q100" i="19" a="1"/>
  <c r="H78" i="19" a="1"/>
  <c r="L102" i="19" a="1"/>
  <c r="J80" i="19" a="1"/>
  <c r="N90" i="19" a="1"/>
  <c r="I97" i="19" a="1"/>
  <c r="M75" i="19" a="1"/>
  <c r="L96" i="19" l="1"/>
  <c r="L107" i="19"/>
  <c r="L92" i="19"/>
  <c r="L86" i="19"/>
  <c r="L99" i="19"/>
  <c r="L75" i="19"/>
  <c r="L85" i="19"/>
  <c r="L82" i="19"/>
  <c r="L74" i="19"/>
  <c r="L102" i="19"/>
  <c r="L101" i="19"/>
  <c r="L68" i="19"/>
  <c r="L98" i="19"/>
  <c r="L81" i="19"/>
  <c r="L78" i="19"/>
  <c r="L90" i="19"/>
  <c r="L89" i="19"/>
  <c r="L73" i="19"/>
  <c r="L70" i="19"/>
  <c r="L100" i="19"/>
  <c r="L66" i="19"/>
  <c r="L65" i="19"/>
  <c r="L108" i="19"/>
  <c r="L77" i="19"/>
  <c r="L91" i="19"/>
  <c r="L72" i="19"/>
  <c r="L69" i="19"/>
  <c r="L67" i="19"/>
  <c r="L97" i="19"/>
  <c r="L95" i="19"/>
  <c r="L94" i="19"/>
  <c r="L93" i="19"/>
  <c r="L76" i="19"/>
  <c r="L71" i="19"/>
  <c r="N102" i="19"/>
  <c r="N86" i="19"/>
  <c r="N70" i="19"/>
  <c r="N84" i="19"/>
  <c r="N67" i="19"/>
  <c r="N65" i="19"/>
  <c r="N78" i="19"/>
  <c r="N74" i="19"/>
  <c r="N85" i="19"/>
  <c r="N68" i="19"/>
  <c r="N98" i="19"/>
  <c r="N97" i="19"/>
  <c r="N80" i="19"/>
  <c r="N95" i="19"/>
  <c r="N94" i="19"/>
  <c r="N77" i="19"/>
  <c r="N92" i="19"/>
  <c r="N90" i="19"/>
  <c r="N89" i="19"/>
  <c r="N73" i="19"/>
  <c r="N101" i="19"/>
  <c r="N69" i="19"/>
  <c r="N99" i="19"/>
  <c r="N82" i="19"/>
  <c r="N96" i="19"/>
  <c r="N108" i="19"/>
  <c r="N93" i="19"/>
  <c r="N91" i="19"/>
  <c r="N88" i="19"/>
  <c r="N72" i="19"/>
  <c r="N100" i="19"/>
  <c r="N83" i="19"/>
  <c r="N66" i="19"/>
  <c r="N81" i="19"/>
  <c r="N104" i="19"/>
  <c r="N79" i="19"/>
  <c r="N107" i="19"/>
  <c r="N76" i="19"/>
  <c r="N75" i="19"/>
  <c r="N103" i="19"/>
  <c r="N87" i="19"/>
  <c r="N71" i="19"/>
  <c r="M102" i="19"/>
  <c r="M98" i="19"/>
  <c r="M70" i="19"/>
  <c r="M65" i="19"/>
  <c r="M104" i="19"/>
  <c r="M85" i="19"/>
  <c r="M99" i="19"/>
  <c r="M77" i="19"/>
  <c r="M101" i="19"/>
  <c r="M66" i="19"/>
  <c r="M76" i="19"/>
  <c r="M75" i="19"/>
  <c r="M68" i="19"/>
  <c r="M97" i="19"/>
  <c r="M74" i="19"/>
  <c r="M86" i="19"/>
  <c r="M100" i="19"/>
  <c r="M67" i="19"/>
  <c r="M96" i="19"/>
  <c r="M79" i="19"/>
  <c r="M94" i="19"/>
  <c r="M93" i="19"/>
  <c r="M90" i="19"/>
  <c r="M89" i="19"/>
  <c r="M73" i="19"/>
  <c r="M84" i="19"/>
  <c r="M82" i="19"/>
  <c r="M80" i="19"/>
  <c r="M107" i="19"/>
  <c r="M91" i="19"/>
  <c r="M88" i="19"/>
  <c r="M72" i="19"/>
  <c r="M69" i="19"/>
  <c r="M83" i="19"/>
  <c r="M81" i="19"/>
  <c r="M95" i="19"/>
  <c r="M108" i="19"/>
  <c r="M78" i="19"/>
  <c r="M92" i="19"/>
  <c r="M103" i="19"/>
  <c r="M87" i="19"/>
  <c r="M71" i="19"/>
  <c r="K66" i="19"/>
  <c r="K82" i="19"/>
  <c r="K108" i="19"/>
  <c r="K98" i="19"/>
  <c r="K78" i="19"/>
  <c r="K107" i="19"/>
  <c r="K83" i="19"/>
  <c r="K104" i="19"/>
  <c r="K92" i="19"/>
  <c r="K76" i="19"/>
  <c r="K81" i="19"/>
  <c r="K95" i="19"/>
  <c r="K90" i="19"/>
  <c r="K74" i="19"/>
  <c r="K99" i="19"/>
  <c r="K96" i="19"/>
  <c r="K75" i="19"/>
  <c r="K89" i="19"/>
  <c r="K73" i="19"/>
  <c r="K97" i="19"/>
  <c r="K91" i="19"/>
  <c r="K88" i="19"/>
  <c r="K72" i="19"/>
  <c r="K79" i="19"/>
  <c r="K103" i="19"/>
  <c r="K87" i="19"/>
  <c r="K71" i="19"/>
  <c r="K67" i="19"/>
  <c r="K94" i="19"/>
  <c r="K102" i="19"/>
  <c r="K86" i="19"/>
  <c r="K70" i="19"/>
  <c r="K65" i="19"/>
  <c r="K93" i="19"/>
  <c r="K101" i="19"/>
  <c r="K85" i="19"/>
  <c r="K69" i="19"/>
  <c r="K80" i="19"/>
  <c r="K77" i="19"/>
  <c r="K100" i="19"/>
  <c r="K84" i="19"/>
  <c r="K68" i="19"/>
  <c r="H91" i="19"/>
  <c r="J91" i="19"/>
  <c r="E91" i="19"/>
  <c r="O91" i="19"/>
  <c r="I91" i="19"/>
  <c r="F91" i="19"/>
  <c r="G91" i="19"/>
  <c r="Q91" i="19"/>
  <c r="E94" i="19"/>
  <c r="O94" i="19"/>
  <c r="H94" i="19"/>
  <c r="J94" i="19"/>
  <c r="I94" i="19"/>
  <c r="G94" i="19"/>
  <c r="F94" i="19"/>
  <c r="Q94" i="19"/>
  <c r="E100" i="19"/>
  <c r="F100" i="19"/>
  <c r="O100" i="19"/>
  <c r="G100" i="19"/>
  <c r="Q100" i="19"/>
  <c r="O97" i="19"/>
  <c r="F97" i="19"/>
  <c r="I97" i="19"/>
  <c r="J97" i="19"/>
  <c r="H97" i="19"/>
  <c r="G97" i="19"/>
  <c r="E97" i="19"/>
  <c r="Q97" i="19"/>
  <c r="O81" i="19"/>
  <c r="O98" i="19"/>
  <c r="O67" i="19"/>
  <c r="O99" i="19"/>
  <c r="O68" i="19"/>
  <c r="O84" i="19"/>
  <c r="O77" i="19"/>
  <c r="O93" i="19"/>
  <c r="O70" i="19"/>
  <c r="O86" i="19"/>
  <c r="O71" i="19"/>
  <c r="O103" i="19"/>
  <c r="O74" i="19"/>
  <c r="O90" i="19"/>
  <c r="O83" i="19"/>
  <c r="O76" i="19"/>
  <c r="O69" i="19"/>
  <c r="O85" i="19"/>
  <c r="O78" i="19"/>
  <c r="O102" i="19"/>
  <c r="O79" i="19"/>
  <c r="O87" i="19"/>
  <c r="O95" i="19"/>
  <c r="O80" i="19"/>
  <c r="O88" i="19"/>
  <c r="O96" i="19"/>
  <c r="O104" i="19"/>
  <c r="O73" i="19"/>
  <c r="O89" i="19"/>
  <c r="O66" i="19"/>
  <c r="O82" i="19"/>
  <c r="O75" i="19"/>
  <c r="O92" i="19"/>
  <c r="O101" i="19"/>
  <c r="O72" i="19"/>
  <c r="O65" i="19"/>
  <c r="J101" i="19"/>
  <c r="J81" i="19"/>
  <c r="I98" i="19"/>
  <c r="J92" i="19"/>
  <c r="G88" i="19"/>
  <c r="I85" i="19"/>
  <c r="G79" i="19"/>
  <c r="I74" i="19"/>
  <c r="J69" i="19"/>
  <c r="G67" i="19"/>
  <c r="H65" i="19"/>
  <c r="H102" i="19"/>
  <c r="J89" i="19"/>
  <c r="H85" i="19"/>
  <c r="H82" i="19"/>
  <c r="I99" i="19"/>
  <c r="J77" i="19"/>
  <c r="H74" i="19"/>
  <c r="H69" i="19"/>
  <c r="G90" i="19"/>
  <c r="J84" i="19"/>
  <c r="H78" i="19"/>
  <c r="G104" i="19"/>
  <c r="G95" i="19"/>
  <c r="G102" i="19"/>
  <c r="G99" i="19"/>
  <c r="G92" i="19"/>
  <c r="I89" i="19"/>
  <c r="I86" i="19"/>
  <c r="G82" i="19"/>
  <c r="G74" i="19"/>
  <c r="I103" i="19"/>
  <c r="H86" i="19"/>
  <c r="J80" i="19"/>
  <c r="H77" i="19"/>
  <c r="J72" i="19"/>
  <c r="G98" i="19"/>
  <c r="J96" i="19"/>
  <c r="J93" i="19"/>
  <c r="H89" i="19"/>
  <c r="I77" i="19"/>
  <c r="G103" i="19"/>
  <c r="J100" i="19"/>
  <c r="G96" i="19"/>
  <c r="I93" i="19"/>
  <c r="I90" i="19"/>
  <c r="I83" i="19"/>
  <c r="I66" i="19"/>
  <c r="H93" i="19"/>
  <c r="G86" i="19"/>
  <c r="G83" i="19"/>
  <c r="I70" i="19"/>
  <c r="H90" i="19"/>
  <c r="I78" i="19"/>
  <c r="G75" i="19"/>
  <c r="J68" i="19"/>
  <c r="H66" i="19"/>
  <c r="J104" i="19"/>
  <c r="I87" i="19"/>
  <c r="H70" i="19"/>
  <c r="G87" i="19"/>
  <c r="I81" i="19"/>
  <c r="G78" i="19"/>
  <c r="H101" i="19"/>
  <c r="J88" i="19"/>
  <c r="J76" i="19"/>
  <c r="H73" i="19"/>
  <c r="H98" i="19"/>
  <c r="J85" i="19"/>
  <c r="J65" i="19"/>
  <c r="J73" i="19"/>
  <c r="I101" i="19"/>
  <c r="I73" i="19"/>
  <c r="G84" i="19"/>
  <c r="H81" i="19"/>
  <c r="I102" i="19"/>
  <c r="I95" i="19"/>
  <c r="I82" i="19"/>
  <c r="G71" i="19"/>
  <c r="H104" i="19"/>
  <c r="J103" i="19"/>
  <c r="H100" i="19"/>
  <c r="J99" i="19"/>
  <c r="H96" i="19"/>
  <c r="J95" i="19"/>
  <c r="H92" i="19"/>
  <c r="H88" i="19"/>
  <c r="J87" i="19"/>
  <c r="H84" i="19"/>
  <c r="J83" i="19"/>
  <c r="H80" i="19"/>
  <c r="J79" i="19"/>
  <c r="H76" i="19"/>
  <c r="J75" i="19"/>
  <c r="H72" i="19"/>
  <c r="J71" i="19"/>
  <c r="H68" i="19"/>
  <c r="J67" i="19"/>
  <c r="I79" i="19"/>
  <c r="G76" i="19"/>
  <c r="G72" i="19"/>
  <c r="I71" i="19"/>
  <c r="G68" i="19"/>
  <c r="G80" i="19"/>
  <c r="I75" i="19"/>
  <c r="I67" i="19"/>
  <c r="H103" i="19"/>
  <c r="J102" i="19"/>
  <c r="H99" i="19"/>
  <c r="J98" i="19"/>
  <c r="H95" i="19"/>
  <c r="J90" i="19"/>
  <c r="H87" i="19"/>
  <c r="J86" i="19"/>
  <c r="H83" i="19"/>
  <c r="J82" i="19"/>
  <c r="H79" i="19"/>
  <c r="J78" i="19"/>
  <c r="H75" i="19"/>
  <c r="J74" i="19"/>
  <c r="H71" i="19"/>
  <c r="J70" i="19"/>
  <c r="H67" i="19"/>
  <c r="J66" i="19"/>
  <c r="G70" i="19"/>
  <c r="I69" i="19"/>
  <c r="G66" i="19"/>
  <c r="I65" i="19"/>
  <c r="I104" i="19"/>
  <c r="G101" i="19"/>
  <c r="I100" i="19"/>
  <c r="I96" i="19"/>
  <c r="G93" i="19"/>
  <c r="I92" i="19"/>
  <c r="G89" i="19"/>
  <c r="I88" i="19"/>
  <c r="G85" i="19"/>
  <c r="I84" i="19"/>
  <c r="G81" i="19"/>
  <c r="I80" i="19"/>
  <c r="G77" i="19"/>
  <c r="I76" i="19"/>
  <c r="G73" i="19"/>
  <c r="I72" i="19"/>
  <c r="G69" i="19"/>
  <c r="I68" i="19"/>
  <c r="G65" i="19"/>
  <c r="J64" i="19"/>
  <c r="G64" i="19"/>
  <c r="I64" i="19"/>
  <c r="F88" i="19"/>
  <c r="F74" i="19"/>
  <c r="F87" i="19"/>
  <c r="D69" i="19"/>
  <c r="E82" i="19"/>
  <c r="E96" i="19"/>
  <c r="F66" i="19"/>
  <c r="E72" i="19"/>
  <c r="D75" i="19"/>
  <c r="F73" i="19"/>
  <c r="D74" i="19"/>
  <c r="D102" i="19"/>
  <c r="F82" i="19"/>
  <c r="F65" i="19"/>
  <c r="D67" i="19"/>
  <c r="D71" i="19"/>
  <c r="E90" i="19"/>
  <c r="F90" i="19"/>
  <c r="F75" i="19"/>
  <c r="D85" i="19"/>
  <c r="F103" i="19"/>
  <c r="D70" i="19"/>
  <c r="F77" i="19"/>
  <c r="F79" i="19"/>
  <c r="E70" i="19"/>
  <c r="F71" i="19"/>
  <c r="D98" i="19"/>
  <c r="E78" i="19"/>
  <c r="F85" i="19"/>
  <c r="F93" i="19"/>
  <c r="D101" i="19"/>
  <c r="D73" i="19"/>
  <c r="D77" i="19"/>
  <c r="D82" i="19"/>
  <c r="F89" i="19"/>
  <c r="D95" i="19"/>
  <c r="E67" i="19"/>
  <c r="D78" i="19"/>
  <c r="E74" i="19"/>
  <c r="E98" i="19"/>
  <c r="E102" i="19"/>
  <c r="E68" i="19"/>
  <c r="E71" i="19"/>
  <c r="D89" i="19"/>
  <c r="D65" i="19"/>
  <c r="F69" i="19"/>
  <c r="F81" i="19"/>
  <c r="F86" i="19"/>
  <c r="F95" i="19"/>
  <c r="F102" i="19"/>
  <c r="D66" i="19"/>
  <c r="F67" i="19"/>
  <c r="F70" i="19"/>
  <c r="E76" i="19"/>
  <c r="D81" i="19"/>
  <c r="D86" i="19"/>
  <c r="F101" i="19"/>
  <c r="E66" i="19"/>
  <c r="F78" i="19"/>
  <c r="F83" i="19"/>
  <c r="E86" i="19"/>
  <c r="E92" i="19"/>
  <c r="F98" i="19"/>
  <c r="F99" i="19"/>
  <c r="E65" i="19"/>
  <c r="E69" i="19"/>
  <c r="E73" i="19"/>
  <c r="E77" i="19"/>
  <c r="E81" i="19"/>
  <c r="E85" i="19"/>
  <c r="E89" i="19"/>
  <c r="E93" i="19"/>
  <c r="E101" i="19"/>
  <c r="D68" i="19"/>
  <c r="D72" i="19"/>
  <c r="D76" i="19"/>
  <c r="F80" i="19"/>
  <c r="F84" i="19"/>
  <c r="F92" i="19"/>
  <c r="F96" i="19"/>
  <c r="F104" i="19"/>
  <c r="F68" i="19"/>
  <c r="F72" i="19"/>
  <c r="F76" i="19"/>
  <c r="D92" i="19"/>
  <c r="E75" i="19"/>
  <c r="E95" i="19"/>
  <c r="E99" i="19"/>
  <c r="F64" i="19" a="1"/>
  <c r="H64" i="19" a="1"/>
  <c r="H64" i="19" l="1"/>
  <c r="F64" i="19"/>
  <c r="AM100" i="22" l="1"/>
  <c r="BI34" i="25" l="1"/>
  <c r="BQ201" i="45"/>
  <c r="BQ198" i="45"/>
  <c r="K7" i="15" a="1"/>
  <c r="G7" i="15" a="1"/>
  <c r="J7" i="15" a="1"/>
  <c r="K7" i="15" l="1"/>
  <c r="J7" i="15"/>
  <c r="G7" i="15"/>
  <c r="F6" i="15" a="1"/>
  <c r="F6" i="15" l="1"/>
  <c r="AE22" i="43" l="1"/>
  <c r="AE23" i="43"/>
  <c r="AE25" i="43"/>
  <c r="AE26" i="43"/>
  <c r="AE28" i="43"/>
  <c r="AE29" i="43"/>
  <c r="E31" i="44" a="1"/>
  <c r="E31" i="44" l="1"/>
  <c r="CA54" i="54" l="1"/>
  <c r="BI54" i="54"/>
  <c r="Q54" i="54"/>
  <c r="P54" i="54"/>
  <c r="O54" i="54"/>
  <c r="N54" i="54"/>
  <c r="M54" i="54"/>
  <c r="L54" i="54"/>
  <c r="K54" i="54"/>
  <c r="J54" i="54"/>
  <c r="I54" i="54"/>
  <c r="H54" i="54"/>
  <c r="G54" i="54"/>
  <c r="F54" i="54"/>
  <c r="BJ53" i="54"/>
  <c r="CA53" i="54" s="1"/>
  <c r="BI53" i="54"/>
  <c r="S53" i="54"/>
  <c r="R53" i="54"/>
  <c r="S52" i="54"/>
  <c r="R52" i="54"/>
  <c r="BJ51" i="54"/>
  <c r="CA51" i="54" s="1"/>
  <c r="BI51" i="54"/>
  <c r="S51" i="54"/>
  <c r="R51" i="54"/>
  <c r="BJ50" i="54"/>
  <c r="CA50" i="54" s="1"/>
  <c r="BI50" i="54"/>
  <c r="S50" i="54"/>
  <c r="R50" i="54"/>
  <c r="BJ49" i="54"/>
  <c r="CA49" i="54" s="1"/>
  <c r="S49" i="54"/>
  <c r="R49" i="54"/>
  <c r="BJ48" i="54"/>
  <c r="CA48" i="54" s="1"/>
  <c r="BI48" i="54"/>
  <c r="S48" i="54"/>
  <c r="R48" i="54"/>
  <c r="BJ47" i="54"/>
  <c r="BI47" i="54"/>
  <c r="Q47" i="54"/>
  <c r="P47" i="54"/>
  <c r="O47" i="54"/>
  <c r="N47" i="54"/>
  <c r="M47" i="54"/>
  <c r="L47" i="54"/>
  <c r="K47" i="54"/>
  <c r="J47" i="54"/>
  <c r="I47" i="54"/>
  <c r="H47" i="54"/>
  <c r="G47" i="54"/>
  <c r="F47" i="54"/>
  <c r="E47" i="54"/>
  <c r="BJ46" i="54"/>
  <c r="CA46" i="54" s="1"/>
  <c r="S46" i="54"/>
  <c r="BI52" i="54" l="1"/>
  <c r="CA47" i="54"/>
  <c r="BJ52" i="54"/>
  <c r="S47" i="54"/>
  <c r="R54" i="54"/>
  <c r="R47" i="54"/>
  <c r="S54" i="54"/>
  <c r="CA52" i="54"/>
  <c r="T30" i="19" l="1"/>
  <c r="T29" i="19"/>
  <c r="P28" i="19" a="1"/>
  <c r="Q142" i="46" a="1"/>
  <c r="M28" i="19" a="1"/>
  <c r="L28" i="19" a="1"/>
  <c r="P142" i="46" a="1"/>
  <c r="L29" i="19" a="1"/>
  <c r="O28" i="19" a="1"/>
  <c r="G28" i="19" a="1"/>
  <c r="I29" i="19" a="1"/>
  <c r="D29" i="19" a="1"/>
  <c r="H28" i="19" a="1"/>
  <c r="Q29" i="19" a="1"/>
  <c r="P138" i="46" a="1"/>
  <c r="R28" i="19" a="1"/>
  <c r="P136" i="46" a="1"/>
  <c r="Q138" i="46" a="1"/>
  <c r="O29" i="19" a="1"/>
  <c r="N29" i="19" a="1"/>
  <c r="S28" i="19" a="1"/>
  <c r="M29" i="19" a="1"/>
  <c r="K29" i="19" a="1"/>
  <c r="Q131" i="46" a="1"/>
  <c r="H29" i="19" a="1"/>
  <c r="K28" i="19" a="1"/>
  <c r="N28" i="19" a="1"/>
  <c r="I28" i="19" a="1"/>
  <c r="Q140" i="46" a="1"/>
  <c r="F29" i="19" a="1"/>
  <c r="Q139" i="46" a="1"/>
  <c r="G29" i="19" a="1"/>
  <c r="F28" i="19" a="1"/>
  <c r="P140" i="46" a="1"/>
  <c r="P137" i="46" a="1"/>
  <c r="S29" i="19" a="1"/>
  <c r="J29" i="19" a="1"/>
  <c r="Q28" i="19" a="1"/>
  <c r="R29" i="19" a="1"/>
  <c r="J28" i="19" a="1"/>
  <c r="P29" i="19" a="1"/>
  <c r="L28" i="19" l="1"/>
  <c r="L29" i="19"/>
  <c r="N28" i="19"/>
  <c r="N29" i="19"/>
  <c r="M28" i="19"/>
  <c r="M29" i="19"/>
  <c r="F28" i="19"/>
  <c r="G28" i="19"/>
  <c r="H28" i="19"/>
  <c r="I28" i="19"/>
  <c r="J28" i="19"/>
  <c r="K28" i="19"/>
  <c r="O28" i="19"/>
  <c r="P28" i="19"/>
  <c r="Q28" i="19"/>
  <c r="R28" i="19"/>
  <c r="S28" i="19"/>
  <c r="K29" i="19"/>
  <c r="P137" i="46"/>
  <c r="P138" i="46"/>
  <c r="Q138" i="46"/>
  <c r="Q139" i="46"/>
  <c r="P140" i="46"/>
  <c r="Q131" i="46"/>
  <c r="Q140" i="46"/>
  <c r="P142" i="46"/>
  <c r="P136" i="46"/>
  <c r="Q142" i="46"/>
  <c r="S29" i="19"/>
  <c r="P29" i="19"/>
  <c r="F29" i="19"/>
  <c r="G29" i="19"/>
  <c r="R29" i="19"/>
  <c r="D29" i="19"/>
  <c r="O29" i="19"/>
  <c r="J29" i="19"/>
  <c r="I29" i="19"/>
  <c r="Q29" i="19"/>
  <c r="H29" i="19"/>
  <c r="P135" i="46" a="1"/>
  <c r="P141" i="46" a="1"/>
  <c r="Q141" i="46" a="1"/>
  <c r="P130" i="46" a="1"/>
  <c r="Q130" i="46" a="1"/>
  <c r="CW51" i="45" l="1"/>
  <c r="CV51" i="45"/>
  <c r="P135" i="46"/>
  <c r="P130" i="46"/>
  <c r="P141" i="46"/>
  <c r="Q130" i="46"/>
  <c r="Q141" i="46"/>
  <c r="BN163" i="45"/>
  <c r="CV37" i="45" l="1"/>
  <c r="CW37" i="45"/>
  <c r="BO8" i="45"/>
  <c r="Q84" i="46" a="1"/>
  <c r="BY201" i="45" l="1"/>
  <c r="CV11" i="45"/>
  <c r="CW11" i="45"/>
  <c r="Q84" i="46"/>
  <c r="CB204" i="22"/>
  <c r="H49" i="26" a="1"/>
  <c r="J49" i="26" a="1"/>
  <c r="I49" i="26" a="1"/>
  <c r="G49" i="26" a="1"/>
  <c r="H49" i="26" l="1"/>
  <c r="G49" i="26"/>
  <c r="I49" i="26"/>
  <c r="J49" i="26"/>
  <c r="CW52" i="45" l="1"/>
  <c r="CV52" i="45"/>
  <c r="AF4" i="33"/>
  <c r="AB11" i="44" l="1"/>
  <c r="AB12" i="44"/>
  <c r="AB10" i="44"/>
  <c r="AB15" i="44"/>
  <c r="AB16" i="44"/>
  <c r="K10" i="44" a="1"/>
  <c r="J12" i="44" a="1"/>
  <c r="E16" i="44" a="1"/>
  <c r="I12" i="44" a="1"/>
  <c r="F12" i="44" a="1"/>
  <c r="I11" i="44" a="1"/>
  <c r="H12" i="44" a="1"/>
  <c r="F16" i="44" a="1"/>
  <c r="J10" i="44" a="1"/>
  <c r="D12" i="44" a="1"/>
  <c r="W12" i="44" a="1"/>
  <c r="W10" i="44" a="1"/>
  <c r="G12" i="44" a="1"/>
  <c r="W11" i="44" a="1"/>
  <c r="I10" i="44" a="1"/>
  <c r="G16" i="44" a="1"/>
  <c r="H11" i="44" a="1"/>
  <c r="G11" i="44" a="1"/>
  <c r="J11" i="44" a="1"/>
  <c r="X11" i="44" a="1"/>
  <c r="H10" i="44" a="1"/>
  <c r="F11" i="44" a="1"/>
  <c r="K11" i="44" a="1"/>
  <c r="K16" i="44" a="1"/>
  <c r="J16" i="44" a="1"/>
  <c r="K12" i="44" a="1"/>
  <c r="G10" i="44" a="1"/>
  <c r="H16" i="44" a="1"/>
  <c r="X12" i="44" a="1"/>
  <c r="D10" i="44" a="1"/>
  <c r="X10" i="44" a="1"/>
  <c r="D11" i="44" a="1"/>
  <c r="I16" i="44" a="1"/>
  <c r="D11" i="44" l="1"/>
  <c r="F11" i="44"/>
  <c r="D12" i="44"/>
  <c r="F12" i="44"/>
  <c r="G11" i="44"/>
  <c r="G12" i="44"/>
  <c r="H11" i="44"/>
  <c r="H12" i="44"/>
  <c r="W11" i="44"/>
  <c r="I12" i="44"/>
  <c r="J11" i="44"/>
  <c r="X11" i="44"/>
  <c r="X12" i="44"/>
  <c r="W12" i="44"/>
  <c r="J12" i="44"/>
  <c r="I11" i="44"/>
  <c r="K11" i="44"/>
  <c r="K12" i="44"/>
  <c r="D10" i="44"/>
  <c r="H10" i="44"/>
  <c r="G10" i="44"/>
  <c r="I10" i="44"/>
  <c r="W10" i="44"/>
  <c r="J10" i="44"/>
  <c r="X10" i="44"/>
  <c r="K10" i="44"/>
  <c r="J16" i="44"/>
  <c r="I16" i="44"/>
  <c r="H16" i="44"/>
  <c r="G16" i="44"/>
  <c r="E16" i="44"/>
  <c r="K16" i="44"/>
  <c r="F16" i="44"/>
  <c r="AH39" i="33" l="1"/>
  <c r="AH36" i="33"/>
  <c r="BI15" i="55" l="1"/>
  <c r="AG109" i="34" l="1"/>
  <c r="Q86" i="19" a="1"/>
  <c r="Q81" i="19" a="1"/>
  <c r="Q68" i="19" a="1"/>
  <c r="Q93" i="19" a="1"/>
  <c r="Q75" i="19" a="1"/>
  <c r="Q82" i="19" a="1"/>
  <c r="Q73" i="19" a="1"/>
  <c r="Q102" i="19" a="1"/>
  <c r="Q72" i="19" a="1"/>
  <c r="Q103" i="19" a="1"/>
  <c r="Q78" i="19" a="1"/>
  <c r="Q101" i="19" a="1"/>
  <c r="Q74" i="19" a="1"/>
  <c r="Q96" i="19" a="1"/>
  <c r="Q88" i="19" a="1"/>
  <c r="Q98" i="19" a="1"/>
  <c r="Q87" i="19" a="1"/>
  <c r="Q76" i="19" a="1"/>
  <c r="Q66" i="19" a="1"/>
  <c r="Q92" i="19" a="1"/>
  <c r="Q79" i="19" a="1"/>
  <c r="Q71" i="19" a="1"/>
  <c r="Q67" i="19" a="1"/>
  <c r="Q99" i="19" a="1"/>
  <c r="Q83" i="19" a="1"/>
  <c r="Q69" i="19" a="1"/>
  <c r="Q89" i="19" a="1"/>
  <c r="Q90" i="19" a="1"/>
  <c r="Q85" i="19" a="1"/>
  <c r="Q80" i="19" a="1"/>
  <c r="Q95" i="19" a="1"/>
  <c r="Q77" i="19" a="1"/>
  <c r="Q65" i="19" a="1"/>
  <c r="Q104" i="19" a="1"/>
  <c r="Q70" i="19" a="1"/>
  <c r="Q84" i="19" a="1"/>
  <c r="Q67" i="19" l="1"/>
  <c r="Q66" i="19"/>
  <c r="Q83" i="19"/>
  <c r="Q104" i="19"/>
  <c r="Q79" i="19"/>
  <c r="Q81" i="19"/>
  <c r="Q86" i="19"/>
  <c r="Q80" i="19"/>
  <c r="Q65" i="19"/>
  <c r="Q103" i="19"/>
  <c r="Q77" i="19"/>
  <c r="Q92" i="19"/>
  <c r="Q85" i="19"/>
  <c r="Q75" i="19"/>
  <c r="Q95" i="19"/>
  <c r="Q68" i="19"/>
  <c r="Q96" i="19"/>
  <c r="Q74" i="19"/>
  <c r="Q93" i="19"/>
  <c r="Q73" i="19"/>
  <c r="Q98" i="19"/>
  <c r="Q76" i="19"/>
  <c r="Q90" i="19"/>
  <c r="Q72" i="19"/>
  <c r="Q101" i="19"/>
  <c r="Q84" i="19"/>
  <c r="Q89" i="19"/>
  <c r="Q71" i="19"/>
  <c r="Q82" i="19"/>
  <c r="Q88" i="19"/>
  <c r="Q70" i="19"/>
  <c r="Q78" i="19"/>
  <c r="Q102" i="19"/>
  <c r="Q99" i="19"/>
  <c r="Q87" i="19"/>
  <c r="Q69" i="19"/>
  <c r="AN61" i="22"/>
  <c r="AB23" i="44" l="1"/>
  <c r="AB24" i="44"/>
  <c r="AB25" i="44"/>
  <c r="AB27" i="44"/>
  <c r="AB28" i="44"/>
  <c r="AB29" i="44"/>
  <c r="AB30" i="44"/>
  <c r="AB20" i="44"/>
  <c r="AB21" i="44"/>
  <c r="AB22" i="44"/>
  <c r="AB19" i="44"/>
  <c r="AB14" i="44"/>
  <c r="AB13" i="44"/>
  <c r="AB7" i="44"/>
  <c r="AB8" i="44"/>
  <c r="AB9" i="44"/>
  <c r="AB6" i="44"/>
  <c r="AF19" i="43"/>
  <c r="W24" i="44" a="1"/>
  <c r="G24" i="44" a="1"/>
  <c r="W29" i="44" a="1"/>
  <c r="W27" i="44" a="1"/>
  <c r="D27" i="44" a="1"/>
  <c r="X29" i="44" a="1"/>
  <c r="H25" i="44" a="1"/>
  <c r="H29" i="44" a="1"/>
  <c r="F29" i="44" a="1"/>
  <c r="J29" i="44" a="1"/>
  <c r="F6" i="44" a="1"/>
  <c r="W28" i="44" a="1"/>
  <c r="K30" i="44" a="1"/>
  <c r="F30" i="44" a="1"/>
  <c r="K24" i="44" a="1"/>
  <c r="D7" i="44" a="1"/>
  <c r="W22" i="44" a="1"/>
  <c r="G28" i="44" a="1"/>
  <c r="J32" i="44" a="1"/>
  <c r="D25" i="44" a="1"/>
  <c r="K28" i="44" a="1"/>
  <c r="W19" i="44" a="1"/>
  <c r="X22" i="44" a="1"/>
  <c r="G27" i="44" a="1"/>
  <c r="D28" i="44" a="1"/>
  <c r="W21" i="44" a="1"/>
  <c r="G6" i="44" a="1"/>
  <c r="X25" i="44" a="1"/>
  <c r="W20" i="44" a="1"/>
  <c r="I27" i="44" a="1"/>
  <c r="J6" i="44" a="1"/>
  <c r="K6" i="44" a="1"/>
  <c r="K25" i="44" a="1"/>
  <c r="F24" i="44" a="1"/>
  <c r="F10" i="44" a="1"/>
  <c r="J28" i="44" a="1"/>
  <c r="W23" i="44" a="1"/>
  <c r="X30" i="44" a="1"/>
  <c r="D24" i="44" a="1"/>
  <c r="W30" i="44" a="1"/>
  <c r="F27" i="44" a="1"/>
  <c r="X24" i="44" a="1"/>
  <c r="X20" i="44" a="1"/>
  <c r="I24" i="44" a="1"/>
  <c r="I29" i="44" a="1"/>
  <c r="H28" i="44" a="1"/>
  <c r="I6" i="44" a="1"/>
  <c r="K27" i="44" a="1"/>
  <c r="W25" i="44" a="1"/>
  <c r="H27" i="44" a="1"/>
  <c r="H32" i="44" a="1"/>
  <c r="I25" i="44" a="1"/>
  <c r="D8" i="44" a="1"/>
  <c r="J24" i="44" a="1"/>
  <c r="X32" i="44" a="1"/>
  <c r="G29" i="44" a="1"/>
  <c r="H30" i="44" a="1"/>
  <c r="J27" i="44" a="1"/>
  <c r="J25" i="44" a="1"/>
  <c r="H6" i="44" a="1"/>
  <c r="I32" i="44" a="1"/>
  <c r="H24" i="44" a="1"/>
  <c r="D30" i="44" a="1"/>
  <c r="F25" i="44" a="1"/>
  <c r="D29" i="44" a="1"/>
  <c r="X21" i="44" a="1"/>
  <c r="X28" i="44" a="1"/>
  <c r="E29" i="44" a="1"/>
  <c r="X23" i="44" a="1"/>
  <c r="D9" i="44" a="1"/>
  <c r="G30" i="44" a="1"/>
  <c r="G25" i="44" a="1"/>
  <c r="F28" i="44" a="1"/>
  <c r="X27" i="44" a="1"/>
  <c r="W32" i="44" a="1"/>
  <c r="X19" i="44" a="1"/>
  <c r="BQ19" i="43" l="1"/>
  <c r="F10" i="44"/>
  <c r="W24" i="44"/>
  <c r="X24" i="44"/>
  <c r="W19" i="44"/>
  <c r="X19" i="44"/>
  <c r="X25" i="44"/>
  <c r="W25" i="44"/>
  <c r="W22" i="44"/>
  <c r="X22" i="44"/>
  <c r="W21" i="44"/>
  <c r="X21" i="44"/>
  <c r="X23" i="44"/>
  <c r="W23" i="44"/>
  <c r="W20" i="44"/>
  <c r="X20" i="44"/>
  <c r="X28" i="44"/>
  <c r="W28" i="44"/>
  <c r="W32" i="44"/>
  <c r="X32" i="44"/>
  <c r="W30" i="44"/>
  <c r="X30" i="44"/>
  <c r="X27" i="44"/>
  <c r="W27" i="44"/>
  <c r="X29" i="44"/>
  <c r="W29" i="44"/>
  <c r="D8" i="44"/>
  <c r="D9" i="44"/>
  <c r="D7" i="44"/>
  <c r="K30" i="44"/>
  <c r="I29" i="44"/>
  <c r="I24" i="44"/>
  <c r="K27" i="44"/>
  <c r="G24" i="44"/>
  <c r="G30" i="44"/>
  <c r="F29" i="44"/>
  <c r="J27" i="44"/>
  <c r="D24" i="44"/>
  <c r="I27" i="44"/>
  <c r="H27" i="44"/>
  <c r="H29" i="44"/>
  <c r="D30" i="44"/>
  <c r="G29" i="44"/>
  <c r="I25" i="44"/>
  <c r="I32" i="44"/>
  <c r="D29" i="44"/>
  <c r="J32" i="44"/>
  <c r="K28" i="44"/>
  <c r="D25" i="44"/>
  <c r="G27" i="44"/>
  <c r="K24" i="44"/>
  <c r="G28" i="44"/>
  <c r="D28" i="44"/>
  <c r="H24" i="44"/>
  <c r="F30" i="44"/>
  <c r="H25" i="44"/>
  <c r="F24" i="44"/>
  <c r="H30" i="44"/>
  <c r="G25" i="44"/>
  <c r="J28" i="44"/>
  <c r="F25" i="44"/>
  <c r="K25" i="44"/>
  <c r="F28" i="44"/>
  <c r="J25" i="44"/>
  <c r="H32" i="44"/>
  <c r="E29" i="44"/>
  <c r="J29" i="44"/>
  <c r="H28" i="44"/>
  <c r="F27" i="44"/>
  <c r="D27" i="44"/>
  <c r="J24" i="44"/>
  <c r="K6" i="44"/>
  <c r="J6" i="44"/>
  <c r="I6" i="44"/>
  <c r="H6" i="44"/>
  <c r="G6" i="44"/>
  <c r="F6" i="44"/>
  <c r="BR216" i="45"/>
  <c r="BQ216" i="45"/>
  <c r="CB215" i="45"/>
  <c r="CA215" i="45"/>
  <c r="BY215" i="45"/>
  <c r="CB214" i="45"/>
  <c r="CA214" i="45"/>
  <c r="BZ214" i="45"/>
  <c r="BY214" i="45"/>
  <c r="BX214" i="45"/>
  <c r="BW214" i="45"/>
  <c r="CB213" i="45"/>
  <c r="BZ213" i="45"/>
  <c r="BY213" i="45"/>
  <c r="BX213" i="45"/>
  <c r="BW213" i="45"/>
  <c r="BV213" i="45"/>
  <c r="BU213" i="45"/>
  <c r="BT213" i="45"/>
  <c r="BS213" i="45"/>
  <c r="BQ213" i="45"/>
  <c r="CB212" i="45"/>
  <c r="CB211" i="45"/>
  <c r="CA211" i="45"/>
  <c r="BR211" i="45"/>
  <c r="BQ211" i="45"/>
  <c r="CB210" i="45"/>
  <c r="BX210" i="45"/>
  <c r="BW210" i="45"/>
  <c r="BU210" i="45"/>
  <c r="BR210" i="45"/>
  <c r="CB209" i="45"/>
  <c r="BS209" i="45"/>
  <c r="BQ209" i="45"/>
  <c r="CB207" i="45"/>
  <c r="BV207" i="45"/>
  <c r="BU207" i="45"/>
  <c r="BT207" i="45"/>
  <c r="BS207" i="45"/>
  <c r="BR207" i="45"/>
  <c r="BQ207" i="45"/>
  <c r="CB206" i="45"/>
  <c r="CB204" i="45"/>
  <c r="BZ204" i="45"/>
  <c r="BY204" i="45"/>
  <c r="BX204" i="45"/>
  <c r="BW204" i="45"/>
  <c r="BV204" i="45"/>
  <c r="BU204" i="45"/>
  <c r="BT204" i="45"/>
  <c r="BS204" i="45"/>
  <c r="CB202" i="45"/>
  <c r="CA202" i="45"/>
  <c r="CB200" i="45"/>
  <c r="BU200" i="45"/>
  <c r="BS200" i="45"/>
  <c r="BQ200" i="45"/>
  <c r="BR199" i="45"/>
  <c r="BQ199" i="45"/>
  <c r="CB198" i="45"/>
  <c r="BY198" i="45"/>
  <c r="CB197" i="45"/>
  <c r="BZ197" i="45"/>
  <c r="BV196" i="45"/>
  <c r="BT196" i="45"/>
  <c r="BS196" i="45"/>
  <c r="CB195" i="45"/>
  <c r="BV195" i="45"/>
  <c r="BU195" i="45"/>
  <c r="BT195" i="45"/>
  <c r="BS195" i="45"/>
  <c r="BR195" i="45"/>
  <c r="BQ195" i="45"/>
  <c r="CB194" i="45"/>
  <c r="CA194" i="45"/>
  <c r="CB216" i="45"/>
  <c r="CA216" i="45"/>
  <c r="BZ216" i="45"/>
  <c r="BY216" i="45"/>
  <c r="BX216" i="45"/>
  <c r="BW216" i="45"/>
  <c r="BV216" i="45"/>
  <c r="BU216" i="45"/>
  <c r="BT216" i="45"/>
  <c r="BS216" i="45"/>
  <c r="BX215" i="45"/>
  <c r="BW215" i="45"/>
  <c r="BV215" i="45"/>
  <c r="BU215" i="45"/>
  <c r="BQ215" i="45"/>
  <c r="CA213" i="45"/>
  <c r="BT214" i="45"/>
  <c r="BS214" i="45"/>
  <c r="BR214" i="45"/>
  <c r="BQ214" i="45"/>
  <c r="CA212" i="45"/>
  <c r="BZ212" i="45"/>
  <c r="BY212" i="45"/>
  <c r="BX212" i="45"/>
  <c r="BQ212" i="45"/>
  <c r="BZ211" i="45"/>
  <c r="BY211" i="45"/>
  <c r="BX211" i="45"/>
  <c r="BW211" i="45"/>
  <c r="BV211" i="45"/>
  <c r="BU211" i="45"/>
  <c r="CA210" i="45"/>
  <c r="BZ210" i="45"/>
  <c r="BY210" i="45"/>
  <c r="BV210" i="45"/>
  <c r="BT210" i="45"/>
  <c r="BS210" i="45"/>
  <c r="BQ210" i="45"/>
  <c r="CA209" i="45"/>
  <c r="BZ209" i="45"/>
  <c r="BY209" i="45"/>
  <c r="BX209" i="45"/>
  <c r="BW209" i="45"/>
  <c r="BV209" i="45"/>
  <c r="BU209" i="45"/>
  <c r="BT209" i="45"/>
  <c r="BR209" i="45"/>
  <c r="CA207" i="45"/>
  <c r="BZ207" i="45"/>
  <c r="BY207" i="45"/>
  <c r="BX207" i="45"/>
  <c r="BW207" i="45"/>
  <c r="BX206" i="45"/>
  <c r="BW206" i="45"/>
  <c r="BV206" i="45"/>
  <c r="BS206" i="45"/>
  <c r="CA204" i="45"/>
  <c r="BR204" i="45"/>
  <c r="BQ204" i="45"/>
  <c r="BQ203" i="45"/>
  <c r="CB203" i="45"/>
  <c r="CA203" i="45"/>
  <c r="BZ203" i="45"/>
  <c r="BY203" i="45"/>
  <c r="BX203" i="45"/>
  <c r="BW203" i="45"/>
  <c r="BR203" i="45"/>
  <c r="BV203" i="45"/>
  <c r="BU203" i="45"/>
  <c r="BT203" i="45"/>
  <c r="BS203" i="45"/>
  <c r="BZ202" i="45"/>
  <c r="BW202" i="45"/>
  <c r="BV202" i="45"/>
  <c r="BU202" i="45"/>
  <c r="BT202" i="45"/>
  <c r="BS202" i="45"/>
  <c r="BR201" i="45"/>
  <c r="CA200" i="45"/>
  <c r="BZ200" i="45"/>
  <c r="BY200" i="45"/>
  <c r="BX200" i="45"/>
  <c r="BW200" i="45"/>
  <c r="BV200" i="45"/>
  <c r="BR200" i="45"/>
  <c r="CB199" i="45"/>
  <c r="CA199" i="45"/>
  <c r="BZ199" i="45"/>
  <c r="BY199" i="45"/>
  <c r="BW199" i="45"/>
  <c r="BV199" i="45"/>
  <c r="BU199" i="45"/>
  <c r="CB196" i="45"/>
  <c r="BR196" i="45"/>
  <c r="BQ196" i="45"/>
  <c r="CA195" i="45"/>
  <c r="BZ195" i="45"/>
  <c r="BY196" i="45"/>
  <c r="BX196" i="45"/>
  <c r="BW196" i="45"/>
  <c r="T7" i="50"/>
  <c r="T8" i="50"/>
  <c r="T9" i="50"/>
  <c r="T10" i="50"/>
  <c r="T11" i="50"/>
  <c r="T12" i="50"/>
  <c r="T13" i="50"/>
  <c r="T14" i="50"/>
  <c r="T15" i="50"/>
  <c r="T16" i="50"/>
  <c r="T17" i="50"/>
  <c r="T18" i="50"/>
  <c r="T19" i="50"/>
  <c r="T20" i="50"/>
  <c r="T21" i="50"/>
  <c r="T22" i="50"/>
  <c r="T23" i="50"/>
  <c r="T24" i="50"/>
  <c r="T25" i="50"/>
  <c r="T26" i="50"/>
  <c r="T27" i="50"/>
  <c r="T28" i="50"/>
  <c r="T29" i="50"/>
  <c r="T30" i="50"/>
  <c r="T31" i="50"/>
  <c r="T32" i="50"/>
  <c r="T33" i="50"/>
  <c r="T34" i="50"/>
  <c r="T35" i="50"/>
  <c r="T36" i="50"/>
  <c r="T37" i="50"/>
  <c r="T38" i="50"/>
  <c r="T39" i="50"/>
  <c r="T40" i="50"/>
  <c r="T41" i="50"/>
  <c r="T6" i="50"/>
  <c r="X6" i="48"/>
  <c r="AD14" i="56"/>
  <c r="AC14" i="56"/>
  <c r="AB14" i="56"/>
  <c r="AA14" i="56"/>
  <c r="Z14" i="56"/>
  <c r="Y14" i="56"/>
  <c r="X14" i="56"/>
  <c r="W14" i="56"/>
  <c r="V14" i="56"/>
  <c r="U14" i="56"/>
  <c r="T14" i="56"/>
  <c r="S14" i="56"/>
  <c r="N40" i="50" a="1"/>
  <c r="M24" i="50" a="1"/>
  <c r="N23" i="50" a="1"/>
  <c r="J30" i="44" a="1"/>
  <c r="M37" i="50" a="1"/>
  <c r="M31" i="50" a="1"/>
  <c r="N37" i="50" a="1"/>
  <c r="M9" i="50" a="1"/>
  <c r="N22" i="50" a="1"/>
  <c r="M33" i="50" a="1"/>
  <c r="M36" i="50" a="1"/>
  <c r="M18" i="50" a="1"/>
  <c r="M8" i="50" a="1"/>
  <c r="M22" i="50" a="1"/>
  <c r="N17" i="50" a="1"/>
  <c r="M17" i="50" a="1"/>
  <c r="I30" i="44" a="1"/>
  <c r="N19" i="50" a="1"/>
  <c r="N31" i="50" a="1"/>
  <c r="M35" i="50" a="1"/>
  <c r="O6" i="48" a="1"/>
  <c r="M23" i="50" a="1"/>
  <c r="N16" i="50" a="1"/>
  <c r="N11" i="50" a="1"/>
  <c r="N33" i="50" a="1"/>
  <c r="N6" i="48" a="1"/>
  <c r="N6" i="50" a="1"/>
  <c r="O35" i="48" a="1"/>
  <c r="M28" i="50" a="1"/>
  <c r="K32" i="44" a="1"/>
  <c r="N12" i="50" a="1"/>
  <c r="N20" i="50" a="1"/>
  <c r="N34" i="50" a="1"/>
  <c r="N8" i="50" a="1"/>
  <c r="N21" i="50" a="1"/>
  <c r="M30" i="50" a="1"/>
  <c r="N7" i="50" a="1"/>
  <c r="N18" i="50" a="1"/>
  <c r="M27" i="50" a="1"/>
  <c r="N36" i="50" a="1"/>
  <c r="M7" i="50" a="1"/>
  <c r="M40" i="50" a="1"/>
  <c r="I28" i="44" a="1"/>
  <c r="N24" i="50" a="1"/>
  <c r="K29" i="44" a="1"/>
  <c r="N14" i="50" a="1"/>
  <c r="M34" i="50" a="1"/>
  <c r="AA19" i="44" a="1"/>
  <c r="F41" i="50" a="1"/>
  <c r="M11" i="50" a="1"/>
  <c r="M10" i="50" a="1"/>
  <c r="M38" i="50" a="1"/>
  <c r="N13" i="50" a="1"/>
  <c r="N32" i="50" a="1"/>
  <c r="N41" i="50" a="1"/>
  <c r="M20" i="50" a="1"/>
  <c r="M21" i="50" a="1"/>
  <c r="N10" i="50" a="1"/>
  <c r="M25" i="50" a="1"/>
  <c r="M13" i="50" a="1"/>
  <c r="N27" i="50" a="1"/>
  <c r="N38" i="50" a="1"/>
  <c r="N35" i="48" a="1"/>
  <c r="N29" i="50" a="1"/>
  <c r="N9" i="50" a="1"/>
  <c r="M14" i="50" a="1"/>
  <c r="M6" i="50" a="1"/>
  <c r="G41" i="50" a="1"/>
  <c r="N25" i="50" a="1"/>
  <c r="N28" i="50" a="1"/>
  <c r="N30" i="50" a="1"/>
  <c r="M12" i="50" a="1"/>
  <c r="M32" i="50" a="1"/>
  <c r="M41" i="50" a="1"/>
  <c r="N35" i="50" a="1"/>
  <c r="M29" i="50" a="1"/>
  <c r="M19" i="50" a="1"/>
  <c r="M16" i="50" a="1"/>
  <c r="AA19" i="44" l="1"/>
  <c r="N6" i="50"/>
  <c r="N9" i="50"/>
  <c r="N8" i="50"/>
  <c r="N31" i="50"/>
  <c r="N38" i="50"/>
  <c r="N14" i="50"/>
  <c r="N21" i="50"/>
  <c r="N30" i="50"/>
  <c r="N29" i="50"/>
  <c r="N13" i="50"/>
  <c r="N22" i="50"/>
  <c r="N28" i="50"/>
  <c r="N12" i="50"/>
  <c r="N25" i="50"/>
  <c r="N40" i="50"/>
  <c r="N27" i="50"/>
  <c r="N11" i="50"/>
  <c r="N7" i="50"/>
  <c r="N37" i="50"/>
  <c r="N19" i="50"/>
  <c r="N34" i="50"/>
  <c r="N18" i="50"/>
  <c r="N24" i="50"/>
  <c r="N36" i="50"/>
  <c r="N33" i="50"/>
  <c r="N17" i="50"/>
  <c r="N10" i="50"/>
  <c r="N41" i="50"/>
  <c r="N23" i="50"/>
  <c r="N20" i="50"/>
  <c r="N35" i="50"/>
  <c r="N32" i="50"/>
  <c r="N16" i="50"/>
  <c r="O6" i="48"/>
  <c r="O35" i="48"/>
  <c r="M13" i="50"/>
  <c r="M27" i="50"/>
  <c r="M18" i="50"/>
  <c r="M17" i="50"/>
  <c r="M29" i="50"/>
  <c r="M25" i="50"/>
  <c r="M19" i="50"/>
  <c r="M32" i="50"/>
  <c r="M31" i="50"/>
  <c r="M10" i="50"/>
  <c r="M9" i="50"/>
  <c r="M35" i="50"/>
  <c r="M34" i="50"/>
  <c r="M33" i="50"/>
  <c r="M16" i="50"/>
  <c r="M30" i="50"/>
  <c r="M14" i="50"/>
  <c r="M28" i="50"/>
  <c r="M24" i="50"/>
  <c r="M23" i="50"/>
  <c r="M38" i="50"/>
  <c r="M22" i="50"/>
  <c r="M37" i="50"/>
  <c r="M21" i="50"/>
  <c r="M12" i="50"/>
  <c r="M11" i="50"/>
  <c r="M6" i="50"/>
  <c r="M41" i="50"/>
  <c r="M40" i="50"/>
  <c r="M8" i="50"/>
  <c r="M7" i="50"/>
  <c r="M36" i="50"/>
  <c r="M20" i="50"/>
  <c r="N6" i="48"/>
  <c r="N35" i="48"/>
  <c r="G41" i="50"/>
  <c r="F41" i="50"/>
  <c r="J30" i="44"/>
  <c r="I28" i="44"/>
  <c r="K32" i="44"/>
  <c r="K29" i="44"/>
  <c r="I30" i="44"/>
  <c r="BT198" i="45"/>
  <c r="CB205" i="45"/>
  <c r="BU198" i="45"/>
  <c r="BU197" i="45"/>
  <c r="BU205" i="45"/>
  <c r="BW198" i="45"/>
  <c r="BW197" i="45"/>
  <c r="BR198" i="45"/>
  <c r="BS197" i="45"/>
  <c r="BS198" i="45"/>
  <c r="BY205" i="45"/>
  <c r="BT206" i="45"/>
  <c r="CA197" i="45"/>
  <c r="BU194" i="45"/>
  <c r="BQ206" i="45"/>
  <c r="BU212" i="45"/>
  <c r="BR206" i="45"/>
  <c r="BQ202" i="45"/>
  <c r="BZ196" i="45"/>
  <c r="BV212" i="45"/>
  <c r="BY206" i="45"/>
  <c r="BU214" i="45"/>
  <c r="CA196" i="45"/>
  <c r="BZ194" i="45"/>
  <c r="BZ198" i="45"/>
  <c r="BR213" i="45"/>
  <c r="BV214" i="45"/>
  <c r="BR212" i="45"/>
  <c r="BR202" i="45"/>
  <c r="BW195" i="45"/>
  <c r="BS211" i="45"/>
  <c r="BS215" i="45"/>
  <c r="BR215" i="45"/>
  <c r="BW194" i="45"/>
  <c r="BU196" i="45"/>
  <c r="BX195" i="45"/>
  <c r="BT211" i="45"/>
  <c r="BT215" i="45"/>
  <c r="BY195" i="45"/>
  <c r="BU206" i="45"/>
  <c r="BS212" i="45"/>
  <c r="BT212" i="45"/>
  <c r="BS199" i="45"/>
  <c r="BT199" i="45"/>
  <c r="BX194" i="45"/>
  <c r="BV194" i="45" l="1"/>
  <c r="BR194" i="45"/>
  <c r="BZ206" i="45"/>
  <c r="BT205" i="45"/>
  <c r="BT194" i="45"/>
  <c r="BV205" i="45"/>
  <c r="BR205" i="45"/>
  <c r="BW205" i="45"/>
  <c r="BR197" i="45"/>
  <c r="BX205" i="45"/>
  <c r="BW212" i="45"/>
  <c r="BS194" i="45"/>
  <c r="BS205" i="45"/>
  <c r="BQ194" i="45"/>
  <c r="BV197" i="45"/>
  <c r="CA206" i="45"/>
  <c r="X34" i="48"/>
  <c r="X35" i="48"/>
  <c r="X36" i="48"/>
  <c r="X37" i="48"/>
  <c r="X38" i="48"/>
  <c r="X39" i="48"/>
  <c r="X40" i="48"/>
  <c r="X41" i="48"/>
  <c r="X42" i="48"/>
  <c r="X43" i="48"/>
  <c r="X44" i="48"/>
  <c r="X45" i="48"/>
  <c r="X46" i="48"/>
  <c r="X47" i="48"/>
  <c r="X48" i="48"/>
  <c r="X32" i="48"/>
  <c r="X33" i="48"/>
  <c r="X24" i="48"/>
  <c r="X25" i="48"/>
  <c r="X26" i="48"/>
  <c r="X27" i="48"/>
  <c r="X28" i="48"/>
  <c r="X29" i="48"/>
  <c r="X30" i="48"/>
  <c r="X31" i="48"/>
  <c r="X23" i="48"/>
  <c r="X8" i="48"/>
  <c r="X9" i="48"/>
  <c r="X10" i="48"/>
  <c r="X11" i="48"/>
  <c r="X12" i="48"/>
  <c r="X13" i="48"/>
  <c r="X14" i="48"/>
  <c r="X15" i="48"/>
  <c r="X16" i="48"/>
  <c r="X17" i="48"/>
  <c r="X18" i="48"/>
  <c r="X19" i="48"/>
  <c r="X20" i="48"/>
  <c r="X21" i="48"/>
  <c r="X22" i="48"/>
  <c r="X7" i="48"/>
  <c r="T6" i="17"/>
  <c r="AF32" i="47"/>
  <c r="AF31" i="47"/>
  <c r="AF30" i="47"/>
  <c r="AF29" i="47"/>
  <c r="AF28" i="47"/>
  <c r="AF27" i="47"/>
  <c r="AF26" i="47"/>
  <c r="AF25" i="47"/>
  <c r="AF24" i="47"/>
  <c r="AF21" i="47"/>
  <c r="AF20" i="47"/>
  <c r="AF19" i="47"/>
  <c r="AF18" i="47"/>
  <c r="AF17" i="47"/>
  <c r="AF16" i="47"/>
  <c r="AF15" i="47"/>
  <c r="AF14" i="47"/>
  <c r="AF13" i="47"/>
  <c r="AF12" i="47"/>
  <c r="AF11" i="47"/>
  <c r="AF10" i="47"/>
  <c r="AF9" i="47"/>
  <c r="AF8" i="47"/>
  <c r="AF7" i="47"/>
  <c r="AF6" i="47"/>
  <c r="R7" i="47"/>
  <c r="R8" i="47"/>
  <c r="R9" i="47"/>
  <c r="R10" i="47"/>
  <c r="R11" i="47"/>
  <c r="R12" i="47"/>
  <c r="R13" i="47"/>
  <c r="R14" i="47"/>
  <c r="R15" i="47"/>
  <c r="R16" i="47"/>
  <c r="R17" i="47"/>
  <c r="R18" i="47"/>
  <c r="R19" i="47"/>
  <c r="R20" i="47"/>
  <c r="R21" i="47"/>
  <c r="R24" i="47"/>
  <c r="R25" i="47"/>
  <c r="R26" i="47"/>
  <c r="R27" i="47"/>
  <c r="R28" i="47"/>
  <c r="R29" i="47"/>
  <c r="R30" i="47"/>
  <c r="R31" i="47"/>
  <c r="R32" i="47"/>
  <c r="R6" i="47"/>
  <c r="AF46" i="47"/>
  <c r="AF45" i="47"/>
  <c r="AF44" i="47"/>
  <c r="AF43" i="47"/>
  <c r="AF42" i="47"/>
  <c r="AF41" i="47"/>
  <c r="AF40" i="47"/>
  <c r="AF39" i="47"/>
  <c r="AF38" i="47"/>
  <c r="AF37" i="47"/>
  <c r="AF36" i="47"/>
  <c r="AF35" i="47"/>
  <c r="R36" i="47"/>
  <c r="R37" i="47"/>
  <c r="R38" i="47"/>
  <c r="R39" i="47"/>
  <c r="R40" i="47"/>
  <c r="R41" i="47"/>
  <c r="R42" i="47"/>
  <c r="R43" i="47"/>
  <c r="R44" i="47"/>
  <c r="R45" i="47"/>
  <c r="R46" i="47"/>
  <c r="R35" i="47"/>
  <c r="AE6" i="47"/>
  <c r="AE32" i="47"/>
  <c r="AE31" i="47"/>
  <c r="AE30" i="47"/>
  <c r="AE29" i="47"/>
  <c r="AE28" i="47"/>
  <c r="AE27" i="47"/>
  <c r="AE26" i="47"/>
  <c r="AE25" i="47"/>
  <c r="AE24" i="47"/>
  <c r="AE23" i="47"/>
  <c r="AE22" i="47"/>
  <c r="AE21" i="47"/>
  <c r="AE20" i="47"/>
  <c r="AE19" i="47"/>
  <c r="AE18" i="47"/>
  <c r="AE17" i="47"/>
  <c r="AE16" i="47"/>
  <c r="AE15" i="47"/>
  <c r="AE14" i="47"/>
  <c r="AE13" i="47"/>
  <c r="AE12" i="47"/>
  <c r="AE11" i="47"/>
  <c r="AE10" i="47"/>
  <c r="AE9" i="47"/>
  <c r="AE8" i="47"/>
  <c r="AE7" i="47"/>
  <c r="M37" i="48" a="1"/>
  <c r="N46" i="48" a="1"/>
  <c r="O25" i="48" a="1"/>
  <c r="N45" i="48" a="1"/>
  <c r="G47" i="48" a="1"/>
  <c r="N30" i="48" a="1"/>
  <c r="O47" i="48" a="1"/>
  <c r="N40" i="48" a="1"/>
  <c r="J6" i="48" a="1"/>
  <c r="M17" i="48" a="1"/>
  <c r="L8" i="48" a="1"/>
  <c r="N13" i="48" a="1"/>
  <c r="C25" i="48" a="1"/>
  <c r="O28" i="48" a="1"/>
  <c r="N20" i="48" a="1"/>
  <c r="M36" i="48" a="1"/>
  <c r="N19" i="48" a="1"/>
  <c r="O46" i="48" a="1"/>
  <c r="J35" i="48" a="1"/>
  <c r="O24" i="48" a="1"/>
  <c r="O33" i="48" a="1"/>
  <c r="N28" i="48" a="1"/>
  <c r="M19" i="48" a="1"/>
  <c r="H35" i="48" a="1"/>
  <c r="H47" i="48" a="1"/>
  <c r="N39" i="48" a="1"/>
  <c r="O10" i="48" a="1"/>
  <c r="O8" i="48" a="1"/>
  <c r="N32" i="48" a="1"/>
  <c r="S22" i="48" a="1"/>
  <c r="C7" i="48" a="1"/>
  <c r="O32" i="48" a="1"/>
  <c r="M27" i="48" a="1"/>
  <c r="K6" i="48" a="1"/>
  <c r="C23" i="48" a="1"/>
  <c r="C18" i="48" a="1"/>
  <c r="W8" i="48" a="1"/>
  <c r="O17" i="48" a="1"/>
  <c r="C9" i="48" a="1"/>
  <c r="M43" i="48" a="1"/>
  <c r="M20" i="48" a="1"/>
  <c r="M25" i="48" a="1"/>
  <c r="N17" i="48" a="1"/>
  <c r="S28" i="48" a="1"/>
  <c r="M26" i="48" a="1"/>
  <c r="M23" i="48" a="1"/>
  <c r="M32" i="48" a="1"/>
  <c r="G32" i="48" a="1"/>
  <c r="O30" i="48" a="1"/>
  <c r="O11" i="48" a="1"/>
  <c r="O22" i="48" a="1"/>
  <c r="R6" i="48" a="1"/>
  <c r="P6" i="48" a="1"/>
  <c r="M16" i="48" a="1"/>
  <c r="S25" i="48" a="1"/>
  <c r="N42" i="48" a="1"/>
  <c r="O18" i="48" a="1"/>
  <c r="M33" i="48" a="1"/>
  <c r="K35" i="48" a="1"/>
  <c r="M18" i="48" a="1"/>
  <c r="N33" i="48" a="1"/>
  <c r="M41" i="48" a="1"/>
  <c r="N44" i="48" a="1"/>
  <c r="C8" i="48" a="1"/>
  <c r="C28" i="48" a="1"/>
  <c r="M30" i="48" a="1"/>
  <c r="M47" i="48" a="1"/>
  <c r="I6" i="48" a="1"/>
  <c r="G35" i="48" a="1"/>
  <c r="C22" i="48" a="1"/>
  <c r="W6" i="48" a="1"/>
  <c r="C12" i="48" a="1"/>
  <c r="O29" i="48" a="1"/>
  <c r="M45" i="48" a="1"/>
  <c r="N16" i="48" a="1"/>
  <c r="N10" i="48" a="1"/>
  <c r="C29" i="48" a="1"/>
  <c r="M7" i="48" a="1"/>
  <c r="S24" i="48" a="1"/>
  <c r="O20" i="48" a="1"/>
  <c r="M40" i="48" a="1"/>
  <c r="N14" i="48" a="1"/>
  <c r="I8" i="48" a="1"/>
  <c r="M8" i="48" a="1"/>
  <c r="G6" i="17" a="1"/>
  <c r="E13" i="48" a="1"/>
  <c r="R8" i="48" a="1"/>
  <c r="M44" i="48" a="1"/>
  <c r="O23" i="48" a="1"/>
  <c r="H6" i="17" a="1"/>
  <c r="L6" i="48" a="1"/>
  <c r="O7" i="48" a="1"/>
  <c r="J8" i="48" a="1"/>
  <c r="N12" i="48" a="1"/>
  <c r="N31" i="48" a="1"/>
  <c r="I32" i="48" a="1"/>
  <c r="O43" i="48" a="1"/>
  <c r="M28" i="48" a="1"/>
  <c r="S16" i="48" a="1"/>
  <c r="K32" i="48" a="1"/>
  <c r="L6" i="17" a="1"/>
  <c r="N15" i="48" a="1"/>
  <c r="F32" i="48" a="1"/>
  <c r="H6" i="48" a="1"/>
  <c r="C17" i="48" a="1"/>
  <c r="J32" i="48" a="1"/>
  <c r="Q8" i="48" a="1"/>
  <c r="M13" i="48" a="1"/>
  <c r="S15" i="48" a="1"/>
  <c r="F8" i="48" a="1"/>
  <c r="S14" i="48" a="1"/>
  <c r="C27" i="48" a="1"/>
  <c r="O42" i="48" a="1"/>
  <c r="S6" i="48" a="1"/>
  <c r="C10" i="48" a="1"/>
  <c r="O36" i="48" a="1"/>
  <c r="S27" i="48" a="1"/>
  <c r="N9" i="48" a="1"/>
  <c r="C31" i="48" a="1"/>
  <c r="S26" i="48" a="1"/>
  <c r="S30" i="48" a="1"/>
  <c r="O39" i="48" a="1"/>
  <c r="C21" i="48" a="1"/>
  <c r="T6" i="48" a="1"/>
  <c r="N7" i="48" a="1"/>
  <c r="N41" i="48" a="1"/>
  <c r="O31" i="48" a="1"/>
  <c r="Q6" i="48" a="1"/>
  <c r="C16" i="48" a="1"/>
  <c r="C19" i="48" a="1"/>
  <c r="M9" i="48" a="1"/>
  <c r="M46" i="48" a="1"/>
  <c r="O45" i="48" a="1"/>
  <c r="N37" i="48" a="1"/>
  <c r="K8" i="48" a="1"/>
  <c r="O9" i="48" a="1"/>
  <c r="C15" i="48" a="1"/>
  <c r="O37" i="48" a="1"/>
  <c r="S20" i="48" a="1"/>
  <c r="N11" i="48" a="1"/>
  <c r="M24" i="48" a="1"/>
  <c r="Q32" i="48" a="1"/>
  <c r="N27" i="48" a="1"/>
  <c r="W32" i="48" a="1"/>
  <c r="N38" i="48" a="1"/>
  <c r="O13" i="48" a="1"/>
  <c r="U6" i="48" a="1"/>
  <c r="N21" i="48" a="1"/>
  <c r="M10" i="48" a="1"/>
  <c r="S31" i="48" a="1"/>
  <c r="C30" i="48" a="1"/>
  <c r="M38" i="48" a="1"/>
  <c r="N47" i="48" a="1"/>
  <c r="M21" i="48" a="1"/>
  <c r="O21" i="48" a="1"/>
  <c r="M31" i="48" a="1"/>
  <c r="S18" i="48" a="1"/>
  <c r="S29" i="48" a="1"/>
  <c r="C24" i="48" a="1"/>
  <c r="G8" i="48" a="1"/>
  <c r="N22" i="48" a="1"/>
  <c r="P32" i="48" a="1"/>
  <c r="M42" i="48" a="1"/>
  <c r="S19" i="48" a="1"/>
  <c r="M12" i="48" a="1"/>
  <c r="N23" i="48" a="1"/>
  <c r="O16" i="48" a="1"/>
  <c r="N18" i="48" a="1"/>
  <c r="M14" i="48" a="1"/>
  <c r="N36" i="48" a="1"/>
  <c r="M29" i="48" a="1"/>
  <c r="O19" i="48" a="1"/>
  <c r="C14" i="48" a="1"/>
  <c r="C13" i="48" a="1"/>
  <c r="I35" i="48" a="1"/>
  <c r="G6" i="48" a="1"/>
  <c r="O27" i="48" a="1"/>
  <c r="C11" i="48" a="1"/>
  <c r="M11" i="48" a="1"/>
  <c r="M39" i="48" a="1"/>
  <c r="V6" i="48" a="1"/>
  <c r="H8" i="48" a="1"/>
  <c r="M15" i="48" a="1"/>
  <c r="S21" i="48" a="1"/>
  <c r="S23" i="48" a="1"/>
  <c r="O26" i="48" a="1"/>
  <c r="O44" i="48" a="1"/>
  <c r="L35" i="48" a="1"/>
  <c r="F6" i="17" a="1"/>
  <c r="O40" i="48" a="1"/>
  <c r="S33" i="48" a="1"/>
  <c r="N29" i="48" a="1"/>
  <c r="N43" i="48" a="1"/>
  <c r="S32" i="48" a="1"/>
  <c r="O14" i="48" a="1"/>
  <c r="M22" i="48" a="1"/>
  <c r="S13" i="48" a="1"/>
  <c r="C32" i="48" a="1"/>
  <c r="O41" i="48" a="1"/>
  <c r="S12" i="48" a="1"/>
  <c r="R32" i="48" a="1"/>
  <c r="N26" i="48" a="1"/>
  <c r="C26" i="48" a="1"/>
  <c r="N8" i="48" a="1"/>
  <c r="H32" i="48" a="1"/>
  <c r="O15" i="48" a="1"/>
  <c r="N25" i="48" a="1"/>
  <c r="O12" i="48" a="1"/>
  <c r="L32" i="48" a="1"/>
  <c r="O38" i="48" a="1"/>
  <c r="C20" i="48" a="1"/>
  <c r="P8" i="48" a="1"/>
  <c r="N24" i="48" a="1"/>
  <c r="C33" i="48" a="1"/>
  <c r="S17" i="48" a="1"/>
  <c r="M13" i="48" l="1"/>
  <c r="E13" i="48"/>
  <c r="M32" i="48"/>
  <c r="M28" i="48"/>
  <c r="M17" i="48"/>
  <c r="M25" i="48"/>
  <c r="M33" i="48"/>
  <c r="M10" i="48"/>
  <c r="M46" i="48"/>
  <c r="M9" i="48"/>
  <c r="M45" i="48"/>
  <c r="M27" i="48"/>
  <c r="M12" i="48"/>
  <c r="M47" i="48"/>
  <c r="M8" i="48"/>
  <c r="M44" i="48"/>
  <c r="M38" i="48"/>
  <c r="M16" i="48"/>
  <c r="M11" i="48"/>
  <c r="M7" i="48"/>
  <c r="M23" i="48"/>
  <c r="M43" i="48"/>
  <c r="M39" i="48"/>
  <c r="M36" i="48"/>
  <c r="M15" i="48"/>
  <c r="M14" i="48"/>
  <c r="M22" i="48"/>
  <c r="M31" i="48"/>
  <c r="M42" i="48"/>
  <c r="M19" i="48"/>
  <c r="M37" i="48"/>
  <c r="M21" i="48"/>
  <c r="M30" i="48"/>
  <c r="M41" i="48"/>
  <c r="M18" i="48"/>
  <c r="M26" i="48"/>
  <c r="M24" i="48"/>
  <c r="M20" i="48"/>
  <c r="M29" i="48"/>
  <c r="M40" i="48"/>
  <c r="L6" i="17"/>
  <c r="O16" i="48"/>
  <c r="O25" i="48"/>
  <c r="O36" i="48"/>
  <c r="O24" i="48"/>
  <c r="O14" i="48"/>
  <c r="O33" i="48"/>
  <c r="O15" i="48"/>
  <c r="O13" i="48"/>
  <c r="O32" i="48"/>
  <c r="O12" i="48"/>
  <c r="O11" i="48"/>
  <c r="O47" i="48"/>
  <c r="O10" i="48"/>
  <c r="O46" i="48"/>
  <c r="O9" i="48"/>
  <c r="O45" i="48"/>
  <c r="O8" i="48"/>
  <c r="O44" i="48"/>
  <c r="O23" i="48"/>
  <c r="O43" i="48"/>
  <c r="O22" i="48"/>
  <c r="O31" i="48"/>
  <c r="O42" i="48"/>
  <c r="O30" i="48"/>
  <c r="O41" i="48"/>
  <c r="O40" i="48"/>
  <c r="O7" i="48"/>
  <c r="O29" i="48"/>
  <c r="O19" i="48"/>
  <c r="O28" i="48"/>
  <c r="O39" i="48"/>
  <c r="O21" i="48"/>
  <c r="O18" i="48"/>
  <c r="O27" i="48"/>
  <c r="O38" i="48"/>
  <c r="O20" i="48"/>
  <c r="O17" i="48"/>
  <c r="O26" i="48"/>
  <c r="O37" i="48"/>
  <c r="N24" i="48"/>
  <c r="N33" i="48"/>
  <c r="N13" i="48"/>
  <c r="N32" i="48"/>
  <c r="N25" i="48"/>
  <c r="N12" i="48"/>
  <c r="N14" i="48"/>
  <c r="N11" i="48"/>
  <c r="N47" i="48"/>
  <c r="N36" i="48"/>
  <c r="N10" i="48"/>
  <c r="N46" i="48"/>
  <c r="N16" i="48"/>
  <c r="N9" i="48"/>
  <c r="N45" i="48"/>
  <c r="N8" i="48"/>
  <c r="N44" i="48"/>
  <c r="N7" i="48"/>
  <c r="N23" i="48"/>
  <c r="N43" i="48"/>
  <c r="N22" i="48"/>
  <c r="N31" i="48"/>
  <c r="N42" i="48"/>
  <c r="N21" i="48"/>
  <c r="N30" i="48"/>
  <c r="N41" i="48"/>
  <c r="N20" i="48"/>
  <c r="N29" i="48"/>
  <c r="N40" i="48"/>
  <c r="N19" i="48"/>
  <c r="N28" i="48"/>
  <c r="N39" i="48"/>
  <c r="N18" i="48"/>
  <c r="N27" i="48"/>
  <c r="N38" i="48"/>
  <c r="N15" i="48"/>
  <c r="N17" i="48"/>
  <c r="N26" i="48"/>
  <c r="N37" i="48"/>
  <c r="H47" i="48"/>
  <c r="G47" i="48"/>
  <c r="H6" i="17"/>
  <c r="G6" i="17"/>
  <c r="F6" i="17"/>
  <c r="BZ205" i="45"/>
  <c r="CA205" i="45"/>
  <c r="T6" i="48"/>
  <c r="R6" i="48"/>
  <c r="V6" i="48"/>
  <c r="U6" i="48"/>
  <c r="S6" i="48"/>
  <c r="W6" i="48"/>
  <c r="P6" i="48"/>
  <c r="Q6" i="48"/>
  <c r="S30" i="48"/>
  <c r="S22" i="48"/>
  <c r="S14" i="48"/>
  <c r="S29" i="48"/>
  <c r="S21" i="48"/>
  <c r="S13" i="48"/>
  <c r="S28" i="48"/>
  <c r="S20" i="48"/>
  <c r="S12" i="48"/>
  <c r="S26" i="48"/>
  <c r="S18" i="48"/>
  <c r="S27" i="48"/>
  <c r="S33" i="48"/>
  <c r="S25" i="48"/>
  <c r="S17" i="48"/>
  <c r="S19" i="48"/>
  <c r="S32" i="48"/>
  <c r="S24" i="48"/>
  <c r="S16" i="48"/>
  <c r="S31" i="48"/>
  <c r="S23" i="48"/>
  <c r="S15" i="48"/>
  <c r="P32" i="48"/>
  <c r="L32" i="48"/>
  <c r="W32" i="48"/>
  <c r="K32" i="48"/>
  <c r="I32" i="48"/>
  <c r="J32" i="48"/>
  <c r="H32" i="48"/>
  <c r="F32" i="48"/>
  <c r="R32" i="48"/>
  <c r="G32" i="48"/>
  <c r="Q32" i="48"/>
  <c r="C32" i="48"/>
  <c r="C23" i="48"/>
  <c r="C10" i="48"/>
  <c r="C26" i="48"/>
  <c r="C33" i="48"/>
  <c r="C24" i="48"/>
  <c r="C15" i="48"/>
  <c r="C31" i="48"/>
  <c r="C22" i="48"/>
  <c r="C14" i="48"/>
  <c r="C30" i="48"/>
  <c r="C21" i="48"/>
  <c r="C13" i="48"/>
  <c r="C29" i="48"/>
  <c r="C20" i="48"/>
  <c r="C12" i="48"/>
  <c r="C28" i="48"/>
  <c r="C19" i="48"/>
  <c r="C11" i="48"/>
  <c r="C18" i="48"/>
  <c r="C9" i="48"/>
  <c r="C27" i="48"/>
  <c r="C17" i="48"/>
  <c r="C25" i="48"/>
  <c r="C16" i="48"/>
  <c r="C8" i="48"/>
  <c r="C7" i="48"/>
  <c r="H8" i="48"/>
  <c r="R8" i="48"/>
  <c r="G8" i="48"/>
  <c r="Q8" i="48"/>
  <c r="L8" i="48"/>
  <c r="F8" i="48"/>
  <c r="P8" i="48"/>
  <c r="W8" i="48"/>
  <c r="K8" i="48"/>
  <c r="J8" i="48"/>
  <c r="I8" i="48"/>
  <c r="I35" i="48"/>
  <c r="J35" i="48"/>
  <c r="H35" i="48"/>
  <c r="G35" i="48"/>
  <c r="L35" i="48"/>
  <c r="K35" i="48"/>
  <c r="J6" i="48"/>
  <c r="I6" i="48"/>
  <c r="K6" i="48"/>
  <c r="H6" i="48"/>
  <c r="L6" i="48"/>
  <c r="G6" i="48"/>
  <c r="Q6" i="47"/>
  <c r="Q7" i="47"/>
  <c r="Q8" i="47"/>
  <c r="Q9" i="47"/>
  <c r="Q10" i="47"/>
  <c r="Q11" i="47"/>
  <c r="Q12" i="47"/>
  <c r="Q13" i="47"/>
  <c r="Q14" i="47"/>
  <c r="Q15" i="47"/>
  <c r="Q16" i="47"/>
  <c r="Q17" i="47"/>
  <c r="Q18" i="47"/>
  <c r="Q19" i="47"/>
  <c r="Q20" i="47"/>
  <c r="Q21" i="47"/>
  <c r="Q22" i="47"/>
  <c r="Q23" i="47"/>
  <c r="Q24" i="47"/>
  <c r="Q25" i="47"/>
  <c r="Q26" i="47"/>
  <c r="Q27" i="47"/>
  <c r="Q28" i="47"/>
  <c r="Q29" i="47"/>
  <c r="Q30" i="47"/>
  <c r="Q31" i="47"/>
  <c r="E32" i="48" a="1"/>
  <c r="F23" i="48" a="1"/>
  <c r="E23" i="48" a="1"/>
  <c r="I23" i="48" a="1"/>
  <c r="K23" i="48" a="1"/>
  <c r="R23" i="48" a="1"/>
  <c r="J23" i="48" a="1"/>
  <c r="E8" i="48" a="1"/>
  <c r="W23" i="48" a="1"/>
  <c r="G23" i="48" a="1"/>
  <c r="P23" i="48" a="1"/>
  <c r="H23" i="48" a="1"/>
  <c r="Q23" i="48" a="1"/>
  <c r="L23" i="48" a="1"/>
  <c r="E32" i="48" l="1"/>
  <c r="E8" i="48"/>
  <c r="J23" i="48"/>
  <c r="Q23" i="48"/>
  <c r="R23" i="48"/>
  <c r="H23" i="48"/>
  <c r="E23" i="48"/>
  <c r="P23" i="48"/>
  <c r="G23" i="48"/>
  <c r="F23" i="48"/>
  <c r="I23" i="48"/>
  <c r="K23" i="48"/>
  <c r="W23" i="48"/>
  <c r="L23" i="48"/>
  <c r="J6" i="17" a="1"/>
  <c r="S7" i="48" a="1"/>
  <c r="I6" i="17" a="1"/>
  <c r="S9" i="48" a="1"/>
  <c r="K6" i="17" a="1"/>
  <c r="S10" i="48" a="1"/>
  <c r="S8" i="48" a="1"/>
  <c r="S11" i="48" a="1"/>
  <c r="S7" i="48" l="1"/>
  <c r="S9" i="48"/>
  <c r="S11" i="48"/>
  <c r="S8" i="48"/>
  <c r="S10" i="48"/>
  <c r="J6" i="17"/>
  <c r="K6" i="17"/>
  <c r="I6" i="17"/>
  <c r="T53" i="17"/>
  <c r="T52" i="17"/>
  <c r="T51" i="17"/>
  <c r="T50" i="17"/>
  <c r="T49" i="17"/>
  <c r="T38" i="17"/>
  <c r="T37" i="17"/>
  <c r="J52" i="17" a="1"/>
  <c r="K51" i="17" a="1"/>
  <c r="L52" i="17" a="1"/>
  <c r="J38" i="17" a="1"/>
  <c r="I51" i="17" a="1"/>
  <c r="I49" i="17" a="1"/>
  <c r="I38" i="17" a="1"/>
  <c r="K49" i="17" a="1"/>
  <c r="L49" i="17" a="1"/>
  <c r="G38" i="17" a="1"/>
  <c r="L37" i="17" a="1"/>
  <c r="J50" i="17" a="1"/>
  <c r="J51" i="17" a="1"/>
  <c r="L53" i="17" a="1"/>
  <c r="H52" i="17" a="1"/>
  <c r="G53" i="17" a="1"/>
  <c r="H37" i="17" a="1"/>
  <c r="K38" i="17" a="1"/>
  <c r="E38" i="17" a="1"/>
  <c r="L50" i="17" a="1"/>
  <c r="L38" i="17" a="1"/>
  <c r="L51" i="17" a="1"/>
  <c r="H53" i="17" a="1"/>
  <c r="F51" i="17" a="1"/>
  <c r="H38" i="17" a="1"/>
  <c r="F53" i="17" a="1"/>
  <c r="G51" i="17" a="1"/>
  <c r="G49" i="17" a="1"/>
  <c r="J49" i="17" a="1"/>
  <c r="F49" i="17" a="1"/>
  <c r="D38" i="17" a="1"/>
  <c r="J53" i="17" a="1"/>
  <c r="H49" i="17" a="1"/>
  <c r="H51" i="17" a="1"/>
  <c r="I52" i="17" a="1"/>
  <c r="F38" i="17" a="1"/>
  <c r="L53" i="17" l="1"/>
  <c r="L50" i="17"/>
  <c r="L49" i="17"/>
  <c r="L52" i="17"/>
  <c r="L37" i="17"/>
  <c r="L51" i="17"/>
  <c r="L38" i="17"/>
  <c r="H37" i="17"/>
  <c r="H38" i="17"/>
  <c r="K49" i="17"/>
  <c r="H52" i="17"/>
  <c r="F49" i="17"/>
  <c r="J50" i="17"/>
  <c r="I52" i="17"/>
  <c r="G49" i="17"/>
  <c r="F51" i="17"/>
  <c r="J52" i="17"/>
  <c r="H49" i="17"/>
  <c r="F53" i="17"/>
  <c r="I49" i="17"/>
  <c r="H51" i="17"/>
  <c r="G53" i="17"/>
  <c r="J49" i="17"/>
  <c r="I51" i="17"/>
  <c r="H53" i="17"/>
  <c r="G51" i="17"/>
  <c r="J51" i="17"/>
  <c r="K51" i="17"/>
  <c r="J53" i="17"/>
  <c r="K38" i="17"/>
  <c r="F38" i="17"/>
  <c r="J38" i="17"/>
  <c r="I38" i="17"/>
  <c r="G38" i="17"/>
  <c r="E38" i="17"/>
  <c r="D38" i="17"/>
  <c r="CB105" i="54"/>
  <c r="CA44" i="54"/>
  <c r="CA63" i="54"/>
  <c r="CA66" i="54"/>
  <c r="CA67" i="54"/>
  <c r="CA68" i="54"/>
  <c r="CA73" i="54"/>
  <c r="CA105" i="54"/>
  <c r="F50" i="17" a="1"/>
  <c r="G52" i="17" a="1"/>
  <c r="I50" i="17" a="1"/>
  <c r="G50" i="17" a="1"/>
  <c r="H50" i="17" a="1"/>
  <c r="F52" i="17" a="1"/>
  <c r="I53" i="17" a="1"/>
  <c r="K53" i="17" a="1"/>
  <c r="K52" i="17" a="1"/>
  <c r="K50" i="17" a="1"/>
  <c r="I53" i="17" l="1"/>
  <c r="H50" i="17"/>
  <c r="K50" i="17"/>
  <c r="K52" i="17"/>
  <c r="I50" i="17"/>
  <c r="F52" i="17"/>
  <c r="K53" i="17"/>
  <c r="G52" i="17"/>
  <c r="F50" i="17"/>
  <c r="G50" i="17"/>
  <c r="BI86" i="55"/>
  <c r="BJ84" i="55"/>
  <c r="BI84" i="55"/>
  <c r="BJ83" i="55"/>
  <c r="BI83" i="55"/>
  <c r="BJ81" i="55"/>
  <c r="BJ72" i="55"/>
  <c r="BJ71" i="55"/>
  <c r="BJ70" i="55"/>
  <c r="BJ69" i="55"/>
  <c r="BJ66" i="55"/>
  <c r="BJ65" i="55"/>
  <c r="BJ64" i="55"/>
  <c r="BJ63" i="55"/>
  <c r="BJ48" i="55"/>
  <c r="BI48" i="55"/>
  <c r="BJ47" i="55"/>
  <c r="BI47" i="55"/>
  <c r="BJ46" i="55"/>
  <c r="BI46" i="55"/>
  <c r="BJ45" i="55"/>
  <c r="BJ36" i="55"/>
  <c r="BI36" i="55"/>
  <c r="BJ35" i="55"/>
  <c r="BI35" i="55"/>
  <c r="BJ34" i="55"/>
  <c r="BI34" i="55"/>
  <c r="BJ33" i="55"/>
  <c r="BI32" i="55"/>
  <c r="BJ30" i="55"/>
  <c r="BI30" i="55"/>
  <c r="BJ29" i="55"/>
  <c r="BI29" i="55"/>
  <c r="BJ28" i="55"/>
  <c r="BI28" i="55"/>
  <c r="BJ27" i="55"/>
  <c r="BJ26" i="55"/>
  <c r="BI26" i="55"/>
  <c r="BJ21" i="55"/>
  <c r="BJ15" i="55"/>
  <c r="BJ110" i="54"/>
  <c r="BJ109" i="54"/>
  <c r="BI109" i="54"/>
  <c r="BJ108" i="54"/>
  <c r="BI108" i="54"/>
  <c r="BJ107" i="54"/>
  <c r="BJ106" i="54"/>
  <c r="BJ103" i="54"/>
  <c r="BI103" i="54"/>
  <c r="BJ102" i="54"/>
  <c r="BI102" i="54"/>
  <c r="BJ100" i="54"/>
  <c r="BI100" i="54"/>
  <c r="BJ99" i="54"/>
  <c r="BI99" i="54"/>
  <c r="BJ98" i="54"/>
  <c r="BI97" i="54"/>
  <c r="BJ97" i="54"/>
  <c r="BJ96" i="54"/>
  <c r="BI96" i="54"/>
  <c r="BJ95" i="54"/>
  <c r="BJ94" i="54"/>
  <c r="BI93" i="54"/>
  <c r="BI34" i="54" s="1"/>
  <c r="BJ92" i="54"/>
  <c r="BI92" i="54"/>
  <c r="BJ90" i="54"/>
  <c r="BI90" i="54"/>
  <c r="BJ89" i="54"/>
  <c r="BI89" i="54"/>
  <c r="BJ88" i="54"/>
  <c r="BI88" i="54"/>
  <c r="BJ87" i="54"/>
  <c r="BJ86" i="54"/>
  <c r="BI86" i="54"/>
  <c r="BJ85" i="54"/>
  <c r="BJ84" i="54"/>
  <c r="BI84" i="54"/>
  <c r="BI83" i="54"/>
  <c r="BJ82" i="54"/>
  <c r="BI82" i="54"/>
  <c r="BJ80" i="54"/>
  <c r="BJ79" i="54"/>
  <c r="BI79" i="54"/>
  <c r="BJ78" i="54"/>
  <c r="BI78" i="54"/>
  <c r="BJ77" i="54"/>
  <c r="BI77" i="54"/>
  <c r="BJ76" i="54"/>
  <c r="BI76" i="54"/>
  <c r="BJ75" i="54"/>
  <c r="BJ74" i="54"/>
  <c r="BJ72" i="54"/>
  <c r="BI72" i="54"/>
  <c r="BJ70" i="54"/>
  <c r="BI70" i="54"/>
  <c r="BJ69" i="54"/>
  <c r="BI69" i="54"/>
  <c r="BI68" i="54"/>
  <c r="BI67" i="54"/>
  <c r="BI66" i="54"/>
  <c r="BJ65" i="54"/>
  <c r="BI64" i="54"/>
  <c r="BJ62" i="54"/>
  <c r="BI62" i="54"/>
  <c r="BJ60" i="54"/>
  <c r="BI60" i="54"/>
  <c r="BJ59" i="54"/>
  <c r="BI59" i="54"/>
  <c r="BJ58" i="54"/>
  <c r="BI58" i="54"/>
  <c r="BI29" i="54" s="1"/>
  <c r="BJ57" i="54"/>
  <c r="BJ28" i="54" s="1"/>
  <c r="BJ9" i="54" s="1"/>
  <c r="BI57" i="54"/>
  <c r="BJ56" i="54"/>
  <c r="BI56" i="54"/>
  <c r="BI27" i="54" s="1"/>
  <c r="BJ55" i="54"/>
  <c r="BJ26" i="54" s="1"/>
  <c r="BJ45" i="54"/>
  <c r="BI45" i="54"/>
  <c r="BJ43" i="54"/>
  <c r="BJ23" i="54" s="1"/>
  <c r="BI43" i="54"/>
  <c r="BJ41" i="54"/>
  <c r="BI41" i="54"/>
  <c r="BJ39" i="54"/>
  <c r="BI39" i="54"/>
  <c r="BJ38" i="54"/>
  <c r="BI38" i="54"/>
  <c r="BJ37" i="54"/>
  <c r="BI37" i="54"/>
  <c r="BI17" i="54" s="1"/>
  <c r="BJ36" i="54"/>
  <c r="Q43" i="47"/>
  <c r="Q44" i="47"/>
  <c r="Q45" i="47"/>
  <c r="Q46" i="47"/>
  <c r="Q39" i="47"/>
  <c r="Q40" i="47"/>
  <c r="Q41" i="47"/>
  <c r="Q42" i="47"/>
  <c r="Q35" i="47"/>
  <c r="Q36" i="47"/>
  <c r="Q37" i="47"/>
  <c r="Q38" i="47"/>
  <c r="AE35" i="47"/>
  <c r="AE36" i="47"/>
  <c r="AE37" i="47"/>
  <c r="AE38" i="47"/>
  <c r="AE39" i="47"/>
  <c r="AE40" i="47"/>
  <c r="AE41" i="47"/>
  <c r="AE42" i="47"/>
  <c r="AE43" i="47"/>
  <c r="AE44" i="47"/>
  <c r="AE45" i="47"/>
  <c r="AE46" i="47"/>
  <c r="AF32" i="32"/>
  <c r="AE32" i="32"/>
  <c r="Q32" i="32"/>
  <c r="P32" i="32"/>
  <c r="AF31" i="32"/>
  <c r="AE31" i="32"/>
  <c r="Q31" i="32"/>
  <c r="P31" i="32"/>
  <c r="AF30" i="32"/>
  <c r="AE30" i="32"/>
  <c r="Q30" i="32"/>
  <c r="P30" i="32"/>
  <c r="AF29" i="32"/>
  <c r="AE29" i="32"/>
  <c r="Q29" i="32"/>
  <c r="P29" i="32"/>
  <c r="AF28" i="32"/>
  <c r="AE28" i="32"/>
  <c r="Q28" i="32"/>
  <c r="P28" i="32"/>
  <c r="D52" i="17" a="1"/>
  <c r="E53" i="17" a="1"/>
  <c r="D49" i="17" a="1"/>
  <c r="E50" i="17" a="1"/>
  <c r="D50" i="17" a="1"/>
  <c r="D53" i="17" a="1"/>
  <c r="E52" i="17" a="1"/>
  <c r="E51" i="17" a="1"/>
  <c r="D51" i="17" a="1"/>
  <c r="E49" i="17" a="1"/>
  <c r="BI81" i="54" l="1"/>
  <c r="BJ81" i="54"/>
  <c r="BI101" i="54"/>
  <c r="BJ20" i="54"/>
  <c r="BJ71" i="54"/>
  <c r="BJ101" i="54"/>
  <c r="BJ42" i="54"/>
  <c r="BJ22" i="54" s="1"/>
  <c r="BJ25" i="54"/>
  <c r="BI31" i="54"/>
  <c r="BJ16" i="54"/>
  <c r="BJ7" i="54" s="1"/>
  <c r="BI24" i="54"/>
  <c r="BJ29" i="54"/>
  <c r="BJ10" i="54" s="1"/>
  <c r="BJ30" i="54"/>
  <c r="BI21" i="54"/>
  <c r="BI12" i="54" s="1"/>
  <c r="BJ31" i="54"/>
  <c r="BI30" i="54"/>
  <c r="BJ21" i="54"/>
  <c r="BI33" i="54"/>
  <c r="BJ91" i="54"/>
  <c r="BI18" i="54"/>
  <c r="BI19" i="54"/>
  <c r="BI10" i="54" s="1"/>
  <c r="BI23" i="54"/>
  <c r="BJ33" i="54"/>
  <c r="BJ14" i="54" s="1"/>
  <c r="BI61" i="54"/>
  <c r="D49" i="17"/>
  <c r="D52" i="17"/>
  <c r="E50" i="17"/>
  <c r="E53" i="17"/>
  <c r="D51" i="17"/>
  <c r="E52" i="17"/>
  <c r="D53" i="17"/>
  <c r="E51" i="17"/>
  <c r="E49" i="17"/>
  <c r="D50" i="17"/>
  <c r="BI40" i="54"/>
  <c r="BI20" i="54" s="1"/>
  <c r="BJ31" i="55"/>
  <c r="BE5" i="55"/>
  <c r="BJ73" i="55"/>
  <c r="BG6" i="55"/>
  <c r="BI49" i="55"/>
  <c r="BF4" i="55"/>
  <c r="BJ32" i="55"/>
  <c r="BI38" i="55"/>
  <c r="BJ86" i="55"/>
  <c r="BJ38" i="55"/>
  <c r="BI50" i="55"/>
  <c r="BJ68" i="55"/>
  <c r="BI82" i="55"/>
  <c r="BI92" i="55" s="1"/>
  <c r="BJ50" i="55"/>
  <c r="BJ74" i="55"/>
  <c r="BJ82" i="55"/>
  <c r="BI37" i="55"/>
  <c r="BC5" i="55"/>
  <c r="BJ49" i="55"/>
  <c r="BD5" i="55"/>
  <c r="BF5" i="55"/>
  <c r="AY4" i="55"/>
  <c r="BJ64" i="54"/>
  <c r="BI94" i="54"/>
  <c r="BI91" i="54" s="1"/>
  <c r="BI74" i="54"/>
  <c r="BI71" i="54" s="1"/>
  <c r="BI87" i="54"/>
  <c r="BI28" i="54" s="1"/>
  <c r="BI110" i="54"/>
  <c r="BI9" i="54" l="1"/>
  <c r="BI11" i="54"/>
  <c r="BI14" i="54"/>
  <c r="BJ12" i="54"/>
  <c r="BI32" i="54"/>
  <c r="BI25" i="54"/>
  <c r="BI35" i="54"/>
  <c r="BI15" i="54" s="1"/>
  <c r="BJ11" i="54"/>
  <c r="BI42" i="54"/>
  <c r="BI22" i="54" s="1"/>
  <c r="BJ61" i="54"/>
  <c r="BJ32" i="54" s="1"/>
  <c r="BJ13" i="54" s="1"/>
  <c r="BJ35" i="54"/>
  <c r="BJ15" i="54" s="1"/>
  <c r="CA15" i="54"/>
  <c r="BJ85" i="55"/>
  <c r="BE4" i="55"/>
  <c r="BD4" i="55"/>
  <c r="BE6" i="55"/>
  <c r="BC6" i="55"/>
  <c r="BI31" i="55"/>
  <c r="BJ20" i="55"/>
  <c r="BI20" i="55"/>
  <c r="BJ67" i="55"/>
  <c r="BF6" i="55"/>
  <c r="BJ37" i="55"/>
  <c r="BC4" i="55"/>
  <c r="BG5" i="55"/>
  <c r="BI433" i="22"/>
  <c r="BI432" i="22"/>
  <c r="BI431" i="22"/>
  <c r="BI430" i="22"/>
  <c r="BI429" i="22"/>
  <c r="BI428" i="22"/>
  <c r="BI427" i="22"/>
  <c r="BI426" i="22"/>
  <c r="BI425" i="22"/>
  <c r="BI424" i="22"/>
  <c r="BI423" i="22"/>
  <c r="BI422" i="22"/>
  <c r="BI421" i="22"/>
  <c r="BI420" i="22"/>
  <c r="BI419" i="22"/>
  <c r="BI418" i="22"/>
  <c r="BI417" i="22"/>
  <c r="BI416" i="22"/>
  <c r="BI415" i="22"/>
  <c r="BI414" i="22"/>
  <c r="BI413" i="22"/>
  <c r="BI412" i="22"/>
  <c r="BI411" i="22"/>
  <c r="BI410" i="22"/>
  <c r="BI409" i="22"/>
  <c r="BI408" i="22"/>
  <c r="BI407" i="22"/>
  <c r="BI406" i="22"/>
  <c r="BI405" i="22"/>
  <c r="BI404" i="22"/>
  <c r="BI403" i="22"/>
  <c r="BI402" i="22"/>
  <c r="BI401" i="22"/>
  <c r="BI400" i="22"/>
  <c r="BI399" i="22"/>
  <c r="BI398" i="22"/>
  <c r="BI397" i="22"/>
  <c r="BI396" i="22"/>
  <c r="BI395" i="22"/>
  <c r="BI394" i="22"/>
  <c r="BI393" i="22"/>
  <c r="BI392" i="22"/>
  <c r="BI391" i="22"/>
  <c r="BI390" i="22"/>
  <c r="BI389" i="22"/>
  <c r="BI388" i="22"/>
  <c r="BI387" i="22"/>
  <c r="BI386" i="22"/>
  <c r="BI384" i="22"/>
  <c r="BI383" i="22"/>
  <c r="BI382" i="22"/>
  <c r="BI381" i="22"/>
  <c r="BI380" i="22"/>
  <c r="BI379" i="22"/>
  <c r="BI378" i="22"/>
  <c r="BI377" i="22"/>
  <c r="BI376" i="22"/>
  <c r="BI375" i="22"/>
  <c r="BI374" i="22"/>
  <c r="BI373" i="22"/>
  <c r="BI372" i="22"/>
  <c r="BI371" i="22"/>
  <c r="BI370" i="22"/>
  <c r="BI369" i="22"/>
  <c r="BI368" i="22"/>
  <c r="BI367" i="22"/>
  <c r="BI366" i="22"/>
  <c r="BI365" i="22"/>
  <c r="BI364" i="22"/>
  <c r="BI363" i="22"/>
  <c r="BI362" i="22"/>
  <c r="BI361" i="22"/>
  <c r="BI360" i="22"/>
  <c r="BI359" i="22"/>
  <c r="BI358" i="22"/>
  <c r="BI357" i="22"/>
  <c r="BI356" i="22"/>
  <c r="BI355" i="22"/>
  <c r="BI354" i="22"/>
  <c r="BI353" i="22"/>
  <c r="BI352" i="22"/>
  <c r="BI351" i="22"/>
  <c r="BI350" i="22"/>
  <c r="BI349" i="22"/>
  <c r="BI348" i="22"/>
  <c r="BI347" i="22"/>
  <c r="BI346" i="22"/>
  <c r="BI345" i="22"/>
  <c r="BI344" i="22"/>
  <c r="BI343" i="22"/>
  <c r="BI342" i="22"/>
  <c r="BI341" i="22"/>
  <c r="BI340" i="22"/>
  <c r="BI339" i="22"/>
  <c r="BI338" i="22"/>
  <c r="BI337" i="22"/>
  <c r="BI334" i="22"/>
  <c r="BI329" i="22"/>
  <c r="BI314" i="22"/>
  <c r="BI307" i="22"/>
  <c r="BI303" i="22"/>
  <c r="BI302" i="22"/>
  <c r="BI301" i="22"/>
  <c r="BI300" i="22"/>
  <c r="BI299" i="22"/>
  <c r="BI298" i="22"/>
  <c r="BI297" i="22"/>
  <c r="BI295" i="22"/>
  <c r="BI291" i="22"/>
  <c r="BI290" i="22"/>
  <c r="BI289" i="22"/>
  <c r="BI287" i="22"/>
  <c r="BI286" i="22"/>
  <c r="BI285" i="22"/>
  <c r="BI284" i="22"/>
  <c r="BI283" i="22"/>
  <c r="BI282" i="22"/>
  <c r="BI281" i="22"/>
  <c r="BI280" i="22"/>
  <c r="BI277" i="22"/>
  <c r="BI276" i="22"/>
  <c r="BI275" i="22"/>
  <c r="BI274" i="22"/>
  <c r="BI273" i="22"/>
  <c r="BI271" i="22"/>
  <c r="BI270" i="22"/>
  <c r="BI269" i="22"/>
  <c r="BI268" i="22"/>
  <c r="BI267" i="22"/>
  <c r="BI266" i="22"/>
  <c r="BI265" i="22"/>
  <c r="BI263" i="22"/>
  <c r="BI260" i="22"/>
  <c r="BI259" i="22"/>
  <c r="BI258" i="22"/>
  <c r="BI257" i="22"/>
  <c r="BI255" i="22"/>
  <c r="BI254" i="22"/>
  <c r="BI253" i="22"/>
  <c r="BI252" i="22"/>
  <c r="BI251" i="22"/>
  <c r="BI250" i="22"/>
  <c r="BI249" i="22"/>
  <c r="BI245" i="22"/>
  <c r="BI244" i="22"/>
  <c r="BI243" i="22"/>
  <c r="BI242" i="22"/>
  <c r="BI241" i="22"/>
  <c r="BI239" i="22"/>
  <c r="BI238" i="22"/>
  <c r="BI237" i="22"/>
  <c r="BI236" i="22"/>
  <c r="BI235" i="22"/>
  <c r="BI234" i="22"/>
  <c r="BI233" i="22"/>
  <c r="BI231" i="22"/>
  <c r="BI227" i="22"/>
  <c r="BI226" i="22"/>
  <c r="BI225" i="22"/>
  <c r="BI223" i="22"/>
  <c r="BI222" i="22"/>
  <c r="BI221" i="22"/>
  <c r="BI220" i="22"/>
  <c r="BI219" i="22"/>
  <c r="BI218" i="22"/>
  <c r="BI217" i="22"/>
  <c r="BI211" i="22"/>
  <c r="BI210" i="22"/>
  <c r="BI209" i="22"/>
  <c r="BI208" i="22"/>
  <c r="BI203" i="22"/>
  <c r="BI200" i="22"/>
  <c r="BI199" i="22"/>
  <c r="BI196" i="22"/>
  <c r="BI195" i="22"/>
  <c r="BI186" i="22"/>
  <c r="BI185" i="22"/>
  <c r="BI182" i="22"/>
  <c r="BI181" i="22"/>
  <c r="BI179" i="22"/>
  <c r="BI178" i="22"/>
  <c r="BI169" i="22"/>
  <c r="BI168" i="22"/>
  <c r="BI166" i="22"/>
  <c r="BI165" i="22"/>
  <c r="BI164" i="22"/>
  <c r="BI161" i="22"/>
  <c r="BI153" i="22"/>
  <c r="BI152" i="22"/>
  <c r="BI151" i="22"/>
  <c r="BI150" i="22"/>
  <c r="BI149" i="22"/>
  <c r="BI148" i="22"/>
  <c r="BI145" i="22"/>
  <c r="BI137" i="22"/>
  <c r="BI136" i="22"/>
  <c r="BI135" i="22"/>
  <c r="BI134" i="22"/>
  <c r="BI133" i="22"/>
  <c r="BI132" i="22"/>
  <c r="BI131" i="22"/>
  <c r="BI130" i="22"/>
  <c r="BI129" i="22"/>
  <c r="BI128" i="22"/>
  <c r="BI123" i="22"/>
  <c r="BI122" i="22"/>
  <c r="BI121" i="22"/>
  <c r="BI120" i="22"/>
  <c r="BI118" i="22"/>
  <c r="BI117" i="22"/>
  <c r="BI116" i="22"/>
  <c r="BI115" i="22"/>
  <c r="BI114" i="22"/>
  <c r="BI113" i="22"/>
  <c r="BI112" i="22"/>
  <c r="BI111" i="22"/>
  <c r="BI110" i="22"/>
  <c r="BI109" i="22"/>
  <c r="BI108" i="22"/>
  <c r="BI107" i="22"/>
  <c r="BI106" i="22"/>
  <c r="BI105" i="22"/>
  <c r="BI104" i="22"/>
  <c r="BI103" i="22"/>
  <c r="BI102" i="22"/>
  <c r="BI101" i="22"/>
  <c r="BI100" i="22"/>
  <c r="BI99" i="22"/>
  <c r="BI98" i="22"/>
  <c r="BI97" i="22"/>
  <c r="BI96" i="22"/>
  <c r="BI95" i="22"/>
  <c r="BI94" i="22"/>
  <c r="BI93" i="22"/>
  <c r="BI92" i="22"/>
  <c r="BI91" i="22"/>
  <c r="BI90" i="22"/>
  <c r="BI89" i="22"/>
  <c r="BI88" i="22"/>
  <c r="BI85" i="22"/>
  <c r="BI84" i="22"/>
  <c r="BI83" i="22"/>
  <c r="BI82" i="22"/>
  <c r="BI81" i="22"/>
  <c r="BI60" i="22"/>
  <c r="BI59" i="22"/>
  <c r="BI58" i="22"/>
  <c r="BI57" i="22"/>
  <c r="BI56" i="22"/>
  <c r="BI55" i="22"/>
  <c r="BI54" i="22"/>
  <c r="BI53" i="22"/>
  <c r="BI52" i="22"/>
  <c r="BI51" i="22"/>
  <c r="BI50" i="22"/>
  <c r="BI48" i="22"/>
  <c r="BI47" i="22"/>
  <c r="BI46" i="22"/>
  <c r="BI45" i="22"/>
  <c r="BI44" i="22"/>
  <c r="BI43" i="22"/>
  <c r="BI42" i="22"/>
  <c r="BI41" i="22"/>
  <c r="BI40" i="22"/>
  <c r="BI39" i="22"/>
  <c r="BI38" i="22"/>
  <c r="BI37" i="22"/>
  <c r="BI36" i="22"/>
  <c r="BI35" i="22"/>
  <c r="BI34" i="22"/>
  <c r="BI33" i="22"/>
  <c r="BI32" i="22"/>
  <c r="BI31" i="22"/>
  <c r="BI30" i="22"/>
  <c r="BI26" i="22"/>
  <c r="BI25" i="22"/>
  <c r="BI24" i="22"/>
  <c r="BI22" i="22"/>
  <c r="BI21" i="22"/>
  <c r="BI20" i="22"/>
  <c r="BI19" i="22"/>
  <c r="BI18" i="22"/>
  <c r="BI17" i="22"/>
  <c r="BI16" i="22"/>
  <c r="BI15" i="22"/>
  <c r="BI14" i="22"/>
  <c r="BI13" i="22"/>
  <c r="BI12" i="22"/>
  <c r="BI10" i="22"/>
  <c r="BI9" i="22"/>
  <c r="BI8" i="22"/>
  <c r="BI7" i="22"/>
  <c r="BI6" i="22"/>
  <c r="BI5" i="22"/>
  <c r="BI13" i="54" l="1"/>
  <c r="BI4" i="54"/>
  <c r="Q55" i="26"/>
  <c r="R56" i="26"/>
  <c r="BI70" i="22"/>
  <c r="BI69" i="22"/>
  <c r="BI62" i="22"/>
  <c r="BI73" i="22"/>
  <c r="BI78" i="22"/>
  <c r="BI63" i="22"/>
  <c r="BI74" i="22"/>
  <c r="BI76" i="22"/>
  <c r="BI72" i="22"/>
  <c r="BI64" i="22"/>
  <c r="BI75" i="22"/>
  <c r="BI77" i="22"/>
  <c r="BI71" i="22"/>
  <c r="BI79" i="22"/>
  <c r="BI309" i="22"/>
  <c r="BI311" i="22"/>
  <c r="BI272" i="22"/>
  <c r="BI326" i="22"/>
  <c r="BI308" i="22"/>
  <c r="BI288" i="22"/>
  <c r="BI49" i="22"/>
  <c r="BI147" i="22"/>
  <c r="BI163" i="22"/>
  <c r="BI332" i="22"/>
  <c r="BI11" i="22"/>
  <c r="BI187" i="22"/>
  <c r="BI201" i="22"/>
  <c r="BI305" i="22"/>
  <c r="BI335" i="22"/>
  <c r="BI127" i="22"/>
  <c r="BI4" i="22"/>
  <c r="BI248" i="22"/>
  <c r="BI202" i="22"/>
  <c r="BI126" i="22"/>
  <c r="BI154" i="22"/>
  <c r="BI170" i="22"/>
  <c r="BI183" i="22"/>
  <c r="BI197" i="22"/>
  <c r="BI230" i="22"/>
  <c r="BI262" i="22"/>
  <c r="BI294" i="22"/>
  <c r="BI325" i="22"/>
  <c r="BI331" i="22"/>
  <c r="BI29" i="22"/>
  <c r="BI240" i="22"/>
  <c r="BI28" i="22"/>
  <c r="BI125" i="22"/>
  <c r="BI184" i="22"/>
  <c r="BI198" i="22"/>
  <c r="BI247" i="22"/>
  <c r="BI279" i="22"/>
  <c r="BI310" i="22"/>
  <c r="BI313" i="22"/>
  <c r="BI328" i="22"/>
  <c r="BI87" i="22"/>
  <c r="BI229" i="22"/>
  <c r="BI261" i="22"/>
  <c r="BI293" i="22"/>
  <c r="BI330" i="22"/>
  <c r="BI119" i="22"/>
  <c r="BI124" i="22"/>
  <c r="BI232" i="22"/>
  <c r="BI264" i="22"/>
  <c r="BI296" i="22"/>
  <c r="BI333" i="22"/>
  <c r="BI23" i="22"/>
  <c r="BI167" i="22"/>
  <c r="BI180" i="22"/>
  <c r="BI194" i="22"/>
  <c r="BI306" i="22"/>
  <c r="BI162" i="22"/>
  <c r="BI246" i="22"/>
  <c r="BI278" i="22"/>
  <c r="BI27" i="22"/>
  <c r="BI146" i="22"/>
  <c r="BI86" i="22"/>
  <c r="BI224" i="22"/>
  <c r="BI256" i="22"/>
  <c r="BI228" i="22"/>
  <c r="BI292" i="22"/>
  <c r="Q7" i="26" l="1"/>
  <c r="BI66" i="22"/>
  <c r="BI67" i="22"/>
  <c r="BI61" i="22"/>
  <c r="BI65" i="22"/>
  <c r="BI68" i="22"/>
  <c r="BJ4" i="54"/>
  <c r="BI327" i="22"/>
  <c r="BI324" i="22"/>
  <c r="BI304" i="22"/>
  <c r="BI312" i="22"/>
  <c r="AU331" i="24" l="1"/>
  <c r="CC65" i="24"/>
  <c r="CC73" i="24"/>
  <c r="AD29" i="43"/>
  <c r="AD22" i="43"/>
  <c r="AD23" i="43"/>
  <c r="AD25" i="43"/>
  <c r="AD26" i="43"/>
  <c r="AD28" i="43"/>
  <c r="BI57" i="25"/>
  <c r="BI50" i="25"/>
  <c r="BI23" i="25"/>
  <c r="BI329" i="24"/>
  <c r="AT329" i="24"/>
  <c r="AU329" i="24" s="1"/>
  <c r="AE329" i="24"/>
  <c r="AF329" i="24" s="1"/>
  <c r="BI328" i="24"/>
  <c r="AT328" i="24"/>
  <c r="AU328" i="24" s="1"/>
  <c r="AE328" i="24"/>
  <c r="AF328" i="24" s="1"/>
  <c r="BI327" i="24"/>
  <c r="AT327" i="24"/>
  <c r="AU327" i="24" s="1"/>
  <c r="AE327" i="24"/>
  <c r="AF327" i="24" s="1"/>
  <c r="BI326" i="24"/>
  <c r="AT326" i="24"/>
  <c r="AU326" i="24" s="1"/>
  <c r="AE326" i="24"/>
  <c r="AF326" i="24" s="1"/>
  <c r="BI325" i="24"/>
  <c r="AT325" i="24"/>
  <c r="AU325" i="24" s="1"/>
  <c r="AE325" i="24"/>
  <c r="AF325" i="24" s="1"/>
  <c r="BI324" i="24"/>
  <c r="AT324" i="24"/>
  <c r="AU324" i="24" s="1"/>
  <c r="AE324" i="24"/>
  <c r="AF324" i="24" s="1"/>
  <c r="BI323" i="24"/>
  <c r="AT323" i="24"/>
  <c r="AU323" i="24" s="1"/>
  <c r="AE323" i="24"/>
  <c r="AF323" i="24" s="1"/>
  <c r="BI322" i="24"/>
  <c r="AT322" i="24"/>
  <c r="AU322" i="24" s="1"/>
  <c r="AE322" i="24"/>
  <c r="AF322" i="24" s="1"/>
  <c r="BI321" i="24"/>
  <c r="AT321" i="24"/>
  <c r="AU321" i="24" s="1"/>
  <c r="AE321" i="24"/>
  <c r="AF321" i="24" s="1"/>
  <c r="BI320" i="24"/>
  <c r="AT320" i="24"/>
  <c r="AU320" i="24" s="1"/>
  <c r="AE320" i="24"/>
  <c r="AF320" i="24" s="1"/>
  <c r="BI319" i="24"/>
  <c r="AT319" i="24"/>
  <c r="AU319" i="24" s="1"/>
  <c r="AE319" i="24"/>
  <c r="AF319" i="24" s="1"/>
  <c r="BI318" i="24"/>
  <c r="AT318" i="24"/>
  <c r="AU318" i="24" s="1"/>
  <c r="AE318" i="24"/>
  <c r="AF318" i="24" s="1"/>
  <c r="BI317" i="24"/>
  <c r="AT317" i="24"/>
  <c r="AU317" i="24" s="1"/>
  <c r="AE317" i="24"/>
  <c r="AF317" i="24" s="1"/>
  <c r="BI316" i="24"/>
  <c r="AT316" i="24"/>
  <c r="AU316" i="24" s="1"/>
  <c r="AE316" i="24"/>
  <c r="AF316" i="24" s="1"/>
  <c r="BI315" i="24"/>
  <c r="AT315" i="24"/>
  <c r="AU315" i="24" s="1"/>
  <c r="AE315" i="24"/>
  <c r="AF315" i="24" s="1"/>
  <c r="BI314" i="24"/>
  <c r="AT314" i="24"/>
  <c r="AU314" i="24" s="1"/>
  <c r="AE314" i="24"/>
  <c r="AF314" i="24" s="1"/>
  <c r="BI313" i="24"/>
  <c r="AT313" i="24"/>
  <c r="AU313" i="24" s="1"/>
  <c r="AE313" i="24"/>
  <c r="AF313" i="24" s="1"/>
  <c r="BI312" i="24"/>
  <c r="AT312" i="24"/>
  <c r="AU312" i="24" s="1"/>
  <c r="AE312" i="24"/>
  <c r="AF312" i="24" s="1"/>
  <c r="BI311" i="24"/>
  <c r="AT311" i="24"/>
  <c r="AU311" i="24" s="1"/>
  <c r="AE311" i="24"/>
  <c r="AF311" i="24" s="1"/>
  <c r="BI310" i="24"/>
  <c r="AT310" i="24"/>
  <c r="AU310" i="24" s="1"/>
  <c r="AE310" i="24"/>
  <c r="AF310" i="24" s="1"/>
  <c r="BI309" i="24"/>
  <c r="AT309" i="24"/>
  <c r="AU309" i="24" s="1"/>
  <c r="AE309" i="24"/>
  <c r="AF309" i="24" s="1"/>
  <c r="BI308" i="24"/>
  <c r="AT308" i="24"/>
  <c r="AU308" i="24" s="1"/>
  <c r="AE308" i="24"/>
  <c r="AF308" i="24" s="1"/>
  <c r="BI307" i="24"/>
  <c r="AT307" i="24"/>
  <c r="AU307" i="24" s="1"/>
  <c r="AE307" i="24"/>
  <c r="AF307" i="24" s="1"/>
  <c r="BI306" i="24"/>
  <c r="AT306" i="24"/>
  <c r="AU306" i="24" s="1"/>
  <c r="AE306" i="24"/>
  <c r="AF306" i="24" s="1"/>
  <c r="BI305" i="24"/>
  <c r="AT305" i="24"/>
  <c r="AU305" i="24" s="1"/>
  <c r="AE305" i="24"/>
  <c r="AF305" i="24" s="1"/>
  <c r="BI304" i="24"/>
  <c r="AT304" i="24"/>
  <c r="AU304" i="24" s="1"/>
  <c r="AE304" i="24"/>
  <c r="AF304" i="24" s="1"/>
  <c r="BI303" i="24"/>
  <c r="AT303" i="24"/>
  <c r="AU303" i="24" s="1"/>
  <c r="AE303" i="24"/>
  <c r="AF303" i="24" s="1"/>
  <c r="BI302" i="24"/>
  <c r="AT302" i="24"/>
  <c r="AU302" i="24" s="1"/>
  <c r="AE302" i="24"/>
  <c r="AF302" i="24" s="1"/>
  <c r="BI301" i="24"/>
  <c r="AT301" i="24"/>
  <c r="AU301" i="24" s="1"/>
  <c r="AE301" i="24"/>
  <c r="AF301" i="24" s="1"/>
  <c r="BI300" i="24"/>
  <c r="AT300" i="24"/>
  <c r="AU300" i="24" s="1"/>
  <c r="AE300" i="24"/>
  <c r="AF300" i="24" s="1"/>
  <c r="BI299" i="24"/>
  <c r="AT299" i="24"/>
  <c r="AU299" i="24" s="1"/>
  <c r="AE299" i="24"/>
  <c r="AF299" i="24" s="1"/>
  <c r="BI298" i="24"/>
  <c r="AT298" i="24"/>
  <c r="AU298" i="24" s="1"/>
  <c r="AE298" i="24"/>
  <c r="AF298" i="24" s="1"/>
  <c r="BI297" i="24"/>
  <c r="AT297" i="24"/>
  <c r="AU297" i="24" s="1"/>
  <c r="AE297" i="24"/>
  <c r="AF297" i="24" s="1"/>
  <c r="BI296" i="24"/>
  <c r="AT296" i="24"/>
  <c r="AU296" i="24" s="1"/>
  <c r="AE296" i="24"/>
  <c r="AF296" i="24" s="1"/>
  <c r="BI295" i="24"/>
  <c r="AT295" i="24"/>
  <c r="AU295" i="24" s="1"/>
  <c r="AE295" i="24"/>
  <c r="AF295" i="24" s="1"/>
  <c r="BI294" i="24"/>
  <c r="AT294" i="24"/>
  <c r="AU294" i="24" s="1"/>
  <c r="AE294" i="24"/>
  <c r="AF294" i="24" s="1"/>
  <c r="BI292" i="24"/>
  <c r="AT292" i="24"/>
  <c r="AU292" i="24" s="1"/>
  <c r="AE292" i="24"/>
  <c r="AF292" i="24" s="1"/>
  <c r="BI291" i="24"/>
  <c r="AT291" i="24"/>
  <c r="AU291" i="24" s="1"/>
  <c r="AE291" i="24"/>
  <c r="AF291" i="24" s="1"/>
  <c r="BI290" i="24"/>
  <c r="AT290" i="24"/>
  <c r="AU290" i="24" s="1"/>
  <c r="AE290" i="24"/>
  <c r="AF290" i="24" s="1"/>
  <c r="BI289" i="24"/>
  <c r="AT289" i="24"/>
  <c r="AU289" i="24" s="1"/>
  <c r="AD289" i="24"/>
  <c r="AC289" i="24"/>
  <c r="AB289" i="24"/>
  <c r="AA289" i="24"/>
  <c r="Z289" i="24"/>
  <c r="Y289" i="24"/>
  <c r="X289" i="24"/>
  <c r="W289" i="24"/>
  <c r="V289" i="24"/>
  <c r="U289" i="24"/>
  <c r="T289" i="24"/>
  <c r="BI50" i="24"/>
  <c r="AT50" i="24"/>
  <c r="AU50" i="24" s="1"/>
  <c r="AE50" i="24"/>
  <c r="AF50" i="24" s="1"/>
  <c r="P50" i="24"/>
  <c r="Q50" i="24" s="1"/>
  <c r="BI49" i="24"/>
  <c r="AT49" i="24"/>
  <c r="AU49" i="24" s="1"/>
  <c r="AE49" i="24"/>
  <c r="AF49" i="24" s="1"/>
  <c r="P49" i="24"/>
  <c r="Q49" i="24" s="1"/>
  <c r="BI48" i="24"/>
  <c r="AT48" i="24"/>
  <c r="AU48" i="24" s="1"/>
  <c r="AE48" i="24"/>
  <c r="AF48" i="24" s="1"/>
  <c r="P48" i="24"/>
  <c r="Q48" i="24" s="1"/>
  <c r="BI47" i="24"/>
  <c r="AT47" i="24"/>
  <c r="AU47" i="24" s="1"/>
  <c r="AE47" i="24"/>
  <c r="AF47" i="24" s="1"/>
  <c r="P47" i="24"/>
  <c r="Q47" i="24" s="1"/>
  <c r="BI46" i="24"/>
  <c r="AT46" i="24"/>
  <c r="AU46" i="24" s="1"/>
  <c r="AE46" i="24"/>
  <c r="AF46" i="24" s="1"/>
  <c r="P46" i="24"/>
  <c r="Q46" i="24" s="1"/>
  <c r="BI45" i="24"/>
  <c r="AT45" i="24"/>
  <c r="AU45" i="24" s="1"/>
  <c r="AE45" i="24"/>
  <c r="AF45" i="24" s="1"/>
  <c r="P45" i="24"/>
  <c r="Q45" i="24" s="1"/>
  <c r="BI44" i="24"/>
  <c r="AT44" i="24"/>
  <c r="AU44" i="24" s="1"/>
  <c r="AE44" i="24"/>
  <c r="AF44" i="24" s="1"/>
  <c r="P44" i="24"/>
  <c r="Q44" i="24" s="1"/>
  <c r="BI43" i="24"/>
  <c r="BI42" i="24"/>
  <c r="AT42" i="24"/>
  <c r="AU42" i="24" s="1"/>
  <c r="BI41" i="24"/>
  <c r="BI40" i="24"/>
  <c r="AT40" i="24"/>
  <c r="AU40" i="24" s="1"/>
  <c r="BI39" i="24"/>
  <c r="P39" i="24"/>
  <c r="Q39" i="24" s="1"/>
  <c r="BI38" i="24"/>
  <c r="P38" i="24"/>
  <c r="Q38" i="24" s="1"/>
  <c r="BI37" i="24"/>
  <c r="P37" i="24"/>
  <c r="Q37" i="24" s="1"/>
  <c r="BI36" i="24"/>
  <c r="AT36" i="24"/>
  <c r="AU36" i="24" s="1"/>
  <c r="BI35" i="24"/>
  <c r="BI34" i="24"/>
  <c r="AE34" i="24"/>
  <c r="AF34" i="24" s="1"/>
  <c r="BI33" i="24"/>
  <c r="AT33" i="24"/>
  <c r="AU33" i="24" s="1"/>
  <c r="AE33" i="24"/>
  <c r="AF33" i="24" s="1"/>
  <c r="P33" i="24"/>
  <c r="Q33" i="24" s="1"/>
  <c r="BI32" i="24"/>
  <c r="AT32" i="24"/>
  <c r="AU32" i="24" s="1"/>
  <c r="AE32" i="24"/>
  <c r="AF32" i="24" s="1"/>
  <c r="P32" i="24"/>
  <c r="Q32" i="24" s="1"/>
  <c r="BI31" i="24"/>
  <c r="AT31" i="24"/>
  <c r="AU31" i="24" s="1"/>
  <c r="AE31" i="24"/>
  <c r="AF31" i="24" s="1"/>
  <c r="P31" i="24"/>
  <c r="Q31" i="24" s="1"/>
  <c r="BI30" i="24"/>
  <c r="AT30" i="24"/>
  <c r="AU30" i="24" s="1"/>
  <c r="AE30" i="24"/>
  <c r="AF30" i="24" s="1"/>
  <c r="P30" i="24"/>
  <c r="Q30" i="24" s="1"/>
  <c r="BI29" i="24"/>
  <c r="AT29" i="24"/>
  <c r="AU29" i="24" s="1"/>
  <c r="AE29" i="24"/>
  <c r="AF29" i="24" s="1"/>
  <c r="P29" i="24"/>
  <c r="Q29" i="24" s="1"/>
  <c r="BI28" i="24"/>
  <c r="AT28" i="24"/>
  <c r="AU28" i="24" s="1"/>
  <c r="AE28" i="24"/>
  <c r="AF28" i="24" s="1"/>
  <c r="P28" i="24"/>
  <c r="Q28" i="24" s="1"/>
  <c r="BI27" i="24"/>
  <c r="AT27" i="24"/>
  <c r="AU27" i="24" s="1"/>
  <c r="AE27" i="24"/>
  <c r="AF27" i="24" s="1"/>
  <c r="P27" i="24"/>
  <c r="Q27" i="24" s="1"/>
  <c r="BI26" i="24"/>
  <c r="AT26" i="24"/>
  <c r="AU26" i="24" s="1"/>
  <c r="AE26" i="24"/>
  <c r="AF26" i="24" s="1"/>
  <c r="P26" i="24"/>
  <c r="Q26" i="24" s="1"/>
  <c r="BI25" i="24"/>
  <c r="AT25" i="24"/>
  <c r="AU25" i="24" s="1"/>
  <c r="AE25" i="24"/>
  <c r="AF25" i="24" s="1"/>
  <c r="P25" i="24"/>
  <c r="Q25" i="24" s="1"/>
  <c r="BI24" i="24"/>
  <c r="AT24" i="24"/>
  <c r="AU24" i="24" s="1"/>
  <c r="AE24" i="24"/>
  <c r="AF24" i="24" s="1"/>
  <c r="P24" i="24"/>
  <c r="Q24" i="24" s="1"/>
  <c r="BI23" i="24"/>
  <c r="BI22" i="24"/>
  <c r="BI21" i="24"/>
  <c r="BI20" i="24"/>
  <c r="AT20" i="24"/>
  <c r="AU20" i="24" s="1"/>
  <c r="BI19" i="24"/>
  <c r="AT19" i="24"/>
  <c r="AU19" i="24" s="1"/>
  <c r="P19" i="24"/>
  <c r="Q19" i="24" s="1"/>
  <c r="BI90" i="24"/>
  <c r="BI89" i="24"/>
  <c r="BI87" i="24"/>
  <c r="BI86" i="24"/>
  <c r="BI85" i="24"/>
  <c r="CD85" i="24" s="1"/>
  <c r="BI84" i="24"/>
  <c r="CD84" i="24" s="1"/>
  <c r="BI83" i="24"/>
  <c r="CD83" i="24" s="1"/>
  <c r="BI64" i="24"/>
  <c r="BI63" i="24"/>
  <c r="BI62" i="24"/>
  <c r="BI61" i="24"/>
  <c r="BI59" i="24"/>
  <c r="BI58" i="24"/>
  <c r="BI56" i="24"/>
  <c r="BI55" i="24"/>
  <c r="BI53" i="24"/>
  <c r="BI52" i="24"/>
  <c r="BI18" i="24"/>
  <c r="BI17" i="24"/>
  <c r="BI16" i="24"/>
  <c r="BI15" i="24"/>
  <c r="BI13" i="24"/>
  <c r="BI12" i="24"/>
  <c r="BI11" i="24"/>
  <c r="BI10" i="24"/>
  <c r="BI60" i="25"/>
  <c r="CD60" i="25" s="1"/>
  <c r="BI58" i="25"/>
  <c r="CD58" i="25" s="1"/>
  <c r="BJ57" i="25"/>
  <c r="BI53" i="25"/>
  <c r="CD53" i="25" s="1"/>
  <c r="BI51" i="25"/>
  <c r="CD51" i="25" s="1"/>
  <c r="BJ50" i="25"/>
  <c r="BJ43" i="25"/>
  <c r="BI36" i="25"/>
  <c r="BI35" i="25"/>
  <c r="BI31" i="25"/>
  <c r="BI30" i="25"/>
  <c r="BI28" i="25"/>
  <c r="BI27" i="25"/>
  <c r="BI26" i="25"/>
  <c r="BI25" i="25"/>
  <c r="BI24" i="25"/>
  <c r="BI22" i="25"/>
  <c r="BI21" i="25"/>
  <c r="BI20" i="25"/>
  <c r="BI18" i="25"/>
  <c r="BI17" i="25"/>
  <c r="BI16" i="25"/>
  <c r="BI15" i="25"/>
  <c r="BI14" i="25"/>
  <c r="BI11" i="25"/>
  <c r="V11" i="44" a="1"/>
  <c r="R32" i="16" a="1"/>
  <c r="R41" i="16" a="1"/>
  <c r="R49" i="16" a="1"/>
  <c r="E12" i="44" a="1"/>
  <c r="R35" i="16" a="1"/>
  <c r="R33" i="16" a="1"/>
  <c r="E10" i="44" a="1"/>
  <c r="S44" i="15" a="1"/>
  <c r="E25" i="44" a="1"/>
  <c r="V10" i="44" a="1"/>
  <c r="E30" i="44" a="1"/>
  <c r="E27" i="44" a="1"/>
  <c r="E28" i="44" a="1"/>
  <c r="U34" i="16" a="1"/>
  <c r="S51" i="15" a="1"/>
  <c r="R30" i="16" a="1"/>
  <c r="S68" i="15" a="1"/>
  <c r="V16" i="44" a="1"/>
  <c r="R34" i="16" a="1"/>
  <c r="R31" i="16" a="1"/>
  <c r="V12" i="44" a="1"/>
  <c r="E11" i="44" a="1"/>
  <c r="X49" i="16" a="1"/>
  <c r="E24" i="44" a="1"/>
  <c r="CD89" i="24" l="1"/>
  <c r="CD90" i="24"/>
  <c r="CD86" i="24"/>
  <c r="CD87" i="24"/>
  <c r="E12" i="44"/>
  <c r="E11" i="44"/>
  <c r="E10" i="44"/>
  <c r="BQ20" i="43"/>
  <c r="BQ29" i="43"/>
  <c r="BQ28" i="43"/>
  <c r="BQ27" i="43"/>
  <c r="BQ26" i="43"/>
  <c r="BQ25" i="43"/>
  <c r="BQ23" i="43"/>
  <c r="BQ22" i="43"/>
  <c r="BQ21" i="43"/>
  <c r="BJ60" i="25"/>
  <c r="BJ53" i="25"/>
  <c r="R34" i="16"/>
  <c r="U34" i="16"/>
  <c r="X49" i="16"/>
  <c r="R49" i="16"/>
  <c r="V12" i="44"/>
  <c r="V11" i="44"/>
  <c r="V10" i="44"/>
  <c r="V16" i="44"/>
  <c r="R41" i="16"/>
  <c r="R35" i="16"/>
  <c r="S51" i="15"/>
  <c r="S68" i="15"/>
  <c r="R33" i="16"/>
  <c r="R32" i="16"/>
  <c r="R31" i="16"/>
  <c r="R30" i="16"/>
  <c r="S44" i="15"/>
  <c r="BJ58" i="25"/>
  <c r="BJ51" i="25"/>
  <c r="E24" i="44"/>
  <c r="E30" i="44"/>
  <c r="E25" i="44"/>
  <c r="E28" i="44"/>
  <c r="E27" i="44"/>
  <c r="AE289" i="24"/>
  <c r="AF289" i="24" s="1"/>
  <c r="AE20" i="24"/>
  <c r="AF20" i="24" s="1"/>
  <c r="P35" i="24"/>
  <c r="Q35" i="24" s="1"/>
  <c r="AE37" i="24"/>
  <c r="AF37" i="24" s="1"/>
  <c r="P20" i="24"/>
  <c r="Q20" i="24" s="1"/>
  <c r="P21" i="24"/>
  <c r="Q21" i="24" s="1"/>
  <c r="AT23" i="24"/>
  <c r="AU23" i="24" s="1"/>
  <c r="AE43" i="24"/>
  <c r="AF43" i="24" s="1"/>
  <c r="P22" i="24"/>
  <c r="Q22" i="24" s="1"/>
  <c r="AT43" i="24"/>
  <c r="AU43" i="24" s="1"/>
  <c r="AE22" i="24"/>
  <c r="AF22" i="24" s="1"/>
  <c r="P36" i="24"/>
  <c r="Q36" i="24" s="1"/>
  <c r="AT39" i="24"/>
  <c r="AU39" i="24" s="1"/>
  <c r="AE39" i="24"/>
  <c r="AF39" i="24" s="1"/>
  <c r="AE23" i="24"/>
  <c r="AF23" i="24" s="1"/>
  <c r="AT34" i="24"/>
  <c r="AU34" i="24" s="1"/>
  <c r="P43" i="24"/>
  <c r="Q43" i="24" s="1"/>
  <c r="AE38" i="24"/>
  <c r="AF38" i="24" s="1"/>
  <c r="P23" i="24"/>
  <c r="Q23" i="24" s="1"/>
  <c r="AE40" i="24"/>
  <c r="AF40" i="24" s="1"/>
  <c r="AT41" i="24"/>
  <c r="AU41" i="24" s="1"/>
  <c r="AE19" i="24"/>
  <c r="AF19" i="24" s="1"/>
  <c r="AT35" i="24"/>
  <c r="AU35" i="24" s="1"/>
  <c r="AT37" i="24"/>
  <c r="AU37" i="24" s="1"/>
  <c r="AE41" i="24"/>
  <c r="AF41" i="24" s="1"/>
  <c r="AT21" i="24"/>
  <c r="AU21" i="24" s="1"/>
  <c r="P34" i="24"/>
  <c r="Q34" i="24" s="1"/>
  <c r="AE42" i="24"/>
  <c r="AF42" i="24" s="1"/>
  <c r="AT22" i="24"/>
  <c r="AU22" i="24" s="1"/>
  <c r="P40" i="24"/>
  <c r="Q40" i="24" s="1"/>
  <c r="AE35" i="24"/>
  <c r="AF35" i="24" s="1"/>
  <c r="AE36" i="24"/>
  <c r="AF36" i="24" s="1"/>
  <c r="AT38" i="24"/>
  <c r="AU38" i="24" s="1"/>
  <c r="P41" i="24"/>
  <c r="Q41" i="24" s="1"/>
  <c r="AE21" i="24"/>
  <c r="P42" i="24"/>
  <c r="Q42" i="24" s="1"/>
  <c r="BI82" i="24"/>
  <c r="CD82" i="24" s="1"/>
  <c r="BI57" i="24"/>
  <c r="BI88" i="24"/>
  <c r="BI54" i="24"/>
  <c r="BI63" i="25"/>
  <c r="BI46" i="25"/>
  <c r="BI56" i="25"/>
  <c r="BI38" i="25"/>
  <c r="BI7" i="25"/>
  <c r="BJ4" i="25"/>
  <c r="BI32" i="25"/>
  <c r="BI8" i="25"/>
  <c r="BI9" i="25"/>
  <c r="BI6" i="25"/>
  <c r="BI59" i="25"/>
  <c r="BI29" i="25"/>
  <c r="BI52" i="25"/>
  <c r="BI37" i="25"/>
  <c r="AT67" i="24"/>
  <c r="AT69" i="24"/>
  <c r="AT70" i="24"/>
  <c r="AT71" i="24"/>
  <c r="AT66" i="24"/>
  <c r="AU66" i="24" s="1"/>
  <c r="O89" i="15"/>
  <c r="O90" i="15"/>
  <c r="O91" i="15"/>
  <c r="O92" i="15"/>
  <c r="O93" i="15"/>
  <c r="O94" i="15"/>
  <c r="BN92" i="45"/>
  <c r="AC19" i="43"/>
  <c r="AE19" i="43" s="1"/>
  <c r="P89" i="15" a="1"/>
  <c r="W51" i="15" a="1"/>
  <c r="W60" i="15" a="1"/>
  <c r="W61" i="15" a="1"/>
  <c r="W55" i="15" a="1"/>
  <c r="W56" i="15" a="1"/>
  <c r="W87" i="15" a="1"/>
  <c r="W78" i="15" a="1"/>
  <c r="W63" i="15" a="1"/>
  <c r="W77" i="15" a="1"/>
  <c r="W81" i="15" a="1"/>
  <c r="W44" i="15" a="1"/>
  <c r="W86" i="15" a="1"/>
  <c r="W59" i="15" a="1"/>
  <c r="W83" i="15" a="1"/>
  <c r="W64" i="15" a="1"/>
  <c r="W80" i="15" a="1"/>
  <c r="W69" i="15" a="1"/>
  <c r="W79" i="15" a="1"/>
  <c r="W65" i="15" a="1"/>
  <c r="W52" i="15" a="1"/>
  <c r="W84" i="15" a="1"/>
  <c r="W85" i="15" a="1"/>
  <c r="Y21" i="44" a="1"/>
  <c r="W67" i="15" a="1"/>
  <c r="W73" i="15" a="1"/>
  <c r="W70" i="15" a="1"/>
  <c r="W45" i="15" a="1"/>
  <c r="W50" i="15" a="1"/>
  <c r="Y24" i="44" a="1"/>
  <c r="W72" i="15" a="1"/>
  <c r="P34" i="16" a="1"/>
  <c r="W53" i="15" a="1"/>
  <c r="W82" i="15" a="1"/>
  <c r="W71" i="15" a="1"/>
  <c r="W76" i="15" a="1"/>
  <c r="W68" i="15" a="1"/>
  <c r="W66" i="15" a="1"/>
  <c r="W62" i="15" a="1"/>
  <c r="CD88" i="24" l="1"/>
  <c r="W80" i="15"/>
  <c r="W67" i="15"/>
  <c r="W61" i="15"/>
  <c r="W60" i="15"/>
  <c r="W63" i="15"/>
  <c r="W45" i="15"/>
  <c r="W86" i="15"/>
  <c r="W76" i="15"/>
  <c r="W73" i="15"/>
  <c r="W72" i="15"/>
  <c r="W82" i="15"/>
  <c r="W69" i="15"/>
  <c r="W68" i="15"/>
  <c r="W56" i="15"/>
  <c r="W62" i="15"/>
  <c r="W77" i="15"/>
  <c r="W70" i="15"/>
  <c r="W85" i="15"/>
  <c r="W65" i="15"/>
  <c r="W64" i="15"/>
  <c r="W59" i="15"/>
  <c r="W66" i="15"/>
  <c r="W84" i="15"/>
  <c r="W87" i="15"/>
  <c r="W79" i="15"/>
  <c r="W50" i="15"/>
  <c r="W81" i="15"/>
  <c r="W83" i="15"/>
  <c r="W71" i="15"/>
  <c r="W78" i="15"/>
  <c r="W44" i="15"/>
  <c r="W51" i="15"/>
  <c r="W53" i="15"/>
  <c r="W55" i="15"/>
  <c r="W52" i="15"/>
  <c r="Y24" i="44"/>
  <c r="Y21" i="44"/>
  <c r="AF21" i="24"/>
  <c r="P34" i="16"/>
  <c r="BJ59" i="25"/>
  <c r="BJ63" i="25"/>
  <c r="BJ52" i="25"/>
  <c r="BJ56" i="25"/>
  <c r="BJ44" i="25"/>
  <c r="BJ46" i="25"/>
  <c r="BJ45" i="25"/>
  <c r="AD19" i="43"/>
  <c r="BI49" i="25"/>
  <c r="BI62" i="25"/>
  <c r="BI12" i="25"/>
  <c r="BI10" i="25"/>
  <c r="BI19" i="25"/>
  <c r="P89" i="15"/>
  <c r="Z12" i="44" a="1"/>
  <c r="AA20" i="44" a="1"/>
  <c r="AA21" i="44" a="1"/>
  <c r="AA23" i="44" a="1"/>
  <c r="AA25" i="44" a="1"/>
  <c r="AA30" i="44" a="1"/>
  <c r="AA28" i="44" a="1"/>
  <c r="Z10" i="44" a="1"/>
  <c r="AA32" i="44" a="1"/>
  <c r="AA27" i="44" a="1"/>
  <c r="AA29" i="44" a="1"/>
  <c r="AA24" i="44" a="1"/>
  <c r="AA31" i="44" a="1"/>
  <c r="AA10" i="44" a="1"/>
  <c r="AA22" i="44" a="1"/>
  <c r="Z16" i="44" a="1"/>
  <c r="Z11" i="44" a="1"/>
  <c r="W58" i="15" l="1"/>
  <c r="AA31" i="44"/>
  <c r="AA24" i="44"/>
  <c r="AA23" i="44"/>
  <c r="AA32" i="44"/>
  <c r="AA20" i="44"/>
  <c r="AA22" i="44"/>
  <c r="AA30" i="44"/>
  <c r="AA25" i="44"/>
  <c r="AA29" i="44"/>
  <c r="AA28" i="44"/>
  <c r="AA27" i="44"/>
  <c r="AA21" i="44"/>
  <c r="Z10" i="44"/>
  <c r="Z16" i="44"/>
  <c r="Z11" i="44"/>
  <c r="AA10" i="44"/>
  <c r="Z12" i="44"/>
  <c r="BJ62" i="25"/>
  <c r="BJ49" i="25"/>
  <c r="BI140" i="22"/>
  <c r="BI156" i="22"/>
  <c r="BI55" i="25"/>
  <c r="BI48" i="25"/>
  <c r="T25" i="19"/>
  <c r="AA12" i="44" a="1"/>
  <c r="N24" i="19" a="1"/>
  <c r="AA11" i="44" a="1"/>
  <c r="L24" i="19" a="1"/>
  <c r="K24" i="19" a="1"/>
  <c r="M24" i="19" a="1"/>
  <c r="AA16" i="44" a="1"/>
  <c r="L24" i="19" l="1"/>
  <c r="N24" i="19"/>
  <c r="M24" i="19"/>
  <c r="K24" i="19"/>
  <c r="AA16" i="44"/>
  <c r="AA11" i="44"/>
  <c r="AA12" i="44"/>
  <c r="BJ55" i="25"/>
  <c r="BJ48" i="25"/>
  <c r="BO209" i="45"/>
  <c r="BO204" i="45"/>
  <c r="BO10" i="45"/>
  <c r="BO158" i="45"/>
  <c r="BO163" i="45"/>
  <c r="BO169" i="45" l="1"/>
  <c r="BO216" i="45"/>
  <c r="BO127" i="45"/>
  <c r="X48" i="13" l="1"/>
  <c r="X49" i="13"/>
  <c r="X50" i="13"/>
  <c r="X51" i="13"/>
  <c r="X52" i="13"/>
  <c r="X53" i="13"/>
  <c r="X54" i="13"/>
  <c r="BO61" i="45"/>
  <c r="BO79" i="45"/>
  <c r="BO80" i="45"/>
  <c r="BO81" i="45"/>
  <c r="BO16" i="45"/>
  <c r="BO17" i="45"/>
  <c r="BO18" i="45"/>
  <c r="BO34" i="45"/>
  <c r="BO35" i="45"/>
  <c r="Q48" i="13" a="1"/>
  <c r="Q53" i="13" a="1"/>
  <c r="P50" i="13" a="1"/>
  <c r="O52" i="13" a="1"/>
  <c r="J50" i="13" a="1"/>
  <c r="F48" i="13" a="1"/>
  <c r="M54" i="13" a="1"/>
  <c r="K53" i="13" a="1"/>
  <c r="K54" i="13" a="1"/>
  <c r="N53" i="13" a="1"/>
  <c r="H49" i="13" a="1"/>
  <c r="J49" i="13" a="1"/>
  <c r="Q49" i="13" a="1"/>
  <c r="J52" i="13" a="1"/>
  <c r="F51" i="13" a="1"/>
  <c r="H48" i="13" a="1"/>
  <c r="H52" i="13" a="1"/>
  <c r="I54" i="13" a="1"/>
  <c r="P52" i="13" a="1"/>
  <c r="M51" i="13" a="1"/>
  <c r="M50" i="13" a="1"/>
  <c r="O53" i="13" a="1"/>
  <c r="N54" i="13" a="1"/>
  <c r="O54" i="13" a="1"/>
  <c r="Q54" i="13" a="1"/>
  <c r="G49" i="13" a="1"/>
  <c r="F50" i="13" a="1"/>
  <c r="J48" i="13" a="1"/>
  <c r="H54" i="13" a="1"/>
  <c r="N52" i="13" a="1"/>
  <c r="G54" i="13" a="1"/>
  <c r="H53" i="13" a="1"/>
  <c r="M52" i="13" a="1"/>
  <c r="Q51" i="13" a="1"/>
  <c r="K49" i="13" a="1"/>
  <c r="K50" i="13" a="1"/>
  <c r="F54" i="13" a="1"/>
  <c r="P51" i="13" a="1"/>
  <c r="N51" i="13" a="1"/>
  <c r="K51" i="13" a="1"/>
  <c r="N50" i="13" a="1"/>
  <c r="G50" i="13" a="1"/>
  <c r="F52" i="13" a="1"/>
  <c r="F53" i="13" a="1"/>
  <c r="O50" i="13" a="1"/>
  <c r="F49" i="13" a="1"/>
  <c r="I52" i="13" a="1"/>
  <c r="G51" i="13" a="1"/>
  <c r="N48" i="13" a="1"/>
  <c r="M49" i="13" a="1"/>
  <c r="K52" i="13" a="1"/>
  <c r="G48" i="13" a="1"/>
  <c r="I53" i="13" a="1"/>
  <c r="J51" i="13" a="1"/>
  <c r="O48" i="13" a="1"/>
  <c r="P49" i="13" a="1"/>
  <c r="K48" i="13" a="1"/>
  <c r="P48" i="13" a="1"/>
  <c r="H51" i="13" a="1"/>
  <c r="G52" i="13" a="1"/>
  <c r="O49" i="13" a="1"/>
  <c r="N49" i="13" a="1"/>
  <c r="P53" i="13" a="1"/>
  <c r="M48" i="13" a="1"/>
  <c r="Q50" i="13" a="1"/>
  <c r="G53" i="13" a="1"/>
  <c r="J54" i="13" a="1"/>
  <c r="O51" i="13" a="1"/>
  <c r="I51" i="13" a="1"/>
  <c r="I49" i="13" a="1"/>
  <c r="Q52" i="13" a="1"/>
  <c r="I50" i="13" a="1"/>
  <c r="J53" i="13" a="1"/>
  <c r="I48" i="13" a="1"/>
  <c r="M53" i="13" a="1"/>
  <c r="P54" i="13" a="1"/>
  <c r="H50" i="13" a="1"/>
  <c r="Q54" i="13" l="1"/>
  <c r="Q50" i="13"/>
  <c r="Q51" i="13"/>
  <c r="Q49" i="13"/>
  <c r="Q53" i="13"/>
  <c r="Q52" i="13"/>
  <c r="Q48" i="13"/>
  <c r="P51" i="13"/>
  <c r="P50" i="13"/>
  <c r="P49" i="13"/>
  <c r="P54" i="13"/>
  <c r="P53" i="13"/>
  <c r="P52" i="13"/>
  <c r="P48" i="13"/>
  <c r="O52" i="13"/>
  <c r="O51" i="13"/>
  <c r="O50" i="13"/>
  <c r="O49" i="13"/>
  <c r="O54" i="13"/>
  <c r="O53" i="13"/>
  <c r="O48" i="13"/>
  <c r="N54" i="13"/>
  <c r="N51" i="13"/>
  <c r="N50" i="13"/>
  <c r="N49" i="13"/>
  <c r="N53" i="13"/>
  <c r="N52" i="13"/>
  <c r="N48" i="13"/>
  <c r="M54" i="13"/>
  <c r="M52" i="13"/>
  <c r="M51" i="13"/>
  <c r="M50" i="13"/>
  <c r="M53" i="13"/>
  <c r="M49" i="13"/>
  <c r="M48" i="13"/>
  <c r="J53" i="13"/>
  <c r="F53" i="13"/>
  <c r="H53" i="13"/>
  <c r="K53" i="13"/>
  <c r="I53" i="13"/>
  <c r="G53" i="13"/>
  <c r="J52" i="13"/>
  <c r="G52" i="13"/>
  <c r="K52" i="13"/>
  <c r="I52" i="13"/>
  <c r="F52" i="13"/>
  <c r="H52" i="13"/>
  <c r="I51" i="13"/>
  <c r="H51" i="13"/>
  <c r="K51" i="13"/>
  <c r="J51" i="13"/>
  <c r="G51" i="13"/>
  <c r="F51" i="13"/>
  <c r="J50" i="13"/>
  <c r="G50" i="13"/>
  <c r="F50" i="13"/>
  <c r="I50" i="13"/>
  <c r="H50" i="13"/>
  <c r="K50" i="13"/>
  <c r="H49" i="13"/>
  <c r="G49" i="13"/>
  <c r="I49" i="13"/>
  <c r="K49" i="13"/>
  <c r="J49" i="13"/>
  <c r="F49" i="13"/>
  <c r="H54" i="13"/>
  <c r="G54" i="13"/>
  <c r="J54" i="13"/>
  <c r="K54" i="13"/>
  <c r="F54" i="13"/>
  <c r="I54" i="13"/>
  <c r="H48" i="13"/>
  <c r="K48" i="13"/>
  <c r="J48" i="13"/>
  <c r="G48" i="13"/>
  <c r="I48" i="13"/>
  <c r="F48" i="13"/>
  <c r="BO54" i="45"/>
  <c r="BO20" i="45"/>
  <c r="BO36" i="45"/>
  <c r="BO88" i="45"/>
  <c r="AE15" i="33" l="1"/>
  <c r="AF15" i="33"/>
  <c r="AF38" i="56" l="1"/>
  <c r="AE38" i="56"/>
  <c r="Q38" i="56"/>
  <c r="P38" i="56"/>
  <c r="AF37" i="56"/>
  <c r="AE37" i="56"/>
  <c r="Q37" i="56"/>
  <c r="P37" i="56"/>
  <c r="AF35" i="56"/>
  <c r="AE35" i="56"/>
  <c r="Q35" i="56"/>
  <c r="P35" i="56"/>
  <c r="AF34" i="56"/>
  <c r="AE34" i="56"/>
  <c r="Q34" i="56"/>
  <c r="P34" i="56"/>
  <c r="AF33" i="56"/>
  <c r="AE33" i="56"/>
  <c r="Q33" i="56"/>
  <c r="P33" i="56"/>
  <c r="AF31" i="56"/>
  <c r="AE31" i="56"/>
  <c r="Q31" i="56"/>
  <c r="P31" i="56"/>
  <c r="AF30" i="56"/>
  <c r="AE30" i="56"/>
  <c r="Q30" i="56"/>
  <c r="P30" i="56"/>
  <c r="AF29" i="56"/>
  <c r="AE29" i="56"/>
  <c r="Q29" i="56"/>
  <c r="P29" i="56"/>
  <c r="AD28" i="56"/>
  <c r="AC28" i="56"/>
  <c r="AB28" i="56"/>
  <c r="AA28" i="56"/>
  <c r="Z28" i="56"/>
  <c r="Y28" i="56"/>
  <c r="X28" i="56"/>
  <c r="W28" i="56"/>
  <c r="V28" i="56"/>
  <c r="U28" i="56"/>
  <c r="T28" i="56"/>
  <c r="S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AF27" i="56"/>
  <c r="AE27" i="56"/>
  <c r="Q27" i="56"/>
  <c r="P27" i="56"/>
  <c r="AF26" i="56"/>
  <c r="AE26" i="56"/>
  <c r="Q26" i="56"/>
  <c r="P26" i="56"/>
  <c r="AF25" i="56"/>
  <c r="AE25" i="56"/>
  <c r="Q25" i="56"/>
  <c r="P25" i="56"/>
  <c r="AD24" i="56"/>
  <c r="AD32" i="56" s="1"/>
  <c r="AC24" i="56"/>
  <c r="AB24" i="56"/>
  <c r="AB32" i="56" s="1"/>
  <c r="AA24" i="56"/>
  <c r="AA32" i="56" s="1"/>
  <c r="Z24" i="56"/>
  <c r="Z32" i="56" s="1"/>
  <c r="Y24" i="56"/>
  <c r="Y32" i="56" s="1"/>
  <c r="X24" i="56"/>
  <c r="X32" i="56" s="1"/>
  <c r="W24" i="56"/>
  <c r="W32" i="56" s="1"/>
  <c r="V24" i="56"/>
  <c r="V32" i="56" s="1"/>
  <c r="U24" i="56"/>
  <c r="U32" i="56" s="1"/>
  <c r="T24" i="56"/>
  <c r="S24" i="56"/>
  <c r="O24" i="56"/>
  <c r="N24" i="56"/>
  <c r="M24" i="56"/>
  <c r="L24" i="56"/>
  <c r="K24" i="56"/>
  <c r="K32" i="56" s="1"/>
  <c r="J24" i="56"/>
  <c r="I24" i="56"/>
  <c r="I32" i="56" s="1"/>
  <c r="H24" i="56"/>
  <c r="H32" i="56" s="1"/>
  <c r="G24" i="56"/>
  <c r="G32" i="56" s="1"/>
  <c r="F24" i="56"/>
  <c r="F32" i="56" s="1"/>
  <c r="E24" i="56"/>
  <c r="E32" i="56" s="1"/>
  <c r="D24" i="56"/>
  <c r="AF22" i="56"/>
  <c r="AE22" i="56"/>
  <c r="Q22" i="56"/>
  <c r="P22" i="56"/>
  <c r="AF21" i="56"/>
  <c r="AE21" i="56"/>
  <c r="Q21" i="56"/>
  <c r="P21" i="56"/>
  <c r="AF20" i="56"/>
  <c r="AE20" i="56"/>
  <c r="Q20" i="56"/>
  <c r="P20" i="56"/>
  <c r="AF19" i="56"/>
  <c r="AE19" i="56"/>
  <c r="Q19" i="56"/>
  <c r="P19" i="56"/>
  <c r="AE18" i="56"/>
  <c r="Q18" i="56"/>
  <c r="P18" i="56"/>
  <c r="AF17" i="56"/>
  <c r="AE17" i="56"/>
  <c r="Q17" i="56"/>
  <c r="P17" i="56"/>
  <c r="AF16" i="56"/>
  <c r="AE16" i="56"/>
  <c r="Q16" i="56"/>
  <c r="P16" i="56"/>
  <c r="AF15" i="56"/>
  <c r="AE15" i="56"/>
  <c r="Q15" i="56"/>
  <c r="P15" i="56"/>
  <c r="AF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AD13" i="56"/>
  <c r="AC13" i="56"/>
  <c r="AB13" i="56"/>
  <c r="AA13" i="56"/>
  <c r="Z13" i="56"/>
  <c r="Y13" i="56"/>
  <c r="X13" i="56"/>
  <c r="W13" i="56"/>
  <c r="V13" i="56"/>
  <c r="U13" i="56"/>
  <c r="T13" i="56"/>
  <c r="S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AF11" i="56"/>
  <c r="AE11" i="56"/>
  <c r="Q11" i="56"/>
  <c r="P11" i="56"/>
  <c r="AE10" i="56"/>
  <c r="Q10" i="56"/>
  <c r="P10" i="56"/>
  <c r="AF9" i="56"/>
  <c r="AE9" i="56"/>
  <c r="Q9" i="56"/>
  <c r="P9" i="56"/>
  <c r="AF8" i="56"/>
  <c r="AE8" i="56"/>
  <c r="Q8" i="56"/>
  <c r="P8" i="56"/>
  <c r="AF7" i="56"/>
  <c r="AE7" i="56"/>
  <c r="Q7" i="56"/>
  <c r="P7" i="56"/>
  <c r="AF6" i="56"/>
  <c r="AE6" i="56"/>
  <c r="Q6" i="56"/>
  <c r="P6" i="56"/>
  <c r="AF5" i="56"/>
  <c r="AE5" i="56"/>
  <c r="Q5" i="56"/>
  <c r="P5" i="56"/>
  <c r="AF4" i="56"/>
  <c r="AE4" i="56"/>
  <c r="Q4" i="56"/>
  <c r="P4" i="56"/>
  <c r="K37" i="50" a="1"/>
  <c r="K17" i="50" a="1"/>
  <c r="K16" i="50" a="1"/>
  <c r="K34" i="50" a="1"/>
  <c r="K30" i="50" a="1"/>
  <c r="K28" i="50" a="1"/>
  <c r="K9" i="50" a="1"/>
  <c r="K25" i="50" a="1"/>
  <c r="D7" i="50" a="1"/>
  <c r="K11" i="50" a="1"/>
  <c r="K40" i="50" a="1"/>
  <c r="K14" i="50" a="1"/>
  <c r="K32" i="50" a="1"/>
  <c r="K23" i="50" a="1"/>
  <c r="K13" i="50" a="1"/>
  <c r="K29" i="50" a="1"/>
  <c r="K21" i="50" a="1"/>
  <c r="K18" i="50" a="1"/>
  <c r="K12" i="50" a="1"/>
  <c r="K38" i="50" a="1"/>
  <c r="K35" i="50" a="1"/>
  <c r="K36" i="50" a="1"/>
  <c r="K41" i="50" a="1"/>
  <c r="K19" i="50" a="1"/>
  <c r="K10" i="50" a="1"/>
  <c r="K8" i="50" a="1"/>
  <c r="K20" i="50" a="1"/>
  <c r="K31" i="50" a="1"/>
  <c r="K7" i="50" a="1"/>
  <c r="K33" i="50" a="1"/>
  <c r="K27" i="50" a="1"/>
  <c r="K24" i="50" a="1"/>
  <c r="K22" i="50" a="1"/>
  <c r="J32" i="56" l="1"/>
  <c r="AF28" i="56"/>
  <c r="S32" i="56"/>
  <c r="AC32" i="56"/>
  <c r="M32" i="56"/>
  <c r="N32" i="56"/>
  <c r="O32" i="56"/>
  <c r="Q14" i="56"/>
  <c r="Q28" i="56"/>
  <c r="T32" i="56"/>
  <c r="AE32" i="56" s="1"/>
  <c r="AF13" i="56"/>
  <c r="AE28" i="56"/>
  <c r="Q24" i="56"/>
  <c r="P13" i="56"/>
  <c r="L32" i="56"/>
  <c r="D32" i="56"/>
  <c r="K33" i="50"/>
  <c r="K24" i="50"/>
  <c r="K7" i="50"/>
  <c r="K41" i="50"/>
  <c r="K32" i="50"/>
  <c r="K14" i="50"/>
  <c r="K16" i="50"/>
  <c r="K23" i="50"/>
  <c r="K40" i="50"/>
  <c r="K31" i="50"/>
  <c r="K22" i="50"/>
  <c r="K13" i="50"/>
  <c r="K38" i="50"/>
  <c r="K30" i="50"/>
  <c r="K21" i="50"/>
  <c r="K12" i="50"/>
  <c r="K20" i="50"/>
  <c r="K36" i="50"/>
  <c r="K10" i="50"/>
  <c r="K29" i="50"/>
  <c r="K28" i="50"/>
  <c r="K35" i="50"/>
  <c r="K27" i="50"/>
  <c r="K18" i="50"/>
  <c r="K9" i="50"/>
  <c r="K37" i="50"/>
  <c r="K19" i="50"/>
  <c r="K11" i="50"/>
  <c r="K34" i="50"/>
  <c r="K25" i="50"/>
  <c r="K17" i="50"/>
  <c r="K8" i="50"/>
  <c r="D7" i="50"/>
  <c r="AE24" i="56"/>
  <c r="Q13" i="56"/>
  <c r="P24" i="56"/>
  <c r="AE13" i="56"/>
  <c r="AE14" i="56"/>
  <c r="P14" i="56"/>
  <c r="AF18" i="56"/>
  <c r="AF24" i="56"/>
  <c r="P28" i="56"/>
  <c r="AF32" i="56" l="1"/>
  <c r="P32" i="56"/>
  <c r="Q32" i="56"/>
  <c r="BO23" i="45"/>
  <c r="BO24" i="45"/>
  <c r="BO49" i="45"/>
  <c r="L126" i="46" a="1"/>
  <c r="L69" i="46" a="1"/>
  <c r="L6" i="46" a="1"/>
  <c r="L83" i="46" a="1"/>
  <c r="L128" i="46" a="1"/>
  <c r="L22" i="46" a="1"/>
  <c r="L82" i="46" a="1"/>
  <c r="L31" i="46" a="1"/>
  <c r="L51" i="46" a="1"/>
  <c r="L67" i="46" a="1"/>
  <c r="L117" i="46" a="1"/>
  <c r="L19" i="46" a="1"/>
  <c r="L118" i="46" a="1"/>
  <c r="L58" i="46" a="1"/>
  <c r="L56" i="46" a="1"/>
  <c r="L49" i="46" a="1"/>
  <c r="L61" i="46" a="1"/>
  <c r="L27" i="46" a="1"/>
  <c r="L48" i="46" a="1"/>
  <c r="L119" i="46" a="1"/>
  <c r="L72" i="46" a="1"/>
  <c r="L43" i="46" a="1"/>
  <c r="L40" i="46" a="1"/>
  <c r="L30" i="46" a="1"/>
  <c r="L39" i="46" a="1"/>
  <c r="L75" i="46" a="1"/>
  <c r="L77" i="46" a="1"/>
  <c r="L44" i="46" a="1"/>
  <c r="L52" i="46" a="1"/>
  <c r="L64" i="46" a="1"/>
  <c r="L70" i="46" a="1"/>
  <c r="L68" i="46" a="1"/>
  <c r="L25" i="46" a="1"/>
  <c r="L79" i="46" a="1"/>
  <c r="L87" i="46" a="1"/>
  <c r="L28" i="46" a="1"/>
  <c r="L14" i="46" a="1"/>
  <c r="L65" i="46" a="1"/>
  <c r="L13" i="46" a="1"/>
  <c r="L129" i="46" a="1"/>
  <c r="L36" i="46" a="1"/>
  <c r="L73" i="46" a="1"/>
  <c r="L123" i="46" a="1"/>
  <c r="L66" i="46" a="1"/>
  <c r="L62" i="46" a="1"/>
  <c r="L57" i="46" a="1"/>
  <c r="L127" i="46" a="1"/>
  <c r="L76" i="46" a="1"/>
  <c r="L26" i="46" a="1"/>
  <c r="L41" i="46" a="1"/>
  <c r="L55" i="46" a="1"/>
  <c r="L124" i="46" a="1"/>
  <c r="L125" i="46" a="1"/>
  <c r="L60" i="46" a="1"/>
  <c r="L38" i="46" a="1"/>
  <c r="L80" i="46" a="1"/>
  <c r="L74" i="46" a="1"/>
  <c r="L17" i="46" a="1"/>
  <c r="L37" i="46" a="1"/>
  <c r="L122" i="46" a="1"/>
  <c r="L121" i="46" a="1"/>
  <c r="L81" i="46" a="1"/>
  <c r="L20" i="46" a="1"/>
  <c r="L7" i="46" a="1"/>
  <c r="L29" i="46" a="1"/>
  <c r="L59" i="46" a="1"/>
  <c r="L71" i="46" a="1"/>
  <c r="L18" i="46" a="1"/>
  <c r="L50" i="46" a="1"/>
  <c r="L88" i="46" a="1"/>
  <c r="L35" i="46" a="1"/>
  <c r="L63" i="46" a="1"/>
  <c r="L21" i="46" a="1"/>
  <c r="L33" i="46" a="1"/>
  <c r="L12" i="46" a="1"/>
  <c r="L89" i="46" a="1"/>
  <c r="L8" i="46" a="1"/>
  <c r="L10" i="46" a="1"/>
  <c r="L42" i="46" a="1"/>
  <c r="L53" i="46" a="1"/>
  <c r="L34" i="46" a="1"/>
  <c r="L120" i="46" a="1"/>
  <c r="L32" i="46" a="1"/>
  <c r="L11" i="46" a="1"/>
  <c r="BO44" i="45" l="1"/>
  <c r="L28" i="46"/>
  <c r="L127" i="46"/>
  <c r="L22" i="46"/>
  <c r="L44" i="46"/>
  <c r="L33" i="46"/>
  <c r="L119" i="46"/>
  <c r="L83" i="46"/>
  <c r="L87" i="46"/>
  <c r="L75" i="46"/>
  <c r="L82" i="46"/>
  <c r="L49" i="46"/>
  <c r="L41" i="46"/>
  <c r="L66" i="46"/>
  <c r="L12" i="46"/>
  <c r="L62" i="46"/>
  <c r="L21" i="46"/>
  <c r="L67" i="46"/>
  <c r="L73" i="46"/>
  <c r="L10" i="46"/>
  <c r="L18" i="46"/>
  <c r="L80" i="46"/>
  <c r="L126" i="46"/>
  <c r="L52" i="46"/>
  <c r="L74" i="46"/>
  <c r="L37" i="46"/>
  <c r="L13" i="46"/>
  <c r="L59" i="46"/>
  <c r="L65" i="46"/>
  <c r="L118" i="46"/>
  <c r="L71" i="46"/>
  <c r="L61" i="46"/>
  <c r="L117" i="46"/>
  <c r="L122" i="46"/>
  <c r="L121" i="46"/>
  <c r="L34" i="46"/>
  <c r="L48" i="46"/>
  <c r="L125" i="46"/>
  <c r="L68" i="46"/>
  <c r="L63" i="46"/>
  <c r="L27" i="46"/>
  <c r="L40" i="46"/>
  <c r="L38" i="46"/>
  <c r="L72" i="46"/>
  <c r="L51" i="46"/>
  <c r="L19" i="46"/>
  <c r="L32" i="46"/>
  <c r="L81" i="46"/>
  <c r="L30" i="46"/>
  <c r="L39" i="46"/>
  <c r="L20" i="46"/>
  <c r="L35" i="46"/>
  <c r="L79" i="46"/>
  <c r="L17" i="46"/>
  <c r="L64" i="46"/>
  <c r="L42" i="46"/>
  <c r="L128" i="46"/>
  <c r="L8" i="46"/>
  <c r="L56" i="46"/>
  <c r="L7" i="46"/>
  <c r="L58" i="46"/>
  <c r="L57" i="46"/>
  <c r="L89" i="46"/>
  <c r="L120" i="46"/>
  <c r="L76" i="46"/>
  <c r="L123" i="46"/>
  <c r="L31" i="46"/>
  <c r="L53" i="46"/>
  <c r="L36" i="46"/>
  <c r="L77" i="46"/>
  <c r="L43" i="46"/>
  <c r="L129" i="46"/>
  <c r="L70" i="46"/>
  <c r="L29" i="46"/>
  <c r="L88" i="46"/>
  <c r="L14" i="46"/>
  <c r="L69" i="46"/>
  <c r="L124" i="46"/>
  <c r="L60" i="46"/>
  <c r="L6" i="46"/>
  <c r="L55" i="46"/>
  <c r="L50" i="46"/>
  <c r="L11" i="46"/>
  <c r="L25" i="46"/>
  <c r="L26" i="46"/>
  <c r="L47" i="46" a="1"/>
  <c r="L24" i="46" a="1"/>
  <c r="L46" i="46" a="1"/>
  <c r="L23" i="46" a="1"/>
  <c r="L45" i="46" a="1"/>
  <c r="L9" i="46" a="1"/>
  <c r="L45" i="46" l="1"/>
  <c r="L46" i="46"/>
  <c r="L47" i="46"/>
  <c r="L24" i="46"/>
  <c r="L9" i="46"/>
  <c r="L23" i="46"/>
  <c r="AF71" i="36" l="1"/>
  <c r="AE71" i="36"/>
  <c r="AF70" i="36"/>
  <c r="AE70" i="36"/>
  <c r="Q70" i="36"/>
  <c r="P70" i="36"/>
  <c r="AF69" i="36"/>
  <c r="AE69" i="36"/>
  <c r="Q69" i="36"/>
  <c r="P69" i="36"/>
  <c r="AF68" i="36"/>
  <c r="AE68" i="36"/>
  <c r="AF67" i="36"/>
  <c r="AE67" i="36"/>
  <c r="AF66" i="36"/>
  <c r="AE66" i="36"/>
  <c r="AF65" i="36"/>
  <c r="AE65" i="36"/>
  <c r="AF64" i="36"/>
  <c r="AE64" i="36"/>
  <c r="AF63" i="36"/>
  <c r="AE63" i="36"/>
  <c r="AF62" i="36"/>
  <c r="AE62" i="36"/>
  <c r="AF61" i="36"/>
  <c r="AE61" i="36"/>
  <c r="AF60" i="36"/>
  <c r="AE60" i="36"/>
  <c r="Q60" i="36"/>
  <c r="P60" i="36"/>
  <c r="AF59" i="36"/>
  <c r="AE59" i="36"/>
  <c r="AF58" i="36"/>
  <c r="AE58" i="36"/>
  <c r="Q58" i="36"/>
  <c r="P58" i="36"/>
  <c r="AF57" i="36"/>
  <c r="AE57" i="36"/>
  <c r="Q57" i="36"/>
  <c r="P57" i="36"/>
  <c r="AF56" i="36"/>
  <c r="AE56" i="36"/>
  <c r="AF55" i="36"/>
  <c r="AE55" i="36"/>
  <c r="AF54" i="36"/>
  <c r="AE54" i="36"/>
  <c r="Q54" i="36"/>
  <c r="P54" i="36"/>
  <c r="AF53" i="36"/>
  <c r="AE53" i="36"/>
  <c r="Q53" i="36"/>
  <c r="P53" i="36"/>
  <c r="Q44" i="36"/>
  <c r="P44" i="36"/>
  <c r="Q43" i="36"/>
  <c r="P43" i="36"/>
  <c r="Q42" i="36"/>
  <c r="P42" i="36"/>
  <c r="Q41" i="36"/>
  <c r="P41" i="36"/>
  <c r="AF39" i="36"/>
  <c r="AE39" i="36"/>
  <c r="Q39" i="36"/>
  <c r="P39" i="36"/>
  <c r="AF38" i="36"/>
  <c r="AE38" i="36"/>
  <c r="Q38" i="36"/>
  <c r="P38" i="36"/>
  <c r="AB37" i="36"/>
  <c r="AA37" i="36"/>
  <c r="Z37" i="36"/>
  <c r="Y37" i="36"/>
  <c r="Q37" i="36"/>
  <c r="P37" i="36"/>
  <c r="AF36" i="36"/>
  <c r="AE36" i="36" s="1"/>
  <c r="Q36" i="36"/>
  <c r="P36" i="36"/>
  <c r="AF35" i="36"/>
  <c r="Q35" i="36"/>
  <c r="P35" i="36"/>
  <c r="AF34" i="36"/>
  <c r="AE34" i="36" s="1"/>
  <c r="Q34" i="36"/>
  <c r="P34" i="36"/>
  <c r="Q33" i="36"/>
  <c r="P33" i="36"/>
  <c r="AF32" i="36"/>
  <c r="Q32" i="36"/>
  <c r="P32" i="36"/>
  <c r="AA31" i="36"/>
  <c r="AA29" i="36" s="1"/>
  <c r="AA33" i="36" s="1"/>
  <c r="Z31" i="36"/>
  <c r="Y31" i="36"/>
  <c r="Q31" i="36"/>
  <c r="P31" i="36"/>
  <c r="AF30" i="36"/>
  <c r="AE30" i="36" s="1"/>
  <c r="Q30" i="36"/>
  <c r="P30" i="36"/>
  <c r="AB29" i="36"/>
  <c r="Q29" i="36"/>
  <c r="P29" i="36"/>
  <c r="AB28" i="36"/>
  <c r="Q28" i="36"/>
  <c r="P28" i="36"/>
  <c r="AF26" i="36"/>
  <c r="AE26" i="36"/>
  <c r="AF25" i="36"/>
  <c r="AE25" i="36"/>
  <c r="AB24" i="36"/>
  <c r="AA24" i="36"/>
  <c r="Z24" i="36"/>
  <c r="AF23" i="36"/>
  <c r="AE23" i="36"/>
  <c r="Q23" i="36"/>
  <c r="P23" i="36"/>
  <c r="AF22" i="36"/>
  <c r="AE22" i="36"/>
  <c r="Q22" i="36"/>
  <c r="P22" i="36"/>
  <c r="AF21" i="36"/>
  <c r="AE21" i="36"/>
  <c r="Q21" i="36"/>
  <c r="P21" i="36"/>
  <c r="AF20" i="36"/>
  <c r="AE20" i="36"/>
  <c r="Q20" i="36"/>
  <c r="P20" i="36"/>
  <c r="AF19" i="36"/>
  <c r="AE19" i="36"/>
  <c r="Q19" i="36"/>
  <c r="P19" i="36"/>
  <c r="AB18" i="36"/>
  <c r="AA18" i="36"/>
  <c r="Z18" i="36"/>
  <c r="Q18" i="36"/>
  <c r="P18" i="36"/>
  <c r="AF16" i="36"/>
  <c r="Q16" i="36"/>
  <c r="P16" i="36" s="1"/>
  <c r="AF15" i="36"/>
  <c r="Q15" i="36"/>
  <c r="P15" i="36" s="1"/>
  <c r="AF14" i="36"/>
  <c r="Q14" i="36"/>
  <c r="P14" i="36" s="1"/>
  <c r="AF13" i="36"/>
  <c r="Q13" i="36"/>
  <c r="P13" i="36" s="1"/>
  <c r="AF12" i="36"/>
  <c r="Q12" i="36"/>
  <c r="P12" i="36" s="1"/>
  <c r="AF11" i="36"/>
  <c r="Q11" i="36"/>
  <c r="P11" i="36" s="1"/>
  <c r="AF10" i="36"/>
  <c r="Q10" i="36"/>
  <c r="P10" i="36" s="1"/>
  <c r="AF9" i="36"/>
  <c r="Q9" i="36"/>
  <c r="P9" i="36" s="1"/>
  <c r="AF8" i="36"/>
  <c r="Q8" i="36"/>
  <c r="P8" i="36" s="1"/>
  <c r="AF7" i="36"/>
  <c r="Q7" i="36"/>
  <c r="P7" i="36" s="1"/>
  <c r="AF6" i="36"/>
  <c r="Q6" i="36"/>
  <c r="P6" i="36" s="1"/>
  <c r="AF5" i="36"/>
  <c r="Q5" i="36"/>
  <c r="P5" i="36" s="1"/>
  <c r="AF4" i="36"/>
  <c r="Q4" i="36"/>
  <c r="P4" i="36" s="1"/>
  <c r="U52" i="21"/>
  <c r="U51" i="21"/>
  <c r="U50" i="21"/>
  <c r="U49" i="21"/>
  <c r="U48" i="21"/>
  <c r="U47" i="21"/>
  <c r="U46" i="21"/>
  <c r="U45" i="21"/>
  <c r="U44" i="21"/>
  <c r="U43" i="21"/>
  <c r="U42" i="21"/>
  <c r="U41" i="21"/>
  <c r="U40" i="21"/>
  <c r="U39" i="21"/>
  <c r="U38" i="21"/>
  <c r="U37" i="21"/>
  <c r="U36" i="21"/>
  <c r="U35" i="21"/>
  <c r="U34" i="21"/>
  <c r="U29" i="21"/>
  <c r="U28" i="21"/>
  <c r="U27" i="21"/>
  <c r="U26" i="21"/>
  <c r="U25" i="21"/>
  <c r="U24" i="21"/>
  <c r="U23" i="21"/>
  <c r="U22" i="21"/>
  <c r="U19" i="21"/>
  <c r="U18" i="21"/>
  <c r="U17" i="21"/>
  <c r="U16" i="21"/>
  <c r="U15" i="21"/>
  <c r="U14" i="21"/>
  <c r="U13" i="21"/>
  <c r="U12" i="21"/>
  <c r="U11" i="21"/>
  <c r="U10" i="21"/>
  <c r="U9" i="21"/>
  <c r="U8" i="21"/>
  <c r="U7" i="21"/>
  <c r="U6" i="21"/>
  <c r="AE31" i="53"/>
  <c r="Q31" i="53"/>
  <c r="P31" i="53"/>
  <c r="O31" i="53"/>
  <c r="N31" i="53"/>
  <c r="M31" i="53"/>
  <c r="L31" i="53"/>
  <c r="K31" i="53"/>
  <c r="J31" i="53"/>
  <c r="I31" i="53"/>
  <c r="H31" i="53"/>
  <c r="G31" i="53"/>
  <c r="F31" i="53"/>
  <c r="E31" i="53"/>
  <c r="D31" i="53"/>
  <c r="T114" i="20"/>
  <c r="T113" i="20"/>
  <c r="T112" i="20"/>
  <c r="T111" i="20"/>
  <c r="T110" i="20"/>
  <c r="T109" i="20"/>
  <c r="T108" i="20"/>
  <c r="T107" i="20"/>
  <c r="T106" i="20"/>
  <c r="T105" i="20"/>
  <c r="T104" i="20"/>
  <c r="T103" i="20"/>
  <c r="T102" i="20"/>
  <c r="T101" i="20"/>
  <c r="T100" i="20"/>
  <c r="T99" i="20"/>
  <c r="T98" i="20"/>
  <c r="T97" i="20"/>
  <c r="T96" i="20"/>
  <c r="T95" i="20"/>
  <c r="T94" i="20"/>
  <c r="T93" i="20"/>
  <c r="T92" i="20"/>
  <c r="T91" i="20"/>
  <c r="T90" i="20"/>
  <c r="T89" i="20"/>
  <c r="T88" i="20"/>
  <c r="T87" i="20"/>
  <c r="T86" i="20"/>
  <c r="T85" i="20"/>
  <c r="T84" i="20"/>
  <c r="T83" i="20"/>
  <c r="T82" i="20"/>
  <c r="T81" i="20"/>
  <c r="T80" i="20"/>
  <c r="T79" i="20"/>
  <c r="T78" i="20"/>
  <c r="T77" i="20"/>
  <c r="T76" i="20"/>
  <c r="T75" i="20"/>
  <c r="T74" i="20"/>
  <c r="T73" i="20"/>
  <c r="T72" i="20"/>
  <c r="T71" i="20"/>
  <c r="T70" i="20"/>
  <c r="T69" i="20"/>
  <c r="T68" i="20"/>
  <c r="T67" i="20"/>
  <c r="T66" i="20"/>
  <c r="T65" i="20"/>
  <c r="T64" i="20"/>
  <c r="T63" i="20"/>
  <c r="T62" i="20"/>
  <c r="T61" i="20"/>
  <c r="T60" i="20"/>
  <c r="T59" i="20"/>
  <c r="T58" i="20"/>
  <c r="T57" i="20"/>
  <c r="T56" i="20"/>
  <c r="T55" i="20"/>
  <c r="T54" i="20"/>
  <c r="T53" i="20"/>
  <c r="T52" i="20"/>
  <c r="T51" i="20"/>
  <c r="T50" i="20"/>
  <c r="T49" i="20"/>
  <c r="T48" i="20"/>
  <c r="T47" i="20"/>
  <c r="T46" i="20"/>
  <c r="T45" i="20"/>
  <c r="T44" i="20"/>
  <c r="T43" i="20"/>
  <c r="T42" i="20"/>
  <c r="T41" i="20"/>
  <c r="T40" i="20"/>
  <c r="T39" i="20"/>
  <c r="T38" i="20"/>
  <c r="T37" i="20"/>
  <c r="T36" i="20"/>
  <c r="T35" i="20"/>
  <c r="T34" i="20"/>
  <c r="T33" i="20"/>
  <c r="T32" i="20"/>
  <c r="T31" i="20"/>
  <c r="T30" i="20"/>
  <c r="T29" i="20"/>
  <c r="T28" i="20"/>
  <c r="T27" i="20"/>
  <c r="T26" i="20"/>
  <c r="T25" i="20"/>
  <c r="T24" i="20"/>
  <c r="T23" i="20"/>
  <c r="T22" i="20"/>
  <c r="T21" i="20"/>
  <c r="T20" i="20"/>
  <c r="T19" i="20"/>
  <c r="T18" i="20"/>
  <c r="T17" i="20"/>
  <c r="T16" i="20"/>
  <c r="T15" i="20"/>
  <c r="T14" i="20"/>
  <c r="T13" i="20"/>
  <c r="T12" i="20"/>
  <c r="T11" i="20"/>
  <c r="T10" i="20"/>
  <c r="T9" i="20"/>
  <c r="T8" i="20"/>
  <c r="T7" i="20"/>
  <c r="T6" i="20"/>
  <c r="AG118" i="34"/>
  <c r="AF118" i="34"/>
  <c r="Q118" i="34"/>
  <c r="AG117" i="34"/>
  <c r="AF117" i="34"/>
  <c r="Q117" i="34"/>
  <c r="AG116" i="34"/>
  <c r="AF116" i="34"/>
  <c r="Q116" i="34"/>
  <c r="AG115" i="34"/>
  <c r="AF115" i="34"/>
  <c r="Q115" i="34"/>
  <c r="AG114" i="34"/>
  <c r="AF114" i="34"/>
  <c r="Q114" i="34"/>
  <c r="AG113" i="34"/>
  <c r="AF113" i="34"/>
  <c r="Q113" i="34"/>
  <c r="AG112" i="34"/>
  <c r="AF112" i="34"/>
  <c r="Q112" i="34"/>
  <c r="AG111" i="34"/>
  <c r="AF111" i="34"/>
  <c r="Q111" i="34"/>
  <c r="AG110" i="34"/>
  <c r="AF110" i="34"/>
  <c r="Q110" i="34"/>
  <c r="AF109" i="34"/>
  <c r="Q109" i="34"/>
  <c r="Z108" i="34"/>
  <c r="Y108" i="34"/>
  <c r="X108" i="34"/>
  <c r="O108" i="34"/>
  <c r="N108" i="34"/>
  <c r="M108" i="34"/>
  <c r="L108" i="34"/>
  <c r="K108" i="34"/>
  <c r="J108" i="34"/>
  <c r="I108" i="34"/>
  <c r="H108" i="34"/>
  <c r="G108" i="34"/>
  <c r="F108" i="34"/>
  <c r="E108" i="34"/>
  <c r="D108" i="34"/>
  <c r="Z107" i="34"/>
  <c r="Y107" i="34"/>
  <c r="X107" i="34"/>
  <c r="O107" i="34"/>
  <c r="N107" i="34"/>
  <c r="M107" i="34"/>
  <c r="L107" i="34"/>
  <c r="K107" i="34"/>
  <c r="J107" i="34"/>
  <c r="I107" i="34"/>
  <c r="H107" i="34"/>
  <c r="G107" i="34"/>
  <c r="F107" i="34"/>
  <c r="E107" i="34"/>
  <c r="D107" i="34"/>
  <c r="Z106" i="34"/>
  <c r="Y106" i="34"/>
  <c r="X106" i="34"/>
  <c r="O106" i="34"/>
  <c r="Q106" i="34" s="1"/>
  <c r="Z105" i="34"/>
  <c r="Y105" i="34"/>
  <c r="X105" i="34"/>
  <c r="O105" i="34"/>
  <c r="N105" i="34"/>
  <c r="M105" i="34"/>
  <c r="L105" i="34"/>
  <c r="K105" i="34"/>
  <c r="J105" i="34"/>
  <c r="I105" i="34"/>
  <c r="H105" i="34"/>
  <c r="G105" i="34"/>
  <c r="F105" i="34"/>
  <c r="E105" i="34"/>
  <c r="D105" i="34"/>
  <c r="Z104" i="34"/>
  <c r="Y104" i="34"/>
  <c r="X104" i="34"/>
  <c r="O104" i="34"/>
  <c r="N104" i="34"/>
  <c r="M104" i="34"/>
  <c r="L104" i="34"/>
  <c r="K104" i="34"/>
  <c r="J104" i="34"/>
  <c r="I104" i="34"/>
  <c r="H104" i="34"/>
  <c r="G104" i="34"/>
  <c r="F104" i="34"/>
  <c r="E104" i="34"/>
  <c r="D104" i="34"/>
  <c r="AB103" i="34"/>
  <c r="AA103" i="34"/>
  <c r="W103" i="34"/>
  <c r="V103" i="34"/>
  <c r="U103" i="34"/>
  <c r="T103" i="34"/>
  <c r="S103" i="34"/>
  <c r="AF57" i="34"/>
  <c r="Q57" i="34"/>
  <c r="AF56" i="34"/>
  <c r="Q56" i="34"/>
  <c r="AF55" i="34"/>
  <c r="Q55" i="34"/>
  <c r="AF54" i="34"/>
  <c r="Q54" i="34"/>
  <c r="AF53" i="34"/>
  <c r="Q53" i="34"/>
  <c r="AB52" i="34"/>
  <c r="AA52" i="34"/>
  <c r="Z52" i="34"/>
  <c r="Y52" i="34"/>
  <c r="X52" i="34"/>
  <c r="W52" i="34"/>
  <c r="V52" i="34"/>
  <c r="U52" i="34"/>
  <c r="T52" i="34"/>
  <c r="S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AF51" i="34"/>
  <c r="Q51" i="34"/>
  <c r="AF50" i="34"/>
  <c r="Q50" i="34"/>
  <c r="AF49" i="34"/>
  <c r="Q49" i="34"/>
  <c r="AF48" i="34"/>
  <c r="Q48" i="34"/>
  <c r="AB47" i="34"/>
  <c r="AA47" i="34"/>
  <c r="Z47" i="34"/>
  <c r="Y47" i="34"/>
  <c r="X47" i="34"/>
  <c r="W47" i="34"/>
  <c r="V47" i="34"/>
  <c r="U47" i="34"/>
  <c r="T47" i="34"/>
  <c r="S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AF46" i="34"/>
  <c r="Q46" i="34"/>
  <c r="AF45" i="34"/>
  <c r="Q45" i="34"/>
  <c r="AF44" i="34"/>
  <c r="Q44" i="34"/>
  <c r="AF43" i="34"/>
  <c r="Q43" i="34"/>
  <c r="AB42" i="34"/>
  <c r="AA42" i="34"/>
  <c r="Z42" i="34"/>
  <c r="Y42" i="34"/>
  <c r="X42" i="34"/>
  <c r="W42" i="34"/>
  <c r="V42" i="34"/>
  <c r="U42" i="34"/>
  <c r="T42" i="34"/>
  <c r="S42" i="34"/>
  <c r="O42" i="34"/>
  <c r="N42" i="34"/>
  <c r="M42" i="34"/>
  <c r="L42" i="34"/>
  <c r="K42" i="34"/>
  <c r="J42" i="34"/>
  <c r="I42" i="34"/>
  <c r="H42" i="34"/>
  <c r="G42" i="34"/>
  <c r="F42" i="34"/>
  <c r="E42" i="34"/>
  <c r="D42" i="34"/>
  <c r="AF41" i="34"/>
  <c r="Q41" i="34"/>
  <c r="AF40" i="34"/>
  <c r="Q40" i="34"/>
  <c r="AF39" i="34"/>
  <c r="Q39" i="34"/>
  <c r="AF38" i="34"/>
  <c r="Q38" i="34"/>
  <c r="AB37" i="34"/>
  <c r="AA37" i="34"/>
  <c r="Z37" i="34"/>
  <c r="Y37" i="34"/>
  <c r="X37" i="34"/>
  <c r="W37" i="34"/>
  <c r="V37" i="34"/>
  <c r="U37" i="34"/>
  <c r="T37" i="34"/>
  <c r="S37" i="34"/>
  <c r="O37" i="34"/>
  <c r="N37" i="34"/>
  <c r="M37" i="34"/>
  <c r="L37" i="34"/>
  <c r="K37" i="34"/>
  <c r="J37" i="34"/>
  <c r="I37" i="34"/>
  <c r="H37" i="34"/>
  <c r="G37" i="34"/>
  <c r="F37" i="34"/>
  <c r="E37" i="34"/>
  <c r="D37" i="34"/>
  <c r="AF36" i="34"/>
  <c r="Q36" i="34"/>
  <c r="AF35" i="34"/>
  <c r="Q35" i="34"/>
  <c r="AF34" i="34"/>
  <c r="Q34" i="34"/>
  <c r="AF33" i="34"/>
  <c r="Q33" i="34"/>
  <c r="AB32" i="34"/>
  <c r="AA32" i="34"/>
  <c r="Z32" i="34"/>
  <c r="Y32" i="34"/>
  <c r="X32" i="34"/>
  <c r="W32" i="34"/>
  <c r="V32" i="34"/>
  <c r="U32" i="34"/>
  <c r="T32" i="34"/>
  <c r="S32" i="34"/>
  <c r="O32" i="34"/>
  <c r="N32" i="34"/>
  <c r="M32" i="34"/>
  <c r="L32" i="34"/>
  <c r="K32" i="34"/>
  <c r="J32" i="34"/>
  <c r="I32" i="34"/>
  <c r="H32" i="34"/>
  <c r="G32" i="34"/>
  <c r="F32" i="34"/>
  <c r="E32" i="34"/>
  <c r="D32" i="34"/>
  <c r="AF30" i="34"/>
  <c r="Q30" i="34"/>
  <c r="AF29" i="34"/>
  <c r="Q29" i="34"/>
  <c r="AF28" i="34"/>
  <c r="Q28" i="34"/>
  <c r="AF27" i="34"/>
  <c r="Q27" i="34"/>
  <c r="AF26" i="34"/>
  <c r="AF25" i="34"/>
  <c r="Q25" i="34"/>
  <c r="AF24" i="34"/>
  <c r="Q24" i="34"/>
  <c r="AF23" i="34"/>
  <c r="Q23" i="34"/>
  <c r="AB22" i="34"/>
  <c r="AA22" i="34"/>
  <c r="Z22" i="34"/>
  <c r="Y22" i="34"/>
  <c r="X22" i="34"/>
  <c r="W22" i="34"/>
  <c r="V22" i="34"/>
  <c r="U22" i="34"/>
  <c r="T22" i="34"/>
  <c r="S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AF21" i="34"/>
  <c r="Q21" i="34"/>
  <c r="AF20" i="34"/>
  <c r="Q20" i="34"/>
  <c r="AF19" i="34"/>
  <c r="Q19" i="34"/>
  <c r="AF18" i="34"/>
  <c r="Q18" i="34"/>
  <c r="AF17" i="34"/>
  <c r="Q17" i="34"/>
  <c r="AF16" i="34"/>
  <c r="Q16" i="34"/>
  <c r="AF15" i="34"/>
  <c r="Q15" i="34"/>
  <c r="AF14" i="34"/>
  <c r="Q14" i="34"/>
  <c r="AF13" i="34"/>
  <c r="Q13" i="34"/>
  <c r="AA12" i="34"/>
  <c r="Z12" i="34"/>
  <c r="Y12" i="34"/>
  <c r="X12" i="34"/>
  <c r="W12" i="34"/>
  <c r="V12" i="34"/>
  <c r="U12" i="34"/>
  <c r="T12" i="34"/>
  <c r="S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AF11" i="34"/>
  <c r="Q11" i="34"/>
  <c r="AF10" i="34"/>
  <c r="Q10" i="34"/>
  <c r="AF9" i="34"/>
  <c r="Q9" i="34"/>
  <c r="AF8" i="34"/>
  <c r="Q8" i="34"/>
  <c r="AF7" i="34"/>
  <c r="Q7" i="34"/>
  <c r="AA6" i="34"/>
  <c r="Z6" i="34"/>
  <c r="Y6" i="34"/>
  <c r="X6" i="34"/>
  <c r="W6" i="34"/>
  <c r="V6" i="34"/>
  <c r="U6" i="34"/>
  <c r="T6" i="34"/>
  <c r="S6" i="34"/>
  <c r="O6" i="34"/>
  <c r="N6" i="34"/>
  <c r="M6" i="34"/>
  <c r="L6" i="34"/>
  <c r="K6" i="34"/>
  <c r="J6" i="34"/>
  <c r="I6" i="34"/>
  <c r="H6" i="34"/>
  <c r="G6" i="34"/>
  <c r="F6" i="34"/>
  <c r="E6" i="34"/>
  <c r="D6" i="34"/>
  <c r="AF5" i="34"/>
  <c r="Q5" i="34"/>
  <c r="AC4" i="34"/>
  <c r="AB4" i="34"/>
  <c r="T143" i="19"/>
  <c r="T142" i="19"/>
  <c r="T141" i="19"/>
  <c r="T140" i="19"/>
  <c r="T139" i="19"/>
  <c r="T138" i="19"/>
  <c r="T137" i="19"/>
  <c r="T136" i="19"/>
  <c r="T135" i="19"/>
  <c r="T134" i="19"/>
  <c r="T133" i="19"/>
  <c r="T132" i="19"/>
  <c r="T130" i="19"/>
  <c r="T129" i="19"/>
  <c r="T128" i="19"/>
  <c r="T127" i="19"/>
  <c r="T126" i="19"/>
  <c r="T125" i="19"/>
  <c r="T124" i="19"/>
  <c r="T123" i="19"/>
  <c r="T122" i="19"/>
  <c r="T121" i="19"/>
  <c r="T120" i="19"/>
  <c r="T119" i="19"/>
  <c r="T118" i="19"/>
  <c r="T117" i="19"/>
  <c r="T116" i="19"/>
  <c r="T115" i="19"/>
  <c r="T114" i="19"/>
  <c r="T113" i="19"/>
  <c r="T112" i="19"/>
  <c r="T111" i="19"/>
  <c r="T110" i="19"/>
  <c r="T59" i="19"/>
  <c r="T58" i="19"/>
  <c r="T57" i="19"/>
  <c r="T56" i="19"/>
  <c r="T55" i="19"/>
  <c r="T54" i="19"/>
  <c r="T53" i="19"/>
  <c r="T52" i="19"/>
  <c r="T51" i="19"/>
  <c r="T50" i="19"/>
  <c r="T49" i="19"/>
  <c r="T48" i="19"/>
  <c r="T47" i="19"/>
  <c r="T46" i="19"/>
  <c r="T45" i="19"/>
  <c r="T44" i="19"/>
  <c r="T43" i="19"/>
  <c r="T42" i="19"/>
  <c r="T41" i="19"/>
  <c r="T40" i="19"/>
  <c r="T39" i="19"/>
  <c r="T38" i="19"/>
  <c r="T37" i="19"/>
  <c r="T36" i="19"/>
  <c r="T35" i="19"/>
  <c r="T34" i="19"/>
  <c r="T33" i="19"/>
  <c r="T32" i="19"/>
  <c r="T31" i="19"/>
  <c r="T27" i="19"/>
  <c r="T26" i="19"/>
  <c r="T2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AE433" i="22"/>
  <c r="AF433" i="22" s="1"/>
  <c r="P433" i="22"/>
  <c r="Q433" i="22" s="1"/>
  <c r="AE432" i="22"/>
  <c r="AF432" i="22" s="1"/>
  <c r="P432" i="22"/>
  <c r="Q432" i="22" s="1"/>
  <c r="AE431" i="22"/>
  <c r="AF431" i="22" s="1"/>
  <c r="P431" i="22"/>
  <c r="Q431" i="22" s="1"/>
  <c r="AE430" i="22"/>
  <c r="AF430" i="22" s="1"/>
  <c r="P430" i="22"/>
  <c r="Q430" i="22" s="1"/>
  <c r="AE429" i="22"/>
  <c r="AF429" i="22" s="1"/>
  <c r="P429" i="22"/>
  <c r="Q429" i="22" s="1"/>
  <c r="AE428" i="22"/>
  <c r="AF428" i="22" s="1"/>
  <c r="P428" i="22"/>
  <c r="Q428" i="22" s="1"/>
  <c r="AE427" i="22"/>
  <c r="AF427" i="22" s="1"/>
  <c r="P427" i="22"/>
  <c r="Q427" i="22" s="1"/>
  <c r="AE426" i="22"/>
  <c r="AF426" i="22" s="1"/>
  <c r="P426" i="22"/>
  <c r="Q426" i="22" s="1"/>
  <c r="AE425" i="22"/>
  <c r="AF425" i="22" s="1"/>
  <c r="P425" i="22"/>
  <c r="Q425" i="22" s="1"/>
  <c r="AE424" i="22"/>
  <c r="AF424" i="22" s="1"/>
  <c r="P424" i="22"/>
  <c r="Q424" i="22" s="1"/>
  <c r="AE423" i="22"/>
  <c r="AF423" i="22" s="1"/>
  <c r="P423" i="22"/>
  <c r="Q423" i="22" s="1"/>
  <c r="AE422" i="22"/>
  <c r="AF422" i="22" s="1"/>
  <c r="P422" i="22"/>
  <c r="Q422" i="22" s="1"/>
  <c r="AE421" i="22"/>
  <c r="AF421" i="22" s="1"/>
  <c r="P421" i="22"/>
  <c r="Q421" i="22" s="1"/>
  <c r="AE420" i="22"/>
  <c r="AF420" i="22" s="1"/>
  <c r="P420" i="22"/>
  <c r="Q420" i="22" s="1"/>
  <c r="AE419" i="22"/>
  <c r="AF419" i="22" s="1"/>
  <c r="P419" i="22"/>
  <c r="Q419" i="22" s="1"/>
  <c r="AE418" i="22"/>
  <c r="AF418" i="22" s="1"/>
  <c r="P418" i="22"/>
  <c r="Q418" i="22" s="1"/>
  <c r="AE417" i="22"/>
  <c r="AF417" i="22" s="1"/>
  <c r="P417" i="22"/>
  <c r="Q417" i="22" s="1"/>
  <c r="AE416" i="22"/>
  <c r="AF416" i="22" s="1"/>
  <c r="P416" i="22"/>
  <c r="Q416" i="22" s="1"/>
  <c r="AE415" i="22"/>
  <c r="AF415" i="22" s="1"/>
  <c r="P415" i="22"/>
  <c r="Q415" i="22" s="1"/>
  <c r="AE414" i="22"/>
  <c r="AF414" i="22" s="1"/>
  <c r="P414" i="22"/>
  <c r="Q414" i="22" s="1"/>
  <c r="AE413" i="22"/>
  <c r="AF413" i="22" s="1"/>
  <c r="P413" i="22"/>
  <c r="Q413" i="22" s="1"/>
  <c r="AE412" i="22"/>
  <c r="AF412" i="22" s="1"/>
  <c r="P412" i="22"/>
  <c r="Q412" i="22" s="1"/>
  <c r="AE411" i="22"/>
  <c r="AF411" i="22" s="1"/>
  <c r="P411" i="22"/>
  <c r="Q411" i="22" s="1"/>
  <c r="AE410" i="22"/>
  <c r="AF410" i="22" s="1"/>
  <c r="P410" i="22"/>
  <c r="Q410" i="22" s="1"/>
  <c r="AE409" i="22"/>
  <c r="AF409" i="22" s="1"/>
  <c r="P409" i="22"/>
  <c r="Q409" i="22" s="1"/>
  <c r="AE408" i="22"/>
  <c r="AF408" i="22" s="1"/>
  <c r="P408" i="22"/>
  <c r="Q408" i="22" s="1"/>
  <c r="AE407" i="22"/>
  <c r="AF407" i="22" s="1"/>
  <c r="P407" i="22"/>
  <c r="Q407" i="22" s="1"/>
  <c r="AE406" i="22"/>
  <c r="AF406" i="22" s="1"/>
  <c r="P406" i="22"/>
  <c r="Q406" i="22" s="1"/>
  <c r="AE405" i="22"/>
  <c r="AF405" i="22" s="1"/>
  <c r="P405" i="22"/>
  <c r="Q405" i="22" s="1"/>
  <c r="AE404" i="22"/>
  <c r="AF404" i="22" s="1"/>
  <c r="P404" i="22"/>
  <c r="Q404" i="22" s="1"/>
  <c r="AE403" i="22"/>
  <c r="AF403" i="22" s="1"/>
  <c r="P403" i="22"/>
  <c r="Q403" i="22" s="1"/>
  <c r="AE402" i="22"/>
  <c r="AF402" i="22" s="1"/>
  <c r="P402" i="22"/>
  <c r="Q402" i="22" s="1"/>
  <c r="AE401" i="22"/>
  <c r="AF401" i="22" s="1"/>
  <c r="P401" i="22"/>
  <c r="Q401" i="22" s="1"/>
  <c r="AE400" i="22"/>
  <c r="AF400" i="22" s="1"/>
  <c r="P400" i="22"/>
  <c r="Q400" i="22" s="1"/>
  <c r="AE399" i="22"/>
  <c r="AF399" i="22" s="1"/>
  <c r="P399" i="22"/>
  <c r="Q399" i="22" s="1"/>
  <c r="AE398" i="22"/>
  <c r="AF398" i="22" s="1"/>
  <c r="P398" i="22"/>
  <c r="Q398" i="22" s="1"/>
  <c r="AE397" i="22"/>
  <c r="AF397" i="22" s="1"/>
  <c r="P397" i="22"/>
  <c r="Q397" i="22" s="1"/>
  <c r="AE396" i="22"/>
  <c r="AF396" i="22" s="1"/>
  <c r="P396" i="22"/>
  <c r="Q396" i="22" s="1"/>
  <c r="AE395" i="22"/>
  <c r="AF395" i="22" s="1"/>
  <c r="P395" i="22"/>
  <c r="Q395" i="22" s="1"/>
  <c r="AE394" i="22"/>
  <c r="AF394" i="22" s="1"/>
  <c r="P394" i="22"/>
  <c r="Q394" i="22" s="1"/>
  <c r="AE393" i="22"/>
  <c r="AF393" i="22" s="1"/>
  <c r="P393" i="22"/>
  <c r="Q393" i="22" s="1"/>
  <c r="AE392" i="22"/>
  <c r="AF392" i="22" s="1"/>
  <c r="P392" i="22"/>
  <c r="Q392" i="22" s="1"/>
  <c r="AE391" i="22"/>
  <c r="AF391" i="22" s="1"/>
  <c r="P391" i="22"/>
  <c r="Q391" i="22" s="1"/>
  <c r="AE390" i="22"/>
  <c r="AF390" i="22" s="1"/>
  <c r="P390" i="22"/>
  <c r="Q390" i="22" s="1"/>
  <c r="AE389" i="22"/>
  <c r="AF389" i="22" s="1"/>
  <c r="P389" i="22"/>
  <c r="Q389" i="22" s="1"/>
  <c r="AE388" i="22"/>
  <c r="AF388" i="22" s="1"/>
  <c r="P388" i="22"/>
  <c r="Q388" i="22" s="1"/>
  <c r="AE387" i="22"/>
  <c r="AF387" i="22" s="1"/>
  <c r="P387" i="22"/>
  <c r="Q387" i="22" s="1"/>
  <c r="AE386" i="22"/>
  <c r="AF386" i="22" s="1"/>
  <c r="P386" i="22"/>
  <c r="Q386" i="22" s="1"/>
  <c r="AE384" i="22"/>
  <c r="AF384" i="22" s="1"/>
  <c r="P384" i="22"/>
  <c r="Q384" i="22" s="1"/>
  <c r="AE383" i="22"/>
  <c r="AF383" i="22" s="1"/>
  <c r="P383" i="22"/>
  <c r="Q383" i="22" s="1"/>
  <c r="AE382" i="22"/>
  <c r="AF382" i="22" s="1"/>
  <c r="P382" i="22"/>
  <c r="Q382" i="22" s="1"/>
  <c r="AE381" i="22"/>
  <c r="AF381" i="22" s="1"/>
  <c r="P381" i="22"/>
  <c r="Q381" i="22" s="1"/>
  <c r="AE380" i="22"/>
  <c r="AF380" i="22" s="1"/>
  <c r="P380" i="22"/>
  <c r="Q380" i="22" s="1"/>
  <c r="AE379" i="22"/>
  <c r="AF379" i="22" s="1"/>
  <c r="P379" i="22"/>
  <c r="Q379" i="22" s="1"/>
  <c r="AE378" i="22"/>
  <c r="AF378" i="22" s="1"/>
  <c r="P378" i="22"/>
  <c r="Q378" i="22" s="1"/>
  <c r="AE368" i="22"/>
  <c r="AF368" i="22" s="1"/>
  <c r="P368" i="22"/>
  <c r="Q368" i="22" s="1"/>
  <c r="AE367" i="22"/>
  <c r="AF367" i="22" s="1"/>
  <c r="P367" i="22"/>
  <c r="Q367" i="22" s="1"/>
  <c r="AE366" i="22"/>
  <c r="AF366" i="22" s="1"/>
  <c r="P366" i="22"/>
  <c r="Q366" i="22" s="1"/>
  <c r="AE365" i="22"/>
  <c r="AF365" i="22" s="1"/>
  <c r="P365" i="22"/>
  <c r="Q365" i="22" s="1"/>
  <c r="AE364" i="22"/>
  <c r="AF364" i="22" s="1"/>
  <c r="P364" i="22"/>
  <c r="Q364" i="22" s="1"/>
  <c r="AE363" i="22"/>
  <c r="AF363" i="22" s="1"/>
  <c r="P363" i="22"/>
  <c r="Q363" i="22" s="1"/>
  <c r="AE362" i="22"/>
  <c r="AF362" i="22" s="1"/>
  <c r="P362" i="22"/>
  <c r="Q362" i="22" s="1"/>
  <c r="AE352" i="22"/>
  <c r="AF352" i="22" s="1"/>
  <c r="P352" i="22"/>
  <c r="Q352" i="22" s="1"/>
  <c r="AE351" i="22"/>
  <c r="AF351" i="22" s="1"/>
  <c r="P351" i="22"/>
  <c r="Q351" i="22" s="1"/>
  <c r="AE350" i="22"/>
  <c r="AF350" i="22" s="1"/>
  <c r="P350" i="22"/>
  <c r="Q350" i="22" s="1"/>
  <c r="AE349" i="22"/>
  <c r="AF349" i="22" s="1"/>
  <c r="P349" i="22"/>
  <c r="Q349" i="22" s="1"/>
  <c r="AE348" i="22"/>
  <c r="AF348" i="22" s="1"/>
  <c r="P348" i="22"/>
  <c r="Q348" i="22" s="1"/>
  <c r="AE347" i="22"/>
  <c r="AF347" i="22" s="1"/>
  <c r="P347" i="22"/>
  <c r="Q347" i="22" s="1"/>
  <c r="AE346" i="22"/>
  <c r="AF346" i="22" s="1"/>
  <c r="P346" i="22"/>
  <c r="Q346" i="22" s="1"/>
  <c r="AQ335" i="22"/>
  <c r="AP335" i="22"/>
  <c r="AO335" i="22"/>
  <c r="AM335" i="22"/>
  <c r="AL335" i="22"/>
  <c r="AK335" i="22"/>
  <c r="AJ335" i="22"/>
  <c r="AI335" i="22"/>
  <c r="AH335" i="22"/>
  <c r="AD335" i="22"/>
  <c r="AC335" i="22"/>
  <c r="AB335" i="22"/>
  <c r="AA335" i="22"/>
  <c r="Z335" i="22"/>
  <c r="Y335" i="22"/>
  <c r="X335" i="22"/>
  <c r="W335" i="22"/>
  <c r="V335" i="22"/>
  <c r="U335" i="22"/>
  <c r="T335" i="22"/>
  <c r="S335" i="22"/>
  <c r="O335" i="22"/>
  <c r="N335" i="22"/>
  <c r="M335" i="22"/>
  <c r="L335" i="22"/>
  <c r="K335" i="22"/>
  <c r="J335" i="22"/>
  <c r="I335" i="22"/>
  <c r="H335" i="22"/>
  <c r="G335" i="22"/>
  <c r="F335" i="22"/>
  <c r="E335" i="22"/>
  <c r="D335" i="22"/>
  <c r="AQ334" i="22"/>
  <c r="AP334" i="22"/>
  <c r="AO334" i="22"/>
  <c r="AM334" i="22"/>
  <c r="AL334" i="22"/>
  <c r="AK334" i="22"/>
  <c r="AJ334" i="22"/>
  <c r="AI334" i="22"/>
  <c r="AH334" i="22"/>
  <c r="AD334" i="22"/>
  <c r="AC334" i="22"/>
  <c r="AB334" i="22"/>
  <c r="AA334" i="22"/>
  <c r="Z334" i="22"/>
  <c r="Y334" i="22"/>
  <c r="X334" i="22"/>
  <c r="W334" i="22"/>
  <c r="V334" i="22"/>
  <c r="U334" i="22"/>
  <c r="T334" i="22"/>
  <c r="S334" i="22"/>
  <c r="O334" i="22"/>
  <c r="N334" i="22"/>
  <c r="M334" i="22"/>
  <c r="L334" i="22"/>
  <c r="K334" i="22"/>
  <c r="J334" i="22"/>
  <c r="I334" i="22"/>
  <c r="H334" i="22"/>
  <c r="G334" i="22"/>
  <c r="F334" i="22"/>
  <c r="E334" i="22"/>
  <c r="D334" i="22"/>
  <c r="AQ333" i="22"/>
  <c r="AP333" i="22"/>
  <c r="AO333" i="22"/>
  <c r="AM333" i="22"/>
  <c r="AL333" i="22"/>
  <c r="AK333" i="22"/>
  <c r="AJ333" i="22"/>
  <c r="AI333" i="22"/>
  <c r="AH333" i="22"/>
  <c r="AD333" i="22"/>
  <c r="AC333" i="22"/>
  <c r="AB333" i="22"/>
  <c r="AA333" i="22"/>
  <c r="Z333" i="22"/>
  <c r="Y333" i="22"/>
  <c r="X333" i="22"/>
  <c r="W333" i="22"/>
  <c r="V333" i="22"/>
  <c r="U333" i="22"/>
  <c r="T333" i="22"/>
  <c r="S333" i="22"/>
  <c r="O333" i="22"/>
  <c r="N333" i="22"/>
  <c r="M333" i="22"/>
  <c r="L333" i="22"/>
  <c r="K333" i="22"/>
  <c r="J333" i="22"/>
  <c r="I333" i="22"/>
  <c r="H333" i="22"/>
  <c r="G333" i="22"/>
  <c r="F333" i="22"/>
  <c r="E333" i="22"/>
  <c r="D333" i="22"/>
  <c r="AQ332" i="22"/>
  <c r="AP332" i="22"/>
  <c r="AO332" i="22"/>
  <c r="AM332" i="22"/>
  <c r="AL332" i="22"/>
  <c r="AK332" i="22"/>
  <c r="AJ332" i="22"/>
  <c r="AI332" i="22"/>
  <c r="AH332" i="22"/>
  <c r="AD332" i="22"/>
  <c r="AC332" i="22"/>
  <c r="AB332" i="22"/>
  <c r="AA332" i="22"/>
  <c r="Z332" i="22"/>
  <c r="Y332" i="22"/>
  <c r="X332" i="22"/>
  <c r="W332" i="22"/>
  <c r="V332" i="22"/>
  <c r="U332" i="22"/>
  <c r="T332" i="22"/>
  <c r="S332" i="22"/>
  <c r="O332" i="22"/>
  <c r="N332" i="22"/>
  <c r="M332" i="22"/>
  <c r="L332" i="22"/>
  <c r="K332" i="22"/>
  <c r="J332" i="22"/>
  <c r="I332" i="22"/>
  <c r="H332" i="22"/>
  <c r="G332" i="22"/>
  <c r="F332" i="22"/>
  <c r="E332" i="22"/>
  <c r="D332" i="22"/>
  <c r="AQ331" i="22"/>
  <c r="AP331" i="22"/>
  <c r="AO331" i="22"/>
  <c r="AM331" i="22"/>
  <c r="AL331" i="22"/>
  <c r="AK331" i="22"/>
  <c r="AJ331" i="22"/>
  <c r="AI331" i="22"/>
  <c r="AH331" i="22"/>
  <c r="AD331" i="22"/>
  <c r="AC331" i="22"/>
  <c r="AB331" i="22"/>
  <c r="AA331" i="22"/>
  <c r="Z331" i="22"/>
  <c r="Y331" i="22"/>
  <c r="X331" i="22"/>
  <c r="W331" i="22"/>
  <c r="V331" i="22"/>
  <c r="U331" i="22"/>
  <c r="T331" i="22"/>
  <c r="S331" i="22"/>
  <c r="O331" i="22"/>
  <c r="N331" i="22"/>
  <c r="M331" i="22"/>
  <c r="L331" i="22"/>
  <c r="K331" i="22"/>
  <c r="J331" i="22"/>
  <c r="I331" i="22"/>
  <c r="H331" i="22"/>
  <c r="G331" i="22"/>
  <c r="F331" i="22"/>
  <c r="E331" i="22"/>
  <c r="D331" i="22"/>
  <c r="AQ330" i="22"/>
  <c r="AP330" i="22"/>
  <c r="AO330" i="22"/>
  <c r="AM330" i="22"/>
  <c r="AL330" i="22"/>
  <c r="AK330" i="22"/>
  <c r="AJ330" i="22"/>
  <c r="AI330" i="22"/>
  <c r="AH330" i="22"/>
  <c r="AD330" i="22"/>
  <c r="AC330" i="22"/>
  <c r="AB330" i="22"/>
  <c r="AA330" i="22"/>
  <c r="Z330" i="22"/>
  <c r="Y330" i="22"/>
  <c r="X330" i="22"/>
  <c r="W330" i="22"/>
  <c r="V330" i="22"/>
  <c r="U330" i="22"/>
  <c r="T330" i="22"/>
  <c r="S330" i="22"/>
  <c r="O330" i="22"/>
  <c r="N330" i="22"/>
  <c r="M330" i="22"/>
  <c r="L330" i="22"/>
  <c r="K330" i="22"/>
  <c r="J330" i="22"/>
  <c r="I330" i="22"/>
  <c r="H330" i="22"/>
  <c r="G330" i="22"/>
  <c r="F330" i="22"/>
  <c r="E330" i="22"/>
  <c r="D330" i="22"/>
  <c r="AQ329" i="22"/>
  <c r="AP329" i="22"/>
  <c r="AO329" i="22"/>
  <c r="AM329" i="22"/>
  <c r="AL329" i="22"/>
  <c r="AK329" i="22"/>
  <c r="AJ329" i="22"/>
  <c r="AI329" i="22"/>
  <c r="AH329" i="22"/>
  <c r="AD329" i="22"/>
  <c r="AC329" i="22"/>
  <c r="AB329" i="22"/>
  <c r="AA329" i="22"/>
  <c r="Z329" i="22"/>
  <c r="Y329" i="22"/>
  <c r="X329" i="22"/>
  <c r="W329" i="22"/>
  <c r="V329" i="22"/>
  <c r="U329" i="22"/>
  <c r="T329" i="22"/>
  <c r="S329" i="22"/>
  <c r="O329" i="22"/>
  <c r="N329" i="22"/>
  <c r="M329" i="22"/>
  <c r="L329" i="22"/>
  <c r="K329" i="22"/>
  <c r="J329" i="22"/>
  <c r="I329" i="22"/>
  <c r="H329" i="22"/>
  <c r="G329" i="22"/>
  <c r="F329" i="22"/>
  <c r="E329" i="22"/>
  <c r="D329" i="22"/>
  <c r="AQ319" i="22"/>
  <c r="AP319" i="22"/>
  <c r="AO319" i="22"/>
  <c r="AM319" i="22"/>
  <c r="AL319" i="22"/>
  <c r="AK319" i="22"/>
  <c r="AJ319" i="22"/>
  <c r="AI319" i="22"/>
  <c r="AH319" i="22"/>
  <c r="AD319" i="22"/>
  <c r="AC319" i="22"/>
  <c r="AB319" i="22"/>
  <c r="AA319" i="22"/>
  <c r="Z319" i="22"/>
  <c r="Y319" i="22"/>
  <c r="X319" i="22"/>
  <c r="W319" i="22"/>
  <c r="V319" i="22"/>
  <c r="U319" i="22"/>
  <c r="T319" i="22"/>
  <c r="S319" i="22"/>
  <c r="O319" i="22"/>
  <c r="N319" i="22"/>
  <c r="M319" i="22"/>
  <c r="L319" i="22"/>
  <c r="K319" i="22"/>
  <c r="J319" i="22"/>
  <c r="I319" i="22"/>
  <c r="H319" i="22"/>
  <c r="G319" i="22"/>
  <c r="F319" i="22"/>
  <c r="E319" i="22"/>
  <c r="D319" i="22"/>
  <c r="AQ318" i="22"/>
  <c r="AP318" i="22"/>
  <c r="AO318" i="22"/>
  <c r="AM318" i="22"/>
  <c r="AL318" i="22"/>
  <c r="AK318" i="22"/>
  <c r="AJ318" i="22"/>
  <c r="AI318" i="22"/>
  <c r="AH318" i="22"/>
  <c r="AD318" i="22"/>
  <c r="AC318" i="22"/>
  <c r="AB318" i="22"/>
  <c r="AA318" i="22"/>
  <c r="Z318" i="22"/>
  <c r="Y318" i="22"/>
  <c r="X318" i="22"/>
  <c r="W318" i="22"/>
  <c r="V318" i="22"/>
  <c r="U318" i="22"/>
  <c r="T318" i="22"/>
  <c r="S318" i="22"/>
  <c r="O318" i="22"/>
  <c r="N318" i="22"/>
  <c r="M318" i="22"/>
  <c r="L318" i="22"/>
  <c r="K318" i="22"/>
  <c r="J318" i="22"/>
  <c r="I318" i="22"/>
  <c r="H318" i="22"/>
  <c r="G318" i="22"/>
  <c r="F318" i="22"/>
  <c r="E318" i="22"/>
  <c r="D318" i="22"/>
  <c r="AQ317" i="22"/>
  <c r="AP317" i="22"/>
  <c r="AO317" i="22"/>
  <c r="AM317" i="22"/>
  <c r="AL317" i="22"/>
  <c r="AK317" i="22"/>
  <c r="AJ317" i="22"/>
  <c r="AI317" i="22"/>
  <c r="AH317" i="22"/>
  <c r="AD317" i="22"/>
  <c r="AC317" i="22"/>
  <c r="AB317" i="22"/>
  <c r="AA317" i="22"/>
  <c r="Z317" i="22"/>
  <c r="Y317" i="22"/>
  <c r="X317" i="22"/>
  <c r="W317" i="22"/>
  <c r="V317" i="22"/>
  <c r="U317" i="22"/>
  <c r="T317" i="22"/>
  <c r="S317" i="22"/>
  <c r="O317" i="22"/>
  <c r="N317" i="22"/>
  <c r="M317" i="22"/>
  <c r="L317" i="22"/>
  <c r="K317" i="22"/>
  <c r="J317" i="22"/>
  <c r="I317" i="22"/>
  <c r="H317" i="22"/>
  <c r="G317" i="22"/>
  <c r="F317" i="22"/>
  <c r="E317" i="22"/>
  <c r="D317" i="22"/>
  <c r="AQ316" i="22"/>
  <c r="AP316" i="22"/>
  <c r="AO316" i="22"/>
  <c r="AM316" i="22"/>
  <c r="AL316" i="22"/>
  <c r="AK316" i="22"/>
  <c r="AJ316" i="22"/>
  <c r="AI316" i="22"/>
  <c r="AH316" i="22"/>
  <c r="AD316" i="22"/>
  <c r="AC316" i="22"/>
  <c r="AB316" i="22"/>
  <c r="AA316" i="22"/>
  <c r="Z316" i="22"/>
  <c r="Y316" i="22"/>
  <c r="X316" i="22"/>
  <c r="W316" i="22"/>
  <c r="V316" i="22"/>
  <c r="U316" i="22"/>
  <c r="T316" i="22"/>
  <c r="S316" i="22"/>
  <c r="O316" i="22"/>
  <c r="N316" i="22"/>
  <c r="M316" i="22"/>
  <c r="L316" i="22"/>
  <c r="K316" i="22"/>
  <c r="J316" i="22"/>
  <c r="I316" i="22"/>
  <c r="H316" i="22"/>
  <c r="G316" i="22"/>
  <c r="F316" i="22"/>
  <c r="E316" i="22"/>
  <c r="D316" i="22"/>
  <c r="AQ315" i="22"/>
  <c r="AP315" i="22"/>
  <c r="AO315" i="22"/>
  <c r="AM315" i="22"/>
  <c r="AL315" i="22"/>
  <c r="AK315" i="22"/>
  <c r="AJ315" i="22"/>
  <c r="AI315" i="22"/>
  <c r="AH315" i="22"/>
  <c r="AD315" i="22"/>
  <c r="AC315" i="22"/>
  <c r="AB315" i="22"/>
  <c r="AA315" i="22"/>
  <c r="Z315" i="22"/>
  <c r="Y315" i="22"/>
  <c r="X315" i="22"/>
  <c r="W315" i="22"/>
  <c r="V315" i="22"/>
  <c r="U315" i="22"/>
  <c r="T315" i="22"/>
  <c r="S315" i="22"/>
  <c r="O315" i="22"/>
  <c r="N315" i="22"/>
  <c r="M315" i="22"/>
  <c r="L315" i="22"/>
  <c r="K315" i="22"/>
  <c r="J315" i="22"/>
  <c r="I315" i="22"/>
  <c r="H315" i="22"/>
  <c r="G315" i="22"/>
  <c r="F315" i="22"/>
  <c r="E315" i="22"/>
  <c r="D315" i="22"/>
  <c r="AQ314" i="22"/>
  <c r="AP314" i="22"/>
  <c r="AO314" i="22"/>
  <c r="AM314" i="22"/>
  <c r="AL314" i="22"/>
  <c r="AK314" i="22"/>
  <c r="AJ314" i="22"/>
  <c r="AI314" i="22"/>
  <c r="AH314" i="22"/>
  <c r="AD314" i="22"/>
  <c r="AC314" i="22"/>
  <c r="AB314" i="22"/>
  <c r="AA314" i="22"/>
  <c r="Z314" i="22"/>
  <c r="Y314" i="22"/>
  <c r="X314" i="22"/>
  <c r="W314" i="22"/>
  <c r="V314" i="22"/>
  <c r="U314" i="22"/>
  <c r="T314" i="22"/>
  <c r="S314" i="22"/>
  <c r="O314" i="22"/>
  <c r="N314" i="22"/>
  <c r="M314" i="22"/>
  <c r="L314" i="22"/>
  <c r="K314" i="22"/>
  <c r="J314" i="22"/>
  <c r="I314" i="22"/>
  <c r="H314" i="22"/>
  <c r="G314" i="22"/>
  <c r="F314" i="22"/>
  <c r="E314" i="22"/>
  <c r="D314" i="22"/>
  <c r="AQ313" i="22"/>
  <c r="AP313" i="22"/>
  <c r="AO313" i="22"/>
  <c r="AM313" i="22"/>
  <c r="AL313" i="22"/>
  <c r="AK313" i="22"/>
  <c r="AJ313" i="22"/>
  <c r="AI313" i="22"/>
  <c r="AH313" i="22"/>
  <c r="AD313" i="22"/>
  <c r="AC313" i="22"/>
  <c r="AB313" i="22"/>
  <c r="AA313" i="22"/>
  <c r="Z313" i="22"/>
  <c r="Y313" i="22"/>
  <c r="X313" i="22"/>
  <c r="W313" i="22"/>
  <c r="V313" i="22"/>
  <c r="U313" i="22"/>
  <c r="T313" i="22"/>
  <c r="S313" i="22"/>
  <c r="O313" i="22"/>
  <c r="N313" i="22"/>
  <c r="M313" i="22"/>
  <c r="L313" i="22"/>
  <c r="K313" i="22"/>
  <c r="J313" i="22"/>
  <c r="I313" i="22"/>
  <c r="H313" i="22"/>
  <c r="G313" i="22"/>
  <c r="F313" i="22"/>
  <c r="E313" i="22"/>
  <c r="D313" i="22"/>
  <c r="AE303" i="22"/>
  <c r="AF303" i="22" s="1"/>
  <c r="P303" i="22"/>
  <c r="Q303" i="22" s="1"/>
  <c r="AE302" i="22"/>
  <c r="AF302" i="22" s="1"/>
  <c r="P302" i="22"/>
  <c r="Q302" i="22" s="1"/>
  <c r="AE301" i="22"/>
  <c r="AF301" i="22" s="1"/>
  <c r="P301" i="22"/>
  <c r="Q301" i="22" s="1"/>
  <c r="AE300" i="22"/>
  <c r="AF300" i="22" s="1"/>
  <c r="P300" i="22"/>
  <c r="Q300" i="22" s="1"/>
  <c r="AE299" i="22"/>
  <c r="AF299" i="22" s="1"/>
  <c r="P299" i="22"/>
  <c r="Q299" i="22" s="1"/>
  <c r="AE298" i="22"/>
  <c r="AF298" i="22" s="1"/>
  <c r="P298" i="22"/>
  <c r="Q298" i="22" s="1"/>
  <c r="AE297" i="22"/>
  <c r="AF297" i="22" s="1"/>
  <c r="P297" i="22"/>
  <c r="Q297" i="22" s="1"/>
  <c r="AU292" i="22"/>
  <c r="CB292" i="22" s="1"/>
  <c r="AE287" i="22"/>
  <c r="AF287" i="22" s="1"/>
  <c r="P287" i="22"/>
  <c r="Q287" i="22" s="1"/>
  <c r="AE286" i="22"/>
  <c r="AF286" i="22" s="1"/>
  <c r="P286" i="22"/>
  <c r="Q286" i="22" s="1"/>
  <c r="AE285" i="22"/>
  <c r="AF285" i="22" s="1"/>
  <c r="P285" i="22"/>
  <c r="Q285" i="22" s="1"/>
  <c r="AE284" i="22"/>
  <c r="AF284" i="22" s="1"/>
  <c r="P284" i="22"/>
  <c r="Q284" i="22" s="1"/>
  <c r="AE283" i="22"/>
  <c r="AF283" i="22" s="1"/>
  <c r="P283" i="22"/>
  <c r="Q283" i="22" s="1"/>
  <c r="AE282" i="22"/>
  <c r="AF282" i="22" s="1"/>
  <c r="P282" i="22"/>
  <c r="Q282" i="22" s="1"/>
  <c r="AE281" i="22"/>
  <c r="AF281" i="22" s="1"/>
  <c r="P281" i="22"/>
  <c r="Q281" i="22" s="1"/>
  <c r="AU280" i="22"/>
  <c r="CB280" i="22" s="1"/>
  <c r="AU279" i="22"/>
  <c r="CB279" i="22" s="1"/>
  <c r="AU278" i="22"/>
  <c r="CB278" i="22" s="1"/>
  <c r="AU277" i="22"/>
  <c r="CB277" i="22" s="1"/>
  <c r="AU276" i="22"/>
  <c r="CB276" i="22" s="1"/>
  <c r="AE271" i="22"/>
  <c r="AF271" i="22" s="1"/>
  <c r="P271" i="22"/>
  <c r="Q271" i="22" s="1"/>
  <c r="AE270" i="22"/>
  <c r="AF270" i="22" s="1"/>
  <c r="P270" i="22"/>
  <c r="Q270" i="22" s="1"/>
  <c r="AE269" i="22"/>
  <c r="AF269" i="22" s="1"/>
  <c r="P269" i="22"/>
  <c r="Q269" i="22" s="1"/>
  <c r="AE268" i="22"/>
  <c r="AF268" i="22" s="1"/>
  <c r="P268" i="22"/>
  <c r="Q268" i="22" s="1"/>
  <c r="AE267" i="22"/>
  <c r="AF267" i="22" s="1"/>
  <c r="P267" i="22"/>
  <c r="Q267" i="22" s="1"/>
  <c r="AE266" i="22"/>
  <c r="AF266" i="22" s="1"/>
  <c r="P266" i="22"/>
  <c r="Q266" i="22" s="1"/>
  <c r="AE265" i="22"/>
  <c r="AF265" i="22" s="1"/>
  <c r="P265" i="22"/>
  <c r="Q265" i="22" s="1"/>
  <c r="AU260" i="22"/>
  <c r="CB260" i="22" s="1"/>
  <c r="AE259" i="22"/>
  <c r="AF259" i="22" s="1"/>
  <c r="P259" i="22"/>
  <c r="Q259" i="22" s="1"/>
  <c r="AE258" i="22"/>
  <c r="AF258" i="22" s="1"/>
  <c r="P258" i="22"/>
  <c r="Q258" i="22" s="1"/>
  <c r="AE257" i="22"/>
  <c r="AF257" i="22" s="1"/>
  <c r="P257" i="22"/>
  <c r="Q257" i="22" s="1"/>
  <c r="AQ256" i="22"/>
  <c r="AP256" i="22"/>
  <c r="AO256" i="22"/>
  <c r="AM256" i="22"/>
  <c r="AL256" i="22"/>
  <c r="AK256" i="22"/>
  <c r="AJ256" i="22"/>
  <c r="AI256" i="22"/>
  <c r="AH256" i="22"/>
  <c r="AD256" i="22"/>
  <c r="AC256" i="22"/>
  <c r="AB256" i="22"/>
  <c r="AA256" i="22"/>
  <c r="Z256" i="22"/>
  <c r="Y256" i="22"/>
  <c r="X256" i="22"/>
  <c r="W256" i="22"/>
  <c r="V256" i="22"/>
  <c r="U256" i="22"/>
  <c r="T256" i="22"/>
  <c r="S256" i="22"/>
  <c r="O256" i="22"/>
  <c r="N256" i="22"/>
  <c r="M256" i="22"/>
  <c r="L256" i="22"/>
  <c r="K256" i="22"/>
  <c r="J256" i="22"/>
  <c r="I256" i="22"/>
  <c r="H256" i="22"/>
  <c r="G256" i="22"/>
  <c r="F256" i="22"/>
  <c r="E256" i="22"/>
  <c r="D256" i="22"/>
  <c r="AE255" i="22"/>
  <c r="AF255" i="22" s="1"/>
  <c r="P255" i="22"/>
  <c r="Q255" i="22" s="1"/>
  <c r="AE254" i="22"/>
  <c r="AF254" i="22" s="1"/>
  <c r="P254" i="22"/>
  <c r="Q254" i="22" s="1"/>
  <c r="AE253" i="22"/>
  <c r="AF253" i="22" s="1"/>
  <c r="P253" i="22"/>
  <c r="Q253" i="22" s="1"/>
  <c r="AE252" i="22"/>
  <c r="AF252" i="22" s="1"/>
  <c r="P252" i="22"/>
  <c r="Q252" i="22" s="1"/>
  <c r="AE251" i="22"/>
  <c r="AF251" i="22" s="1"/>
  <c r="P251" i="22"/>
  <c r="Q251" i="22" s="1"/>
  <c r="AE250" i="22"/>
  <c r="AF250" i="22" s="1"/>
  <c r="P250" i="22"/>
  <c r="Q250" i="22" s="1"/>
  <c r="AE249" i="22"/>
  <c r="AF249" i="22" s="1"/>
  <c r="P249" i="22"/>
  <c r="Q249" i="22" s="1"/>
  <c r="AU248" i="22"/>
  <c r="CB248" i="22" s="1"/>
  <c r="AU247" i="22"/>
  <c r="CB247" i="22" s="1"/>
  <c r="AU246" i="22"/>
  <c r="CB246" i="22" s="1"/>
  <c r="AU245" i="22"/>
  <c r="CB245" i="22" s="1"/>
  <c r="AU244" i="22"/>
  <c r="CB244" i="22" s="1"/>
  <c r="AE243" i="22"/>
  <c r="AF243" i="22" s="1"/>
  <c r="P243" i="22"/>
  <c r="Q243" i="22" s="1"/>
  <c r="AE242" i="22"/>
  <c r="AF242" i="22" s="1"/>
  <c r="P242" i="22"/>
  <c r="Q242" i="22" s="1"/>
  <c r="AE241" i="22"/>
  <c r="AF241" i="22" s="1"/>
  <c r="P241" i="22"/>
  <c r="Q241" i="22" s="1"/>
  <c r="AQ240" i="22"/>
  <c r="AP240" i="22"/>
  <c r="AO240" i="22"/>
  <c r="AM240" i="22"/>
  <c r="AL240" i="22"/>
  <c r="AK240" i="22"/>
  <c r="AJ240" i="22"/>
  <c r="AI240" i="22"/>
  <c r="AH240" i="22"/>
  <c r="AD240" i="22"/>
  <c r="AC240" i="22"/>
  <c r="AB240" i="22"/>
  <c r="AA240" i="22"/>
  <c r="Z240" i="22"/>
  <c r="Y240" i="22"/>
  <c r="X240" i="22"/>
  <c r="W240" i="22"/>
  <c r="V240" i="22"/>
  <c r="U240" i="22"/>
  <c r="T240" i="22"/>
  <c r="S240" i="22"/>
  <c r="O240" i="22"/>
  <c r="N240" i="22"/>
  <c r="M240" i="22"/>
  <c r="L240" i="22"/>
  <c r="K240" i="22"/>
  <c r="J240" i="22"/>
  <c r="I240" i="22"/>
  <c r="H240" i="22"/>
  <c r="G240" i="22"/>
  <c r="F240" i="22"/>
  <c r="E240" i="22"/>
  <c r="D240" i="22"/>
  <c r="AE239" i="22"/>
  <c r="AF239" i="22" s="1"/>
  <c r="P239" i="22"/>
  <c r="Q239" i="22" s="1"/>
  <c r="AE238" i="22"/>
  <c r="AF238" i="22" s="1"/>
  <c r="P238" i="22"/>
  <c r="Q238" i="22" s="1"/>
  <c r="AE237" i="22"/>
  <c r="AF237" i="22" s="1"/>
  <c r="P237" i="22"/>
  <c r="Q237" i="22" s="1"/>
  <c r="AE236" i="22"/>
  <c r="AF236" i="22" s="1"/>
  <c r="P236" i="22"/>
  <c r="Q236" i="22" s="1"/>
  <c r="AE235" i="22"/>
  <c r="AF235" i="22" s="1"/>
  <c r="P235" i="22"/>
  <c r="Q235" i="22" s="1"/>
  <c r="AE234" i="22"/>
  <c r="AF234" i="22" s="1"/>
  <c r="P234" i="22"/>
  <c r="Q234" i="22" s="1"/>
  <c r="AE233" i="22"/>
  <c r="AF233" i="22" s="1"/>
  <c r="P233" i="22"/>
  <c r="Q233" i="22" s="1"/>
  <c r="AU230" i="22"/>
  <c r="CB230" i="22" s="1"/>
  <c r="AU229" i="22"/>
  <c r="CB229" i="22" s="1"/>
  <c r="AU228" i="22"/>
  <c r="CB228" i="22" s="1"/>
  <c r="AE227" i="22"/>
  <c r="AF227" i="22" s="1"/>
  <c r="P227" i="22"/>
  <c r="Q227" i="22" s="1"/>
  <c r="AE226" i="22"/>
  <c r="AF226" i="22" s="1"/>
  <c r="P226" i="22"/>
  <c r="Q226" i="22" s="1"/>
  <c r="AE225" i="22"/>
  <c r="AF225" i="22" s="1"/>
  <c r="P225" i="22"/>
  <c r="Q225" i="22" s="1"/>
  <c r="AQ224" i="22"/>
  <c r="AP224" i="22"/>
  <c r="AO224" i="22"/>
  <c r="AM224" i="22"/>
  <c r="AL224" i="22"/>
  <c r="AK224" i="22"/>
  <c r="AJ224" i="22"/>
  <c r="AI224" i="22"/>
  <c r="AH224" i="22"/>
  <c r="AD224" i="22"/>
  <c r="AC224" i="22"/>
  <c r="AB224" i="22"/>
  <c r="AA224" i="22"/>
  <c r="Z224" i="22"/>
  <c r="Y224" i="22"/>
  <c r="X224" i="22"/>
  <c r="W224" i="22"/>
  <c r="V224" i="22"/>
  <c r="U224" i="22"/>
  <c r="T224" i="22"/>
  <c r="S224" i="22"/>
  <c r="O224" i="22"/>
  <c r="N224" i="22"/>
  <c r="M224" i="22"/>
  <c r="L224" i="22"/>
  <c r="K224" i="22"/>
  <c r="J224" i="22"/>
  <c r="I224" i="22"/>
  <c r="H224" i="22"/>
  <c r="G224" i="22"/>
  <c r="F224" i="22"/>
  <c r="E224" i="22"/>
  <c r="D224" i="22"/>
  <c r="AE223" i="22"/>
  <c r="AF223" i="22" s="1"/>
  <c r="P223" i="22"/>
  <c r="Q223" i="22" s="1"/>
  <c r="AE222" i="22"/>
  <c r="AF222" i="22" s="1"/>
  <c r="P222" i="22"/>
  <c r="Q222" i="22" s="1"/>
  <c r="AE221" i="22"/>
  <c r="AF221" i="22" s="1"/>
  <c r="P221" i="22"/>
  <c r="Q221" i="22" s="1"/>
  <c r="AE220" i="22"/>
  <c r="AF220" i="22" s="1"/>
  <c r="P220" i="22"/>
  <c r="Q220" i="22" s="1"/>
  <c r="AE219" i="22"/>
  <c r="AF219" i="22" s="1"/>
  <c r="P219" i="22"/>
  <c r="Q219" i="22" s="1"/>
  <c r="AE218" i="22"/>
  <c r="AF218" i="22" s="1"/>
  <c r="P218" i="22"/>
  <c r="Q218" i="22" s="1"/>
  <c r="AE217" i="22"/>
  <c r="AF217" i="22" s="1"/>
  <c r="P217" i="22"/>
  <c r="Q217" i="22" s="1"/>
  <c r="AE211" i="22"/>
  <c r="AF211" i="22" s="1"/>
  <c r="P211" i="22"/>
  <c r="Q211" i="22" s="1"/>
  <c r="AE210" i="22"/>
  <c r="AF210" i="22" s="1"/>
  <c r="P210" i="22"/>
  <c r="Q210" i="22" s="1"/>
  <c r="AE209" i="22"/>
  <c r="AF209" i="22" s="1"/>
  <c r="P209" i="22"/>
  <c r="Q209" i="22" s="1"/>
  <c r="AQ208" i="22"/>
  <c r="AP208" i="22"/>
  <c r="AO208" i="22"/>
  <c r="AM208" i="22"/>
  <c r="AL208" i="22"/>
  <c r="AK208" i="22"/>
  <c r="AJ208" i="22"/>
  <c r="AI208" i="22"/>
  <c r="AH208" i="22"/>
  <c r="AD208" i="22"/>
  <c r="AC208" i="22"/>
  <c r="AB208" i="22"/>
  <c r="AA208" i="22"/>
  <c r="Z208" i="22"/>
  <c r="Y208" i="22"/>
  <c r="X208" i="22"/>
  <c r="W208" i="22"/>
  <c r="V208" i="22"/>
  <c r="U208" i="22"/>
  <c r="T208" i="22"/>
  <c r="S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B206" i="22"/>
  <c r="CA206" i="22"/>
  <c r="CA204" i="22"/>
  <c r="AE203" i="22"/>
  <c r="AF203" i="22" s="1"/>
  <c r="Q203" i="22"/>
  <c r="P203" i="22"/>
  <c r="AE202" i="22"/>
  <c r="AF202" i="22" s="1"/>
  <c r="Q202" i="22"/>
  <c r="P202" i="22"/>
  <c r="AE201" i="22"/>
  <c r="AF201" i="22" s="1"/>
  <c r="Q201" i="22"/>
  <c r="P201" i="22"/>
  <c r="AE200" i="22"/>
  <c r="AF200" i="22" s="1"/>
  <c r="Q200" i="22"/>
  <c r="P200" i="22"/>
  <c r="AE199" i="22"/>
  <c r="AF199" i="22" s="1"/>
  <c r="Q199" i="22"/>
  <c r="P199" i="22"/>
  <c r="AE198" i="22"/>
  <c r="AF198" i="22" s="1"/>
  <c r="Q198" i="22"/>
  <c r="P198" i="22"/>
  <c r="AE197" i="22"/>
  <c r="AF197" i="22" s="1"/>
  <c r="Q197" i="22"/>
  <c r="P197" i="22"/>
  <c r="AE196" i="22"/>
  <c r="AF196" i="22" s="1"/>
  <c r="Q196" i="22"/>
  <c r="P196" i="22"/>
  <c r="AE195" i="22"/>
  <c r="AF195" i="22" s="1"/>
  <c r="Q195" i="22"/>
  <c r="P195" i="22"/>
  <c r="AE194" i="22"/>
  <c r="AF194" i="22" s="1"/>
  <c r="Q194" i="22"/>
  <c r="P194" i="22"/>
  <c r="AE193" i="22"/>
  <c r="AF193" i="22" s="1"/>
  <c r="Q193" i="22"/>
  <c r="P193" i="22"/>
  <c r="AE192" i="22"/>
  <c r="AF192" i="22" s="1"/>
  <c r="Q192" i="22"/>
  <c r="P192" i="22"/>
  <c r="AE191" i="22"/>
  <c r="AF191" i="22" s="1"/>
  <c r="Q191" i="22"/>
  <c r="P191" i="22"/>
  <c r="AE190" i="22"/>
  <c r="AF190" i="22" s="1"/>
  <c r="Q190" i="22"/>
  <c r="P190" i="22"/>
  <c r="AE189" i="22"/>
  <c r="AF189" i="22" s="1"/>
  <c r="Q189" i="22"/>
  <c r="P189" i="22"/>
  <c r="AE188" i="22"/>
  <c r="AF188" i="22" s="1"/>
  <c r="Q188" i="22"/>
  <c r="P188" i="22"/>
  <c r="AE187" i="22"/>
  <c r="AF187" i="22" s="1"/>
  <c r="Q187" i="22"/>
  <c r="P187" i="22"/>
  <c r="AE186" i="22"/>
  <c r="AF186" i="22" s="1"/>
  <c r="Q186" i="22"/>
  <c r="P186" i="22"/>
  <c r="AE185" i="22"/>
  <c r="AF185" i="22" s="1"/>
  <c r="Q185" i="22"/>
  <c r="P185" i="22"/>
  <c r="AE184" i="22"/>
  <c r="AF184" i="22" s="1"/>
  <c r="Q184" i="22"/>
  <c r="P184" i="22"/>
  <c r="AE183" i="22"/>
  <c r="AF183" i="22" s="1"/>
  <c r="Q183" i="22"/>
  <c r="P183" i="22"/>
  <c r="AE182" i="22"/>
  <c r="AF182" i="22" s="1"/>
  <c r="Q182" i="22"/>
  <c r="P182" i="22"/>
  <c r="AE181" i="22"/>
  <c r="AF181" i="22" s="1"/>
  <c r="Q181" i="22"/>
  <c r="P181" i="22"/>
  <c r="AE180" i="22"/>
  <c r="AF180" i="22" s="1"/>
  <c r="Q180" i="22"/>
  <c r="P180" i="22"/>
  <c r="AE179" i="22"/>
  <c r="AF179" i="22" s="1"/>
  <c r="Q179" i="22"/>
  <c r="P179" i="22"/>
  <c r="AE178" i="22"/>
  <c r="AF178" i="22" s="1"/>
  <c r="Q178" i="22"/>
  <c r="P178" i="22"/>
  <c r="AE177" i="22"/>
  <c r="AF177" i="22" s="1"/>
  <c r="Q177" i="22"/>
  <c r="P177" i="22"/>
  <c r="AE176" i="22"/>
  <c r="AF176" i="22" s="1"/>
  <c r="Q176" i="22"/>
  <c r="P176" i="22"/>
  <c r="AE175" i="22"/>
  <c r="AF175" i="22" s="1"/>
  <c r="Q175" i="22"/>
  <c r="P175" i="22"/>
  <c r="AE174" i="22"/>
  <c r="AF174" i="22" s="1"/>
  <c r="Q174" i="22"/>
  <c r="P174" i="22"/>
  <c r="AE173" i="22"/>
  <c r="AF173" i="22" s="1"/>
  <c r="Q173" i="22"/>
  <c r="P173" i="22"/>
  <c r="AE172" i="22"/>
  <c r="AF172" i="22" s="1"/>
  <c r="Q172" i="22"/>
  <c r="P172" i="22"/>
  <c r="AE170" i="22"/>
  <c r="AF170" i="22" s="1"/>
  <c r="Q170" i="22"/>
  <c r="P170" i="22"/>
  <c r="AE169" i="22"/>
  <c r="AF169" i="22" s="1"/>
  <c r="Q169" i="22"/>
  <c r="P169" i="22"/>
  <c r="AE168" i="22"/>
  <c r="AF168" i="22" s="1"/>
  <c r="Q168" i="22"/>
  <c r="P168" i="22"/>
  <c r="AE167" i="22"/>
  <c r="AF167" i="22" s="1"/>
  <c r="Q167" i="22"/>
  <c r="P167" i="22"/>
  <c r="AE166" i="22"/>
  <c r="AF166" i="22" s="1"/>
  <c r="Q166" i="22"/>
  <c r="P166" i="22"/>
  <c r="AE165" i="22"/>
  <c r="AF165" i="22" s="1"/>
  <c r="Q165" i="22"/>
  <c r="P165" i="22"/>
  <c r="AE164" i="22"/>
  <c r="AF164" i="22" s="1"/>
  <c r="Q164" i="22"/>
  <c r="P164" i="22"/>
  <c r="AE163" i="22"/>
  <c r="AF163" i="22" s="1"/>
  <c r="Q163" i="22"/>
  <c r="P163" i="22"/>
  <c r="AE162" i="22"/>
  <c r="AF162" i="22" s="1"/>
  <c r="Q162" i="22"/>
  <c r="P162" i="22"/>
  <c r="AE161" i="22"/>
  <c r="AF161" i="22" s="1"/>
  <c r="Q161" i="22"/>
  <c r="P161" i="22"/>
  <c r="AE160" i="22"/>
  <c r="AF160" i="22" s="1"/>
  <c r="Q160" i="22"/>
  <c r="P160" i="22"/>
  <c r="AE159" i="22"/>
  <c r="AF159" i="22" s="1"/>
  <c r="Q159" i="22"/>
  <c r="P159" i="22"/>
  <c r="AE158" i="22"/>
  <c r="AF158" i="22" s="1"/>
  <c r="Q158" i="22"/>
  <c r="P158" i="22"/>
  <c r="AE157" i="22"/>
  <c r="AF157" i="22" s="1"/>
  <c r="Q157" i="22"/>
  <c r="P157" i="22"/>
  <c r="AE156" i="22"/>
  <c r="AF156" i="22" s="1"/>
  <c r="Q156" i="22"/>
  <c r="P156" i="22"/>
  <c r="AE155" i="22"/>
  <c r="AF155" i="22" s="1"/>
  <c r="Q155" i="22"/>
  <c r="P155" i="22"/>
  <c r="AE154" i="22"/>
  <c r="AF154" i="22" s="1"/>
  <c r="Q154" i="22"/>
  <c r="P154" i="22"/>
  <c r="AE153" i="22"/>
  <c r="AF153" i="22" s="1"/>
  <c r="Q153" i="22"/>
  <c r="P153" i="22"/>
  <c r="AE152" i="22"/>
  <c r="AF152" i="22" s="1"/>
  <c r="Q152" i="22"/>
  <c r="P152" i="22"/>
  <c r="AE151" i="22"/>
  <c r="AF151" i="22" s="1"/>
  <c r="Q151" i="22"/>
  <c r="P151" i="22"/>
  <c r="AE150" i="22"/>
  <c r="AF150" i="22" s="1"/>
  <c r="Q150" i="22"/>
  <c r="P150" i="22"/>
  <c r="AE149" i="22"/>
  <c r="AF149" i="22" s="1"/>
  <c r="Q149" i="22"/>
  <c r="P149" i="22"/>
  <c r="AE148" i="22"/>
  <c r="AF148" i="22" s="1"/>
  <c r="Q148" i="22"/>
  <c r="P148" i="22"/>
  <c r="AE147" i="22"/>
  <c r="AF147" i="22" s="1"/>
  <c r="Q147" i="22"/>
  <c r="P147" i="22"/>
  <c r="AE146" i="22"/>
  <c r="AF146" i="22" s="1"/>
  <c r="Q146" i="22"/>
  <c r="P146" i="22"/>
  <c r="AE145" i="22"/>
  <c r="AF145" i="22" s="1"/>
  <c r="Q145" i="22"/>
  <c r="P145" i="22"/>
  <c r="AE144" i="22"/>
  <c r="AF144" i="22" s="1"/>
  <c r="Q144" i="22"/>
  <c r="P144" i="22"/>
  <c r="AE143" i="22"/>
  <c r="AF143" i="22" s="1"/>
  <c r="Q143" i="22"/>
  <c r="P143" i="22"/>
  <c r="AE142" i="22"/>
  <c r="AF142" i="22" s="1"/>
  <c r="Q142" i="22"/>
  <c r="P142" i="22"/>
  <c r="AE141" i="22"/>
  <c r="AF141" i="22" s="1"/>
  <c r="Q141" i="22"/>
  <c r="P141" i="22"/>
  <c r="AE140" i="22"/>
  <c r="AF140" i="22" s="1"/>
  <c r="Q140" i="22"/>
  <c r="P140" i="22"/>
  <c r="AE139" i="22"/>
  <c r="AF139" i="22" s="1"/>
  <c r="Q139" i="22"/>
  <c r="P139" i="22"/>
  <c r="AE137" i="22"/>
  <c r="AF137" i="22" s="1"/>
  <c r="P137" i="22"/>
  <c r="Q137" i="22" s="1"/>
  <c r="AE136" i="22"/>
  <c r="AF136" i="22" s="1"/>
  <c r="P136" i="22"/>
  <c r="Q136" i="22" s="1"/>
  <c r="AE135" i="22"/>
  <c r="AF135" i="22" s="1"/>
  <c r="P135" i="22"/>
  <c r="Q135" i="22" s="1"/>
  <c r="AE134" i="22"/>
  <c r="AF134" i="22" s="1"/>
  <c r="P134" i="22"/>
  <c r="Q134" i="22" s="1"/>
  <c r="AE133" i="22"/>
  <c r="AF133" i="22" s="1"/>
  <c r="P133" i="22"/>
  <c r="Q133" i="22" s="1"/>
  <c r="AE132" i="22"/>
  <c r="AF132" i="22" s="1"/>
  <c r="P132" i="22"/>
  <c r="Q132" i="22" s="1"/>
  <c r="AE131" i="22"/>
  <c r="AF131" i="22" s="1"/>
  <c r="P131" i="22"/>
  <c r="Q131" i="22" s="1"/>
  <c r="AE130" i="22"/>
  <c r="AF130" i="22" s="1"/>
  <c r="P130" i="22"/>
  <c r="Q130" i="22" s="1"/>
  <c r="AE129" i="22"/>
  <c r="AF129" i="22" s="1"/>
  <c r="P129" i="22"/>
  <c r="Q129" i="22" s="1"/>
  <c r="AE128" i="22"/>
  <c r="AF128" i="22" s="1"/>
  <c r="P128" i="22"/>
  <c r="Q128" i="22" s="1"/>
  <c r="AQ127" i="22"/>
  <c r="AP127" i="22"/>
  <c r="AO127" i="22"/>
  <c r="AN127" i="22"/>
  <c r="AM127" i="22"/>
  <c r="AL127" i="22"/>
  <c r="AK127" i="22"/>
  <c r="AJ127" i="22"/>
  <c r="AI127" i="22"/>
  <c r="AH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AQ126" i="22"/>
  <c r="AP126" i="22"/>
  <c r="AO126" i="22"/>
  <c r="AN126" i="22"/>
  <c r="AM126" i="22"/>
  <c r="AL126" i="22"/>
  <c r="AK126" i="22"/>
  <c r="AJ126" i="22"/>
  <c r="AI126" i="22"/>
  <c r="AH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AQ125" i="22"/>
  <c r="AP125" i="22"/>
  <c r="AO125" i="22"/>
  <c r="AN125" i="22"/>
  <c r="AM125" i="22"/>
  <c r="AL125" i="22"/>
  <c r="AK125" i="22"/>
  <c r="AJ125" i="22"/>
  <c r="AI125" i="22"/>
  <c r="AH125" i="22"/>
  <c r="AD125" i="22"/>
  <c r="AC125" i="22"/>
  <c r="AB125" i="22"/>
  <c r="AA125" i="22"/>
  <c r="Z125" i="22"/>
  <c r="Y125" i="22"/>
  <c r="X125" i="22"/>
  <c r="W125" i="22"/>
  <c r="V125" i="22"/>
  <c r="U125" i="22"/>
  <c r="T125" i="22"/>
  <c r="S125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AQ124" i="22"/>
  <c r="AP124" i="22"/>
  <c r="AO124" i="22"/>
  <c r="AN124" i="22"/>
  <c r="AM124" i="22"/>
  <c r="AL124" i="22"/>
  <c r="AK124" i="22"/>
  <c r="AJ124" i="22"/>
  <c r="AI124" i="22"/>
  <c r="AH124" i="22"/>
  <c r="AD124" i="22"/>
  <c r="AC124" i="22"/>
  <c r="AB124" i="22"/>
  <c r="AA124" i="22"/>
  <c r="Z124" i="22"/>
  <c r="Y124" i="22"/>
  <c r="X124" i="22"/>
  <c r="W124" i="22"/>
  <c r="V124" i="22"/>
  <c r="U124" i="22"/>
  <c r="T124" i="22"/>
  <c r="S124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AQ123" i="22"/>
  <c r="AP123" i="22"/>
  <c r="AO123" i="22"/>
  <c r="AN123" i="22"/>
  <c r="AM123" i="22"/>
  <c r="AL123" i="22"/>
  <c r="AK123" i="22"/>
  <c r="AJ123" i="22"/>
  <c r="AI123" i="22"/>
  <c r="AH123" i="22"/>
  <c r="AD123" i="22"/>
  <c r="AC123" i="22"/>
  <c r="AB123" i="22"/>
  <c r="AA123" i="22"/>
  <c r="Z123" i="22"/>
  <c r="Y123" i="22"/>
  <c r="X123" i="22"/>
  <c r="W123" i="22"/>
  <c r="V123" i="22"/>
  <c r="U123" i="22"/>
  <c r="T123" i="22"/>
  <c r="S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AE122" i="22"/>
  <c r="AF122" i="22" s="1"/>
  <c r="P122" i="22"/>
  <c r="Q122" i="22" s="1"/>
  <c r="AE121" i="22"/>
  <c r="AF121" i="22" s="1"/>
  <c r="P121" i="22"/>
  <c r="Q121" i="22" s="1"/>
  <c r="AE120" i="22"/>
  <c r="AF120" i="22" s="1"/>
  <c r="P120" i="22"/>
  <c r="Q120" i="22" s="1"/>
  <c r="AQ119" i="22"/>
  <c r="AP119" i="22"/>
  <c r="AO119" i="22"/>
  <c r="AN119" i="22"/>
  <c r="AM119" i="22"/>
  <c r="AL119" i="22"/>
  <c r="AK119" i="22"/>
  <c r="AJ119" i="22"/>
  <c r="AI119" i="22"/>
  <c r="AH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AE118" i="22"/>
  <c r="AF118" i="22" s="1"/>
  <c r="P118" i="22"/>
  <c r="Q118" i="22" s="1"/>
  <c r="AE117" i="22"/>
  <c r="AF117" i="22" s="1"/>
  <c r="P117" i="22"/>
  <c r="Q117" i="22" s="1"/>
  <c r="AE116" i="22"/>
  <c r="AF116" i="22" s="1"/>
  <c r="P116" i="22"/>
  <c r="Q116" i="22" s="1"/>
  <c r="AE115" i="22"/>
  <c r="AF115" i="22" s="1"/>
  <c r="P115" i="22"/>
  <c r="Q115" i="22" s="1"/>
  <c r="AE114" i="22"/>
  <c r="AF114" i="22" s="1"/>
  <c r="P114" i="22"/>
  <c r="Q114" i="22" s="1"/>
  <c r="AE113" i="22"/>
  <c r="AF113" i="22" s="1"/>
  <c r="P113" i="22"/>
  <c r="Q113" i="22" s="1"/>
  <c r="AE112" i="22"/>
  <c r="AF112" i="22" s="1"/>
  <c r="P112" i="22"/>
  <c r="Q112" i="22" s="1"/>
  <c r="AE111" i="22"/>
  <c r="AF111" i="22" s="1"/>
  <c r="P111" i="22"/>
  <c r="Q111" i="22" s="1"/>
  <c r="AE110" i="22"/>
  <c r="AF110" i="22" s="1"/>
  <c r="P110" i="22"/>
  <c r="Q110" i="22" s="1"/>
  <c r="AE109" i="22"/>
  <c r="AF109" i="22" s="1"/>
  <c r="P109" i="22"/>
  <c r="Q109" i="22" s="1"/>
  <c r="AQ108" i="22"/>
  <c r="AP108" i="22"/>
  <c r="AO108" i="22"/>
  <c r="AN108" i="22"/>
  <c r="AM108" i="22"/>
  <c r="AL108" i="22"/>
  <c r="AK108" i="22"/>
  <c r="AJ108" i="22"/>
  <c r="AI108" i="22"/>
  <c r="AH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AQ107" i="22"/>
  <c r="AP107" i="22"/>
  <c r="AO107" i="22"/>
  <c r="AN107" i="22"/>
  <c r="AM107" i="22"/>
  <c r="AL107" i="22"/>
  <c r="AK107" i="22"/>
  <c r="AJ107" i="22"/>
  <c r="AI107" i="22"/>
  <c r="AH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AQ106" i="22"/>
  <c r="AP106" i="22"/>
  <c r="AO106" i="22"/>
  <c r="AN106" i="22"/>
  <c r="AM106" i="22"/>
  <c r="AL106" i="22"/>
  <c r="AK106" i="22"/>
  <c r="AJ106" i="22"/>
  <c r="AI106" i="22"/>
  <c r="AH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AQ105" i="22"/>
  <c r="AP105" i="22"/>
  <c r="AO105" i="22"/>
  <c r="AN105" i="22"/>
  <c r="AM105" i="22"/>
  <c r="AL105" i="22"/>
  <c r="AK105" i="22"/>
  <c r="AJ105" i="22"/>
  <c r="AI105" i="22"/>
  <c r="AH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AQ104" i="22"/>
  <c r="AP104" i="22"/>
  <c r="AO104" i="22"/>
  <c r="AN104" i="22"/>
  <c r="AM104" i="22"/>
  <c r="AL104" i="22"/>
  <c r="AK104" i="22"/>
  <c r="AJ104" i="22"/>
  <c r="AI104" i="22"/>
  <c r="AH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AE103" i="22"/>
  <c r="AF103" i="22" s="1"/>
  <c r="P103" i="22"/>
  <c r="Q103" i="22" s="1"/>
  <c r="AE102" i="22"/>
  <c r="AF102" i="22" s="1"/>
  <c r="P102" i="22"/>
  <c r="Q102" i="22" s="1"/>
  <c r="AE101" i="22"/>
  <c r="AF101" i="22" s="1"/>
  <c r="P101" i="22"/>
  <c r="Q101" i="22" s="1"/>
  <c r="AQ100" i="22"/>
  <c r="AP100" i="22"/>
  <c r="AO100" i="22"/>
  <c r="AN100" i="22"/>
  <c r="AL100" i="22"/>
  <c r="AK100" i="22"/>
  <c r="AJ100" i="22"/>
  <c r="AI100" i="22"/>
  <c r="AH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AE99" i="22"/>
  <c r="AF99" i="22" s="1"/>
  <c r="P99" i="22"/>
  <c r="Q99" i="22" s="1"/>
  <c r="AE98" i="22"/>
  <c r="AF98" i="22" s="1"/>
  <c r="P98" i="22"/>
  <c r="Q98" i="22" s="1"/>
  <c r="AE97" i="22"/>
  <c r="AF97" i="22" s="1"/>
  <c r="P97" i="22"/>
  <c r="Q97" i="22" s="1"/>
  <c r="AE96" i="22"/>
  <c r="AF96" i="22" s="1"/>
  <c r="P96" i="22"/>
  <c r="Q96" i="22" s="1"/>
  <c r="AE95" i="22"/>
  <c r="AF95" i="22" s="1"/>
  <c r="P95" i="22"/>
  <c r="Q95" i="22" s="1"/>
  <c r="AE94" i="22"/>
  <c r="AF94" i="22" s="1"/>
  <c r="P94" i="22"/>
  <c r="Q94" i="22" s="1"/>
  <c r="AE93" i="22"/>
  <c r="AF93" i="22" s="1"/>
  <c r="P93" i="22"/>
  <c r="Q93" i="22" s="1"/>
  <c r="AE92" i="22"/>
  <c r="AF92" i="22" s="1"/>
  <c r="P92" i="22"/>
  <c r="Q92" i="22" s="1"/>
  <c r="AE91" i="22"/>
  <c r="AF91" i="22" s="1"/>
  <c r="P91" i="22"/>
  <c r="Q91" i="22" s="1"/>
  <c r="AE90" i="22"/>
  <c r="AF90" i="22" s="1"/>
  <c r="P90" i="22"/>
  <c r="Q90" i="22" s="1"/>
  <c r="AQ89" i="22"/>
  <c r="AP89" i="22"/>
  <c r="AO89" i="22"/>
  <c r="AN89" i="22"/>
  <c r="AM89" i="22"/>
  <c r="AL89" i="22"/>
  <c r="AK89" i="22"/>
  <c r="AJ89" i="22"/>
  <c r="AI89" i="22"/>
  <c r="AH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AQ88" i="22"/>
  <c r="AP88" i="22"/>
  <c r="AO88" i="22"/>
  <c r="AN88" i="22"/>
  <c r="AM88" i="22"/>
  <c r="AL88" i="22"/>
  <c r="AK88" i="22"/>
  <c r="AJ88" i="22"/>
  <c r="AI88" i="22"/>
  <c r="AH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AQ87" i="22"/>
  <c r="AP87" i="22"/>
  <c r="AO87" i="22"/>
  <c r="AN87" i="22"/>
  <c r="AM87" i="22"/>
  <c r="AL87" i="22"/>
  <c r="AK87" i="22"/>
  <c r="AJ87" i="22"/>
  <c r="AI87" i="22"/>
  <c r="AH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AQ86" i="22"/>
  <c r="AP86" i="22"/>
  <c r="AO86" i="22"/>
  <c r="AN86" i="22"/>
  <c r="AM86" i="22"/>
  <c r="AL86" i="22"/>
  <c r="AK86" i="22"/>
  <c r="AJ86" i="22"/>
  <c r="AI86" i="22"/>
  <c r="AH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AQ85" i="22"/>
  <c r="AP85" i="22"/>
  <c r="AO85" i="22"/>
  <c r="AN85" i="22"/>
  <c r="AM85" i="22"/>
  <c r="AL85" i="22"/>
  <c r="AK85" i="22"/>
  <c r="AJ85" i="22"/>
  <c r="AI85" i="22"/>
  <c r="AH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AE84" i="22"/>
  <c r="AF84" i="22" s="1"/>
  <c r="P84" i="22"/>
  <c r="Q84" i="22" s="1"/>
  <c r="AR83" i="22"/>
  <c r="AE83" i="22"/>
  <c r="AF83" i="22" s="1"/>
  <c r="P83" i="22"/>
  <c r="Q83" i="22" s="1"/>
  <c r="AE82" i="22"/>
  <c r="AF82" i="22" s="1"/>
  <c r="P82" i="22"/>
  <c r="Q82" i="22" s="1"/>
  <c r="AQ81" i="22"/>
  <c r="AP81" i="22"/>
  <c r="AN81" i="22"/>
  <c r="AM81" i="22"/>
  <c r="AL81" i="22"/>
  <c r="AK81" i="22"/>
  <c r="AJ81" i="22"/>
  <c r="AI81" i="22"/>
  <c r="AH81" i="22"/>
  <c r="AD81" i="22"/>
  <c r="AC81" i="22"/>
  <c r="AB81" i="22"/>
  <c r="AA81" i="22"/>
  <c r="Z81" i="22"/>
  <c r="Y81" i="22"/>
  <c r="X81" i="22"/>
  <c r="W81" i="22"/>
  <c r="V81" i="22"/>
  <c r="U81" i="22"/>
  <c r="T81" i="22"/>
  <c r="S81" i="22"/>
  <c r="O81" i="22"/>
  <c r="N81" i="22"/>
  <c r="M81" i="22"/>
  <c r="L81" i="22"/>
  <c r="K81" i="22"/>
  <c r="J81" i="22"/>
  <c r="I81" i="22"/>
  <c r="H81" i="22"/>
  <c r="G81" i="22"/>
  <c r="F81" i="22"/>
  <c r="E81" i="22"/>
  <c r="D81" i="22"/>
  <c r="AR79" i="22"/>
  <c r="AQ79" i="22"/>
  <c r="AP79" i="22"/>
  <c r="AO79" i="22"/>
  <c r="AM79" i="22"/>
  <c r="AL79" i="22"/>
  <c r="AK79" i="22"/>
  <c r="AJ79" i="22"/>
  <c r="AI79" i="22"/>
  <c r="AH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AR78" i="22"/>
  <c r="AQ78" i="22"/>
  <c r="AP78" i="22"/>
  <c r="AO78" i="22"/>
  <c r="AM78" i="22"/>
  <c r="AL78" i="22"/>
  <c r="AK78" i="22"/>
  <c r="AJ78" i="22"/>
  <c r="AI78" i="22"/>
  <c r="AH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AR77" i="22"/>
  <c r="AQ77" i="22"/>
  <c r="AP77" i="22"/>
  <c r="AO77" i="22"/>
  <c r="AM77" i="22"/>
  <c r="AL77" i="22"/>
  <c r="AK77" i="22"/>
  <c r="AJ77" i="22"/>
  <c r="AI77" i="22"/>
  <c r="AH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AR76" i="22"/>
  <c r="AQ76" i="22"/>
  <c r="AP76" i="22"/>
  <c r="AO76" i="22"/>
  <c r="AM76" i="22"/>
  <c r="AL76" i="22"/>
  <c r="AK76" i="22"/>
  <c r="AJ76" i="22"/>
  <c r="AI76" i="22"/>
  <c r="AH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AR75" i="22"/>
  <c r="AQ75" i="22"/>
  <c r="AP75" i="22"/>
  <c r="AO75" i="22"/>
  <c r="AM75" i="22"/>
  <c r="AL75" i="22"/>
  <c r="AK75" i="22"/>
  <c r="AJ75" i="22"/>
  <c r="AI75" i="22"/>
  <c r="AH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AR74" i="22"/>
  <c r="AQ74" i="22"/>
  <c r="AP74" i="22"/>
  <c r="AO74" i="22"/>
  <c r="AM74" i="22"/>
  <c r="AL74" i="22"/>
  <c r="AK74" i="22"/>
  <c r="AJ74" i="22"/>
  <c r="AI74" i="22"/>
  <c r="AH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AR73" i="22"/>
  <c r="AQ73" i="22"/>
  <c r="AP73" i="22"/>
  <c r="AO73" i="22"/>
  <c r="AM73" i="22"/>
  <c r="AL73" i="22"/>
  <c r="AK73" i="22"/>
  <c r="AJ73" i="22"/>
  <c r="AI73" i="22"/>
  <c r="AH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AR72" i="22"/>
  <c r="AQ72" i="22"/>
  <c r="AP72" i="22"/>
  <c r="AO72" i="22"/>
  <c r="AM72" i="22"/>
  <c r="AL72" i="22"/>
  <c r="AK72" i="22"/>
  <c r="AJ72" i="22"/>
  <c r="AI72" i="22"/>
  <c r="AH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AR71" i="22"/>
  <c r="AQ71" i="22"/>
  <c r="AP71" i="22"/>
  <c r="AO71" i="22"/>
  <c r="AM71" i="22"/>
  <c r="AL71" i="22"/>
  <c r="AK71" i="22"/>
  <c r="AJ71" i="22"/>
  <c r="AI71" i="22"/>
  <c r="AH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AR70" i="22"/>
  <c r="AQ70" i="22"/>
  <c r="AP70" i="22"/>
  <c r="AO70" i="22"/>
  <c r="AM70" i="22"/>
  <c r="AL70" i="22"/>
  <c r="AK70" i="22"/>
  <c r="AJ70" i="22"/>
  <c r="AI70" i="22"/>
  <c r="AH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O70" i="22"/>
  <c r="N70" i="22"/>
  <c r="M70" i="22"/>
  <c r="L70" i="22"/>
  <c r="K70" i="22"/>
  <c r="J70" i="22"/>
  <c r="I70" i="22"/>
  <c r="H70" i="22"/>
  <c r="G70" i="22"/>
  <c r="F70" i="22"/>
  <c r="E70" i="22"/>
  <c r="D70" i="22"/>
  <c r="AR64" i="22"/>
  <c r="AQ64" i="22"/>
  <c r="AP64" i="22"/>
  <c r="AO64" i="22"/>
  <c r="AM64" i="22"/>
  <c r="AL64" i="22"/>
  <c r="AK64" i="22"/>
  <c r="AJ64" i="22"/>
  <c r="AI64" i="22"/>
  <c r="AH64" i="22"/>
  <c r="AD64" i="22"/>
  <c r="AC64" i="22"/>
  <c r="AB64" i="22"/>
  <c r="AA64" i="22"/>
  <c r="Z64" i="22"/>
  <c r="Y64" i="22"/>
  <c r="X64" i="22"/>
  <c r="W64" i="22"/>
  <c r="V64" i="22"/>
  <c r="U64" i="22"/>
  <c r="T64" i="22"/>
  <c r="S64" i="22"/>
  <c r="O64" i="22"/>
  <c r="N64" i="22"/>
  <c r="M64" i="22"/>
  <c r="L64" i="22"/>
  <c r="K64" i="22"/>
  <c r="J64" i="22"/>
  <c r="I64" i="22"/>
  <c r="H64" i="22"/>
  <c r="G64" i="22"/>
  <c r="F64" i="22"/>
  <c r="E64" i="22"/>
  <c r="D64" i="22"/>
  <c r="AR63" i="22"/>
  <c r="AQ63" i="22"/>
  <c r="AP63" i="22"/>
  <c r="AO63" i="22"/>
  <c r="AM63" i="22"/>
  <c r="AL63" i="22"/>
  <c r="AK63" i="22"/>
  <c r="AJ63" i="22"/>
  <c r="AI63" i="22"/>
  <c r="AH63" i="22"/>
  <c r="AD63" i="22"/>
  <c r="AC63" i="22"/>
  <c r="AB63" i="22"/>
  <c r="AA63" i="22"/>
  <c r="Z63" i="22"/>
  <c r="Y63" i="22"/>
  <c r="X63" i="22"/>
  <c r="W63" i="22"/>
  <c r="V63" i="22"/>
  <c r="U63" i="22"/>
  <c r="T63" i="22"/>
  <c r="S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AR62" i="22"/>
  <c r="AQ62" i="22"/>
  <c r="AP62" i="22"/>
  <c r="AO62" i="22"/>
  <c r="AM62" i="22"/>
  <c r="AL62" i="22"/>
  <c r="AK62" i="22"/>
  <c r="AJ62" i="22"/>
  <c r="AI62" i="22"/>
  <c r="AH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AE60" i="22"/>
  <c r="AF60" i="22" s="1"/>
  <c r="P60" i="22"/>
  <c r="Q60" i="22" s="1"/>
  <c r="AE59" i="22"/>
  <c r="AF59" i="22" s="1"/>
  <c r="P59" i="22"/>
  <c r="Q59" i="22" s="1"/>
  <c r="AE58" i="22"/>
  <c r="AF58" i="22" s="1"/>
  <c r="P58" i="22"/>
  <c r="Q58" i="22" s="1"/>
  <c r="AE57" i="22"/>
  <c r="AF57" i="22" s="1"/>
  <c r="P57" i="22"/>
  <c r="Q57" i="22" s="1"/>
  <c r="AE56" i="22"/>
  <c r="AF56" i="22" s="1"/>
  <c r="P56" i="22"/>
  <c r="Q56" i="22" s="1"/>
  <c r="AE55" i="22"/>
  <c r="AF55" i="22" s="1"/>
  <c r="P55" i="22"/>
  <c r="Q55" i="22" s="1"/>
  <c r="AE54" i="22"/>
  <c r="AF54" i="22" s="1"/>
  <c r="P54" i="22"/>
  <c r="Q54" i="22" s="1"/>
  <c r="AE53" i="22"/>
  <c r="AF53" i="22" s="1"/>
  <c r="P53" i="22"/>
  <c r="Q53" i="22" s="1"/>
  <c r="AE52" i="22"/>
  <c r="AF52" i="22" s="1"/>
  <c r="P52" i="22"/>
  <c r="Q52" i="22" s="1"/>
  <c r="AE51" i="22"/>
  <c r="AF51" i="22" s="1"/>
  <c r="P51" i="22"/>
  <c r="Q51" i="22" s="1"/>
  <c r="AR50" i="22"/>
  <c r="AR69" i="22" s="1"/>
  <c r="AQ50" i="22"/>
  <c r="AP50" i="22"/>
  <c r="AO50" i="22"/>
  <c r="AM50" i="22"/>
  <c r="AL50" i="22"/>
  <c r="AK50" i="22"/>
  <c r="AJ50" i="22"/>
  <c r="AI50" i="22"/>
  <c r="AH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AR49" i="22"/>
  <c r="AR68" i="22" s="1"/>
  <c r="AQ49" i="22"/>
  <c r="AP49" i="22"/>
  <c r="AO49" i="22"/>
  <c r="AM49" i="22"/>
  <c r="AL49" i="22"/>
  <c r="AK49" i="22"/>
  <c r="AJ49" i="22"/>
  <c r="AI49" i="22"/>
  <c r="AH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AR48" i="22"/>
  <c r="AR67" i="22" s="1"/>
  <c r="AQ48" i="22"/>
  <c r="AP48" i="22"/>
  <c r="AO48" i="22"/>
  <c r="AM48" i="22"/>
  <c r="AL48" i="22"/>
  <c r="AK48" i="22"/>
  <c r="AJ48" i="22"/>
  <c r="AI48" i="22"/>
  <c r="AH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AR47" i="22"/>
  <c r="AR66" i="22" s="1"/>
  <c r="AQ47" i="22"/>
  <c r="AP47" i="22"/>
  <c r="AO47" i="22"/>
  <c r="AM47" i="22"/>
  <c r="AL47" i="22"/>
  <c r="AK47" i="22"/>
  <c r="AJ47" i="22"/>
  <c r="AI47" i="22"/>
  <c r="AH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AR46" i="22"/>
  <c r="AR65" i="22" s="1"/>
  <c r="AQ46" i="22"/>
  <c r="AP46" i="22"/>
  <c r="AO46" i="22"/>
  <c r="AM46" i="22"/>
  <c r="AL46" i="22"/>
  <c r="AK46" i="22"/>
  <c r="AJ46" i="22"/>
  <c r="AI46" i="22"/>
  <c r="AH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AE45" i="22"/>
  <c r="AF45" i="22" s="1"/>
  <c r="P45" i="22"/>
  <c r="Q45" i="22" s="1"/>
  <c r="AE44" i="22"/>
  <c r="AF44" i="22" s="1"/>
  <c r="P44" i="22"/>
  <c r="Q44" i="22" s="1"/>
  <c r="AE43" i="22"/>
  <c r="AF43" i="22" s="1"/>
  <c r="P43" i="22"/>
  <c r="Q43" i="22" s="1"/>
  <c r="AR42" i="22"/>
  <c r="AQ42" i="22"/>
  <c r="AP42" i="22"/>
  <c r="AO42" i="22"/>
  <c r="AM42" i="22"/>
  <c r="AL42" i="22"/>
  <c r="AK42" i="22"/>
  <c r="AJ42" i="22"/>
  <c r="AI42" i="22"/>
  <c r="AH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AE41" i="22"/>
  <c r="P41" i="22"/>
  <c r="Q41" i="22" s="1"/>
  <c r="AE40" i="22"/>
  <c r="P40" i="22"/>
  <c r="Q40" i="22" s="1"/>
  <c r="AE39" i="22"/>
  <c r="AF39" i="22" s="1"/>
  <c r="P39" i="22"/>
  <c r="Q39" i="22" s="1"/>
  <c r="AE38" i="22"/>
  <c r="P38" i="22"/>
  <c r="Q38" i="22" s="1"/>
  <c r="AE37" i="22"/>
  <c r="AF37" i="22" s="1"/>
  <c r="P37" i="22"/>
  <c r="Q37" i="22" s="1"/>
  <c r="AE36" i="22"/>
  <c r="P36" i="22"/>
  <c r="AE35" i="22"/>
  <c r="P35" i="22"/>
  <c r="AE34" i="22"/>
  <c r="AF34" i="22" s="1"/>
  <c r="P34" i="22"/>
  <c r="Q34" i="22" s="1"/>
  <c r="AE33" i="22"/>
  <c r="AF33" i="22" s="1"/>
  <c r="P33" i="22"/>
  <c r="AE32" i="22"/>
  <c r="P32" i="22"/>
  <c r="Q32" i="22" s="1"/>
  <c r="AQ31" i="22"/>
  <c r="AP31" i="22"/>
  <c r="AO31" i="22"/>
  <c r="AM31" i="22"/>
  <c r="AL31" i="22"/>
  <c r="AK31" i="22"/>
  <c r="AJ31" i="22"/>
  <c r="AI31" i="22"/>
  <c r="AH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AQ30" i="22"/>
  <c r="AP30" i="22"/>
  <c r="AO30" i="22"/>
  <c r="AO68" i="22" s="1"/>
  <c r="AM30" i="22"/>
  <c r="AL30" i="22"/>
  <c r="AK30" i="22"/>
  <c r="AJ30" i="22"/>
  <c r="AI30" i="22"/>
  <c r="AH30" i="22"/>
  <c r="AD30" i="22"/>
  <c r="AC30" i="22"/>
  <c r="AB30" i="22"/>
  <c r="AA30" i="22"/>
  <c r="Z30" i="22"/>
  <c r="Y30" i="22"/>
  <c r="X30" i="22"/>
  <c r="W30" i="22"/>
  <c r="W68" i="22" s="1"/>
  <c r="V30" i="22"/>
  <c r="U30" i="22"/>
  <c r="U68" i="22" s="1"/>
  <c r="T30" i="22"/>
  <c r="S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D68" i="22" s="1"/>
  <c r="AQ29" i="22"/>
  <c r="AP29" i="22"/>
  <c r="AO29" i="22"/>
  <c r="AM29" i="22"/>
  <c r="AL29" i="22"/>
  <c r="AK29" i="22"/>
  <c r="AJ29" i="22"/>
  <c r="AI29" i="22"/>
  <c r="AH29" i="22"/>
  <c r="AD29" i="22"/>
  <c r="AC29" i="22"/>
  <c r="AB29" i="22"/>
  <c r="AA29" i="22"/>
  <c r="Z29" i="22"/>
  <c r="Y29" i="22"/>
  <c r="X29" i="22"/>
  <c r="X67" i="22" s="1"/>
  <c r="W29" i="22"/>
  <c r="V29" i="22"/>
  <c r="U29" i="22"/>
  <c r="T29" i="22"/>
  <c r="S29" i="22"/>
  <c r="O29" i="22"/>
  <c r="N29" i="22"/>
  <c r="M29" i="22"/>
  <c r="L29" i="22"/>
  <c r="K29" i="22"/>
  <c r="J29" i="22"/>
  <c r="I29" i="22"/>
  <c r="H29" i="22"/>
  <c r="G29" i="22"/>
  <c r="F29" i="22"/>
  <c r="E29" i="22"/>
  <c r="E67" i="22" s="1"/>
  <c r="D29" i="22"/>
  <c r="AQ28" i="22"/>
  <c r="AP28" i="22"/>
  <c r="AO28" i="22"/>
  <c r="AM28" i="22"/>
  <c r="AL28" i="22"/>
  <c r="AK28" i="22"/>
  <c r="AJ28" i="22"/>
  <c r="AI28" i="22"/>
  <c r="AH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AQ27" i="22"/>
  <c r="AP27" i="22"/>
  <c r="AO27" i="22"/>
  <c r="AM27" i="22"/>
  <c r="AL27" i="22"/>
  <c r="AK27" i="22"/>
  <c r="AJ27" i="22"/>
  <c r="AI27" i="22"/>
  <c r="AH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AE26" i="22"/>
  <c r="AF26" i="22" s="1"/>
  <c r="P26" i="22"/>
  <c r="AE25" i="22"/>
  <c r="P25" i="22"/>
  <c r="AE24" i="22"/>
  <c r="AF24" i="22" s="1"/>
  <c r="P24" i="22"/>
  <c r="AR23" i="22"/>
  <c r="AQ23" i="22"/>
  <c r="AP23" i="22"/>
  <c r="AO23" i="22"/>
  <c r="AM23" i="22"/>
  <c r="AL23" i="22"/>
  <c r="AK23" i="22"/>
  <c r="AJ23" i="22"/>
  <c r="AI23" i="22"/>
  <c r="AH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AE22" i="22"/>
  <c r="AF22" i="22" s="1"/>
  <c r="P22" i="22"/>
  <c r="Q22" i="22" s="1"/>
  <c r="AE21" i="22"/>
  <c r="AF21" i="22" s="1"/>
  <c r="P21" i="22"/>
  <c r="Q21" i="22" s="1"/>
  <c r="AE20" i="22"/>
  <c r="AF20" i="22" s="1"/>
  <c r="P20" i="22"/>
  <c r="Q20" i="22" s="1"/>
  <c r="AE19" i="22"/>
  <c r="AF19" i="22" s="1"/>
  <c r="P19" i="22"/>
  <c r="Q19" i="22" s="1"/>
  <c r="AE18" i="22"/>
  <c r="AF18" i="22" s="1"/>
  <c r="P18" i="22"/>
  <c r="Q18" i="22" s="1"/>
  <c r="AE17" i="22"/>
  <c r="AF17" i="22" s="1"/>
  <c r="P17" i="22"/>
  <c r="Q17" i="22" s="1"/>
  <c r="AE16" i="22"/>
  <c r="AF16" i="22" s="1"/>
  <c r="P16" i="22"/>
  <c r="Q16" i="22" s="1"/>
  <c r="AE15" i="22"/>
  <c r="AF15" i="22" s="1"/>
  <c r="P15" i="22"/>
  <c r="Q15" i="22" s="1"/>
  <c r="AE14" i="22"/>
  <c r="AF14" i="22" s="1"/>
  <c r="P14" i="22"/>
  <c r="Q14" i="22" s="1"/>
  <c r="AE13" i="22"/>
  <c r="AF13" i="22" s="1"/>
  <c r="P13" i="22"/>
  <c r="Q13" i="22" s="1"/>
  <c r="AQ12" i="22"/>
  <c r="AP12" i="22"/>
  <c r="AO12" i="22"/>
  <c r="AM12" i="22"/>
  <c r="AL12" i="22"/>
  <c r="AK12" i="22"/>
  <c r="AJ12" i="22"/>
  <c r="AI12" i="22"/>
  <c r="AH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AQ11" i="22"/>
  <c r="AP11" i="22"/>
  <c r="AO11" i="22"/>
  <c r="AM11" i="22"/>
  <c r="AL11" i="22"/>
  <c r="AK11" i="22"/>
  <c r="AJ11" i="22"/>
  <c r="AI11" i="22"/>
  <c r="AH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AQ10" i="22"/>
  <c r="AP10" i="22"/>
  <c r="AO10" i="22"/>
  <c r="AM10" i="22"/>
  <c r="AL10" i="22"/>
  <c r="AK10" i="22"/>
  <c r="AJ10" i="22"/>
  <c r="AI10" i="22"/>
  <c r="AH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AQ9" i="22"/>
  <c r="AP9" i="22"/>
  <c r="AO9" i="22"/>
  <c r="AM9" i="22"/>
  <c r="AL9" i="22"/>
  <c r="AK9" i="22"/>
  <c r="AJ9" i="22"/>
  <c r="AI9" i="22"/>
  <c r="AH9" i="22"/>
  <c r="AD9" i="22"/>
  <c r="AC9" i="22"/>
  <c r="AB9" i="22"/>
  <c r="AA9" i="22"/>
  <c r="Z9" i="22"/>
  <c r="Y9" i="22"/>
  <c r="X9" i="22"/>
  <c r="W9" i="22"/>
  <c r="V9" i="22"/>
  <c r="U9" i="22"/>
  <c r="T9" i="22"/>
  <c r="S9" i="22"/>
  <c r="O9" i="22"/>
  <c r="N9" i="22"/>
  <c r="M9" i="22"/>
  <c r="L9" i="22"/>
  <c r="K9" i="22"/>
  <c r="J9" i="22"/>
  <c r="I9" i="22"/>
  <c r="H9" i="22"/>
  <c r="G9" i="22"/>
  <c r="F9" i="22"/>
  <c r="E9" i="22"/>
  <c r="D9" i="22"/>
  <c r="AQ8" i="22"/>
  <c r="AP8" i="22"/>
  <c r="AO8" i="22"/>
  <c r="AM8" i="22"/>
  <c r="AL8" i="22"/>
  <c r="AK8" i="22"/>
  <c r="AJ8" i="22"/>
  <c r="AI8" i="22"/>
  <c r="AH8" i="22"/>
  <c r="AD8" i="22"/>
  <c r="AC8" i="22"/>
  <c r="AB8" i="22"/>
  <c r="AA8" i="22"/>
  <c r="Z8" i="22"/>
  <c r="Y8" i="22"/>
  <c r="X8" i="22"/>
  <c r="W8" i="22"/>
  <c r="V8" i="22"/>
  <c r="U8" i="22"/>
  <c r="T8" i="22"/>
  <c r="S8" i="22"/>
  <c r="O8" i="22"/>
  <c r="N8" i="22"/>
  <c r="M8" i="22"/>
  <c r="L8" i="22"/>
  <c r="K8" i="22"/>
  <c r="J8" i="22"/>
  <c r="I8" i="22"/>
  <c r="H8" i="22"/>
  <c r="G8" i="22"/>
  <c r="F8" i="22"/>
  <c r="E8" i="22"/>
  <c r="D8" i="22"/>
  <c r="AE7" i="22"/>
  <c r="AF7" i="22" s="1"/>
  <c r="P7" i="22"/>
  <c r="Q7" i="22" s="1"/>
  <c r="AE6" i="22"/>
  <c r="AF6" i="22" s="1"/>
  <c r="P6" i="22"/>
  <c r="Q6" i="22" s="1"/>
  <c r="AE5" i="22"/>
  <c r="AF5" i="22" s="1"/>
  <c r="P5" i="22"/>
  <c r="Q5" i="22" s="1"/>
  <c r="AQ4" i="22"/>
  <c r="AP4" i="22"/>
  <c r="AO4" i="22"/>
  <c r="AM4" i="22"/>
  <c r="AL4" i="22"/>
  <c r="AK4" i="22"/>
  <c r="AJ4" i="22"/>
  <c r="AI4" i="22"/>
  <c r="AH4" i="22"/>
  <c r="AD4" i="22"/>
  <c r="AC4" i="22"/>
  <c r="AB4" i="22"/>
  <c r="AA4" i="22"/>
  <c r="Z4" i="22"/>
  <c r="Y4" i="22"/>
  <c r="X4" i="22"/>
  <c r="W4" i="22"/>
  <c r="V4" i="22"/>
  <c r="U4" i="22"/>
  <c r="T4" i="22"/>
  <c r="S4" i="22"/>
  <c r="O4" i="22"/>
  <c r="N4" i="22"/>
  <c r="M4" i="22"/>
  <c r="L4" i="22"/>
  <c r="K4" i="22"/>
  <c r="J4" i="22"/>
  <c r="I4" i="22"/>
  <c r="H4" i="22"/>
  <c r="G4" i="22"/>
  <c r="F4" i="22"/>
  <c r="E4" i="22"/>
  <c r="D4" i="22"/>
  <c r="AD81" i="26"/>
  <c r="AC81" i="26"/>
  <c r="AB81" i="26"/>
  <c r="AD80" i="26"/>
  <c r="AC80" i="26"/>
  <c r="AB80" i="26"/>
  <c r="AD79" i="26"/>
  <c r="AC79" i="26"/>
  <c r="AB79" i="26"/>
  <c r="R73" i="26"/>
  <c r="Q73" i="26"/>
  <c r="AD78" i="26"/>
  <c r="AC78" i="26"/>
  <c r="AB78" i="26"/>
  <c r="S78" i="26"/>
  <c r="AD77" i="26"/>
  <c r="AC77" i="26"/>
  <c r="AB77" i="26"/>
  <c r="R72" i="26"/>
  <c r="S77" i="26"/>
  <c r="AD76" i="26"/>
  <c r="AC76" i="26"/>
  <c r="AB76" i="26"/>
  <c r="S76" i="26"/>
  <c r="Q70" i="26"/>
  <c r="AD75" i="26"/>
  <c r="AC75" i="26"/>
  <c r="AB75" i="26"/>
  <c r="S75" i="26"/>
  <c r="AD74" i="26"/>
  <c r="AC74" i="26"/>
  <c r="AB74" i="26"/>
  <c r="R74" i="26"/>
  <c r="AD73" i="26"/>
  <c r="AC73" i="26"/>
  <c r="AB73" i="26"/>
  <c r="AD72" i="26"/>
  <c r="AC72" i="26"/>
  <c r="AB72" i="26"/>
  <c r="AD71" i="26"/>
  <c r="AC71" i="26"/>
  <c r="AB71" i="26"/>
  <c r="R71" i="26"/>
  <c r="Q71" i="26"/>
  <c r="AD70" i="26"/>
  <c r="AC70" i="26"/>
  <c r="AB70" i="26"/>
  <c r="R70" i="26"/>
  <c r="AB69" i="26"/>
  <c r="S69" i="26"/>
  <c r="P69" i="26"/>
  <c r="AB68" i="26"/>
  <c r="S68" i="26"/>
  <c r="P68" i="26"/>
  <c r="AB67" i="26"/>
  <c r="S67" i="26"/>
  <c r="P67" i="26"/>
  <c r="AD65" i="26"/>
  <c r="AC65" i="26"/>
  <c r="AB65" i="26"/>
  <c r="Q58" i="26"/>
  <c r="AD64" i="26"/>
  <c r="AC64" i="26"/>
  <c r="AB64" i="26"/>
  <c r="S64" i="26"/>
  <c r="AD63" i="26"/>
  <c r="AC63" i="26"/>
  <c r="AB63" i="26"/>
  <c r="R57" i="26"/>
  <c r="S63" i="26"/>
  <c r="AD62" i="26"/>
  <c r="AC62" i="26"/>
  <c r="AB62" i="26"/>
  <c r="S62" i="26"/>
  <c r="AD61" i="26"/>
  <c r="AC61" i="26"/>
  <c r="AB61" i="26"/>
  <c r="S61" i="26"/>
  <c r="AD60" i="26"/>
  <c r="AC60" i="26"/>
  <c r="AB60" i="26"/>
  <c r="R55" i="26"/>
  <c r="AD59" i="26"/>
  <c r="AC59" i="26"/>
  <c r="AB59" i="26"/>
  <c r="AD58" i="26"/>
  <c r="AC58" i="26"/>
  <c r="AB58" i="26"/>
  <c r="AD57" i="26"/>
  <c r="AC57" i="26"/>
  <c r="AB57" i="26"/>
  <c r="Q57" i="26"/>
  <c r="AD56" i="26"/>
  <c r="AC56" i="26"/>
  <c r="AB56" i="26"/>
  <c r="AD55" i="26"/>
  <c r="AC55" i="26"/>
  <c r="AB55" i="26"/>
  <c r="AD54" i="26"/>
  <c r="AC54" i="26"/>
  <c r="AB54" i="26"/>
  <c r="S53" i="26"/>
  <c r="P53" i="26"/>
  <c r="S52" i="26"/>
  <c r="P52" i="26"/>
  <c r="S51" i="26"/>
  <c r="P51" i="26"/>
  <c r="AB46" i="26"/>
  <c r="AB45" i="26"/>
  <c r="AB44" i="26"/>
  <c r="AB43" i="26"/>
  <c r="AB42" i="26"/>
  <c r="AB41" i="26"/>
  <c r="AB40" i="26"/>
  <c r="AB39" i="26"/>
  <c r="AB38" i="26"/>
  <c r="AB37" i="26"/>
  <c r="AB36" i="26"/>
  <c r="AB35" i="26"/>
  <c r="AB34" i="26"/>
  <c r="AB33" i="26"/>
  <c r="AB32" i="26"/>
  <c r="AB31" i="26"/>
  <c r="AB30" i="26"/>
  <c r="AB29" i="26"/>
  <c r="AD25" i="26"/>
  <c r="AC25" i="26"/>
  <c r="AB25" i="26"/>
  <c r="AD24" i="26"/>
  <c r="AC24" i="26"/>
  <c r="AB24" i="26"/>
  <c r="AD23" i="26"/>
  <c r="AC23" i="26"/>
  <c r="AB23" i="26"/>
  <c r="S23" i="26"/>
  <c r="AD22" i="26"/>
  <c r="AC22" i="26"/>
  <c r="AB22" i="26"/>
  <c r="AD21" i="26"/>
  <c r="AC21" i="26"/>
  <c r="AB21" i="26"/>
  <c r="S21" i="26"/>
  <c r="AD20" i="26"/>
  <c r="AC20" i="26"/>
  <c r="AB20" i="26"/>
  <c r="AD19" i="26"/>
  <c r="AC19" i="26"/>
  <c r="AB19" i="26"/>
  <c r="S19" i="26"/>
  <c r="AD18" i="26"/>
  <c r="AC18" i="26"/>
  <c r="AB18" i="26"/>
  <c r="AD17" i="26"/>
  <c r="AC17" i="26"/>
  <c r="AB17" i="26"/>
  <c r="AD16" i="26"/>
  <c r="AC16" i="26"/>
  <c r="AB16" i="26"/>
  <c r="S16" i="26"/>
  <c r="AD15" i="26"/>
  <c r="AC15" i="26"/>
  <c r="AB15" i="26"/>
  <c r="AD14" i="26"/>
  <c r="AC14" i="26"/>
  <c r="AB14" i="26"/>
  <c r="AD13" i="26"/>
  <c r="AC13" i="26"/>
  <c r="AB13" i="26"/>
  <c r="AD12" i="26"/>
  <c r="AC12" i="26"/>
  <c r="AB12" i="26"/>
  <c r="AD11" i="26"/>
  <c r="AC11" i="26"/>
  <c r="AB11" i="26"/>
  <c r="AD10" i="26"/>
  <c r="AC10" i="26"/>
  <c r="AB10" i="26"/>
  <c r="S10" i="26"/>
  <c r="AD9" i="26"/>
  <c r="AC9" i="26"/>
  <c r="AB9" i="26"/>
  <c r="AD8" i="26"/>
  <c r="AC8" i="26"/>
  <c r="AB8" i="26"/>
  <c r="AB6" i="26"/>
  <c r="AF64" i="33"/>
  <c r="AE64" i="33"/>
  <c r="AF62" i="33"/>
  <c r="AE62" i="33"/>
  <c r="AF61" i="33"/>
  <c r="AE61" i="33"/>
  <c r="AF60" i="33"/>
  <c r="AE60" i="33"/>
  <c r="AF59" i="33"/>
  <c r="AE59" i="33"/>
  <c r="AF58" i="33"/>
  <c r="AE58" i="33"/>
  <c r="AF57" i="33"/>
  <c r="AE57" i="33"/>
  <c r="AF56" i="33"/>
  <c r="AE56" i="33"/>
  <c r="AF55" i="33"/>
  <c r="AE55" i="33"/>
  <c r="AF54" i="33"/>
  <c r="AE54" i="33"/>
  <c r="AF53" i="33"/>
  <c r="AE53" i="33"/>
  <c r="AF52" i="33"/>
  <c r="AE52" i="33"/>
  <c r="AF48" i="33"/>
  <c r="AE48" i="33"/>
  <c r="AF47" i="33"/>
  <c r="AE47" i="33"/>
  <c r="AF46" i="33"/>
  <c r="AE46" i="33"/>
  <c r="AF45" i="33"/>
  <c r="AE45" i="33"/>
  <c r="AF44" i="33"/>
  <c r="AE44" i="33"/>
  <c r="AF43" i="33"/>
  <c r="AE43" i="33"/>
  <c r="AF42" i="33"/>
  <c r="AE42" i="33"/>
  <c r="AF41" i="33"/>
  <c r="AE41" i="33"/>
  <c r="AF40" i="33"/>
  <c r="AE40" i="33"/>
  <c r="Q40" i="33"/>
  <c r="P40" i="33"/>
  <c r="AF39" i="33"/>
  <c r="AE39" i="33"/>
  <c r="Q39" i="33"/>
  <c r="P39" i="33"/>
  <c r="AF38" i="33"/>
  <c r="AE38" i="33"/>
  <c r="Q38" i="33"/>
  <c r="P38" i="33"/>
  <c r="AF37" i="33"/>
  <c r="AE37" i="33"/>
  <c r="Q37" i="33"/>
  <c r="P37" i="33"/>
  <c r="AF36" i="33"/>
  <c r="AE36" i="33"/>
  <c r="Q36" i="33"/>
  <c r="P36" i="33"/>
  <c r="AF35" i="33"/>
  <c r="AE35" i="33"/>
  <c r="Q35" i="33"/>
  <c r="P35" i="33"/>
  <c r="AF34" i="33"/>
  <c r="AE34" i="33"/>
  <c r="Q34" i="33"/>
  <c r="P34" i="33"/>
  <c r="AF33" i="33"/>
  <c r="AE33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E33" i="33"/>
  <c r="D33" i="33"/>
  <c r="AF32" i="33"/>
  <c r="AE32" i="33"/>
  <c r="Q32" i="33"/>
  <c r="P32" i="33"/>
  <c r="AF31" i="33"/>
  <c r="AE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AF30" i="33"/>
  <c r="AE30" i="33"/>
  <c r="Q30" i="33"/>
  <c r="P30" i="33"/>
  <c r="AA28" i="33"/>
  <c r="Z28" i="33"/>
  <c r="AF27" i="33"/>
  <c r="AE27" i="33"/>
  <c r="AA26" i="33"/>
  <c r="Z26" i="33"/>
  <c r="AF25" i="33"/>
  <c r="AE25" i="33"/>
  <c r="AC24" i="33"/>
  <c r="AB24" i="33"/>
  <c r="AA24" i="33"/>
  <c r="W24" i="33"/>
  <c r="V24" i="33"/>
  <c r="U24" i="33"/>
  <c r="T24" i="33"/>
  <c r="S24" i="33"/>
  <c r="AF23" i="33"/>
  <c r="AE23" i="33"/>
  <c r="AF22" i="33"/>
  <c r="AE22" i="33"/>
  <c r="AF21" i="33"/>
  <c r="AE21" i="33"/>
  <c r="AB20" i="33"/>
  <c r="Z20" i="33"/>
  <c r="Y20" i="33"/>
  <c r="X20" i="33"/>
  <c r="W20" i="33"/>
  <c r="V20" i="33"/>
  <c r="U20" i="33"/>
  <c r="T20" i="33"/>
  <c r="S20" i="33"/>
  <c r="AF19" i="33"/>
  <c r="AE19" i="33"/>
  <c r="AA18" i="33"/>
  <c r="AE18" i="33" s="1"/>
  <c r="AF17" i="33"/>
  <c r="AE17" i="33"/>
  <c r="AF16" i="33"/>
  <c r="AE16" i="33"/>
  <c r="AF14" i="33"/>
  <c r="AE14" i="33"/>
  <c r="AF13" i="33"/>
  <c r="AE13" i="33"/>
  <c r="AF12" i="33"/>
  <c r="AE12" i="33"/>
  <c r="AF11" i="33"/>
  <c r="AE11" i="33"/>
  <c r="AF10" i="33"/>
  <c r="AE10" i="33"/>
  <c r="AF9" i="33"/>
  <c r="AE9" i="33"/>
  <c r="Z8" i="33"/>
  <c r="AF7" i="33"/>
  <c r="AE7" i="33"/>
  <c r="AF6" i="33"/>
  <c r="AE6" i="33"/>
  <c r="AF5" i="33"/>
  <c r="AE5" i="33"/>
  <c r="AE4" i="33"/>
  <c r="X70" i="13"/>
  <c r="X68" i="13"/>
  <c r="X67" i="13"/>
  <c r="X66" i="13"/>
  <c r="X65" i="13"/>
  <c r="X64" i="13"/>
  <c r="X63" i="13"/>
  <c r="X62" i="13"/>
  <c r="X61" i="13"/>
  <c r="X60" i="13"/>
  <c r="X59" i="13"/>
  <c r="X58" i="13"/>
  <c r="X47" i="13"/>
  <c r="X46" i="13"/>
  <c r="X45" i="13"/>
  <c r="X44" i="13"/>
  <c r="X43" i="13"/>
  <c r="X42" i="13"/>
  <c r="X41" i="13"/>
  <c r="X40" i="13"/>
  <c r="X39" i="13"/>
  <c r="X38" i="13"/>
  <c r="X37" i="13"/>
  <c r="X36" i="13"/>
  <c r="X35" i="13"/>
  <c r="X34" i="13"/>
  <c r="X33" i="13"/>
  <c r="X31" i="13"/>
  <c r="X30" i="13"/>
  <c r="X29" i="13"/>
  <c r="X28" i="13"/>
  <c r="X27" i="13"/>
  <c r="X26" i="13"/>
  <c r="X25" i="13"/>
  <c r="X24" i="13"/>
  <c r="X23" i="13"/>
  <c r="X22" i="13"/>
  <c r="X21" i="13"/>
  <c r="X20" i="13"/>
  <c r="X19" i="13"/>
  <c r="X18" i="13"/>
  <c r="X17" i="13"/>
  <c r="X16" i="13"/>
  <c r="X15" i="13"/>
  <c r="X14" i="13"/>
  <c r="X13" i="13"/>
  <c r="X12" i="13"/>
  <c r="X11" i="13"/>
  <c r="X10" i="13"/>
  <c r="X9" i="13"/>
  <c r="X8" i="13"/>
  <c r="X7" i="13"/>
  <c r="X6" i="13"/>
  <c r="Q32" i="47"/>
  <c r="AF52" i="32"/>
  <c r="AE52" i="32"/>
  <c r="Q52" i="32"/>
  <c r="P52" i="32"/>
  <c r="AF51" i="32"/>
  <c r="AE51" i="32"/>
  <c r="Q51" i="32"/>
  <c r="P51" i="32"/>
  <c r="AF50" i="32"/>
  <c r="AE50" i="32"/>
  <c r="Q50" i="32"/>
  <c r="P50" i="32"/>
  <c r="AF49" i="32"/>
  <c r="AE49" i="32"/>
  <c r="Q49" i="32"/>
  <c r="P49" i="32"/>
  <c r="AF48" i="32"/>
  <c r="AE48" i="32"/>
  <c r="Q48" i="32"/>
  <c r="P48" i="32"/>
  <c r="AF47" i="32"/>
  <c r="AE47" i="32"/>
  <c r="Q47" i="32"/>
  <c r="P47" i="32"/>
  <c r="AF46" i="32"/>
  <c r="AE46" i="32"/>
  <c r="Q46" i="32"/>
  <c r="P46" i="32"/>
  <c r="AF45" i="32"/>
  <c r="AE45" i="32"/>
  <c r="Q45" i="32"/>
  <c r="P45" i="32"/>
  <c r="AF44" i="32"/>
  <c r="AE44" i="32"/>
  <c r="Q44" i="32"/>
  <c r="P44" i="32"/>
  <c r="AF43" i="32"/>
  <c r="AE43" i="32"/>
  <c r="Q43" i="32"/>
  <c r="P43" i="32"/>
  <c r="AF42" i="32"/>
  <c r="AE42" i="32"/>
  <c r="Q42" i="32"/>
  <c r="P42" i="32"/>
  <c r="AF41" i="32"/>
  <c r="AE41" i="32"/>
  <c r="Q41" i="32"/>
  <c r="P41" i="32"/>
  <c r="AF40" i="32"/>
  <c r="AE40" i="32"/>
  <c r="Q40" i="32"/>
  <c r="P40" i="32"/>
  <c r="AF39" i="32"/>
  <c r="AE39" i="32"/>
  <c r="Q39" i="32"/>
  <c r="P39" i="32"/>
  <c r="AF38" i="32"/>
  <c r="AE38" i="32"/>
  <c r="Q38" i="32"/>
  <c r="P38" i="32"/>
  <c r="AF37" i="32"/>
  <c r="AE37" i="32"/>
  <c r="Q37" i="32"/>
  <c r="P37" i="32"/>
  <c r="AF36" i="32"/>
  <c r="AE36" i="32"/>
  <c r="Q36" i="32"/>
  <c r="P36" i="32"/>
  <c r="AF35" i="32"/>
  <c r="AE35" i="32"/>
  <c r="Q35" i="32"/>
  <c r="P35" i="32"/>
  <c r="AF34" i="32"/>
  <c r="AE34" i="32"/>
  <c r="Q34" i="32"/>
  <c r="P34" i="32"/>
  <c r="AF33" i="32"/>
  <c r="AE33" i="32"/>
  <c r="Q33" i="32"/>
  <c r="P33" i="32"/>
  <c r="AF26" i="32"/>
  <c r="AE26" i="32"/>
  <c r="P26" i="32"/>
  <c r="AF25" i="32"/>
  <c r="AE25" i="32"/>
  <c r="Q25" i="32"/>
  <c r="P25" i="32"/>
  <c r="AF24" i="32"/>
  <c r="AE24" i="32"/>
  <c r="Q24" i="32"/>
  <c r="P24" i="32"/>
  <c r="AF23" i="32"/>
  <c r="AE23" i="32"/>
  <c r="Q23" i="32"/>
  <c r="P23" i="32"/>
  <c r="AF22" i="32"/>
  <c r="AE22" i="32"/>
  <c r="P22" i="32"/>
  <c r="AF21" i="32"/>
  <c r="AE21" i="32"/>
  <c r="Q21" i="32"/>
  <c r="P21" i="32"/>
  <c r="AF20" i="32"/>
  <c r="AE20" i="32"/>
  <c r="Q20" i="32"/>
  <c r="P20" i="32"/>
  <c r="AB19" i="32"/>
  <c r="AA19" i="32"/>
  <c r="Z19" i="32"/>
  <c r="Y19" i="32"/>
  <c r="X19" i="32"/>
  <c r="W19" i="32"/>
  <c r="V19" i="32"/>
  <c r="U19" i="32"/>
  <c r="T19" i="32"/>
  <c r="S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AF18" i="32"/>
  <c r="AE18" i="32"/>
  <c r="Q18" i="32"/>
  <c r="P18" i="32"/>
  <c r="AF16" i="32"/>
  <c r="AE16" i="32"/>
  <c r="Q16" i="32"/>
  <c r="P16" i="32"/>
  <c r="T73" i="17"/>
  <c r="T72" i="17"/>
  <c r="T71" i="17"/>
  <c r="T70" i="17"/>
  <c r="T69" i="17"/>
  <c r="T68" i="17"/>
  <c r="T67" i="17"/>
  <c r="T66" i="17"/>
  <c r="T65" i="17"/>
  <c r="T64" i="17"/>
  <c r="T63" i="17"/>
  <c r="T62" i="17"/>
  <c r="T61" i="17"/>
  <c r="T60" i="17"/>
  <c r="T59" i="17"/>
  <c r="T58" i="17"/>
  <c r="T57" i="17"/>
  <c r="T56" i="17"/>
  <c r="T55" i="17"/>
  <c r="T54" i="17"/>
  <c r="T48" i="17"/>
  <c r="T47" i="17"/>
  <c r="T46" i="17"/>
  <c r="T45" i="17"/>
  <c r="T44" i="17"/>
  <c r="T43" i="17"/>
  <c r="T42" i="17"/>
  <c r="T41" i="17"/>
  <c r="T40" i="17"/>
  <c r="T39" i="17"/>
  <c r="AD374" i="24"/>
  <c r="AC374" i="24"/>
  <c r="AB374" i="24"/>
  <c r="AA374" i="24"/>
  <c r="Z374" i="24"/>
  <c r="Y374" i="24"/>
  <c r="X374" i="24"/>
  <c r="W374" i="24"/>
  <c r="V374" i="24"/>
  <c r="U374" i="24"/>
  <c r="T374" i="24"/>
  <c r="S374" i="24"/>
  <c r="AD373" i="24"/>
  <c r="AC373" i="24"/>
  <c r="AB373" i="24"/>
  <c r="AA373" i="24"/>
  <c r="Z373" i="24"/>
  <c r="Y373" i="24"/>
  <c r="X373" i="24"/>
  <c r="W373" i="24"/>
  <c r="V373" i="24"/>
  <c r="U373" i="24"/>
  <c r="T373" i="24"/>
  <c r="S373" i="24"/>
  <c r="AD372" i="24"/>
  <c r="AC372" i="24"/>
  <c r="AB372" i="24"/>
  <c r="AA372" i="24"/>
  <c r="Z372" i="24"/>
  <c r="Y372" i="24"/>
  <c r="X372" i="24"/>
  <c r="W372" i="24"/>
  <c r="V372" i="24"/>
  <c r="U372" i="24"/>
  <c r="T372" i="24"/>
  <c r="S372" i="24"/>
  <c r="AD371" i="24"/>
  <c r="AC371" i="24"/>
  <c r="AB371" i="24"/>
  <c r="AA371" i="24"/>
  <c r="Z371" i="24"/>
  <c r="Y371" i="24"/>
  <c r="X371" i="24"/>
  <c r="W371" i="24"/>
  <c r="V371" i="24"/>
  <c r="U371" i="24"/>
  <c r="T371" i="24"/>
  <c r="S371" i="24"/>
  <c r="AD370" i="24"/>
  <c r="AC370" i="24"/>
  <c r="AB370" i="24"/>
  <c r="AA370" i="24"/>
  <c r="Z370" i="24"/>
  <c r="Y370" i="24"/>
  <c r="X370" i="24"/>
  <c r="W370" i="24"/>
  <c r="V370" i="24"/>
  <c r="U370" i="24"/>
  <c r="T370" i="24"/>
  <c r="S370" i="24"/>
  <c r="AD354" i="24"/>
  <c r="AC354" i="24"/>
  <c r="AB354" i="24"/>
  <c r="AA354" i="24"/>
  <c r="Z354" i="24"/>
  <c r="Y354" i="24"/>
  <c r="X354" i="24"/>
  <c r="W354" i="24"/>
  <c r="V354" i="24"/>
  <c r="U354" i="24"/>
  <c r="T354" i="24"/>
  <c r="S354" i="24"/>
  <c r="AD353" i="24"/>
  <c r="AC353" i="24"/>
  <c r="AB353" i="24"/>
  <c r="AA353" i="24"/>
  <c r="Z353" i="24"/>
  <c r="Y353" i="24"/>
  <c r="X353" i="24"/>
  <c r="W353" i="24"/>
  <c r="V353" i="24"/>
  <c r="U353" i="24"/>
  <c r="T353" i="24"/>
  <c r="S353" i="24"/>
  <c r="AD352" i="24"/>
  <c r="AC352" i="24"/>
  <c r="AB352" i="24"/>
  <c r="AA352" i="24"/>
  <c r="Z352" i="24"/>
  <c r="Y352" i="24"/>
  <c r="X352" i="24"/>
  <c r="W352" i="24"/>
  <c r="V352" i="24"/>
  <c r="U352" i="24"/>
  <c r="T352" i="24"/>
  <c r="S352" i="24"/>
  <c r="AD351" i="24"/>
  <c r="AC351" i="24"/>
  <c r="AB351" i="24"/>
  <c r="AA351" i="24"/>
  <c r="Z351" i="24"/>
  <c r="Y351" i="24"/>
  <c r="X351" i="24"/>
  <c r="W351" i="24"/>
  <c r="V351" i="24"/>
  <c r="U351" i="24"/>
  <c r="T351" i="24"/>
  <c r="S351" i="24"/>
  <c r="AD350" i="24"/>
  <c r="AC350" i="24"/>
  <c r="AB350" i="24"/>
  <c r="AA350" i="24"/>
  <c r="Z350" i="24"/>
  <c r="Y350" i="24"/>
  <c r="X350" i="24"/>
  <c r="W350" i="24"/>
  <c r="V350" i="24"/>
  <c r="U350" i="24"/>
  <c r="T350" i="24"/>
  <c r="S350" i="24"/>
  <c r="AD345" i="24"/>
  <c r="AC345" i="24"/>
  <c r="AB345" i="24"/>
  <c r="AA345" i="24"/>
  <c r="Z345" i="24"/>
  <c r="Y345" i="24"/>
  <c r="X345" i="24"/>
  <c r="W345" i="24"/>
  <c r="V345" i="24"/>
  <c r="U345" i="24"/>
  <c r="T345" i="24"/>
  <c r="S345" i="24"/>
  <c r="AU336" i="24"/>
  <c r="AF336" i="24"/>
  <c r="AU335" i="24"/>
  <c r="AF335" i="24"/>
  <c r="AU334" i="24"/>
  <c r="AF334" i="24"/>
  <c r="AU332" i="24"/>
  <c r="AF332" i="24"/>
  <c r="AF331" i="24"/>
  <c r="AT284" i="24"/>
  <c r="AU284" i="24" s="1"/>
  <c r="AE284" i="24"/>
  <c r="AF284" i="24" s="1"/>
  <c r="P284" i="24"/>
  <c r="Q284" i="24" s="1"/>
  <c r="AT283" i="24"/>
  <c r="AU283" i="24" s="1"/>
  <c r="AE283" i="24"/>
  <c r="AF283" i="24" s="1"/>
  <c r="P283" i="24"/>
  <c r="Q283" i="24" s="1"/>
  <c r="AD282" i="24"/>
  <c r="AC282" i="24"/>
  <c r="AB282" i="24"/>
  <c r="AA282" i="24"/>
  <c r="Z282" i="24"/>
  <c r="Y282" i="24"/>
  <c r="X282" i="24"/>
  <c r="W282" i="24"/>
  <c r="V282" i="24"/>
  <c r="U282" i="24"/>
  <c r="T282" i="24"/>
  <c r="S282" i="24"/>
  <c r="O282" i="24"/>
  <c r="N282" i="24"/>
  <c r="M282" i="24"/>
  <c r="L282" i="24"/>
  <c r="K282" i="24"/>
  <c r="J282" i="24"/>
  <c r="I282" i="24"/>
  <c r="H282" i="24"/>
  <c r="G282" i="24"/>
  <c r="F282" i="24"/>
  <c r="E282" i="24"/>
  <c r="D282" i="24"/>
  <c r="AF281" i="24"/>
  <c r="AF280" i="24"/>
  <c r="AF279" i="24"/>
  <c r="AT257" i="24"/>
  <c r="AU257" i="24" s="1"/>
  <c r="AE257" i="24"/>
  <c r="AF257" i="24" s="1"/>
  <c r="P257" i="24"/>
  <c r="Q257" i="24" s="1"/>
  <c r="AT256" i="24"/>
  <c r="AU256" i="24" s="1"/>
  <c r="AE256" i="24"/>
  <c r="AF256" i="24" s="1"/>
  <c r="P256" i="24"/>
  <c r="Q256" i="24" s="1"/>
  <c r="AT255" i="24"/>
  <c r="AU255" i="24" s="1"/>
  <c r="AE255" i="24"/>
  <c r="AF255" i="24" s="1"/>
  <c r="P255" i="24"/>
  <c r="Q255" i="24" s="1"/>
  <c r="AT254" i="24"/>
  <c r="AU254" i="24" s="1"/>
  <c r="AE254" i="24"/>
  <c r="AF254" i="24" s="1"/>
  <c r="P254" i="24"/>
  <c r="Q254" i="24" s="1"/>
  <c r="AT253" i="24"/>
  <c r="AU253" i="24" s="1"/>
  <c r="AE253" i="24"/>
  <c r="AF253" i="24" s="1"/>
  <c r="P253" i="24"/>
  <c r="Q253" i="24" s="1"/>
  <c r="AT252" i="24"/>
  <c r="AU252" i="24" s="1"/>
  <c r="AE252" i="24"/>
  <c r="AF252" i="24" s="1"/>
  <c r="P252" i="24"/>
  <c r="Q252" i="24" s="1"/>
  <c r="AT251" i="24"/>
  <c r="AU251" i="24" s="1"/>
  <c r="AE251" i="24"/>
  <c r="AF251" i="24" s="1"/>
  <c r="P251" i="24"/>
  <c r="Q251" i="24" s="1"/>
  <c r="AE250" i="24"/>
  <c r="AF250" i="24" s="1"/>
  <c r="O250" i="24"/>
  <c r="N250" i="24"/>
  <c r="M250" i="24"/>
  <c r="L250" i="24"/>
  <c r="K250" i="24"/>
  <c r="J250" i="24"/>
  <c r="I250" i="24"/>
  <c r="H250" i="24"/>
  <c r="G250" i="24"/>
  <c r="F250" i="24"/>
  <c r="E250" i="24"/>
  <c r="D250" i="24"/>
  <c r="AE249" i="24"/>
  <c r="AF249" i="24" s="1"/>
  <c r="O249" i="24"/>
  <c r="N249" i="24"/>
  <c r="M249" i="24"/>
  <c r="L249" i="24"/>
  <c r="K249" i="24"/>
  <c r="J249" i="24"/>
  <c r="I249" i="24"/>
  <c r="H249" i="24"/>
  <c r="G249" i="24"/>
  <c r="F249" i="24"/>
  <c r="E249" i="24"/>
  <c r="D249" i="24"/>
  <c r="AE248" i="24"/>
  <c r="AF248" i="24" s="1"/>
  <c r="O248" i="24"/>
  <c r="N248" i="24"/>
  <c r="M248" i="24"/>
  <c r="L248" i="24"/>
  <c r="K248" i="24"/>
  <c r="J248" i="24"/>
  <c r="I248" i="24"/>
  <c r="H248" i="24"/>
  <c r="G248" i="24"/>
  <c r="F248" i="24"/>
  <c r="E248" i="24"/>
  <c r="D248" i="24"/>
  <c r="AE247" i="24"/>
  <c r="AF247" i="24" s="1"/>
  <c r="O247" i="24"/>
  <c r="N247" i="24"/>
  <c r="M247" i="24"/>
  <c r="L247" i="24"/>
  <c r="K247" i="24"/>
  <c r="J247" i="24"/>
  <c r="I247" i="24"/>
  <c r="H247" i="24"/>
  <c r="G247" i="24"/>
  <c r="F247" i="24"/>
  <c r="E247" i="24"/>
  <c r="D247" i="24"/>
  <c r="AE246" i="24"/>
  <c r="AF246" i="24" s="1"/>
  <c r="O246" i="24"/>
  <c r="N246" i="24"/>
  <c r="M246" i="24"/>
  <c r="L246" i="24"/>
  <c r="K246" i="24"/>
  <c r="J246" i="24"/>
  <c r="I246" i="24"/>
  <c r="H246" i="24"/>
  <c r="G246" i="24"/>
  <c r="F246" i="24"/>
  <c r="E246" i="24"/>
  <c r="D246" i="24"/>
  <c r="AE245" i="24"/>
  <c r="AF245" i="24" s="1"/>
  <c r="O245" i="24"/>
  <c r="N245" i="24"/>
  <c r="M245" i="24"/>
  <c r="L245" i="24"/>
  <c r="K245" i="24"/>
  <c r="J245" i="24"/>
  <c r="I245" i="24"/>
  <c r="H245" i="24"/>
  <c r="G245" i="24"/>
  <c r="F245" i="24"/>
  <c r="E245" i="24"/>
  <c r="D245" i="24"/>
  <c r="AE244" i="24"/>
  <c r="AF244" i="24" s="1"/>
  <c r="O244" i="24"/>
  <c r="N244" i="24"/>
  <c r="M244" i="24"/>
  <c r="L244" i="24"/>
  <c r="K244" i="24"/>
  <c r="J244" i="24"/>
  <c r="I244" i="24"/>
  <c r="H244" i="24"/>
  <c r="G244" i="24"/>
  <c r="F244" i="24"/>
  <c r="E244" i="24"/>
  <c r="D244" i="24"/>
  <c r="AE243" i="24"/>
  <c r="AF243" i="24" s="1"/>
  <c r="O243" i="24"/>
  <c r="N243" i="24"/>
  <c r="M243" i="24"/>
  <c r="L243" i="24"/>
  <c r="K243" i="24"/>
  <c r="J243" i="24"/>
  <c r="I243" i="24"/>
  <c r="H243" i="24"/>
  <c r="G243" i="24"/>
  <c r="F243" i="24"/>
  <c r="E243" i="24"/>
  <c r="D243" i="24"/>
  <c r="AE242" i="24"/>
  <c r="AF242" i="24" s="1"/>
  <c r="O242" i="24"/>
  <c r="N242" i="24"/>
  <c r="M242" i="24"/>
  <c r="L242" i="24"/>
  <c r="K242" i="24"/>
  <c r="J242" i="24"/>
  <c r="I242" i="24"/>
  <c r="H242" i="24"/>
  <c r="G242" i="24"/>
  <c r="F242" i="24"/>
  <c r="E242" i="24"/>
  <c r="D242" i="24"/>
  <c r="AE241" i="24"/>
  <c r="AF241" i="24" s="1"/>
  <c r="O241" i="24"/>
  <c r="N241" i="24"/>
  <c r="M241" i="24"/>
  <c r="L241" i="24"/>
  <c r="K241" i="24"/>
  <c r="J241" i="24"/>
  <c r="I241" i="24"/>
  <c r="H241" i="24"/>
  <c r="G241" i="24"/>
  <c r="F241" i="24"/>
  <c r="E241" i="24"/>
  <c r="D241" i="24"/>
  <c r="AT240" i="24"/>
  <c r="AU240" i="24" s="1"/>
  <c r="AE240" i="24"/>
  <c r="AF240" i="24" s="1"/>
  <c r="P240" i="24"/>
  <c r="Q240" i="24" s="1"/>
  <c r="AT239" i="24"/>
  <c r="AU239" i="24" s="1"/>
  <c r="AE239" i="24"/>
  <c r="AF239" i="24" s="1"/>
  <c r="P239" i="24"/>
  <c r="Q239" i="24" s="1"/>
  <c r="AT238" i="24"/>
  <c r="AU238" i="24" s="1"/>
  <c r="AE238" i="24"/>
  <c r="AF238" i="24" s="1"/>
  <c r="P238" i="24"/>
  <c r="Q238" i="24" s="1"/>
  <c r="AT237" i="24"/>
  <c r="AU237" i="24" s="1"/>
  <c r="AE237" i="24"/>
  <c r="AF237" i="24" s="1"/>
  <c r="P237" i="24"/>
  <c r="Q237" i="24" s="1"/>
  <c r="AT236" i="24"/>
  <c r="AU236" i="24" s="1"/>
  <c r="AE236" i="24"/>
  <c r="AF236" i="24" s="1"/>
  <c r="P236" i="24"/>
  <c r="Q236" i="24" s="1"/>
  <c r="AT235" i="24"/>
  <c r="AU235" i="24" s="1"/>
  <c r="AE235" i="24"/>
  <c r="AF235" i="24" s="1"/>
  <c r="P235" i="24"/>
  <c r="Q235" i="24" s="1"/>
  <c r="AT234" i="24"/>
  <c r="AU234" i="24" s="1"/>
  <c r="AE234" i="24"/>
  <c r="AF234" i="24" s="1"/>
  <c r="P234" i="24"/>
  <c r="Q234" i="24" s="1"/>
  <c r="AT233" i="24"/>
  <c r="AU233" i="24" s="1"/>
  <c r="AE233" i="24"/>
  <c r="AF233" i="24" s="1"/>
  <c r="P233" i="24"/>
  <c r="Q233" i="24" s="1"/>
  <c r="AT232" i="24"/>
  <c r="AU232" i="24" s="1"/>
  <c r="AE232" i="24"/>
  <c r="AF232" i="24" s="1"/>
  <c r="P232" i="24"/>
  <c r="Q232" i="24" s="1"/>
  <c r="AT231" i="24"/>
  <c r="AU231" i="24" s="1"/>
  <c r="AE231" i="24"/>
  <c r="AF231" i="24" s="1"/>
  <c r="P231" i="24"/>
  <c r="Q231" i="24" s="1"/>
  <c r="AE230" i="24"/>
  <c r="AF230" i="24" s="1"/>
  <c r="O230" i="24"/>
  <c r="N230" i="24"/>
  <c r="M230" i="24"/>
  <c r="L230" i="24"/>
  <c r="K230" i="24"/>
  <c r="J230" i="24"/>
  <c r="I230" i="24"/>
  <c r="H230" i="24"/>
  <c r="G230" i="24"/>
  <c r="F230" i="24"/>
  <c r="E230" i="24"/>
  <c r="D230" i="24"/>
  <c r="AE229" i="24"/>
  <c r="AF229" i="24" s="1"/>
  <c r="O229" i="24"/>
  <c r="N229" i="24"/>
  <c r="M229" i="24"/>
  <c r="L229" i="24"/>
  <c r="K229" i="24"/>
  <c r="J229" i="24"/>
  <c r="I229" i="24"/>
  <c r="H229" i="24"/>
  <c r="G229" i="24"/>
  <c r="F229" i="24"/>
  <c r="E229" i="24"/>
  <c r="D229" i="24"/>
  <c r="AE228" i="24"/>
  <c r="AF228" i="24" s="1"/>
  <c r="O228" i="24"/>
  <c r="N228" i="24"/>
  <c r="M228" i="24"/>
  <c r="L228" i="24"/>
  <c r="K228" i="24"/>
  <c r="J228" i="24"/>
  <c r="I228" i="24"/>
  <c r="H228" i="24"/>
  <c r="G228" i="24"/>
  <c r="F228" i="24"/>
  <c r="E228" i="24"/>
  <c r="D228" i="24"/>
  <c r="AE227" i="24"/>
  <c r="AF227" i="24" s="1"/>
  <c r="O227" i="24"/>
  <c r="N227" i="24"/>
  <c r="M227" i="24"/>
  <c r="L227" i="24"/>
  <c r="K227" i="24"/>
  <c r="J227" i="24"/>
  <c r="I227" i="24"/>
  <c r="H227" i="24"/>
  <c r="G227" i="24"/>
  <c r="F227" i="24"/>
  <c r="E227" i="24"/>
  <c r="D227" i="24"/>
  <c r="AE226" i="24"/>
  <c r="AF226" i="24" s="1"/>
  <c r="O226" i="24"/>
  <c r="N226" i="24"/>
  <c r="M226" i="24"/>
  <c r="L226" i="24"/>
  <c r="K226" i="24"/>
  <c r="J226" i="24"/>
  <c r="I226" i="24"/>
  <c r="H226" i="24"/>
  <c r="G226" i="24"/>
  <c r="F226" i="24"/>
  <c r="E226" i="24"/>
  <c r="D226" i="24"/>
  <c r="AT224" i="24"/>
  <c r="AE224" i="24"/>
  <c r="P224" i="24"/>
  <c r="Q224" i="24" s="1"/>
  <c r="AT223" i="24"/>
  <c r="AU223" i="24" s="1"/>
  <c r="AE223" i="24"/>
  <c r="AF223" i="24" s="1"/>
  <c r="P223" i="24"/>
  <c r="Q223" i="24" s="1"/>
  <c r="AT221" i="24"/>
  <c r="AU221" i="24" s="1"/>
  <c r="AE221" i="24"/>
  <c r="AF221" i="24" s="1"/>
  <c r="P221" i="24"/>
  <c r="Q221" i="24" s="1"/>
  <c r="AT220" i="24"/>
  <c r="AU220" i="24" s="1"/>
  <c r="AE220" i="24"/>
  <c r="AF220" i="24" s="1"/>
  <c r="P220" i="24"/>
  <c r="Q220" i="24" s="1"/>
  <c r="AT219" i="24"/>
  <c r="AU219" i="24" s="1"/>
  <c r="AE219" i="24"/>
  <c r="AF219" i="24" s="1"/>
  <c r="P219" i="24"/>
  <c r="Q219" i="24" s="1"/>
  <c r="AT218" i="24"/>
  <c r="AU218" i="24" s="1"/>
  <c r="AE218" i="24"/>
  <c r="AF218" i="24" s="1"/>
  <c r="P218" i="24"/>
  <c r="Q218" i="24" s="1"/>
  <c r="AT217" i="24"/>
  <c r="AU217" i="24" s="1"/>
  <c r="AE217" i="24"/>
  <c r="AF217" i="24" s="1"/>
  <c r="P217" i="24"/>
  <c r="Q217" i="24" s="1"/>
  <c r="AT216" i="24"/>
  <c r="AU216" i="24" s="1"/>
  <c r="AE216" i="24"/>
  <c r="AF216" i="24" s="1"/>
  <c r="P216" i="24"/>
  <c r="Q216" i="24" s="1"/>
  <c r="AT215" i="24"/>
  <c r="AU215" i="24" s="1"/>
  <c r="AE215" i="24"/>
  <c r="AF215" i="24" s="1"/>
  <c r="P215" i="24"/>
  <c r="Q215" i="24" s="1"/>
  <c r="AT214" i="24"/>
  <c r="AU214" i="24" s="1"/>
  <c r="AE214" i="24"/>
  <c r="AF214" i="24" s="1"/>
  <c r="P214" i="24"/>
  <c r="Q214" i="24" s="1"/>
  <c r="AE213" i="24"/>
  <c r="AF213" i="24" s="1"/>
  <c r="O213" i="24"/>
  <c r="N213" i="24"/>
  <c r="M213" i="24"/>
  <c r="L213" i="24"/>
  <c r="K213" i="24"/>
  <c r="J213" i="24"/>
  <c r="I213" i="24"/>
  <c r="H213" i="24"/>
  <c r="G213" i="24"/>
  <c r="F213" i="24"/>
  <c r="E213" i="24"/>
  <c r="D213" i="24"/>
  <c r="AE212" i="24"/>
  <c r="AF212" i="24" s="1"/>
  <c r="O212" i="24"/>
  <c r="N212" i="24"/>
  <c r="M212" i="24"/>
  <c r="L212" i="24"/>
  <c r="K212" i="24"/>
  <c r="J212" i="24"/>
  <c r="I212" i="24"/>
  <c r="H212" i="24"/>
  <c r="G212" i="24"/>
  <c r="F212" i="24"/>
  <c r="E212" i="24"/>
  <c r="D212" i="24"/>
  <c r="AE211" i="24"/>
  <c r="AF211" i="24" s="1"/>
  <c r="O211" i="24"/>
  <c r="N211" i="24"/>
  <c r="M211" i="24"/>
  <c r="L211" i="24"/>
  <c r="K211" i="24"/>
  <c r="J211" i="24"/>
  <c r="I211" i="24"/>
  <c r="H211" i="24"/>
  <c r="G211" i="24"/>
  <c r="F211" i="24"/>
  <c r="E211" i="24"/>
  <c r="D211" i="24"/>
  <c r="AE210" i="24"/>
  <c r="AF210" i="24" s="1"/>
  <c r="O210" i="24"/>
  <c r="N210" i="24"/>
  <c r="M210" i="24"/>
  <c r="L210" i="24"/>
  <c r="K210" i="24"/>
  <c r="J210" i="24"/>
  <c r="I210" i="24"/>
  <c r="H210" i="24"/>
  <c r="G210" i="24"/>
  <c r="F210" i="24"/>
  <c r="E210" i="24"/>
  <c r="D210" i="24"/>
  <c r="AE209" i="24"/>
  <c r="AF209" i="24" s="1"/>
  <c r="O209" i="24"/>
  <c r="N209" i="24"/>
  <c r="M209" i="24"/>
  <c r="L209" i="24"/>
  <c r="K209" i="24"/>
  <c r="J209" i="24"/>
  <c r="I209" i="24"/>
  <c r="H209" i="24"/>
  <c r="G209" i="24"/>
  <c r="F209" i="24"/>
  <c r="E209" i="24"/>
  <c r="D209" i="24"/>
  <c r="AE208" i="24"/>
  <c r="AF208" i="24" s="1"/>
  <c r="O208" i="24"/>
  <c r="N208" i="24"/>
  <c r="M208" i="24"/>
  <c r="L208" i="24"/>
  <c r="K208" i="24"/>
  <c r="J208" i="24"/>
  <c r="I208" i="24"/>
  <c r="H208" i="24"/>
  <c r="G208" i="24"/>
  <c r="F208" i="24"/>
  <c r="E208" i="24"/>
  <c r="D208" i="24"/>
  <c r="AE207" i="24"/>
  <c r="AF207" i="24" s="1"/>
  <c r="O207" i="24"/>
  <c r="N207" i="24"/>
  <c r="M207" i="24"/>
  <c r="L207" i="24"/>
  <c r="K207" i="24"/>
  <c r="J207" i="24"/>
  <c r="I207" i="24"/>
  <c r="H207" i="24"/>
  <c r="G207" i="24"/>
  <c r="F207" i="24"/>
  <c r="E207" i="24"/>
  <c r="D207" i="24"/>
  <c r="AE206" i="24"/>
  <c r="AF206" i="24" s="1"/>
  <c r="O206" i="24"/>
  <c r="N206" i="24"/>
  <c r="M206" i="24"/>
  <c r="L206" i="24"/>
  <c r="K206" i="24"/>
  <c r="J206" i="24"/>
  <c r="I206" i="24"/>
  <c r="H206" i="24"/>
  <c r="G206" i="24"/>
  <c r="F206" i="24"/>
  <c r="E206" i="24"/>
  <c r="D206" i="24"/>
  <c r="AE205" i="24"/>
  <c r="AF205" i="24" s="1"/>
  <c r="O205" i="24"/>
  <c r="N205" i="24"/>
  <c r="M205" i="24"/>
  <c r="L205" i="24"/>
  <c r="K205" i="24"/>
  <c r="J205" i="24"/>
  <c r="I205" i="24"/>
  <c r="H205" i="24"/>
  <c r="G205" i="24"/>
  <c r="F205" i="24"/>
  <c r="E205" i="24"/>
  <c r="D205" i="24"/>
  <c r="AE204" i="24"/>
  <c r="AF204" i="24" s="1"/>
  <c r="O204" i="24"/>
  <c r="N204" i="24"/>
  <c r="M204" i="24"/>
  <c r="L204" i="24"/>
  <c r="K204" i="24"/>
  <c r="J204" i="24"/>
  <c r="I204" i="24"/>
  <c r="H204" i="24"/>
  <c r="G204" i="24"/>
  <c r="F204" i="24"/>
  <c r="E204" i="24"/>
  <c r="D204" i="24"/>
  <c r="AT203" i="24"/>
  <c r="AU203" i="24" s="1"/>
  <c r="AE203" i="24"/>
  <c r="AF203" i="24" s="1"/>
  <c r="P203" i="24"/>
  <c r="Q203" i="24" s="1"/>
  <c r="AT202" i="24"/>
  <c r="AU202" i="24" s="1"/>
  <c r="AE202" i="24"/>
  <c r="AF202" i="24" s="1"/>
  <c r="P202" i="24"/>
  <c r="Q202" i="24" s="1"/>
  <c r="AT201" i="24"/>
  <c r="AU201" i="24" s="1"/>
  <c r="AE201" i="24"/>
  <c r="AF201" i="24" s="1"/>
  <c r="P201" i="24"/>
  <c r="Q201" i="24" s="1"/>
  <c r="AT200" i="24"/>
  <c r="AU200" i="24" s="1"/>
  <c r="AE200" i="24"/>
  <c r="AF200" i="24" s="1"/>
  <c r="P200" i="24"/>
  <c r="Q200" i="24" s="1"/>
  <c r="AT199" i="24"/>
  <c r="AU199" i="24" s="1"/>
  <c r="AE199" i="24"/>
  <c r="AF199" i="24" s="1"/>
  <c r="P199" i="24"/>
  <c r="Q199" i="24" s="1"/>
  <c r="AT198" i="24"/>
  <c r="AU198" i="24" s="1"/>
  <c r="AE198" i="24"/>
  <c r="AF198" i="24" s="1"/>
  <c r="P198" i="24"/>
  <c r="Q198" i="24" s="1"/>
  <c r="AT197" i="24"/>
  <c r="AU197" i="24" s="1"/>
  <c r="AE197" i="24"/>
  <c r="AF197" i="24" s="1"/>
  <c r="P197" i="24"/>
  <c r="Q197" i="24" s="1"/>
  <c r="AT196" i="24"/>
  <c r="AU196" i="24" s="1"/>
  <c r="AE196" i="24"/>
  <c r="AF196" i="24" s="1"/>
  <c r="P196" i="24"/>
  <c r="Q196" i="24" s="1"/>
  <c r="AT195" i="24"/>
  <c r="AU195" i="24" s="1"/>
  <c r="AE195" i="24"/>
  <c r="AF195" i="24" s="1"/>
  <c r="P195" i="24"/>
  <c r="Q195" i="24" s="1"/>
  <c r="AT194" i="24"/>
  <c r="AU194" i="24" s="1"/>
  <c r="AE194" i="24"/>
  <c r="AF194" i="24" s="1"/>
  <c r="P194" i="24"/>
  <c r="Q194" i="24" s="1"/>
  <c r="AE193" i="24"/>
  <c r="AF193" i="24" s="1"/>
  <c r="O193" i="24"/>
  <c r="N193" i="24"/>
  <c r="M193" i="24"/>
  <c r="L193" i="24"/>
  <c r="K193" i="24"/>
  <c r="J193" i="24"/>
  <c r="I193" i="24"/>
  <c r="H193" i="24"/>
  <c r="G193" i="24"/>
  <c r="F193" i="24"/>
  <c r="E193" i="24"/>
  <c r="D193" i="24"/>
  <c r="AE192" i="24"/>
  <c r="AF192" i="24" s="1"/>
  <c r="O192" i="24"/>
  <c r="N192" i="24"/>
  <c r="M192" i="24"/>
  <c r="L192" i="24"/>
  <c r="K192" i="24"/>
  <c r="J192" i="24"/>
  <c r="I192" i="24"/>
  <c r="H192" i="24"/>
  <c r="G192" i="24"/>
  <c r="F192" i="24"/>
  <c r="E192" i="24"/>
  <c r="D192" i="24"/>
  <c r="AE191" i="24"/>
  <c r="AF191" i="24" s="1"/>
  <c r="O191" i="24"/>
  <c r="N191" i="24"/>
  <c r="M191" i="24"/>
  <c r="L191" i="24"/>
  <c r="K191" i="24"/>
  <c r="J191" i="24"/>
  <c r="I191" i="24"/>
  <c r="H191" i="24"/>
  <c r="G191" i="24"/>
  <c r="F191" i="24"/>
  <c r="E191" i="24"/>
  <c r="D191" i="24"/>
  <c r="AE190" i="24"/>
  <c r="AF190" i="24" s="1"/>
  <c r="O190" i="24"/>
  <c r="N190" i="24"/>
  <c r="M190" i="24"/>
  <c r="L190" i="24"/>
  <c r="K190" i="24"/>
  <c r="J190" i="24"/>
  <c r="I190" i="24"/>
  <c r="H190" i="24"/>
  <c r="G190" i="24"/>
  <c r="F190" i="24"/>
  <c r="E190" i="24"/>
  <c r="D190" i="24"/>
  <c r="AE189" i="24"/>
  <c r="AF189" i="24" s="1"/>
  <c r="O189" i="24"/>
  <c r="N189" i="24"/>
  <c r="M189" i="24"/>
  <c r="L189" i="24"/>
  <c r="K189" i="24"/>
  <c r="J189" i="24"/>
  <c r="I189" i="24"/>
  <c r="H189" i="24"/>
  <c r="G189" i="24"/>
  <c r="F189" i="24"/>
  <c r="E189" i="24"/>
  <c r="D189" i="24"/>
  <c r="AT187" i="24"/>
  <c r="AU187" i="24" s="1"/>
  <c r="AE187" i="24"/>
  <c r="AF187" i="24" s="1"/>
  <c r="P187" i="24"/>
  <c r="Q187" i="24" s="1"/>
  <c r="AT186" i="24"/>
  <c r="AU186" i="24" s="1"/>
  <c r="AE186" i="24"/>
  <c r="AF186" i="24" s="1"/>
  <c r="P186" i="24"/>
  <c r="Q186" i="24" s="1"/>
  <c r="AT184" i="24"/>
  <c r="AU184" i="24" s="1"/>
  <c r="AE184" i="24"/>
  <c r="AF184" i="24" s="1"/>
  <c r="P184" i="24"/>
  <c r="Q184" i="24" s="1"/>
  <c r="AT183" i="24"/>
  <c r="AU183" i="24" s="1"/>
  <c r="AE183" i="24"/>
  <c r="AF183" i="24" s="1"/>
  <c r="O183" i="24"/>
  <c r="N183" i="24"/>
  <c r="M183" i="24"/>
  <c r="L183" i="24"/>
  <c r="K183" i="24"/>
  <c r="J183" i="24"/>
  <c r="I183" i="24"/>
  <c r="H183" i="24"/>
  <c r="G183" i="24"/>
  <c r="F183" i="24"/>
  <c r="E183" i="24"/>
  <c r="D183" i="24"/>
  <c r="AT182" i="24"/>
  <c r="AU182" i="24" s="1"/>
  <c r="AE182" i="24"/>
  <c r="AF182" i="24" s="1"/>
  <c r="O182" i="24"/>
  <c r="N182" i="24"/>
  <c r="M182" i="24"/>
  <c r="L182" i="24"/>
  <c r="K182" i="24"/>
  <c r="J182" i="24"/>
  <c r="I182" i="24"/>
  <c r="H182" i="24"/>
  <c r="G182" i="24"/>
  <c r="F182" i="24"/>
  <c r="E182" i="24"/>
  <c r="D182" i="24"/>
  <c r="AT181" i="24"/>
  <c r="AU181" i="24" s="1"/>
  <c r="AE181" i="24"/>
  <c r="AF181" i="24" s="1"/>
  <c r="O181" i="24"/>
  <c r="N181" i="24"/>
  <c r="M181" i="24"/>
  <c r="L181" i="24"/>
  <c r="K181" i="24"/>
  <c r="J181" i="24"/>
  <c r="I181" i="24"/>
  <c r="H181" i="24"/>
  <c r="G181" i="24"/>
  <c r="F181" i="24"/>
  <c r="E181" i="24"/>
  <c r="D181" i="24"/>
  <c r="AT180" i="24"/>
  <c r="AU180" i="24" s="1"/>
  <c r="AE180" i="24"/>
  <c r="AF180" i="24" s="1"/>
  <c r="O180" i="24"/>
  <c r="N180" i="24"/>
  <c r="M180" i="24"/>
  <c r="L180" i="24"/>
  <c r="K180" i="24"/>
  <c r="J180" i="24"/>
  <c r="I180" i="24"/>
  <c r="H180" i="24"/>
  <c r="G180" i="24"/>
  <c r="F180" i="24"/>
  <c r="E180" i="24"/>
  <c r="D180" i="24"/>
  <c r="AT179" i="24"/>
  <c r="AU179" i="24" s="1"/>
  <c r="AE179" i="24"/>
  <c r="AF179" i="24" s="1"/>
  <c r="O179" i="24"/>
  <c r="O174" i="24" s="1"/>
  <c r="N179" i="24"/>
  <c r="N174" i="24" s="1"/>
  <c r="M179" i="24"/>
  <c r="M174" i="24" s="1"/>
  <c r="L179" i="24"/>
  <c r="L174" i="24" s="1"/>
  <c r="K179" i="24"/>
  <c r="K174" i="24" s="1"/>
  <c r="J179" i="24"/>
  <c r="J174" i="24" s="1"/>
  <c r="I179" i="24"/>
  <c r="I174" i="24" s="1"/>
  <c r="H179" i="24"/>
  <c r="H174" i="24" s="1"/>
  <c r="G179" i="24"/>
  <c r="G174" i="24" s="1"/>
  <c r="F179" i="24"/>
  <c r="F174" i="24" s="1"/>
  <c r="E179" i="24"/>
  <c r="E174" i="24" s="1"/>
  <c r="D179" i="24"/>
  <c r="D174" i="24" s="1"/>
  <c r="AT178" i="24"/>
  <c r="AU178" i="24" s="1"/>
  <c r="AE178" i="24"/>
  <c r="AF178" i="24" s="1"/>
  <c r="O178" i="24"/>
  <c r="O173" i="24" s="1"/>
  <c r="N178" i="24"/>
  <c r="N173" i="24" s="1"/>
  <c r="M178" i="24"/>
  <c r="M173" i="24" s="1"/>
  <c r="L178" i="24"/>
  <c r="L173" i="24" s="1"/>
  <c r="K178" i="24"/>
  <c r="K173" i="24" s="1"/>
  <c r="J178" i="24"/>
  <c r="J173" i="24" s="1"/>
  <c r="I178" i="24"/>
  <c r="I173" i="24" s="1"/>
  <c r="H178" i="24"/>
  <c r="H173" i="24" s="1"/>
  <c r="G178" i="24"/>
  <c r="G173" i="24" s="1"/>
  <c r="F178" i="24"/>
  <c r="F173" i="24" s="1"/>
  <c r="E178" i="24"/>
  <c r="E173" i="24" s="1"/>
  <c r="D178" i="24"/>
  <c r="D173" i="24" s="1"/>
  <c r="AT177" i="24"/>
  <c r="AU177" i="24" s="1"/>
  <c r="AE177" i="24"/>
  <c r="AF177" i="24" s="1"/>
  <c r="O177" i="24"/>
  <c r="N177" i="24"/>
  <c r="M177" i="24"/>
  <c r="L177" i="24"/>
  <c r="K177" i="24"/>
  <c r="J177" i="24"/>
  <c r="I177" i="24"/>
  <c r="H177" i="24"/>
  <c r="G177" i="24"/>
  <c r="F177" i="24"/>
  <c r="E177" i="24"/>
  <c r="D177" i="24"/>
  <c r="D172" i="24" s="1"/>
  <c r="AD176" i="24"/>
  <c r="AC176" i="24"/>
  <c r="AB176" i="24"/>
  <c r="AA176" i="24"/>
  <c r="Z176" i="24"/>
  <c r="Y176" i="24"/>
  <c r="X176" i="24"/>
  <c r="W176" i="24"/>
  <c r="V176" i="24"/>
  <c r="U176" i="24"/>
  <c r="T176" i="24"/>
  <c r="S176" i="24"/>
  <c r="AD175" i="24"/>
  <c r="AC175" i="24"/>
  <c r="AB175" i="24"/>
  <c r="AA175" i="24"/>
  <c r="Z175" i="24"/>
  <c r="Y175" i="24"/>
  <c r="X175" i="24"/>
  <c r="W175" i="24"/>
  <c r="V175" i="24"/>
  <c r="U175" i="24"/>
  <c r="T175" i="24"/>
  <c r="S175" i="24"/>
  <c r="AD174" i="24"/>
  <c r="AC174" i="24"/>
  <c r="AB174" i="24"/>
  <c r="AA174" i="24"/>
  <c r="Z174" i="24"/>
  <c r="Y174" i="24"/>
  <c r="X174" i="24"/>
  <c r="W174" i="24"/>
  <c r="V174" i="24"/>
  <c r="U174" i="24"/>
  <c r="T174" i="24"/>
  <c r="S174" i="24"/>
  <c r="AD173" i="24"/>
  <c r="AC173" i="24"/>
  <c r="AB173" i="24"/>
  <c r="AA173" i="24"/>
  <c r="Z173" i="24"/>
  <c r="Y173" i="24"/>
  <c r="X173" i="24"/>
  <c r="W173" i="24"/>
  <c r="V173" i="24"/>
  <c r="U173" i="24"/>
  <c r="T173" i="24"/>
  <c r="S173" i="24"/>
  <c r="AD172" i="24"/>
  <c r="AC172" i="24"/>
  <c r="AB172" i="24"/>
  <c r="AA172" i="24"/>
  <c r="Z172" i="24"/>
  <c r="Y172" i="24"/>
  <c r="X172" i="24"/>
  <c r="W172" i="24"/>
  <c r="V172" i="24"/>
  <c r="U172" i="24"/>
  <c r="T172" i="24"/>
  <c r="S172" i="24"/>
  <c r="AT166" i="24"/>
  <c r="AU166" i="24" s="1"/>
  <c r="AE166" i="24"/>
  <c r="AF166" i="24" s="1"/>
  <c r="O166" i="24"/>
  <c r="N166" i="24"/>
  <c r="M166" i="24"/>
  <c r="L166" i="24"/>
  <c r="K166" i="24"/>
  <c r="J166" i="24"/>
  <c r="I166" i="24"/>
  <c r="H166" i="24"/>
  <c r="G166" i="24"/>
  <c r="F166" i="24"/>
  <c r="E166" i="24"/>
  <c r="D166" i="24"/>
  <c r="AT165" i="24"/>
  <c r="AU165" i="24" s="1"/>
  <c r="AE165" i="24"/>
  <c r="AF165" i="24" s="1"/>
  <c r="O165" i="24"/>
  <c r="N165" i="24"/>
  <c r="M165" i="24"/>
  <c r="L165" i="24"/>
  <c r="K165" i="24"/>
  <c r="J165" i="24"/>
  <c r="I165" i="24"/>
  <c r="H165" i="24"/>
  <c r="G165" i="24"/>
  <c r="F165" i="24"/>
  <c r="E165" i="24"/>
  <c r="D165" i="24"/>
  <c r="AT164" i="24"/>
  <c r="AU164" i="24" s="1"/>
  <c r="AE164" i="24"/>
  <c r="AF164" i="24" s="1"/>
  <c r="O164" i="24"/>
  <c r="N164" i="24"/>
  <c r="M164" i="24"/>
  <c r="L164" i="24"/>
  <c r="K164" i="24"/>
  <c r="J164" i="24"/>
  <c r="I164" i="24"/>
  <c r="H164" i="24"/>
  <c r="G164" i="24"/>
  <c r="F164" i="24"/>
  <c r="E164" i="24"/>
  <c r="D164" i="24"/>
  <c r="AT163" i="24"/>
  <c r="AU163" i="24" s="1"/>
  <c r="AE163" i="24"/>
  <c r="AF163" i="24" s="1"/>
  <c r="O163" i="24"/>
  <c r="N163" i="24"/>
  <c r="M163" i="24"/>
  <c r="L163" i="24"/>
  <c r="K163" i="24"/>
  <c r="J163" i="24"/>
  <c r="I163" i="24"/>
  <c r="H163" i="24"/>
  <c r="G163" i="24"/>
  <c r="F163" i="24"/>
  <c r="E163" i="24"/>
  <c r="D163" i="24"/>
  <c r="AT162" i="24"/>
  <c r="AU162" i="24" s="1"/>
  <c r="AE162" i="24"/>
  <c r="AF162" i="24" s="1"/>
  <c r="O162" i="24"/>
  <c r="N162" i="24"/>
  <c r="M162" i="24"/>
  <c r="L162" i="24"/>
  <c r="K162" i="24"/>
  <c r="J162" i="24"/>
  <c r="I162" i="24"/>
  <c r="H162" i="24"/>
  <c r="G162" i="24"/>
  <c r="F162" i="24"/>
  <c r="E162" i="24"/>
  <c r="D162" i="24"/>
  <c r="AT161" i="24"/>
  <c r="AU161" i="24" s="1"/>
  <c r="AE161" i="24"/>
  <c r="AF161" i="24" s="1"/>
  <c r="O161" i="24"/>
  <c r="N161" i="24"/>
  <c r="M161" i="24"/>
  <c r="L161" i="24"/>
  <c r="K161" i="24"/>
  <c r="J161" i="24"/>
  <c r="I161" i="24"/>
  <c r="H161" i="24"/>
  <c r="G161" i="24"/>
  <c r="F161" i="24"/>
  <c r="E161" i="24"/>
  <c r="D161" i="24"/>
  <c r="AT160" i="24"/>
  <c r="AU160" i="24" s="1"/>
  <c r="AE160" i="24"/>
  <c r="AF160" i="24" s="1"/>
  <c r="O160" i="24"/>
  <c r="N160" i="24"/>
  <c r="M160" i="24"/>
  <c r="L160" i="24"/>
  <c r="K160" i="24"/>
  <c r="J160" i="24"/>
  <c r="I160" i="24"/>
  <c r="H160" i="24"/>
  <c r="G160" i="24"/>
  <c r="F160" i="24"/>
  <c r="E160" i="24"/>
  <c r="D160" i="24"/>
  <c r="AT159" i="24"/>
  <c r="AU159" i="24" s="1"/>
  <c r="AE159" i="24"/>
  <c r="AF159" i="24" s="1"/>
  <c r="O159" i="24"/>
  <c r="N159" i="24"/>
  <c r="M159" i="24"/>
  <c r="L159" i="24"/>
  <c r="K159" i="24"/>
  <c r="J159" i="24"/>
  <c r="I159" i="24"/>
  <c r="H159" i="24"/>
  <c r="G159" i="24"/>
  <c r="F159" i="24"/>
  <c r="E159" i="24"/>
  <c r="D159" i="24"/>
  <c r="AT158" i="24"/>
  <c r="AU158" i="24" s="1"/>
  <c r="AE158" i="24"/>
  <c r="AF158" i="24" s="1"/>
  <c r="O158" i="24"/>
  <c r="N158" i="24"/>
  <c r="M158" i="24"/>
  <c r="L158" i="24"/>
  <c r="K158" i="24"/>
  <c r="J158" i="24"/>
  <c r="I158" i="24"/>
  <c r="H158" i="24"/>
  <c r="G158" i="24"/>
  <c r="F158" i="24"/>
  <c r="E158" i="24"/>
  <c r="D158" i="24"/>
  <c r="AT157" i="24"/>
  <c r="AU157" i="24" s="1"/>
  <c r="AE157" i="24"/>
  <c r="AF157" i="24" s="1"/>
  <c r="O157" i="24"/>
  <c r="N157" i="24"/>
  <c r="M157" i="24"/>
  <c r="L157" i="24"/>
  <c r="K157" i="24"/>
  <c r="J157" i="24"/>
  <c r="I157" i="24"/>
  <c r="H157" i="24"/>
  <c r="G157" i="24"/>
  <c r="F157" i="24"/>
  <c r="E157" i="24"/>
  <c r="D157" i="24"/>
  <c r="AD156" i="24"/>
  <c r="AC156" i="24"/>
  <c r="AB156" i="24"/>
  <c r="AA156" i="24"/>
  <c r="Z156" i="24"/>
  <c r="Y156" i="24"/>
  <c r="X156" i="24"/>
  <c r="W156" i="24"/>
  <c r="V156" i="24"/>
  <c r="U156" i="24"/>
  <c r="T156" i="24"/>
  <c r="S156" i="24"/>
  <c r="AD155" i="24"/>
  <c r="AC155" i="24"/>
  <c r="AB155" i="24"/>
  <c r="AA155" i="24"/>
  <c r="Z155" i="24"/>
  <c r="Y155" i="24"/>
  <c r="X155" i="24"/>
  <c r="W155" i="24"/>
  <c r="V155" i="24"/>
  <c r="U155" i="24"/>
  <c r="T155" i="24"/>
  <c r="S155" i="24"/>
  <c r="AD154" i="24"/>
  <c r="AC154" i="24"/>
  <c r="AB154" i="24"/>
  <c r="AA154" i="24"/>
  <c r="Z154" i="24"/>
  <c r="Y154" i="24"/>
  <c r="X154" i="24"/>
  <c r="W154" i="24"/>
  <c r="V154" i="24"/>
  <c r="U154" i="24"/>
  <c r="T154" i="24"/>
  <c r="S154" i="24"/>
  <c r="AD153" i="24"/>
  <c r="AC153" i="24"/>
  <c r="AB153" i="24"/>
  <c r="AA153" i="24"/>
  <c r="Z153" i="24"/>
  <c r="Y153" i="24"/>
  <c r="X153" i="24"/>
  <c r="W153" i="24"/>
  <c r="V153" i="24"/>
  <c r="U153" i="24"/>
  <c r="T153" i="24"/>
  <c r="S153" i="24"/>
  <c r="AD152" i="24"/>
  <c r="AC152" i="24"/>
  <c r="AB152" i="24"/>
  <c r="AA152" i="24"/>
  <c r="Z152" i="24"/>
  <c r="Y152" i="24"/>
  <c r="X152" i="24"/>
  <c r="W152" i="24"/>
  <c r="V152" i="24"/>
  <c r="U152" i="24"/>
  <c r="T152" i="24"/>
  <c r="S152" i="24"/>
  <c r="AD150" i="24"/>
  <c r="AC150" i="24"/>
  <c r="AB150" i="24"/>
  <c r="AA150" i="24"/>
  <c r="Z150" i="24"/>
  <c r="Y150" i="24"/>
  <c r="X150" i="24"/>
  <c r="W150" i="24"/>
  <c r="V150" i="24"/>
  <c r="U150" i="24"/>
  <c r="T150" i="24"/>
  <c r="S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AD149" i="24"/>
  <c r="AC149" i="24"/>
  <c r="AB149" i="24"/>
  <c r="AA149" i="24"/>
  <c r="Z149" i="24"/>
  <c r="Y149" i="24"/>
  <c r="X149" i="24"/>
  <c r="W149" i="24"/>
  <c r="V149" i="24"/>
  <c r="U149" i="24"/>
  <c r="T149" i="24"/>
  <c r="S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AD147" i="24"/>
  <c r="AC147" i="24"/>
  <c r="AB147" i="24"/>
  <c r="AA147" i="24"/>
  <c r="Z147" i="24"/>
  <c r="Y147" i="24"/>
  <c r="X147" i="24"/>
  <c r="W147" i="24"/>
  <c r="V147" i="24"/>
  <c r="U147" i="24"/>
  <c r="T147" i="24"/>
  <c r="S147" i="24"/>
  <c r="O147" i="24"/>
  <c r="N147" i="24"/>
  <c r="M147" i="24"/>
  <c r="L147" i="24"/>
  <c r="K147" i="24"/>
  <c r="J147" i="24"/>
  <c r="I147" i="24"/>
  <c r="H147" i="24"/>
  <c r="G147" i="24"/>
  <c r="F147" i="24"/>
  <c r="E147" i="24"/>
  <c r="D147" i="24"/>
  <c r="AT146" i="24"/>
  <c r="AU146" i="24" s="1"/>
  <c r="AE146" i="24"/>
  <c r="AF146" i="24" s="1"/>
  <c r="P146" i="24"/>
  <c r="Q146" i="24" s="1"/>
  <c r="AT145" i="24"/>
  <c r="AU145" i="24" s="1"/>
  <c r="AE145" i="24"/>
  <c r="AF145" i="24" s="1"/>
  <c r="P145" i="24"/>
  <c r="Q145" i="24" s="1"/>
  <c r="AT144" i="24"/>
  <c r="AU144" i="24" s="1"/>
  <c r="AE144" i="24"/>
  <c r="AF144" i="24" s="1"/>
  <c r="P144" i="24"/>
  <c r="Q144" i="24" s="1"/>
  <c r="AT143" i="24"/>
  <c r="AU143" i="24" s="1"/>
  <c r="AE143" i="24"/>
  <c r="AF143" i="24" s="1"/>
  <c r="P143" i="24"/>
  <c r="Q143" i="24" s="1"/>
  <c r="AT142" i="24"/>
  <c r="AU142" i="24" s="1"/>
  <c r="AE142" i="24"/>
  <c r="AF142" i="24" s="1"/>
  <c r="P142" i="24"/>
  <c r="Q142" i="24" s="1"/>
  <c r="AT141" i="24"/>
  <c r="AU141" i="24" s="1"/>
  <c r="AE141" i="24"/>
  <c r="AF141" i="24" s="1"/>
  <c r="P141" i="24"/>
  <c r="Q141" i="24" s="1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AT139" i="24"/>
  <c r="AU139" i="24" s="1"/>
  <c r="AE139" i="24"/>
  <c r="AF139" i="24" s="1"/>
  <c r="P139" i="24"/>
  <c r="Q139" i="24" s="1"/>
  <c r="AT138" i="24"/>
  <c r="AU138" i="24" s="1"/>
  <c r="AE138" i="24"/>
  <c r="AF138" i="24" s="1"/>
  <c r="P138" i="24"/>
  <c r="Q138" i="24" s="1"/>
  <c r="AT137" i="24"/>
  <c r="AU137" i="24" s="1"/>
  <c r="AE137" i="24"/>
  <c r="AF137" i="24" s="1"/>
  <c r="P137" i="24"/>
  <c r="Q137" i="24" s="1"/>
  <c r="AT136" i="24"/>
  <c r="AU136" i="24" s="1"/>
  <c r="AE136" i="24"/>
  <c r="AF136" i="24" s="1"/>
  <c r="P136" i="24"/>
  <c r="Q136" i="24" s="1"/>
  <c r="AT135" i="24"/>
  <c r="AU135" i="24" s="1"/>
  <c r="AE135" i="24"/>
  <c r="AF135" i="24" s="1"/>
  <c r="P135" i="24"/>
  <c r="Q135" i="24" s="1"/>
  <c r="AT134" i="24"/>
  <c r="AU134" i="24" s="1"/>
  <c r="AE134" i="24"/>
  <c r="AF134" i="24" s="1"/>
  <c r="P134" i="24"/>
  <c r="Q134" i="24" s="1"/>
  <c r="AT133" i="24"/>
  <c r="AU133" i="24" s="1"/>
  <c r="AE133" i="24"/>
  <c r="AF133" i="24" s="1"/>
  <c r="P133" i="24"/>
  <c r="Q133" i="24" s="1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AD125" i="24"/>
  <c r="AC125" i="24"/>
  <c r="AB125" i="24"/>
  <c r="AA125" i="24"/>
  <c r="Z125" i="24"/>
  <c r="Y125" i="24"/>
  <c r="X125" i="24"/>
  <c r="W125" i="24"/>
  <c r="V125" i="24"/>
  <c r="U125" i="24"/>
  <c r="T125" i="24"/>
  <c r="S125" i="24"/>
  <c r="O125" i="24"/>
  <c r="N125" i="24"/>
  <c r="M125" i="24"/>
  <c r="L125" i="24"/>
  <c r="K125" i="24"/>
  <c r="J125" i="24"/>
  <c r="I125" i="24"/>
  <c r="H125" i="24"/>
  <c r="G125" i="24"/>
  <c r="F125" i="24"/>
  <c r="E125" i="24"/>
  <c r="D125" i="24"/>
  <c r="AD124" i="24"/>
  <c r="AC124" i="24"/>
  <c r="AB124" i="24"/>
  <c r="AA124" i="24"/>
  <c r="Z124" i="24"/>
  <c r="Y124" i="24"/>
  <c r="X124" i="24"/>
  <c r="W124" i="24"/>
  <c r="V124" i="24"/>
  <c r="U124" i="24"/>
  <c r="T124" i="24"/>
  <c r="S124" i="24"/>
  <c r="O124" i="24"/>
  <c r="N124" i="24"/>
  <c r="M124" i="24"/>
  <c r="L124" i="24"/>
  <c r="K124" i="24"/>
  <c r="J124" i="24"/>
  <c r="I124" i="24"/>
  <c r="H124" i="24"/>
  <c r="G124" i="24"/>
  <c r="F124" i="24"/>
  <c r="E124" i="24"/>
  <c r="D124" i="24"/>
  <c r="AD123" i="24"/>
  <c r="AC123" i="24"/>
  <c r="AB123" i="24"/>
  <c r="AA123" i="24"/>
  <c r="Z123" i="24"/>
  <c r="Y123" i="24"/>
  <c r="X123" i="24"/>
  <c r="W123" i="24"/>
  <c r="V123" i="24"/>
  <c r="U123" i="24"/>
  <c r="T123" i="24"/>
  <c r="S123" i="24"/>
  <c r="O123" i="24"/>
  <c r="N123" i="24"/>
  <c r="M123" i="24"/>
  <c r="L123" i="24"/>
  <c r="K123" i="24"/>
  <c r="J123" i="24"/>
  <c r="I123" i="24"/>
  <c r="H123" i="24"/>
  <c r="G123" i="24"/>
  <c r="F123" i="24"/>
  <c r="E123" i="24"/>
  <c r="D123" i="24"/>
  <c r="AT122" i="24"/>
  <c r="AU122" i="24" s="1"/>
  <c r="AE122" i="24"/>
  <c r="AF122" i="24" s="1"/>
  <c r="P122" i="24"/>
  <c r="Q122" i="24" s="1"/>
  <c r="AT121" i="24"/>
  <c r="AU121" i="24" s="1"/>
  <c r="AE121" i="24"/>
  <c r="AF121" i="24" s="1"/>
  <c r="P121" i="24"/>
  <c r="Q121" i="24" s="1"/>
  <c r="AT120" i="24"/>
  <c r="AU120" i="24" s="1"/>
  <c r="AE120" i="24"/>
  <c r="AF120" i="24" s="1"/>
  <c r="P120" i="24"/>
  <c r="Q120" i="24" s="1"/>
  <c r="AT119" i="24"/>
  <c r="AU119" i="24" s="1"/>
  <c r="AE119" i="24"/>
  <c r="AF119" i="24" s="1"/>
  <c r="P119" i="24"/>
  <c r="Q119" i="24" s="1"/>
  <c r="AT118" i="24"/>
  <c r="AU118" i="24" s="1"/>
  <c r="AE118" i="24"/>
  <c r="AF118" i="24" s="1"/>
  <c r="P118" i="24"/>
  <c r="Q118" i="24" s="1"/>
  <c r="AT117" i="24"/>
  <c r="AU117" i="24" s="1"/>
  <c r="AE117" i="24"/>
  <c r="AF117" i="24" s="1"/>
  <c r="P117" i="24"/>
  <c r="Q117" i="24" s="1"/>
  <c r="AT116" i="24"/>
  <c r="AU116" i="24" s="1"/>
  <c r="AE116" i="24"/>
  <c r="AF116" i="24" s="1"/>
  <c r="P116" i="24"/>
  <c r="Q116" i="24" s="1"/>
  <c r="AT115" i="24"/>
  <c r="AU115" i="24" s="1"/>
  <c r="AE115" i="24"/>
  <c r="AF115" i="24" s="1"/>
  <c r="P115" i="24"/>
  <c r="Q115" i="24" s="1"/>
  <c r="AT114" i="24"/>
  <c r="AU114" i="24" s="1"/>
  <c r="AE114" i="24"/>
  <c r="AF114" i="24" s="1"/>
  <c r="P114" i="24"/>
  <c r="Q114" i="24" s="1"/>
  <c r="AT113" i="24"/>
  <c r="AU113" i="24" s="1"/>
  <c r="AE113" i="24"/>
  <c r="AF113" i="24" s="1"/>
  <c r="P113" i="24"/>
  <c r="Q113" i="24" s="1"/>
  <c r="AD112" i="24"/>
  <c r="AC112" i="24"/>
  <c r="AB112" i="24"/>
  <c r="AA112" i="24"/>
  <c r="Z112" i="24"/>
  <c r="Y112" i="24"/>
  <c r="X112" i="24"/>
  <c r="W112" i="24"/>
  <c r="V112" i="24"/>
  <c r="U112" i="24"/>
  <c r="T112" i="24"/>
  <c r="S112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AT107" i="24"/>
  <c r="AU107" i="24" s="1"/>
  <c r="AE107" i="24"/>
  <c r="AF107" i="24" s="1"/>
  <c r="P107" i="24"/>
  <c r="Q107" i="24" s="1"/>
  <c r="AT106" i="24"/>
  <c r="AU106" i="24" s="1"/>
  <c r="AE106" i="24"/>
  <c r="AF106" i="24" s="1"/>
  <c r="P106" i="24"/>
  <c r="Q106" i="24" s="1"/>
  <c r="AT105" i="24"/>
  <c r="AU105" i="24" s="1"/>
  <c r="AE105" i="24"/>
  <c r="AF105" i="24" s="1"/>
  <c r="P105" i="24"/>
  <c r="Q105" i="24" s="1"/>
  <c r="AT103" i="24"/>
  <c r="AU103" i="24" s="1"/>
  <c r="AE103" i="24"/>
  <c r="AF103" i="24" s="1"/>
  <c r="P103" i="24"/>
  <c r="Q103" i="24" s="1"/>
  <c r="AT102" i="24"/>
  <c r="AU102" i="24" s="1"/>
  <c r="AE102" i="24"/>
  <c r="AF102" i="24" s="1"/>
  <c r="P102" i="24"/>
  <c r="Q102" i="24" s="1"/>
  <c r="AT101" i="24"/>
  <c r="AU101" i="24" s="1"/>
  <c r="AE101" i="24"/>
  <c r="AF101" i="24" s="1"/>
  <c r="P101" i="24"/>
  <c r="Q101" i="24" s="1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AT90" i="24"/>
  <c r="AU90" i="24" s="1"/>
  <c r="CC90" i="24" s="1"/>
  <c r="AE90" i="24"/>
  <c r="AF90" i="24" s="1"/>
  <c r="P90" i="24"/>
  <c r="Q90" i="24" s="1"/>
  <c r="AT89" i="24"/>
  <c r="AU89" i="24" s="1"/>
  <c r="CC89" i="24" s="1"/>
  <c r="AE89" i="24"/>
  <c r="AF89" i="24" s="1"/>
  <c r="P89" i="24"/>
  <c r="Q89" i="24" s="1"/>
  <c r="AD88" i="24"/>
  <c r="AC88" i="24"/>
  <c r="AC84" i="24" s="1"/>
  <c r="AB88" i="24"/>
  <c r="AB84" i="24" s="1"/>
  <c r="AA88" i="24"/>
  <c r="AA84" i="24" s="1"/>
  <c r="Z88" i="24"/>
  <c r="Z84" i="24" s="1"/>
  <c r="Y88" i="24"/>
  <c r="Y84" i="24" s="1"/>
  <c r="X88" i="24"/>
  <c r="X84" i="24" s="1"/>
  <c r="W88" i="24"/>
  <c r="W84" i="24" s="1"/>
  <c r="V88" i="24"/>
  <c r="V84" i="24" s="1"/>
  <c r="U88" i="24"/>
  <c r="U84" i="24" s="1"/>
  <c r="T88" i="24"/>
  <c r="S88" i="24"/>
  <c r="S84" i="24" s="1"/>
  <c r="O88" i="24"/>
  <c r="O84" i="24" s="1"/>
  <c r="N88" i="24"/>
  <c r="N84" i="24" s="1"/>
  <c r="M88" i="24"/>
  <c r="M84" i="24" s="1"/>
  <c r="L88" i="24"/>
  <c r="L84" i="24" s="1"/>
  <c r="K88" i="24"/>
  <c r="K84" i="24" s="1"/>
  <c r="J88" i="24"/>
  <c r="J84" i="24" s="1"/>
  <c r="I88" i="24"/>
  <c r="I84" i="24" s="1"/>
  <c r="H88" i="24"/>
  <c r="H84" i="24" s="1"/>
  <c r="G88" i="24"/>
  <c r="G84" i="24" s="1"/>
  <c r="F88" i="24"/>
  <c r="F84" i="24" s="1"/>
  <c r="E88" i="24"/>
  <c r="D88" i="24"/>
  <c r="D84" i="24" s="1"/>
  <c r="AT87" i="24"/>
  <c r="AU87" i="24" s="1"/>
  <c r="CC87" i="24" s="1"/>
  <c r="AE87" i="24"/>
  <c r="AF87" i="24" s="1"/>
  <c r="P87" i="24"/>
  <c r="Q87" i="24" s="1"/>
  <c r="AT86" i="24"/>
  <c r="AU86" i="24" s="1"/>
  <c r="CC86" i="24" s="1"/>
  <c r="AE86" i="24"/>
  <c r="AF86" i="24" s="1"/>
  <c r="P86" i="24"/>
  <c r="Q86" i="24" s="1"/>
  <c r="AD85" i="24"/>
  <c r="AD83" i="24" s="1"/>
  <c r="AC85" i="24"/>
  <c r="AC83" i="24" s="1"/>
  <c r="AB85" i="24"/>
  <c r="AB83" i="24" s="1"/>
  <c r="AA85" i="24"/>
  <c r="AA83" i="24" s="1"/>
  <c r="Z85" i="24"/>
  <c r="Z83" i="24" s="1"/>
  <c r="Y85" i="24"/>
  <c r="Y83" i="24" s="1"/>
  <c r="X85" i="24"/>
  <c r="X83" i="24" s="1"/>
  <c r="W85" i="24"/>
  <c r="W83" i="24" s="1"/>
  <c r="V85" i="24"/>
  <c r="V83" i="24" s="1"/>
  <c r="U85" i="24"/>
  <c r="U83" i="24" s="1"/>
  <c r="T85" i="24"/>
  <c r="T83" i="24" s="1"/>
  <c r="S85" i="24"/>
  <c r="S83" i="24" s="1"/>
  <c r="O85" i="24"/>
  <c r="O83" i="24" s="1"/>
  <c r="N85" i="24"/>
  <c r="N83" i="24" s="1"/>
  <c r="M85" i="24"/>
  <c r="M83" i="24" s="1"/>
  <c r="L85" i="24"/>
  <c r="L83" i="24" s="1"/>
  <c r="K85" i="24"/>
  <c r="K83" i="24" s="1"/>
  <c r="J85" i="24"/>
  <c r="J83" i="24" s="1"/>
  <c r="I85" i="24"/>
  <c r="I83" i="24" s="1"/>
  <c r="H85" i="24"/>
  <c r="H83" i="24" s="1"/>
  <c r="G85" i="24"/>
  <c r="G83" i="24" s="1"/>
  <c r="F85" i="24"/>
  <c r="F83" i="24" s="1"/>
  <c r="E85" i="24"/>
  <c r="E83" i="24" s="1"/>
  <c r="D85" i="24"/>
  <c r="D83" i="24" s="1"/>
  <c r="AU72" i="24"/>
  <c r="CC72" i="24" s="1"/>
  <c r="AU71" i="24"/>
  <c r="AU70" i="24"/>
  <c r="AU69" i="24"/>
  <c r="AU67" i="24"/>
  <c r="AT64" i="24"/>
  <c r="AE64" i="24"/>
  <c r="AF64" i="24" s="1"/>
  <c r="P64" i="24"/>
  <c r="Q64" i="24" s="1"/>
  <c r="AT63" i="24"/>
  <c r="AU63" i="24" s="1"/>
  <c r="AE63" i="24"/>
  <c r="AF63" i="24" s="1"/>
  <c r="P63" i="24"/>
  <c r="Q63" i="24" s="1"/>
  <c r="AT62" i="24"/>
  <c r="AU62" i="24" s="1"/>
  <c r="AE62" i="24"/>
  <c r="AF62" i="24" s="1"/>
  <c r="P62" i="24"/>
  <c r="Q62" i="24" s="1"/>
  <c r="AT61" i="24"/>
  <c r="AU61" i="24" s="1"/>
  <c r="AE61" i="24"/>
  <c r="AF61" i="24" s="1"/>
  <c r="P61" i="24"/>
  <c r="Q61" i="24" s="1"/>
  <c r="AT59" i="24"/>
  <c r="AU59" i="24" s="1"/>
  <c r="AE59" i="24"/>
  <c r="AF59" i="24" s="1"/>
  <c r="P59" i="24"/>
  <c r="Q59" i="24" s="1"/>
  <c r="AT58" i="24"/>
  <c r="AU58" i="24" s="1"/>
  <c r="CC58" i="24" s="1"/>
  <c r="AE58" i="24"/>
  <c r="AF58" i="24" s="1"/>
  <c r="P58" i="24"/>
  <c r="Q58" i="24" s="1"/>
  <c r="AT56" i="24"/>
  <c r="AU56" i="24" s="1"/>
  <c r="AE56" i="24"/>
  <c r="AF56" i="24" s="1"/>
  <c r="AT55" i="24"/>
  <c r="AU55" i="24" s="1"/>
  <c r="AE55" i="24"/>
  <c r="AF55" i="24" s="1"/>
  <c r="AT53" i="24"/>
  <c r="AU53" i="24" s="1"/>
  <c r="AE53" i="24"/>
  <c r="P53" i="24"/>
  <c r="Q53" i="24" s="1"/>
  <c r="O52" i="24"/>
  <c r="N52" i="24"/>
  <c r="M52" i="24"/>
  <c r="L52" i="24"/>
  <c r="K52" i="24"/>
  <c r="J52" i="24"/>
  <c r="I52" i="24"/>
  <c r="H52" i="24"/>
  <c r="G52" i="24"/>
  <c r="F52" i="24"/>
  <c r="E52" i="24"/>
  <c r="D52" i="24"/>
  <c r="AT18" i="24"/>
  <c r="AU18" i="24" s="1"/>
  <c r="AE18" i="24"/>
  <c r="AF18" i="24" s="1"/>
  <c r="P18" i="24"/>
  <c r="Q18" i="24" s="1"/>
  <c r="AT17" i="24"/>
  <c r="AU17" i="24" s="1"/>
  <c r="AE17" i="24"/>
  <c r="AF17" i="24" s="1"/>
  <c r="P17" i="24"/>
  <c r="Q17" i="24" s="1"/>
  <c r="AT16" i="24"/>
  <c r="AU16" i="24" s="1"/>
  <c r="AE16" i="24"/>
  <c r="AF16" i="24" s="1"/>
  <c r="P16" i="24"/>
  <c r="Q16" i="24" s="1"/>
  <c r="AT15" i="24"/>
  <c r="AU15" i="24" s="1"/>
  <c r="AE15" i="24"/>
  <c r="AF15" i="24" s="1"/>
  <c r="P15" i="24"/>
  <c r="Q15" i="24" s="1"/>
  <c r="AT13" i="24"/>
  <c r="AU13" i="24" s="1"/>
  <c r="AE13" i="24"/>
  <c r="AF13" i="24" s="1"/>
  <c r="P13" i="24"/>
  <c r="Q13" i="24" s="1"/>
  <c r="AT12" i="24"/>
  <c r="AE12" i="24"/>
  <c r="AF12" i="24" s="1"/>
  <c r="P12" i="24"/>
  <c r="Q12" i="24" s="1"/>
  <c r="AT11" i="24"/>
  <c r="AU11" i="24" s="1"/>
  <c r="AE11" i="24"/>
  <c r="AF11" i="24" s="1"/>
  <c r="P11" i="24"/>
  <c r="Q11" i="24" s="1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C378" i="55"/>
  <c r="CC377" i="55"/>
  <c r="CC376" i="55"/>
  <c r="CC375" i="55"/>
  <c r="CC374" i="55"/>
  <c r="CC373" i="55"/>
  <c r="CC371" i="55"/>
  <c r="CC370" i="55"/>
  <c r="CC369" i="55"/>
  <c r="CC368" i="55"/>
  <c r="CC367" i="55"/>
  <c r="CC345" i="55"/>
  <c r="CC344" i="55"/>
  <c r="CC343" i="55"/>
  <c r="CC342" i="55"/>
  <c r="CC341" i="55"/>
  <c r="CC340" i="55"/>
  <c r="CC339" i="55"/>
  <c r="CC338" i="55"/>
  <c r="CC337" i="55"/>
  <c r="CC336" i="55"/>
  <c r="CC335" i="55"/>
  <c r="CC334" i="55"/>
  <c r="CC333" i="55"/>
  <c r="CC332" i="55"/>
  <c r="CC331" i="55"/>
  <c r="CC330" i="55"/>
  <c r="CC329" i="55"/>
  <c r="CC328" i="55"/>
  <c r="CC327" i="55"/>
  <c r="CC326" i="55"/>
  <c r="CC325" i="55"/>
  <c r="CC324" i="55"/>
  <c r="CC323" i="55"/>
  <c r="CC322" i="55"/>
  <c r="CC321" i="55"/>
  <c r="CC320" i="55"/>
  <c r="CA84" i="55"/>
  <c r="CA83" i="55"/>
  <c r="CA81" i="55"/>
  <c r="CA71" i="55"/>
  <c r="CA70" i="55"/>
  <c r="CA69" i="55"/>
  <c r="CA66" i="55"/>
  <c r="CA65" i="55"/>
  <c r="CA64" i="55"/>
  <c r="CA63" i="55"/>
  <c r="CA47" i="55"/>
  <c r="CA46" i="55"/>
  <c r="CA45" i="55"/>
  <c r="CA36" i="55"/>
  <c r="CA35" i="55"/>
  <c r="CA34" i="55"/>
  <c r="CA33" i="55"/>
  <c r="CA30" i="55"/>
  <c r="CA29" i="55"/>
  <c r="CA28" i="55"/>
  <c r="CA27" i="55"/>
  <c r="CA21" i="55"/>
  <c r="Y103" i="16"/>
  <c r="Y102" i="16"/>
  <c r="Y101" i="16"/>
  <c r="Y100" i="16"/>
  <c r="Y99" i="16"/>
  <c r="Y98" i="16"/>
  <c r="Y97" i="16"/>
  <c r="Y96" i="16"/>
  <c r="Y95" i="16"/>
  <c r="Y94" i="16"/>
  <c r="Z93" i="16"/>
  <c r="Y93" i="16"/>
  <c r="Y92" i="16"/>
  <c r="Y91" i="16"/>
  <c r="Y90" i="16"/>
  <c r="Y89" i="16"/>
  <c r="Y88" i="16"/>
  <c r="Y87" i="16"/>
  <c r="Y86" i="16"/>
  <c r="Y85" i="16"/>
  <c r="Y84" i="16"/>
  <c r="Y83" i="16"/>
  <c r="Z81" i="16"/>
  <c r="Y81" i="16"/>
  <c r="Z80" i="16"/>
  <c r="Y80" i="16"/>
  <c r="Z79" i="16"/>
  <c r="Y79" i="16"/>
  <c r="Z78" i="16"/>
  <c r="Y78" i="16"/>
  <c r="Z77" i="16"/>
  <c r="Y77" i="16"/>
  <c r="Z76" i="16"/>
  <c r="Y76" i="16"/>
  <c r="Z75" i="16"/>
  <c r="Y75" i="16"/>
  <c r="Z74" i="16"/>
  <c r="Y74" i="16"/>
  <c r="Z73" i="16"/>
  <c r="Y73" i="16"/>
  <c r="Z72" i="16"/>
  <c r="Y72" i="16"/>
  <c r="Z71" i="16"/>
  <c r="Y71" i="16"/>
  <c r="Z70" i="16"/>
  <c r="Y70" i="16"/>
  <c r="Z69" i="16"/>
  <c r="Y69" i="16"/>
  <c r="Z67" i="16"/>
  <c r="Y67" i="16"/>
  <c r="Z66" i="16"/>
  <c r="Y66" i="16"/>
  <c r="Z65" i="16"/>
  <c r="Y65" i="16"/>
  <c r="Z64" i="16"/>
  <c r="Y64" i="16"/>
  <c r="Z63" i="16"/>
  <c r="Y63" i="16"/>
  <c r="Z62" i="16"/>
  <c r="Y62" i="16"/>
  <c r="Z61" i="16"/>
  <c r="Y61" i="16"/>
  <c r="Z60" i="16"/>
  <c r="Y60" i="16"/>
  <c r="Z59" i="16"/>
  <c r="Y59" i="16"/>
  <c r="Z58" i="16"/>
  <c r="Y58" i="16"/>
  <c r="Z57" i="16"/>
  <c r="Y57" i="16"/>
  <c r="Z56" i="16"/>
  <c r="Y56" i="16"/>
  <c r="Z55" i="16"/>
  <c r="Y55" i="16"/>
  <c r="Z54" i="16"/>
  <c r="Y54" i="16"/>
  <c r="Z53" i="16"/>
  <c r="Y53" i="16"/>
  <c r="Z52" i="16"/>
  <c r="Y52" i="16"/>
  <c r="Y50" i="16"/>
  <c r="Y48" i="16"/>
  <c r="Y46" i="16"/>
  <c r="Y45" i="16"/>
  <c r="Y44" i="16"/>
  <c r="Y43" i="16"/>
  <c r="Y42" i="16"/>
  <c r="Y39" i="16"/>
  <c r="Y38" i="16"/>
  <c r="Z33" i="16"/>
  <c r="Z32" i="16"/>
  <c r="Z30" i="16"/>
  <c r="Z29" i="16"/>
  <c r="Y27" i="16"/>
  <c r="Y26" i="16"/>
  <c r="Y25" i="16"/>
  <c r="Y24" i="16"/>
  <c r="Y23" i="16"/>
  <c r="Y22" i="16"/>
  <c r="Y21" i="16"/>
  <c r="Y20" i="16"/>
  <c r="Y19" i="16"/>
  <c r="Y18" i="16"/>
  <c r="Y17" i="16"/>
  <c r="Y16" i="16"/>
  <c r="Y15" i="16"/>
  <c r="Y14" i="16"/>
  <c r="Y13" i="16"/>
  <c r="Y12" i="16"/>
  <c r="Y11" i="16"/>
  <c r="Y10" i="16"/>
  <c r="Y9" i="16"/>
  <c r="Y8" i="16"/>
  <c r="Y7" i="16"/>
  <c r="Y6" i="16"/>
  <c r="CA110" i="54"/>
  <c r="CA109" i="54"/>
  <c r="CA108" i="54"/>
  <c r="CA107" i="54"/>
  <c r="CA106" i="54"/>
  <c r="S105" i="54"/>
  <c r="R105" i="54"/>
  <c r="AE104" i="54"/>
  <c r="AD104" i="54"/>
  <c r="AD101" i="54" s="1"/>
  <c r="AC104" i="54"/>
  <c r="AC101" i="54" s="1"/>
  <c r="AB104" i="54"/>
  <c r="AB101" i="54" s="1"/>
  <c r="AA104" i="54"/>
  <c r="AA101" i="54" s="1"/>
  <c r="Z104" i="54"/>
  <c r="Z101" i="54" s="1"/>
  <c r="Y104" i="54"/>
  <c r="Y101" i="54" s="1"/>
  <c r="X104" i="54"/>
  <c r="X101" i="54" s="1"/>
  <c r="W104" i="54"/>
  <c r="W101" i="54" s="1"/>
  <c r="V104" i="54"/>
  <c r="V101" i="54" s="1"/>
  <c r="U104" i="54"/>
  <c r="U101" i="54" s="1"/>
  <c r="T104" i="54"/>
  <c r="T101" i="54" s="1"/>
  <c r="S104" i="54"/>
  <c r="R104" i="54"/>
  <c r="CA103" i="54"/>
  <c r="AG103" i="54"/>
  <c r="AF103" i="54"/>
  <c r="S103" i="54"/>
  <c r="R103" i="54"/>
  <c r="CA102" i="54"/>
  <c r="AG102" i="54"/>
  <c r="AF102" i="54"/>
  <c r="S102" i="54"/>
  <c r="R102" i="54"/>
  <c r="S101" i="54"/>
  <c r="R101" i="54"/>
  <c r="CA100" i="54"/>
  <c r="AG100" i="54"/>
  <c r="AF100" i="54"/>
  <c r="S100" i="54"/>
  <c r="R100" i="54"/>
  <c r="CA99" i="54"/>
  <c r="AG99" i="54"/>
  <c r="AF99" i="54"/>
  <c r="S99" i="54"/>
  <c r="R99" i="54"/>
  <c r="CA98" i="54"/>
  <c r="AG98" i="54"/>
  <c r="AF98" i="54"/>
  <c r="S98" i="54"/>
  <c r="R98" i="54"/>
  <c r="AG97" i="54"/>
  <c r="AF97" i="54"/>
  <c r="S97" i="54"/>
  <c r="R97" i="54"/>
  <c r="CA96" i="54"/>
  <c r="AG96" i="54"/>
  <c r="AF96" i="54"/>
  <c r="Q96" i="54"/>
  <c r="P96" i="54"/>
  <c r="O96" i="54"/>
  <c r="N96" i="54"/>
  <c r="M96" i="54"/>
  <c r="L96" i="54"/>
  <c r="K96" i="54"/>
  <c r="J96" i="54"/>
  <c r="I96" i="54"/>
  <c r="H96" i="54"/>
  <c r="G96" i="54"/>
  <c r="F96" i="54"/>
  <c r="E96" i="54"/>
  <c r="CA95" i="54"/>
  <c r="AG95" i="54"/>
  <c r="S95" i="54"/>
  <c r="R95" i="54"/>
  <c r="AE94" i="54"/>
  <c r="AD94" i="54"/>
  <c r="AC94" i="54"/>
  <c r="AB94" i="54"/>
  <c r="AA94" i="54"/>
  <c r="Z94" i="54"/>
  <c r="Y94" i="54"/>
  <c r="X94" i="54"/>
  <c r="W94" i="54"/>
  <c r="V94" i="54"/>
  <c r="U94" i="54"/>
  <c r="T94" i="54"/>
  <c r="S94" i="54"/>
  <c r="R94" i="54"/>
  <c r="CA93" i="54"/>
  <c r="AG93" i="54"/>
  <c r="AF93" i="54"/>
  <c r="AF34" i="54" s="1"/>
  <c r="S93" i="54"/>
  <c r="R93" i="54"/>
  <c r="CA92" i="54"/>
  <c r="AG92" i="54"/>
  <c r="AF92" i="54"/>
  <c r="S92" i="54"/>
  <c r="R92" i="54"/>
  <c r="S91" i="54"/>
  <c r="R91" i="54"/>
  <c r="CA90" i="54"/>
  <c r="AG90" i="54"/>
  <c r="AF90" i="54"/>
  <c r="S90" i="54"/>
  <c r="R90" i="54"/>
  <c r="CA89" i="54"/>
  <c r="AG89" i="54"/>
  <c r="AF89" i="54"/>
  <c r="S89" i="54"/>
  <c r="R89" i="54"/>
  <c r="CA88" i="54"/>
  <c r="AG88" i="54"/>
  <c r="AF88" i="54"/>
  <c r="S88" i="54"/>
  <c r="R88" i="54"/>
  <c r="CA87" i="54"/>
  <c r="AG87" i="54"/>
  <c r="AF87" i="54"/>
  <c r="S87" i="54"/>
  <c r="R87" i="54"/>
  <c r="AE86" i="54"/>
  <c r="AE27" i="54" s="1"/>
  <c r="AD86" i="54"/>
  <c r="AD27" i="54" s="1"/>
  <c r="AC86" i="54"/>
  <c r="AB86" i="54"/>
  <c r="AB27" i="54" s="1"/>
  <c r="AA86" i="54"/>
  <c r="Z86" i="54"/>
  <c r="Z27" i="54" s="1"/>
  <c r="Y86" i="54"/>
  <c r="Y27" i="54" s="1"/>
  <c r="X86" i="54"/>
  <c r="X27" i="54" s="1"/>
  <c r="W86" i="54"/>
  <c r="W27" i="54" s="1"/>
  <c r="V86" i="54"/>
  <c r="U86" i="54"/>
  <c r="U27" i="54" s="1"/>
  <c r="T86" i="54"/>
  <c r="T27" i="54" s="1"/>
  <c r="Q86" i="54"/>
  <c r="P86" i="54"/>
  <c r="O86" i="54"/>
  <c r="N86" i="54"/>
  <c r="M86" i="54"/>
  <c r="L86" i="54"/>
  <c r="K86" i="54"/>
  <c r="J86" i="54"/>
  <c r="I86" i="54"/>
  <c r="H86" i="54"/>
  <c r="G86" i="54"/>
  <c r="F86" i="54"/>
  <c r="E86" i="54"/>
  <c r="CA85" i="54"/>
  <c r="AG85" i="54"/>
  <c r="S85" i="54"/>
  <c r="R85" i="54"/>
  <c r="AE84" i="54"/>
  <c r="AE81" i="54" s="1"/>
  <c r="AD84" i="54"/>
  <c r="AD81" i="54" s="1"/>
  <c r="AC84" i="54"/>
  <c r="AC81" i="54" s="1"/>
  <c r="AB84" i="54"/>
  <c r="AB81" i="54" s="1"/>
  <c r="AA84" i="54"/>
  <c r="AA81" i="54" s="1"/>
  <c r="Z84" i="54"/>
  <c r="Z81" i="54" s="1"/>
  <c r="Y84" i="54"/>
  <c r="Y81" i="54" s="1"/>
  <c r="X84" i="54"/>
  <c r="X81" i="54" s="1"/>
  <c r="W84" i="54"/>
  <c r="W81" i="54" s="1"/>
  <c r="V84" i="54"/>
  <c r="V81" i="54" s="1"/>
  <c r="U84" i="54"/>
  <c r="U81" i="54" s="1"/>
  <c r="T84" i="54"/>
  <c r="S84" i="54"/>
  <c r="R84" i="54"/>
  <c r="CA83" i="54"/>
  <c r="AG83" i="54"/>
  <c r="AF83" i="54"/>
  <c r="S83" i="54"/>
  <c r="R83" i="54"/>
  <c r="CA82" i="54"/>
  <c r="AG82" i="54"/>
  <c r="AF82" i="54"/>
  <c r="S82" i="54"/>
  <c r="R82" i="54"/>
  <c r="S81" i="54"/>
  <c r="R81" i="54"/>
  <c r="CA80" i="54"/>
  <c r="AG80" i="54"/>
  <c r="AF80" i="54"/>
  <c r="S80" i="54"/>
  <c r="R80" i="54"/>
  <c r="CA79" i="54"/>
  <c r="AG79" i="54"/>
  <c r="AF79" i="54"/>
  <c r="S79" i="54"/>
  <c r="R79" i="54"/>
  <c r="CA78" i="54"/>
  <c r="AG78" i="54"/>
  <c r="AF78" i="54"/>
  <c r="S78" i="54"/>
  <c r="R78" i="54"/>
  <c r="CA77" i="54"/>
  <c r="AG77" i="54"/>
  <c r="AF77" i="54"/>
  <c r="S77" i="54"/>
  <c r="R77" i="54"/>
  <c r="CA76" i="54"/>
  <c r="AG76" i="54"/>
  <c r="AF76" i="54"/>
  <c r="Q76" i="54"/>
  <c r="P76" i="54"/>
  <c r="O76" i="54"/>
  <c r="N76" i="54"/>
  <c r="M76" i="54"/>
  <c r="L76" i="54"/>
  <c r="K76" i="54"/>
  <c r="J76" i="54"/>
  <c r="I76" i="54"/>
  <c r="H76" i="54"/>
  <c r="G76" i="54"/>
  <c r="F76" i="54"/>
  <c r="CA75" i="54"/>
  <c r="AG75" i="54"/>
  <c r="S75" i="54"/>
  <c r="R75" i="54"/>
  <c r="AE74" i="54"/>
  <c r="AD74" i="54"/>
  <c r="AC74" i="54"/>
  <c r="AC71" i="54" s="1"/>
  <c r="AB74" i="54"/>
  <c r="AB71" i="54" s="1"/>
  <c r="AA74" i="54"/>
  <c r="AA71" i="54" s="1"/>
  <c r="Z74" i="54"/>
  <c r="Z71" i="54" s="1"/>
  <c r="Y74" i="54"/>
  <c r="Y71" i="54" s="1"/>
  <c r="X74" i="54"/>
  <c r="X71" i="54" s="1"/>
  <c r="W74" i="54"/>
  <c r="W71" i="54" s="1"/>
  <c r="V74" i="54"/>
  <c r="V71" i="54" s="1"/>
  <c r="U74" i="54"/>
  <c r="U71" i="54" s="1"/>
  <c r="T74" i="54"/>
  <c r="S74" i="54"/>
  <c r="R74" i="54"/>
  <c r="S73" i="54"/>
  <c r="R73" i="54"/>
  <c r="CA72" i="54"/>
  <c r="AG72" i="54"/>
  <c r="AF72" i="54"/>
  <c r="S72" i="54"/>
  <c r="R72" i="54"/>
  <c r="S71" i="54"/>
  <c r="R71" i="54"/>
  <c r="CA70" i="54"/>
  <c r="AG70" i="54"/>
  <c r="AF70" i="54"/>
  <c r="S70" i="54"/>
  <c r="R70" i="54"/>
  <c r="AG69" i="54"/>
  <c r="AF69" i="54"/>
  <c r="S69" i="54"/>
  <c r="R69" i="54"/>
  <c r="S68" i="54"/>
  <c r="R68" i="54"/>
  <c r="S67" i="54"/>
  <c r="R67" i="54"/>
  <c r="S66" i="54"/>
  <c r="R66" i="54"/>
  <c r="AG65" i="54"/>
  <c r="S65" i="54"/>
  <c r="R65" i="54"/>
  <c r="AE64" i="54"/>
  <c r="AE61" i="54" s="1"/>
  <c r="AD64" i="54"/>
  <c r="AD61" i="54" s="1"/>
  <c r="AC64" i="54"/>
  <c r="AC61" i="54" s="1"/>
  <c r="AB64" i="54"/>
  <c r="AB61" i="54" s="1"/>
  <c r="AA64" i="54"/>
  <c r="AA61" i="54" s="1"/>
  <c r="Z64" i="54"/>
  <c r="Z61" i="54" s="1"/>
  <c r="Y64" i="54"/>
  <c r="Y61" i="54" s="1"/>
  <c r="X64" i="54"/>
  <c r="X61" i="54" s="1"/>
  <c r="W64" i="54"/>
  <c r="V64" i="54"/>
  <c r="V61" i="54" s="1"/>
  <c r="U64" i="54"/>
  <c r="U61" i="54" s="1"/>
  <c r="T64" i="54"/>
  <c r="T61" i="54" s="1"/>
  <c r="S64" i="54"/>
  <c r="R64" i="54"/>
  <c r="S63" i="54"/>
  <c r="R63" i="54"/>
  <c r="CA62" i="54"/>
  <c r="AG62" i="54"/>
  <c r="AF62" i="54"/>
  <c r="S62" i="54"/>
  <c r="R62" i="54"/>
  <c r="S61" i="54"/>
  <c r="R61" i="54"/>
  <c r="CA60" i="54"/>
  <c r="AG60" i="54"/>
  <c r="AF60" i="54"/>
  <c r="S60" i="54"/>
  <c r="R60" i="54"/>
  <c r="AG59" i="54"/>
  <c r="AF59" i="54"/>
  <c r="S59" i="54"/>
  <c r="R59" i="54"/>
  <c r="CA58" i="54"/>
  <c r="AG58" i="54"/>
  <c r="AF58" i="54"/>
  <c r="S58" i="54"/>
  <c r="R58" i="54"/>
  <c r="CA57" i="54"/>
  <c r="AG57" i="54"/>
  <c r="AF57" i="54"/>
  <c r="S57" i="54"/>
  <c r="R57" i="54"/>
  <c r="CA56" i="54"/>
  <c r="AG56" i="54"/>
  <c r="AF56" i="54"/>
  <c r="S56" i="54"/>
  <c r="R56" i="54"/>
  <c r="CA55" i="54"/>
  <c r="AG55" i="54"/>
  <c r="S55" i="54"/>
  <c r="R55" i="54"/>
  <c r="AE45" i="54"/>
  <c r="AE42" i="54" s="1"/>
  <c r="AD45" i="54"/>
  <c r="AD42" i="54" s="1"/>
  <c r="AC45" i="54"/>
  <c r="AC42" i="54" s="1"/>
  <c r="AB45" i="54"/>
  <c r="AA45" i="54"/>
  <c r="AA42" i="54" s="1"/>
  <c r="Z45" i="54"/>
  <c r="Y45" i="54"/>
  <c r="Y42" i="54" s="1"/>
  <c r="X45" i="54"/>
  <c r="W45" i="54"/>
  <c r="W42" i="54" s="1"/>
  <c r="V45" i="54"/>
  <c r="V42" i="54" s="1"/>
  <c r="U45" i="54"/>
  <c r="T45" i="54"/>
  <c r="Q45" i="54"/>
  <c r="P45" i="54"/>
  <c r="O45" i="54"/>
  <c r="N45" i="54"/>
  <c r="M45" i="54"/>
  <c r="L45" i="54"/>
  <c r="K45" i="54"/>
  <c r="J45" i="54"/>
  <c r="I45" i="54"/>
  <c r="H45" i="54"/>
  <c r="G45" i="54"/>
  <c r="F45" i="54"/>
  <c r="S44" i="54"/>
  <c r="R44" i="54"/>
  <c r="AG43" i="54"/>
  <c r="AF43" i="54"/>
  <c r="S43" i="54"/>
  <c r="R43" i="54"/>
  <c r="S42" i="54"/>
  <c r="R42" i="54"/>
  <c r="AG41" i="54"/>
  <c r="AF41" i="54"/>
  <c r="S41" i="54"/>
  <c r="R41" i="54"/>
  <c r="CA40" i="54"/>
  <c r="AF40" i="54"/>
  <c r="S40" i="54"/>
  <c r="R40" i="54"/>
  <c r="AG39" i="54"/>
  <c r="AF39" i="54"/>
  <c r="S39" i="54"/>
  <c r="R39" i="54"/>
  <c r="AG38" i="54"/>
  <c r="AF38" i="54"/>
  <c r="S38" i="54"/>
  <c r="R38" i="54"/>
  <c r="CA37" i="54"/>
  <c r="AG37" i="54"/>
  <c r="AF37" i="54"/>
  <c r="Q37" i="54"/>
  <c r="P37" i="54"/>
  <c r="O37" i="54"/>
  <c r="N37" i="54"/>
  <c r="M37" i="54"/>
  <c r="L37" i="54"/>
  <c r="K37" i="54"/>
  <c r="J37" i="54"/>
  <c r="I37" i="54"/>
  <c r="H37" i="54"/>
  <c r="G37" i="54"/>
  <c r="F37" i="54"/>
  <c r="E37" i="54"/>
  <c r="CA36" i="54"/>
  <c r="AG36" i="54"/>
  <c r="S36" i="54"/>
  <c r="AE34" i="54"/>
  <c r="AD34" i="54"/>
  <c r="AC34" i="54"/>
  <c r="AB34" i="54"/>
  <c r="AA34" i="54"/>
  <c r="Z34" i="54"/>
  <c r="Y34" i="54"/>
  <c r="X34" i="54"/>
  <c r="W34" i="54"/>
  <c r="V34" i="54"/>
  <c r="U34" i="54"/>
  <c r="T34" i="54"/>
  <c r="AE33" i="54"/>
  <c r="AD33" i="54"/>
  <c r="AC33" i="54"/>
  <c r="AB33" i="54"/>
  <c r="AA33" i="54"/>
  <c r="Z33" i="54"/>
  <c r="Y33" i="54"/>
  <c r="X33" i="54"/>
  <c r="W33" i="54"/>
  <c r="V33" i="54"/>
  <c r="U33" i="54"/>
  <c r="T33" i="54"/>
  <c r="AE31" i="54"/>
  <c r="AD31" i="54"/>
  <c r="AC31" i="54"/>
  <c r="AB31" i="54"/>
  <c r="AA31" i="54"/>
  <c r="Z31" i="54"/>
  <c r="Y31" i="54"/>
  <c r="X31" i="54"/>
  <c r="W31" i="54"/>
  <c r="V31" i="54"/>
  <c r="U31" i="54"/>
  <c r="T31" i="54"/>
  <c r="AE30" i="54"/>
  <c r="AD30" i="54"/>
  <c r="AC30" i="54"/>
  <c r="AB30" i="54"/>
  <c r="AA30" i="54"/>
  <c r="Z30" i="54"/>
  <c r="Y30" i="54"/>
  <c r="X30" i="54"/>
  <c r="W30" i="54"/>
  <c r="V30" i="54"/>
  <c r="U30" i="54"/>
  <c r="T30" i="54"/>
  <c r="AE29" i="54"/>
  <c r="AD29" i="54"/>
  <c r="AC29" i="54"/>
  <c r="AB29" i="54"/>
  <c r="AA29" i="54"/>
  <c r="Z29" i="54"/>
  <c r="Y29" i="54"/>
  <c r="X29" i="54"/>
  <c r="W29" i="54"/>
  <c r="V29" i="54"/>
  <c r="U29" i="54"/>
  <c r="T29" i="54"/>
  <c r="AE28" i="54"/>
  <c r="AD28" i="54"/>
  <c r="AC28" i="54"/>
  <c r="AB28" i="54"/>
  <c r="AA28" i="54"/>
  <c r="Z28" i="54"/>
  <c r="Y28" i="54"/>
  <c r="X28" i="54"/>
  <c r="W28" i="54"/>
  <c r="V28" i="54"/>
  <c r="U28" i="54"/>
  <c r="T28" i="54"/>
  <c r="AF26" i="54"/>
  <c r="AE26" i="54"/>
  <c r="AD26" i="54"/>
  <c r="AC26" i="54"/>
  <c r="AB26" i="54"/>
  <c r="AA26" i="54"/>
  <c r="Z26" i="54"/>
  <c r="Y26" i="54"/>
  <c r="X26" i="54"/>
  <c r="W26" i="54"/>
  <c r="V26" i="54"/>
  <c r="U26" i="54"/>
  <c r="T26" i="54"/>
  <c r="Q26" i="54"/>
  <c r="AE24" i="54"/>
  <c r="AD24" i="54"/>
  <c r="AC24" i="54"/>
  <c r="AB24" i="54"/>
  <c r="AA24" i="54"/>
  <c r="Z24" i="54"/>
  <c r="Y24" i="54"/>
  <c r="X24" i="54"/>
  <c r="W24" i="54"/>
  <c r="V24" i="54"/>
  <c r="U24" i="54"/>
  <c r="T24" i="54"/>
  <c r="AE23" i="54"/>
  <c r="AD23" i="54"/>
  <c r="AC23" i="54"/>
  <c r="AB23" i="54"/>
  <c r="AA23" i="54"/>
  <c r="Z23" i="54"/>
  <c r="Y23" i="54"/>
  <c r="X23" i="54"/>
  <c r="W23" i="54"/>
  <c r="V23" i="54"/>
  <c r="U23" i="54"/>
  <c r="T23" i="54"/>
  <c r="AE21" i="54"/>
  <c r="AD21" i="54"/>
  <c r="AC21" i="54"/>
  <c r="AB21" i="54"/>
  <c r="AA21" i="54"/>
  <c r="Z21" i="54"/>
  <c r="Y21" i="54"/>
  <c r="X21" i="54"/>
  <c r="W21" i="54"/>
  <c r="V21" i="54"/>
  <c r="U21" i="54"/>
  <c r="T21" i="54"/>
  <c r="AE20" i="54"/>
  <c r="AD20" i="54"/>
  <c r="AC20" i="54"/>
  <c r="AB20" i="54"/>
  <c r="AA20" i="54"/>
  <c r="Z20" i="54"/>
  <c r="Y20" i="54"/>
  <c r="X20" i="54"/>
  <c r="W20" i="54"/>
  <c r="V20" i="54"/>
  <c r="U20" i="54"/>
  <c r="T20" i="54"/>
  <c r="AE19" i="54"/>
  <c r="AD19" i="54"/>
  <c r="AC19" i="54"/>
  <c r="AB19" i="54"/>
  <c r="AA19" i="54"/>
  <c r="Z19" i="54"/>
  <c r="Y19" i="54"/>
  <c r="X19" i="54"/>
  <c r="W19" i="54"/>
  <c r="V19" i="54"/>
  <c r="U19" i="54"/>
  <c r="T19" i="54"/>
  <c r="AE18" i="54"/>
  <c r="AD18" i="54"/>
  <c r="AC18" i="54"/>
  <c r="AB18" i="54"/>
  <c r="AA18" i="54"/>
  <c r="Z18" i="54"/>
  <c r="Y18" i="54"/>
  <c r="X18" i="54"/>
  <c r="W18" i="54"/>
  <c r="V18" i="54"/>
  <c r="U18" i="54"/>
  <c r="T18" i="54"/>
  <c r="AE17" i="54"/>
  <c r="AD17" i="54"/>
  <c r="AC17" i="54"/>
  <c r="AB17" i="54"/>
  <c r="AA17" i="54"/>
  <c r="Z17" i="54"/>
  <c r="Y17" i="54"/>
  <c r="X17" i="54"/>
  <c r="W17" i="54"/>
  <c r="V17" i="54"/>
  <c r="U17" i="54"/>
  <c r="T17" i="54"/>
  <c r="AF16" i="54"/>
  <c r="AE16" i="54"/>
  <c r="AD16" i="54"/>
  <c r="AC16" i="54"/>
  <c r="AB16" i="54"/>
  <c r="AA16" i="54"/>
  <c r="Z16" i="54"/>
  <c r="Y16" i="54"/>
  <c r="X16" i="54"/>
  <c r="W16" i="54"/>
  <c r="V16" i="54"/>
  <c r="U16" i="54"/>
  <c r="T16" i="54"/>
  <c r="Q16" i="54"/>
  <c r="AH4" i="54"/>
  <c r="AH3" i="54" s="1"/>
  <c r="T104" i="15"/>
  <c r="T105" i="15" s="1"/>
  <c r="Z97" i="15"/>
  <c r="Z96" i="15"/>
  <c r="Z95" i="15"/>
  <c r="Z94" i="15"/>
  <c r="Z92" i="15"/>
  <c r="Z91" i="15"/>
  <c r="Z90" i="15"/>
  <c r="Z89" i="15"/>
  <c r="AC57" i="15"/>
  <c r="Z49" i="15"/>
  <c r="Z48" i="15"/>
  <c r="Z47" i="15"/>
  <c r="Z46" i="15"/>
  <c r="Z42" i="15"/>
  <c r="Z41" i="15"/>
  <c r="Z40" i="15"/>
  <c r="Z39" i="15"/>
  <c r="Z38" i="15"/>
  <c r="Z36" i="15"/>
  <c r="Z35" i="15"/>
  <c r="Z34" i="15"/>
  <c r="Z33" i="15"/>
  <c r="Z32" i="15"/>
  <c r="Z31" i="15"/>
  <c r="Z30" i="15"/>
  <c r="Z29" i="15"/>
  <c r="Z28" i="15"/>
  <c r="Z27" i="15"/>
  <c r="Z26" i="15"/>
  <c r="Z25" i="15"/>
  <c r="Z24" i="15"/>
  <c r="Z23" i="15"/>
  <c r="Z22" i="15"/>
  <c r="Z21" i="15"/>
  <c r="Z20" i="15"/>
  <c r="Z19" i="15"/>
  <c r="Z18" i="15"/>
  <c r="Z17" i="15"/>
  <c r="Z16" i="15"/>
  <c r="Z14" i="15"/>
  <c r="Z13" i="15"/>
  <c r="Z12" i="15"/>
  <c r="Z11" i="15"/>
  <c r="Z10" i="15"/>
  <c r="Z9" i="15"/>
  <c r="Z8" i="15"/>
  <c r="AP63" i="25"/>
  <c r="AM63" i="25"/>
  <c r="AL63" i="25"/>
  <c r="AK63" i="25"/>
  <c r="AJ63" i="25"/>
  <c r="AI63" i="25"/>
  <c r="AH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AE60" i="25"/>
  <c r="AF60" i="25" s="1"/>
  <c r="Q60" i="25"/>
  <c r="R60" i="25" s="1"/>
  <c r="AP59" i="25"/>
  <c r="AP61" i="25" s="1"/>
  <c r="AM59" i="25"/>
  <c r="AM61" i="25" s="1"/>
  <c r="AL59" i="25"/>
  <c r="AL61" i="25" s="1"/>
  <c r="AK59" i="25"/>
  <c r="AK61" i="25" s="1"/>
  <c r="AJ59" i="25"/>
  <c r="AJ61" i="25" s="1"/>
  <c r="AI59" i="25"/>
  <c r="AI61" i="25" s="1"/>
  <c r="AH59" i="25"/>
  <c r="AH61" i="25" s="1"/>
  <c r="AD59" i="25"/>
  <c r="AD61" i="25" s="1"/>
  <c r="AC59" i="25"/>
  <c r="AC61" i="25" s="1"/>
  <c r="AB59" i="25"/>
  <c r="AB61" i="25" s="1"/>
  <c r="AA59" i="25"/>
  <c r="AA61" i="25" s="1"/>
  <c r="Z59" i="25"/>
  <c r="Z61" i="25" s="1"/>
  <c r="Y59" i="25"/>
  <c r="Y61" i="25" s="1"/>
  <c r="X59" i="25"/>
  <c r="X61" i="25" s="1"/>
  <c r="W59" i="25"/>
  <c r="W61" i="25" s="1"/>
  <c r="V59" i="25"/>
  <c r="V61" i="25" s="1"/>
  <c r="U59" i="25"/>
  <c r="U61" i="25" s="1"/>
  <c r="T59" i="25"/>
  <c r="T61" i="25" s="1"/>
  <c r="S59" i="25"/>
  <c r="S61" i="25" s="1"/>
  <c r="P59" i="25"/>
  <c r="P61" i="25" s="1"/>
  <c r="O59" i="25"/>
  <c r="O61" i="25" s="1"/>
  <c r="N59" i="25"/>
  <c r="N61" i="25" s="1"/>
  <c r="M59" i="25"/>
  <c r="M61" i="25" s="1"/>
  <c r="L59" i="25"/>
  <c r="L61" i="25" s="1"/>
  <c r="K59" i="25"/>
  <c r="K61" i="25" s="1"/>
  <c r="J59" i="25"/>
  <c r="J61" i="25" s="1"/>
  <c r="I59" i="25"/>
  <c r="I61" i="25" s="1"/>
  <c r="H59" i="25"/>
  <c r="H61" i="25" s="1"/>
  <c r="G59" i="25"/>
  <c r="G61" i="25" s="1"/>
  <c r="F59" i="25"/>
  <c r="F61" i="25" s="1"/>
  <c r="E59" i="25"/>
  <c r="E61" i="25" s="1"/>
  <c r="AE58" i="25"/>
  <c r="AF58" i="25" s="1"/>
  <c r="Q58" i="25"/>
  <c r="R58" i="25" s="1"/>
  <c r="AF57" i="25"/>
  <c r="AE57" i="25"/>
  <c r="R57" i="25"/>
  <c r="Q57" i="25"/>
  <c r="AP56" i="25"/>
  <c r="AM56" i="25"/>
  <c r="AL56" i="25"/>
  <c r="AK56" i="25"/>
  <c r="AJ56" i="25"/>
  <c r="AI56" i="25"/>
  <c r="AH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AE53" i="25"/>
  <c r="AF53" i="25" s="1"/>
  <c r="Q53" i="25"/>
  <c r="R53" i="25" s="1"/>
  <c r="AP52" i="25"/>
  <c r="AP54" i="25" s="1"/>
  <c r="AP47" i="25" s="1"/>
  <c r="AM52" i="25"/>
  <c r="AM54" i="25" s="1"/>
  <c r="AL52" i="25"/>
  <c r="AL54" i="25" s="1"/>
  <c r="AL47" i="25" s="1"/>
  <c r="AK52" i="25"/>
  <c r="AK54" i="25" s="1"/>
  <c r="AK47" i="25" s="1"/>
  <c r="AJ52" i="25"/>
  <c r="AJ54" i="25" s="1"/>
  <c r="AI52" i="25"/>
  <c r="AI54" i="25" s="1"/>
  <c r="AH52" i="25"/>
  <c r="AH54" i="25" s="1"/>
  <c r="AD52" i="25"/>
  <c r="AD54" i="25" s="1"/>
  <c r="AC52" i="25"/>
  <c r="AC54" i="25" s="1"/>
  <c r="AB52" i="25"/>
  <c r="AB54" i="25" s="1"/>
  <c r="AA52" i="25"/>
  <c r="AA54" i="25" s="1"/>
  <c r="Z52" i="25"/>
  <c r="Z54" i="25" s="1"/>
  <c r="Y52" i="25"/>
  <c r="Y54" i="25" s="1"/>
  <c r="Y47" i="25" s="1"/>
  <c r="X52" i="25"/>
  <c r="X54" i="25" s="1"/>
  <c r="W52" i="25"/>
  <c r="W54" i="25" s="1"/>
  <c r="V52" i="25"/>
  <c r="V54" i="25" s="1"/>
  <c r="U52" i="25"/>
  <c r="U54" i="25" s="1"/>
  <c r="U47" i="25" s="1"/>
  <c r="T52" i="25"/>
  <c r="T54" i="25" s="1"/>
  <c r="S52" i="25"/>
  <c r="S54" i="25" s="1"/>
  <c r="P52" i="25"/>
  <c r="P54" i="25" s="1"/>
  <c r="P47" i="25" s="1"/>
  <c r="O52" i="25"/>
  <c r="O54" i="25" s="1"/>
  <c r="N52" i="25"/>
  <c r="N54" i="25" s="1"/>
  <c r="M52" i="25"/>
  <c r="M54" i="25" s="1"/>
  <c r="L52" i="25"/>
  <c r="L54" i="25" s="1"/>
  <c r="K52" i="25"/>
  <c r="K54" i="25" s="1"/>
  <c r="J52" i="25"/>
  <c r="J54" i="25" s="1"/>
  <c r="I52" i="25"/>
  <c r="I54" i="25" s="1"/>
  <c r="H52" i="25"/>
  <c r="H54" i="25" s="1"/>
  <c r="G52" i="25"/>
  <c r="G54" i="25" s="1"/>
  <c r="G47" i="25" s="1"/>
  <c r="F52" i="25"/>
  <c r="F54" i="25" s="1"/>
  <c r="E52" i="25"/>
  <c r="E54" i="25" s="1"/>
  <c r="AE51" i="25"/>
  <c r="AF51" i="25" s="1"/>
  <c r="Q51" i="25"/>
  <c r="R51" i="25" s="1"/>
  <c r="AF50" i="25"/>
  <c r="AE50" i="25"/>
  <c r="R50" i="25"/>
  <c r="Q50" i="25"/>
  <c r="AP46" i="25"/>
  <c r="AM46" i="25"/>
  <c r="AL46" i="25"/>
  <c r="AK46" i="25"/>
  <c r="AJ46" i="25"/>
  <c r="AI46" i="25"/>
  <c r="AH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AP44" i="25"/>
  <c r="AM44" i="25"/>
  <c r="AL44" i="25"/>
  <c r="AK44" i="25"/>
  <c r="AJ44" i="25"/>
  <c r="AI44" i="25"/>
  <c r="AH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AP43" i="25"/>
  <c r="AM43" i="25"/>
  <c r="AL43" i="25"/>
  <c r="AK43" i="25"/>
  <c r="AJ43" i="25"/>
  <c r="AI43" i="25"/>
  <c r="AH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P43" i="25"/>
  <c r="Q43" i="25" s="1"/>
  <c r="O43" i="25"/>
  <c r="N43" i="25"/>
  <c r="M43" i="25"/>
  <c r="L43" i="25"/>
  <c r="K43" i="25"/>
  <c r="J43" i="25"/>
  <c r="I43" i="25"/>
  <c r="H43" i="25"/>
  <c r="G43" i="25"/>
  <c r="F43" i="25"/>
  <c r="E43" i="25"/>
  <c r="D43" i="25"/>
  <c r="AP38" i="25"/>
  <c r="AP37" i="25" s="1"/>
  <c r="AM38" i="25"/>
  <c r="AM37" i="25" s="1"/>
  <c r="AL38" i="25"/>
  <c r="AL37" i="25" s="1"/>
  <c r="AK38" i="25"/>
  <c r="AK37" i="25" s="1"/>
  <c r="AJ38" i="25"/>
  <c r="AJ37" i="25" s="1"/>
  <c r="AI38" i="25"/>
  <c r="AH38" i="25"/>
  <c r="AD38" i="25"/>
  <c r="AC38" i="25"/>
  <c r="AC37" i="25" s="1"/>
  <c r="AB38" i="25"/>
  <c r="AB37" i="25" s="1"/>
  <c r="AA38" i="25"/>
  <c r="AA37" i="25" s="1"/>
  <c r="Z38" i="25"/>
  <c r="Z37" i="25" s="1"/>
  <c r="Y38" i="25"/>
  <c r="Y37" i="25" s="1"/>
  <c r="X38" i="25"/>
  <c r="X37" i="25" s="1"/>
  <c r="W38" i="25"/>
  <c r="W37" i="25" s="1"/>
  <c r="V38" i="25"/>
  <c r="V37" i="25" s="1"/>
  <c r="U38" i="25"/>
  <c r="U37" i="25" s="1"/>
  <c r="T38" i="25"/>
  <c r="T37" i="25" s="1"/>
  <c r="S38" i="25"/>
  <c r="S37" i="25" s="1"/>
  <c r="P38" i="25"/>
  <c r="P37" i="25" s="1"/>
  <c r="O38" i="25"/>
  <c r="O37" i="25" s="1"/>
  <c r="N38" i="25"/>
  <c r="N37" i="25" s="1"/>
  <c r="M38" i="25"/>
  <c r="M37" i="25" s="1"/>
  <c r="L38" i="25"/>
  <c r="L37" i="25" s="1"/>
  <c r="K38" i="25"/>
  <c r="K37" i="25" s="1"/>
  <c r="J38" i="25"/>
  <c r="J37" i="25" s="1"/>
  <c r="I38" i="25"/>
  <c r="I37" i="25" s="1"/>
  <c r="H38" i="25"/>
  <c r="H37" i="25" s="1"/>
  <c r="G38" i="25"/>
  <c r="G37" i="25" s="1"/>
  <c r="F38" i="25"/>
  <c r="F37" i="25" s="1"/>
  <c r="E38" i="25"/>
  <c r="AE36" i="25"/>
  <c r="AF36" i="25" s="1"/>
  <c r="Q36" i="25"/>
  <c r="R36" i="25" s="1"/>
  <c r="AE35" i="25"/>
  <c r="AF35" i="25" s="1"/>
  <c r="Q35" i="25"/>
  <c r="R35" i="25" s="1"/>
  <c r="AF34" i="25"/>
  <c r="AE34" i="25"/>
  <c r="R34" i="25"/>
  <c r="Q34" i="25"/>
  <c r="AD32" i="25"/>
  <c r="AD29" i="25" s="1"/>
  <c r="AC32" i="25"/>
  <c r="AC29" i="25" s="1"/>
  <c r="AB32" i="25"/>
  <c r="AB29" i="25" s="1"/>
  <c r="AA32" i="25"/>
  <c r="AA29" i="25" s="1"/>
  <c r="Z32" i="25"/>
  <c r="Z29" i="25" s="1"/>
  <c r="Y32" i="25"/>
  <c r="Y29" i="25" s="1"/>
  <c r="X32" i="25"/>
  <c r="X29" i="25" s="1"/>
  <c r="W32" i="25"/>
  <c r="W29" i="25" s="1"/>
  <c r="V32" i="25"/>
  <c r="U32" i="25"/>
  <c r="T32" i="25"/>
  <c r="T29" i="25" s="1"/>
  <c r="S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AE31" i="25"/>
  <c r="AF31" i="25" s="1"/>
  <c r="Q31" i="25"/>
  <c r="R31" i="25" s="1"/>
  <c r="AE30" i="25"/>
  <c r="AF30" i="25" s="1"/>
  <c r="Q30" i="25"/>
  <c r="R30" i="25" s="1"/>
  <c r="AE28" i="25"/>
  <c r="AF28" i="25" s="1"/>
  <c r="Q28" i="25"/>
  <c r="R28" i="25" s="1"/>
  <c r="AE27" i="25"/>
  <c r="AF27" i="25" s="1"/>
  <c r="Q27" i="25"/>
  <c r="R27" i="25" s="1"/>
  <c r="AE26" i="25"/>
  <c r="AF26" i="25" s="1"/>
  <c r="Q26" i="25"/>
  <c r="R26" i="25" s="1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Q25" i="25"/>
  <c r="R25" i="25" s="1"/>
  <c r="AE24" i="25"/>
  <c r="AF24" i="25" s="1"/>
  <c r="P24" i="25"/>
  <c r="O24" i="25"/>
  <c r="N24" i="25"/>
  <c r="M24" i="25"/>
  <c r="L24" i="25"/>
  <c r="K24" i="25"/>
  <c r="J24" i="25"/>
  <c r="I24" i="25"/>
  <c r="H24" i="25"/>
  <c r="G24" i="25"/>
  <c r="F24" i="25"/>
  <c r="E24" i="25"/>
  <c r="AF23" i="25"/>
  <c r="AE23" i="25"/>
  <c r="R23" i="25"/>
  <c r="Q23" i="25"/>
  <c r="AD22" i="25"/>
  <c r="AD19" i="25" s="1"/>
  <c r="AC22" i="25"/>
  <c r="AC19" i="25" s="1"/>
  <c r="AB22" i="25"/>
  <c r="AB19" i="25" s="1"/>
  <c r="AA22" i="25"/>
  <c r="AA19" i="25" s="1"/>
  <c r="Z22" i="25"/>
  <c r="Z19" i="25" s="1"/>
  <c r="Y22" i="25"/>
  <c r="Y19" i="25" s="1"/>
  <c r="X22" i="25"/>
  <c r="X19" i="25" s="1"/>
  <c r="W22" i="25"/>
  <c r="W19" i="25" s="1"/>
  <c r="V22" i="25"/>
  <c r="V19" i="25" s="1"/>
  <c r="U22" i="25"/>
  <c r="U19" i="25" s="1"/>
  <c r="T22" i="25"/>
  <c r="T19" i="25" s="1"/>
  <c r="T10" i="25" s="1"/>
  <c r="S22" i="25"/>
  <c r="S19" i="25" s="1"/>
  <c r="P22" i="25"/>
  <c r="P12" i="25" s="1"/>
  <c r="O22" i="25"/>
  <c r="O12" i="25" s="1"/>
  <c r="N22" i="25"/>
  <c r="N12" i="25" s="1"/>
  <c r="M22" i="25"/>
  <c r="L22" i="25"/>
  <c r="K22" i="25"/>
  <c r="K12" i="25" s="1"/>
  <c r="J22" i="25"/>
  <c r="I22" i="25"/>
  <c r="I12" i="25" s="1"/>
  <c r="H22" i="25"/>
  <c r="G22" i="25"/>
  <c r="F22" i="25"/>
  <c r="E22" i="25"/>
  <c r="AE21" i="25"/>
  <c r="Q21" i="25"/>
  <c r="R21" i="25" s="1"/>
  <c r="AE20" i="25"/>
  <c r="Q20" i="25"/>
  <c r="R20" i="25" s="1"/>
  <c r="AE18" i="25"/>
  <c r="AF18" i="25" s="1"/>
  <c r="Q18" i="25"/>
  <c r="R18" i="25" s="1"/>
  <c r="AE17" i="25"/>
  <c r="AF17" i="25" s="1"/>
  <c r="Q17" i="25"/>
  <c r="R17" i="25" s="1"/>
  <c r="AD16" i="25"/>
  <c r="AC16" i="25"/>
  <c r="AB16" i="25"/>
  <c r="AA16" i="25"/>
  <c r="Z16" i="25"/>
  <c r="Y16" i="25"/>
  <c r="W16" i="25"/>
  <c r="S16" i="25"/>
  <c r="S7" i="25" s="1"/>
  <c r="Q16" i="25"/>
  <c r="R16" i="25" s="1"/>
  <c r="AE15" i="25"/>
  <c r="AF15" i="25" s="1"/>
  <c r="Q15" i="25"/>
  <c r="R15" i="25" s="1"/>
  <c r="AE14" i="25"/>
  <c r="AF14" i="25" s="1"/>
  <c r="P14" i="25"/>
  <c r="O14" i="25"/>
  <c r="N14" i="25"/>
  <c r="M14" i="25"/>
  <c r="L14" i="25"/>
  <c r="K14" i="25"/>
  <c r="J14" i="25"/>
  <c r="I14" i="25"/>
  <c r="H14" i="25"/>
  <c r="G14" i="25"/>
  <c r="F14" i="25"/>
  <c r="E14" i="25"/>
  <c r="AF13" i="25"/>
  <c r="AE13" i="25"/>
  <c r="R13" i="25"/>
  <c r="Q13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AD9" i="25"/>
  <c r="AC9" i="25"/>
  <c r="AB9" i="25"/>
  <c r="AA9" i="25"/>
  <c r="Z9" i="25"/>
  <c r="Y9" i="25"/>
  <c r="X9" i="25"/>
  <c r="W9" i="25"/>
  <c r="V9" i="25"/>
  <c r="U9" i="25"/>
  <c r="T9" i="25"/>
  <c r="S9" i="25"/>
  <c r="Q9" i="25"/>
  <c r="R9" i="25" s="1"/>
  <c r="AD8" i="25"/>
  <c r="AC8" i="25"/>
  <c r="AB8" i="25"/>
  <c r="AA8" i="25"/>
  <c r="Z8" i="25"/>
  <c r="Y8" i="25"/>
  <c r="X8" i="25"/>
  <c r="W8" i="25"/>
  <c r="V8" i="25"/>
  <c r="U8" i="25"/>
  <c r="T8" i="25"/>
  <c r="S8" i="25"/>
  <c r="Q8" i="25"/>
  <c r="R8" i="25" s="1"/>
  <c r="V7" i="25"/>
  <c r="U7" i="25"/>
  <c r="T7" i="25"/>
  <c r="Q7" i="25"/>
  <c r="R7" i="25" s="1"/>
  <c r="AE6" i="25"/>
  <c r="AF6" i="25" s="1"/>
  <c r="Q6" i="25"/>
  <c r="R6" i="25" s="1"/>
  <c r="AE5" i="25"/>
  <c r="AF5" i="25" s="1"/>
  <c r="D5" i="25"/>
  <c r="AD4" i="25"/>
  <c r="AC4" i="25"/>
  <c r="AB4" i="25"/>
  <c r="AA4" i="25"/>
  <c r="Z4" i="25"/>
  <c r="Y4" i="25"/>
  <c r="X4" i="25"/>
  <c r="W4" i="25"/>
  <c r="V4" i="25"/>
  <c r="U4" i="25"/>
  <c r="T4" i="25"/>
  <c r="S4" i="25"/>
  <c r="P4" i="25"/>
  <c r="Q4" i="25" s="1"/>
  <c r="O4" i="25"/>
  <c r="N4" i="25"/>
  <c r="M4" i="25"/>
  <c r="L4" i="25"/>
  <c r="K4" i="25"/>
  <c r="J4" i="25"/>
  <c r="I4" i="25"/>
  <c r="H4" i="25"/>
  <c r="G4" i="25"/>
  <c r="F4" i="25"/>
  <c r="E4" i="25"/>
  <c r="D4" i="25"/>
  <c r="BC216" i="45"/>
  <c r="BB216" i="45"/>
  <c r="BA216" i="45"/>
  <c r="AZ216" i="45"/>
  <c r="AY216" i="45"/>
  <c r="AX216" i="45"/>
  <c r="AW216" i="45"/>
  <c r="AV216" i="45"/>
  <c r="AU216" i="45"/>
  <c r="AT216" i="45"/>
  <c r="AR216" i="45"/>
  <c r="AQ216" i="45"/>
  <c r="AO216" i="45"/>
  <c r="AN216" i="45"/>
  <c r="AM216" i="45"/>
  <c r="AL216" i="45"/>
  <c r="AK216" i="45"/>
  <c r="AJ216" i="45"/>
  <c r="AI216" i="45"/>
  <c r="AH216" i="45"/>
  <c r="AG216" i="45"/>
  <c r="AF216" i="45"/>
  <c r="AE216" i="45"/>
  <c r="AD216" i="45"/>
  <c r="AC216" i="45"/>
  <c r="AB216" i="45"/>
  <c r="AA216" i="45"/>
  <c r="Z216" i="45"/>
  <c r="Y216" i="45"/>
  <c r="X216" i="45"/>
  <c r="W216" i="45"/>
  <c r="V216" i="45"/>
  <c r="U216" i="45"/>
  <c r="T216" i="45"/>
  <c r="S216" i="45"/>
  <c r="R216" i="45"/>
  <c r="Q216" i="45"/>
  <c r="P216" i="45"/>
  <c r="O216" i="45"/>
  <c r="N216" i="45"/>
  <c r="M216" i="45"/>
  <c r="L216" i="45"/>
  <c r="K216" i="45"/>
  <c r="J216" i="45"/>
  <c r="I216" i="45"/>
  <c r="H216" i="45"/>
  <c r="G216" i="45"/>
  <c r="F216" i="45"/>
  <c r="BO215" i="45"/>
  <c r="BC215" i="45"/>
  <c r="BB215" i="45"/>
  <c r="BA215" i="45"/>
  <c r="AZ215" i="45"/>
  <c r="AY215" i="45"/>
  <c r="AX215" i="45"/>
  <c r="AW215" i="45"/>
  <c r="AV215" i="45"/>
  <c r="AU215" i="45"/>
  <c r="AT215" i="45"/>
  <c r="AR215" i="45"/>
  <c r="AQ215" i="45"/>
  <c r="AO215" i="45"/>
  <c r="AN215" i="45"/>
  <c r="AM215" i="45"/>
  <c r="AL215" i="45"/>
  <c r="AK215" i="45"/>
  <c r="AJ215" i="45"/>
  <c r="AI215" i="45"/>
  <c r="AH215" i="45"/>
  <c r="AG215" i="45"/>
  <c r="AF215" i="45"/>
  <c r="AE215" i="45"/>
  <c r="AD215" i="45"/>
  <c r="AC215" i="45"/>
  <c r="AB215" i="45"/>
  <c r="AA215" i="45"/>
  <c r="Z215" i="45"/>
  <c r="Y215" i="45"/>
  <c r="X215" i="45"/>
  <c r="W215" i="45"/>
  <c r="V215" i="45"/>
  <c r="U215" i="45"/>
  <c r="T215" i="45"/>
  <c r="S215" i="45"/>
  <c r="R215" i="45"/>
  <c r="Q215" i="45"/>
  <c r="P215" i="45"/>
  <c r="O215" i="45"/>
  <c r="N215" i="45"/>
  <c r="M215" i="45"/>
  <c r="L215" i="45"/>
  <c r="K215" i="45"/>
  <c r="J215" i="45"/>
  <c r="I215" i="45"/>
  <c r="H215" i="45"/>
  <c r="G215" i="45"/>
  <c r="F215" i="45"/>
  <c r="BO214" i="45"/>
  <c r="BC214" i="45"/>
  <c r="BB214" i="45"/>
  <c r="BA214" i="45"/>
  <c r="AZ214" i="45"/>
  <c r="AY214" i="45"/>
  <c r="AX214" i="45"/>
  <c r="AW214" i="45"/>
  <c r="AV214" i="45"/>
  <c r="AU214" i="45"/>
  <c r="AT214" i="45"/>
  <c r="AR214" i="45"/>
  <c r="AQ214" i="45"/>
  <c r="AO214" i="45"/>
  <c r="AN214" i="45"/>
  <c r="AM214" i="45"/>
  <c r="AL214" i="45"/>
  <c r="AK214" i="45"/>
  <c r="AJ214" i="45"/>
  <c r="AI214" i="45"/>
  <c r="AH214" i="45"/>
  <c r="AG214" i="45"/>
  <c r="AF214" i="45"/>
  <c r="AE214" i="45"/>
  <c r="AD214" i="45"/>
  <c r="AC214" i="45"/>
  <c r="AB214" i="45"/>
  <c r="AA214" i="45"/>
  <c r="Z214" i="45"/>
  <c r="Y214" i="45"/>
  <c r="X214" i="45"/>
  <c r="W214" i="45"/>
  <c r="V214" i="45"/>
  <c r="U214" i="45"/>
  <c r="T214" i="45"/>
  <c r="S214" i="45"/>
  <c r="R214" i="45"/>
  <c r="Q214" i="45"/>
  <c r="P214" i="45"/>
  <c r="O214" i="45"/>
  <c r="N214" i="45"/>
  <c r="M214" i="45"/>
  <c r="L214" i="45"/>
  <c r="K214" i="45"/>
  <c r="J214" i="45"/>
  <c r="I214" i="45"/>
  <c r="H214" i="45"/>
  <c r="G214" i="45"/>
  <c r="F214" i="45"/>
  <c r="BO213" i="45"/>
  <c r="BC213" i="45"/>
  <c r="BB213" i="45"/>
  <c r="BA213" i="45"/>
  <c r="AZ213" i="45"/>
  <c r="AY213" i="45"/>
  <c r="AX213" i="45"/>
  <c r="AW213" i="45"/>
  <c r="AV213" i="45"/>
  <c r="AU213" i="45"/>
  <c r="AT213" i="45"/>
  <c r="AR213" i="45"/>
  <c r="AQ213" i="45"/>
  <c r="AO213" i="45"/>
  <c r="AN213" i="45"/>
  <c r="AM213" i="45"/>
  <c r="AL213" i="45"/>
  <c r="AK213" i="45"/>
  <c r="AJ213" i="45"/>
  <c r="AI213" i="45"/>
  <c r="AH213" i="45"/>
  <c r="AG213" i="45"/>
  <c r="AF213" i="45"/>
  <c r="AE213" i="45"/>
  <c r="AD213" i="45"/>
  <c r="AC213" i="45"/>
  <c r="AB213" i="45"/>
  <c r="AA213" i="45"/>
  <c r="Z213" i="45"/>
  <c r="Y213" i="45"/>
  <c r="X213" i="45"/>
  <c r="W213" i="45"/>
  <c r="V213" i="45"/>
  <c r="U213" i="45"/>
  <c r="T213" i="45"/>
  <c r="S213" i="45"/>
  <c r="R213" i="45"/>
  <c r="Q213" i="45"/>
  <c r="P213" i="45"/>
  <c r="O213" i="45"/>
  <c r="N213" i="45"/>
  <c r="M213" i="45"/>
  <c r="L213" i="45"/>
  <c r="K213" i="45"/>
  <c r="J213" i="45"/>
  <c r="I213" i="45"/>
  <c r="H213" i="45"/>
  <c r="G213" i="45"/>
  <c r="F213" i="45"/>
  <c r="BO212" i="45"/>
  <c r="BC212" i="45"/>
  <c r="BB212" i="45"/>
  <c r="BA212" i="45"/>
  <c r="AZ212" i="45"/>
  <c r="AY212" i="45"/>
  <c r="AX212" i="45"/>
  <c r="AW212" i="45"/>
  <c r="AV212" i="45"/>
  <c r="AU212" i="45"/>
  <c r="AT212" i="45"/>
  <c r="AR212" i="45"/>
  <c r="AQ212" i="45"/>
  <c r="AO212" i="45"/>
  <c r="AN212" i="45"/>
  <c r="AM212" i="45"/>
  <c r="AL212" i="45"/>
  <c r="AK212" i="45"/>
  <c r="AJ212" i="45"/>
  <c r="AI212" i="45"/>
  <c r="AH212" i="45"/>
  <c r="AG212" i="45"/>
  <c r="AF212" i="45"/>
  <c r="AE212" i="45"/>
  <c r="AD212" i="45"/>
  <c r="AC212" i="45"/>
  <c r="AB212" i="45"/>
  <c r="AA212" i="45"/>
  <c r="Z212" i="45"/>
  <c r="Y212" i="45"/>
  <c r="X212" i="45"/>
  <c r="W212" i="45"/>
  <c r="V212" i="45"/>
  <c r="U212" i="45"/>
  <c r="T212" i="45"/>
  <c r="S212" i="45"/>
  <c r="R212" i="45"/>
  <c r="Q212" i="45"/>
  <c r="P212" i="45"/>
  <c r="O212" i="45"/>
  <c r="N212" i="45"/>
  <c r="M212" i="45"/>
  <c r="L212" i="45"/>
  <c r="K212" i="45"/>
  <c r="J212" i="45"/>
  <c r="I212" i="45"/>
  <c r="H212" i="45"/>
  <c r="G212" i="45"/>
  <c r="F212" i="45"/>
  <c r="BO211" i="45"/>
  <c r="BC211" i="45"/>
  <c r="BB211" i="45"/>
  <c r="BA211" i="45"/>
  <c r="AZ211" i="45"/>
  <c r="AY211" i="45"/>
  <c r="AX211" i="45"/>
  <c r="AW211" i="45"/>
  <c r="AV211" i="45"/>
  <c r="AU211" i="45"/>
  <c r="AT211" i="45"/>
  <c r="AR211" i="45"/>
  <c r="AQ211" i="45"/>
  <c r="AO211" i="45"/>
  <c r="AN211" i="45"/>
  <c r="AM211" i="45"/>
  <c r="AL211" i="45"/>
  <c r="AK211" i="45"/>
  <c r="AJ211" i="45"/>
  <c r="AI211" i="45"/>
  <c r="AH211" i="45"/>
  <c r="AG211" i="45"/>
  <c r="AF211" i="45"/>
  <c r="AE211" i="45"/>
  <c r="AD211" i="45"/>
  <c r="AC211" i="45"/>
  <c r="AB211" i="45"/>
  <c r="AA211" i="45"/>
  <c r="Z211" i="45"/>
  <c r="Y211" i="45"/>
  <c r="X211" i="45"/>
  <c r="W211" i="45"/>
  <c r="V211" i="45"/>
  <c r="U211" i="45"/>
  <c r="T211" i="45"/>
  <c r="S211" i="45"/>
  <c r="R211" i="45"/>
  <c r="Q211" i="45"/>
  <c r="P211" i="45"/>
  <c r="O211" i="45"/>
  <c r="N211" i="45"/>
  <c r="M211" i="45"/>
  <c r="L211" i="45"/>
  <c r="K211" i="45"/>
  <c r="J211" i="45"/>
  <c r="I211" i="45"/>
  <c r="H211" i="45"/>
  <c r="G211" i="45"/>
  <c r="F211" i="45"/>
  <c r="BO210" i="45"/>
  <c r="BC210" i="45"/>
  <c r="BB210" i="45"/>
  <c r="BA210" i="45"/>
  <c r="AZ210" i="45"/>
  <c r="AY210" i="45"/>
  <c r="AX210" i="45"/>
  <c r="AW210" i="45"/>
  <c r="AV210" i="45"/>
  <c r="AU210" i="45"/>
  <c r="AT210" i="45"/>
  <c r="AR210" i="45"/>
  <c r="AQ210" i="45"/>
  <c r="AO210" i="45"/>
  <c r="AN210" i="45"/>
  <c r="AM210" i="45"/>
  <c r="AL210" i="45"/>
  <c r="AK210" i="45"/>
  <c r="AJ210" i="45"/>
  <c r="AI210" i="45"/>
  <c r="AH210" i="45"/>
  <c r="AG210" i="45"/>
  <c r="AF210" i="45"/>
  <c r="AE210" i="45"/>
  <c r="AD210" i="45"/>
  <c r="AC210" i="45"/>
  <c r="AB210" i="45"/>
  <c r="AA210" i="45"/>
  <c r="Z210" i="45"/>
  <c r="Y210" i="45"/>
  <c r="X210" i="45"/>
  <c r="W210" i="45"/>
  <c r="V210" i="45"/>
  <c r="U210" i="45"/>
  <c r="T210" i="45"/>
  <c r="S210" i="45"/>
  <c r="R210" i="45"/>
  <c r="Q210" i="45"/>
  <c r="P210" i="45"/>
  <c r="O210" i="45"/>
  <c r="N210" i="45"/>
  <c r="M210" i="45"/>
  <c r="L210" i="45"/>
  <c r="K210" i="45"/>
  <c r="J210" i="45"/>
  <c r="I210" i="45"/>
  <c r="H210" i="45"/>
  <c r="G210" i="45"/>
  <c r="F210" i="45"/>
  <c r="BC209" i="45"/>
  <c r="BB209" i="45"/>
  <c r="BA209" i="45"/>
  <c r="AZ209" i="45"/>
  <c r="AY209" i="45"/>
  <c r="AX209" i="45"/>
  <c r="AW209" i="45"/>
  <c r="AV209" i="45"/>
  <c r="AU209" i="45"/>
  <c r="AT209" i="45"/>
  <c r="AR209" i="45"/>
  <c r="AQ209" i="45"/>
  <c r="AO209" i="45"/>
  <c r="AN209" i="45"/>
  <c r="AM209" i="45"/>
  <c r="AL209" i="45"/>
  <c r="AK209" i="45"/>
  <c r="AJ209" i="45"/>
  <c r="AI209" i="45"/>
  <c r="AH209" i="45"/>
  <c r="AG209" i="45"/>
  <c r="AF209" i="45"/>
  <c r="AE209" i="45"/>
  <c r="AD209" i="45"/>
  <c r="AC209" i="45"/>
  <c r="AB209" i="45"/>
  <c r="AA209" i="45"/>
  <c r="Z209" i="45"/>
  <c r="Y209" i="45"/>
  <c r="X209" i="45"/>
  <c r="W209" i="45"/>
  <c r="V209" i="45"/>
  <c r="U209" i="45"/>
  <c r="T209" i="45"/>
  <c r="S209" i="45"/>
  <c r="R209" i="45"/>
  <c r="Q209" i="45"/>
  <c r="P209" i="45"/>
  <c r="O209" i="45"/>
  <c r="N209" i="45"/>
  <c r="M209" i="45"/>
  <c r="L209" i="45"/>
  <c r="K209" i="45"/>
  <c r="J209" i="45"/>
  <c r="I209" i="45"/>
  <c r="H209" i="45"/>
  <c r="G209" i="45"/>
  <c r="F209" i="45"/>
  <c r="BO207" i="45"/>
  <c r="BN207" i="45"/>
  <c r="BC207" i="45"/>
  <c r="BB207" i="45"/>
  <c r="BA207" i="45"/>
  <c r="AZ207" i="45"/>
  <c r="AY207" i="45"/>
  <c r="AX207" i="45"/>
  <c r="AW207" i="45"/>
  <c r="AV207" i="45"/>
  <c r="AU207" i="45"/>
  <c r="AT207" i="45"/>
  <c r="AR207" i="45"/>
  <c r="AQ207" i="45"/>
  <c r="AO207" i="45"/>
  <c r="AN207" i="45"/>
  <c r="AM207" i="45"/>
  <c r="AL207" i="45"/>
  <c r="AK207" i="45"/>
  <c r="AJ207" i="45"/>
  <c r="AI207" i="45"/>
  <c r="AH207" i="45"/>
  <c r="AG207" i="45"/>
  <c r="AF207" i="45"/>
  <c r="AE207" i="45"/>
  <c r="AD207" i="45"/>
  <c r="AC207" i="45"/>
  <c r="AB207" i="45"/>
  <c r="AA207" i="45"/>
  <c r="Z207" i="45"/>
  <c r="Y207" i="45"/>
  <c r="X207" i="45"/>
  <c r="W207" i="45"/>
  <c r="V207" i="45"/>
  <c r="U207" i="45"/>
  <c r="T207" i="45"/>
  <c r="S207" i="45"/>
  <c r="R207" i="45"/>
  <c r="Q207" i="45"/>
  <c r="P207" i="45"/>
  <c r="O207" i="45"/>
  <c r="N207" i="45"/>
  <c r="M207" i="45"/>
  <c r="L207" i="45"/>
  <c r="K207" i="45"/>
  <c r="J207" i="45"/>
  <c r="I207" i="45"/>
  <c r="H207" i="45"/>
  <c r="G207" i="45"/>
  <c r="F207" i="45"/>
  <c r="BO206" i="45"/>
  <c r="BC206" i="45"/>
  <c r="BB206" i="45"/>
  <c r="BA206" i="45"/>
  <c r="AZ206" i="45"/>
  <c r="AY206" i="45"/>
  <c r="AX206" i="45"/>
  <c r="AW206" i="45"/>
  <c r="AV206" i="45"/>
  <c r="AU206" i="45"/>
  <c r="AT206" i="45"/>
  <c r="AR206" i="45"/>
  <c r="AQ206" i="45"/>
  <c r="AO206" i="45"/>
  <c r="AN206" i="45"/>
  <c r="AM206" i="45"/>
  <c r="AL206" i="45"/>
  <c r="AK206" i="45"/>
  <c r="AJ206" i="45"/>
  <c r="AI206" i="45"/>
  <c r="AH206" i="45"/>
  <c r="AG206" i="45"/>
  <c r="AF206" i="45"/>
  <c r="AE206" i="45"/>
  <c r="AD206" i="45"/>
  <c r="AC206" i="45"/>
  <c r="AB206" i="45"/>
  <c r="AA206" i="45"/>
  <c r="Z206" i="45"/>
  <c r="Y206" i="45"/>
  <c r="X206" i="45"/>
  <c r="W206" i="45"/>
  <c r="V206" i="45"/>
  <c r="U206" i="45"/>
  <c r="T206" i="45"/>
  <c r="S206" i="45"/>
  <c r="R206" i="45"/>
  <c r="Q206" i="45"/>
  <c r="P206" i="45"/>
  <c r="O206" i="45"/>
  <c r="N206" i="45"/>
  <c r="M206" i="45"/>
  <c r="L206" i="45"/>
  <c r="K206" i="45"/>
  <c r="J206" i="45"/>
  <c r="I206" i="45"/>
  <c r="H206" i="45"/>
  <c r="G206" i="45"/>
  <c r="F206" i="45"/>
  <c r="BO205" i="45"/>
  <c r="BC205" i="45"/>
  <c r="BB205" i="45"/>
  <c r="BA205" i="45"/>
  <c r="AZ205" i="45"/>
  <c r="AY205" i="45"/>
  <c r="AX205" i="45"/>
  <c r="AW205" i="45"/>
  <c r="AV205" i="45"/>
  <c r="AU205" i="45"/>
  <c r="AT205" i="45"/>
  <c r="AR205" i="45"/>
  <c r="AQ205" i="45"/>
  <c r="AC205" i="45"/>
  <c r="AB205" i="45"/>
  <c r="AA205" i="45"/>
  <c r="Z205" i="45"/>
  <c r="Y205" i="45"/>
  <c r="X205" i="45"/>
  <c r="W205" i="45"/>
  <c r="V205" i="45"/>
  <c r="U205" i="45"/>
  <c r="T205" i="45"/>
  <c r="S205" i="45"/>
  <c r="R205" i="45"/>
  <c r="Q205" i="45"/>
  <c r="P205" i="45"/>
  <c r="O205" i="45"/>
  <c r="N205" i="45"/>
  <c r="M205" i="45"/>
  <c r="L205" i="45"/>
  <c r="K205" i="45"/>
  <c r="J205" i="45"/>
  <c r="I205" i="45"/>
  <c r="H205" i="45"/>
  <c r="G205" i="45"/>
  <c r="F205" i="45"/>
  <c r="BC204" i="45"/>
  <c r="BB204" i="45"/>
  <c r="BA204" i="45"/>
  <c r="AZ204" i="45"/>
  <c r="AY204" i="45"/>
  <c r="AX204" i="45"/>
  <c r="AW204" i="45"/>
  <c r="AV204" i="45"/>
  <c r="AU204" i="45"/>
  <c r="AT204" i="45"/>
  <c r="AR204" i="45"/>
  <c r="AQ204" i="45"/>
  <c r="AO204" i="45"/>
  <c r="AN204" i="45"/>
  <c r="AM204" i="45"/>
  <c r="AL204" i="45"/>
  <c r="AK204" i="45"/>
  <c r="AJ204" i="45"/>
  <c r="AI204" i="45"/>
  <c r="AH204" i="45"/>
  <c r="AG204" i="45"/>
  <c r="AC204" i="45"/>
  <c r="AB204" i="45"/>
  <c r="AA204" i="45"/>
  <c r="Z204" i="45"/>
  <c r="Y204" i="45"/>
  <c r="X204" i="45"/>
  <c r="W204" i="45"/>
  <c r="V204" i="45"/>
  <c r="U204" i="45"/>
  <c r="T204" i="45"/>
  <c r="S204" i="45"/>
  <c r="R204" i="45"/>
  <c r="Q204" i="45"/>
  <c r="P204" i="45"/>
  <c r="O204" i="45"/>
  <c r="N204" i="45"/>
  <c r="M204" i="45"/>
  <c r="L204" i="45"/>
  <c r="K204" i="45"/>
  <c r="J204" i="45"/>
  <c r="I204" i="45"/>
  <c r="H204" i="45"/>
  <c r="G204" i="45"/>
  <c r="F204" i="45"/>
  <c r="BO203" i="45"/>
  <c r="BC203" i="45"/>
  <c r="BB203" i="45"/>
  <c r="BA203" i="45"/>
  <c r="AZ203" i="45"/>
  <c r="AY203" i="45"/>
  <c r="AX203" i="45"/>
  <c r="AW203" i="45"/>
  <c r="AV203" i="45"/>
  <c r="AU203" i="45"/>
  <c r="AT203" i="45"/>
  <c r="AR203" i="45"/>
  <c r="AQ203" i="45"/>
  <c r="AO203" i="45"/>
  <c r="AN203" i="45"/>
  <c r="AM203" i="45"/>
  <c r="AL203" i="45"/>
  <c r="AK203" i="45"/>
  <c r="AJ203" i="45"/>
  <c r="AI203" i="45"/>
  <c r="AH203" i="45"/>
  <c r="AG203" i="45"/>
  <c r="AC203" i="45"/>
  <c r="AB203" i="45"/>
  <c r="AA203" i="45"/>
  <c r="Z203" i="45"/>
  <c r="Y203" i="45"/>
  <c r="X203" i="45"/>
  <c r="W203" i="45"/>
  <c r="V203" i="45"/>
  <c r="U203" i="45"/>
  <c r="T203" i="45"/>
  <c r="S203" i="45"/>
  <c r="R203" i="45"/>
  <c r="Q203" i="45"/>
  <c r="P203" i="45"/>
  <c r="O203" i="45"/>
  <c r="N203" i="45"/>
  <c r="M203" i="45"/>
  <c r="L203" i="45"/>
  <c r="K203" i="45"/>
  <c r="J203" i="45"/>
  <c r="I203" i="45"/>
  <c r="H203" i="45"/>
  <c r="G203" i="45"/>
  <c r="F203" i="45"/>
  <c r="BO202" i="45"/>
  <c r="BC202" i="45"/>
  <c r="BB202" i="45"/>
  <c r="BA202" i="45"/>
  <c r="AZ202" i="45"/>
  <c r="AY202" i="45"/>
  <c r="AX202" i="45"/>
  <c r="AW202" i="45"/>
  <c r="AV202" i="45"/>
  <c r="AU202" i="45"/>
  <c r="AT202" i="45"/>
  <c r="AR202" i="45"/>
  <c r="AQ202" i="45"/>
  <c r="AO202" i="45"/>
  <c r="AN202" i="45"/>
  <c r="AM202" i="45"/>
  <c r="AL202" i="45"/>
  <c r="AK202" i="45"/>
  <c r="AJ202" i="45"/>
  <c r="AI202" i="45"/>
  <c r="AH202" i="45"/>
  <c r="AG202" i="45"/>
  <c r="AF202" i="45"/>
  <c r="AE202" i="45"/>
  <c r="AD202" i="45"/>
  <c r="AC202" i="45"/>
  <c r="AB202" i="45"/>
  <c r="AA202" i="45"/>
  <c r="Z202" i="45"/>
  <c r="Y202" i="45"/>
  <c r="X202" i="45"/>
  <c r="W202" i="45"/>
  <c r="V202" i="45"/>
  <c r="U202" i="45"/>
  <c r="T202" i="45"/>
  <c r="S202" i="45"/>
  <c r="R202" i="45"/>
  <c r="Q202" i="45"/>
  <c r="P202" i="45"/>
  <c r="O202" i="45"/>
  <c r="N202" i="45"/>
  <c r="M202" i="45"/>
  <c r="L202" i="45"/>
  <c r="K202" i="45"/>
  <c r="J202" i="45"/>
  <c r="I202" i="45"/>
  <c r="H202" i="45"/>
  <c r="G202" i="45"/>
  <c r="F202" i="45"/>
  <c r="BO201" i="45"/>
  <c r="BC201" i="45"/>
  <c r="BB201" i="45"/>
  <c r="BA201" i="45"/>
  <c r="AZ201" i="45"/>
  <c r="AY201" i="45"/>
  <c r="AX201" i="45"/>
  <c r="AW201" i="45"/>
  <c r="AV201" i="45"/>
  <c r="AU201" i="45"/>
  <c r="AT201" i="45"/>
  <c r="AR201" i="45"/>
  <c r="AQ201" i="45"/>
  <c r="AO201" i="45"/>
  <c r="AN201" i="45"/>
  <c r="AM201" i="45"/>
  <c r="AL201" i="45"/>
  <c r="AK201" i="45"/>
  <c r="AJ201" i="45"/>
  <c r="AI201" i="45"/>
  <c r="AH201" i="45"/>
  <c r="AG201" i="45"/>
  <c r="AF201" i="45"/>
  <c r="AE201" i="45"/>
  <c r="AD201" i="45"/>
  <c r="Q201" i="45"/>
  <c r="P201" i="45"/>
  <c r="O201" i="45"/>
  <c r="N201" i="45"/>
  <c r="M201" i="45"/>
  <c r="L201" i="45"/>
  <c r="K201" i="45"/>
  <c r="J201" i="45"/>
  <c r="I201" i="45"/>
  <c r="H201" i="45"/>
  <c r="G201" i="45"/>
  <c r="F201" i="45"/>
  <c r="BO200" i="45"/>
  <c r="BC200" i="45"/>
  <c r="BB200" i="45"/>
  <c r="BA200" i="45"/>
  <c r="AZ200" i="45"/>
  <c r="AY200" i="45"/>
  <c r="AX200" i="45"/>
  <c r="AW200" i="45"/>
  <c r="AV200" i="45"/>
  <c r="AU200" i="45"/>
  <c r="AT200" i="45"/>
  <c r="AR200" i="45"/>
  <c r="AQ200" i="45"/>
  <c r="AO200" i="45"/>
  <c r="AN200" i="45"/>
  <c r="AM200" i="45"/>
  <c r="AL200" i="45"/>
  <c r="AK200" i="45"/>
  <c r="AJ200" i="45"/>
  <c r="AC200" i="45"/>
  <c r="AB200" i="45"/>
  <c r="AA200" i="45"/>
  <c r="Z200" i="45"/>
  <c r="Y200" i="45"/>
  <c r="X200" i="45"/>
  <c r="W200" i="45"/>
  <c r="V200" i="45"/>
  <c r="U200" i="45"/>
  <c r="T200" i="45"/>
  <c r="S200" i="45"/>
  <c r="R200" i="45"/>
  <c r="BO199" i="45"/>
  <c r="BO198" i="45"/>
  <c r="BC198" i="45"/>
  <c r="BB198" i="45"/>
  <c r="BA198" i="45"/>
  <c r="AZ198" i="45"/>
  <c r="AY198" i="45"/>
  <c r="AX198" i="45"/>
  <c r="AW198" i="45"/>
  <c r="AV198" i="45"/>
  <c r="AU198" i="45"/>
  <c r="AT198" i="45"/>
  <c r="AR198" i="45"/>
  <c r="AQ198" i="45"/>
  <c r="AO198" i="45"/>
  <c r="AN198" i="45"/>
  <c r="AM198" i="45"/>
  <c r="AL198" i="45"/>
  <c r="AK198" i="45"/>
  <c r="AJ198" i="45"/>
  <c r="AC198" i="45"/>
  <c r="AB198" i="45"/>
  <c r="AA198" i="45"/>
  <c r="Z198" i="45"/>
  <c r="Y198" i="45"/>
  <c r="X198" i="45"/>
  <c r="W198" i="45"/>
  <c r="V198" i="45"/>
  <c r="U198" i="45"/>
  <c r="T198" i="45"/>
  <c r="S198" i="45"/>
  <c r="R198" i="45"/>
  <c r="BO197" i="45"/>
  <c r="BC197" i="45"/>
  <c r="BB197" i="45"/>
  <c r="BA197" i="45"/>
  <c r="AZ197" i="45"/>
  <c r="AY197" i="45"/>
  <c r="AX197" i="45"/>
  <c r="AW197" i="45"/>
  <c r="AV197" i="45"/>
  <c r="AU197" i="45"/>
  <c r="AT197" i="45"/>
  <c r="AR197" i="45"/>
  <c r="AQ197" i="45"/>
  <c r="AO197" i="45"/>
  <c r="AN197" i="45"/>
  <c r="AM197" i="45"/>
  <c r="AL197" i="45"/>
  <c r="AK197" i="45"/>
  <c r="AJ197" i="45"/>
  <c r="AC197" i="45"/>
  <c r="AB197" i="45"/>
  <c r="AA197" i="45"/>
  <c r="Z197" i="45"/>
  <c r="Y197" i="45"/>
  <c r="X197" i="45"/>
  <c r="W197" i="45"/>
  <c r="V197" i="45"/>
  <c r="U197" i="45"/>
  <c r="T197" i="45"/>
  <c r="S197" i="45"/>
  <c r="R197" i="45"/>
  <c r="BO196" i="45"/>
  <c r="BC196" i="45"/>
  <c r="BB196" i="45"/>
  <c r="BA196" i="45"/>
  <c r="AZ196" i="45"/>
  <c r="AY196" i="45"/>
  <c r="AX196" i="45"/>
  <c r="AW196" i="45"/>
  <c r="AV196" i="45"/>
  <c r="AU196" i="45"/>
  <c r="AT196" i="45"/>
  <c r="AR196" i="45"/>
  <c r="AQ196" i="45"/>
  <c r="AO196" i="45"/>
  <c r="AN196" i="45"/>
  <c r="AM196" i="45"/>
  <c r="AL196" i="45"/>
  <c r="AK196" i="45"/>
  <c r="AJ196" i="45"/>
  <c r="AC196" i="45"/>
  <c r="AB196" i="45"/>
  <c r="AA196" i="45"/>
  <c r="Z196" i="45"/>
  <c r="Y196" i="45"/>
  <c r="X196" i="45"/>
  <c r="W196" i="45"/>
  <c r="V196" i="45"/>
  <c r="U196" i="45"/>
  <c r="T196" i="45"/>
  <c r="S196" i="45"/>
  <c r="R196" i="45"/>
  <c r="BO195" i="45"/>
  <c r="BC195" i="45"/>
  <c r="BB195" i="45"/>
  <c r="BA195" i="45"/>
  <c r="AZ195" i="45"/>
  <c r="AY195" i="45"/>
  <c r="AX195" i="45"/>
  <c r="AW195" i="45"/>
  <c r="AV195" i="45"/>
  <c r="AU195" i="45"/>
  <c r="AT195" i="45"/>
  <c r="AR195" i="45"/>
  <c r="AQ195" i="45"/>
  <c r="AO195" i="45"/>
  <c r="AN195" i="45"/>
  <c r="AM195" i="45"/>
  <c r="AL195" i="45"/>
  <c r="AK195" i="45"/>
  <c r="AJ195" i="45"/>
  <c r="AC195" i="45"/>
  <c r="AB195" i="45"/>
  <c r="AA195" i="45"/>
  <c r="Z195" i="45"/>
  <c r="Y195" i="45"/>
  <c r="X195" i="45"/>
  <c r="W195" i="45"/>
  <c r="V195" i="45"/>
  <c r="U195" i="45"/>
  <c r="T195" i="45"/>
  <c r="S195" i="45"/>
  <c r="R195" i="45"/>
  <c r="F195" i="45"/>
  <c r="BO194" i="45"/>
  <c r="BC194" i="45"/>
  <c r="BB194" i="45"/>
  <c r="BA194" i="45"/>
  <c r="AZ194" i="45"/>
  <c r="AY194" i="45"/>
  <c r="AX194" i="45"/>
  <c r="AW194" i="45"/>
  <c r="AV194" i="45"/>
  <c r="AU194" i="45"/>
  <c r="AT194" i="45"/>
  <c r="AR194" i="45"/>
  <c r="AQ194" i="45"/>
  <c r="AO194" i="45"/>
  <c r="AN194" i="45"/>
  <c r="AM194" i="45"/>
  <c r="AL194" i="45"/>
  <c r="AK194" i="45"/>
  <c r="AJ194" i="45"/>
  <c r="AC194" i="45"/>
  <c r="AB194" i="45"/>
  <c r="AA194" i="45"/>
  <c r="Z194" i="45"/>
  <c r="Y194" i="45"/>
  <c r="X194" i="45"/>
  <c r="W194" i="45"/>
  <c r="V194" i="45"/>
  <c r="U194" i="45"/>
  <c r="T194" i="45"/>
  <c r="S194" i="45"/>
  <c r="R194" i="45"/>
  <c r="F194" i="45"/>
  <c r="BM163" i="45"/>
  <c r="BL163" i="45"/>
  <c r="BK163" i="45"/>
  <c r="BK216" i="45" s="1"/>
  <c r="BJ163" i="45"/>
  <c r="BJ216" i="45" s="1"/>
  <c r="BI163" i="45"/>
  <c r="BI216" i="45" s="1"/>
  <c r="BH163" i="45"/>
  <c r="BG163" i="45"/>
  <c r="BF163" i="45"/>
  <c r="BE163" i="45"/>
  <c r="BE216" i="45" s="1"/>
  <c r="BD163" i="45"/>
  <c r="BN158" i="45"/>
  <c r="BM158" i="45"/>
  <c r="BM215" i="45" s="1"/>
  <c r="BL158" i="45"/>
  <c r="BL215" i="45" s="1"/>
  <c r="BK158" i="45"/>
  <c r="BK215" i="45" s="1"/>
  <c r="BJ158" i="45"/>
  <c r="BJ215" i="45" s="1"/>
  <c r="BI158" i="45"/>
  <c r="BI215" i="45" s="1"/>
  <c r="BH158" i="45"/>
  <c r="BH215" i="45" s="1"/>
  <c r="BG158" i="45"/>
  <c r="BG215" i="45" s="1"/>
  <c r="BF158" i="45"/>
  <c r="BF215" i="45" s="1"/>
  <c r="BE158" i="45"/>
  <c r="BD158" i="45"/>
  <c r="BN129" i="45"/>
  <c r="BC129" i="45"/>
  <c r="BC128" i="45"/>
  <c r="BM127" i="45"/>
  <c r="BL127" i="45"/>
  <c r="BK127" i="45"/>
  <c r="BJ127" i="45"/>
  <c r="BI127" i="45"/>
  <c r="BH127" i="45"/>
  <c r="BG127" i="45"/>
  <c r="BF127" i="45"/>
  <c r="BE127" i="45"/>
  <c r="BD127" i="45"/>
  <c r="BB127" i="45"/>
  <c r="BA127" i="45"/>
  <c r="AZ127" i="45"/>
  <c r="AY127" i="45"/>
  <c r="AX127" i="45"/>
  <c r="AW127" i="45"/>
  <c r="AV127" i="45"/>
  <c r="AU127" i="45"/>
  <c r="AT127" i="45"/>
  <c r="AR127" i="45"/>
  <c r="AQ127" i="45"/>
  <c r="BC126" i="45"/>
  <c r="BN118" i="45"/>
  <c r="BN213" i="45" s="1"/>
  <c r="BM118" i="45"/>
  <c r="BM213" i="45" s="1"/>
  <c r="BL118" i="45"/>
  <c r="BL213" i="45" s="1"/>
  <c r="BK118" i="45"/>
  <c r="BK213" i="45" s="1"/>
  <c r="BJ118" i="45"/>
  <c r="BJ213" i="45" s="1"/>
  <c r="BI118" i="45"/>
  <c r="BI213" i="45" s="1"/>
  <c r="BH118" i="45"/>
  <c r="BH213" i="45" s="1"/>
  <c r="BG118" i="45"/>
  <c r="BG213" i="45" s="1"/>
  <c r="BF118" i="45"/>
  <c r="BF213" i="45" s="1"/>
  <c r="BE118" i="45"/>
  <c r="BE213" i="45" s="1"/>
  <c r="BD118" i="45"/>
  <c r="BN115" i="45"/>
  <c r="BM115" i="45"/>
  <c r="BL115" i="45"/>
  <c r="BK115" i="45"/>
  <c r="BJ115" i="45"/>
  <c r="BI115" i="45"/>
  <c r="BH115" i="45"/>
  <c r="BG115" i="45"/>
  <c r="BF115" i="45"/>
  <c r="BE115" i="45"/>
  <c r="BD115" i="45"/>
  <c r="BN111" i="45"/>
  <c r="BM111" i="45"/>
  <c r="BM211" i="45" s="1"/>
  <c r="BL111" i="45"/>
  <c r="BL211" i="45" s="1"/>
  <c r="BK111" i="45"/>
  <c r="BK211" i="45" s="1"/>
  <c r="BJ111" i="45"/>
  <c r="BJ211" i="45" s="1"/>
  <c r="BI111" i="45"/>
  <c r="BI211" i="45" s="1"/>
  <c r="BH111" i="45"/>
  <c r="BG111" i="45"/>
  <c r="BF111" i="45"/>
  <c r="BF211" i="45" s="1"/>
  <c r="BE111" i="45"/>
  <c r="BE211" i="45" s="1"/>
  <c r="BD111" i="45"/>
  <c r="BN102" i="45"/>
  <c r="BM102" i="45"/>
  <c r="BM210" i="45" s="1"/>
  <c r="BL102" i="45"/>
  <c r="BL210" i="45" s="1"/>
  <c r="BK102" i="45"/>
  <c r="BK210" i="45" s="1"/>
  <c r="BJ102" i="45"/>
  <c r="BJ210" i="45" s="1"/>
  <c r="BI102" i="45"/>
  <c r="BI210" i="45" s="1"/>
  <c r="BH102" i="45"/>
  <c r="BH210" i="45" s="1"/>
  <c r="BG102" i="45"/>
  <c r="BG210" i="45" s="1"/>
  <c r="BF102" i="45"/>
  <c r="BF210" i="45" s="1"/>
  <c r="BE102" i="45"/>
  <c r="BD102" i="45"/>
  <c r="BN98" i="45"/>
  <c r="BN209" i="45" s="1"/>
  <c r="BM98" i="45"/>
  <c r="BL98" i="45"/>
  <c r="BK98" i="45"/>
  <c r="BK209" i="45" s="1"/>
  <c r="BJ98" i="45"/>
  <c r="BJ209" i="45" s="1"/>
  <c r="BI98" i="45"/>
  <c r="BI209" i="45" s="1"/>
  <c r="BH98" i="45"/>
  <c r="BH209" i="45" s="1"/>
  <c r="BG98" i="45"/>
  <c r="BG209" i="45" s="1"/>
  <c r="BF98" i="45"/>
  <c r="BF209" i="45" s="1"/>
  <c r="BE98" i="45"/>
  <c r="BE209" i="45" s="1"/>
  <c r="BD98" i="45"/>
  <c r="BM92" i="45"/>
  <c r="BM207" i="45" s="1"/>
  <c r="BL92" i="45"/>
  <c r="BL207" i="45" s="1"/>
  <c r="BK92" i="45"/>
  <c r="BK207" i="45" s="1"/>
  <c r="BJ92" i="45"/>
  <c r="BJ207" i="45" s="1"/>
  <c r="BI92" i="45"/>
  <c r="BI207" i="45" s="1"/>
  <c r="BH92" i="45"/>
  <c r="BH207" i="45" s="1"/>
  <c r="BG92" i="45"/>
  <c r="BG90" i="45" s="1"/>
  <c r="BG206" i="45" s="1"/>
  <c r="BF92" i="45"/>
  <c r="BF90" i="45" s="1"/>
  <c r="BE92" i="45"/>
  <c r="BE90" i="45" s="1"/>
  <c r="BD92" i="45"/>
  <c r="BN90" i="45"/>
  <c r="AO83" i="45"/>
  <c r="AO205" i="45" s="1"/>
  <c r="AN83" i="45"/>
  <c r="AN205" i="45" s="1"/>
  <c r="AM83" i="45"/>
  <c r="AM205" i="45" s="1"/>
  <c r="AL83" i="45"/>
  <c r="AL205" i="45" s="1"/>
  <c r="AK83" i="45"/>
  <c r="AK205" i="45" s="1"/>
  <c r="AJ83" i="45"/>
  <c r="AJ205" i="45" s="1"/>
  <c r="AI83" i="45"/>
  <c r="AI205" i="45" s="1"/>
  <c r="AH83" i="45"/>
  <c r="AH205" i="45" s="1"/>
  <c r="AG83" i="45"/>
  <c r="AG205" i="45" s="1"/>
  <c r="AF83" i="45"/>
  <c r="AF205" i="45" s="1"/>
  <c r="AE83" i="45"/>
  <c r="AE205" i="45" s="1"/>
  <c r="AD83" i="45"/>
  <c r="AD205" i="45" s="1"/>
  <c r="DM76" i="45"/>
  <c r="BN76" i="45"/>
  <c r="BN204" i="45" s="1"/>
  <c r="BM76" i="45"/>
  <c r="BM204" i="45" s="1"/>
  <c r="BL76" i="45"/>
  <c r="BL204" i="45" s="1"/>
  <c r="BK76" i="45"/>
  <c r="BK204" i="45" s="1"/>
  <c r="BJ76" i="45"/>
  <c r="BJ204" i="45" s="1"/>
  <c r="BI76" i="45"/>
  <c r="BI204" i="45" s="1"/>
  <c r="BH76" i="45"/>
  <c r="BH204" i="45" s="1"/>
  <c r="BG76" i="45"/>
  <c r="BG204" i="45" s="1"/>
  <c r="BF76" i="45"/>
  <c r="BF204" i="45" s="1"/>
  <c r="BE76" i="45"/>
  <c r="BE204" i="45" s="1"/>
  <c r="BD76" i="45"/>
  <c r="DM75" i="45"/>
  <c r="DM74" i="45"/>
  <c r="DM73" i="45"/>
  <c r="DM72" i="45"/>
  <c r="DM71" i="45"/>
  <c r="DM70" i="45"/>
  <c r="DM69" i="45"/>
  <c r="AF69" i="45"/>
  <c r="AF76" i="45" s="1"/>
  <c r="AE69" i="45"/>
  <c r="AE203" i="45" s="1"/>
  <c r="AD69" i="45"/>
  <c r="AD203" i="45" s="1"/>
  <c r="DM68" i="45"/>
  <c r="DM67" i="45"/>
  <c r="DM66" i="45"/>
  <c r="DM65" i="45"/>
  <c r="BN65" i="45"/>
  <c r="BM65" i="45"/>
  <c r="BL65" i="45"/>
  <c r="BK65" i="45"/>
  <c r="BJ65" i="45"/>
  <c r="BI65" i="45"/>
  <c r="BH65" i="45"/>
  <c r="BG65" i="45"/>
  <c r="BF65" i="45"/>
  <c r="BE65" i="45"/>
  <c r="BD65" i="45"/>
  <c r="DM64" i="45"/>
  <c r="DM63" i="45"/>
  <c r="DM62" i="45"/>
  <c r="DM61" i="45"/>
  <c r="BN61" i="45"/>
  <c r="BM61" i="45"/>
  <c r="BL61" i="45"/>
  <c r="BK61" i="45"/>
  <c r="BJ61" i="45"/>
  <c r="BI61" i="45"/>
  <c r="BH61" i="45"/>
  <c r="BG61" i="45"/>
  <c r="BF61" i="45"/>
  <c r="BE61" i="45"/>
  <c r="BD61" i="45"/>
  <c r="DM60" i="45"/>
  <c r="DM59" i="45"/>
  <c r="DM58" i="45"/>
  <c r="DM57" i="45"/>
  <c r="DM56" i="45"/>
  <c r="DM55" i="45"/>
  <c r="DM54" i="45"/>
  <c r="DM52" i="45"/>
  <c r="CZ52" i="45"/>
  <c r="DM51" i="45"/>
  <c r="CZ51" i="45"/>
  <c r="DM50" i="45"/>
  <c r="CZ50" i="45"/>
  <c r="CZ49" i="45"/>
  <c r="BN49" i="45"/>
  <c r="BN202" i="45" s="1"/>
  <c r="BM49" i="45"/>
  <c r="BM202" i="45" s="1"/>
  <c r="BL49" i="45"/>
  <c r="BL194" i="45" s="1"/>
  <c r="BK49" i="45"/>
  <c r="BK194" i="45" s="1"/>
  <c r="BJ49" i="45"/>
  <c r="BJ44" i="45" s="1"/>
  <c r="BJ201" i="45" s="1"/>
  <c r="BI49" i="45"/>
  <c r="BI202" i="45" s="1"/>
  <c r="BH49" i="45"/>
  <c r="BH44" i="45" s="1"/>
  <c r="BH201" i="45" s="1"/>
  <c r="BG49" i="45"/>
  <c r="BF49" i="45"/>
  <c r="BE49" i="45"/>
  <c r="BE202" i="45" s="1"/>
  <c r="BD49" i="45"/>
  <c r="DM48" i="45"/>
  <c r="CZ48" i="45"/>
  <c r="DM47" i="45"/>
  <c r="CZ47" i="45"/>
  <c r="DM46" i="45"/>
  <c r="CZ46" i="45"/>
  <c r="DM45" i="45"/>
  <c r="CZ45" i="45"/>
  <c r="CZ44" i="45"/>
  <c r="CZ43" i="45"/>
  <c r="BN43" i="45"/>
  <c r="BN200" i="45" s="1"/>
  <c r="BL43" i="45"/>
  <c r="BL200" i="45" s="1"/>
  <c r="BK43" i="45"/>
  <c r="BK200" i="45" s="1"/>
  <c r="BJ43" i="45"/>
  <c r="BJ200" i="45" s="1"/>
  <c r="BI43" i="45"/>
  <c r="BI200" i="45" s="1"/>
  <c r="BH43" i="45"/>
  <c r="BH200" i="45" s="1"/>
  <c r="BG43" i="45"/>
  <c r="BG200" i="45" s="1"/>
  <c r="BF43" i="45"/>
  <c r="BF200" i="45" s="1"/>
  <c r="BE43" i="45"/>
  <c r="BE200" i="45" s="1"/>
  <c r="BD43" i="45"/>
  <c r="AI43" i="45"/>
  <c r="AI200" i="45" s="1"/>
  <c r="AH43" i="45"/>
  <c r="AH200" i="45" s="1"/>
  <c r="AG43" i="45"/>
  <c r="AG200" i="45" s="1"/>
  <c r="AF43" i="45"/>
  <c r="AF200" i="45" s="1"/>
  <c r="AE43" i="45"/>
  <c r="AE200" i="45" s="1"/>
  <c r="AD43" i="45"/>
  <c r="AD200" i="45" s="1"/>
  <c r="Q43" i="45"/>
  <c r="Q200" i="45" s="1"/>
  <c r="P43" i="45"/>
  <c r="P200" i="45" s="1"/>
  <c r="O43" i="45"/>
  <c r="O200" i="45" s="1"/>
  <c r="N43" i="45"/>
  <c r="N200" i="45" s="1"/>
  <c r="M43" i="45"/>
  <c r="M200" i="45" s="1"/>
  <c r="L43" i="45"/>
  <c r="L200" i="45" s="1"/>
  <c r="K43" i="45"/>
  <c r="K200" i="45" s="1"/>
  <c r="J43" i="45"/>
  <c r="J200" i="45" s="1"/>
  <c r="I43" i="45"/>
  <c r="I200" i="45" s="1"/>
  <c r="H43" i="45"/>
  <c r="H200" i="45" s="1"/>
  <c r="G43" i="45"/>
  <c r="G200" i="45" s="1"/>
  <c r="F43" i="45"/>
  <c r="F200" i="45" s="1"/>
  <c r="DM42" i="45"/>
  <c r="CZ42" i="45"/>
  <c r="DM41" i="45"/>
  <c r="CZ41" i="45"/>
  <c r="DM40" i="45"/>
  <c r="CZ40" i="45"/>
  <c r="DM39" i="45"/>
  <c r="CZ39" i="45"/>
  <c r="DM38" i="45"/>
  <c r="CZ38" i="45"/>
  <c r="DM37" i="45"/>
  <c r="CZ37" i="45"/>
  <c r="BM37" i="45"/>
  <c r="DM36" i="45"/>
  <c r="CZ36" i="45"/>
  <c r="BC36" i="45"/>
  <c r="DM35" i="45"/>
  <c r="CZ35" i="45"/>
  <c r="BN35" i="45"/>
  <c r="BM35" i="45"/>
  <c r="BL35" i="45"/>
  <c r="BK35" i="45"/>
  <c r="BJ35" i="45"/>
  <c r="BI35" i="45"/>
  <c r="BG35" i="45"/>
  <c r="BF35" i="45"/>
  <c r="BE35" i="45"/>
  <c r="BD35" i="45"/>
  <c r="BC35" i="45"/>
  <c r="DM34" i="45"/>
  <c r="CZ34" i="45"/>
  <c r="BN34" i="45"/>
  <c r="BM34" i="45"/>
  <c r="BL34" i="45"/>
  <c r="BK34" i="45"/>
  <c r="BJ34" i="45"/>
  <c r="BI34" i="45"/>
  <c r="BH34" i="45"/>
  <c r="BG34" i="45"/>
  <c r="BF34" i="45"/>
  <c r="BE34" i="45"/>
  <c r="BD34" i="45"/>
  <c r="BC34" i="45"/>
  <c r="DM33" i="45"/>
  <c r="CZ33" i="45"/>
  <c r="BC33" i="45"/>
  <c r="DM32" i="45"/>
  <c r="CZ32" i="45"/>
  <c r="DM31" i="45"/>
  <c r="CZ31" i="45"/>
  <c r="DM30" i="45"/>
  <c r="CZ30" i="45"/>
  <c r="DM29" i="45"/>
  <c r="CZ29" i="45"/>
  <c r="DM28" i="45"/>
  <c r="CZ28" i="45"/>
  <c r="DM27" i="45"/>
  <c r="CZ27" i="45"/>
  <c r="DM26" i="45"/>
  <c r="CZ26" i="45"/>
  <c r="DM25" i="45"/>
  <c r="CZ25" i="45"/>
  <c r="BL199" i="45"/>
  <c r="BK199" i="45"/>
  <c r="BJ199" i="45"/>
  <c r="BI199" i="45"/>
  <c r="BH199" i="45"/>
  <c r="BG199" i="45"/>
  <c r="BF199" i="45"/>
  <c r="BE199" i="45"/>
  <c r="BC199" i="45"/>
  <c r="BB199" i="45"/>
  <c r="BA199" i="45"/>
  <c r="AZ199" i="45"/>
  <c r="AY199" i="45"/>
  <c r="AU199" i="45"/>
  <c r="AT199" i="45"/>
  <c r="AR199" i="45"/>
  <c r="AQ199" i="45"/>
  <c r="AO199" i="45"/>
  <c r="AN199" i="45"/>
  <c r="AM199" i="45"/>
  <c r="AL199" i="45"/>
  <c r="AK199" i="45"/>
  <c r="AJ199" i="45"/>
  <c r="AI199" i="45"/>
  <c r="AH199" i="45"/>
  <c r="AD199" i="45"/>
  <c r="AC199" i="45"/>
  <c r="AB199" i="45"/>
  <c r="AA199" i="45"/>
  <c r="Z199" i="45"/>
  <c r="Y199" i="45"/>
  <c r="X199" i="45"/>
  <c r="W199" i="45"/>
  <c r="V199" i="45"/>
  <c r="U199" i="45"/>
  <c r="T199" i="45"/>
  <c r="S199" i="45"/>
  <c r="R199" i="45"/>
  <c r="Q199" i="45"/>
  <c r="P199" i="45"/>
  <c r="O199" i="45"/>
  <c r="N199" i="45"/>
  <c r="M199" i="45"/>
  <c r="L199" i="45"/>
  <c r="K199" i="45"/>
  <c r="J199" i="45"/>
  <c r="I199" i="45"/>
  <c r="H199" i="45"/>
  <c r="G199" i="45"/>
  <c r="F199" i="45"/>
  <c r="DM24" i="45"/>
  <c r="CZ24" i="45"/>
  <c r="BN24" i="45"/>
  <c r="BM24" i="45"/>
  <c r="BL24" i="45"/>
  <c r="BK24" i="45"/>
  <c r="BJ24" i="45"/>
  <c r="BI24" i="45"/>
  <c r="BH24" i="45"/>
  <c r="BG24" i="45"/>
  <c r="BF24" i="45"/>
  <c r="BE24" i="45"/>
  <c r="BD24" i="45"/>
  <c r="BC24" i="45"/>
  <c r="BB24" i="45"/>
  <c r="BA24" i="45"/>
  <c r="AZ24" i="45"/>
  <c r="AY24" i="45"/>
  <c r="AX24" i="45"/>
  <c r="AW24" i="45"/>
  <c r="AV24" i="45"/>
  <c r="AU24" i="45"/>
  <c r="AT24" i="45"/>
  <c r="AR24" i="45"/>
  <c r="AQ24" i="45"/>
  <c r="AN24" i="45"/>
  <c r="AM24" i="45"/>
  <c r="AL24" i="45"/>
  <c r="AK24" i="45"/>
  <c r="AJ24" i="45"/>
  <c r="AI24" i="45"/>
  <c r="AH24" i="45"/>
  <c r="AG24" i="45"/>
  <c r="AF24" i="45"/>
  <c r="AE24" i="45"/>
  <c r="AD24" i="45"/>
  <c r="DM23" i="45"/>
  <c r="CZ23" i="45"/>
  <c r="BN23" i="45"/>
  <c r="BM23" i="45"/>
  <c r="BL23" i="45"/>
  <c r="BK23" i="45"/>
  <c r="BJ23" i="45"/>
  <c r="BI23" i="45"/>
  <c r="BH23" i="45"/>
  <c r="BG23" i="45"/>
  <c r="BF23" i="45"/>
  <c r="BE23" i="45"/>
  <c r="BD23" i="45"/>
  <c r="BC23" i="45"/>
  <c r="BB23" i="45"/>
  <c r="BA23" i="45"/>
  <c r="AZ23" i="45"/>
  <c r="AY23" i="45"/>
  <c r="AX23" i="45"/>
  <c r="AW23" i="45"/>
  <c r="AV23" i="45"/>
  <c r="AU23" i="45"/>
  <c r="AT23" i="45"/>
  <c r="AR23" i="45"/>
  <c r="AQ23" i="45"/>
  <c r="AO23" i="45"/>
  <c r="AN23" i="45"/>
  <c r="AM23" i="45"/>
  <c r="AL23" i="45"/>
  <c r="AK23" i="45"/>
  <c r="AJ23" i="45"/>
  <c r="AI23" i="45"/>
  <c r="AH23" i="45"/>
  <c r="AG23" i="45"/>
  <c r="AF23" i="45"/>
  <c r="AE23" i="45"/>
  <c r="AD23" i="45"/>
  <c r="DM22" i="45"/>
  <c r="CZ22" i="45"/>
  <c r="DM21" i="45"/>
  <c r="CZ21" i="45"/>
  <c r="DM20" i="45"/>
  <c r="CZ20" i="45"/>
  <c r="DM19" i="45"/>
  <c r="CZ19" i="45"/>
  <c r="DM18" i="45"/>
  <c r="CZ18" i="45"/>
  <c r="BN18" i="45"/>
  <c r="BM18" i="45"/>
  <c r="BL18" i="45"/>
  <c r="BK18" i="45"/>
  <c r="BJ18" i="45"/>
  <c r="BI18" i="45"/>
  <c r="BH18" i="45"/>
  <c r="BG18" i="45"/>
  <c r="BF18" i="45"/>
  <c r="BE18" i="45"/>
  <c r="BD18" i="45"/>
  <c r="DM17" i="45"/>
  <c r="CZ17" i="45"/>
  <c r="BN17" i="45"/>
  <c r="BM17" i="45"/>
  <c r="BL17" i="45"/>
  <c r="BK17" i="45"/>
  <c r="BJ17" i="45"/>
  <c r="BI17" i="45"/>
  <c r="BH17" i="45"/>
  <c r="BG17" i="45"/>
  <c r="BF17" i="45"/>
  <c r="BE17" i="45"/>
  <c r="BD17" i="45"/>
  <c r="DM16" i="45"/>
  <c r="CZ16" i="45"/>
  <c r="BN16" i="45"/>
  <c r="BM16" i="45"/>
  <c r="BL16" i="45"/>
  <c r="BK16" i="45"/>
  <c r="BJ16" i="45"/>
  <c r="BI16" i="45"/>
  <c r="BH16" i="45"/>
  <c r="BG16" i="45"/>
  <c r="BF16" i="45"/>
  <c r="BE16" i="45"/>
  <c r="BD16" i="45"/>
  <c r="DM15" i="45"/>
  <c r="CZ15" i="45"/>
  <c r="BM15" i="45"/>
  <c r="CZ14" i="45"/>
  <c r="BN14" i="45"/>
  <c r="BM14" i="45"/>
  <c r="BJ14" i="45"/>
  <c r="BJ13" i="45" s="1"/>
  <c r="BI14" i="45"/>
  <c r="BI13" i="45" s="1"/>
  <c r="BH14" i="45"/>
  <c r="BH13" i="45" s="1"/>
  <c r="BG14" i="45"/>
  <c r="BG13" i="45" s="1"/>
  <c r="BF14" i="45"/>
  <c r="BF13" i="45" s="1"/>
  <c r="BE14" i="45"/>
  <c r="BE13" i="45" s="1"/>
  <c r="BD14" i="45"/>
  <c r="CZ13" i="45"/>
  <c r="BL13" i="45"/>
  <c r="BL198" i="45" s="1"/>
  <c r="BK13" i="45"/>
  <c r="BK198" i="45" s="1"/>
  <c r="AI13" i="45"/>
  <c r="AI197" i="45" s="1"/>
  <c r="AH13" i="45"/>
  <c r="AH197" i="45" s="1"/>
  <c r="AG13" i="45"/>
  <c r="AG197" i="45" s="1"/>
  <c r="AF13" i="45"/>
  <c r="AF197" i="45" s="1"/>
  <c r="AE13" i="45"/>
  <c r="AE197" i="45" s="1"/>
  <c r="AD13" i="45"/>
  <c r="AD197" i="45" s="1"/>
  <c r="Q13" i="45"/>
  <c r="Q198" i="45" s="1"/>
  <c r="P13" i="45"/>
  <c r="P197" i="45" s="1"/>
  <c r="O13" i="45"/>
  <c r="O197" i="45" s="1"/>
  <c r="N13" i="45"/>
  <c r="M13" i="45"/>
  <c r="M197" i="45" s="1"/>
  <c r="L13" i="45"/>
  <c r="L198" i="45" s="1"/>
  <c r="K13" i="45"/>
  <c r="K198" i="45" s="1"/>
  <c r="J13" i="45"/>
  <c r="J198" i="45" s="1"/>
  <c r="I13" i="45"/>
  <c r="I198" i="45" s="1"/>
  <c r="H13" i="45"/>
  <c r="H197" i="45" s="1"/>
  <c r="G13" i="45"/>
  <c r="G197" i="45" s="1"/>
  <c r="F13" i="45"/>
  <c r="F197" i="45" s="1"/>
  <c r="CZ12" i="45"/>
  <c r="DM11" i="45"/>
  <c r="CZ11" i="45"/>
  <c r="BI11" i="45"/>
  <c r="Q11" i="45"/>
  <c r="Q195" i="45" s="1"/>
  <c r="P11" i="45"/>
  <c r="P195" i="45" s="1"/>
  <c r="O11" i="45"/>
  <c r="O194" i="45" s="1"/>
  <c r="N11" i="45"/>
  <c r="N194" i="45" s="1"/>
  <c r="M11" i="45"/>
  <c r="M194" i="45" s="1"/>
  <c r="L11" i="45"/>
  <c r="K11" i="45"/>
  <c r="J11" i="45"/>
  <c r="J194" i="45" s="1"/>
  <c r="I11" i="45"/>
  <c r="I10" i="45" s="1"/>
  <c r="H11" i="45"/>
  <c r="H194" i="45" s="1"/>
  <c r="G11" i="45"/>
  <c r="G10" i="45" s="1"/>
  <c r="CZ10" i="45"/>
  <c r="BN10" i="45"/>
  <c r="BM10" i="45"/>
  <c r="BL10" i="45"/>
  <c r="BK10" i="45"/>
  <c r="BB10" i="45"/>
  <c r="BA10" i="45"/>
  <c r="AZ10" i="45"/>
  <c r="AY10" i="45"/>
  <c r="AX10" i="45"/>
  <c r="AW10" i="45"/>
  <c r="AV10" i="45"/>
  <c r="AU10" i="45"/>
  <c r="AT10" i="45"/>
  <c r="AR10" i="45"/>
  <c r="AQ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F10" i="45"/>
  <c r="DM9" i="45"/>
  <c r="CZ9" i="45"/>
  <c r="CZ8" i="45"/>
  <c r="Q8" i="45"/>
  <c r="Q196" i="45" s="1"/>
  <c r="P8" i="45"/>
  <c r="P196" i="45" s="1"/>
  <c r="O8" i="45"/>
  <c r="O196" i="45" s="1"/>
  <c r="N8" i="45"/>
  <c r="N196" i="45" s="1"/>
  <c r="M8" i="45"/>
  <c r="M196" i="45" s="1"/>
  <c r="L8" i="45"/>
  <c r="L196" i="45" s="1"/>
  <c r="K8" i="45"/>
  <c r="K196" i="45" s="1"/>
  <c r="J8" i="45"/>
  <c r="J196" i="45" s="1"/>
  <c r="I8" i="45"/>
  <c r="I196" i="45" s="1"/>
  <c r="H8" i="45"/>
  <c r="H196" i="45" s="1"/>
  <c r="G8" i="45"/>
  <c r="G196" i="45" s="1"/>
  <c r="F8" i="45"/>
  <c r="F196" i="45" s="1"/>
  <c r="DM7" i="45"/>
  <c r="CZ7" i="45"/>
  <c r="CZ6" i="45"/>
  <c r="BN6" i="45"/>
  <c r="BN8" i="45" s="1"/>
  <c r="BN196" i="45" s="1"/>
  <c r="BM6" i="45"/>
  <c r="BM8" i="45" s="1"/>
  <c r="BM196" i="45" s="1"/>
  <c r="BL6" i="45"/>
  <c r="BL8" i="45" s="1"/>
  <c r="BL196" i="45" s="1"/>
  <c r="BK6" i="45"/>
  <c r="BJ6" i="45"/>
  <c r="BH6" i="45"/>
  <c r="BH8" i="45" s="1"/>
  <c r="BH196" i="45" s="1"/>
  <c r="BG6" i="45"/>
  <c r="BF6" i="45"/>
  <c r="BE6" i="45"/>
  <c r="BD6" i="45"/>
  <c r="AI6" i="45"/>
  <c r="AI8" i="45" s="1"/>
  <c r="AI196" i="45" s="1"/>
  <c r="AH6" i="45"/>
  <c r="AH195" i="45" s="1"/>
  <c r="AG6" i="45"/>
  <c r="AG195" i="45" s="1"/>
  <c r="AF6" i="45"/>
  <c r="AF195" i="45" s="1"/>
  <c r="AE6" i="45"/>
  <c r="AE195" i="45" s="1"/>
  <c r="AD6" i="45"/>
  <c r="AD195" i="45" s="1"/>
  <c r="CZ5" i="45"/>
  <c r="AK3" i="45"/>
  <c r="Y3" i="45"/>
  <c r="M3" i="45"/>
  <c r="T52" i="16" a="1"/>
  <c r="W8" i="15" a="1"/>
  <c r="L6" i="16" a="1"/>
  <c r="F7" i="16" a="1"/>
  <c r="F6" i="16" a="1"/>
  <c r="L51" i="19" a="1"/>
  <c r="M18" i="20" a="1"/>
  <c r="L8" i="26" a="1"/>
  <c r="M55" i="20" a="1"/>
  <c r="Q63" i="13" a="1"/>
  <c r="M70" i="26" a="1"/>
  <c r="M20" i="26" a="1"/>
  <c r="L14" i="19" a="1"/>
  <c r="P15" i="13" a="1"/>
  <c r="L63" i="17" a="1"/>
  <c r="Q30" i="13" a="1"/>
  <c r="L63" i="26" a="1"/>
  <c r="P26" i="13" a="1"/>
  <c r="N35" i="19" a="1"/>
  <c r="P13" i="13" a="1"/>
  <c r="L51" i="20" a="1"/>
  <c r="L114" i="19" a="1"/>
  <c r="L59" i="20" a="1"/>
  <c r="M139" i="19" a="1"/>
  <c r="L78" i="26" a="1"/>
  <c r="K81" i="20" a="1"/>
  <c r="M125" i="19" a="1"/>
  <c r="K8" i="13" a="1"/>
  <c r="L17" i="26" a="1"/>
  <c r="Q67" i="13" a="1"/>
  <c r="N37" i="19" a="1"/>
  <c r="K26" i="20" a="1"/>
  <c r="L36" i="19" a="1"/>
  <c r="M22" i="20" a="1"/>
  <c r="M79" i="26" a="1"/>
  <c r="M47" i="20" a="1"/>
  <c r="L68" i="17" a="1"/>
  <c r="M57" i="26" a="1"/>
  <c r="Q68" i="13" a="1"/>
  <c r="K18" i="20" a="1"/>
  <c r="K74" i="20" a="1"/>
  <c r="M111" i="19" a="1"/>
  <c r="M51" i="19" a="1"/>
  <c r="P63" i="13" a="1"/>
  <c r="Q38" i="13" a="1"/>
  <c r="K27" i="20" a="1"/>
  <c r="M124" i="19" a="1"/>
  <c r="N48" i="19" a="1"/>
  <c r="P25" i="13" a="1"/>
  <c r="L47" i="20" a="1"/>
  <c r="L39" i="17" a="1"/>
  <c r="M48" i="20" a="1"/>
  <c r="L29" i="20" a="1"/>
  <c r="N34" i="19" a="1"/>
  <c r="L73" i="20" a="1"/>
  <c r="L74" i="26" a="1"/>
  <c r="N56" i="19" a="1"/>
  <c r="N135" i="19" a="1"/>
  <c r="M30" i="20" a="1"/>
  <c r="N39" i="19" a="1"/>
  <c r="L40" i="20" a="1"/>
  <c r="K14" i="20" a="1"/>
  <c r="K38" i="20" a="1"/>
  <c r="L23" i="19" a="1"/>
  <c r="Q61" i="13" a="1"/>
  <c r="L49" i="19" a="1"/>
  <c r="Q34" i="13" a="1"/>
  <c r="L39" i="20" a="1"/>
  <c r="P64" i="13" a="1"/>
  <c r="Q37" i="13" a="1"/>
  <c r="M74" i="26" a="1"/>
  <c r="Q21" i="13" a="1"/>
  <c r="N30" i="19" a="1"/>
  <c r="K29" i="20" a="1"/>
  <c r="L54" i="26" a="1"/>
  <c r="M57" i="19" a="1"/>
  <c r="L30" i="20" a="1"/>
  <c r="M131" i="19" a="1"/>
  <c r="L42" i="19" a="1"/>
  <c r="Q28" i="13" a="1"/>
  <c r="K19" i="20" a="1"/>
  <c r="K45" i="20" a="1"/>
  <c r="K47" i="20" a="1"/>
  <c r="Q58" i="13" a="1"/>
  <c r="K65" i="20" a="1"/>
  <c r="M23" i="20" a="1"/>
  <c r="K75" i="20" a="1"/>
  <c r="M28" i="20" a="1"/>
  <c r="L25" i="26" a="1"/>
  <c r="J9" i="13" a="1"/>
  <c r="L38" i="20" a="1"/>
  <c r="M113" i="19" a="1"/>
  <c r="M16" i="26" a="1"/>
  <c r="L8" i="20" a="1"/>
  <c r="L79" i="26" a="1"/>
  <c r="L21" i="20" a="1"/>
  <c r="N33" i="19" a="1"/>
  <c r="K80" i="20" a="1"/>
  <c r="L41" i="20" a="1"/>
  <c r="M24" i="20" a="1"/>
  <c r="M49" i="19" a="1"/>
  <c r="N8" i="13" a="1"/>
  <c r="L44" i="19" a="1"/>
  <c r="L7" i="20" a="1"/>
  <c r="N129" i="19" a="1"/>
  <c r="P12" i="13" a="1"/>
  <c r="N131" i="19" a="1"/>
  <c r="K93" i="20" a="1"/>
  <c r="P59" i="13" a="1"/>
  <c r="K105" i="20" a="1"/>
  <c r="M9" i="20" a="1"/>
  <c r="N32" i="19" a="1"/>
  <c r="N9" i="13" a="1"/>
  <c r="L55" i="19" a="1"/>
  <c r="L19" i="26" a="1"/>
  <c r="L64" i="26" a="1"/>
  <c r="N8" i="19" a="1"/>
  <c r="K15" i="20" a="1"/>
  <c r="N22" i="19" a="1"/>
  <c r="L73" i="17" a="1"/>
  <c r="M27" i="20" a="1"/>
  <c r="K39" i="20" a="1"/>
  <c r="L48" i="19" a="1"/>
  <c r="L45" i="19" a="1"/>
  <c r="L17" i="19" a="1"/>
  <c r="P9" i="13" a="1"/>
  <c r="M129" i="19" a="1"/>
  <c r="N15" i="19" a="1"/>
  <c r="N36" i="19" a="1"/>
  <c r="N122" i="19" a="1"/>
  <c r="M120" i="19" a="1"/>
  <c r="L62" i="20" a="1"/>
  <c r="N11" i="19" a="1"/>
  <c r="L10" i="26" a="1"/>
  <c r="L22" i="26" a="1"/>
  <c r="Q26" i="13" a="1"/>
  <c r="M14" i="20" a="1"/>
  <c r="L60" i="20" a="1"/>
  <c r="N119" i="19" a="1"/>
  <c r="L9" i="26" a="1"/>
  <c r="M59" i="26" a="1"/>
  <c r="L62" i="17" a="1"/>
  <c r="M16" i="20" a="1"/>
  <c r="M54" i="19" a="1"/>
  <c r="P45" i="13" a="1"/>
  <c r="M61" i="26" a="1"/>
  <c r="K41" i="20" a="1"/>
  <c r="K91" i="20" a="1"/>
  <c r="L11" i="19" a="1"/>
  <c r="M10" i="20" a="1"/>
  <c r="L79" i="20" a="1"/>
  <c r="L59" i="26" a="1"/>
  <c r="Q14" i="13" a="1"/>
  <c r="M32" i="19" a="1"/>
  <c r="L9" i="19" a="1"/>
  <c r="K16" i="20" a="1"/>
  <c r="L72" i="20" a="1"/>
  <c r="M81" i="26" a="1"/>
  <c r="L7" i="19" a="1"/>
  <c r="K99" i="20" a="1"/>
  <c r="M22" i="26" a="1"/>
  <c r="N111" i="19" a="1"/>
  <c r="L57" i="17" a="1"/>
  <c r="K113" i="20" a="1"/>
  <c r="Q17" i="13" a="1"/>
  <c r="L43" i="20" a="1"/>
  <c r="P16" i="13" a="1"/>
  <c r="M35" i="20" a="1"/>
  <c r="L41" i="19" a="1"/>
  <c r="Q45" i="13" a="1"/>
  <c r="L61" i="26" a="1"/>
  <c r="M75" i="26" a="1"/>
  <c r="L55" i="26" a="1"/>
  <c r="L86" i="20" a="1"/>
  <c r="L84" i="20" a="1"/>
  <c r="N137" i="19" a="1"/>
  <c r="N9" i="19" a="1"/>
  <c r="L18" i="19" a="1"/>
  <c r="M78" i="26" a="1"/>
  <c r="N40" i="19" a="1"/>
  <c r="Q6" i="13" a="1"/>
  <c r="L52" i="19" a="1"/>
  <c r="L133" i="19" a="1"/>
  <c r="Q70" i="13" a="1"/>
  <c r="L32" i="19" a="1"/>
  <c r="K92" i="20" a="1"/>
  <c r="M6" i="26" a="1"/>
  <c r="M55" i="26" a="1"/>
  <c r="M34" i="19" a="1"/>
  <c r="Q15" i="13" a="1"/>
  <c r="K49" i="20" a="1"/>
  <c r="Q10" i="13" a="1"/>
  <c r="L65" i="17" a="1"/>
  <c r="N57" i="19" a="1"/>
  <c r="K73" i="20" a="1"/>
  <c r="M12" i="19" a="1"/>
  <c r="L49" i="20" a="1"/>
  <c r="M15" i="20" a="1"/>
  <c r="K101" i="20" a="1"/>
  <c r="M11" i="19" a="1"/>
  <c r="L18" i="20" a="1"/>
  <c r="L55" i="17" a="1"/>
  <c r="M114" i="19" a="1"/>
  <c r="L124" i="19" a="1"/>
  <c r="M137" i="19" a="1"/>
  <c r="M22" i="19" a="1"/>
  <c r="L55" i="20" a="1"/>
  <c r="L25" i="20" a="1"/>
  <c r="L44" i="20" a="1"/>
  <c r="N54" i="19" a="1"/>
  <c r="P65" i="13" a="1"/>
  <c r="L139" i="19" a="1"/>
  <c r="L115" i="19" a="1"/>
  <c r="K83" i="20" a="1"/>
  <c r="M25" i="26" a="1"/>
  <c r="M11" i="20" a="1"/>
  <c r="N126" i="19" a="1"/>
  <c r="N55" i="19" a="1"/>
  <c r="L26" i="19" a="1"/>
  <c r="P33" i="13" a="1"/>
  <c r="K42" i="20" a="1"/>
  <c r="K64" i="20" a="1"/>
  <c r="M26" i="20" a="1"/>
  <c r="L127" i="19" a="1"/>
  <c r="L141" i="19" a="1"/>
  <c r="K66" i="20" a="1"/>
  <c r="K109" i="20" a="1"/>
  <c r="N12" i="19" a="1"/>
  <c r="L81" i="26" a="1"/>
  <c r="L66" i="17" a="1"/>
  <c r="L72" i="26" a="1"/>
  <c r="M110" i="19" a="1"/>
  <c r="M73" i="26" a="1"/>
  <c r="M54" i="20" a="1"/>
  <c r="K110" i="20" a="1"/>
  <c r="N44" i="19" a="1"/>
  <c r="L47" i="19" a="1"/>
  <c r="Q60" i="13" a="1"/>
  <c r="M23" i="19" a="1"/>
  <c r="N42" i="19" a="1"/>
  <c r="L53" i="20" a="1"/>
  <c r="L42" i="17" a="1"/>
  <c r="P46" i="13" a="1"/>
  <c r="L40" i="17" a="1"/>
  <c r="N133" i="19" a="1"/>
  <c r="K11" i="20" a="1"/>
  <c r="P21" i="13" a="1"/>
  <c r="L65" i="26" a="1"/>
  <c r="N115" i="19" a="1"/>
  <c r="M56" i="20" a="1"/>
  <c r="P30" i="13" a="1"/>
  <c r="M35" i="19" a="1"/>
  <c r="M40" i="20" a="1"/>
  <c r="K111" i="20" a="1"/>
  <c r="P40" i="13" a="1"/>
  <c r="L75" i="26" a="1"/>
  <c r="M13" i="19" a="1"/>
  <c r="L131" i="19" a="1"/>
  <c r="N138" i="19" a="1"/>
  <c r="M9" i="19" a="1"/>
  <c r="Q39" i="13" a="1"/>
  <c r="N121" i="19" a="1"/>
  <c r="N53" i="19" a="1"/>
  <c r="M56" i="26" a="1"/>
  <c r="N123" i="19" a="1"/>
  <c r="N52" i="19" a="1"/>
  <c r="K25" i="20" a="1"/>
  <c r="K60" i="20" a="1"/>
  <c r="P19" i="13" a="1"/>
  <c r="Q16" i="13" a="1"/>
  <c r="L20" i="26" a="1"/>
  <c r="L34" i="19" a="1"/>
  <c r="M43" i="20" a="1"/>
  <c r="K96" i="20" a="1"/>
  <c r="P58" i="13" a="1"/>
  <c r="N51" i="19" a="1"/>
  <c r="M16" i="19" a="1"/>
  <c r="P60" i="13" a="1"/>
  <c r="O120" i="19" a="1"/>
  <c r="L27" i="20" a="1"/>
  <c r="L118" i="19" a="1"/>
  <c r="P24" i="13" a="1"/>
  <c r="L50" i="19" a="1"/>
  <c r="M8" i="19" a="1"/>
  <c r="L77" i="20" a="1"/>
  <c r="L44" i="17" a="1"/>
  <c r="Q66" i="13" a="1"/>
  <c r="M62" i="26" a="1"/>
  <c r="L24" i="20" a="1"/>
  <c r="K7" i="20" a="1"/>
  <c r="L40" i="19" a="1"/>
  <c r="N58" i="19" a="1"/>
  <c r="L75" i="20" a="1"/>
  <c r="L116" i="19" a="1"/>
  <c r="N18" i="19" a="1"/>
  <c r="J7" i="13" a="1"/>
  <c r="L54" i="20" a="1"/>
  <c r="K51" i="20" a="1"/>
  <c r="M112" i="19" a="1"/>
  <c r="Q62" i="13" a="1"/>
  <c r="L32" i="20" a="1"/>
  <c r="K36" i="20" a="1"/>
  <c r="L122" i="19" a="1"/>
  <c r="P22" i="13" a="1"/>
  <c r="M36" i="19" a="1"/>
  <c r="M21" i="26" a="1"/>
  <c r="K106" i="20" a="1"/>
  <c r="P7" i="13" a="1"/>
  <c r="L58" i="20" a="1"/>
  <c r="L132" i="19" a="1"/>
  <c r="K61" i="20" a="1"/>
  <c r="N45" i="19" a="1"/>
  <c r="M46" i="19" a="1"/>
  <c r="K112" i="20" a="1"/>
  <c r="M58" i="26" a="1"/>
  <c r="K55" i="20" a="1"/>
  <c r="M10" i="19" a="1"/>
  <c r="N110" i="19" a="1"/>
  <c r="N10" i="19" a="1"/>
  <c r="M37" i="19" a="1"/>
  <c r="N140" i="19" a="1"/>
  <c r="M21" i="19" a="1"/>
  <c r="L128" i="19" a="1"/>
  <c r="L11" i="20" a="1"/>
  <c r="P68" i="13" a="1"/>
  <c r="L35" i="20" a="1"/>
  <c r="L33" i="19" a="1"/>
  <c r="L20" i="19" a="1"/>
  <c r="K12" i="20" a="1"/>
  <c r="K10" i="20" a="1"/>
  <c r="P44" i="13" a="1"/>
  <c r="L24" i="26" a="1"/>
  <c r="L76" i="20" a="1"/>
  <c r="L30" i="19" a="1"/>
  <c r="L6" i="26" a="1"/>
  <c r="L21" i="19" a="1"/>
  <c r="L54" i="19" a="1"/>
  <c r="Q64" i="13" a="1"/>
  <c r="N109" i="19" a="1"/>
  <c r="L140" i="19" a="1"/>
  <c r="N20" i="19" a="1"/>
  <c r="K13" i="20" a="1"/>
  <c r="L56" i="17" a="1"/>
  <c r="L22" i="19" a="1"/>
  <c r="M39" i="19" a="1"/>
  <c r="L36" i="20" a="1"/>
  <c r="M52" i="19" a="1"/>
  <c r="P17" i="13" a="1"/>
  <c r="N134" i="19" a="1"/>
  <c r="N16" i="19" a="1"/>
  <c r="M71" i="26" a="1"/>
  <c r="K17" i="20" a="1"/>
  <c r="Q27" i="13" a="1"/>
  <c r="Q13" i="13" a="1"/>
  <c r="M63" i="26" a="1"/>
  <c r="M10" i="26" a="1"/>
  <c r="P42" i="13" a="1"/>
  <c r="L54" i="17" a="1"/>
  <c r="K43" i="20" a="1"/>
  <c r="M8" i="26" a="1"/>
  <c r="K85" i="20" a="1"/>
  <c r="M41" i="20" a="1"/>
  <c r="L59" i="17" a="1"/>
  <c r="Q46" i="13" a="1"/>
  <c r="N120" i="19" a="1"/>
  <c r="N132" i="19" a="1"/>
  <c r="L81" i="20" a="1"/>
  <c r="M133" i="19" a="1"/>
  <c r="M72" i="26" a="1"/>
  <c r="L70" i="26" a="1"/>
  <c r="K69" i="20" a="1"/>
  <c r="L16" i="20" a="1"/>
  <c r="L60" i="26" a="1"/>
  <c r="K87" i="20" a="1"/>
  <c r="Q36" i="13" a="1"/>
  <c r="L123" i="19" a="1"/>
  <c r="K24" i="20" a="1"/>
  <c r="M39" i="20" a="1"/>
  <c r="L137" i="19" a="1"/>
  <c r="M58" i="19" a="1"/>
  <c r="M140" i="19" a="1"/>
  <c r="M12" i="20" a="1"/>
  <c r="L9" i="20" a="1"/>
  <c r="M80" i="26" a="1"/>
  <c r="L74" i="20" a="1"/>
  <c r="L38" i="19" a="1"/>
  <c r="L34" i="20" a="1"/>
  <c r="L31" i="19" a="1"/>
  <c r="L70" i="17" a="1"/>
  <c r="L8" i="19" a="1"/>
  <c r="K34" i="20" a="1"/>
  <c r="K71" i="20" a="1"/>
  <c r="P27" i="13" a="1"/>
  <c r="L56" i="20" a="1"/>
  <c r="Q20" i="13" a="1"/>
  <c r="M33" i="19" a="1"/>
  <c r="P47" i="13" a="1"/>
  <c r="K108" i="20" a="1"/>
  <c r="K46" i="20" a="1"/>
  <c r="L121" i="19" a="1"/>
  <c r="M32" i="20" a="1"/>
  <c r="L43" i="17" a="1"/>
  <c r="M29" i="20" a="1"/>
  <c r="M127" i="19" a="1"/>
  <c r="P70" i="13" a="1"/>
  <c r="L60" i="17" a="1"/>
  <c r="L45" i="17" a="1"/>
  <c r="L19" i="19" a="1"/>
  <c r="M38" i="19" a="1"/>
  <c r="K62" i="20" a="1"/>
  <c r="M109" i="19" a="1"/>
  <c r="L63" i="20" a="1"/>
  <c r="K76" i="20" a="1"/>
  <c r="N43" i="19" a="1"/>
  <c r="N19" i="19" a="1"/>
  <c r="N7" i="19" a="1"/>
  <c r="L48" i="20" a="1"/>
  <c r="K82" i="20" a="1"/>
  <c r="M24" i="26" a="1"/>
  <c r="M46" i="20" a="1"/>
  <c r="M19" i="19" a="1"/>
  <c r="M52" i="20" a="1"/>
  <c r="K35" i="20" a="1"/>
  <c r="L22" i="20" a="1"/>
  <c r="P38" i="13" a="1"/>
  <c r="K72" i="20" a="1"/>
  <c r="L41" i="17" a="1"/>
  <c r="N46" i="19" a="1"/>
  <c r="M41" i="19" a="1"/>
  <c r="L23" i="26" a="1"/>
  <c r="N26" i="19" a="1"/>
  <c r="P36" i="13" a="1"/>
  <c r="K103" i="20" a="1"/>
  <c r="L46" i="20" a="1"/>
  <c r="K100" i="20" a="1"/>
  <c r="L129" i="19" a="1"/>
  <c r="N118" i="19" a="1"/>
  <c r="M15" i="19" a="1"/>
  <c r="Q33" i="13" a="1"/>
  <c r="M123" i="19" a="1"/>
  <c r="M132" i="19" a="1"/>
  <c r="L64" i="17" a="1"/>
  <c r="L39" i="19" a="1"/>
  <c r="N23" i="19" a="1"/>
  <c r="L68" i="20" a="1"/>
  <c r="K56" i="20" a="1"/>
  <c r="L71" i="20" a="1"/>
  <c r="K67" i="20" a="1"/>
  <c r="P10" i="13" a="1"/>
  <c r="M44" i="20" a="1"/>
  <c r="Q29" i="13" a="1"/>
  <c r="K89" i="20" a="1"/>
  <c r="M42" i="20" a="1"/>
  <c r="P8" i="13" a="1"/>
  <c r="L109" i="19" a="1"/>
  <c r="L85" i="20" a="1"/>
  <c r="L120" i="19" a="1"/>
  <c r="K32" i="20" a="1"/>
  <c r="L117" i="19" a="1"/>
  <c r="M18" i="19" a="1"/>
  <c r="M26" i="19" a="1"/>
  <c r="L64" i="20" a="1"/>
  <c r="L62" i="26" a="1"/>
  <c r="M51" i="20" a="1"/>
  <c r="K37" i="20" a="1"/>
  <c r="Q65" i="13" a="1"/>
  <c r="P29" i="13" a="1"/>
  <c r="L46" i="19" a="1"/>
  <c r="M56" i="19" a="1"/>
  <c r="K48" i="20" a="1"/>
  <c r="M45" i="20" a="1"/>
  <c r="M76" i="26" a="1"/>
  <c r="N142" i="19" a="1"/>
  <c r="M25" i="20" a="1"/>
  <c r="M128" i="19" a="1"/>
  <c r="M7" i="20" a="1"/>
  <c r="Q35" i="13" a="1"/>
  <c r="M50" i="19" a="1"/>
  <c r="L42" i="20" a="1"/>
  <c r="K70" i="20" a="1"/>
  <c r="L37" i="20" a="1"/>
  <c r="L71" i="17" a="1"/>
  <c r="K63" i="20" a="1"/>
  <c r="N50" i="19" a="1"/>
  <c r="L43" i="19" a="1"/>
  <c r="Q43" i="13" a="1"/>
  <c r="M45" i="19" a="1"/>
  <c r="Q41" i="13" a="1"/>
  <c r="M17" i="20" a="1"/>
  <c r="P11" i="13" a="1"/>
  <c r="L17" i="20" a="1"/>
  <c r="L16" i="26" a="1"/>
  <c r="M20" i="19" a="1"/>
  <c r="P62" i="13" a="1"/>
  <c r="M118" i="19" a="1"/>
  <c r="M65" i="26" a="1"/>
  <c r="L142" i="19" a="1"/>
  <c r="L47" i="17" a="1"/>
  <c r="M25" i="19" a="1"/>
  <c r="M115" i="19" a="1"/>
  <c r="J8" i="13" a="1"/>
  <c r="N7" i="13" a="1"/>
  <c r="L15" i="19" a="1"/>
  <c r="L19" i="20" a="1"/>
  <c r="M19" i="26" a="1"/>
  <c r="K9" i="13" a="1"/>
  <c r="K94" i="20" a="1"/>
  <c r="M42" i="19" a="1"/>
  <c r="L50" i="20" a="1"/>
  <c r="L28" i="20" a="1"/>
  <c r="Q42" i="13" a="1"/>
  <c r="N136" i="19" a="1"/>
  <c r="M43" i="19" a="1"/>
  <c r="K23" i="20" a="1"/>
  <c r="Q24" i="13" a="1"/>
  <c r="M38" i="20" a="1"/>
  <c r="K77" i="20" a="1"/>
  <c r="M6" i="19" a="1"/>
  <c r="P28" i="13" a="1"/>
  <c r="L35" i="19" a="1"/>
  <c r="L45" i="20" a="1"/>
  <c r="M122" i="19" a="1"/>
  <c r="M142" i="19" a="1"/>
  <c r="K8" i="20" a="1"/>
  <c r="L12" i="20" a="1"/>
  <c r="L77" i="26" a="1"/>
  <c r="N38" i="19" a="1"/>
  <c r="M30" i="19" a="1"/>
  <c r="P39" i="13" a="1"/>
  <c r="K9" i="20" a="1"/>
  <c r="K98" i="20" a="1"/>
  <c r="P20" i="13" a="1"/>
  <c r="K40" i="20" a="1"/>
  <c r="L134" i="19" a="1"/>
  <c r="L21" i="26" a="1"/>
  <c r="N49" i="19" a="1"/>
  <c r="P41" i="13" a="1"/>
  <c r="M53" i="20" a="1"/>
  <c r="P31" i="13" a="1"/>
  <c r="M60" i="26" a="1"/>
  <c r="M136" i="19" a="1"/>
  <c r="L136" i="19" a="1"/>
  <c r="L16" i="19" a="1"/>
  <c r="L46" i="17" a="1"/>
  <c r="M50" i="20" a="1"/>
  <c r="L80" i="20" a="1"/>
  <c r="P35" i="13" a="1"/>
  <c r="N41" i="19" a="1"/>
  <c r="L83" i="20" a="1"/>
  <c r="K22" i="20" a="1"/>
  <c r="L37" i="19" a="1"/>
  <c r="N141" i="19" a="1"/>
  <c r="L76" i="26" a="1"/>
  <c r="Q25" i="13" a="1"/>
  <c r="K33" i="20" a="1"/>
  <c r="N14" i="19" a="1"/>
  <c r="L18" i="26" a="1"/>
  <c r="M126" i="19" a="1"/>
  <c r="K79" i="20" a="1"/>
  <c r="M37" i="20" a="1"/>
  <c r="L25" i="19" a="1"/>
  <c r="L112" i="19" a="1"/>
  <c r="K59" i="20" a="1"/>
  <c r="L13" i="20" a="1"/>
  <c r="M36" i="20" a="1"/>
  <c r="N116" i="19" a="1"/>
  <c r="N31" i="19" a="1"/>
  <c r="K86" i="20" a="1"/>
  <c r="M6" i="20" a="1"/>
  <c r="P43" i="13" a="1"/>
  <c r="L70" i="20" a="1"/>
  <c r="K68" i="20" a="1"/>
  <c r="M21" i="20" a="1"/>
  <c r="M19" i="20" a="1"/>
  <c r="N25" i="19" a="1"/>
  <c r="L73" i="26" a="1"/>
  <c r="L61" i="17" a="1"/>
  <c r="M20" i="20" a="1"/>
  <c r="M48" i="19" a="1"/>
  <c r="M121" i="19" a="1"/>
  <c r="L10" i="20" a="1"/>
  <c r="M31" i="19" a="1"/>
  <c r="M17" i="26" a="1"/>
  <c r="Q11" i="13" a="1"/>
  <c r="P23" i="13" a="1"/>
  <c r="N114" i="19" a="1"/>
  <c r="N128" i="19" a="1"/>
  <c r="M64" i="26" a="1"/>
  <c r="L135" i="19" a="1"/>
  <c r="L69" i="17" a="1"/>
  <c r="M40" i="19" a="1"/>
  <c r="Q47" i="13" a="1"/>
  <c r="L110" i="19" a="1"/>
  <c r="K107" i="20" a="1"/>
  <c r="K90" i="20" a="1"/>
  <c r="Q12" i="13" a="1"/>
  <c r="L113" i="19" a="1"/>
  <c r="M119" i="19" a="1"/>
  <c r="K7" i="13" a="1"/>
  <c r="P18" i="13" a="1"/>
  <c r="N17" i="19" a="1"/>
  <c r="L56" i="19" a="1"/>
  <c r="M135" i="19" a="1"/>
  <c r="P14" i="13" a="1"/>
  <c r="N21" i="19" a="1"/>
  <c r="L56" i="26" a="1"/>
  <c r="L52" i="20" a="1"/>
  <c r="K78" i="20" a="1"/>
  <c r="M53" i="19" a="1"/>
  <c r="P37" i="13" a="1"/>
  <c r="K104" i="20" a="1"/>
  <c r="K28" i="20" a="1"/>
  <c r="K53" i="20" a="1"/>
  <c r="M8" i="20" a="1"/>
  <c r="L87" i="20" a="1"/>
  <c r="K97" i="20" a="1"/>
  <c r="M47" i="19" a="1"/>
  <c r="L126" i="19" a="1"/>
  <c r="L138" i="19" a="1"/>
  <c r="M44" i="19" a="1"/>
  <c r="K84" i="20" a="1"/>
  <c r="L13" i="19" a="1"/>
  <c r="M117" i="19" a="1"/>
  <c r="L78" i="20" a="1"/>
  <c r="L12" i="19" a="1"/>
  <c r="L6" i="20" a="1"/>
  <c r="M13" i="20" a="1"/>
  <c r="M17" i="19" a="1"/>
  <c r="Q23" i="13" a="1"/>
  <c r="Q40" i="13" a="1"/>
  <c r="L80" i="26" a="1"/>
  <c r="M7" i="19" a="1"/>
  <c r="L14" i="20" a="1"/>
  <c r="P61" i="13" a="1"/>
  <c r="L119" i="19" a="1"/>
  <c r="M55" i="19" a="1"/>
  <c r="N139" i="19" a="1"/>
  <c r="L58" i="26" a="1"/>
  <c r="L65" i="20" a="1"/>
  <c r="M9" i="26" a="1"/>
  <c r="L58" i="19" a="1"/>
  <c r="L58" i="17" a="1"/>
  <c r="Q31" i="13" a="1"/>
  <c r="P6" i="13" a="1"/>
  <c r="K44" i="20" a="1"/>
  <c r="Q44" i="13" a="1"/>
  <c r="L71" i="26" a="1"/>
  <c r="L111" i="19" a="1"/>
  <c r="N47" i="19" a="1"/>
  <c r="K21" i="20" a="1"/>
  <c r="N124" i="19" a="1"/>
  <c r="P67" i="13" a="1"/>
  <c r="L57" i="19" a="1"/>
  <c r="L82" i="20" a="1"/>
  <c r="L67" i="17" a="1"/>
  <c r="N112" i="19" a="1"/>
  <c r="M14" i="19" a="1"/>
  <c r="L66" i="20" a="1"/>
  <c r="P34" i="13" a="1"/>
  <c r="K58" i="20" a="1"/>
  <c r="L33" i="20" a="1"/>
  <c r="L125" i="19" a="1"/>
  <c r="M23" i="26" a="1"/>
  <c r="K88" i="20" a="1"/>
  <c r="K50" i="20" a="1"/>
  <c r="Q22" i="13" a="1"/>
  <c r="P66" i="13" a="1"/>
  <c r="N113" i="19" a="1"/>
  <c r="L10" i="19" a="1"/>
  <c r="Q19" i="13" a="1"/>
  <c r="M49" i="20" a="1"/>
  <c r="M77" i="26" a="1"/>
  <c r="K30" i="20" a="1"/>
  <c r="K95" i="20" a="1"/>
  <c r="N127" i="19" a="1"/>
  <c r="Q18" i="13" a="1"/>
  <c r="L20" i="20" a="1"/>
  <c r="L23" i="20" a="1"/>
  <c r="L67" i="20" a="1"/>
  <c r="M116" i="19" a="1"/>
  <c r="M134" i="19" a="1"/>
  <c r="L26" i="20" a="1"/>
  <c r="L15" i="20" a="1"/>
  <c r="L69" i="20" a="1"/>
  <c r="K102" i="20" a="1"/>
  <c r="M54" i="26" a="1"/>
  <c r="M141" i="19" a="1"/>
  <c r="K54" i="20" a="1"/>
  <c r="N125" i="19" a="1"/>
  <c r="K114" i="20" a="1"/>
  <c r="M18" i="26" a="1"/>
  <c r="L57" i="26" a="1"/>
  <c r="K20" i="20" a="1"/>
  <c r="L61" i="20" a="1"/>
  <c r="M138" i="19" a="1"/>
  <c r="N117" i="19" a="1"/>
  <c r="N6" i="19" a="1"/>
  <c r="L53" i="19" a="1"/>
  <c r="N13" i="19" a="1"/>
  <c r="K52" i="20" a="1"/>
  <c r="L72" i="17" a="1"/>
  <c r="Q59" i="13" a="1"/>
  <c r="T52" i="16" l="1"/>
  <c r="W8" i="15"/>
  <c r="L6" i="16"/>
  <c r="I47" i="25"/>
  <c r="N47" i="25"/>
  <c r="AI47" i="25"/>
  <c r="O47" i="25"/>
  <c r="L5" i="25"/>
  <c r="H47" i="25"/>
  <c r="Z47" i="25"/>
  <c r="J47" i="25"/>
  <c r="AB47" i="25"/>
  <c r="K47" i="25"/>
  <c r="AC47" i="25"/>
  <c r="Q61" i="25"/>
  <c r="R61" i="25" s="1"/>
  <c r="L47" i="25"/>
  <c r="AD47" i="25"/>
  <c r="F6" i="16"/>
  <c r="F7" i="16"/>
  <c r="M49" i="25"/>
  <c r="AA47" i="25"/>
  <c r="AA55" i="25"/>
  <c r="M47" i="25"/>
  <c r="AT54" i="25"/>
  <c r="AU54" i="25"/>
  <c r="CD54" i="25"/>
  <c r="AH47" i="25"/>
  <c r="U45" i="25"/>
  <c r="AJ47" i="25"/>
  <c r="AE54" i="25"/>
  <c r="AF54" i="25" s="1"/>
  <c r="S47" i="25"/>
  <c r="T47" i="25"/>
  <c r="CD61" i="25"/>
  <c r="AT61" i="25"/>
  <c r="AU61" i="25"/>
  <c r="V47" i="25"/>
  <c r="AM47" i="25"/>
  <c r="Q54" i="25"/>
  <c r="R54" i="25" s="1"/>
  <c r="E47" i="25"/>
  <c r="W47" i="25"/>
  <c r="F47" i="25"/>
  <c r="X47" i="25"/>
  <c r="AE61" i="25"/>
  <c r="AF61" i="25" s="1"/>
  <c r="I5" i="25"/>
  <c r="I29" i="25"/>
  <c r="AK49" i="25"/>
  <c r="G5" i="25"/>
  <c r="H5" i="25"/>
  <c r="T62" i="25"/>
  <c r="AM62" i="25"/>
  <c r="I62" i="25"/>
  <c r="L29" i="25"/>
  <c r="AD10" i="25"/>
  <c r="X62" i="25"/>
  <c r="K5" i="25"/>
  <c r="T45" i="25"/>
  <c r="AM45" i="25"/>
  <c r="Y45" i="25"/>
  <c r="AI55" i="25"/>
  <c r="AA12" i="25"/>
  <c r="J45" i="25"/>
  <c r="V62" i="25"/>
  <c r="K45" i="25"/>
  <c r="V45" i="25"/>
  <c r="N62" i="25"/>
  <c r="AI62" i="25"/>
  <c r="AD45" i="25"/>
  <c r="AI45" i="25"/>
  <c r="AA62" i="25"/>
  <c r="P62" i="25"/>
  <c r="AK62" i="25"/>
  <c r="W45" i="25"/>
  <c r="G45" i="25"/>
  <c r="P29" i="25"/>
  <c r="X12" i="25"/>
  <c r="N19" i="25"/>
  <c r="U62" i="25"/>
  <c r="AP62" i="25"/>
  <c r="AJ45" i="25"/>
  <c r="G62" i="25"/>
  <c r="Y62" i="25"/>
  <c r="AK45" i="25"/>
  <c r="AK55" i="25"/>
  <c r="AD12" i="25"/>
  <c r="F19" i="25"/>
  <c r="G12" i="25"/>
  <c r="K29" i="25"/>
  <c r="M62" i="25"/>
  <c r="AP49" i="25"/>
  <c r="CD63" i="25"/>
  <c r="J5" i="25"/>
  <c r="O62" i="25"/>
  <c r="F49" i="25"/>
  <c r="S62" i="25"/>
  <c r="AL62" i="25"/>
  <c r="L9" i="19"/>
  <c r="L26" i="19"/>
  <c r="L45" i="19"/>
  <c r="L111" i="19"/>
  <c r="L127" i="19"/>
  <c r="L10" i="19"/>
  <c r="L30" i="19"/>
  <c r="L46" i="19"/>
  <c r="L112" i="19"/>
  <c r="L128" i="19"/>
  <c r="L31" i="19"/>
  <c r="L12" i="19"/>
  <c r="L32" i="19"/>
  <c r="L48" i="19"/>
  <c r="L114" i="19"/>
  <c r="L11" i="19"/>
  <c r="L13" i="19"/>
  <c r="L33" i="19"/>
  <c r="L49" i="19"/>
  <c r="L115" i="19"/>
  <c r="L131" i="19"/>
  <c r="L14" i="19"/>
  <c r="L34" i="19"/>
  <c r="L50" i="19"/>
  <c r="L116" i="19"/>
  <c r="L132" i="19"/>
  <c r="L15" i="19"/>
  <c r="L35" i="19"/>
  <c r="L51" i="19"/>
  <c r="L117" i="19"/>
  <c r="L133" i="19"/>
  <c r="L47" i="19"/>
  <c r="L16" i="19"/>
  <c r="L36" i="19"/>
  <c r="L52" i="19"/>
  <c r="L118" i="19"/>
  <c r="L134" i="19"/>
  <c r="L17" i="19"/>
  <c r="L37" i="19"/>
  <c r="L53" i="19"/>
  <c r="L119" i="19"/>
  <c r="L135" i="19"/>
  <c r="L18" i="19"/>
  <c r="L38" i="19"/>
  <c r="L54" i="19"/>
  <c r="L120" i="19"/>
  <c r="L136" i="19"/>
  <c r="L19" i="19"/>
  <c r="L39" i="19"/>
  <c r="L55" i="19"/>
  <c r="L121" i="19"/>
  <c r="L137" i="19"/>
  <c r="L20" i="19"/>
  <c r="L40" i="19"/>
  <c r="L56" i="19"/>
  <c r="L122" i="19"/>
  <c r="L138" i="19"/>
  <c r="L21" i="19"/>
  <c r="L41" i="19"/>
  <c r="L57" i="19"/>
  <c r="L123" i="19"/>
  <c r="L139" i="19"/>
  <c r="L22" i="19"/>
  <c r="L42" i="19"/>
  <c r="L58" i="19"/>
  <c r="L124" i="19"/>
  <c r="L140" i="19"/>
  <c r="L129" i="19"/>
  <c r="L7" i="19"/>
  <c r="L23" i="19"/>
  <c r="L43" i="19"/>
  <c r="L109" i="19"/>
  <c r="L125" i="19"/>
  <c r="L141" i="19"/>
  <c r="L113" i="19"/>
  <c r="L8" i="19"/>
  <c r="L25" i="19"/>
  <c r="L44" i="19"/>
  <c r="L110" i="19"/>
  <c r="L126" i="19"/>
  <c r="L142" i="19"/>
  <c r="K13" i="20"/>
  <c r="K28" i="20"/>
  <c r="K44" i="20"/>
  <c r="K60" i="20"/>
  <c r="K76" i="20"/>
  <c r="K92" i="20"/>
  <c r="K108" i="20"/>
  <c r="K14" i="20"/>
  <c r="K29" i="20"/>
  <c r="K45" i="20"/>
  <c r="K61" i="20"/>
  <c r="K77" i="20"/>
  <c r="K93" i="20"/>
  <c r="K109" i="20"/>
  <c r="K16" i="20"/>
  <c r="K47" i="20"/>
  <c r="K63" i="20"/>
  <c r="K79" i="20"/>
  <c r="K95" i="20"/>
  <c r="K111" i="20"/>
  <c r="K17" i="20"/>
  <c r="K32" i="20"/>
  <c r="K48" i="20"/>
  <c r="K80" i="20"/>
  <c r="K96" i="20"/>
  <c r="K112" i="20"/>
  <c r="K18" i="20"/>
  <c r="K33" i="20"/>
  <c r="K49" i="20"/>
  <c r="K65" i="20"/>
  <c r="K81" i="20"/>
  <c r="K97" i="20"/>
  <c r="K113" i="20"/>
  <c r="K19" i="20"/>
  <c r="K34" i="20"/>
  <c r="K50" i="20"/>
  <c r="K66" i="20"/>
  <c r="K82" i="20"/>
  <c r="K98" i="20"/>
  <c r="K114" i="20"/>
  <c r="K51" i="20"/>
  <c r="K68" i="20"/>
  <c r="K22" i="20"/>
  <c r="K37" i="20"/>
  <c r="K53" i="20"/>
  <c r="K69" i="20"/>
  <c r="K85" i="20"/>
  <c r="K101" i="20"/>
  <c r="K7" i="20"/>
  <c r="K38" i="20"/>
  <c r="K54" i="20"/>
  <c r="K70" i="20"/>
  <c r="K86" i="20"/>
  <c r="K102" i="20"/>
  <c r="K8" i="20"/>
  <c r="K23" i="20"/>
  <c r="K39" i="20"/>
  <c r="K55" i="20"/>
  <c r="K71" i="20"/>
  <c r="K87" i="20"/>
  <c r="K103" i="20"/>
  <c r="K9" i="20"/>
  <c r="K24" i="20"/>
  <c r="K40" i="20"/>
  <c r="K56" i="20"/>
  <c r="K72" i="20"/>
  <c r="K88" i="20"/>
  <c r="K104" i="20"/>
  <c r="K64" i="20"/>
  <c r="K21" i="20"/>
  <c r="K10" i="20"/>
  <c r="K25" i="20"/>
  <c r="K41" i="20"/>
  <c r="K73" i="20"/>
  <c r="K89" i="20"/>
  <c r="K105" i="20"/>
  <c r="K15" i="20"/>
  <c r="K46" i="20"/>
  <c r="K94" i="20"/>
  <c r="K35" i="20"/>
  <c r="K67" i="20"/>
  <c r="K83" i="20"/>
  <c r="K36" i="20"/>
  <c r="K100" i="20"/>
  <c r="K11" i="20"/>
  <c r="K26" i="20"/>
  <c r="K42" i="20"/>
  <c r="K58" i="20"/>
  <c r="K74" i="20"/>
  <c r="K90" i="20"/>
  <c r="K106" i="20"/>
  <c r="K30" i="20"/>
  <c r="K62" i="20"/>
  <c r="K78" i="20"/>
  <c r="K110" i="20"/>
  <c r="K20" i="20"/>
  <c r="K99" i="20"/>
  <c r="K52" i="20"/>
  <c r="K84" i="20"/>
  <c r="K12" i="20"/>
  <c r="K27" i="20"/>
  <c r="K43" i="20"/>
  <c r="K59" i="20"/>
  <c r="K75" i="20"/>
  <c r="K91" i="20"/>
  <c r="K107" i="20"/>
  <c r="AS199" i="45"/>
  <c r="L40" i="17"/>
  <c r="L61" i="17"/>
  <c r="L41" i="17"/>
  <c r="L62" i="17"/>
  <c r="L42" i="17"/>
  <c r="L63" i="17"/>
  <c r="L43" i="17"/>
  <c r="L64" i="17"/>
  <c r="L44" i="17"/>
  <c r="L65" i="17"/>
  <c r="L45" i="17"/>
  <c r="L66" i="17"/>
  <c r="L46" i="17"/>
  <c r="L67" i="17"/>
  <c r="L47" i="17"/>
  <c r="L68" i="17"/>
  <c r="L69" i="17"/>
  <c r="L54" i="17"/>
  <c r="L70" i="17"/>
  <c r="L57" i="17"/>
  <c r="L59" i="17"/>
  <c r="L60" i="17"/>
  <c r="L55" i="17"/>
  <c r="L71" i="17"/>
  <c r="L73" i="17"/>
  <c r="L58" i="17"/>
  <c r="L39" i="17"/>
  <c r="L56" i="17"/>
  <c r="L72" i="17"/>
  <c r="AT330" i="22"/>
  <c r="AT331" i="22"/>
  <c r="M11" i="20"/>
  <c r="M26" i="20"/>
  <c r="M42" i="20"/>
  <c r="L73" i="20"/>
  <c r="M12" i="20"/>
  <c r="M27" i="20"/>
  <c r="M43" i="20"/>
  <c r="L58" i="20"/>
  <c r="L74" i="20"/>
  <c r="M45" i="20"/>
  <c r="M15" i="20"/>
  <c r="M30" i="20"/>
  <c r="M46" i="20"/>
  <c r="L61" i="20"/>
  <c r="L77" i="20"/>
  <c r="M16" i="20"/>
  <c r="M47" i="20"/>
  <c r="L62" i="20"/>
  <c r="L78" i="20"/>
  <c r="M17" i="20"/>
  <c r="M32" i="20"/>
  <c r="L63" i="20"/>
  <c r="M44" i="20"/>
  <c r="L33" i="20"/>
  <c r="L79" i="20"/>
  <c r="M19" i="20"/>
  <c r="M20" i="20"/>
  <c r="M35" i="20"/>
  <c r="M50" i="20"/>
  <c r="L66" i="20"/>
  <c r="L81" i="20"/>
  <c r="M21" i="20"/>
  <c r="M36" i="20"/>
  <c r="M51" i="20"/>
  <c r="L67" i="20"/>
  <c r="L82" i="20"/>
  <c r="L60" i="20"/>
  <c r="M6" i="20"/>
  <c r="M22" i="20"/>
  <c r="M37" i="20"/>
  <c r="M52" i="20"/>
  <c r="L68" i="20"/>
  <c r="L83" i="20"/>
  <c r="M29" i="20"/>
  <c r="L76" i="20"/>
  <c r="M7" i="20"/>
  <c r="M38" i="20"/>
  <c r="M53" i="20"/>
  <c r="L69" i="20"/>
  <c r="L84" i="20"/>
  <c r="M13" i="20"/>
  <c r="L59" i="20"/>
  <c r="M14" i="20"/>
  <c r="L64" i="20"/>
  <c r="M49" i="20"/>
  <c r="M8" i="20"/>
  <c r="M23" i="20"/>
  <c r="M39" i="20"/>
  <c r="M54" i="20"/>
  <c r="L70" i="20"/>
  <c r="L85" i="20"/>
  <c r="M18" i="20"/>
  <c r="L34" i="20"/>
  <c r="L65" i="20"/>
  <c r="M9" i="20"/>
  <c r="M24" i="20"/>
  <c r="M40" i="20"/>
  <c r="M55" i="20"/>
  <c r="L71" i="20"/>
  <c r="L86" i="20"/>
  <c r="M28" i="20"/>
  <c r="L75" i="20"/>
  <c r="M48" i="20"/>
  <c r="L80" i="20"/>
  <c r="M10" i="20"/>
  <c r="M25" i="20"/>
  <c r="M41" i="20"/>
  <c r="M56" i="20"/>
  <c r="L72" i="20"/>
  <c r="L87" i="20"/>
  <c r="AT332" i="22"/>
  <c r="AU4" i="22"/>
  <c r="AT333" i="22"/>
  <c r="V67" i="22"/>
  <c r="AP67" i="22"/>
  <c r="AT224" i="22"/>
  <c r="AU319" i="22"/>
  <c r="CB319" i="22" s="1"/>
  <c r="AT319" i="22"/>
  <c r="AT119" i="22"/>
  <c r="AT329" i="22"/>
  <c r="AU335" i="22"/>
  <c r="CB335" i="22" s="1"/>
  <c r="AT335" i="22"/>
  <c r="AT240" i="22"/>
  <c r="AU313" i="22"/>
  <c r="CB313" i="22" s="1"/>
  <c r="AT313" i="22"/>
  <c r="AT208" i="22"/>
  <c r="AU314" i="22"/>
  <c r="CB314" i="22" s="1"/>
  <c r="AT314" i="22"/>
  <c r="AT315" i="22"/>
  <c r="AU315" i="22"/>
  <c r="CB315" i="22" s="1"/>
  <c r="AU316" i="22"/>
  <c r="CB316" i="22" s="1"/>
  <c r="AT316" i="22"/>
  <c r="AU256" i="22"/>
  <c r="CB256" i="22" s="1"/>
  <c r="AT256" i="22"/>
  <c r="AU334" i="22"/>
  <c r="CB334" i="22" s="1"/>
  <c r="AT334" i="22"/>
  <c r="AT317" i="22"/>
  <c r="AU317" i="22"/>
  <c r="CB317" i="22" s="1"/>
  <c r="AT318" i="22"/>
  <c r="AU318" i="22"/>
  <c r="CB318" i="22" s="1"/>
  <c r="AU307" i="22"/>
  <c r="CB307" i="22" s="1"/>
  <c r="AT123" i="22"/>
  <c r="AU123" i="22"/>
  <c r="CB123" i="22" s="1"/>
  <c r="AT74" i="22"/>
  <c r="AU74" i="22"/>
  <c r="CB74" i="22" s="1"/>
  <c r="AU231" i="22"/>
  <c r="CB231" i="22" s="1"/>
  <c r="AU108" i="22"/>
  <c r="CB108" i="22" s="1"/>
  <c r="AT108" i="22"/>
  <c r="AU208" i="22"/>
  <c r="CB208" i="22" s="1"/>
  <c r="AU8" i="22"/>
  <c r="CB8" i="22" s="1"/>
  <c r="AT62" i="22"/>
  <c r="AU62" i="22"/>
  <c r="CB62" i="22" s="1"/>
  <c r="AT75" i="22"/>
  <c r="AU75" i="22"/>
  <c r="CB75" i="22" s="1"/>
  <c r="AT100" i="22"/>
  <c r="AU100" i="22"/>
  <c r="CB100" i="22" s="1"/>
  <c r="AU261" i="22"/>
  <c r="CB261" i="22" s="1"/>
  <c r="AU9" i="22"/>
  <c r="CB9" i="22" s="1"/>
  <c r="AT27" i="22"/>
  <c r="AU27" i="22"/>
  <c r="CB27" i="22" s="1"/>
  <c r="AU125" i="22"/>
  <c r="CB125" i="22" s="1"/>
  <c r="AT125" i="22"/>
  <c r="AU262" i="22"/>
  <c r="CB262" i="22" s="1"/>
  <c r="AU329" i="22"/>
  <c r="CB329" i="22" s="1"/>
  <c r="AU70" i="22"/>
  <c r="CB70" i="22" s="1"/>
  <c r="AT70" i="22"/>
  <c r="AU71" i="22"/>
  <c r="CB71" i="22" s="1"/>
  <c r="AT71" i="22"/>
  <c r="AT79" i="22"/>
  <c r="AU79" i="22"/>
  <c r="CB79" i="22" s="1"/>
  <c r="AT88" i="22"/>
  <c r="AU88" i="22"/>
  <c r="CB88" i="22" s="1"/>
  <c r="AU81" i="22"/>
  <c r="CB81" i="22" s="1"/>
  <c r="AT81" i="22"/>
  <c r="AU10" i="22"/>
  <c r="CB10" i="22" s="1"/>
  <c r="AU28" i="22"/>
  <c r="CB28" i="22" s="1"/>
  <c r="AT28" i="22"/>
  <c r="AT46" i="22"/>
  <c r="AU46" i="22"/>
  <c r="CB46" i="22" s="1"/>
  <c r="AT63" i="22"/>
  <c r="AU63" i="22"/>
  <c r="CB63" i="22" s="1"/>
  <c r="AU76" i="22"/>
  <c r="CB76" i="22" s="1"/>
  <c r="AT76" i="22"/>
  <c r="AT85" i="22"/>
  <c r="AU85" i="22"/>
  <c r="CB85" i="22" s="1"/>
  <c r="AU263" i="22"/>
  <c r="CB263" i="22" s="1"/>
  <c r="AU293" i="22"/>
  <c r="CB293" i="22" s="1"/>
  <c r="AU330" i="22"/>
  <c r="CB330" i="22" s="1"/>
  <c r="AT78" i="22"/>
  <c r="AU78" i="22"/>
  <c r="CB78" i="22" s="1"/>
  <c r="AU83" i="22"/>
  <c r="CB83" i="22" s="1"/>
  <c r="AT83" i="22"/>
  <c r="AU104" i="22"/>
  <c r="CB104" i="22" s="1"/>
  <c r="AT104" i="22"/>
  <c r="AU49" i="22"/>
  <c r="CB49" i="22" s="1"/>
  <c r="AT49" i="22"/>
  <c r="AT42" i="22"/>
  <c r="AU42" i="22"/>
  <c r="CB42" i="22" s="1"/>
  <c r="AU50" i="22"/>
  <c r="CB50" i="22" s="1"/>
  <c r="AT50" i="22"/>
  <c r="AU232" i="22"/>
  <c r="CB232" i="22" s="1"/>
  <c r="AU11" i="22"/>
  <c r="CB11" i="22" s="1"/>
  <c r="AU29" i="22"/>
  <c r="CB29" i="22" s="1"/>
  <c r="AT29" i="22"/>
  <c r="AT126" i="22"/>
  <c r="AU126" i="22"/>
  <c r="CB126" i="22" s="1"/>
  <c r="AU264" i="22"/>
  <c r="CB264" i="22" s="1"/>
  <c r="AU294" i="22"/>
  <c r="CB294" i="22" s="1"/>
  <c r="AU331" i="22"/>
  <c r="CB331" i="22" s="1"/>
  <c r="AU23" i="22"/>
  <c r="CB23" i="22" s="1"/>
  <c r="AT23" i="22"/>
  <c r="AT106" i="22"/>
  <c r="AU106" i="22"/>
  <c r="CB106" i="22" s="1"/>
  <c r="AT107" i="22"/>
  <c r="AU107" i="22"/>
  <c r="CB107" i="22" s="1"/>
  <c r="AU12" i="22"/>
  <c r="CB12" i="22" s="1"/>
  <c r="AT30" i="22"/>
  <c r="AU30" i="22"/>
  <c r="CB30" i="22" s="1"/>
  <c r="AT47" i="22"/>
  <c r="AU47" i="22"/>
  <c r="CB47" i="22" s="1"/>
  <c r="AU64" i="22"/>
  <c r="CB64" i="22" s="1"/>
  <c r="AT64" i="22"/>
  <c r="AU77" i="22"/>
  <c r="CB77" i="22" s="1"/>
  <c r="AT77" i="22"/>
  <c r="AT86" i="22"/>
  <c r="AU86" i="22"/>
  <c r="CB86" i="22" s="1"/>
  <c r="AU224" i="22"/>
  <c r="CB224" i="22" s="1"/>
  <c r="AU295" i="22"/>
  <c r="CB295" i="22" s="1"/>
  <c r="AU305" i="22"/>
  <c r="CB305" i="22" s="1"/>
  <c r="AU332" i="22"/>
  <c r="CB332" i="22" s="1"/>
  <c r="AU48" i="22"/>
  <c r="CB48" i="22" s="1"/>
  <c r="AT48" i="22"/>
  <c r="AT87" i="22"/>
  <c r="AU87" i="22"/>
  <c r="CB87" i="22" s="1"/>
  <c r="AT105" i="22"/>
  <c r="AU105" i="22"/>
  <c r="CB105" i="22" s="1"/>
  <c r="AU72" i="22"/>
  <c r="CB72" i="22" s="1"/>
  <c r="AT72" i="22"/>
  <c r="AT89" i="22"/>
  <c r="AU89" i="22"/>
  <c r="CB89" i="22" s="1"/>
  <c r="AU73" i="22"/>
  <c r="CB73" i="22" s="1"/>
  <c r="AT73" i="22"/>
  <c r="AU240" i="22"/>
  <c r="CB240" i="22" s="1"/>
  <c r="AU124" i="22"/>
  <c r="CB124" i="22" s="1"/>
  <c r="AT124" i="22"/>
  <c r="AT31" i="22"/>
  <c r="AU31" i="22"/>
  <c r="CB31" i="22" s="1"/>
  <c r="AU119" i="22"/>
  <c r="CB119" i="22" s="1"/>
  <c r="AT127" i="22"/>
  <c r="AU127" i="22"/>
  <c r="CB127" i="22" s="1"/>
  <c r="AU296" i="22"/>
  <c r="CB296" i="22" s="1"/>
  <c r="AU306" i="22"/>
  <c r="CB306" i="22" s="1"/>
  <c r="AU333" i="22"/>
  <c r="CB333" i="22" s="1"/>
  <c r="O67" i="22"/>
  <c r="F67" i="22"/>
  <c r="Y67" i="22"/>
  <c r="AO67" i="22"/>
  <c r="L67" i="22"/>
  <c r="U67" i="22"/>
  <c r="T69" i="22"/>
  <c r="U69" i="22"/>
  <c r="AO69" i="22"/>
  <c r="E61" i="22"/>
  <c r="X61" i="22"/>
  <c r="AR61" i="22"/>
  <c r="J65" i="22"/>
  <c r="AC65" i="22"/>
  <c r="F61" i="22"/>
  <c r="Y61" i="22"/>
  <c r="P62" i="22"/>
  <c r="K65" i="22"/>
  <c r="AA66" i="22"/>
  <c r="L65" i="22"/>
  <c r="H66" i="22"/>
  <c r="AE76" i="22"/>
  <c r="N61" i="22"/>
  <c r="V65" i="22"/>
  <c r="AF318" i="22"/>
  <c r="AF332" i="22"/>
  <c r="Q333" i="22"/>
  <c r="AF319" i="22"/>
  <c r="AQ65" i="22"/>
  <c r="V61" i="22"/>
  <c r="AP61" i="22"/>
  <c r="H65" i="22"/>
  <c r="AA65" i="22"/>
  <c r="D61" i="22"/>
  <c r="W61" i="22"/>
  <c r="AQ61" i="22"/>
  <c r="I65" i="22"/>
  <c r="AB65" i="22"/>
  <c r="AD65" i="22"/>
  <c r="Q335" i="22"/>
  <c r="AF330" i="22"/>
  <c r="H61" i="22"/>
  <c r="AA61" i="22"/>
  <c r="Y66" i="22"/>
  <c r="D65" i="22"/>
  <c r="F66" i="22"/>
  <c r="AE11" i="22"/>
  <c r="AF11" i="22" s="1"/>
  <c r="AE9" i="22"/>
  <c r="AF9" i="22" s="1"/>
  <c r="T66" i="22"/>
  <c r="AM66" i="22"/>
  <c r="N69" i="22"/>
  <c r="P73" i="22"/>
  <c r="AE78" i="22"/>
  <c r="T61" i="22"/>
  <c r="AM61" i="22"/>
  <c r="Y65" i="22"/>
  <c r="AF331" i="22"/>
  <c r="Q331" i="22"/>
  <c r="U61" i="22"/>
  <c r="AO61" i="22"/>
  <c r="Z65" i="22"/>
  <c r="G66" i="22"/>
  <c r="Z66" i="22"/>
  <c r="AL61" i="22"/>
  <c r="W66" i="22"/>
  <c r="P240" i="22"/>
  <c r="Q240" i="22" s="1"/>
  <c r="Q332" i="22"/>
  <c r="AE208" i="22"/>
  <c r="AF208" i="22" s="1"/>
  <c r="P318" i="22"/>
  <c r="Q329" i="22"/>
  <c r="E65" i="22"/>
  <c r="I61" i="22"/>
  <c r="AB61" i="22"/>
  <c r="P63" i="22"/>
  <c r="AQ66" i="22"/>
  <c r="N66" i="22"/>
  <c r="K69" i="22"/>
  <c r="AD69" i="22"/>
  <c r="P224" i="22"/>
  <c r="Q224" i="22" s="1"/>
  <c r="Q316" i="22"/>
  <c r="K61" i="22"/>
  <c r="AD61" i="22"/>
  <c r="S65" i="22"/>
  <c r="AL65" i="22"/>
  <c r="M68" i="22"/>
  <c r="AI68" i="22"/>
  <c r="AF72" i="22"/>
  <c r="AF313" i="22"/>
  <c r="AB33" i="36"/>
  <c r="AF24" i="36"/>
  <c r="Y29" i="36"/>
  <c r="Q16" i="13"/>
  <c r="Q33" i="13"/>
  <c r="Q59" i="13"/>
  <c r="Q17" i="13"/>
  <c r="Q34" i="13"/>
  <c r="Q60" i="13"/>
  <c r="Q18" i="13"/>
  <c r="Q19" i="13"/>
  <c r="Q63" i="13"/>
  <c r="Q21" i="13"/>
  <c r="Q38" i="13"/>
  <c r="Q64" i="13"/>
  <c r="Q6" i="13"/>
  <c r="Q22" i="13"/>
  <c r="Q39" i="13"/>
  <c r="Q65" i="13"/>
  <c r="K7" i="13"/>
  <c r="J7" i="13"/>
  <c r="P7" i="13"/>
  <c r="N7" i="13"/>
  <c r="Q23" i="13"/>
  <c r="Q40" i="13"/>
  <c r="Q66" i="13"/>
  <c r="K8" i="13"/>
  <c r="N8" i="13"/>
  <c r="J8" i="13"/>
  <c r="P8" i="13"/>
  <c r="Q24" i="13"/>
  <c r="Q41" i="13"/>
  <c r="Q67" i="13"/>
  <c r="J9" i="13"/>
  <c r="N9" i="13"/>
  <c r="P9" i="13"/>
  <c r="K9" i="13"/>
  <c r="Q25" i="13"/>
  <c r="Q42" i="13"/>
  <c r="Q68" i="13"/>
  <c r="Q10" i="13"/>
  <c r="Q26" i="13"/>
  <c r="Q43" i="13"/>
  <c r="Q70" i="13"/>
  <c r="Q12" i="13"/>
  <c r="Q28" i="13"/>
  <c r="Q45" i="13"/>
  <c r="Q27" i="13"/>
  <c r="Q13" i="13"/>
  <c r="Q29" i="13"/>
  <c r="Q46" i="13"/>
  <c r="Q61" i="13"/>
  <c r="Q62" i="13"/>
  <c r="Q20" i="13"/>
  <c r="Q44" i="13"/>
  <c r="Q14" i="13"/>
  <c r="Q30" i="13"/>
  <c r="Q47" i="13"/>
  <c r="Q35" i="13"/>
  <c r="Q36" i="13"/>
  <c r="Q37" i="13"/>
  <c r="Q11" i="13"/>
  <c r="Q15" i="13"/>
  <c r="Q31" i="13"/>
  <c r="Q58" i="13"/>
  <c r="AF8" i="33"/>
  <c r="AF18" i="33"/>
  <c r="AE28" i="33"/>
  <c r="M8" i="26"/>
  <c r="M18" i="26"/>
  <c r="M80" i="26"/>
  <c r="M71" i="26"/>
  <c r="M58" i="26"/>
  <c r="M63" i="26"/>
  <c r="M60" i="26"/>
  <c r="M25" i="26"/>
  <c r="M61" i="26"/>
  <c r="M73" i="26"/>
  <c r="M10" i="26"/>
  <c r="M64" i="26"/>
  <c r="M78" i="26"/>
  <c r="M55" i="26"/>
  <c r="M16" i="26"/>
  <c r="M59" i="26"/>
  <c r="M70" i="26"/>
  <c r="M21" i="26"/>
  <c r="M65" i="26"/>
  <c r="M75" i="26"/>
  <c r="M17" i="26"/>
  <c r="M56" i="26"/>
  <c r="M62" i="26"/>
  <c r="M74" i="26"/>
  <c r="M76" i="26"/>
  <c r="M79" i="26"/>
  <c r="M23" i="26"/>
  <c r="M9" i="26"/>
  <c r="M81" i="26"/>
  <c r="M19" i="26"/>
  <c r="M24" i="26"/>
  <c r="M54" i="26"/>
  <c r="M22" i="26"/>
  <c r="M57" i="26"/>
  <c r="M77" i="26"/>
  <c r="M72" i="26"/>
  <c r="M20" i="26"/>
  <c r="M6" i="26"/>
  <c r="AF334" i="22"/>
  <c r="AF316" i="22"/>
  <c r="P316" i="22"/>
  <c r="P335" i="22"/>
  <c r="AD66" i="22"/>
  <c r="H69" i="22"/>
  <c r="AA69" i="22"/>
  <c r="P71" i="22"/>
  <c r="AE224" i="22"/>
  <c r="AF224" i="22" s="1"/>
  <c r="AE316" i="22"/>
  <c r="P317" i="22"/>
  <c r="AE334" i="22"/>
  <c r="P314" i="22"/>
  <c r="P4" i="22"/>
  <c r="Q4" i="22" s="1"/>
  <c r="P11" i="22"/>
  <c r="Q11" i="22" s="1"/>
  <c r="S66" i="22"/>
  <c r="AE240" i="22"/>
  <c r="AF240" i="22" s="1"/>
  <c r="Q318" i="22"/>
  <c r="AE319" i="22"/>
  <c r="AE330" i="22"/>
  <c r="AF329" i="22"/>
  <c r="P8" i="22"/>
  <c r="Q8" i="22" s="1"/>
  <c r="AE4" i="22"/>
  <c r="AF4" i="22" s="1"/>
  <c r="AF314" i="22"/>
  <c r="AE329" i="22"/>
  <c r="O69" i="22"/>
  <c r="P208" i="22"/>
  <c r="Q208" i="22" s="1"/>
  <c r="AE313" i="22"/>
  <c r="P319" i="22"/>
  <c r="AE332" i="22"/>
  <c r="V66" i="22"/>
  <c r="AP66" i="22"/>
  <c r="T68" i="22"/>
  <c r="AM68" i="22"/>
  <c r="AL69" i="22"/>
  <c r="Q319" i="22"/>
  <c r="AE256" i="22"/>
  <c r="AF256" i="22" s="1"/>
  <c r="Q330" i="22"/>
  <c r="Q334" i="22"/>
  <c r="P329" i="22"/>
  <c r="AE333" i="22"/>
  <c r="Q315" i="22"/>
  <c r="P330" i="22"/>
  <c r="AE10" i="22"/>
  <c r="AF10" i="22" s="1"/>
  <c r="E66" i="22"/>
  <c r="X66" i="22"/>
  <c r="D67" i="22"/>
  <c r="W67" i="22"/>
  <c r="AQ67" i="22"/>
  <c r="V68" i="22"/>
  <c r="AP68" i="22"/>
  <c r="AE74" i="22"/>
  <c r="AE315" i="22"/>
  <c r="P331" i="22"/>
  <c r="V69" i="22"/>
  <c r="AP69" i="22"/>
  <c r="Q313" i="22"/>
  <c r="P313" i="22"/>
  <c r="AE331" i="22"/>
  <c r="P332" i="22"/>
  <c r="AE335" i="22"/>
  <c r="P10" i="22"/>
  <c r="Q10" i="22" s="1"/>
  <c r="P256" i="22"/>
  <c r="Q256" i="22" s="1"/>
  <c r="AE317" i="22"/>
  <c r="P333" i="22"/>
  <c r="P9" i="22"/>
  <c r="Q9" i="22" s="1"/>
  <c r="AU324" i="22"/>
  <c r="CB324" i="22" s="1"/>
  <c r="AE8" i="22"/>
  <c r="AF8" i="22" s="1"/>
  <c r="AU288" i="22"/>
  <c r="CB288" i="22" s="1"/>
  <c r="AE318" i="22"/>
  <c r="AE314" i="22"/>
  <c r="P334" i="22"/>
  <c r="P315" i="22"/>
  <c r="H45" i="25"/>
  <c r="AC45" i="25"/>
  <c r="K62" i="25"/>
  <c r="AC62" i="25"/>
  <c r="X55" i="25"/>
  <c r="I45" i="25"/>
  <c r="L62" i="25"/>
  <c r="R4" i="25"/>
  <c r="Y12" i="25"/>
  <c r="AF21" i="25"/>
  <c r="AE11" i="25"/>
  <c r="AF11" i="25" s="1"/>
  <c r="L49" i="25"/>
  <c r="O45" i="25"/>
  <c r="AP45" i="25"/>
  <c r="AB49" i="25"/>
  <c r="N45" i="25"/>
  <c r="AH37" i="25"/>
  <c r="CD52" i="25"/>
  <c r="O19" i="25"/>
  <c r="W10" i="25"/>
  <c r="P19" i="25"/>
  <c r="CD56" i="25"/>
  <c r="W62" i="25"/>
  <c r="J12" i="25"/>
  <c r="Z45" i="25"/>
  <c r="AP55" i="25"/>
  <c r="H62" i="25"/>
  <c r="Z62" i="25"/>
  <c r="T12" i="25"/>
  <c r="X45" i="25"/>
  <c r="S45" i="25"/>
  <c r="Q14" i="25"/>
  <c r="R14" i="25" s="1"/>
  <c r="U49" i="25"/>
  <c r="E45" i="25"/>
  <c r="AA45" i="25"/>
  <c r="CD59" i="25"/>
  <c r="AF20" i="25"/>
  <c r="AE40" i="25"/>
  <c r="I49" i="25"/>
  <c r="M45" i="25"/>
  <c r="F45" i="25"/>
  <c r="AB45" i="25"/>
  <c r="CD46" i="25"/>
  <c r="J62" i="25"/>
  <c r="AB62" i="25"/>
  <c r="N15" i="19"/>
  <c r="N35" i="19"/>
  <c r="N51" i="19"/>
  <c r="N117" i="19"/>
  <c r="N131" i="19"/>
  <c r="N16" i="19"/>
  <c r="N36" i="19"/>
  <c r="N52" i="19"/>
  <c r="N118" i="19"/>
  <c r="N132" i="19"/>
  <c r="N19" i="19"/>
  <c r="N39" i="19"/>
  <c r="N55" i="19"/>
  <c r="N121" i="19"/>
  <c r="N135" i="19"/>
  <c r="N20" i="19"/>
  <c r="N40" i="19"/>
  <c r="N56" i="19"/>
  <c r="N122" i="19"/>
  <c r="N136" i="19"/>
  <c r="N21" i="19"/>
  <c r="N41" i="19"/>
  <c r="N57" i="19"/>
  <c r="N123" i="19"/>
  <c r="N137" i="19"/>
  <c r="N53" i="19"/>
  <c r="N54" i="19"/>
  <c r="N124" i="19"/>
  <c r="N23" i="19"/>
  <c r="N139" i="19"/>
  <c r="N8" i="19"/>
  <c r="N25" i="19"/>
  <c r="N44" i="19"/>
  <c r="N110" i="19"/>
  <c r="N126" i="19"/>
  <c r="N140" i="19"/>
  <c r="N9" i="19"/>
  <c r="N26" i="19"/>
  <c r="N45" i="19"/>
  <c r="N111" i="19"/>
  <c r="N127" i="19"/>
  <c r="N141" i="19"/>
  <c r="N10" i="19"/>
  <c r="N30" i="19"/>
  <c r="N46" i="19"/>
  <c r="N112" i="19"/>
  <c r="N128" i="19"/>
  <c r="N142" i="19"/>
  <c r="N11" i="19"/>
  <c r="N31" i="19"/>
  <c r="N47" i="19"/>
  <c r="N113" i="19"/>
  <c r="N129" i="19"/>
  <c r="N37" i="19"/>
  <c r="N119" i="19"/>
  <c r="N18" i="19"/>
  <c r="N120" i="19"/>
  <c r="N42" i="19"/>
  <c r="N43" i="19"/>
  <c r="N12" i="19"/>
  <c r="N32" i="19"/>
  <c r="N48" i="19"/>
  <c r="N114" i="19"/>
  <c r="N17" i="19"/>
  <c r="N133" i="19"/>
  <c r="N38" i="19"/>
  <c r="N134" i="19"/>
  <c r="N6" i="19"/>
  <c r="N106" i="19" s="1"/>
  <c r="N58" i="19"/>
  <c r="N138" i="19"/>
  <c r="N109" i="19"/>
  <c r="N13" i="19"/>
  <c r="N33" i="19"/>
  <c r="N49" i="19"/>
  <c r="N115" i="19"/>
  <c r="N22" i="19"/>
  <c r="N7" i="19"/>
  <c r="N125" i="19"/>
  <c r="N14" i="19"/>
  <c r="N34" i="19"/>
  <c r="N50" i="19"/>
  <c r="N116" i="19"/>
  <c r="L19" i="20"/>
  <c r="L49" i="20"/>
  <c r="L20" i="20"/>
  <c r="L35" i="20"/>
  <c r="L50" i="20"/>
  <c r="L36" i="20"/>
  <c r="L6" i="20"/>
  <c r="L22" i="20"/>
  <c r="L37" i="20"/>
  <c r="L52" i="20"/>
  <c r="L7" i="20"/>
  <c r="L38" i="20"/>
  <c r="L53" i="20"/>
  <c r="L8" i="20"/>
  <c r="L23" i="20"/>
  <c r="L39" i="20"/>
  <c r="L54" i="20"/>
  <c r="L51" i="20"/>
  <c r="L9" i="20"/>
  <c r="L24" i="20"/>
  <c r="L40" i="20"/>
  <c r="L55" i="20"/>
  <c r="L21" i="20"/>
  <c r="L10" i="20"/>
  <c r="L25" i="20"/>
  <c r="L41" i="20"/>
  <c r="L56" i="20"/>
  <c r="L11" i="20"/>
  <c r="L26" i="20"/>
  <c r="L42" i="20"/>
  <c r="L12" i="20"/>
  <c r="L27" i="20"/>
  <c r="L43" i="20"/>
  <c r="L13" i="20"/>
  <c r="L28" i="20"/>
  <c r="L44" i="20"/>
  <c r="L14" i="20"/>
  <c r="L29" i="20"/>
  <c r="L45" i="20"/>
  <c r="L15" i="20"/>
  <c r="L30" i="20"/>
  <c r="L46" i="20"/>
  <c r="L16" i="20"/>
  <c r="L47" i="20"/>
  <c r="L17" i="20"/>
  <c r="L32" i="20"/>
  <c r="L18" i="20"/>
  <c r="L48" i="20"/>
  <c r="M15" i="19"/>
  <c r="M35" i="19"/>
  <c r="M51" i="19"/>
  <c r="M117" i="19"/>
  <c r="M131" i="19"/>
  <c r="M26" i="19"/>
  <c r="M16" i="19"/>
  <c r="M36" i="19"/>
  <c r="M52" i="19"/>
  <c r="M118" i="19"/>
  <c r="M132" i="19"/>
  <c r="M141" i="19"/>
  <c r="M17" i="19"/>
  <c r="M37" i="19"/>
  <c r="M53" i="19"/>
  <c r="M119" i="19"/>
  <c r="M133" i="19"/>
  <c r="M18" i="19"/>
  <c r="M38" i="19"/>
  <c r="M54" i="19"/>
  <c r="O120" i="19"/>
  <c r="M120" i="19"/>
  <c r="M134" i="19"/>
  <c r="M19" i="19"/>
  <c r="M39" i="19"/>
  <c r="M55" i="19"/>
  <c r="M121" i="19"/>
  <c r="M135" i="19"/>
  <c r="M20" i="19"/>
  <c r="M40" i="19"/>
  <c r="M56" i="19"/>
  <c r="M122" i="19"/>
  <c r="M136" i="19"/>
  <c r="M21" i="19"/>
  <c r="M41" i="19"/>
  <c r="M57" i="19"/>
  <c r="M123" i="19"/>
  <c r="M137" i="19"/>
  <c r="M6" i="19"/>
  <c r="M106" i="19" s="1"/>
  <c r="M22" i="19"/>
  <c r="M42" i="19"/>
  <c r="M58" i="19"/>
  <c r="M124" i="19"/>
  <c r="M138" i="19"/>
  <c r="M9" i="19"/>
  <c r="M7" i="19"/>
  <c r="M23" i="19"/>
  <c r="M43" i="19"/>
  <c r="M109" i="19"/>
  <c r="M125" i="19"/>
  <c r="M139" i="19"/>
  <c r="M111" i="19"/>
  <c r="M8" i="19"/>
  <c r="M25" i="19"/>
  <c r="M44" i="19"/>
  <c r="M110" i="19"/>
  <c r="M126" i="19"/>
  <c r="M140" i="19"/>
  <c r="M45" i="19"/>
  <c r="M10" i="19"/>
  <c r="M30" i="19"/>
  <c r="M46" i="19"/>
  <c r="M112" i="19"/>
  <c r="M128" i="19"/>
  <c r="M142" i="19"/>
  <c r="M127" i="19"/>
  <c r="M11" i="19"/>
  <c r="M31" i="19"/>
  <c r="M47" i="19"/>
  <c r="M113" i="19"/>
  <c r="M129" i="19"/>
  <c r="M12" i="19"/>
  <c r="M32" i="19"/>
  <c r="M48" i="19"/>
  <c r="M114" i="19"/>
  <c r="M13" i="19"/>
  <c r="M33" i="19"/>
  <c r="M49" i="19"/>
  <c r="M115" i="19"/>
  <c r="M14" i="19"/>
  <c r="M34" i="19"/>
  <c r="M50" i="19"/>
  <c r="M116" i="19"/>
  <c r="L8" i="26"/>
  <c r="L18" i="26"/>
  <c r="L71" i="26"/>
  <c r="L80" i="26"/>
  <c r="L23" i="26"/>
  <c r="L57" i="26"/>
  <c r="L63" i="26"/>
  <c r="L75" i="26"/>
  <c r="L9" i="26"/>
  <c r="L60" i="26"/>
  <c r="L77" i="26"/>
  <c r="L81" i="26"/>
  <c r="L19" i="26"/>
  <c r="L72" i="26"/>
  <c r="L24" i="26"/>
  <c r="L54" i="26"/>
  <c r="L58" i="26"/>
  <c r="L10" i="26"/>
  <c r="L20" i="26"/>
  <c r="L64" i="26"/>
  <c r="L78" i="26"/>
  <c r="L25" i="26"/>
  <c r="L61" i="26"/>
  <c r="L73" i="26"/>
  <c r="L55" i="26"/>
  <c r="L16" i="26"/>
  <c r="L59" i="26"/>
  <c r="L70" i="26"/>
  <c r="L21" i="26"/>
  <c r="L65" i="26"/>
  <c r="L17" i="26"/>
  <c r="L56" i="26"/>
  <c r="L62" i="26"/>
  <c r="L74" i="26"/>
  <c r="L76" i="26"/>
  <c r="L79" i="26"/>
  <c r="L22" i="26"/>
  <c r="L6" i="26"/>
  <c r="P15" i="13"/>
  <c r="P31" i="13"/>
  <c r="P58" i="13"/>
  <c r="P30" i="13"/>
  <c r="P16" i="13"/>
  <c r="P33" i="13"/>
  <c r="P59" i="13"/>
  <c r="P14" i="13"/>
  <c r="P17" i="13"/>
  <c r="P34" i="13"/>
  <c r="P60" i="13"/>
  <c r="P18" i="13"/>
  <c r="P35" i="13"/>
  <c r="P61" i="13"/>
  <c r="P19" i="13"/>
  <c r="P36" i="13"/>
  <c r="P62" i="13"/>
  <c r="P20" i="13"/>
  <c r="P37" i="13"/>
  <c r="P63" i="13"/>
  <c r="P21" i="13"/>
  <c r="P38" i="13"/>
  <c r="P64" i="13"/>
  <c r="P6" i="13"/>
  <c r="P22" i="13"/>
  <c r="P39" i="13"/>
  <c r="P65" i="13"/>
  <c r="P23" i="13"/>
  <c r="P40" i="13"/>
  <c r="P66" i="13"/>
  <c r="P24" i="13"/>
  <c r="P41" i="13"/>
  <c r="P67" i="13"/>
  <c r="P25" i="13"/>
  <c r="P42" i="13"/>
  <c r="P68" i="13"/>
  <c r="P10" i="13"/>
  <c r="P26" i="13"/>
  <c r="P43" i="13"/>
  <c r="P70" i="13"/>
  <c r="P11" i="13"/>
  <c r="P27" i="13"/>
  <c r="P44" i="13"/>
  <c r="P47" i="13"/>
  <c r="P12" i="13"/>
  <c r="P28" i="13"/>
  <c r="P45" i="13"/>
  <c r="P13" i="13"/>
  <c r="P29" i="13"/>
  <c r="P46" i="13"/>
  <c r="BN127" i="45"/>
  <c r="AF20" i="54"/>
  <c r="DO158" i="45"/>
  <c r="DO163" i="45"/>
  <c r="DQ163" i="45" s="1"/>
  <c r="CS207" i="45"/>
  <c r="BK8" i="45"/>
  <c r="BK196" i="45" s="1"/>
  <c r="CS195" i="45"/>
  <c r="CS216" i="45"/>
  <c r="CS204" i="45"/>
  <c r="AA20" i="33"/>
  <c r="AF26" i="33"/>
  <c r="AE26" i="33"/>
  <c r="AF28" i="33"/>
  <c r="AE8" i="33"/>
  <c r="BZ86" i="55"/>
  <c r="CB86" i="55"/>
  <c r="CB85" i="55"/>
  <c r="K176" i="24"/>
  <c r="M153" i="24"/>
  <c r="I82" i="24"/>
  <c r="E154" i="24"/>
  <c r="J152" i="24"/>
  <c r="AU12" i="24"/>
  <c r="CC12" i="24" s="1"/>
  <c r="G175" i="24"/>
  <c r="N153" i="24"/>
  <c r="J175" i="24"/>
  <c r="P89" i="22"/>
  <c r="Q89" i="22" s="1"/>
  <c r="P127" i="22"/>
  <c r="Q127" i="22" s="1"/>
  <c r="F68" i="22"/>
  <c r="E69" i="22"/>
  <c r="X69" i="22"/>
  <c r="AF75" i="22"/>
  <c r="AE72" i="22"/>
  <c r="H67" i="22"/>
  <c r="AE29" i="22"/>
  <c r="AF29" i="22" s="1"/>
  <c r="Z68" i="22"/>
  <c r="F69" i="22"/>
  <c r="Y69" i="22"/>
  <c r="J66" i="22"/>
  <c r="AB67" i="22"/>
  <c r="G67" i="22"/>
  <c r="Q76" i="22"/>
  <c r="AF71" i="22"/>
  <c r="Q72" i="22"/>
  <c r="I68" i="22"/>
  <c r="AB68" i="22"/>
  <c r="L69" i="22"/>
  <c r="AE75" i="22"/>
  <c r="AE12" i="22"/>
  <c r="AF12" i="22" s="1"/>
  <c r="N68" i="22"/>
  <c r="M69" i="22"/>
  <c r="AI69" i="22"/>
  <c r="L61" i="22"/>
  <c r="AD68" i="22"/>
  <c r="AL67" i="22"/>
  <c r="O68" i="22"/>
  <c r="AK68" i="22"/>
  <c r="M61" i="22"/>
  <c r="P12" i="22"/>
  <c r="Q12" i="22" s="1"/>
  <c r="O61" i="22"/>
  <c r="AK61" i="22"/>
  <c r="U66" i="22"/>
  <c r="AO66" i="22"/>
  <c r="T67" i="22"/>
  <c r="AM67" i="22"/>
  <c r="S68" i="22"/>
  <c r="AL68" i="22"/>
  <c r="AK69" i="22"/>
  <c r="AE73" i="22"/>
  <c r="J61" i="22"/>
  <c r="AC61" i="22"/>
  <c r="Q25" i="22"/>
  <c r="Q63" i="22" s="1"/>
  <c r="M65" i="22"/>
  <c r="AI65" i="22"/>
  <c r="J67" i="22"/>
  <c r="AC67" i="22"/>
  <c r="AA68" i="22"/>
  <c r="G69" i="22"/>
  <c r="Z69" i="22"/>
  <c r="AF40" i="22"/>
  <c r="AF78" i="22" s="1"/>
  <c r="AE100" i="22"/>
  <c r="AF100" i="22" s="1"/>
  <c r="P100" i="22"/>
  <c r="Q100" i="22" s="1"/>
  <c r="AE63" i="22"/>
  <c r="P27" i="22"/>
  <c r="AJ65" i="22"/>
  <c r="M66" i="22"/>
  <c r="AI66" i="22"/>
  <c r="K67" i="22"/>
  <c r="AD67" i="22"/>
  <c r="P46" i="22"/>
  <c r="Q46" i="22" s="1"/>
  <c r="P72" i="22"/>
  <c r="AE87" i="22"/>
  <c r="AF87" i="22" s="1"/>
  <c r="AE104" i="22"/>
  <c r="AF104" i="22" s="1"/>
  <c r="P29" i="22"/>
  <c r="Q29" i="22" s="1"/>
  <c r="AH61" i="22"/>
  <c r="O65" i="22"/>
  <c r="AK65" i="22"/>
  <c r="AJ66" i="22"/>
  <c r="AH67" i="22"/>
  <c r="I69" i="22"/>
  <c r="AB69" i="22"/>
  <c r="AE42" i="22"/>
  <c r="AF42" i="22" s="1"/>
  <c r="AE47" i="22"/>
  <c r="AF47" i="22" s="1"/>
  <c r="Q78" i="22"/>
  <c r="AF36" i="22"/>
  <c r="AF74" i="22" s="1"/>
  <c r="P85" i="22"/>
  <c r="Q85" i="22" s="1"/>
  <c r="AI61" i="22"/>
  <c r="P64" i="22"/>
  <c r="O66" i="22"/>
  <c r="M67" i="22"/>
  <c r="K68" i="22"/>
  <c r="J69" i="22"/>
  <c r="AC69" i="22"/>
  <c r="P50" i="22"/>
  <c r="Q50" i="22" s="1"/>
  <c r="P79" i="22"/>
  <c r="P87" i="22"/>
  <c r="Q87" i="22" s="1"/>
  <c r="P104" i="22"/>
  <c r="Q104" i="22" s="1"/>
  <c r="AH65" i="22"/>
  <c r="AJ61" i="22"/>
  <c r="AE64" i="22"/>
  <c r="T65" i="22"/>
  <c r="AM65" i="22"/>
  <c r="AL66" i="22"/>
  <c r="N67" i="22"/>
  <c r="L68" i="22"/>
  <c r="AH68" i="22"/>
  <c r="P47" i="22"/>
  <c r="Q47" i="22" s="1"/>
  <c r="Q79" i="22"/>
  <c r="AH66" i="22"/>
  <c r="P124" i="22"/>
  <c r="Q124" i="22" s="1"/>
  <c r="U65" i="22"/>
  <c r="AH69" i="22"/>
  <c r="P76" i="22"/>
  <c r="S69" i="22"/>
  <c r="AE123" i="22"/>
  <c r="AF123" i="22" s="1"/>
  <c r="AJ68" i="22"/>
  <c r="P42" i="22"/>
  <c r="Q42" i="22" s="1"/>
  <c r="AE86" i="22"/>
  <c r="AF86" i="22" s="1"/>
  <c r="AE126" i="22"/>
  <c r="AF126" i="22" s="1"/>
  <c r="AJ69" i="22"/>
  <c r="P123" i="22"/>
  <c r="Q123" i="22" s="1"/>
  <c r="P28" i="22"/>
  <c r="P86" i="22"/>
  <c r="Q86" i="22" s="1"/>
  <c r="P49" i="22"/>
  <c r="Q49" i="22" s="1"/>
  <c r="AE108" i="22"/>
  <c r="AF108" i="22" s="1"/>
  <c r="AE125" i="22"/>
  <c r="AF125" i="22" s="1"/>
  <c r="P126" i="22"/>
  <c r="Q126" i="22" s="1"/>
  <c r="AE89" i="22"/>
  <c r="AF89" i="22" s="1"/>
  <c r="P106" i="22"/>
  <c r="Q106" i="22" s="1"/>
  <c r="P108" i="22"/>
  <c r="Q108" i="22" s="1"/>
  <c r="P74" i="22"/>
  <c r="AE106" i="22"/>
  <c r="AF106" i="22" s="1"/>
  <c r="G61" i="22"/>
  <c r="Z61" i="22"/>
  <c r="I66" i="22"/>
  <c r="Z67" i="22"/>
  <c r="E68" i="22"/>
  <c r="D69" i="22"/>
  <c r="W69" i="22"/>
  <c r="AQ69" i="22"/>
  <c r="Q36" i="22"/>
  <c r="Q74" i="22" s="1"/>
  <c r="AE46" i="22"/>
  <c r="AF46" i="22" s="1"/>
  <c r="P48" i="22"/>
  <c r="Q48" i="22" s="1"/>
  <c r="J68" i="22"/>
  <c r="AC68" i="22"/>
  <c r="AE85" i="22"/>
  <c r="AF85" i="22" s="1"/>
  <c r="AE127" i="22"/>
  <c r="AF127" i="22" s="1"/>
  <c r="AF224" i="24"/>
  <c r="AU224" i="24"/>
  <c r="L152" i="24"/>
  <c r="D154" i="24"/>
  <c r="L82" i="24"/>
  <c r="M156" i="24"/>
  <c r="M154" i="24"/>
  <c r="H152" i="24"/>
  <c r="L153" i="24"/>
  <c r="F175" i="24"/>
  <c r="O156" i="24"/>
  <c r="M175" i="24"/>
  <c r="D153" i="24"/>
  <c r="H154" i="24"/>
  <c r="K154" i="24"/>
  <c r="E176" i="24"/>
  <c r="O153" i="24"/>
  <c r="G155" i="24"/>
  <c r="N154" i="24"/>
  <c r="D175" i="24"/>
  <c r="O154" i="24"/>
  <c r="E175" i="24"/>
  <c r="I176" i="24"/>
  <c r="AE8" i="36"/>
  <c r="AE16" i="36"/>
  <c r="AE15" i="36"/>
  <c r="AE4" i="36"/>
  <c r="AF31" i="36"/>
  <c r="AE10" i="36"/>
  <c r="AF37" i="36"/>
  <c r="AF18" i="36"/>
  <c r="AE6" i="36"/>
  <c r="AF28" i="36"/>
  <c r="AE7" i="36"/>
  <c r="AE13" i="36"/>
  <c r="AE9" i="36"/>
  <c r="AE18" i="36"/>
  <c r="AE5" i="36"/>
  <c r="AE14" i="36"/>
  <c r="AE28" i="36"/>
  <c r="AE11" i="36"/>
  <c r="AE24" i="36"/>
  <c r="AE12" i="36"/>
  <c r="S73" i="26"/>
  <c r="CA41" i="54"/>
  <c r="CA39" i="54"/>
  <c r="CA19" i="54"/>
  <c r="CA38" i="54"/>
  <c r="CA18" i="54"/>
  <c r="CA43" i="54"/>
  <c r="CA8" i="54"/>
  <c r="CA65" i="54"/>
  <c r="CA69" i="54"/>
  <c r="F5" i="25"/>
  <c r="M5" i="25"/>
  <c r="G29" i="25"/>
  <c r="AF24" i="54"/>
  <c r="AF28" i="54"/>
  <c r="CC363" i="55"/>
  <c r="CA15" i="55"/>
  <c r="CC357" i="55"/>
  <c r="CA82" i="55"/>
  <c r="CC362" i="55"/>
  <c r="CA26" i="55"/>
  <c r="Z9" i="54"/>
  <c r="BE44" i="45"/>
  <c r="BE201" i="45" s="1"/>
  <c r="X25" i="54"/>
  <c r="R86" i="54"/>
  <c r="AB25" i="54"/>
  <c r="CA31" i="54"/>
  <c r="AG26" i="54"/>
  <c r="CA29" i="54"/>
  <c r="S86" i="54"/>
  <c r="Y14" i="54"/>
  <c r="X42" i="54"/>
  <c r="X22" i="54" s="1"/>
  <c r="AG29" i="54"/>
  <c r="Z11" i="54"/>
  <c r="T12" i="54"/>
  <c r="AF18" i="54"/>
  <c r="V91" i="54"/>
  <c r="V32" i="54" s="1"/>
  <c r="AC9" i="54"/>
  <c r="AD11" i="54"/>
  <c r="W12" i="54"/>
  <c r="AD9" i="54"/>
  <c r="X10" i="54"/>
  <c r="Z12" i="54"/>
  <c r="AC25" i="54"/>
  <c r="AF30" i="54"/>
  <c r="AF33" i="54"/>
  <c r="Y10" i="54"/>
  <c r="R96" i="54"/>
  <c r="Z10" i="54"/>
  <c r="AC11" i="54"/>
  <c r="V12" i="54"/>
  <c r="V27" i="54"/>
  <c r="V8" i="54" s="1"/>
  <c r="AA12" i="54"/>
  <c r="T14" i="54"/>
  <c r="AG30" i="54"/>
  <c r="AG33" i="54"/>
  <c r="T9" i="54"/>
  <c r="AB10" i="54"/>
  <c r="AD12" i="54"/>
  <c r="W14" i="54"/>
  <c r="U9" i="54"/>
  <c r="AC10" i="54"/>
  <c r="V11" i="54"/>
  <c r="T35" i="54"/>
  <c r="W9" i="54"/>
  <c r="AE10" i="54"/>
  <c r="R26" i="54"/>
  <c r="AF31" i="54"/>
  <c r="CA27" i="54"/>
  <c r="V7" i="54"/>
  <c r="X9" i="54"/>
  <c r="AB42" i="54"/>
  <c r="AB22" i="54" s="1"/>
  <c r="CA33" i="54"/>
  <c r="AF29" i="54"/>
  <c r="T91" i="54"/>
  <c r="T32" i="54" s="1"/>
  <c r="X35" i="54"/>
  <c r="AB9" i="54"/>
  <c r="T10" i="54"/>
  <c r="Y35" i="54"/>
  <c r="R37" i="54"/>
  <c r="Z35" i="54"/>
  <c r="AA35" i="54"/>
  <c r="AB35" i="54"/>
  <c r="AG18" i="54"/>
  <c r="R16" i="54"/>
  <c r="AC35" i="54"/>
  <c r="AD35" i="54"/>
  <c r="CA30" i="54"/>
  <c r="CA59" i="54"/>
  <c r="AG20" i="54"/>
  <c r="S37" i="54"/>
  <c r="V9" i="54"/>
  <c r="AD10" i="54"/>
  <c r="BD213" i="45"/>
  <c r="BD202" i="45"/>
  <c r="BD199" i="45"/>
  <c r="BD210" i="45"/>
  <c r="CS210" i="45"/>
  <c r="BD209" i="45"/>
  <c r="CS209" i="45"/>
  <c r="BD211" i="45"/>
  <c r="CS211" i="45"/>
  <c r="BD195" i="45"/>
  <c r="BD13" i="45"/>
  <c r="BD200" i="45"/>
  <c r="BL54" i="45"/>
  <c r="BL203" i="45" s="1"/>
  <c r="BE54" i="45"/>
  <c r="BE203" i="45" s="1"/>
  <c r="BF54" i="45"/>
  <c r="BF203" i="45" s="1"/>
  <c r="BN44" i="45"/>
  <c r="BN201" i="45" s="1"/>
  <c r="BI114" i="45"/>
  <c r="BI212" i="45" s="1"/>
  <c r="P10" i="45"/>
  <c r="Q10" i="45"/>
  <c r="BI6" i="45"/>
  <c r="BI195" i="45" s="1"/>
  <c r="BN54" i="45"/>
  <c r="BN203" i="45" s="1"/>
  <c r="BG97" i="45"/>
  <c r="BG107" i="45" s="1"/>
  <c r="BG79" i="45" s="1"/>
  <c r="BF198" i="45"/>
  <c r="BF12" i="45"/>
  <c r="BF10" i="45" s="1"/>
  <c r="BG198" i="45"/>
  <c r="BG12" i="45"/>
  <c r="BG10" i="45" s="1"/>
  <c r="BD114" i="45"/>
  <c r="BD44" i="45"/>
  <c r="AH198" i="45"/>
  <c r="P194" i="45"/>
  <c r="BM54" i="45"/>
  <c r="BM203" i="45" s="1"/>
  <c r="Q194" i="45"/>
  <c r="S71" i="26"/>
  <c r="U7" i="26"/>
  <c r="T7" i="26"/>
  <c r="AU64" i="24"/>
  <c r="S8" i="26"/>
  <c r="T7" i="54"/>
  <c r="W91" i="54"/>
  <c r="W35" i="54"/>
  <c r="T8" i="54"/>
  <c r="U8" i="54"/>
  <c r="W8" i="54"/>
  <c r="Y8" i="54"/>
  <c r="Z8" i="54"/>
  <c r="AF7" i="54"/>
  <c r="AC7" i="54"/>
  <c r="AE7" i="54"/>
  <c r="AF19" i="54"/>
  <c r="W25" i="54"/>
  <c r="AG19" i="54"/>
  <c r="AD91" i="54"/>
  <c r="AD32" i="54" s="1"/>
  <c r="W7" i="54"/>
  <c r="AG16" i="54"/>
  <c r="CA26" i="54"/>
  <c r="Y91" i="54"/>
  <c r="Y32" i="54" s="1"/>
  <c r="Z7" i="54"/>
  <c r="AA91" i="54"/>
  <c r="AA32" i="54" s="1"/>
  <c r="AB91" i="54"/>
  <c r="AB32" i="54" s="1"/>
  <c r="AA7" i="54"/>
  <c r="AF199" i="45"/>
  <c r="BC127" i="45"/>
  <c r="AW199" i="45"/>
  <c r="BM199" i="45"/>
  <c r="BH20" i="45"/>
  <c r="AI198" i="45"/>
  <c r="G194" i="45"/>
  <c r="DM43" i="45"/>
  <c r="BI36" i="45"/>
  <c r="BM114" i="45"/>
  <c r="BM125" i="45" s="1"/>
  <c r="BM80" i="45" s="1"/>
  <c r="BF214" i="45"/>
  <c r="AD5" i="45"/>
  <c r="AD194" i="45" s="1"/>
  <c r="AF5" i="45"/>
  <c r="AF194" i="45" s="1"/>
  <c r="I197" i="45"/>
  <c r="AH5" i="45"/>
  <c r="AH194" i="45" s="1"/>
  <c r="AH8" i="45"/>
  <c r="AH196" i="45" s="1"/>
  <c r="H10" i="45"/>
  <c r="BG20" i="45"/>
  <c r="G195" i="45"/>
  <c r="AI195" i="45"/>
  <c r="J197" i="45"/>
  <c r="BG214" i="45"/>
  <c r="BN114" i="45"/>
  <c r="BL36" i="45"/>
  <c r="BM36" i="45"/>
  <c r="BD214" i="45"/>
  <c r="AG5" i="45"/>
  <c r="AG194" i="45" s="1"/>
  <c r="J10" i="45"/>
  <c r="H195" i="45"/>
  <c r="BD8" i="45"/>
  <c r="M10" i="45"/>
  <c r="BG54" i="45"/>
  <c r="BG203" i="45" s="1"/>
  <c r="BL114" i="45"/>
  <c r="BL212" i="45" s="1"/>
  <c r="I195" i="45"/>
  <c r="L197" i="45"/>
  <c r="AD198" i="45"/>
  <c r="BI214" i="45"/>
  <c r="BJ90" i="45"/>
  <c r="BM194" i="45"/>
  <c r="AE5" i="45"/>
  <c r="AE194" i="45" s="1"/>
  <c r="AE8" i="45"/>
  <c r="AE196" i="45" s="1"/>
  <c r="BN194" i="45"/>
  <c r="AF8" i="45"/>
  <c r="AF196" i="45" s="1"/>
  <c r="BE214" i="45"/>
  <c r="AG8" i="45"/>
  <c r="AG196" i="45" s="1"/>
  <c r="K197" i="45"/>
  <c r="N10" i="45"/>
  <c r="BC10" i="45"/>
  <c r="BD54" i="45"/>
  <c r="BH54" i="45"/>
  <c r="BH203" i="45" s="1"/>
  <c r="J195" i="45"/>
  <c r="AE198" i="45"/>
  <c r="BN211" i="45"/>
  <c r="BM90" i="45"/>
  <c r="BM206" i="45" s="1"/>
  <c r="AD8" i="45"/>
  <c r="AD196" i="45" s="1"/>
  <c r="AI5" i="45"/>
  <c r="AI194" i="45" s="1"/>
  <c r="BK20" i="45"/>
  <c r="BH214" i="45"/>
  <c r="O10" i="45"/>
  <c r="BJ54" i="45"/>
  <c r="BJ203" i="45" s="1"/>
  <c r="BI54" i="45"/>
  <c r="BI203" i="45" s="1"/>
  <c r="AF198" i="45"/>
  <c r="BJ36" i="45"/>
  <c r="BK54" i="45"/>
  <c r="BK203" i="45" s="1"/>
  <c r="AG198" i="45"/>
  <c r="K10" i="45"/>
  <c r="K194" i="45"/>
  <c r="K195" i="45"/>
  <c r="BN13" i="45"/>
  <c r="BN20" i="45" s="1"/>
  <c r="BE97" i="45"/>
  <c r="BE107" i="45" s="1"/>
  <c r="BE79" i="45" s="1"/>
  <c r="BE206" i="45"/>
  <c r="BE195" i="45"/>
  <c r="BE8" i="45"/>
  <c r="L10" i="45"/>
  <c r="L194" i="45"/>
  <c r="L195" i="45"/>
  <c r="N198" i="45"/>
  <c r="N197" i="45"/>
  <c r="BF97" i="45"/>
  <c r="BF107" i="45" s="1"/>
  <c r="BF79" i="45" s="1"/>
  <c r="BF206" i="45"/>
  <c r="BF195" i="45"/>
  <c r="BF8" i="45"/>
  <c r="BF196" i="45" s="1"/>
  <c r="BG195" i="45"/>
  <c r="BG8" i="45"/>
  <c r="BG196" i="45" s="1"/>
  <c r="BL209" i="45"/>
  <c r="AE199" i="45"/>
  <c r="BM209" i="45"/>
  <c r="BE210" i="45"/>
  <c r="BD204" i="45"/>
  <c r="AV199" i="45"/>
  <c r="BE198" i="45"/>
  <c r="BH211" i="45"/>
  <c r="BE215" i="45"/>
  <c r="BE169" i="45"/>
  <c r="BN216" i="45"/>
  <c r="CR216" i="45"/>
  <c r="DM44" i="45"/>
  <c r="DM49" i="45"/>
  <c r="BH198" i="45"/>
  <c r="BH12" i="45"/>
  <c r="BH10" i="45" s="1"/>
  <c r="BE114" i="45"/>
  <c r="BE125" i="45" s="1"/>
  <c r="BE80" i="45" s="1"/>
  <c r="BI12" i="45"/>
  <c r="BI10" i="45" s="1"/>
  <c r="DM14" i="45"/>
  <c r="BF202" i="45"/>
  <c r="BF44" i="45"/>
  <c r="BF114" i="45"/>
  <c r="BF125" i="45" s="1"/>
  <c r="BF80" i="45" s="1"/>
  <c r="BE12" i="45"/>
  <c r="BJ12" i="45"/>
  <c r="BJ10" i="45" s="1"/>
  <c r="BG202" i="45"/>
  <c r="BG44" i="45"/>
  <c r="BG201" i="45" s="1"/>
  <c r="BI198" i="45"/>
  <c r="BG211" i="45"/>
  <c r="M198" i="45"/>
  <c r="DM6" i="45"/>
  <c r="BM13" i="45"/>
  <c r="BJ198" i="45"/>
  <c r="O198" i="45"/>
  <c r="P198" i="45"/>
  <c r="BI44" i="45"/>
  <c r="BI201" i="45" s="1"/>
  <c r="BF36" i="45"/>
  <c r="BG36" i="45"/>
  <c r="BK44" i="45"/>
  <c r="BK201" i="45" s="1"/>
  <c r="BH90" i="45"/>
  <c r="BK114" i="45"/>
  <c r="BK212" i="45" s="1"/>
  <c r="BH195" i="45"/>
  <c r="Q197" i="45"/>
  <c r="BJ202" i="45"/>
  <c r="AF203" i="45"/>
  <c r="BF207" i="45"/>
  <c r="BJ214" i="45"/>
  <c r="BJ114" i="45"/>
  <c r="BJ212" i="45" s="1"/>
  <c r="BE207" i="45"/>
  <c r="BH36" i="45"/>
  <c r="BL44" i="45"/>
  <c r="BL201" i="45" s="1"/>
  <c r="BI90" i="45"/>
  <c r="BN97" i="45"/>
  <c r="BN107" i="45" s="1"/>
  <c r="BN79" i="45" s="1"/>
  <c r="I194" i="45"/>
  <c r="BK202" i="45"/>
  <c r="BG207" i="45"/>
  <c r="BK214" i="45"/>
  <c r="BN199" i="45"/>
  <c r="BM44" i="45"/>
  <c r="BM201" i="45" s="1"/>
  <c r="M195" i="45"/>
  <c r="BJ195" i="45"/>
  <c r="F198" i="45"/>
  <c r="BL202" i="45"/>
  <c r="BL214" i="45"/>
  <c r="AG199" i="45"/>
  <c r="BG114" i="45"/>
  <c r="BG212" i="45" s="1"/>
  <c r="BL20" i="45"/>
  <c r="BH114" i="45"/>
  <c r="BH212" i="45" s="1"/>
  <c r="BK197" i="45"/>
  <c r="BL197" i="45"/>
  <c r="BK90" i="45"/>
  <c r="N195" i="45"/>
  <c r="BK195" i="45"/>
  <c r="G198" i="45"/>
  <c r="BM214" i="45"/>
  <c r="BI20" i="45"/>
  <c r="AX199" i="45"/>
  <c r="BJ20" i="45"/>
  <c r="AF204" i="45"/>
  <c r="BH202" i="45"/>
  <c r="BD207" i="45"/>
  <c r="BJ8" i="45"/>
  <c r="BJ196" i="45" s="1"/>
  <c r="BK36" i="45"/>
  <c r="BL90" i="45"/>
  <c r="O195" i="45"/>
  <c r="BL195" i="45"/>
  <c r="H198" i="45"/>
  <c r="BN214" i="45"/>
  <c r="BD36" i="45"/>
  <c r="BM43" i="45"/>
  <c r="AD76" i="45"/>
  <c r="AD204" i="45" s="1"/>
  <c r="BM195" i="45"/>
  <c r="BD90" i="45"/>
  <c r="BE36" i="45"/>
  <c r="BE20" i="45"/>
  <c r="AE76" i="45"/>
  <c r="AE204" i="45" s="1"/>
  <c r="BN195" i="45"/>
  <c r="BF20" i="45"/>
  <c r="BN36" i="45"/>
  <c r="BD169" i="45"/>
  <c r="CA86" i="55"/>
  <c r="CA50" i="55"/>
  <c r="CC354" i="55"/>
  <c r="CA38" i="55"/>
  <c r="U12" i="54"/>
  <c r="AA25" i="54"/>
  <c r="Z25" i="54"/>
  <c r="X7" i="54"/>
  <c r="Z14" i="54"/>
  <c r="AC91" i="54"/>
  <c r="AC32" i="54" s="1"/>
  <c r="W10" i="54"/>
  <c r="AA14" i="54"/>
  <c r="AC22" i="54"/>
  <c r="X8" i="54"/>
  <c r="AB14" i="54"/>
  <c r="CA97" i="54"/>
  <c r="Q7" i="54"/>
  <c r="AC14" i="54"/>
  <c r="AD25" i="54"/>
  <c r="V22" i="54"/>
  <c r="Y12" i="54"/>
  <c r="U7" i="54"/>
  <c r="AA27" i="54"/>
  <c r="AA8" i="54" s="1"/>
  <c r="U11" i="54"/>
  <c r="AB12" i="54"/>
  <c r="CA21" i="54"/>
  <c r="U91" i="54"/>
  <c r="U32" i="54" s="1"/>
  <c r="W11" i="54"/>
  <c r="V25" i="54"/>
  <c r="Y9" i="54"/>
  <c r="X11" i="54"/>
  <c r="AF21" i="54"/>
  <c r="X91" i="54"/>
  <c r="X32" i="54" s="1"/>
  <c r="AG21" i="54"/>
  <c r="V14" i="54"/>
  <c r="U35" i="54"/>
  <c r="AF23" i="54"/>
  <c r="AG17" i="54"/>
  <c r="AE12" i="54"/>
  <c r="AE25" i="54"/>
  <c r="AE8" i="54"/>
  <c r="AA9" i="54"/>
  <c r="Y11" i="54"/>
  <c r="AF94" i="54"/>
  <c r="S96" i="54"/>
  <c r="S45" i="54"/>
  <c r="V10" i="54"/>
  <c r="AB11" i="54"/>
  <c r="U10" i="54"/>
  <c r="AA11" i="54"/>
  <c r="AD71" i="54"/>
  <c r="AD22" i="54" s="1"/>
  <c r="CA84" i="54"/>
  <c r="Y22" i="54"/>
  <c r="Y25" i="54"/>
  <c r="AG94" i="54"/>
  <c r="AB7" i="54"/>
  <c r="X14" i="54"/>
  <c r="Y7" i="54"/>
  <c r="V35" i="54"/>
  <c r="W61" i="54"/>
  <c r="AG61" i="54" s="1"/>
  <c r="AF74" i="54"/>
  <c r="AG84" i="54"/>
  <c r="CA104" i="54"/>
  <c r="AE11" i="54"/>
  <c r="CA34" i="54"/>
  <c r="CA64" i="54"/>
  <c r="W22" i="54"/>
  <c r="R76" i="54"/>
  <c r="AA10" i="54"/>
  <c r="X12" i="54"/>
  <c r="AG28" i="54"/>
  <c r="AD7" i="54"/>
  <c r="AD14" i="54"/>
  <c r="AG45" i="54"/>
  <c r="AF45" i="54"/>
  <c r="AG23" i="54"/>
  <c r="S76" i="54"/>
  <c r="AF17" i="54"/>
  <c r="AB8" i="54"/>
  <c r="T11" i="54"/>
  <c r="AG64" i="54"/>
  <c r="Z91" i="54"/>
  <c r="Z32" i="54" s="1"/>
  <c r="AE35" i="54"/>
  <c r="AG104" i="54"/>
  <c r="CA17" i="54"/>
  <c r="AD8" i="54"/>
  <c r="AC12" i="54"/>
  <c r="R45" i="54"/>
  <c r="AE9" i="54"/>
  <c r="AC27" i="54"/>
  <c r="AC8" i="54" s="1"/>
  <c r="CA28" i="54"/>
  <c r="CA94" i="54"/>
  <c r="AF104" i="54"/>
  <c r="CA20" i="54"/>
  <c r="T42" i="54"/>
  <c r="T71" i="54"/>
  <c r="T81" i="54"/>
  <c r="CA86" i="54"/>
  <c r="AE91" i="54"/>
  <c r="AE101" i="54"/>
  <c r="U14" i="54"/>
  <c r="T25" i="54"/>
  <c r="AG31" i="54"/>
  <c r="U42" i="54"/>
  <c r="U22" i="54" s="1"/>
  <c r="AF64" i="54"/>
  <c r="AG74" i="54"/>
  <c r="U25" i="54"/>
  <c r="AF86" i="54"/>
  <c r="AG86" i="54"/>
  <c r="Z42" i="54"/>
  <c r="Z22" i="54" s="1"/>
  <c r="AA22" i="54"/>
  <c r="AE71" i="54"/>
  <c r="AF84" i="54"/>
  <c r="D103" i="34"/>
  <c r="M31" i="34"/>
  <c r="L4" i="34"/>
  <c r="Y31" i="34"/>
  <c r="AA31" i="34"/>
  <c r="AF19" i="32"/>
  <c r="AE19" i="32"/>
  <c r="Q19" i="32"/>
  <c r="Y33" i="36"/>
  <c r="AE32" i="36"/>
  <c r="AE37" i="36"/>
  <c r="Z29" i="36"/>
  <c r="Z33" i="36" s="1"/>
  <c r="AE35" i="36"/>
  <c r="AF31" i="53"/>
  <c r="N4" i="34"/>
  <c r="O4" i="34"/>
  <c r="S4" i="34"/>
  <c r="I31" i="34"/>
  <c r="T4" i="34"/>
  <c r="M4" i="34"/>
  <c r="F103" i="34"/>
  <c r="AB31" i="34"/>
  <c r="E31" i="34"/>
  <c r="K4" i="34"/>
  <c r="O31" i="34"/>
  <c r="S31" i="34"/>
  <c r="L103" i="34"/>
  <c r="H4" i="34"/>
  <c r="J31" i="34"/>
  <c r="W31" i="34"/>
  <c r="AF22" i="34"/>
  <c r="X31" i="34"/>
  <c r="AF108" i="34"/>
  <c r="G4" i="34"/>
  <c r="G31" i="34"/>
  <c r="Z4" i="34"/>
  <c r="M103" i="34"/>
  <c r="N103" i="34"/>
  <c r="I4" i="34"/>
  <c r="F31" i="34"/>
  <c r="Q52" i="34"/>
  <c r="K103" i="34"/>
  <c r="J4" i="34"/>
  <c r="Z31" i="34"/>
  <c r="AF47" i="34"/>
  <c r="H31" i="34"/>
  <c r="O103" i="34"/>
  <c r="U4" i="34"/>
  <c r="AF104" i="34"/>
  <c r="L31" i="34"/>
  <c r="W4" i="34"/>
  <c r="E4" i="34"/>
  <c r="X4" i="34"/>
  <c r="G103" i="34"/>
  <c r="AF32" i="34"/>
  <c r="Y4" i="34"/>
  <c r="AA4" i="34"/>
  <c r="S59" i="26"/>
  <c r="S18" i="26"/>
  <c r="R54" i="26"/>
  <c r="S60" i="26"/>
  <c r="S70" i="26"/>
  <c r="Q75" i="22"/>
  <c r="AF62" i="22"/>
  <c r="S57" i="26"/>
  <c r="S20" i="26"/>
  <c r="S22" i="26"/>
  <c r="S55" i="26"/>
  <c r="S79" i="26"/>
  <c r="F65" i="22"/>
  <c r="W65" i="22"/>
  <c r="AO65" i="22"/>
  <c r="L66" i="22"/>
  <c r="AC66" i="22"/>
  <c r="S67" i="22"/>
  <c r="AJ67" i="22"/>
  <c r="H68" i="22"/>
  <c r="Y68" i="22"/>
  <c r="AQ68" i="22"/>
  <c r="AE31" i="22"/>
  <c r="P70" i="22"/>
  <c r="Q77" i="22"/>
  <c r="P75" i="22"/>
  <c r="G65" i="22"/>
  <c r="X65" i="22"/>
  <c r="AP65" i="22"/>
  <c r="AK67" i="22"/>
  <c r="Q70" i="22"/>
  <c r="AE77" i="22"/>
  <c r="N65" i="22"/>
  <c r="AK66" i="22"/>
  <c r="AE71" i="22"/>
  <c r="AE107" i="22"/>
  <c r="AF107" i="22" s="1"/>
  <c r="AE23" i="22"/>
  <c r="AE28" i="22"/>
  <c r="P31" i="22"/>
  <c r="AE70" i="22"/>
  <c r="AF77" i="22"/>
  <c r="AE79" i="22"/>
  <c r="D66" i="22"/>
  <c r="AF32" i="22"/>
  <c r="AF41" i="22"/>
  <c r="AA67" i="22"/>
  <c r="P78" i="22"/>
  <c r="P125" i="22"/>
  <c r="Q125" i="22" s="1"/>
  <c r="P23" i="22"/>
  <c r="Q24" i="22"/>
  <c r="Q62" i="22" s="1"/>
  <c r="AE62" i="22"/>
  <c r="AM69" i="22"/>
  <c r="AE81" i="22"/>
  <c r="AF81" i="22" s="1"/>
  <c r="AE88" i="22"/>
  <c r="AF88" i="22" s="1"/>
  <c r="P107" i="22"/>
  <c r="Q107" i="22" s="1"/>
  <c r="AE119" i="22"/>
  <c r="AF119" i="22" s="1"/>
  <c r="S61" i="22"/>
  <c r="Q26" i="22"/>
  <c r="Q64" i="22" s="1"/>
  <c r="AE30" i="22"/>
  <c r="AE49" i="22"/>
  <c r="AF49" i="22" s="1"/>
  <c r="AE105" i="22"/>
  <c r="AF105" i="22" s="1"/>
  <c r="S25" i="26"/>
  <c r="S80" i="26"/>
  <c r="AE50" i="22"/>
  <c r="AF50" i="22" s="1"/>
  <c r="P88" i="22"/>
  <c r="Q88" i="22" s="1"/>
  <c r="P119" i="22"/>
  <c r="Q119" i="22" s="1"/>
  <c r="AF317" i="22"/>
  <c r="AF64" i="22"/>
  <c r="AE27" i="22"/>
  <c r="P30" i="22"/>
  <c r="P81" i="22"/>
  <c r="Q81" i="22" s="1"/>
  <c r="P105" i="22"/>
  <c r="Q105" i="22" s="1"/>
  <c r="Q54" i="26"/>
  <c r="S65" i="26"/>
  <c r="AF38" i="22"/>
  <c r="AE124" i="22"/>
  <c r="AF124" i="22" s="1"/>
  <c r="S17" i="26"/>
  <c r="Q33" i="22"/>
  <c r="Q71" i="22" s="1"/>
  <c r="I67" i="22"/>
  <c r="Q72" i="26"/>
  <c r="S72" i="26" s="1"/>
  <c r="Q35" i="22"/>
  <c r="Q73" i="22" s="1"/>
  <c r="AF35" i="22"/>
  <c r="AE48" i="22"/>
  <c r="AF48" i="22" s="1"/>
  <c r="S24" i="26"/>
  <c r="Q74" i="26"/>
  <c r="S74" i="26" s="1"/>
  <c r="AF25" i="22"/>
  <c r="AF63" i="22" s="1"/>
  <c r="K66" i="22"/>
  <c r="AB66" i="22"/>
  <c r="AI67" i="22"/>
  <c r="G68" i="22"/>
  <c r="X68" i="22"/>
  <c r="P77" i="22"/>
  <c r="AF315" i="22"/>
  <c r="Q317" i="22"/>
  <c r="AF335" i="22"/>
  <c r="AF333" i="22"/>
  <c r="Q314" i="22"/>
  <c r="P19" i="32"/>
  <c r="N172" i="24"/>
  <c r="AT10" i="24"/>
  <c r="AU10" i="24" s="1"/>
  <c r="D156" i="24"/>
  <c r="E156" i="24"/>
  <c r="H155" i="24"/>
  <c r="I155" i="24"/>
  <c r="J156" i="24"/>
  <c r="I172" i="24"/>
  <c r="M172" i="24"/>
  <c r="O172" i="24"/>
  <c r="H156" i="24"/>
  <c r="K155" i="24"/>
  <c r="H172" i="24"/>
  <c r="L172" i="24"/>
  <c r="H176" i="24"/>
  <c r="I156" i="24"/>
  <c r="AE175" i="24"/>
  <c r="AF175" i="24" s="1"/>
  <c r="P131" i="24"/>
  <c r="Q131" i="24" s="1"/>
  <c r="Z82" i="24"/>
  <c r="AT100" i="24"/>
  <c r="AU100" i="24" s="1"/>
  <c r="AT57" i="24"/>
  <c r="AU57" i="24" s="1"/>
  <c r="CC57" i="24" s="1"/>
  <c r="N155" i="24"/>
  <c r="O155" i="24"/>
  <c r="M82" i="24"/>
  <c r="AT88" i="24"/>
  <c r="AU88" i="24" s="1"/>
  <c r="CC88" i="24" s="1"/>
  <c r="L175" i="24"/>
  <c r="M176" i="24"/>
  <c r="F153" i="24"/>
  <c r="F154" i="24"/>
  <c r="D155" i="24"/>
  <c r="K82" i="24"/>
  <c r="AT128" i="24"/>
  <c r="AU128" i="24" s="1"/>
  <c r="N176" i="24"/>
  <c r="AT204" i="24"/>
  <c r="AU204" i="24" s="1"/>
  <c r="P109" i="24"/>
  <c r="Q109" i="24" s="1"/>
  <c r="AE147" i="24"/>
  <c r="AF147" i="24" s="1"/>
  <c r="I154" i="24"/>
  <c r="AT242" i="24"/>
  <c r="AU242" i="24" s="1"/>
  <c r="J154" i="24"/>
  <c r="F156" i="24"/>
  <c r="AT110" i="24"/>
  <c r="AU110" i="24" s="1"/>
  <c r="M152" i="24"/>
  <c r="G156" i="24"/>
  <c r="N82" i="24"/>
  <c r="P10" i="24"/>
  <c r="Q10" i="24" s="1"/>
  <c r="AE10" i="24"/>
  <c r="AF10" i="24" s="1"/>
  <c r="AE111" i="24"/>
  <c r="AF111" i="24" s="1"/>
  <c r="P129" i="24"/>
  <c r="Q129" i="24" s="1"/>
  <c r="AE153" i="24"/>
  <c r="AF153" i="24" s="1"/>
  <c r="AE173" i="24"/>
  <c r="AF173" i="24" s="1"/>
  <c r="P189" i="24"/>
  <c r="Q189" i="24" s="1"/>
  <c r="AT205" i="24"/>
  <c r="AU205" i="24" s="1"/>
  <c r="AT211" i="24"/>
  <c r="AU211" i="24" s="1"/>
  <c r="AT243" i="24"/>
  <c r="AU243" i="24" s="1"/>
  <c r="Y82" i="24"/>
  <c r="J155" i="24"/>
  <c r="K172" i="24"/>
  <c r="P206" i="24"/>
  <c r="Q206" i="24" s="1"/>
  <c r="AT209" i="24"/>
  <c r="AU209" i="24" s="1"/>
  <c r="P245" i="24"/>
  <c r="Q245" i="24" s="1"/>
  <c r="AT246" i="24"/>
  <c r="AU246" i="24" s="1"/>
  <c r="P248" i="24"/>
  <c r="Q248" i="24" s="1"/>
  <c r="AB82" i="24"/>
  <c r="AE108" i="24"/>
  <c r="AF108" i="24" s="1"/>
  <c r="AT123" i="24"/>
  <c r="AU123" i="24" s="1"/>
  <c r="AT124" i="24"/>
  <c r="AU124" i="24" s="1"/>
  <c r="F152" i="24"/>
  <c r="AT172" i="24"/>
  <c r="AU172" i="24" s="1"/>
  <c r="H175" i="24"/>
  <c r="AT226" i="24"/>
  <c r="AU226" i="24" s="1"/>
  <c r="AC82" i="24"/>
  <c r="P132" i="24"/>
  <c r="Q132" i="24" s="1"/>
  <c r="G152" i="24"/>
  <c r="P158" i="24"/>
  <c r="Q158" i="24" s="1"/>
  <c r="L155" i="24"/>
  <c r="K156" i="24"/>
  <c r="F176" i="24"/>
  <c r="P211" i="24"/>
  <c r="Q211" i="24" s="1"/>
  <c r="AT52" i="24"/>
  <c r="AU52" i="24" s="1"/>
  <c r="P111" i="24"/>
  <c r="Q111" i="24" s="1"/>
  <c r="AT126" i="24"/>
  <c r="AU126" i="24" s="1"/>
  <c r="AE140" i="24"/>
  <c r="AF140" i="24" s="1"/>
  <c r="E153" i="24"/>
  <c r="M155" i="24"/>
  <c r="L156" i="24"/>
  <c r="AE172" i="24"/>
  <c r="AF172" i="24" s="1"/>
  <c r="G176" i="24"/>
  <c r="P226" i="24"/>
  <c r="Q226" i="24" s="1"/>
  <c r="AT249" i="24"/>
  <c r="AU249" i="24" s="1"/>
  <c r="AT282" i="24"/>
  <c r="AU282" i="24" s="1"/>
  <c r="I152" i="24"/>
  <c r="AT247" i="24"/>
  <c r="AU247" i="24" s="1"/>
  <c r="P52" i="24"/>
  <c r="Q52" i="24" s="1"/>
  <c r="AT208" i="24"/>
  <c r="AU208" i="24" s="1"/>
  <c r="O82" i="24"/>
  <c r="AT108" i="24"/>
  <c r="AU108" i="24" s="1"/>
  <c r="AE126" i="24"/>
  <c r="AF126" i="24" s="1"/>
  <c r="P140" i="24"/>
  <c r="Q140" i="24" s="1"/>
  <c r="AT156" i="24"/>
  <c r="AU156" i="24" s="1"/>
  <c r="K152" i="24"/>
  <c r="H153" i="24"/>
  <c r="N175" i="24"/>
  <c r="J176" i="24"/>
  <c r="AT227" i="24"/>
  <c r="AU227" i="24" s="1"/>
  <c r="AT229" i="24"/>
  <c r="AU229" i="24" s="1"/>
  <c r="P249" i="24"/>
  <c r="Q249" i="24" s="1"/>
  <c r="AT154" i="24"/>
  <c r="AU154" i="24" s="1"/>
  <c r="AE155" i="24"/>
  <c r="AF155" i="24" s="1"/>
  <c r="G153" i="24"/>
  <c r="N156" i="24"/>
  <c r="O175" i="24"/>
  <c r="P208" i="24"/>
  <c r="Q208" i="24" s="1"/>
  <c r="AT210" i="24"/>
  <c r="AU210" i="24" s="1"/>
  <c r="AT212" i="24"/>
  <c r="AU212" i="24" s="1"/>
  <c r="P242" i="24"/>
  <c r="Q242" i="24" s="1"/>
  <c r="AE282" i="24"/>
  <c r="AF282" i="24" s="1"/>
  <c r="AT125" i="24"/>
  <c r="AU125" i="24" s="1"/>
  <c r="AE152" i="24"/>
  <c r="AF152" i="24" s="1"/>
  <c r="AE154" i="24"/>
  <c r="AF154" i="24" s="1"/>
  <c r="P229" i="24"/>
  <c r="Q229" i="24" s="1"/>
  <c r="P244" i="24"/>
  <c r="Q244" i="24" s="1"/>
  <c r="U82" i="24"/>
  <c r="P124" i="24"/>
  <c r="Q124" i="24" s="1"/>
  <c r="AT152" i="24"/>
  <c r="AU152" i="24" s="1"/>
  <c r="AE156" i="24"/>
  <c r="AF156" i="24" s="1"/>
  <c r="K153" i="24"/>
  <c r="E155" i="24"/>
  <c r="F172" i="24"/>
  <c r="L176" i="24"/>
  <c r="AT206" i="24"/>
  <c r="AU206" i="24" s="1"/>
  <c r="P210" i="24"/>
  <c r="Q210" i="24" s="1"/>
  <c r="P227" i="24"/>
  <c r="Q227" i="24" s="1"/>
  <c r="AT85" i="24"/>
  <c r="AU85" i="24" s="1"/>
  <c r="CC85" i="24" s="1"/>
  <c r="P126" i="24"/>
  <c r="Q126" i="24" s="1"/>
  <c r="O152" i="24"/>
  <c r="F155" i="24"/>
  <c r="G172" i="24"/>
  <c r="E172" i="24"/>
  <c r="P178" i="24"/>
  <c r="Q178" i="24" s="1"/>
  <c r="AT192" i="24"/>
  <c r="AU192" i="24" s="1"/>
  <c r="P212" i="24"/>
  <c r="Q212" i="24" s="1"/>
  <c r="AT244" i="24"/>
  <c r="AU244" i="24" s="1"/>
  <c r="W82" i="24"/>
  <c r="V82" i="24"/>
  <c r="AE149" i="24"/>
  <c r="AF149" i="24" s="1"/>
  <c r="P164" i="24"/>
  <c r="Q164" i="24" s="1"/>
  <c r="P125" i="24"/>
  <c r="Q125" i="24" s="1"/>
  <c r="AE129" i="24"/>
  <c r="AF129" i="24" s="1"/>
  <c r="P173" i="24"/>
  <c r="Q173" i="24" s="1"/>
  <c r="O176" i="24"/>
  <c r="AT155" i="24"/>
  <c r="AU155" i="24" s="1"/>
  <c r="L154" i="24"/>
  <c r="J172" i="24"/>
  <c r="AT193" i="24"/>
  <c r="AU193" i="24" s="1"/>
  <c r="P250" i="24"/>
  <c r="Q250" i="24" s="1"/>
  <c r="AE100" i="24"/>
  <c r="AF100" i="24" s="1"/>
  <c r="AT174" i="24"/>
  <c r="AU174" i="24" s="1"/>
  <c r="P191" i="24"/>
  <c r="Q191" i="24" s="1"/>
  <c r="P193" i="24"/>
  <c r="Q193" i="24" s="1"/>
  <c r="AT207" i="24"/>
  <c r="AU207" i="24" s="1"/>
  <c r="AT228" i="24"/>
  <c r="AU228" i="24" s="1"/>
  <c r="AT245" i="24"/>
  <c r="AU245" i="24" s="1"/>
  <c r="AT248" i="24"/>
  <c r="AU248" i="24" s="1"/>
  <c r="AT83" i="24"/>
  <c r="AU83" i="24" s="1"/>
  <c r="CC83" i="24" s="1"/>
  <c r="AF53" i="24"/>
  <c r="T84" i="24"/>
  <c r="AE88" i="24"/>
  <c r="AF88" i="24" s="1"/>
  <c r="P108" i="24"/>
  <c r="Q108" i="24" s="1"/>
  <c r="AT111" i="24"/>
  <c r="AU111" i="24" s="1"/>
  <c r="AT129" i="24"/>
  <c r="AU129" i="24" s="1"/>
  <c r="AT140" i="24"/>
  <c r="AU140" i="24" s="1"/>
  <c r="P149" i="24"/>
  <c r="Q149" i="24" s="1"/>
  <c r="F82" i="24"/>
  <c r="X82" i="24"/>
  <c r="P147" i="24"/>
  <c r="Q147" i="24" s="1"/>
  <c r="G82" i="24"/>
  <c r="AE124" i="24"/>
  <c r="AF124" i="24" s="1"/>
  <c r="AT176" i="24"/>
  <c r="AU176" i="24" s="1"/>
  <c r="D82" i="24"/>
  <c r="P83" i="24"/>
  <c r="H82" i="24"/>
  <c r="P110" i="24"/>
  <c r="Q110" i="24" s="1"/>
  <c r="AE110" i="24"/>
  <c r="AF110" i="24" s="1"/>
  <c r="AT112" i="24"/>
  <c r="AU112" i="24" s="1"/>
  <c r="P123" i="24"/>
  <c r="Q123" i="24" s="1"/>
  <c r="P128" i="24"/>
  <c r="Q128" i="24" s="1"/>
  <c r="AT130" i="24"/>
  <c r="AU130" i="24" s="1"/>
  <c r="AA82" i="24"/>
  <c r="E84" i="24"/>
  <c r="P88" i="24"/>
  <c r="Q88" i="24" s="1"/>
  <c r="AE123" i="24"/>
  <c r="AF123" i="24" s="1"/>
  <c r="AE125" i="24"/>
  <c r="AF125" i="24" s="1"/>
  <c r="AE128" i="24"/>
  <c r="AF128" i="24" s="1"/>
  <c r="J82" i="24"/>
  <c r="AE112" i="24"/>
  <c r="AF112" i="24" s="1"/>
  <c r="AT127" i="24"/>
  <c r="AU127" i="24" s="1"/>
  <c r="AE130" i="24"/>
  <c r="AF130" i="24" s="1"/>
  <c r="AT191" i="24"/>
  <c r="AU191" i="24" s="1"/>
  <c r="AT54" i="24"/>
  <c r="AU54" i="24" s="1"/>
  <c r="CC54" i="24" s="1"/>
  <c r="AT131" i="24"/>
  <c r="AU131" i="24" s="1"/>
  <c r="AT132" i="24"/>
  <c r="AU132" i="24" s="1"/>
  <c r="G154" i="24"/>
  <c r="P161" i="24"/>
  <c r="Q161" i="24" s="1"/>
  <c r="P100" i="24"/>
  <c r="Q100" i="24" s="1"/>
  <c r="AD84" i="24"/>
  <c r="P112" i="24"/>
  <c r="Q112" i="24" s="1"/>
  <c r="AE127" i="24"/>
  <c r="AF127" i="24" s="1"/>
  <c r="P130" i="24"/>
  <c r="Q130" i="24" s="1"/>
  <c r="D176" i="24"/>
  <c r="P183" i="24"/>
  <c r="Q183" i="24" s="1"/>
  <c r="AE85" i="24"/>
  <c r="AF85" i="24" s="1"/>
  <c r="AT109" i="24"/>
  <c r="AU109" i="24" s="1"/>
  <c r="AE132" i="24"/>
  <c r="AF132" i="24" s="1"/>
  <c r="AE83" i="24"/>
  <c r="P127" i="24"/>
  <c r="Q127" i="24" s="1"/>
  <c r="AE150" i="24"/>
  <c r="AF150" i="24" s="1"/>
  <c r="E152" i="24"/>
  <c r="K175" i="24"/>
  <c r="P181" i="24"/>
  <c r="Q181" i="24" s="1"/>
  <c r="S82" i="24"/>
  <c r="P85" i="24"/>
  <c r="Q85" i="24" s="1"/>
  <c r="AE109" i="24"/>
  <c r="AF109" i="24" s="1"/>
  <c r="P166" i="24"/>
  <c r="Q166" i="24" s="1"/>
  <c r="AT173" i="24"/>
  <c r="AU173" i="24" s="1"/>
  <c r="J153" i="24"/>
  <c r="AT213" i="24"/>
  <c r="AU213" i="24" s="1"/>
  <c r="AT230" i="24"/>
  <c r="AU230" i="24" s="1"/>
  <c r="P174" i="24"/>
  <c r="Q174" i="24" s="1"/>
  <c r="P182" i="24"/>
  <c r="Q182" i="24" s="1"/>
  <c r="P204" i="24"/>
  <c r="Q204" i="24" s="1"/>
  <c r="P241" i="24"/>
  <c r="Q241" i="24" s="1"/>
  <c r="P246" i="24"/>
  <c r="Q246" i="24" s="1"/>
  <c r="P150" i="24"/>
  <c r="Q150" i="24" s="1"/>
  <c r="AT153" i="24"/>
  <c r="AU153" i="24" s="1"/>
  <c r="D152" i="24"/>
  <c r="P157" i="24"/>
  <c r="Q157" i="24" s="1"/>
  <c r="P165" i="24"/>
  <c r="Q165" i="24" s="1"/>
  <c r="AE176" i="24"/>
  <c r="AF176" i="24" s="1"/>
  <c r="P209" i="24"/>
  <c r="Q209" i="24" s="1"/>
  <c r="P213" i="24"/>
  <c r="Q213" i="24" s="1"/>
  <c r="P228" i="24"/>
  <c r="Q228" i="24" s="1"/>
  <c r="P230" i="24"/>
  <c r="Q230" i="24" s="1"/>
  <c r="P243" i="24"/>
  <c r="Q243" i="24" s="1"/>
  <c r="AT250" i="24"/>
  <c r="AU250" i="24" s="1"/>
  <c r="P282" i="24"/>
  <c r="Q282" i="24" s="1"/>
  <c r="P163" i="24"/>
  <c r="Q163" i="24" s="1"/>
  <c r="AT189" i="24"/>
  <c r="AU189" i="24" s="1"/>
  <c r="P159" i="24"/>
  <c r="Q159" i="24" s="1"/>
  <c r="P162" i="24"/>
  <c r="Q162" i="24" s="1"/>
  <c r="P179" i="24"/>
  <c r="Q179" i="24" s="1"/>
  <c r="AE131" i="24"/>
  <c r="AF131" i="24" s="1"/>
  <c r="P177" i="24"/>
  <c r="Q177" i="24" s="1"/>
  <c r="P180" i="24"/>
  <c r="Q180" i="24" s="1"/>
  <c r="P205" i="24"/>
  <c r="Q205" i="24" s="1"/>
  <c r="P247" i="24"/>
  <c r="Q247" i="24" s="1"/>
  <c r="N152" i="24"/>
  <c r="P160" i="24"/>
  <c r="Q160" i="24" s="1"/>
  <c r="AT190" i="24"/>
  <c r="AU190" i="24" s="1"/>
  <c r="P192" i="24"/>
  <c r="Q192" i="24" s="1"/>
  <c r="P207" i="24"/>
  <c r="Q207" i="24" s="1"/>
  <c r="I153" i="24"/>
  <c r="AE174" i="24"/>
  <c r="AF174" i="24" s="1"/>
  <c r="AT175" i="24"/>
  <c r="AU175" i="24" s="1"/>
  <c r="I175" i="24"/>
  <c r="P190" i="24"/>
  <c r="Q190" i="24" s="1"/>
  <c r="AT241" i="24"/>
  <c r="AU241" i="24" s="1"/>
  <c r="L19" i="25"/>
  <c r="L10" i="25" s="1"/>
  <c r="Q46" i="25"/>
  <c r="R46" i="25" s="1"/>
  <c r="AE4" i="25"/>
  <c r="N29" i="25"/>
  <c r="N49" i="25"/>
  <c r="O29" i="25"/>
  <c r="O49" i="25"/>
  <c r="P49" i="25"/>
  <c r="AJ49" i="25"/>
  <c r="M29" i="25"/>
  <c r="AE44" i="25"/>
  <c r="AF44" i="25" s="1"/>
  <c r="AF43" i="25"/>
  <c r="AL49" i="25"/>
  <c r="Q38" i="25"/>
  <c r="R38" i="25" s="1"/>
  <c r="Q22" i="25"/>
  <c r="R22" i="25" s="1"/>
  <c r="W49" i="25"/>
  <c r="AE63" i="25"/>
  <c r="AF63" i="25" s="1"/>
  <c r="G19" i="25"/>
  <c r="Y10" i="25"/>
  <c r="H29" i="25"/>
  <c r="H49" i="25"/>
  <c r="Y49" i="25"/>
  <c r="AE56" i="25"/>
  <c r="AF56" i="25" s="1"/>
  <c r="AE9" i="25"/>
  <c r="AF9" i="25" s="1"/>
  <c r="AE25" i="25"/>
  <c r="AF25" i="25" s="1"/>
  <c r="Z49" i="25"/>
  <c r="J29" i="25"/>
  <c r="J19" i="25"/>
  <c r="AC49" i="25"/>
  <c r="AJ62" i="25"/>
  <c r="AL55" i="25"/>
  <c r="U55" i="25"/>
  <c r="W55" i="25"/>
  <c r="F55" i="25"/>
  <c r="H19" i="25"/>
  <c r="Z10" i="25"/>
  <c r="Q24" i="25"/>
  <c r="R24" i="25" s="1"/>
  <c r="I19" i="25"/>
  <c r="I10" i="25" s="1"/>
  <c r="AA10" i="25"/>
  <c r="E37" i="25"/>
  <c r="Q37" i="25" s="1"/>
  <c r="R37" i="25" s="1"/>
  <c r="K49" i="25"/>
  <c r="AA49" i="25"/>
  <c r="W12" i="25"/>
  <c r="AB10" i="25"/>
  <c r="AE32" i="25"/>
  <c r="AF32" i="25" s="1"/>
  <c r="AD49" i="25"/>
  <c r="AF4" i="25"/>
  <c r="K19" i="25"/>
  <c r="AC10" i="25"/>
  <c r="L45" i="25"/>
  <c r="U12" i="25"/>
  <c r="Z12" i="25"/>
  <c r="M19" i="25"/>
  <c r="V12" i="25"/>
  <c r="AH49" i="25"/>
  <c r="AE46" i="25"/>
  <c r="AF46" i="25" s="1"/>
  <c r="Q32" i="25"/>
  <c r="R32" i="25" s="1"/>
  <c r="AI49" i="25"/>
  <c r="AL45" i="25"/>
  <c r="Q56" i="25"/>
  <c r="R56" i="25" s="1"/>
  <c r="AE59" i="25"/>
  <c r="AF59" i="25" s="1"/>
  <c r="AE7" i="25"/>
  <c r="AF7" i="25" s="1"/>
  <c r="F12" i="25"/>
  <c r="AI37" i="25"/>
  <c r="Q11" i="25"/>
  <c r="R11" i="25" s="1"/>
  <c r="Q52" i="25"/>
  <c r="R52" i="25" s="1"/>
  <c r="AE22" i="25"/>
  <c r="AF22" i="25" s="1"/>
  <c r="AE8" i="25"/>
  <c r="AF8" i="25" s="1"/>
  <c r="H12" i="25"/>
  <c r="N5" i="25"/>
  <c r="E19" i="25"/>
  <c r="T49" i="25"/>
  <c r="AM49" i="25"/>
  <c r="Q63" i="25"/>
  <c r="R63" i="25" s="1"/>
  <c r="R43" i="25"/>
  <c r="V49" i="25"/>
  <c r="Q44" i="25"/>
  <c r="R44" i="25" s="1"/>
  <c r="X10" i="25"/>
  <c r="G49" i="25"/>
  <c r="X49" i="25"/>
  <c r="Y55" i="25"/>
  <c r="Z55" i="25"/>
  <c r="I55" i="25"/>
  <c r="J55" i="25"/>
  <c r="AB55" i="25"/>
  <c r="K55" i="25"/>
  <c r="AC55" i="25"/>
  <c r="L55" i="25"/>
  <c r="N55" i="25"/>
  <c r="M55" i="25"/>
  <c r="O55" i="25"/>
  <c r="AH62" i="25"/>
  <c r="AE19" i="25"/>
  <c r="AF19" i="25" s="1"/>
  <c r="M12" i="25"/>
  <c r="AC12" i="25"/>
  <c r="AE16" i="25"/>
  <c r="AF16" i="25" s="1"/>
  <c r="E55" i="25"/>
  <c r="E62" i="25"/>
  <c r="O5" i="25"/>
  <c r="AE38" i="25"/>
  <c r="AF38" i="25" s="1"/>
  <c r="Q59" i="25"/>
  <c r="R59" i="25" s="1"/>
  <c r="P5" i="25"/>
  <c r="S29" i="25"/>
  <c r="S49" i="25"/>
  <c r="L12" i="25"/>
  <c r="P45" i="25"/>
  <c r="AB12" i="25"/>
  <c r="E29" i="25"/>
  <c r="U29" i="25"/>
  <c r="U10" i="25" s="1"/>
  <c r="AE43" i="25"/>
  <c r="E49" i="25"/>
  <c r="AH45" i="25"/>
  <c r="F29" i="25"/>
  <c r="V29" i="25"/>
  <c r="V10" i="25" s="1"/>
  <c r="S12" i="25"/>
  <c r="E5" i="25"/>
  <c r="E12" i="25"/>
  <c r="AD37" i="25"/>
  <c r="J49" i="25"/>
  <c r="AE52" i="25"/>
  <c r="AF52" i="25" s="1"/>
  <c r="BN210" i="45"/>
  <c r="BN206" i="45"/>
  <c r="BN215" i="45"/>
  <c r="BL169" i="45"/>
  <c r="BM169" i="45"/>
  <c r="BD215" i="45"/>
  <c r="BF169" i="45"/>
  <c r="BG169" i="45"/>
  <c r="BH169" i="45"/>
  <c r="BH216" i="45"/>
  <c r="BJ169" i="45"/>
  <c r="BL216" i="45"/>
  <c r="BK169" i="45"/>
  <c r="BN169" i="45"/>
  <c r="BM216" i="45"/>
  <c r="BD216" i="45"/>
  <c r="BF216" i="45"/>
  <c r="BI169" i="45"/>
  <c r="BG216" i="45"/>
  <c r="K31" i="34"/>
  <c r="U31" i="34"/>
  <c r="E103" i="34"/>
  <c r="Q37" i="34"/>
  <c r="Q12" i="34"/>
  <c r="N31" i="34"/>
  <c r="H103" i="34"/>
  <c r="AF12" i="34"/>
  <c r="Q22" i="34"/>
  <c r="J103" i="34"/>
  <c r="AF106" i="34"/>
  <c r="Q105" i="34"/>
  <c r="Q6" i="34"/>
  <c r="V31" i="34"/>
  <c r="Q47" i="34"/>
  <c r="AF107" i="34"/>
  <c r="AF42" i="34"/>
  <c r="Q42" i="34"/>
  <c r="AF52" i="34"/>
  <c r="F4" i="34"/>
  <c r="D4" i="34"/>
  <c r="V4" i="34"/>
  <c r="Y103" i="34"/>
  <c r="Q107" i="34"/>
  <c r="Z103" i="34"/>
  <c r="AF37" i="34"/>
  <c r="AF105" i="34"/>
  <c r="Q32" i="34"/>
  <c r="T31" i="34"/>
  <c r="Q108" i="34"/>
  <c r="X103" i="34"/>
  <c r="I103" i="34"/>
  <c r="AF6" i="34"/>
  <c r="D31" i="34"/>
  <c r="Q104" i="34"/>
  <c r="R66" i="26"/>
  <c r="S9" i="26"/>
  <c r="S56" i="26"/>
  <c r="S81" i="26"/>
  <c r="R58" i="26"/>
  <c r="S58" i="26" s="1"/>
  <c r="AF24" i="33"/>
  <c r="AE24" i="33"/>
  <c r="AE20" i="33"/>
  <c r="AF20" i="33"/>
  <c r="CA24" i="54"/>
  <c r="CA23" i="54"/>
  <c r="AE14" i="54"/>
  <c r="CC355" i="55"/>
  <c r="CC356" i="55"/>
  <c r="CC360" i="55"/>
  <c r="CC353" i="55"/>
  <c r="CA16" i="54"/>
  <c r="CR207" i="45"/>
  <c r="J48" i="25" l="1"/>
  <c r="AB48" i="25"/>
  <c r="Y48" i="25"/>
  <c r="W48" i="25"/>
  <c r="AP48" i="25"/>
  <c r="AL48" i="25"/>
  <c r="AE47" i="25"/>
  <c r="AF47" i="25" s="1"/>
  <c r="P10" i="25"/>
  <c r="AI48" i="25"/>
  <c r="AT47" i="25"/>
  <c r="AU47" i="25"/>
  <c r="CD47" i="25"/>
  <c r="Q47" i="25"/>
  <c r="R47" i="25" s="1"/>
  <c r="AA48" i="25"/>
  <c r="M48" i="25"/>
  <c r="H10" i="25"/>
  <c r="AC48" i="25"/>
  <c r="K48" i="25"/>
  <c r="X48" i="25"/>
  <c r="F62" i="25"/>
  <c r="Q62" i="25" s="1"/>
  <c r="R62" i="25" s="1"/>
  <c r="F48" i="25"/>
  <c r="I48" i="25"/>
  <c r="N10" i="25"/>
  <c r="V55" i="25"/>
  <c r="V48" i="25" s="1"/>
  <c r="U48" i="25"/>
  <c r="G10" i="25"/>
  <c r="AJ55" i="25"/>
  <c r="AJ48" i="25" s="1"/>
  <c r="O48" i="25"/>
  <c r="AM55" i="25"/>
  <c r="AM48" i="25" s="1"/>
  <c r="T55" i="25"/>
  <c r="T48" i="25" s="1"/>
  <c r="AK48" i="25"/>
  <c r="N48" i="25"/>
  <c r="H55" i="25"/>
  <c r="H48" i="25" s="1"/>
  <c r="K10" i="25"/>
  <c r="J10" i="25"/>
  <c r="M10" i="25"/>
  <c r="O10" i="25"/>
  <c r="F10" i="25"/>
  <c r="AE45" i="25"/>
  <c r="AF45" i="25" s="1"/>
  <c r="AU272" i="22"/>
  <c r="CB272" i="22" s="1"/>
  <c r="AU308" i="22"/>
  <c r="CB308" i="22" s="1"/>
  <c r="AU326" i="22"/>
  <c r="CB326" i="22" s="1"/>
  <c r="AU312" i="22"/>
  <c r="CB312" i="22" s="1"/>
  <c r="AU68" i="22"/>
  <c r="CB68" i="22" s="1"/>
  <c r="AT68" i="22"/>
  <c r="AU327" i="22"/>
  <c r="CB327" i="22" s="1"/>
  <c r="AU328" i="22"/>
  <c r="CB328" i="22" s="1"/>
  <c r="AU65" i="22"/>
  <c r="CB65" i="22" s="1"/>
  <c r="AT65" i="22"/>
  <c r="AU61" i="22"/>
  <c r="CB61" i="22" s="1"/>
  <c r="AT61" i="22"/>
  <c r="AU309" i="22"/>
  <c r="CB309" i="22" s="1"/>
  <c r="AU66" i="22"/>
  <c r="CB66" i="22" s="1"/>
  <c r="AT66" i="22"/>
  <c r="AU310" i="22"/>
  <c r="CB310" i="22" s="1"/>
  <c r="AT69" i="22"/>
  <c r="AU69" i="22"/>
  <c r="CB69" i="22" s="1"/>
  <c r="AU325" i="22"/>
  <c r="CB325" i="22" s="1"/>
  <c r="AU311" i="22"/>
  <c r="CB311" i="22" s="1"/>
  <c r="AT67" i="22"/>
  <c r="AU67" i="22"/>
  <c r="CB67" i="22" s="1"/>
  <c r="P66" i="22"/>
  <c r="P65" i="22"/>
  <c r="Q27" i="22"/>
  <c r="Q65" i="22" s="1"/>
  <c r="AE31" i="36"/>
  <c r="M13" i="26"/>
  <c r="M11" i="26"/>
  <c r="M50" i="26"/>
  <c r="M15" i="26"/>
  <c r="AU304" i="22"/>
  <c r="CB304" i="22" s="1"/>
  <c r="Q67" i="22"/>
  <c r="P67" i="22"/>
  <c r="M12" i="26"/>
  <c r="M14" i="26"/>
  <c r="M66" i="26"/>
  <c r="M7" i="26"/>
  <c r="CD49" i="25"/>
  <c r="CD62" i="25"/>
  <c r="CD45" i="25"/>
  <c r="AH55" i="25"/>
  <c r="AH48" i="25" s="1"/>
  <c r="Q12" i="25"/>
  <c r="R12" i="25" s="1"/>
  <c r="Z48" i="25"/>
  <c r="L48" i="25"/>
  <c r="L14" i="26"/>
  <c r="BD212" i="45"/>
  <c r="L15" i="26"/>
  <c r="L7" i="26"/>
  <c r="L50" i="26"/>
  <c r="L66" i="26"/>
  <c r="L11" i="26"/>
  <c r="L13" i="26"/>
  <c r="L12" i="26"/>
  <c r="CS200" i="45"/>
  <c r="DO169" i="45"/>
  <c r="CS203" i="45"/>
  <c r="CS212" i="45"/>
  <c r="CB74" i="55"/>
  <c r="CB73" i="55"/>
  <c r="CB68" i="55"/>
  <c r="CB67" i="55"/>
  <c r="Y15" i="54"/>
  <c r="P154" i="24"/>
  <c r="Q154" i="24" s="1"/>
  <c r="Q28" i="22"/>
  <c r="Q66" i="22" s="1"/>
  <c r="AF29" i="36"/>
  <c r="AF33" i="36"/>
  <c r="S54" i="26"/>
  <c r="CA45" i="54"/>
  <c r="CA37" i="55"/>
  <c r="CA74" i="54"/>
  <c r="CA49" i="55"/>
  <c r="CC359" i="55"/>
  <c r="E10" i="25"/>
  <c r="X15" i="54"/>
  <c r="AG14" i="54"/>
  <c r="AF9" i="54"/>
  <c r="AB15" i="54"/>
  <c r="AG11" i="54"/>
  <c r="CA61" i="54"/>
  <c r="T15" i="54"/>
  <c r="CA31" i="55"/>
  <c r="CC361" i="55"/>
  <c r="CA68" i="55"/>
  <c r="BI125" i="45"/>
  <c r="BI80" i="45" s="1"/>
  <c r="BD125" i="45"/>
  <c r="AF11" i="54"/>
  <c r="AC15" i="54"/>
  <c r="AD15" i="54"/>
  <c r="AG7" i="54"/>
  <c r="AG10" i="54"/>
  <c r="AE22" i="54"/>
  <c r="W15" i="54"/>
  <c r="AF14" i="54"/>
  <c r="R7" i="54"/>
  <c r="AG9" i="54"/>
  <c r="AC13" i="54"/>
  <c r="AC4" i="54" s="1"/>
  <c r="W32" i="54"/>
  <c r="W13" i="54" s="1"/>
  <c r="W4" i="54" s="1"/>
  <c r="AF61" i="54"/>
  <c r="AF12" i="54"/>
  <c r="CA101" i="54"/>
  <c r="Z15" i="54"/>
  <c r="AA15" i="54"/>
  <c r="AF10" i="54"/>
  <c r="BD20" i="45"/>
  <c r="BD198" i="45"/>
  <c r="BD12" i="45"/>
  <c r="BD197" i="45" s="1"/>
  <c r="BI8" i="45"/>
  <c r="BI196" i="45" s="1"/>
  <c r="CS201" i="45"/>
  <c r="CS206" i="45"/>
  <c r="BM81" i="45"/>
  <c r="BI81" i="45"/>
  <c r="BL81" i="45"/>
  <c r="BN81" i="45"/>
  <c r="BE81" i="45"/>
  <c r="BE88" i="45" s="1"/>
  <c r="BJ81" i="45"/>
  <c r="BH81" i="45"/>
  <c r="BK81" i="45"/>
  <c r="BG81" i="45"/>
  <c r="BF81" i="45"/>
  <c r="BF88" i="45" s="1"/>
  <c r="BF205" i="45" s="1"/>
  <c r="BF5" i="45"/>
  <c r="BF194" i="45" s="1"/>
  <c r="CS214" i="45"/>
  <c r="CS213" i="45"/>
  <c r="BM212" i="45"/>
  <c r="BG197" i="45"/>
  <c r="BG5" i="45"/>
  <c r="BG194" i="45" s="1"/>
  <c r="BF197" i="45"/>
  <c r="BD81" i="45"/>
  <c r="BD201" i="45"/>
  <c r="BG125" i="45"/>
  <c r="BG80" i="45" s="1"/>
  <c r="BD203" i="45"/>
  <c r="BM97" i="45"/>
  <c r="BM107" i="45" s="1"/>
  <c r="BM79" i="45" s="1"/>
  <c r="BD196" i="45"/>
  <c r="CS196" i="45"/>
  <c r="CR206" i="45"/>
  <c r="R7" i="26"/>
  <c r="S7" i="26" s="1"/>
  <c r="AE15" i="54"/>
  <c r="X13" i="54"/>
  <c r="X4" i="54" s="1"/>
  <c r="AF35" i="54"/>
  <c r="AD13" i="54"/>
  <c r="AD4" i="54" s="1"/>
  <c r="CA25" i="54"/>
  <c r="V15" i="54"/>
  <c r="AB13" i="54"/>
  <c r="AB4" i="54" s="1"/>
  <c r="AG71" i="54"/>
  <c r="V13" i="54"/>
  <c r="V4" i="54" s="1"/>
  <c r="BH5" i="45"/>
  <c r="BH194" i="45" s="1"/>
  <c r="BI197" i="45"/>
  <c r="BJ125" i="45"/>
  <c r="BJ80" i="45" s="1"/>
  <c r="BN212" i="45"/>
  <c r="BL125" i="45"/>
  <c r="BL80" i="45" s="1"/>
  <c r="BJ197" i="45"/>
  <c r="AP5" i="45"/>
  <c r="BN125" i="45"/>
  <c r="BJ206" i="45"/>
  <c r="BJ97" i="45"/>
  <c r="BJ107" i="45" s="1"/>
  <c r="BJ79" i="45" s="1"/>
  <c r="BK125" i="45"/>
  <c r="BK80" i="45" s="1"/>
  <c r="BH197" i="45"/>
  <c r="BK97" i="45"/>
  <c r="BK107" i="45" s="1"/>
  <c r="BK79" i="45" s="1"/>
  <c r="BK206" i="45"/>
  <c r="BM198" i="45"/>
  <c r="BM197" i="45"/>
  <c r="BD97" i="45"/>
  <c r="BD206" i="45"/>
  <c r="DM8" i="45"/>
  <c r="BE10" i="45"/>
  <c r="BE5" i="45"/>
  <c r="BH125" i="45"/>
  <c r="BH80" i="45" s="1"/>
  <c r="BN198" i="45"/>
  <c r="BN197" i="45"/>
  <c r="BF212" i="45"/>
  <c r="BF201" i="45"/>
  <c r="BE197" i="45"/>
  <c r="BE196" i="45"/>
  <c r="BM20" i="45"/>
  <c r="BL206" i="45"/>
  <c r="BL97" i="45"/>
  <c r="BL107" i="45" s="1"/>
  <c r="BL79" i="45" s="1"/>
  <c r="DM13" i="45"/>
  <c r="BJ5" i="45"/>
  <c r="BJ194" i="45" s="1"/>
  <c r="BI206" i="45"/>
  <c r="BI97" i="45"/>
  <c r="BI107" i="45" s="1"/>
  <c r="BI79" i="45" s="1"/>
  <c r="BM200" i="45"/>
  <c r="DM12" i="45"/>
  <c r="DM10" i="45" s="1"/>
  <c r="BH206" i="45"/>
  <c r="BH97" i="45"/>
  <c r="BH107" i="45" s="1"/>
  <c r="BH79" i="45" s="1"/>
  <c r="BE212" i="45"/>
  <c r="BI5" i="45"/>
  <c r="BI194" i="45" s="1"/>
  <c r="CA74" i="55"/>
  <c r="CC366" i="55"/>
  <c r="CA20" i="55"/>
  <c r="CA12" i="54"/>
  <c r="AF8" i="54"/>
  <c r="U15" i="54"/>
  <c r="AF71" i="54"/>
  <c r="AG35" i="54"/>
  <c r="CA9" i="54"/>
  <c r="AA13" i="54"/>
  <c r="AA4" i="54" s="1"/>
  <c r="Y13" i="54"/>
  <c r="Y4" i="54" s="1"/>
  <c r="AF25" i="54"/>
  <c r="Z13" i="54"/>
  <c r="Z4" i="54" s="1"/>
  <c r="AG101" i="54"/>
  <c r="AG25" i="54"/>
  <c r="CA35" i="54"/>
  <c r="AG81" i="54"/>
  <c r="AF81" i="54"/>
  <c r="AG27" i="54"/>
  <c r="AG8" i="54"/>
  <c r="AE32" i="54"/>
  <c r="CA10" i="54"/>
  <c r="U13" i="54"/>
  <c r="U4" i="54" s="1"/>
  <c r="AF42" i="54"/>
  <c r="T22" i="54"/>
  <c r="T13" i="54" s="1"/>
  <c r="T4" i="54" s="1"/>
  <c r="AG42" i="54"/>
  <c r="AF101" i="54"/>
  <c r="CA81" i="54"/>
  <c r="AF91" i="54"/>
  <c r="AG12" i="54"/>
  <c r="AG91" i="54"/>
  <c r="AG32" i="54" s="1"/>
  <c r="CA11" i="54"/>
  <c r="AF27" i="54"/>
  <c r="AF4" i="34"/>
  <c r="AE29" i="36"/>
  <c r="AE33" i="36"/>
  <c r="Q4" i="34"/>
  <c r="Q31" i="34"/>
  <c r="Q103" i="34"/>
  <c r="AF31" i="34"/>
  <c r="Q66" i="26"/>
  <c r="S66" i="26" s="1"/>
  <c r="BI175" i="22"/>
  <c r="BI144" i="22"/>
  <c r="Q30" i="22"/>
  <c r="Q68" i="22" s="1"/>
  <c r="P68" i="22"/>
  <c r="AE68" i="22"/>
  <c r="AF30" i="22"/>
  <c r="AF68" i="22" s="1"/>
  <c r="AE66" i="22"/>
  <c r="AF28" i="22"/>
  <c r="BI143" i="22"/>
  <c r="BI160" i="22"/>
  <c r="AE65" i="22"/>
  <c r="AF27" i="22"/>
  <c r="AF65" i="22" s="1"/>
  <c r="AE61" i="22"/>
  <c r="AF23" i="22"/>
  <c r="AF61" i="22" s="1"/>
  <c r="BI159" i="22"/>
  <c r="AF67" i="22"/>
  <c r="BI177" i="22"/>
  <c r="AE67" i="22"/>
  <c r="BI193" i="22"/>
  <c r="BI174" i="22"/>
  <c r="BI141" i="22"/>
  <c r="AF79" i="22"/>
  <c r="BI190" i="22"/>
  <c r="BI157" i="22"/>
  <c r="AF76" i="22"/>
  <c r="AF70" i="22"/>
  <c r="P61" i="22"/>
  <c r="Q23" i="22"/>
  <c r="Q61" i="22" s="1"/>
  <c r="S11" i="26"/>
  <c r="BI192" i="22"/>
  <c r="AF73" i="22"/>
  <c r="BI176" i="22"/>
  <c r="S12" i="26"/>
  <c r="S14" i="26"/>
  <c r="BI173" i="22"/>
  <c r="BI189" i="22"/>
  <c r="BI158" i="22"/>
  <c r="BI142" i="22"/>
  <c r="S13" i="26"/>
  <c r="P69" i="22"/>
  <c r="Q31" i="22"/>
  <c r="Q69" i="22" s="1"/>
  <c r="AE69" i="22"/>
  <c r="AF31" i="22"/>
  <c r="P175" i="24"/>
  <c r="Q175" i="24" s="1"/>
  <c r="P156" i="24"/>
  <c r="Q156" i="24" s="1"/>
  <c r="P176" i="24"/>
  <c r="Q176" i="24" s="1"/>
  <c r="AT84" i="24"/>
  <c r="AU84" i="24" s="1"/>
  <c r="CC84" i="24" s="1"/>
  <c r="P153" i="24"/>
  <c r="Q153" i="24" s="1"/>
  <c r="P172" i="24"/>
  <c r="Q172" i="24" s="1"/>
  <c r="P155" i="24"/>
  <c r="Q155" i="24" s="1"/>
  <c r="E82" i="24"/>
  <c r="P84" i="24"/>
  <c r="Q84" i="24" s="1"/>
  <c r="P152" i="24"/>
  <c r="Q152" i="24" s="1"/>
  <c r="AE84" i="24"/>
  <c r="AF84" i="24" s="1"/>
  <c r="T82" i="24"/>
  <c r="AF83" i="24"/>
  <c r="AD82" i="24"/>
  <c r="Q83" i="24"/>
  <c r="BZ150" i="24"/>
  <c r="Q45" i="25"/>
  <c r="R45" i="25" s="1"/>
  <c r="Q19" i="25"/>
  <c r="R19" i="25" s="1"/>
  <c r="G55" i="25"/>
  <c r="G48" i="25" s="1"/>
  <c r="AE12" i="25"/>
  <c r="AF12" i="25" s="1"/>
  <c r="S55" i="25"/>
  <c r="S48" i="25" s="1"/>
  <c r="AE49" i="25"/>
  <c r="AF49" i="25" s="1"/>
  <c r="Q5" i="25"/>
  <c r="R5" i="25" s="1"/>
  <c r="Q29" i="25"/>
  <c r="R29" i="25" s="1"/>
  <c r="AD62" i="25"/>
  <c r="AE37" i="25"/>
  <c r="AF37" i="25" s="1"/>
  <c r="AD55" i="25"/>
  <c r="E48" i="25"/>
  <c r="Q49" i="25"/>
  <c r="R49" i="25" s="1"/>
  <c r="AE29" i="25"/>
  <c r="AF29" i="25" s="1"/>
  <c r="S10" i="25"/>
  <c r="AE10" i="25" s="1"/>
  <c r="AF10" i="25" s="1"/>
  <c r="P55" i="25"/>
  <c r="P48" i="25" s="1"/>
  <c r="AF103" i="34"/>
  <c r="R50" i="26"/>
  <c r="Q50" i="26"/>
  <c r="CA14" i="54"/>
  <c r="AT48" i="25" l="1"/>
  <c r="CD48" i="25"/>
  <c r="CD55" i="25"/>
  <c r="Q10" i="25"/>
  <c r="R10" i="25" s="1"/>
  <c r="AB3" i="54"/>
  <c r="BI88" i="45"/>
  <c r="BI205" i="45" s="1"/>
  <c r="BD5" i="45"/>
  <c r="BD10" i="45"/>
  <c r="BD80" i="45"/>
  <c r="BG88" i="45"/>
  <c r="BG205" i="45" s="1"/>
  <c r="BY197" i="45"/>
  <c r="BY194" i="45"/>
  <c r="BM88" i="45"/>
  <c r="BM205" i="45" s="1"/>
  <c r="BX202" i="45"/>
  <c r="Y3" i="54"/>
  <c r="BV198" i="45"/>
  <c r="AI4" i="55"/>
  <c r="T3" i="54"/>
  <c r="BE194" i="45"/>
  <c r="CA42" i="54"/>
  <c r="AF32" i="54"/>
  <c r="CA71" i="54"/>
  <c r="CA7" i="54"/>
  <c r="AF15" i="54"/>
  <c r="X3" i="54"/>
  <c r="Z3" i="54"/>
  <c r="AD3" i="54"/>
  <c r="AA3" i="54"/>
  <c r="AT82" i="24"/>
  <c r="AU82" i="24" s="1"/>
  <c r="CC82" i="24" s="1"/>
  <c r="AC3" i="54"/>
  <c r="CA85" i="55"/>
  <c r="CC358" i="55"/>
  <c r="CA67" i="55"/>
  <c r="W3" i="54"/>
  <c r="BH88" i="45"/>
  <c r="BH205" i="45" s="1"/>
  <c r="BJ88" i="45"/>
  <c r="BJ205" i="45" s="1"/>
  <c r="BD107" i="45"/>
  <c r="BL88" i="45"/>
  <c r="BL205" i="45" s="1"/>
  <c r="S50" i="26"/>
  <c r="V3" i="54"/>
  <c r="AG15" i="54"/>
  <c r="BN80" i="45"/>
  <c r="BK88" i="45"/>
  <c r="BK205" i="45" s="1"/>
  <c r="DM5" i="45"/>
  <c r="CC365" i="55"/>
  <c r="CC364" i="55"/>
  <c r="CA73" i="55"/>
  <c r="U3" i="54"/>
  <c r="AG22" i="54"/>
  <c r="AG13" i="54" s="1"/>
  <c r="AG4" i="54" s="1"/>
  <c r="AF22" i="54"/>
  <c r="CA22" i="54"/>
  <c r="AE13" i="54"/>
  <c r="S15" i="26"/>
  <c r="BI188" i="22"/>
  <c r="BI172" i="22"/>
  <c r="AF66" i="22"/>
  <c r="BI155" i="22"/>
  <c r="V7" i="26"/>
  <c r="BI139" i="22"/>
  <c r="AF69" i="22"/>
  <c r="AE82" i="24"/>
  <c r="AF82" i="24" s="1"/>
  <c r="P82" i="24"/>
  <c r="Q82" i="24" s="1"/>
  <c r="BZ149" i="24"/>
  <c r="AD48" i="25"/>
  <c r="AE62" i="25"/>
  <c r="AF62" i="25" s="1"/>
  <c r="Q48" i="25"/>
  <c r="R48" i="25" s="1"/>
  <c r="Q55" i="25"/>
  <c r="R55" i="25" s="1"/>
  <c r="AE55" i="25"/>
  <c r="AF55" i="25" s="1"/>
  <c r="BE205" i="45"/>
  <c r="BD194" i="45" l="1"/>
  <c r="CS194" i="45"/>
  <c r="CS202" i="45"/>
  <c r="BX199" i="45"/>
  <c r="CV50" i="45"/>
  <c r="AI6" i="55"/>
  <c r="AF13" i="54"/>
  <c r="AF4" i="54" s="1"/>
  <c r="AF3" i="54" s="1"/>
  <c r="Y7" i="26"/>
  <c r="Z7" i="26"/>
  <c r="AG3" i="54"/>
  <c r="CA91" i="54"/>
  <c r="CA32" i="54"/>
  <c r="W7" i="26"/>
  <c r="BD79" i="45"/>
  <c r="DM78" i="45"/>
  <c r="AE4" i="54"/>
  <c r="AE3" i="54" s="1"/>
  <c r="AE48" i="25"/>
  <c r="AF48" i="25" s="1"/>
  <c r="BN88" i="45"/>
  <c r="BN205" i="45" s="1"/>
  <c r="CW21" i="45" l="1"/>
  <c r="CV21" i="45"/>
  <c r="BX197" i="45"/>
  <c r="CS197" i="45"/>
  <c r="CS199" i="45"/>
  <c r="BD88" i="45"/>
  <c r="CA13" i="54"/>
  <c r="CS205" i="45" l="1"/>
  <c r="BD205" i="45"/>
  <c r="L10" i="16" a="1"/>
  <c r="L32" i="15" a="1"/>
  <c r="M9" i="21" a="1"/>
  <c r="M67" i="13" a="1"/>
  <c r="M13" i="15" a="1"/>
  <c r="L57" i="16" a="1"/>
  <c r="N70" i="13" a="1"/>
  <c r="L65" i="16" a="1"/>
  <c r="N7" i="21" a="1"/>
  <c r="M8" i="21" a="1"/>
  <c r="N10" i="15" a="1"/>
  <c r="L49" i="15" a="1"/>
  <c r="N31" i="15" a="1"/>
  <c r="L90" i="16" a="1"/>
  <c r="J101" i="20" a="1"/>
  <c r="L16" i="15" a="1"/>
  <c r="O6" i="13" a="1"/>
  <c r="N12" i="15" a="1"/>
  <c r="M27" i="15" a="1"/>
  <c r="J90" i="20" a="1"/>
  <c r="O11" i="13" a="1"/>
  <c r="M23" i="15" a="1"/>
  <c r="O40" i="13" a="1"/>
  <c r="M48" i="21" a="1"/>
  <c r="M60" i="16" a="1"/>
  <c r="L95" i="16" a="1"/>
  <c r="M47" i="15" a="1"/>
  <c r="N18" i="13" a="1"/>
  <c r="M90" i="15" a="1"/>
  <c r="N21" i="13" a="1"/>
  <c r="L92" i="15" a="1"/>
  <c r="L22" i="15" a="1"/>
  <c r="N63" i="13" a="1"/>
  <c r="M74" i="16" a="1"/>
  <c r="L46" i="16" a="1"/>
  <c r="L100" i="16" a="1"/>
  <c r="L85" i="16" a="1"/>
  <c r="M38" i="21" a="1"/>
  <c r="M34" i="13" a="1"/>
  <c r="L69" i="16" a="1"/>
  <c r="L17" i="16" a="1"/>
  <c r="M96" i="16" a="1"/>
  <c r="L28" i="15" a="1"/>
  <c r="L62" i="16" a="1"/>
  <c r="M17" i="15" a="1"/>
  <c r="L39" i="15" a="1"/>
  <c r="N6" i="13" a="1"/>
  <c r="L90" i="15" a="1"/>
  <c r="J105" i="20" a="1"/>
  <c r="M92" i="16" a="1"/>
  <c r="N6" i="21" a="1"/>
  <c r="M38" i="15" a="1"/>
  <c r="L77" i="16" a="1"/>
  <c r="N9" i="15" a="1"/>
  <c r="D7" i="16" a="1"/>
  <c r="M89" i="15" a="1"/>
  <c r="M28" i="13" a="1"/>
  <c r="M64" i="13" a="1"/>
  <c r="M12" i="16" a="1"/>
  <c r="O39" i="13" a="1"/>
  <c r="N38" i="13" a="1"/>
  <c r="M46" i="13" a="1"/>
  <c r="M73" i="16" a="1"/>
  <c r="L21" i="16" a="1"/>
  <c r="N58" i="13" a="1"/>
  <c r="O17" i="13" a="1"/>
  <c r="N14" i="15" a="1"/>
  <c r="M91" i="16" a="1"/>
  <c r="N10" i="13" a="1"/>
  <c r="N35" i="15" a="1"/>
  <c r="L52" i="16" a="1"/>
  <c r="L55" i="16" a="1"/>
  <c r="L22" i="16" a="1"/>
  <c r="M83" i="16" a="1"/>
  <c r="L26" i="15" a="1"/>
  <c r="M64" i="16" a="1"/>
  <c r="N42" i="13" a="1"/>
  <c r="N41" i="13" a="1"/>
  <c r="L18" i="15" a="1"/>
  <c r="M18" i="16" a="1"/>
  <c r="J111" i="20" a="1"/>
  <c r="M42" i="13" a="1"/>
  <c r="M21" i="13" a="1"/>
  <c r="L80" i="16" a="1"/>
  <c r="M23" i="13" a="1"/>
  <c r="N40" i="15" a="1"/>
  <c r="M25" i="13" a="1"/>
  <c r="N66" i="13" a="1"/>
  <c r="M85" i="16" a="1"/>
  <c r="N18" i="21" a="1"/>
  <c r="L31" i="15" a="1"/>
  <c r="O13" i="13" a="1"/>
  <c r="M98" i="16" a="1"/>
  <c r="M16" i="15" a="1"/>
  <c r="N29" i="13" a="1"/>
  <c r="N94" i="15" a="1"/>
  <c r="M65" i="13" a="1"/>
  <c r="N44" i="21" a="1"/>
  <c r="M67" i="16" a="1"/>
  <c r="M38" i="16" a="1"/>
  <c r="M94" i="16" a="1"/>
  <c r="L72" i="16" a="1"/>
  <c r="M7" i="21" a="1"/>
  <c r="N23" i="15" a="1"/>
  <c r="M24" i="13" a="1"/>
  <c r="J96" i="20" a="1"/>
  <c r="M11" i="21" a="1"/>
  <c r="M60" i="13" a="1"/>
  <c r="M89" i="16" a="1"/>
  <c r="M28" i="15" a="1"/>
  <c r="L25" i="16" a="1"/>
  <c r="L24" i="16" a="1"/>
  <c r="M9" i="16" a="1"/>
  <c r="L13" i="16" a="1"/>
  <c r="L102" i="16" a="1"/>
  <c r="L96" i="16" a="1"/>
  <c r="M10" i="15" a="1"/>
  <c r="L9" i="16" a="1"/>
  <c r="N51" i="21" a="1"/>
  <c r="O12" i="13" a="1"/>
  <c r="M34" i="21" a="1"/>
  <c r="O68" i="13" a="1"/>
  <c r="L79" i="16" a="1"/>
  <c r="O26" i="13" a="1"/>
  <c r="J112" i="20" a="1"/>
  <c r="M44" i="21" a="1"/>
  <c r="O62" i="13" a="1"/>
  <c r="N68" i="13" a="1"/>
  <c r="N12" i="13" a="1"/>
  <c r="M41" i="15" a="1"/>
  <c r="J89" i="20" a="1"/>
  <c r="N92" i="15" a="1"/>
  <c r="N47" i="21" a="1"/>
  <c r="N11" i="13" a="1"/>
  <c r="N9" i="21" a="1"/>
  <c r="M100" i="16" a="1"/>
  <c r="L76" i="16" a="1"/>
  <c r="M19" i="21" a="1"/>
  <c r="O46" i="13" a="1"/>
  <c r="M31" i="15" a="1"/>
  <c r="M57" i="16" a="1"/>
  <c r="M79" i="16" a="1"/>
  <c r="N16" i="13" a="1"/>
  <c r="N38" i="15" a="1"/>
  <c r="J99" i="20" a="1"/>
  <c r="N36" i="13" a="1"/>
  <c r="M97" i="16" a="1"/>
  <c r="N30" i="13" a="1"/>
  <c r="M43" i="21" a="1"/>
  <c r="M58" i="16" a="1"/>
  <c r="M12" i="15" a="1"/>
  <c r="O34" i="13" a="1"/>
  <c r="L20" i="16" a="1"/>
  <c r="N90" i="15" a="1"/>
  <c r="M70" i="16" a="1"/>
  <c r="M26" i="15" a="1"/>
  <c r="O44" i="13" a="1"/>
  <c r="N14" i="13" a="1"/>
  <c r="M91" i="15" a="1"/>
  <c r="M41" i="21" a="1"/>
  <c r="L48" i="16" a="1"/>
  <c r="O38" i="13" a="1"/>
  <c r="N22" i="15" a="1"/>
  <c r="L40" i="15" a="1"/>
  <c r="N36" i="21" a="1"/>
  <c r="N45" i="21" a="1"/>
  <c r="M11" i="13" a="1"/>
  <c r="M33" i="15" a="1"/>
  <c r="M44" i="16" a="1"/>
  <c r="N35" i="21" a="1"/>
  <c r="M45" i="21" a="1"/>
  <c r="N46" i="13" a="1"/>
  <c r="L101" i="16" a="1"/>
  <c r="O33" i="13" a="1"/>
  <c r="N34" i="15" a="1"/>
  <c r="M54" i="16" a="1"/>
  <c r="M80" i="16" a="1"/>
  <c r="M45" i="16" a="1"/>
  <c r="J92" i="20" a="1"/>
  <c r="L43" i="16" a="1"/>
  <c r="N43" i="21" a="1"/>
  <c r="M56" i="16" a="1"/>
  <c r="N39" i="21" a="1"/>
  <c r="N35" i="13" a="1"/>
  <c r="L81" i="16" a="1"/>
  <c r="M90" i="16" a="1"/>
  <c r="N28" i="15" a="1"/>
  <c r="J91" i="20" a="1"/>
  <c r="N41" i="15" a="1"/>
  <c r="L45" i="16" a="1"/>
  <c r="M86" i="16" a="1"/>
  <c r="N38" i="21" a="1"/>
  <c r="L53" i="16" a="1"/>
  <c r="N27" i="13" a="1"/>
  <c r="O23" i="13" a="1"/>
  <c r="O28" i="13" a="1"/>
  <c r="N61" i="13" a="1"/>
  <c r="M55" i="16" a="1"/>
  <c r="M35" i="21" a="1"/>
  <c r="O67" i="13" a="1"/>
  <c r="L17" i="15" a="1"/>
  <c r="M13" i="16" a="1"/>
  <c r="S46" i="15" a="1"/>
  <c r="M49" i="21" a="1"/>
  <c r="L94" i="15" a="1"/>
  <c r="M99" i="16" a="1"/>
  <c r="M71" i="16" a="1"/>
  <c r="M62" i="16" a="1"/>
  <c r="M39" i="13" a="1"/>
  <c r="M10" i="13" a="1"/>
  <c r="N13" i="13" a="1"/>
  <c r="L63" i="16" a="1"/>
  <c r="M20" i="13" a="1"/>
  <c r="M21" i="15" a="1"/>
  <c r="J102" i="20" a="1"/>
  <c r="L15" i="16" a="1"/>
  <c r="L36" i="15" a="1"/>
  <c r="O36" i="13" a="1"/>
  <c r="L21" i="15" a="1"/>
  <c r="N25" i="21" a="1"/>
  <c r="M28" i="21" a="1"/>
  <c r="M42" i="16" a="1"/>
  <c r="M76" i="16" a="1"/>
  <c r="M27" i="21" a="1"/>
  <c r="M18" i="21" a="1"/>
  <c r="M31" i="13" a="1"/>
  <c r="M93" i="16" a="1"/>
  <c r="L78" i="16" a="1"/>
  <c r="M70" i="13" a="1"/>
  <c r="M17" i="13" a="1"/>
  <c r="N59" i="13" a="1"/>
  <c r="O45" i="13" a="1"/>
  <c r="J97" i="20" a="1"/>
  <c r="N23" i="21" a="1"/>
  <c r="M18" i="15" a="1"/>
  <c r="M53" i="16" a="1"/>
  <c r="L56" i="16" a="1"/>
  <c r="J94" i="20" a="1"/>
  <c r="M59" i="13" a="1"/>
  <c r="J109" i="20" a="1"/>
  <c r="N22" i="21" a="1"/>
  <c r="M62" i="13" a="1"/>
  <c r="M47" i="13" a="1"/>
  <c r="M29" i="13" a="1"/>
  <c r="L39" i="16" a="1"/>
  <c r="M40" i="15" a="1"/>
  <c r="L103" i="16" a="1"/>
  <c r="L99" i="16" a="1"/>
  <c r="L8" i="16" a="1"/>
  <c r="N49" i="21" a="1"/>
  <c r="O29" i="13" a="1"/>
  <c r="M6" i="16" a="1"/>
  <c r="M92" i="15" a="1"/>
  <c r="J33" i="20" a="1"/>
  <c r="N26" i="13" a="1"/>
  <c r="L44" i="16" a="1"/>
  <c r="N89" i="15" a="1"/>
  <c r="L91" i="15" a="1"/>
  <c r="L24" i="15" a="1"/>
  <c r="M18" i="13" a="1"/>
  <c r="N26" i="21" a="1"/>
  <c r="M61" i="13" a="1"/>
  <c r="J106" i="20" a="1"/>
  <c r="M14" i="15" a="1"/>
  <c r="M43" i="13" a="1"/>
  <c r="M23" i="21" a="1"/>
  <c r="L27" i="16" a="1"/>
  <c r="L89" i="16" a="1"/>
  <c r="O24" i="13" a="1"/>
  <c r="O61" i="13" a="1"/>
  <c r="M8" i="16" a="1"/>
  <c r="N33" i="15" a="1"/>
  <c r="M43" i="16" a="1"/>
  <c r="L93" i="16" a="1"/>
  <c r="N64" i="13" a="1"/>
  <c r="M52" i="21" a="1"/>
  <c r="M40" i="13" a="1"/>
  <c r="M10" i="21" a="1"/>
  <c r="M27" i="13" a="1"/>
  <c r="M39" i="15" a="1"/>
  <c r="N17" i="15" a="1"/>
  <c r="L92" i="16" a="1"/>
  <c r="N34" i="21" a="1"/>
  <c r="M39" i="21" a="1"/>
  <c r="L26" i="16" a="1"/>
  <c r="L13" i="15" a="1"/>
  <c r="M101" i="16" a="1"/>
  <c r="M66" i="13" a="1"/>
  <c r="M17" i="21" a="1"/>
  <c r="N60" i="13" a="1"/>
  <c r="M46" i="16" a="1"/>
  <c r="O59" i="13" a="1"/>
  <c r="N47" i="15" a="1"/>
  <c r="N24" i="21" a="1"/>
  <c r="L8" i="15" a="1"/>
  <c r="O15" i="13" a="1"/>
  <c r="L14" i="16" a="1"/>
  <c r="M22" i="15" a="1"/>
  <c r="N27" i="15" a="1"/>
  <c r="O60" i="13" a="1"/>
  <c r="M14" i="13" a="1"/>
  <c r="L38" i="16" a="1"/>
  <c r="M7" i="16" a="1"/>
  <c r="J98" i="20" a="1"/>
  <c r="N29" i="21" a="1"/>
  <c r="L47" i="15" a="1"/>
  <c r="N14" i="21" a="1"/>
  <c r="M37" i="13" a="1"/>
  <c r="M22" i="13" a="1"/>
  <c r="M45" i="13" a="1"/>
  <c r="M35" i="13" a="1"/>
  <c r="L91" i="16" a="1"/>
  <c r="O63" i="13" a="1"/>
  <c r="O58" i="13" a="1"/>
  <c r="M84" i="16" a="1"/>
  <c r="L97" i="16" a="1"/>
  <c r="M24" i="15" a="1"/>
  <c r="M68" i="13" a="1"/>
  <c r="M36" i="21" a="1"/>
  <c r="L41" i="15" a="1"/>
  <c r="N40" i="13" a="1"/>
  <c r="L88" i="16" a="1"/>
  <c r="M9" i="15" a="1"/>
  <c r="N8" i="15" a="1"/>
  <c r="M26" i="16" a="1"/>
  <c r="J107" i="20" a="1"/>
  <c r="L34" i="15" a="1"/>
  <c r="N40" i="21" a="1"/>
  <c r="M75" i="16" a="1"/>
  <c r="L60" i="16" a="1"/>
  <c r="N33" i="13" a="1"/>
  <c r="M12" i="21" a="1"/>
  <c r="L38" i="15" a="1"/>
  <c r="M38" i="13" a="1"/>
  <c r="O22" i="13" a="1"/>
  <c r="M34" i="15" a="1"/>
  <c r="M50" i="21" a="1"/>
  <c r="M33" i="13" a="1"/>
  <c r="M39" i="16" a="1"/>
  <c r="N11" i="15" a="1"/>
  <c r="J104" i="20" a="1"/>
  <c r="J110" i="20" a="1"/>
  <c r="L75" i="16" a="1"/>
  <c r="M15" i="13" a="1"/>
  <c r="N8" i="21" a="1"/>
  <c r="L23" i="15" a="1"/>
  <c r="M36" i="15" a="1"/>
  <c r="O65" i="13" a="1"/>
  <c r="M44" i="13" a="1"/>
  <c r="L54" i="16" a="1"/>
  <c r="N28" i="21" a="1"/>
  <c r="L27" i="15" a="1"/>
  <c r="L89" i="15" a="1"/>
  <c r="N17" i="13" a="1"/>
  <c r="N15" i="21" a="1"/>
  <c r="M19" i="13" a="1"/>
  <c r="N67" i="13" a="1"/>
  <c r="N10" i="21" a="1"/>
  <c r="O27" i="13" a="1"/>
  <c r="M49" i="15" a="1"/>
  <c r="M16" i="21" a="1"/>
  <c r="N43" i="13" a="1"/>
  <c r="M30" i="13" a="1"/>
  <c r="M17" i="16" a="1"/>
  <c r="J88" i="20" a="1"/>
  <c r="O30" i="13" a="1"/>
  <c r="M21" i="16" a="1"/>
  <c r="M8" i="15" a="1"/>
  <c r="M77" i="16" a="1"/>
  <c r="M26" i="13" a="1"/>
  <c r="N37" i="13" a="1"/>
  <c r="O18" i="13" a="1"/>
  <c r="N26" i="15" a="1"/>
  <c r="M37" i="21" a="1"/>
  <c r="M16" i="16" a="1"/>
  <c r="M29" i="21" a="1"/>
  <c r="M88" i="16" a="1"/>
  <c r="L74" i="16" a="1"/>
  <c r="O43" i="13" a="1"/>
  <c r="N11" i="21" a="1"/>
  <c r="O42" i="13" a="1"/>
  <c r="M61" i="16" a="1"/>
  <c r="M103" i="16" a="1"/>
  <c r="M52" i="16" a="1"/>
  <c r="L87" i="16" a="1"/>
  <c r="M78" i="16" a="1"/>
  <c r="N39" i="15" a="1"/>
  <c r="M14" i="21" a="1"/>
  <c r="O66" i="13" a="1"/>
  <c r="L23" i="16" a="1"/>
  <c r="O14" i="13" a="1"/>
  <c r="L83" i="16" a="1"/>
  <c r="N91" i="15" a="1"/>
  <c r="L12" i="15" a="1"/>
  <c r="N48" i="21" a="1"/>
  <c r="M72" i="16" a="1"/>
  <c r="N17" i="21" a="1"/>
  <c r="O35" i="13" a="1"/>
  <c r="L70" i="16" a="1"/>
  <c r="L7" i="16" a="1"/>
  <c r="O31" i="13" a="1"/>
  <c r="N46" i="21" a="1"/>
  <c r="N36" i="15" a="1"/>
  <c r="M10" i="16" a="1"/>
  <c r="M47" i="21" a="1"/>
  <c r="N47" i="13" a="1"/>
  <c r="L59" i="16" a="1"/>
  <c r="L33" i="15" a="1"/>
  <c r="N13" i="15" a="1"/>
  <c r="M58" i="13" a="1"/>
  <c r="M25" i="21" a="1"/>
  <c r="L9" i="15" a="1"/>
  <c r="O70" i="13" a="1"/>
  <c r="M26" i="21" a="1"/>
  <c r="L98" i="16" a="1"/>
  <c r="M24" i="16" a="1"/>
  <c r="N19" i="13" a="1"/>
  <c r="L71" i="16" a="1"/>
  <c r="M22" i="21" a="1"/>
  <c r="N25" i="15" a="1"/>
  <c r="L18" i="16" a="1"/>
  <c r="M42" i="21" a="1"/>
  <c r="L16" i="16" a="1"/>
  <c r="N32" i="15" a="1"/>
  <c r="M25" i="15" a="1"/>
  <c r="L19" i="16" a="1"/>
  <c r="L11" i="16" a="1"/>
  <c r="N28" i="13" a="1"/>
  <c r="M13" i="21" a="1"/>
  <c r="L64" i="16" a="1"/>
  <c r="N23" i="13" a="1"/>
  <c r="N45" i="13" a="1"/>
  <c r="J108" i="20" a="1"/>
  <c r="L86" i="16" a="1"/>
  <c r="J95" i="20" a="1"/>
  <c r="M19" i="16" a="1"/>
  <c r="N18" i="15" a="1"/>
  <c r="M25" i="16" a="1"/>
  <c r="L73" i="16" a="1"/>
  <c r="N16" i="15" a="1"/>
  <c r="O37" i="13" a="1"/>
  <c r="M63" i="13" a="1"/>
  <c r="M20" i="16" a="1"/>
  <c r="N19" i="21" a="1"/>
  <c r="N24" i="15" a="1"/>
  <c r="J103" i="20" a="1"/>
  <c r="O21" i="13" a="1"/>
  <c r="J114" i="20" a="1"/>
  <c r="L35" i="15" a="1"/>
  <c r="M36" i="13" a="1"/>
  <c r="N44" i="13" a="1"/>
  <c r="M6" i="21" a="1"/>
  <c r="L12" i="16" a="1"/>
  <c r="N65" i="13" a="1"/>
  <c r="O20" i="13" a="1"/>
  <c r="L14" i="15" a="1"/>
  <c r="J113" i="20" a="1"/>
  <c r="L10" i="15" a="1"/>
  <c r="M40" i="21" a="1"/>
  <c r="M81" i="16" a="1"/>
  <c r="N21" i="15" a="1"/>
  <c r="M22" i="16" a="1"/>
  <c r="M46" i="21" a="1"/>
  <c r="N13" i="21" a="1"/>
  <c r="N31" i="13" a="1"/>
  <c r="O41" i="13" a="1"/>
  <c r="M65" i="16" a="1"/>
  <c r="L94" i="16" a="1"/>
  <c r="M51" i="21" a="1"/>
  <c r="N37" i="21" a="1"/>
  <c r="L84" i="16" a="1"/>
  <c r="M27" i="16" a="1"/>
  <c r="N62" i="13" a="1"/>
  <c r="N20" i="13" a="1"/>
  <c r="M42" i="15" a="1"/>
  <c r="N50" i="21" a="1"/>
  <c r="M63" i="16" a="1"/>
  <c r="M95" i="16" a="1"/>
  <c r="M23" i="16" a="1"/>
  <c r="L67" i="16" a="1"/>
  <c r="M6" i="13" a="1"/>
  <c r="M69" i="16" a="1"/>
  <c r="O16" i="13" a="1"/>
  <c r="M15" i="21" a="1"/>
  <c r="M11" i="16" a="1"/>
  <c r="M32" i="15" a="1"/>
  <c r="M13" i="13" a="1"/>
  <c r="L66" i="16" a="1"/>
  <c r="L11" i="15" a="1"/>
  <c r="M15" i="16" a="1"/>
  <c r="M48" i="16" a="1"/>
  <c r="J100" i="20" a="1"/>
  <c r="M12" i="13" a="1"/>
  <c r="M102" i="16" a="1"/>
  <c r="M35" i="15" a="1"/>
  <c r="N22" i="13" a="1"/>
  <c r="L58" i="16" a="1"/>
  <c r="M14" i="16" a="1"/>
  <c r="M16" i="13" a="1"/>
  <c r="O47" i="13" a="1"/>
  <c r="L61" i="16" a="1"/>
  <c r="O10" i="13" a="1"/>
  <c r="M41" i="13" a="1"/>
  <c r="M94" i="15" a="1"/>
  <c r="O25" i="13" a="1"/>
  <c r="N42" i="21" a="1"/>
  <c r="N15" i="13" a="1"/>
  <c r="L42" i="16" a="1"/>
  <c r="N25" i="13" a="1"/>
  <c r="N24" i="13" a="1"/>
  <c r="N41" i="21" a="1"/>
  <c r="N39" i="13" a="1"/>
  <c r="N12" i="21" a="1"/>
  <c r="N34" i="13" a="1"/>
  <c r="N27" i="21" a="1"/>
  <c r="O19" i="13" a="1"/>
  <c r="M87" i="16" a="1"/>
  <c r="N49" i="15" a="1"/>
  <c r="M59" i="16" a="1"/>
  <c r="L42" i="15" a="1"/>
  <c r="N42" i="15" a="1"/>
  <c r="J93" i="20" a="1"/>
  <c r="N52" i="21" a="1"/>
  <c r="M24" i="21" a="1"/>
  <c r="O64" i="13" a="1"/>
  <c r="M11" i="15" a="1"/>
  <c r="M66" i="16" a="1"/>
  <c r="N16" i="21" a="1"/>
  <c r="L25" i="15" a="1"/>
  <c r="M71" i="16" l="1"/>
  <c r="M34" i="21"/>
  <c r="L22" i="15"/>
  <c r="J93" i="20"/>
  <c r="L11" i="15"/>
  <c r="N18" i="21"/>
  <c r="L103" i="16"/>
  <c r="N14" i="13"/>
  <c r="M28" i="13"/>
  <c r="M28" i="21"/>
  <c r="L33" i="15"/>
  <c r="L88" i="16"/>
  <c r="L13" i="15"/>
  <c r="N42" i="15"/>
  <c r="L66" i="16"/>
  <c r="M26" i="13"/>
  <c r="N30" i="13"/>
  <c r="O46" i="13"/>
  <c r="N47" i="21"/>
  <c r="N12" i="13"/>
  <c r="L59" i="16"/>
  <c r="N40" i="13"/>
  <c r="M99" i="16"/>
  <c r="O12" i="13"/>
  <c r="L92" i="15"/>
  <c r="M13" i="13"/>
  <c r="L101" i="16"/>
  <c r="J114" i="20"/>
  <c r="L63" i="16"/>
  <c r="N47" i="13"/>
  <c r="L26" i="16"/>
  <c r="N51" i="21"/>
  <c r="N21" i="13"/>
  <c r="M32" i="15"/>
  <c r="L25" i="15"/>
  <c r="J111" i="20"/>
  <c r="N47" i="15"/>
  <c r="N48" i="15" s="1"/>
  <c r="O17" i="13"/>
  <c r="M70" i="13"/>
  <c r="L17" i="16"/>
  <c r="L41" i="15"/>
  <c r="M39" i="21"/>
  <c r="L94" i="15"/>
  <c r="L9" i="16"/>
  <c r="M90" i="15"/>
  <c r="M11" i="16"/>
  <c r="N37" i="13"/>
  <c r="N16" i="15"/>
  <c r="M89" i="15"/>
  <c r="M47" i="21"/>
  <c r="M17" i="16"/>
  <c r="N34" i="21"/>
  <c r="M49" i="21"/>
  <c r="N18" i="13"/>
  <c r="L42" i="15"/>
  <c r="M15" i="21"/>
  <c r="L14" i="15"/>
  <c r="N45" i="21"/>
  <c r="L60" i="16"/>
  <c r="M46" i="16"/>
  <c r="M30" i="16" s="1"/>
  <c r="N40" i="21"/>
  <c r="O30" i="13"/>
  <c r="N68" i="13"/>
  <c r="M10" i="16"/>
  <c r="M30" i="13"/>
  <c r="M36" i="21"/>
  <c r="L92" i="16"/>
  <c r="S46" i="15"/>
  <c r="M10" i="15"/>
  <c r="M47" i="15"/>
  <c r="M48" i="15" s="1"/>
  <c r="M59" i="16"/>
  <c r="O16" i="13"/>
  <c r="M85" i="16"/>
  <c r="O44" i="13"/>
  <c r="L98" i="16"/>
  <c r="N36" i="15"/>
  <c r="M68" i="13"/>
  <c r="N17" i="15"/>
  <c r="M13" i="16"/>
  <c r="L96" i="16"/>
  <c r="N49" i="15"/>
  <c r="N24" i="21"/>
  <c r="M77" i="16"/>
  <c r="N13" i="13"/>
  <c r="N46" i="21"/>
  <c r="N43" i="13"/>
  <c r="M39" i="15"/>
  <c r="M69" i="16"/>
  <c r="N26" i="13"/>
  <c r="O21" i="13"/>
  <c r="L26" i="15"/>
  <c r="M97" i="16"/>
  <c r="N28" i="13"/>
  <c r="J107" i="20"/>
  <c r="L69" i="16"/>
  <c r="O31" i="13"/>
  <c r="M16" i="21"/>
  <c r="M24" i="15"/>
  <c r="M27" i="13"/>
  <c r="L102" i="16"/>
  <c r="L95" i="16"/>
  <c r="M87" i="16"/>
  <c r="N22" i="21"/>
  <c r="N58" i="13"/>
  <c r="L78" i="16"/>
  <c r="L7" i="16"/>
  <c r="M49" i="15"/>
  <c r="L17" i="15"/>
  <c r="L13" i="16"/>
  <c r="O19" i="13"/>
  <c r="M6" i="13"/>
  <c r="O20" i="13"/>
  <c r="M18" i="15"/>
  <c r="L16" i="16"/>
  <c r="O62" i="13"/>
  <c r="L70" i="16"/>
  <c r="O27" i="13"/>
  <c r="M10" i="21"/>
  <c r="O67" i="13"/>
  <c r="M9" i="16"/>
  <c r="L67" i="16"/>
  <c r="N66" i="13"/>
  <c r="O64" i="13"/>
  <c r="J108" i="20"/>
  <c r="D7" i="16"/>
  <c r="N25" i="21"/>
  <c r="O35" i="13"/>
  <c r="N10" i="21"/>
  <c r="L97" i="16"/>
  <c r="M40" i="13"/>
  <c r="M35" i="21"/>
  <c r="L24" i="16"/>
  <c r="N27" i="21"/>
  <c r="M66" i="16"/>
  <c r="M26" i="15"/>
  <c r="L21" i="16"/>
  <c r="L11" i="16"/>
  <c r="M66" i="13"/>
  <c r="N17" i="21"/>
  <c r="N67" i="13"/>
  <c r="M84" i="16"/>
  <c r="M55" i="16"/>
  <c r="L25" i="16"/>
  <c r="N34" i="13"/>
  <c r="M83" i="16"/>
  <c r="N36" i="13"/>
  <c r="M19" i="21"/>
  <c r="L90" i="15"/>
  <c r="M34" i="13"/>
  <c r="M19" i="13"/>
  <c r="M52" i="21"/>
  <c r="N61" i="13"/>
  <c r="M60" i="16"/>
  <c r="M23" i="16"/>
  <c r="N65" i="13"/>
  <c r="L73" i="16"/>
  <c r="N45" i="13"/>
  <c r="N9" i="15"/>
  <c r="L21" i="15"/>
  <c r="M26" i="21"/>
  <c r="M72" i="16"/>
  <c r="O58" i="13"/>
  <c r="N64" i="13"/>
  <c r="O28" i="13"/>
  <c r="M28" i="15"/>
  <c r="M48" i="21"/>
  <c r="N12" i="21"/>
  <c r="M95" i="16"/>
  <c r="N46" i="13"/>
  <c r="J109" i="20"/>
  <c r="N23" i="21"/>
  <c r="M93" i="16"/>
  <c r="N15" i="21"/>
  <c r="O63" i="13"/>
  <c r="L93" i="16"/>
  <c r="O23" i="13"/>
  <c r="N39" i="13"/>
  <c r="M63" i="16"/>
  <c r="M25" i="13"/>
  <c r="N36" i="21"/>
  <c r="M70" i="16"/>
  <c r="M73" i="16"/>
  <c r="L19" i="16"/>
  <c r="M42" i="21"/>
  <c r="M10" i="13"/>
  <c r="N48" i="21"/>
  <c r="M43" i="16"/>
  <c r="N27" i="13"/>
  <c r="M89" i="16"/>
  <c r="O40" i="13"/>
  <c r="N41" i="21"/>
  <c r="N50" i="21"/>
  <c r="L12" i="16"/>
  <c r="M40" i="15"/>
  <c r="N8" i="15"/>
  <c r="L12" i="15"/>
  <c r="N33" i="15"/>
  <c r="M60" i="13"/>
  <c r="N24" i="13"/>
  <c r="M42" i="15"/>
  <c r="M45" i="21"/>
  <c r="J103" i="20"/>
  <c r="M25" i="16"/>
  <c r="M38" i="21"/>
  <c r="N91" i="15"/>
  <c r="N17" i="13"/>
  <c r="L91" i="16"/>
  <c r="L53" i="16"/>
  <c r="M11" i="21"/>
  <c r="M23" i="15"/>
  <c r="N25" i="13"/>
  <c r="J33" i="20"/>
  <c r="M46" i="13"/>
  <c r="O36" i="13"/>
  <c r="O70" i="13"/>
  <c r="L83" i="16"/>
  <c r="L89" i="15"/>
  <c r="J96" i="20"/>
  <c r="L42" i="16"/>
  <c r="N40" i="15"/>
  <c r="J97" i="20"/>
  <c r="M25" i="15"/>
  <c r="L18" i="16"/>
  <c r="L27" i="15"/>
  <c r="M35" i="13"/>
  <c r="M8" i="16"/>
  <c r="N38" i="21"/>
  <c r="M24" i="13"/>
  <c r="N15" i="13"/>
  <c r="N20" i="13"/>
  <c r="M6" i="21"/>
  <c r="L40" i="15"/>
  <c r="L22" i="16"/>
  <c r="N52" i="21"/>
  <c r="L77" i="16"/>
  <c r="N6" i="13"/>
  <c r="O14" i="13"/>
  <c r="O61" i="13"/>
  <c r="N23" i="15"/>
  <c r="O11" i="13"/>
  <c r="N42" i="21"/>
  <c r="N62" i="13"/>
  <c r="N24" i="15"/>
  <c r="L76" i="16"/>
  <c r="L23" i="16"/>
  <c r="M45" i="13"/>
  <c r="O24" i="13"/>
  <c r="M86" i="16"/>
  <c r="J90" i="20"/>
  <c r="M27" i="16"/>
  <c r="M92" i="15"/>
  <c r="L39" i="16"/>
  <c r="L33" i="16" s="1"/>
  <c r="N90" i="15"/>
  <c r="M31" i="13"/>
  <c r="L36" i="15"/>
  <c r="L9" i="15"/>
  <c r="N28" i="21"/>
  <c r="M22" i="13"/>
  <c r="L45" i="16"/>
  <c r="M7" i="21"/>
  <c r="L84" i="16"/>
  <c r="M23" i="13"/>
  <c r="M18" i="16"/>
  <c r="L55" i="16"/>
  <c r="N38" i="13"/>
  <c r="M44" i="21"/>
  <c r="O66" i="13"/>
  <c r="L54" i="16"/>
  <c r="N41" i="15"/>
  <c r="L72" i="16"/>
  <c r="M27" i="15"/>
  <c r="N37" i="21"/>
  <c r="N22" i="15"/>
  <c r="M59" i="13"/>
  <c r="O45" i="13"/>
  <c r="L39" i="15"/>
  <c r="L85" i="16"/>
  <c r="M14" i="21"/>
  <c r="M37" i="13"/>
  <c r="J91" i="20"/>
  <c r="M94" i="16"/>
  <c r="O25" i="13"/>
  <c r="M51" i="21"/>
  <c r="N35" i="21"/>
  <c r="M29" i="13"/>
  <c r="N92" i="15"/>
  <c r="N39" i="15"/>
  <c r="M44" i="13"/>
  <c r="L89" i="16"/>
  <c r="M38" i="16"/>
  <c r="N12" i="15"/>
  <c r="M6" i="16"/>
  <c r="N19" i="21"/>
  <c r="L52" i="16"/>
  <c r="J99" i="20"/>
  <c r="N25" i="15"/>
  <c r="M25" i="21"/>
  <c r="M78" i="16"/>
  <c r="M67" i="16"/>
  <c r="L94" i="16"/>
  <c r="L80" i="16"/>
  <c r="L18" i="15"/>
  <c r="L20" i="16"/>
  <c r="L87" i="16"/>
  <c r="O65" i="13"/>
  <c r="N14" i="21"/>
  <c r="L27" i="16"/>
  <c r="N28" i="15"/>
  <c r="O6" i="13"/>
  <c r="M94" i="15"/>
  <c r="N44" i="13"/>
  <c r="O38" i="13"/>
  <c r="J94" i="20"/>
  <c r="M38" i="15"/>
  <c r="M17" i="15"/>
  <c r="J112" i="20"/>
  <c r="M52" i="16"/>
  <c r="M36" i="15"/>
  <c r="L47" i="15"/>
  <c r="L48" i="15" s="1"/>
  <c r="M90" i="16"/>
  <c r="L16" i="15"/>
  <c r="M41" i="13"/>
  <c r="M44" i="16"/>
  <c r="O59" i="13"/>
  <c r="M100" i="16"/>
  <c r="M39" i="13"/>
  <c r="M103" i="16"/>
  <c r="L23" i="15"/>
  <c r="N29" i="21"/>
  <c r="L81" i="16"/>
  <c r="J101" i="20"/>
  <c r="O10" i="13"/>
  <c r="M65" i="16"/>
  <c r="O29" i="13"/>
  <c r="N18" i="15"/>
  <c r="N38" i="15"/>
  <c r="M18" i="21"/>
  <c r="J89" i="20"/>
  <c r="M58" i="13"/>
  <c r="N8" i="21"/>
  <c r="J98" i="20"/>
  <c r="M23" i="21"/>
  <c r="N35" i="13"/>
  <c r="N44" i="21"/>
  <c r="L90" i="16"/>
  <c r="L61" i="16"/>
  <c r="O41" i="13"/>
  <c r="M36" i="13"/>
  <c r="M20" i="16"/>
  <c r="M75" i="16"/>
  <c r="N23" i="13"/>
  <c r="M22" i="21"/>
  <c r="L100" i="16"/>
  <c r="M61" i="16"/>
  <c r="M43" i="13"/>
  <c r="N39" i="21"/>
  <c r="M65" i="13"/>
  <c r="N31" i="15"/>
  <c r="N31" i="13"/>
  <c r="N35" i="15"/>
  <c r="O39" i="13"/>
  <c r="L15" i="16"/>
  <c r="M15" i="13"/>
  <c r="M7" i="16"/>
  <c r="M14" i="15"/>
  <c r="M56" i="16"/>
  <c r="L49" i="15"/>
  <c r="N49" i="21"/>
  <c r="O34" i="13"/>
  <c r="N16" i="13"/>
  <c r="L34" i="15"/>
  <c r="L62" i="16"/>
  <c r="O26" i="13"/>
  <c r="O42" i="13"/>
  <c r="L75" i="16"/>
  <c r="L38" i="16"/>
  <c r="N43" i="21"/>
  <c r="O47" i="13"/>
  <c r="M33" i="15"/>
  <c r="L48" i="16"/>
  <c r="L56" i="16"/>
  <c r="N59" i="13"/>
  <c r="L71" i="16"/>
  <c r="N11" i="21"/>
  <c r="J110" i="20"/>
  <c r="J106" i="20"/>
  <c r="N10" i="15"/>
  <c r="M16" i="13"/>
  <c r="N13" i="21"/>
  <c r="N41" i="13"/>
  <c r="M19" i="16"/>
  <c r="L64" i="16"/>
  <c r="N6" i="21"/>
  <c r="J102" i="20"/>
  <c r="L46" i="16"/>
  <c r="L30" i="16" s="1"/>
  <c r="O43" i="13"/>
  <c r="J104" i="20"/>
  <c r="M14" i="13"/>
  <c r="M61" i="13"/>
  <c r="M8" i="21"/>
  <c r="M14" i="16"/>
  <c r="M47" i="13"/>
  <c r="N10" i="13"/>
  <c r="M12" i="16"/>
  <c r="M27" i="21"/>
  <c r="L28" i="15"/>
  <c r="L74" i="16"/>
  <c r="N11" i="15"/>
  <c r="N26" i="21"/>
  <c r="L43" i="16"/>
  <c r="N7" i="21"/>
  <c r="L58" i="16"/>
  <c r="M46" i="21"/>
  <c r="M63" i="13"/>
  <c r="M12" i="15"/>
  <c r="M79" i="16"/>
  <c r="N32" i="15"/>
  <c r="M62" i="16"/>
  <c r="M39" i="16"/>
  <c r="M33" i="16" s="1"/>
  <c r="O60" i="13"/>
  <c r="M18" i="13"/>
  <c r="J92" i="20"/>
  <c r="L65" i="16"/>
  <c r="N22" i="13"/>
  <c r="M22" i="16"/>
  <c r="M11" i="15"/>
  <c r="M53" i="16"/>
  <c r="M17" i="13"/>
  <c r="N9" i="21"/>
  <c r="M88" i="16"/>
  <c r="M33" i="13"/>
  <c r="M45" i="16"/>
  <c r="N70" i="13"/>
  <c r="M35" i="15"/>
  <c r="N21" i="15"/>
  <c r="L8" i="16"/>
  <c r="M41" i="21"/>
  <c r="J95" i="20"/>
  <c r="M13" i="21"/>
  <c r="M76" i="16"/>
  <c r="M21" i="15"/>
  <c r="M74" i="16"/>
  <c r="M29" i="21"/>
  <c r="M50" i="21"/>
  <c r="M80" i="16"/>
  <c r="L57" i="16"/>
  <c r="M81" i="16"/>
  <c r="M21" i="13"/>
  <c r="N42" i="13"/>
  <c r="M91" i="16"/>
  <c r="M64" i="13"/>
  <c r="M92" i="16"/>
  <c r="M96" i="16"/>
  <c r="L79" i="16"/>
  <c r="M34" i="15"/>
  <c r="M54" i="16"/>
  <c r="N94" i="15"/>
  <c r="M13" i="15"/>
  <c r="M40" i="21"/>
  <c r="M62" i="13"/>
  <c r="M58" i="16"/>
  <c r="M57" i="16"/>
  <c r="N19" i="13"/>
  <c r="J88" i="20"/>
  <c r="M16" i="16"/>
  <c r="M67" i="13"/>
  <c r="M102" i="16"/>
  <c r="L35" i="15"/>
  <c r="M8" i="15"/>
  <c r="N60" i="13"/>
  <c r="M42" i="16"/>
  <c r="M17" i="21"/>
  <c r="M9" i="15"/>
  <c r="O22" i="13"/>
  <c r="N27" i="15"/>
  <c r="L24" i="15"/>
  <c r="N29" i="13"/>
  <c r="M12" i="13"/>
  <c r="N16" i="21"/>
  <c r="N33" i="13"/>
  <c r="M24" i="21"/>
  <c r="M21" i="16"/>
  <c r="M26" i="16"/>
  <c r="N63" i="13"/>
  <c r="M22" i="15"/>
  <c r="L91" i="15"/>
  <c r="M16" i="15"/>
  <c r="M9" i="21"/>
  <c r="L99" i="16"/>
  <c r="M43" i="21"/>
  <c r="M31" i="15"/>
  <c r="M24" i="16"/>
  <c r="O68" i="13"/>
  <c r="M37" i="21"/>
  <c r="L14" i="16"/>
  <c r="N89" i="15"/>
  <c r="M98" i="16"/>
  <c r="L32" i="15"/>
  <c r="J100" i="20"/>
  <c r="L10" i="15"/>
  <c r="M91" i="15"/>
  <c r="L86" i="16"/>
  <c r="N11" i="13"/>
  <c r="M20" i="13"/>
  <c r="M101" i="16"/>
  <c r="N26" i="15"/>
  <c r="M38" i="13"/>
  <c r="O15" i="13"/>
  <c r="N34" i="15"/>
  <c r="O13" i="13"/>
  <c r="M48" i="16"/>
  <c r="M11" i="13"/>
  <c r="M64" i="16"/>
  <c r="N14" i="15"/>
  <c r="O18" i="13"/>
  <c r="L38" i="15"/>
  <c r="L44" i="16"/>
  <c r="O33" i="13"/>
  <c r="L31" i="15"/>
  <c r="L10" i="16"/>
  <c r="M15" i="16"/>
  <c r="J113" i="20"/>
  <c r="M42" i="13"/>
  <c r="O37" i="13"/>
  <c r="J105" i="20"/>
  <c r="M41" i="15"/>
  <c r="N13" i="15"/>
  <c r="M12" i="21"/>
  <c r="L8" i="15"/>
  <c r="BY202" i="45"/>
  <c r="L15" i="15" l="1"/>
  <c r="M15" i="15"/>
  <c r="L32" i="16"/>
  <c r="M32" i="16"/>
  <c r="L41" i="16"/>
  <c r="M41" i="16"/>
  <c r="L35" i="16"/>
  <c r="N15" i="15"/>
  <c r="M35" i="16"/>
  <c r="CR198" i="45"/>
  <c r="CS198" i="45"/>
  <c r="BX198" i="45"/>
  <c r="L29" i="16" l="1"/>
  <c r="M29" i="16"/>
  <c r="CA198" i="45"/>
  <c r="CS215" i="45"/>
  <c r="BZ215" i="45"/>
  <c r="CC347" i="55" l="1"/>
  <c r="CC352" i="55" l="1"/>
  <c r="CC346" i="55"/>
  <c r="CC348" i="55" l="1"/>
  <c r="CC349" i="55" l="1"/>
  <c r="CC351" i="55"/>
  <c r="CC350" i="55" l="1"/>
  <c r="BJ22" i="55" l="1"/>
  <c r="CA22" i="55" s="1"/>
  <c r="BI22" i="55"/>
  <c r="BZ22" i="55"/>
  <c r="CB22" i="55"/>
  <c r="CB16" i="55"/>
  <c r="BZ16" i="55" l="1"/>
  <c r="BI16" i="55"/>
  <c r="BJ16" i="55"/>
  <c r="CA16" i="55" s="1"/>
  <c r="BI23" i="55" l="1"/>
  <c r="BJ23" i="55"/>
  <c r="CA23" i="55" s="1"/>
  <c r="BZ18" i="55"/>
  <c r="CB23" i="55"/>
  <c r="BZ24" i="55"/>
  <c r="BZ23" i="55"/>
  <c r="BI24" i="55"/>
  <c r="BJ24" i="55"/>
  <c r="CB18" i="55"/>
  <c r="BI18" i="55" l="1"/>
  <c r="BJ18" i="55"/>
  <c r="CA18" i="55" s="1"/>
  <c r="CB17" i="55"/>
  <c r="BJ17" i="55"/>
  <c r="CA17" i="55" s="1"/>
  <c r="BZ17" i="55"/>
  <c r="BI17" i="55"/>
  <c r="BZ25" i="55" l="1"/>
  <c r="CB25" i="55"/>
  <c r="BJ25" i="55"/>
  <c r="CA25" i="55" s="1"/>
  <c r="BI25" i="55"/>
  <c r="CB19" i="55" l="1"/>
  <c r="BJ19" i="55"/>
  <c r="CA19" i="55" s="1"/>
  <c r="BI19" i="55"/>
  <c r="BZ19" i="55"/>
  <c r="BJ57" i="55"/>
  <c r="CA57" i="55" s="1"/>
  <c r="BZ57" i="55"/>
  <c r="CB57" i="55"/>
  <c r="BZ62" i="55"/>
  <c r="CB51" i="55"/>
  <c r="BZ51" i="55"/>
  <c r="BI51" i="55" l="1"/>
  <c r="BJ62" i="55"/>
  <c r="CA62" i="55" s="1"/>
  <c r="BI9" i="55"/>
  <c r="BJ9" i="55"/>
  <c r="CA9" i="55" s="1"/>
  <c r="BZ9" i="55"/>
  <c r="CB9" i="55"/>
  <c r="CB62" i="55"/>
  <c r="BJ51" i="55"/>
  <c r="CA51" i="55" s="1"/>
  <c r="BI56" i="55" l="1"/>
  <c r="BJ56" i="55"/>
  <c r="CC56" i="55"/>
  <c r="BJ14" i="55"/>
  <c r="CA14" i="55" s="1"/>
  <c r="BZ56" i="55"/>
  <c r="CC14" i="55" l="1"/>
  <c r="CB14" i="55"/>
  <c r="BZ14" i="55"/>
  <c r="BI14" i="55"/>
  <c r="BJ58" i="55"/>
  <c r="CA58" i="55" s="1"/>
  <c r="BZ58" i="55"/>
  <c r="CB58" i="55"/>
  <c r="CB52" i="55" l="1"/>
  <c r="BI52" i="55"/>
  <c r="BZ52" i="55"/>
  <c r="BJ52" i="55"/>
  <c r="CA52" i="55" s="1"/>
  <c r="BJ10" i="55"/>
  <c r="CA10" i="55" s="1"/>
  <c r="BI10" i="55"/>
  <c r="BZ10" i="55"/>
  <c r="CB10" i="55"/>
  <c r="BJ59" i="55"/>
  <c r="CA59" i="55" s="1"/>
  <c r="CB59" i="55"/>
  <c r="BZ59" i="55"/>
  <c r="BJ61" i="55"/>
  <c r="CA61" i="55" s="1"/>
  <c r="CB53" i="55"/>
  <c r="I75" i="20" a="1"/>
  <c r="K13" i="21" a="1"/>
  <c r="J15" i="13" a="1"/>
  <c r="K79" i="16" a="1"/>
  <c r="S8" i="16" a="1"/>
  <c r="H43" i="13" a="1"/>
  <c r="J8" i="16" a="1"/>
  <c r="I67" i="13" a="1"/>
  <c r="I92" i="20" a="1"/>
  <c r="F21" i="13" a="1"/>
  <c r="K6" i="13" a="1"/>
  <c r="U33" i="16" a="1"/>
  <c r="V93" i="16" a="1"/>
  <c r="K73" i="16" a="1"/>
  <c r="G64" i="13" a="1"/>
  <c r="J28" i="13" a="1"/>
  <c r="H32" i="15" a="1"/>
  <c r="G25" i="13" a="1"/>
  <c r="H39" i="13" a="1"/>
  <c r="E17" i="13" a="1"/>
  <c r="F23" i="13" a="1"/>
  <c r="K74" i="16" a="1"/>
  <c r="F39" i="13" a="1"/>
  <c r="H37" i="13" a="1"/>
  <c r="K44" i="19" a="1"/>
  <c r="K54" i="16" a="1"/>
  <c r="H36" i="15" a="1"/>
  <c r="G97" i="20" a="1"/>
  <c r="J23" i="20" a="1"/>
  <c r="J23" i="16" a="1"/>
  <c r="K35" i="13" a="1"/>
  <c r="I113" i="20" a="1"/>
  <c r="K16" i="13" a="1"/>
  <c r="F41" i="13" a="1"/>
  <c r="K38" i="13" a="1"/>
  <c r="I10" i="16" a="1"/>
  <c r="E40" i="13" a="1"/>
  <c r="R133" i="46" a="1"/>
  <c r="V29" i="16" a="1"/>
  <c r="K43" i="21" a="1"/>
  <c r="V42" i="16" a="1"/>
  <c r="J16" i="13" a="1"/>
  <c r="D42" i="26" a="1"/>
  <c r="K119" i="19" a="1"/>
  <c r="W39" i="13" a="1"/>
  <c r="W92" i="15" a="1"/>
  <c r="E44" i="13" a="1"/>
  <c r="N13" i="20" a="1"/>
  <c r="K36" i="16" a="1"/>
  <c r="K9" i="16" a="1"/>
  <c r="J32" i="20" a="1"/>
  <c r="W20" i="13" a="1"/>
  <c r="Q84" i="16" a="1"/>
  <c r="S10" i="16" a="1"/>
  <c r="G7" i="16" a="1"/>
  <c r="F11" i="13" a="1"/>
  <c r="E67" i="13" a="1"/>
  <c r="Q70" i="16" a="1"/>
  <c r="J26" i="20" a="1"/>
  <c r="J75" i="20" a="1"/>
  <c r="H25" i="15" a="1"/>
  <c r="S14" i="16" a="1"/>
  <c r="Q54" i="16" a="1"/>
  <c r="F6" i="13" a="1"/>
  <c r="I37" i="13" a="1"/>
  <c r="I29" i="13" a="1"/>
  <c r="K23" i="13" a="1"/>
  <c r="E62" i="13" a="1"/>
  <c r="F66" i="13" a="1"/>
  <c r="I98" i="20" a="1"/>
  <c r="I20" i="13" a="1"/>
  <c r="J78" i="20" a="1"/>
  <c r="S24" i="16" a="1"/>
  <c r="J34" i="20" a="1"/>
  <c r="E16" i="13" a="1"/>
  <c r="I40" i="15" a="1"/>
  <c r="K135" i="19" a="1"/>
  <c r="W15" i="13" a="1"/>
  <c r="J10" i="13" a="1"/>
  <c r="D44" i="20" a="1"/>
  <c r="G13" i="13" a="1"/>
  <c r="E23" i="13" a="1"/>
  <c r="I88" i="20" a="1"/>
  <c r="J6" i="20" a="1"/>
  <c r="J71" i="20" a="1"/>
  <c r="W48" i="13" a="1"/>
  <c r="R107" i="19" a="1"/>
  <c r="H91" i="20" a="1"/>
  <c r="I110" i="20" a="1"/>
  <c r="K14" i="15" a="1"/>
  <c r="V63" i="16" a="1"/>
  <c r="E45" i="13" a="1"/>
  <c r="K16" i="16" a="1"/>
  <c r="K55" i="16" a="1"/>
  <c r="K24" i="16" a="1"/>
  <c r="G6" i="13" a="1"/>
  <c r="E59" i="13" a="1"/>
  <c r="I33" i="13" a="1"/>
  <c r="J14" i="15" a="1"/>
  <c r="W94" i="15" a="1"/>
  <c r="E41" i="13" a="1"/>
  <c r="K98" i="16" a="1"/>
  <c r="G24" i="15" a="1"/>
  <c r="I9" i="15" a="1"/>
  <c r="I22" i="15" a="1"/>
  <c r="I11" i="13" a="1"/>
  <c r="G8" i="15" a="1"/>
  <c r="R132" i="46" a="1"/>
  <c r="G59" i="13" a="1"/>
  <c r="K48" i="16" a="1"/>
  <c r="N17" i="20" a="1"/>
  <c r="G35" i="15" a="1"/>
  <c r="R89" i="16" a="1"/>
  <c r="R61" i="16" a="1"/>
  <c r="R90" i="16" a="1"/>
  <c r="G6" i="19" a="1"/>
  <c r="G108" i="20" a="1"/>
  <c r="J10" i="20" a="1"/>
  <c r="K19" i="13" a="1"/>
  <c r="U23" i="13" a="1"/>
  <c r="K47" i="16" a="1"/>
  <c r="I44" i="13" a="1"/>
  <c r="G88" i="20" a="1"/>
  <c r="V91" i="16" a="1"/>
  <c r="J29" i="20" a="1"/>
  <c r="R95" i="16" a="1"/>
  <c r="R74" i="16" a="1"/>
  <c r="K39" i="13" a="1"/>
  <c r="G96" i="20" a="1"/>
  <c r="R72" i="16" a="1"/>
  <c r="K36" i="21" a="1"/>
  <c r="D33" i="26" a="1"/>
  <c r="I25" i="15" a="1"/>
  <c r="H29" i="13" a="1"/>
  <c r="H40" i="15" a="1"/>
  <c r="D58" i="20" a="1"/>
  <c r="H31" i="13" a="1"/>
  <c r="K14" i="13" a="1"/>
  <c r="R39" i="13" a="1"/>
  <c r="K48" i="21" a="1"/>
  <c r="L15" i="46" a="1"/>
  <c r="R70" i="16" a="1"/>
  <c r="J27" i="15" a="1"/>
  <c r="G103" i="20" a="1"/>
  <c r="F6" i="19" a="1"/>
  <c r="J76" i="20" a="1"/>
  <c r="I43" i="13" a="1"/>
  <c r="E10" i="13" a="1"/>
  <c r="H67" i="13" a="1"/>
  <c r="F20" i="13" a="1"/>
  <c r="F29" i="13" a="1"/>
  <c r="I67" i="20" a="1"/>
  <c r="E49" i="16" a="1"/>
  <c r="V81" i="16" a="1"/>
  <c r="K40" i="13" a="1"/>
  <c r="H102" i="20" a="1"/>
  <c r="K51" i="21" a="1"/>
  <c r="H12" i="16" a="1"/>
  <c r="G15" i="16" a="1"/>
  <c r="G31" i="15" a="1"/>
  <c r="E28" i="13" a="1"/>
  <c r="S23" i="13" a="1"/>
  <c r="J13" i="13" a="1"/>
  <c r="W34" i="13" a="1"/>
  <c r="J61" i="13" a="1"/>
  <c r="T38" i="13" a="1"/>
  <c r="N134" i="46" a="1"/>
  <c r="K92" i="16" a="1"/>
  <c r="K52" i="19" a="1"/>
  <c r="K68" i="13" a="1"/>
  <c r="I26" i="13" a="1"/>
  <c r="G16" i="15" a="1"/>
  <c r="H62" i="13" a="1"/>
  <c r="W47" i="15" a="1"/>
  <c r="F18" i="13" a="1"/>
  <c r="V96" i="16" a="1"/>
  <c r="N26" i="20" a="1"/>
  <c r="Q87" i="16" a="1"/>
  <c r="K59" i="16" a="1"/>
  <c r="G21" i="13" a="1"/>
  <c r="G113" i="20" a="1"/>
  <c r="V54" i="16" a="1"/>
  <c r="K26" i="16" a="1"/>
  <c r="G60" i="13" a="1"/>
  <c r="K93" i="16" a="1"/>
  <c r="I12" i="13" a="1"/>
  <c r="J73" i="20" a="1"/>
  <c r="N20" i="20" a="1"/>
  <c r="D36" i="26" a="1"/>
  <c r="I103" i="20" a="1"/>
  <c r="K31" i="13" a="1"/>
  <c r="R58" i="16" a="1"/>
  <c r="I45" i="13" a="1"/>
  <c r="R27" i="13" a="1"/>
  <c r="J29" i="13" a="1"/>
  <c r="U37" i="13" a="1"/>
  <c r="Q102" i="16" a="1"/>
  <c r="G36" i="15" a="1"/>
  <c r="J13" i="15" a="1"/>
  <c r="K21" i="16" a="1"/>
  <c r="J20" i="20" a="1"/>
  <c r="N27" i="20" a="1"/>
  <c r="I78" i="20" a="1"/>
  <c r="Q67" i="16" a="1"/>
  <c r="I101" i="20" a="1"/>
  <c r="I112" i="20" a="1"/>
  <c r="S13" i="16" a="1"/>
  <c r="I86" i="20" a="1"/>
  <c r="Q65" i="16" a="1"/>
  <c r="T22" i="21" a="1"/>
  <c r="K37" i="13" a="1"/>
  <c r="W45" i="13" a="1"/>
  <c r="F45" i="13" a="1"/>
  <c r="G70" i="13" a="1"/>
  <c r="K19" i="21" a="1"/>
  <c r="K20" i="19" a="1"/>
  <c r="J9" i="16" a="1"/>
  <c r="Q60" i="16" a="1"/>
  <c r="H58" i="13" a="1"/>
  <c r="G68" i="13" a="1"/>
  <c r="G26" i="15" a="1"/>
  <c r="W90" i="15" a="1"/>
  <c r="H33" i="15" a="1"/>
  <c r="N15" i="20" a="1"/>
  <c r="W43" i="13" a="1"/>
  <c r="W26" i="13" a="1"/>
  <c r="O8" i="26" a="1"/>
  <c r="N18" i="20" a="1"/>
  <c r="J24" i="13" a="1"/>
  <c r="K28" i="13" a="1"/>
  <c r="K46" i="16" a="1"/>
  <c r="K41" i="19" a="1"/>
  <c r="I71" i="20" a="1"/>
  <c r="K67" i="13" a="1"/>
  <c r="N21" i="20" a="1"/>
  <c r="K100" i="16" a="1"/>
  <c r="K10" i="15" a="1"/>
  <c r="F38" i="13" a="1"/>
  <c r="K81" i="16" a="1"/>
  <c r="I25" i="16" a="1"/>
  <c r="I66" i="20" a="1"/>
  <c r="G21" i="16" a="1"/>
  <c r="K132" i="19" a="1"/>
  <c r="G41" i="13" a="1"/>
  <c r="K83" i="16" a="1"/>
  <c r="K27" i="16" a="1"/>
  <c r="G106" i="20" a="1"/>
  <c r="K131" i="19" a="1"/>
  <c r="K28" i="15" a="1"/>
  <c r="I36" i="15" a="1"/>
  <c r="K34" i="13" a="1"/>
  <c r="Q137" i="46" a="1"/>
  <c r="V80" i="16" a="1"/>
  <c r="H22" i="13" a="1"/>
  <c r="I93" i="20" a="1"/>
  <c r="W14" i="13" a="1"/>
  <c r="E33" i="13" a="1"/>
  <c r="G91" i="20" a="1"/>
  <c r="E38" i="13" a="1"/>
  <c r="D35" i="26" a="1"/>
  <c r="K47" i="21" a="1"/>
  <c r="I12" i="15" a="1"/>
  <c r="J7" i="16" a="1"/>
  <c r="N132" i="46" a="1"/>
  <c r="H110" i="20" a="1"/>
  <c r="P31" i="16" a="1"/>
  <c r="K97" i="16" a="1"/>
  <c r="J33" i="13" a="1"/>
  <c r="J34" i="15" a="1"/>
  <c r="H44" i="13" a="1"/>
  <c r="Q48" i="16" a="1"/>
  <c r="R66" i="16" a="1"/>
  <c r="Q132" i="46" a="1"/>
  <c r="I33" i="15" a="1"/>
  <c r="D46" i="26" a="1"/>
  <c r="J70" i="13" a="1"/>
  <c r="K26" i="15" a="1"/>
  <c r="I17" i="15" a="1"/>
  <c r="G107" i="20" a="1"/>
  <c r="J20" i="13" a="1"/>
  <c r="I35" i="13" a="1"/>
  <c r="J13" i="20" a="1"/>
  <c r="H8" i="16" a="1"/>
  <c r="H13" i="16" a="1"/>
  <c r="V92" i="16" a="1"/>
  <c r="J53" i="20" a="1"/>
  <c r="S9" i="16" a="1"/>
  <c r="V58" i="16" a="1"/>
  <c r="K34" i="15" a="1"/>
  <c r="E65" i="13" a="1"/>
  <c r="V44" i="16" a="1"/>
  <c r="V97" i="16" a="1"/>
  <c r="F30" i="13" a="1"/>
  <c r="K50" i="21" a="1"/>
  <c r="I18" i="13" a="1"/>
  <c r="J8" i="20" a="1"/>
  <c r="G10" i="13" a="1"/>
  <c r="G8" i="16" a="1"/>
  <c r="I65" i="13" a="1"/>
  <c r="G23" i="16" a="1"/>
  <c r="F14" i="13" a="1"/>
  <c r="W28" i="13" a="1"/>
  <c r="K6" i="21" a="1"/>
  <c r="H11" i="13" a="1"/>
  <c r="K124" i="19" a="1"/>
  <c r="U27" i="13" a="1"/>
  <c r="E47" i="13" a="1"/>
  <c r="G22" i="15" a="1"/>
  <c r="H28" i="13" a="1"/>
  <c r="K18" i="21" a="1"/>
  <c r="K40" i="21" a="1"/>
  <c r="K16" i="21" a="1"/>
  <c r="J35" i="13" a="1"/>
  <c r="R37" i="13" a="1"/>
  <c r="H10" i="15" a="1"/>
  <c r="G12" i="16" a="1"/>
  <c r="V70" i="16" a="1"/>
  <c r="G11" i="16" a="1"/>
  <c r="V73" i="16" a="1"/>
  <c r="I99" i="20" a="1"/>
  <c r="J47" i="20" a="1"/>
  <c r="J16" i="20" a="1"/>
  <c r="R47" i="16" a="1"/>
  <c r="J30" i="13" a="1"/>
  <c r="Q69" i="16" a="1"/>
  <c r="T50" i="21" a="1"/>
  <c r="H14" i="16" a="1"/>
  <c r="J62" i="20" a="1"/>
  <c r="J60" i="20" a="1"/>
  <c r="G17" i="15" a="1"/>
  <c r="J82" i="20" a="1"/>
  <c r="K138" i="19" a="1"/>
  <c r="S23" i="16" a="1"/>
  <c r="J64" i="20" a="1"/>
  <c r="W93" i="15" a="1"/>
  <c r="K17" i="16" a="1"/>
  <c r="H36" i="13" a="1"/>
  <c r="J32" i="15" a="1"/>
  <c r="I40" i="13" a="1"/>
  <c r="Q79" i="16" a="1"/>
  <c r="G114" i="20" a="1"/>
  <c r="J67" i="20" a="1"/>
  <c r="W10" i="13" a="1"/>
  <c r="K57" i="16" a="1"/>
  <c r="K52" i="16" a="1"/>
  <c r="H19" i="13" a="1"/>
  <c r="H42" i="15" a="1"/>
  <c r="Q57" i="16" a="1"/>
  <c r="F9" i="13" a="1"/>
  <c r="S19" i="16" a="1"/>
  <c r="H60" i="13" a="1"/>
  <c r="V95" i="16" a="1"/>
  <c r="K35" i="19" a="1"/>
  <c r="R73" i="16" a="1"/>
  <c r="V57" i="16" a="1"/>
  <c r="Q96" i="16" a="1"/>
  <c r="J30" i="20" a="1"/>
  <c r="N23" i="20" a="1"/>
  <c r="I70" i="20" a="1"/>
  <c r="R54" i="16" a="1"/>
  <c r="I19" i="16" a="1"/>
  <c r="G37" i="13" a="1"/>
  <c r="V64" i="16" a="1"/>
  <c r="K17" i="13" a="1"/>
  <c r="H46" i="13" a="1"/>
  <c r="K44" i="16" a="1"/>
  <c r="E60" i="13" a="1"/>
  <c r="R98" i="16" a="1"/>
  <c r="J14" i="16" a="1"/>
  <c r="I21" i="13" a="1"/>
  <c r="K45" i="16" a="1"/>
  <c r="W44" i="13" a="1"/>
  <c r="F24" i="13" a="1"/>
  <c r="V76" i="16" a="1"/>
  <c r="R46" i="16" a="1"/>
  <c r="R36" i="16" a="1"/>
  <c r="K22" i="16" a="1"/>
  <c r="I24" i="13" a="1"/>
  <c r="G15" i="13" a="1"/>
  <c r="E20" i="13" a="1"/>
  <c r="H47" i="13" a="1"/>
  <c r="K38" i="19" a="1"/>
  <c r="E64" i="13" a="1"/>
  <c r="G42" i="13" a="1"/>
  <c r="V85" i="16" a="1"/>
  <c r="S52" i="16" a="1"/>
  <c r="R137" i="46" a="1"/>
  <c r="G62" i="13" a="1"/>
  <c r="H41" i="13" a="1"/>
  <c r="N9" i="26" a="1"/>
  <c r="J43" i="13" a="1"/>
  <c r="I105" i="20" a="1"/>
  <c r="J63" i="13" a="1"/>
  <c r="V46" i="16" a="1"/>
  <c r="R57" i="16" a="1"/>
  <c r="V98" i="16" a="1"/>
  <c r="S20" i="16" a="1"/>
  <c r="H35" i="13" a="1"/>
  <c r="Q45" i="16" a="1"/>
  <c r="K17" i="21" a="1"/>
  <c r="J19" i="16" a="1"/>
  <c r="I15" i="13" a="1"/>
  <c r="I94" i="20" a="1"/>
  <c r="J24" i="20" a="1"/>
  <c r="H7" i="16" a="1"/>
  <c r="K61" i="13" a="1"/>
  <c r="H16" i="16" a="1"/>
  <c r="I6" i="13" a="1"/>
  <c r="H24" i="13" a="1"/>
  <c r="Q42" i="16" a="1"/>
  <c r="K42" i="13" a="1"/>
  <c r="H6" i="26" a="1"/>
  <c r="I31" i="15" a="1"/>
  <c r="K18" i="15" a="1"/>
  <c r="O85" i="15" a="1"/>
  <c r="H17" i="15" a="1"/>
  <c r="H89" i="20" a="1"/>
  <c r="K8" i="16" a="1"/>
  <c r="Q38" i="16" a="1"/>
  <c r="K40" i="15" a="1"/>
  <c r="F62" i="13" a="1"/>
  <c r="U31" i="16" a="1"/>
  <c r="K53" i="16" a="1"/>
  <c r="R78" i="16" a="1"/>
  <c r="V48" i="16" a="1"/>
  <c r="I31" i="13" a="1"/>
  <c r="J83" i="20" a="1"/>
  <c r="K12" i="15" a="1"/>
  <c r="R65" i="16" a="1"/>
  <c r="F35" i="13" a="1"/>
  <c r="J51" i="20" a="1"/>
  <c r="I39" i="15" a="1"/>
  <c r="K24" i="15" a="1"/>
  <c r="K109" i="19" a="1"/>
  <c r="Q47" i="16" a="1"/>
  <c r="J39" i="13" a="1"/>
  <c r="E9" i="13" a="1"/>
  <c r="I79" i="20" a="1"/>
  <c r="R102" i="16" a="1"/>
  <c r="K142" i="19" a="1"/>
  <c r="K9" i="15" a="1"/>
  <c r="W89" i="15" a="1"/>
  <c r="Q36" i="16" a="1"/>
  <c r="H59" i="13" a="1"/>
  <c r="Q53" i="16" a="1"/>
  <c r="J68" i="13" a="1"/>
  <c r="G11" i="13" a="1"/>
  <c r="I41" i="13" a="1"/>
  <c r="I60" i="13" a="1"/>
  <c r="R39" i="16" a="1"/>
  <c r="Q81" i="16" a="1"/>
  <c r="G46" i="13" a="1"/>
  <c r="K24" i="21" a="1"/>
  <c r="K11" i="16" a="1"/>
  <c r="H13" i="13" a="1"/>
  <c r="S16" i="16" a="1"/>
  <c r="J59" i="13" a="1"/>
  <c r="H108" i="20" a="1"/>
  <c r="J36" i="20" a="1"/>
  <c r="I34" i="13" a="1"/>
  <c r="K9" i="19" a="1"/>
  <c r="V103" i="16" a="1"/>
  <c r="H18" i="13" a="1"/>
  <c r="G38" i="15" a="1"/>
  <c r="V39" i="13" a="1"/>
  <c r="J52" i="20" a="1"/>
  <c r="Q61" i="16" a="1"/>
  <c r="K58" i="19" a="1"/>
  <c r="F59" i="13" a="1"/>
  <c r="F63" i="13" a="1"/>
  <c r="R44" i="16" a="1"/>
  <c r="G39" i="13" a="1"/>
  <c r="K43" i="19" a="1"/>
  <c r="E35" i="13" a="1"/>
  <c r="H17" i="16" a="1"/>
  <c r="J44" i="13" a="1"/>
  <c r="D38" i="26" a="1"/>
  <c r="K49" i="21" a="1"/>
  <c r="Q101" i="16" a="1"/>
  <c r="E66" i="13" a="1"/>
  <c r="G67" i="13" a="1"/>
  <c r="N22" i="20" a="1"/>
  <c r="I61" i="13" a="1"/>
  <c r="R56" i="16" a="1"/>
  <c r="I21" i="15" a="1"/>
  <c r="K54" i="19" a="1"/>
  <c r="G40" i="15" a="1"/>
  <c r="U136" i="46" a="1"/>
  <c r="G35" i="13" a="1"/>
  <c r="J18" i="13" a="1"/>
  <c r="K10" i="13" a="1"/>
  <c r="K95" i="16" a="1"/>
  <c r="K15" i="13" a="1"/>
  <c r="Q134" i="46" a="1"/>
  <c r="F68" i="13" a="1"/>
  <c r="I109" i="20" a="1"/>
  <c r="G11" i="15" a="1"/>
  <c r="E22" i="13" a="1"/>
  <c r="G22" i="16" a="1"/>
  <c r="H18" i="15" a="1"/>
  <c r="K66" i="13" a="1"/>
  <c r="W35" i="13" a="1"/>
  <c r="K25" i="16" a="1"/>
  <c r="R134" i="46" a="1"/>
  <c r="Q80" i="16" a="1"/>
  <c r="K13" i="15" a="1"/>
  <c r="Q77" i="16" a="1"/>
  <c r="W30" i="13" a="1"/>
  <c r="H35" i="15" a="1"/>
  <c r="K128" i="19" a="1"/>
  <c r="Q7" i="19" a="1"/>
  <c r="H24" i="16" a="1"/>
  <c r="H8" i="15" a="1"/>
  <c r="H36" i="16" a="1"/>
  <c r="K118" i="19" a="1"/>
  <c r="R67" i="16" a="1"/>
  <c r="H106" i="20" a="1"/>
  <c r="K18" i="16" a="1"/>
  <c r="R93" i="16" a="1"/>
  <c r="V72" i="16" a="1"/>
  <c r="Q89" i="16" a="1"/>
  <c r="K52" i="21" a="1"/>
  <c r="I38" i="13" a="1"/>
  <c r="V74" i="16" a="1"/>
  <c r="N16" i="20" a="1"/>
  <c r="Q99" i="16" a="1"/>
  <c r="J18" i="15" a="1"/>
  <c r="I42" i="13" a="1"/>
  <c r="G14" i="16" a="1"/>
  <c r="W47" i="13" a="1"/>
  <c r="H10" i="16" a="1"/>
  <c r="K89" i="16" a="1"/>
  <c r="J37" i="20" a="1"/>
  <c r="K27" i="13" a="1"/>
  <c r="H20" i="16" a="1"/>
  <c r="H14" i="15" a="1"/>
  <c r="J77" i="20" a="1"/>
  <c r="H6" i="19" a="1"/>
  <c r="Q90" i="16" a="1"/>
  <c r="J17" i="15" a="1"/>
  <c r="I22" i="13" a="1"/>
  <c r="V53" i="16" a="1"/>
  <c r="K41" i="13" a="1"/>
  <c r="J66" i="13" a="1"/>
  <c r="Q33" i="26" a="1"/>
  <c r="H28" i="15" a="1"/>
  <c r="I14" i="13" a="1"/>
  <c r="V66" i="16" a="1"/>
  <c r="I39" i="13" a="1"/>
  <c r="H22" i="15" a="1"/>
  <c r="D31" i="26" a="1"/>
  <c r="K15" i="19" a="1"/>
  <c r="G6" i="26" a="1"/>
  <c r="H21" i="16" a="1"/>
  <c r="I6" i="21" a="1"/>
  <c r="K15" i="21" a="1"/>
  <c r="J14" i="13" a="1"/>
  <c r="N34" i="20" a="1"/>
  <c r="G28" i="13" a="1"/>
  <c r="J11" i="16" a="1"/>
  <c r="K80" i="16" a="1"/>
  <c r="I97" i="20" a="1"/>
  <c r="H25" i="13" a="1"/>
  <c r="E11" i="13" a="1"/>
  <c r="F16" i="13" a="1"/>
  <c r="K15" i="16" a="1"/>
  <c r="K35" i="21" a="1"/>
  <c r="H20" i="13" a="1"/>
  <c r="G102" i="20" a="1"/>
  <c r="J13" i="16" a="1"/>
  <c r="W46" i="15" a="1"/>
  <c r="G27" i="15" a="1"/>
  <c r="K46" i="13" a="1"/>
  <c r="R23" i="13" a="1"/>
  <c r="F31" i="13" a="1"/>
  <c r="J64" i="13" a="1"/>
  <c r="K86" i="16" a="1"/>
  <c r="I58" i="20" a="1"/>
  <c r="K9" i="21" a="1"/>
  <c r="I68" i="13" a="1"/>
  <c r="W52" i="13" a="1"/>
  <c r="I30" i="13" a="1"/>
  <c r="J16" i="15" a="1"/>
  <c r="I89" i="20" a="1"/>
  <c r="Q133" i="46" a="1"/>
  <c r="J41" i="20" a="1"/>
  <c r="J9" i="15" a="1"/>
  <c r="H26" i="16" a="1"/>
  <c r="X57" i="16" a="1"/>
  <c r="G18" i="15" a="1"/>
  <c r="R69" i="16" a="1"/>
  <c r="H101" i="20" a="1"/>
  <c r="G17" i="16" a="1"/>
  <c r="G45" i="13" a="1"/>
  <c r="K39" i="21" a="1"/>
  <c r="G61" i="13" a="1"/>
  <c r="R53" i="16" a="1"/>
  <c r="G42" i="15" a="1"/>
  <c r="K129" i="19" a="1"/>
  <c r="D45" i="26" a="1"/>
  <c r="G36" i="13" a="1"/>
  <c r="K19" i="16" a="1"/>
  <c r="G6" i="20" a="1"/>
  <c r="R99" i="16" a="1"/>
  <c r="H111" i="20" a="1"/>
  <c r="I35" i="15" a="1"/>
  <c r="W9" i="13" a="1"/>
  <c r="K121" i="19" a="1"/>
  <c r="K33" i="13" a="1"/>
  <c r="V36" i="16" a="1"/>
  <c r="K64" i="16" a="1"/>
  <c r="E26" i="13" a="1"/>
  <c r="G90" i="20" a="1"/>
  <c r="J15" i="16" a="1"/>
  <c r="G24" i="13" a="1"/>
  <c r="K23" i="19" a="1"/>
  <c r="R91" i="16" a="1"/>
  <c r="J28" i="20" a="1"/>
  <c r="J70" i="20" a="1"/>
  <c r="R92" i="16" a="1"/>
  <c r="V60" i="16" a="1"/>
  <c r="Q62" i="16" a="1"/>
  <c r="K23" i="16" a="1"/>
  <c r="I65" i="20" a="1"/>
  <c r="K56" i="19" a="1"/>
  <c r="E8" i="13" a="1"/>
  <c r="I6" i="19" a="1"/>
  <c r="Q94" i="16" a="1"/>
  <c r="J27" i="13" a="1"/>
  <c r="E29" i="13" a="1"/>
  <c r="J26" i="16" a="1"/>
  <c r="K70" i="13" a="1"/>
  <c r="I10" i="15" a="1"/>
  <c r="G32" i="15" a="1"/>
  <c r="I13" i="13" a="1"/>
  <c r="K29" i="21" a="1"/>
  <c r="J41" i="13" a="1"/>
  <c r="N30" i="20" a="1"/>
  <c r="K114" i="19" a="1"/>
  <c r="G38" i="13" a="1"/>
  <c r="N24" i="20" a="1"/>
  <c r="V61" i="16" a="1"/>
  <c r="I18" i="16" a="1"/>
  <c r="V55" i="16" a="1"/>
  <c r="G17" i="13" a="1"/>
  <c r="K22" i="19" a="1"/>
  <c r="I13" i="16" a="1"/>
  <c r="D43" i="26" a="1"/>
  <c r="K8" i="15" a="1"/>
  <c r="K36" i="19" a="1"/>
  <c r="J19" i="20" a="1"/>
  <c r="I72" i="20" a="1"/>
  <c r="K112" i="19" a="1"/>
  <c r="N12" i="20" a="1"/>
  <c r="J11" i="15" a="1"/>
  <c r="J25" i="13" a="1"/>
  <c r="R60" i="16" a="1"/>
  <c r="Q86" i="16" a="1"/>
  <c r="K44" i="21" a="1"/>
  <c r="K56" i="16" a="1"/>
  <c r="G65" i="13" a="1"/>
  <c r="N25" i="20" a="1"/>
  <c r="K13" i="13" a="1"/>
  <c r="I28" i="13" a="1"/>
  <c r="J60" i="13" a="1"/>
  <c r="I15" i="16" a="1"/>
  <c r="K94" i="16" a="1"/>
  <c r="H9" i="16" a="1"/>
  <c r="I77" i="20" a="1"/>
  <c r="N19" i="20" a="1"/>
  <c r="K42" i="15" a="1"/>
  <c r="K19" i="19" a="1"/>
  <c r="K41" i="21" a="1"/>
  <c r="G58" i="13" a="1"/>
  <c r="G20" i="13" a="1"/>
  <c r="I95" i="20" a="1"/>
  <c r="I70" i="13" a="1"/>
  <c r="W8" i="13" a="1"/>
  <c r="F6" i="20" a="1"/>
  <c r="W54" i="13" a="1"/>
  <c r="G110" i="20" a="1"/>
  <c r="K113" i="19" a="1"/>
  <c r="V47" i="16" a="1"/>
  <c r="F64" i="13" a="1"/>
  <c r="K62" i="13" a="1"/>
  <c r="G41" i="15" a="1"/>
  <c r="G29" i="13" a="1"/>
  <c r="K20" i="13" a="1"/>
  <c r="I81" i="20" a="1"/>
  <c r="G66" i="13" a="1"/>
  <c r="T39" i="13" a="1"/>
  <c r="K47" i="19" a="1"/>
  <c r="J45" i="20" a="1"/>
  <c r="K85" i="16" a="1"/>
  <c r="H31" i="15" a="1"/>
  <c r="D37" i="26" a="1"/>
  <c r="I85" i="20" a="1"/>
  <c r="G18" i="13" a="1"/>
  <c r="K62" i="16" a="1"/>
  <c r="R62" i="16" a="1"/>
  <c r="G101" i="20" a="1"/>
  <c r="H12" i="15" a="1"/>
  <c r="F22" i="13" a="1"/>
  <c r="J17" i="16" a="1"/>
  <c r="H24" i="15" a="1"/>
  <c r="H21" i="13" a="1"/>
  <c r="G26" i="13" a="1"/>
  <c r="E7" i="13" a="1"/>
  <c r="W11" i="13" a="1"/>
  <c r="R48" i="16" a="1"/>
  <c r="H38" i="15" a="1"/>
  <c r="K30" i="13" a="1"/>
  <c r="F60" i="13" a="1"/>
  <c r="R37" i="16" a="1"/>
  <c r="J15" i="20" a="1"/>
  <c r="J61" i="20" a="1"/>
  <c r="K8" i="21" a="1"/>
  <c r="Q98" i="16" a="1"/>
  <c r="K66" i="16" a="1"/>
  <c r="J40" i="13" a="1"/>
  <c r="V38" i="13" a="1"/>
  <c r="K24" i="13" a="1"/>
  <c r="W18" i="13" a="1"/>
  <c r="D107" i="19" a="1"/>
  <c r="S15" i="16" a="1"/>
  <c r="V78" i="16" a="1"/>
  <c r="V39" i="16" a="1"/>
  <c r="I60" i="20" a="1"/>
  <c r="I64" i="20" a="1"/>
  <c r="I16" i="16" a="1"/>
  <c r="K34" i="21" a="1"/>
  <c r="E28" i="19" a="1"/>
  <c r="I59" i="13" a="1"/>
  <c r="K58" i="16" a="1"/>
  <c r="G100" i="20" a="1"/>
  <c r="K11" i="19" a="1"/>
  <c r="J25" i="20" a="1"/>
  <c r="E107" i="19" a="1"/>
  <c r="K7" i="21" a="1"/>
  <c r="N56" i="26" a="1"/>
  <c r="G13" i="16" a="1"/>
  <c r="J59" i="20" a="1"/>
  <c r="K37" i="19" a="1"/>
  <c r="I46" i="13" a="1"/>
  <c r="J41" i="15" a="1"/>
  <c r="K32" i="19" a="1"/>
  <c r="J66" i="20" a="1"/>
  <c r="H109" i="20" a="1"/>
  <c r="H66" i="13" a="1"/>
  <c r="J24" i="15" a="1"/>
  <c r="J10" i="15" a="1"/>
  <c r="G16" i="13" a="1"/>
  <c r="H113" i="20" a="1"/>
  <c r="W19" i="13" a="1"/>
  <c r="J72" i="20" a="1"/>
  <c r="K61" i="16" a="1"/>
  <c r="K11" i="21" a="1"/>
  <c r="I83" i="20" a="1"/>
  <c r="K22" i="15" a="1"/>
  <c r="K72" i="16" a="1"/>
  <c r="I23" i="16" a="1"/>
  <c r="J6" i="26" a="1"/>
  <c r="H14" i="13" a="1"/>
  <c r="G26" i="16" a="1"/>
  <c r="U133" i="46" a="1"/>
  <c r="I16" i="13" a="1"/>
  <c r="H92" i="20" a="1"/>
  <c r="K75" i="16" a="1"/>
  <c r="I84" i="20" a="1"/>
  <c r="R55" i="16" a="1"/>
  <c r="K42" i="16" a="1"/>
  <c r="I107" i="20" a="1"/>
  <c r="S26" i="16" a="1"/>
  <c r="K28" i="21" a="1"/>
  <c r="F70" i="13" a="1"/>
  <c r="K33" i="15" a="1"/>
  <c r="J23" i="13" a="1"/>
  <c r="V100" i="16" a="1"/>
  <c r="V99" i="16" a="1"/>
  <c r="R52" i="16" a="1"/>
  <c r="I21" i="16" a="1"/>
  <c r="I14" i="15" a="1"/>
  <c r="H18" i="16" a="1"/>
  <c r="I8" i="16" a="1"/>
  <c r="J34" i="13" a="1"/>
  <c r="W22" i="13" a="1"/>
  <c r="Q66" i="16" a="1"/>
  <c r="K17" i="15" a="1"/>
  <c r="V37" i="13" a="1"/>
  <c r="F25" i="13" a="1"/>
  <c r="E19" i="13" a="1"/>
  <c r="H15" i="16" a="1"/>
  <c r="I62" i="20" a="1"/>
  <c r="K65" i="16" a="1"/>
  <c r="H34" i="13" a="1"/>
  <c r="J36" i="13" a="1"/>
  <c r="G43" i="13" a="1"/>
  <c r="W37" i="13" a="1"/>
  <c r="H41" i="15" a="1"/>
  <c r="K12" i="19" a="1"/>
  <c r="J24" i="16" a="1"/>
  <c r="Y95" i="15" a="1"/>
  <c r="R100" i="16" a="1"/>
  <c r="H45" i="13" a="1"/>
  <c r="Q97" i="16" a="1"/>
  <c r="G14" i="13" a="1"/>
  <c r="J12" i="20" a="1"/>
  <c r="W36" i="13" a="1"/>
  <c r="I108" i="20" a="1"/>
  <c r="H11" i="15" a="1"/>
  <c r="W13" i="13" a="1"/>
  <c r="V89" i="16" a="1"/>
  <c r="G25" i="15" a="1"/>
  <c r="W25" i="13" a="1"/>
  <c r="I96" i="20" a="1"/>
  <c r="D34" i="26" a="1"/>
  <c r="K88" i="16" a="1"/>
  <c r="I47" i="13" a="1"/>
  <c r="G99" i="20" a="1"/>
  <c r="I87" i="20" a="1"/>
  <c r="G10" i="16" a="1"/>
  <c r="K25" i="21" a="1"/>
  <c r="S11" i="16" a="1"/>
  <c r="J80" i="20" a="1"/>
  <c r="J26" i="15" a="1"/>
  <c r="H95" i="20" a="1"/>
  <c r="V88" i="16" a="1"/>
  <c r="H98" i="20" a="1"/>
  <c r="G44" i="13" a="1"/>
  <c r="H38" i="13" a="1"/>
  <c r="I80" i="20" a="1"/>
  <c r="K102" i="16" a="1"/>
  <c r="K51" i="19" a="1"/>
  <c r="J20" i="16" a="1"/>
  <c r="J17" i="13" a="1"/>
  <c r="Q83" i="16" a="1"/>
  <c r="G21" i="15" a="1"/>
  <c r="I66" i="13" a="1"/>
  <c r="N133" i="46" a="1"/>
  <c r="V56" i="16" a="1"/>
  <c r="J6" i="21" a="1"/>
  <c r="G28" i="15" a="1"/>
  <c r="W23" i="13" a="1"/>
  <c r="K21" i="13" a="1"/>
  <c r="N10" i="20" a="1"/>
  <c r="J18" i="20" a="1"/>
  <c r="J36" i="15" a="1"/>
  <c r="E63" i="13" a="1"/>
  <c r="J12" i="16" a="1"/>
  <c r="H114" i="20" a="1"/>
  <c r="Q44" i="16" a="1"/>
  <c r="V101" i="16" a="1"/>
  <c r="K6" i="16" a="1"/>
  <c r="V94" i="16" a="1"/>
  <c r="K25" i="15" a="1"/>
  <c r="I24" i="16" a="1"/>
  <c r="Q76" i="16" a="1"/>
  <c r="J35" i="15" a="1"/>
  <c r="J23" i="15" a="1"/>
  <c r="K13" i="19" a="1"/>
  <c r="J84" i="20" a="1"/>
  <c r="K59" i="13" a="1"/>
  <c r="T52" i="21" a="1"/>
  <c r="I111" i="20" a="1"/>
  <c r="J21" i="15" a="1"/>
  <c r="Q73" i="16" a="1"/>
  <c r="U38" i="13" a="1"/>
  <c r="J6" i="19" a="1"/>
  <c r="E24" i="13" a="1"/>
  <c r="E43" i="13" a="1"/>
  <c r="D49" i="16" a="1"/>
  <c r="R97" i="16" a="1"/>
  <c r="F67" i="13" a="1"/>
  <c r="K78" i="16" a="1"/>
  <c r="H90" i="20" a="1"/>
  <c r="J65" i="20" a="1"/>
  <c r="J12" i="13" a="1"/>
  <c r="K7" i="16" a="1"/>
  <c r="K64" i="13" a="1"/>
  <c r="J7" i="20" a="1"/>
  <c r="K139" i="19" a="1"/>
  <c r="F61" i="13" a="1"/>
  <c r="K31" i="19" a="1"/>
  <c r="J17" i="20" a="1"/>
  <c r="I82" i="20" a="1"/>
  <c r="E58" i="13" a="1"/>
  <c r="U137" i="46" a="1"/>
  <c r="V83" i="16" a="1"/>
  <c r="K14" i="21" a="1"/>
  <c r="J49" i="20" a="1"/>
  <c r="K137" i="19" a="1"/>
  <c r="U135" i="46" a="1"/>
  <c r="R103" i="16" a="1"/>
  <c r="H27" i="13" a="1"/>
  <c r="G23" i="15" a="1"/>
  <c r="K10" i="21" a="1"/>
  <c r="H40" i="13" a="1"/>
  <c r="I36" i="13" a="1"/>
  <c r="K14" i="16" a="1"/>
  <c r="G12" i="13" a="1"/>
  <c r="I17" i="13" a="1"/>
  <c r="K39" i="19" a="1"/>
  <c r="J40" i="15" a="1"/>
  <c r="V77" i="16" a="1"/>
  <c r="D44" i="26" a="1"/>
  <c r="H19" i="16" a="1"/>
  <c r="P132" i="46" a="1"/>
  <c r="V43" i="16" a="1"/>
  <c r="K43" i="16" a="1"/>
  <c r="S25" i="16" a="1"/>
  <c r="I73" i="20" a="1"/>
  <c r="K63" i="13" a="1"/>
  <c r="J25" i="16" a="1"/>
  <c r="K8" i="19" a="1"/>
  <c r="I25" i="13" a="1"/>
  <c r="R75" i="16" a="1"/>
  <c r="W16" i="13" a="1"/>
  <c r="G33" i="15" a="1"/>
  <c r="J22" i="16" a="1"/>
  <c r="J14" i="20" a="1"/>
  <c r="E15" i="13" a="1"/>
  <c r="S7" i="16" a="1"/>
  <c r="V59" i="16" a="1"/>
  <c r="J21" i="20" a="1"/>
  <c r="H100" i="20" a="1"/>
  <c r="F7" i="13" a="1"/>
  <c r="H17" i="13" a="1"/>
  <c r="H70" i="13" a="1"/>
  <c r="I74" i="20" a="1"/>
  <c r="G34" i="13" a="1"/>
  <c r="W12" i="13" a="1"/>
  <c r="J38" i="13" a="1"/>
  <c r="R64" i="16" a="1"/>
  <c r="K58" i="13" a="1"/>
  <c r="I22" i="16" a="1"/>
  <c r="K12" i="13" a="1"/>
  <c r="I23" i="15" a="1"/>
  <c r="I9" i="16" a="1"/>
  <c r="K46" i="19" a="1"/>
  <c r="K18" i="19" a="1"/>
  <c r="R79" i="16" a="1"/>
  <c r="H64" i="13" a="1"/>
  <c r="F36" i="13" a="1"/>
  <c r="J45" i="13" a="1"/>
  <c r="V87" i="16" a="1"/>
  <c r="K38" i="16" a="1"/>
  <c r="K90" i="16" a="1"/>
  <c r="R85" i="16" a="1"/>
  <c r="K30" i="19" a="1"/>
  <c r="V45" i="16" a="1"/>
  <c r="Q55" i="16" a="1"/>
  <c r="I62" i="13" a="1"/>
  <c r="W51" i="13" a="1"/>
  <c r="K110" i="19" a="1"/>
  <c r="Q56" i="16" a="1"/>
  <c r="H34" i="15" a="1"/>
  <c r="W48" i="15" a="1"/>
  <c r="F40" i="13" a="1"/>
  <c r="V67" i="16" a="1"/>
  <c r="R94" i="16" a="1"/>
  <c r="K69" i="16" a="1"/>
  <c r="S37" i="13" a="1"/>
  <c r="K11" i="15" a="1"/>
  <c r="Q59" i="16" a="1"/>
  <c r="I63" i="20" a="1"/>
  <c r="H11" i="16" a="1"/>
  <c r="T33" i="16" a="1"/>
  <c r="K37" i="21" a="1"/>
  <c r="H30" i="13" a="1"/>
  <c r="R77" i="16" a="1"/>
  <c r="J37" i="13" a="1"/>
  <c r="W49" i="15" a="1"/>
  <c r="K38" i="15" a="1"/>
  <c r="G39" i="15" a="1"/>
  <c r="E46" i="13" a="1"/>
  <c r="I18" i="15" a="1"/>
  <c r="N11" i="20" a="1"/>
  <c r="Q95" i="16" a="1"/>
  <c r="Q52" i="16" a="1"/>
  <c r="K70" i="16" a="1"/>
  <c r="E61" i="13" a="1"/>
  <c r="H63" i="13" a="1"/>
  <c r="K39" i="15" a="1"/>
  <c r="J55" i="20" a="1"/>
  <c r="G6" i="21" a="1"/>
  <c r="K37" i="16" a="1"/>
  <c r="K77" i="16" a="1"/>
  <c r="E12" i="13" a="1"/>
  <c r="F65" i="13" a="1"/>
  <c r="J62" i="13" a="1"/>
  <c r="I11" i="15" a="1"/>
  <c r="Q39" i="16" a="1"/>
  <c r="K140" i="19" a="1"/>
  <c r="K13" i="16" a="1"/>
  <c r="I26" i="15" a="1"/>
  <c r="F28" i="13" a="1"/>
  <c r="K20" i="16" a="1"/>
  <c r="G40" i="13" a="1"/>
  <c r="J42" i="20" a="1"/>
  <c r="I16" i="15" a="1"/>
  <c r="K6" i="19" a="1"/>
  <c r="I69" i="20" a="1"/>
  <c r="H103" i="20" a="1"/>
  <c r="K45" i="21" a="1"/>
  <c r="V69" i="16" a="1"/>
  <c r="G104" i="20" a="1"/>
  <c r="J33" i="15" a="1"/>
  <c r="I28" i="15" a="1"/>
  <c r="E30" i="13" a="1"/>
  <c r="J81" i="20" a="1"/>
  <c r="Q46" i="16" a="1"/>
  <c r="J44" i="20" a="1"/>
  <c r="K60" i="16" a="1"/>
  <c r="J25" i="15" a="1"/>
  <c r="Q100" i="16" a="1"/>
  <c r="V71" i="16" a="1"/>
  <c r="E39" i="13" a="1"/>
  <c r="I58" i="13" a="1"/>
  <c r="N14" i="20" a="1"/>
  <c r="I61" i="20" a="1"/>
  <c r="K57" i="19" a="1"/>
  <c r="E60" i="19" a="1"/>
  <c r="I63" i="13" a="1"/>
  <c r="E34" i="13" a="1"/>
  <c r="J39" i="20" a="1"/>
  <c r="I26" i="16" a="1"/>
  <c r="N29" i="20" a="1"/>
  <c r="K136" i="19" a="1"/>
  <c r="I14" i="16" a="1"/>
  <c r="J42" i="13" a="1"/>
  <c r="S12" i="16" a="1"/>
  <c r="J65" i="13" a="1"/>
  <c r="J22" i="13" a="1"/>
  <c r="I19" i="13" a="1"/>
  <c r="I17" i="16" a="1"/>
  <c r="N29" i="26" a="1"/>
  <c r="K12" i="21" a="1"/>
  <c r="K17" i="19" a="1"/>
  <c r="E18" i="13" a="1"/>
  <c r="F33" i="13" a="1"/>
  <c r="K50" i="19" a="1"/>
  <c r="J26" i="13" a="1"/>
  <c r="R86" i="16" a="1"/>
  <c r="K26" i="13" a="1"/>
  <c r="J18" i="16" a="1"/>
  <c r="F47" i="13" a="1"/>
  <c r="R81" i="16" a="1"/>
  <c r="J31" i="13" a="1"/>
  <c r="H27" i="15" a="1"/>
  <c r="G13" i="15" a="1"/>
  <c r="H25" i="16" a="1"/>
  <c r="K127" i="19" a="1"/>
  <c r="H6" i="20" a="1"/>
  <c r="D41" i="26" a="1"/>
  <c r="K23" i="15" a="1"/>
  <c r="K31" i="15" a="1"/>
  <c r="R59" i="16" a="1"/>
  <c r="I100" i="20" a="1"/>
  <c r="K76" i="16" a="1"/>
  <c r="J12" i="15" a="1"/>
  <c r="K7" i="19" a="1"/>
  <c r="K91" i="16" a="1"/>
  <c r="J22" i="15" a="1"/>
  <c r="K133" i="19" a="1"/>
  <c r="F58" i="13" a="1"/>
  <c r="K67" i="16" a="1"/>
  <c r="H99" i="20" a="1"/>
  <c r="V62" i="16" a="1"/>
  <c r="K21" i="19" a="1"/>
  <c r="K27" i="15" a="1"/>
  <c r="J67" i="13" a="1"/>
  <c r="R38" i="16" a="1"/>
  <c r="W27" i="13" a="1"/>
  <c r="K115" i="19" a="1"/>
  <c r="F34" i="13" a="1"/>
  <c r="K126" i="19" a="1"/>
  <c r="H93" i="20" a="1"/>
  <c r="K84" i="16" a="1"/>
  <c r="K10" i="16" a="1"/>
  <c r="R45" i="16" a="1"/>
  <c r="G14" i="15" a="1"/>
  <c r="J69" i="20" a="1"/>
  <c r="R136" i="46" a="1"/>
  <c r="E21" i="13" a="1"/>
  <c r="V102" i="16" a="1"/>
  <c r="I13" i="15" a="1"/>
  <c r="K101" i="16" a="1"/>
  <c r="J22" i="20" a="1"/>
  <c r="S38" i="13" a="1"/>
  <c r="U132" i="46" a="1"/>
  <c r="E37" i="13" a="1"/>
  <c r="K41" i="15" a="1"/>
  <c r="H12" i="13" a="1"/>
  <c r="Q75" i="16" a="1"/>
  <c r="Q91" i="16" a="1"/>
  <c r="K34" i="19" a="1"/>
  <c r="H104" i="20" a="1"/>
  <c r="K71" i="16" a="1"/>
  <c r="G22" i="13" a="1"/>
  <c r="L16" i="46" a="1"/>
  <c r="W42" i="13" a="1"/>
  <c r="R101" i="16" a="1"/>
  <c r="K123" i="19" a="1"/>
  <c r="W24" i="13" a="1"/>
  <c r="W38" i="13" a="1"/>
  <c r="T31" i="16" a="1"/>
  <c r="K14" i="19" a="1"/>
  <c r="Q37" i="16" a="1"/>
  <c r="K22" i="13" a="1"/>
  <c r="E27" i="13" a="1"/>
  <c r="I102" i="20" a="1"/>
  <c r="E31" i="13" a="1"/>
  <c r="K45" i="13" a="1"/>
  <c r="G94" i="20" a="1"/>
  <c r="H39" i="15" a="1"/>
  <c r="U39" i="13" a="1"/>
  <c r="V75" i="16" a="1"/>
  <c r="G9" i="16" a="1"/>
  <c r="T30" i="16" a="1"/>
  <c r="K99" i="16" a="1"/>
  <c r="K22" i="21" a="1"/>
  <c r="I10" i="13" a="1"/>
  <c r="I27" i="13" a="1"/>
  <c r="G19" i="16" a="1"/>
  <c r="H26" i="15" a="1"/>
  <c r="H97" i="20" a="1"/>
  <c r="J35" i="20" a="1"/>
  <c r="H61" i="13" a="1"/>
  <c r="E70" i="13" a="1"/>
  <c r="K120" i="19" a="1"/>
  <c r="R96" i="16" a="1"/>
  <c r="I32" i="15" a="1"/>
  <c r="J21" i="13" a="1"/>
  <c r="J68" i="20" a="1"/>
  <c r="V79" i="16" a="1"/>
  <c r="J10" i="16" a="1"/>
  <c r="G31" i="13" a="1"/>
  <c r="I90" i="20" a="1"/>
  <c r="K55" i="19" a="1"/>
  <c r="K16" i="19" a="1"/>
  <c r="J16" i="16" a="1"/>
  <c r="H6" i="13" a="1"/>
  <c r="F46" i="13" a="1"/>
  <c r="I20" i="16" a="1"/>
  <c r="J46" i="20" a="1"/>
  <c r="Q88" i="16" a="1"/>
  <c r="G9" i="15" a="1"/>
  <c r="H10" i="13" a="1"/>
  <c r="F13" i="13" a="1"/>
  <c r="J21" i="16" a="1"/>
  <c r="H27" i="16" a="1"/>
  <c r="K116" i="19" a="1"/>
  <c r="F37" i="13" a="1"/>
  <c r="N8" i="26" a="1"/>
  <c r="G63" i="13" a="1"/>
  <c r="K65" i="13" a="1"/>
  <c r="V90" i="16" a="1"/>
  <c r="R38" i="13" a="1"/>
  <c r="D60" i="19" a="1"/>
  <c r="J58" i="20" a="1"/>
  <c r="G23" i="13" a="1"/>
  <c r="I7" i="16" a="1"/>
  <c r="V37" i="16" a="1"/>
  <c r="E42" i="13" a="1"/>
  <c r="K25" i="19" a="1"/>
  <c r="G16" i="16" a="1"/>
  <c r="I114" i="20" a="1"/>
  <c r="J27" i="20" a="1"/>
  <c r="K53" i="19" a="1"/>
  <c r="T37" i="13" a="1"/>
  <c r="F12" i="13" a="1"/>
  <c r="D32" i="26" a="1"/>
  <c r="R87" i="16" a="1"/>
  <c r="G92" i="20" a="1"/>
  <c r="F19" i="13" a="1"/>
  <c r="U30" i="16" a="1"/>
  <c r="K46" i="21" a="1"/>
  <c r="H107" i="20" a="1"/>
  <c r="H16" i="15" a="1"/>
  <c r="R71" i="16" a="1"/>
  <c r="H21" i="15" a="1"/>
  <c r="J38" i="20" a="1"/>
  <c r="J87" i="20" a="1"/>
  <c r="J28" i="15" a="1"/>
  <c r="K35" i="15" a="1"/>
  <c r="K117" i="19" a="1"/>
  <c r="F17" i="13" a="1"/>
  <c r="G89" i="20" a="1"/>
  <c r="O9" i="26" a="1"/>
  <c r="F6" i="26" a="1"/>
  <c r="J48" i="20" a="1"/>
  <c r="K103" i="16" a="1"/>
  <c r="K21" i="15" a="1"/>
  <c r="R88" i="16" a="1"/>
  <c r="D28" i="19" a="1"/>
  <c r="K49" i="19" a="1"/>
  <c r="W40" i="13" a="1"/>
  <c r="R83" i="16" a="1"/>
  <c r="H15" i="13" a="1"/>
  <c r="G25" i="16" a="1"/>
  <c r="W17" i="13" a="1"/>
  <c r="W50" i="13" a="1"/>
  <c r="K63" i="16" a="1"/>
  <c r="G47" i="13" a="1"/>
  <c r="H9" i="15" a="1"/>
  <c r="R42" i="16" a="1"/>
  <c r="K141" i="19" a="1"/>
  <c r="H68" i="13" a="1"/>
  <c r="J6" i="13" a="1"/>
  <c r="V86" i="16" a="1"/>
  <c r="K16" i="15" a="1"/>
  <c r="G24" i="16" a="1"/>
  <c r="G112" i="20" a="1"/>
  <c r="H23" i="13" a="1"/>
  <c r="I76" i="20" a="1"/>
  <c r="R43" i="16" a="1"/>
  <c r="W21" i="13" a="1"/>
  <c r="W91" i="15" a="1"/>
  <c r="E14" i="13" a="1"/>
  <c r="Q72" i="16" a="1"/>
  <c r="H88" i="20" a="1"/>
  <c r="S18" i="16" a="1"/>
  <c r="J79" i="20" a="1"/>
  <c r="J38" i="15" a="1"/>
  <c r="J74" i="20" a="1"/>
  <c r="G105" i="20" a="1"/>
  <c r="K12" i="16" a="1"/>
  <c r="R80" i="16" a="1"/>
  <c r="Q92" i="16" a="1"/>
  <c r="W31" i="13" a="1"/>
  <c r="Y90" i="15" a="1"/>
  <c r="E36" i="13" a="1"/>
  <c r="F10" i="13" a="1"/>
  <c r="G30" i="13" a="1"/>
  <c r="H16" i="13" a="1"/>
  <c r="K48" i="19" a="1"/>
  <c r="W7" i="13" a="1"/>
  <c r="K33" i="19" a="1"/>
  <c r="K26" i="19" a="1"/>
  <c r="K122" i="19" a="1"/>
  <c r="H96" i="20" a="1"/>
  <c r="Q58" i="16" a="1"/>
  <c r="O29" i="16" a="1"/>
  <c r="E25" i="13" a="1"/>
  <c r="T32" i="16" a="1"/>
  <c r="K25" i="13" a="1"/>
  <c r="E29" i="19" a="1"/>
  <c r="H23" i="15" a="1"/>
  <c r="I68" i="20" a="1"/>
  <c r="H13" i="15" a="1"/>
  <c r="I42" i="15" a="1"/>
  <c r="I6" i="26" a="1"/>
  <c r="N28" i="20" a="1"/>
  <c r="W49" i="13" a="1"/>
  <c r="I41" i="15" a="1"/>
  <c r="S17" i="16" a="1"/>
  <c r="W29" i="13" a="1"/>
  <c r="J63" i="20" a="1"/>
  <c r="U32" i="16" a="1"/>
  <c r="I11" i="16" a="1"/>
  <c r="J11" i="13" a="1"/>
  <c r="F43" i="13" a="1"/>
  <c r="J40" i="20" a="1"/>
  <c r="I8" i="15" a="1"/>
  <c r="H94" i="20" a="1"/>
  <c r="V38" i="16" a="1"/>
  <c r="J39" i="15" a="1"/>
  <c r="Q63" i="16" a="1"/>
  <c r="J31" i="15" a="1"/>
  <c r="Q85" i="16" a="1"/>
  <c r="K60" i="13" a="1"/>
  <c r="Q71" i="16" a="1"/>
  <c r="I106" i="20" a="1"/>
  <c r="K18" i="13" a="1"/>
  <c r="F26" i="13" a="1"/>
  <c r="G12" i="15" a="1"/>
  <c r="I27" i="16" a="1"/>
  <c r="G109" i="20" a="1"/>
  <c r="K45" i="19" a="1"/>
  <c r="D29" i="26" a="1"/>
  <c r="I6" i="20" a="1"/>
  <c r="K47" i="13" a="1"/>
  <c r="K96" i="16" a="1"/>
  <c r="G27" i="13" a="1"/>
  <c r="S22" i="16" a="1"/>
  <c r="I27" i="15" a="1"/>
  <c r="Q64" i="16" a="1"/>
  <c r="D30" i="26" a="1"/>
  <c r="G33" i="13" a="1"/>
  <c r="K36" i="13" a="1"/>
  <c r="G95" i="20" a="1"/>
  <c r="E13" i="13" a="1"/>
  <c r="J19" i="13" a="1"/>
  <c r="Q74" i="16" a="1"/>
  <c r="K38" i="21" a="1"/>
  <c r="K11" i="13" a="1"/>
  <c r="D40" i="26" a="1"/>
  <c r="K29" i="13" a="1"/>
  <c r="J46" i="13" a="1"/>
  <c r="H112" i="20" a="1"/>
  <c r="J56" i="20" a="1"/>
  <c r="N12" i="26" a="1"/>
  <c r="W33" i="13" a="1"/>
  <c r="G93" i="20" a="1"/>
  <c r="R84" i="16" a="1"/>
  <c r="H65" i="13" a="1"/>
  <c r="K87" i="16" a="1"/>
  <c r="K40" i="19" a="1"/>
  <c r="K134" i="19" a="1"/>
  <c r="S21" i="16" a="1"/>
  <c r="G20" i="16" a="1"/>
  <c r="F44" i="13" a="1"/>
  <c r="I23" i="13" a="1"/>
  <c r="Q43" i="16" a="1"/>
  <c r="G10" i="15" a="1"/>
  <c r="J8" i="15" a="1"/>
  <c r="H23" i="16" a="1"/>
  <c r="I59" i="20" a="1"/>
  <c r="K32" i="15" a="1"/>
  <c r="J50" i="20" a="1"/>
  <c r="Q103" i="16" a="1"/>
  <c r="K10" i="19" a="1"/>
  <c r="K39" i="16" a="1"/>
  <c r="I38" i="15" a="1"/>
  <c r="J11" i="20" a="1"/>
  <c r="V84" i="16" a="1"/>
  <c r="H105" i="20" a="1"/>
  <c r="W41" i="13" a="1"/>
  <c r="N9" i="20" a="1"/>
  <c r="J47" i="13" a="1"/>
  <c r="G18" i="16" a="1"/>
  <c r="G111" i="20" a="1"/>
  <c r="G27" i="16" a="1"/>
  <c r="Q93" i="16" a="1"/>
  <c r="H22" i="16" a="1"/>
  <c r="G34" i="15" a="1"/>
  <c r="I12" i="16" a="1"/>
  <c r="F27" i="13" a="1"/>
  <c r="Q78" i="16" a="1"/>
  <c r="Q135" i="46" a="1"/>
  <c r="J86" i="20" a="1"/>
  <c r="Q136" i="46" a="1"/>
  <c r="S27" i="13" a="1"/>
  <c r="G98" i="20" a="1"/>
  <c r="J9" i="20" a="1"/>
  <c r="F42" i="13" a="1"/>
  <c r="K23" i="21" a="1"/>
  <c r="J54" i="20" a="1"/>
  <c r="K27" i="21" a="1"/>
  <c r="F15" i="13" a="1"/>
  <c r="I104" i="20" a="1"/>
  <c r="R76" i="16" a="1"/>
  <c r="D39" i="26" a="1"/>
  <c r="K43" i="13" a="1"/>
  <c r="I24" i="15" a="1"/>
  <c r="K111" i="19" a="1"/>
  <c r="R63" i="16" a="1"/>
  <c r="I91" i="20" a="1"/>
  <c r="K42" i="21" a="1"/>
  <c r="H42" i="13" a="1"/>
  <c r="J43" i="20" a="1"/>
  <c r="I34" i="15" a="1"/>
  <c r="V52" i="16" a="1"/>
  <c r="K125" i="19" a="1"/>
  <c r="I64" i="13" a="1"/>
  <c r="H33" i="13" a="1"/>
  <c r="F8" i="13" a="1"/>
  <c r="W53" i="13" a="1"/>
  <c r="J27" i="16" a="1"/>
  <c r="J58" i="13" a="1"/>
  <c r="G19" i="13" a="1"/>
  <c r="K26" i="21" a="1"/>
  <c r="H6" i="21" a="1"/>
  <c r="K44" i="13" a="1"/>
  <c r="J85" i="20" a="1"/>
  <c r="K42" i="19" a="1"/>
  <c r="V65" i="16" a="1"/>
  <c r="J42" i="15" a="1"/>
  <c r="S39" i="13" a="1"/>
  <c r="H26" i="13" a="1"/>
  <c r="W46" i="13" a="1"/>
  <c r="K36" i="15" a="1"/>
  <c r="G25" i="15" l="1"/>
  <c r="R65" i="16"/>
  <c r="K111" i="19"/>
  <c r="R97" i="16"/>
  <c r="J11" i="13"/>
  <c r="E39" i="13"/>
  <c r="I24" i="13"/>
  <c r="H14" i="15"/>
  <c r="J79" i="20"/>
  <c r="K120" i="19"/>
  <c r="K6" i="13"/>
  <c r="E22" i="13"/>
  <c r="V61" i="16"/>
  <c r="T50" i="21"/>
  <c r="J21" i="16"/>
  <c r="H10" i="15"/>
  <c r="W29" i="13"/>
  <c r="J8" i="15"/>
  <c r="I41" i="15"/>
  <c r="I83" i="20"/>
  <c r="H47" i="13"/>
  <c r="R94" i="16"/>
  <c r="K16" i="15"/>
  <c r="K10" i="16"/>
  <c r="J27" i="20"/>
  <c r="K114" i="19"/>
  <c r="K28" i="13"/>
  <c r="W40" i="13"/>
  <c r="K21" i="15"/>
  <c r="H59" i="13"/>
  <c r="H41" i="13"/>
  <c r="G39" i="13"/>
  <c r="H36" i="16"/>
  <c r="K133" i="19"/>
  <c r="V44" i="16"/>
  <c r="W51" i="13"/>
  <c r="H21" i="15"/>
  <c r="I14" i="16"/>
  <c r="H25" i="13"/>
  <c r="H97" i="20"/>
  <c r="W42" i="13"/>
  <c r="N18" i="20"/>
  <c r="K25" i="19"/>
  <c r="H26" i="13"/>
  <c r="H38" i="13"/>
  <c r="I85" i="20"/>
  <c r="H23" i="15"/>
  <c r="V38" i="13"/>
  <c r="F30" i="13"/>
  <c r="R38" i="13"/>
  <c r="K95" i="16"/>
  <c r="H10" i="16"/>
  <c r="W30" i="13"/>
  <c r="K70" i="16"/>
  <c r="G46" i="13"/>
  <c r="V70" i="16"/>
  <c r="H90" i="20"/>
  <c r="K32" i="19"/>
  <c r="E15" i="13"/>
  <c r="G23" i="13"/>
  <c r="H11" i="13"/>
  <c r="V81" i="16"/>
  <c r="Q96" i="16"/>
  <c r="J21" i="15"/>
  <c r="W45" i="13"/>
  <c r="U39" i="13"/>
  <c r="I90" i="20"/>
  <c r="J7" i="20"/>
  <c r="H36" i="13"/>
  <c r="W50" i="13"/>
  <c r="K63" i="13"/>
  <c r="E47" i="13"/>
  <c r="R92" i="16"/>
  <c r="F13" i="13"/>
  <c r="I89" i="20"/>
  <c r="K78" i="16"/>
  <c r="R38" i="16"/>
  <c r="K33" i="13"/>
  <c r="J52" i="20"/>
  <c r="T22" i="21"/>
  <c r="J53" i="20"/>
  <c r="J22" i="20"/>
  <c r="F61" i="13"/>
  <c r="R52" i="16"/>
  <c r="K131" i="19"/>
  <c r="G34" i="13"/>
  <c r="G32" i="15"/>
  <c r="J24" i="20"/>
  <c r="I38" i="15"/>
  <c r="G11" i="16"/>
  <c r="G68" i="13"/>
  <c r="I98" i="20"/>
  <c r="I106" i="20"/>
  <c r="R86" i="16"/>
  <c r="H35" i="15"/>
  <c r="K54" i="19"/>
  <c r="V103" i="16"/>
  <c r="H22" i="16"/>
  <c r="I26" i="13"/>
  <c r="F70" i="13"/>
  <c r="R57" i="16"/>
  <c r="I10" i="13"/>
  <c r="G12" i="16"/>
  <c r="J25" i="16"/>
  <c r="R62" i="16"/>
  <c r="J6" i="19"/>
  <c r="J106" i="19" s="1"/>
  <c r="K97" i="16"/>
  <c r="H23" i="13"/>
  <c r="S19" i="16"/>
  <c r="F44" i="13"/>
  <c r="F10" i="13"/>
  <c r="R98" i="16"/>
  <c r="H42" i="15"/>
  <c r="W35" i="13"/>
  <c r="I25" i="15"/>
  <c r="N15" i="20"/>
  <c r="H30" i="13"/>
  <c r="W13" i="13"/>
  <c r="G44" i="13"/>
  <c r="H27" i="16"/>
  <c r="Q66" i="16"/>
  <c r="I31" i="13"/>
  <c r="H16" i="13"/>
  <c r="F59" i="13"/>
  <c r="K55" i="16"/>
  <c r="K60" i="16"/>
  <c r="W48" i="13"/>
  <c r="J20" i="13"/>
  <c r="G91" i="20"/>
  <c r="K29" i="13"/>
  <c r="K36" i="16"/>
  <c r="K71" i="16"/>
  <c r="H11" i="15"/>
  <c r="T52" i="21"/>
  <c r="E14" i="13"/>
  <c r="I25" i="13"/>
  <c r="K12" i="19"/>
  <c r="G97" i="20"/>
  <c r="I103" i="20"/>
  <c r="G89" i="20"/>
  <c r="K47" i="21"/>
  <c r="F37" i="13"/>
  <c r="D42" i="26"/>
  <c r="N27" i="20"/>
  <c r="G113" i="20"/>
  <c r="U32" i="16"/>
  <c r="H43" i="13"/>
  <c r="K40" i="21"/>
  <c r="K25" i="21"/>
  <c r="F8" i="13"/>
  <c r="K36" i="15"/>
  <c r="H28" i="13"/>
  <c r="S27" i="13"/>
  <c r="G98" i="20"/>
  <c r="K35" i="19"/>
  <c r="V63" i="16"/>
  <c r="R48" i="16"/>
  <c r="K12" i="21"/>
  <c r="J27" i="15"/>
  <c r="S16" i="16"/>
  <c r="K41" i="21"/>
  <c r="G22" i="13"/>
  <c r="K46" i="16"/>
  <c r="H13" i="15"/>
  <c r="I64" i="13"/>
  <c r="Q53" i="16"/>
  <c r="I9" i="15"/>
  <c r="S52" i="16"/>
  <c r="I67" i="20"/>
  <c r="J46" i="20"/>
  <c r="K93" i="16"/>
  <c r="H18" i="13"/>
  <c r="G42" i="15"/>
  <c r="D44" i="20"/>
  <c r="Q70" i="16"/>
  <c r="G114" i="20"/>
  <c r="N34" i="20"/>
  <c r="R101" i="16"/>
  <c r="H27" i="15"/>
  <c r="I47" i="13"/>
  <c r="W12" i="13"/>
  <c r="G93" i="20"/>
  <c r="K85" i="16"/>
  <c r="G21" i="15"/>
  <c r="N132" i="46"/>
  <c r="Q98" i="16"/>
  <c r="I23" i="15"/>
  <c r="E40" i="13"/>
  <c r="J28" i="13"/>
  <c r="Q137" i="46"/>
  <c r="F34" i="13"/>
  <c r="E24" i="13"/>
  <c r="K25" i="15"/>
  <c r="H15" i="13"/>
  <c r="I71" i="20"/>
  <c r="I42" i="15"/>
  <c r="J6" i="26"/>
  <c r="F14" i="13"/>
  <c r="E66" i="13"/>
  <c r="J76" i="20"/>
  <c r="H17" i="13"/>
  <c r="J17" i="16"/>
  <c r="K113" i="19"/>
  <c r="F18" i="13"/>
  <c r="J39" i="20"/>
  <c r="V89" i="16"/>
  <c r="V91" i="16"/>
  <c r="D34" i="26"/>
  <c r="V84" i="16"/>
  <c r="I64" i="20"/>
  <c r="W52" i="13"/>
  <c r="N20" i="20"/>
  <c r="I35" i="15"/>
  <c r="E38" i="13"/>
  <c r="J87" i="20"/>
  <c r="H101" i="20"/>
  <c r="H20" i="13"/>
  <c r="H31" i="13"/>
  <c r="H33" i="15"/>
  <c r="H6" i="20"/>
  <c r="K6" i="19"/>
  <c r="K106" i="19" s="1"/>
  <c r="H7" i="16"/>
  <c r="K127" i="19"/>
  <c r="J44" i="20"/>
  <c r="H28" i="15"/>
  <c r="S14" i="16"/>
  <c r="V54" i="16"/>
  <c r="K16" i="19"/>
  <c r="G15" i="16"/>
  <c r="Q84" i="16"/>
  <c r="K7" i="16"/>
  <c r="V73" i="16"/>
  <c r="K94" i="16"/>
  <c r="I61" i="20"/>
  <c r="H113" i="20"/>
  <c r="K18" i="21"/>
  <c r="R91" i="16"/>
  <c r="W33" i="13"/>
  <c r="K44" i="19"/>
  <c r="H67" i="13"/>
  <c r="I26" i="15"/>
  <c r="J15" i="20"/>
  <c r="K137" i="19"/>
  <c r="F21" i="13"/>
  <c r="G11" i="15"/>
  <c r="J47" i="13"/>
  <c r="W43" i="13"/>
  <c r="G13" i="15"/>
  <c r="K42" i="21"/>
  <c r="I68" i="20"/>
  <c r="K52" i="21"/>
  <c r="I27" i="13"/>
  <c r="K53" i="16"/>
  <c r="K26" i="13"/>
  <c r="G103" i="20"/>
  <c r="F25" i="13"/>
  <c r="I12" i="16"/>
  <c r="I70" i="13"/>
  <c r="V100" i="16"/>
  <c r="J39" i="15"/>
  <c r="R89" i="16"/>
  <c r="K39" i="19"/>
  <c r="R75" i="16"/>
  <c r="J9" i="15"/>
  <c r="K13" i="19"/>
  <c r="T39" i="13"/>
  <c r="I37" i="13"/>
  <c r="H40" i="13"/>
  <c r="G6" i="20"/>
  <c r="E18" i="13"/>
  <c r="F42" i="13"/>
  <c r="J46" i="13"/>
  <c r="I97" i="20"/>
  <c r="G27" i="16"/>
  <c r="K33" i="15"/>
  <c r="K125" i="19"/>
  <c r="J65" i="20"/>
  <c r="K67" i="13"/>
  <c r="I100" i="20"/>
  <c r="R63" i="16"/>
  <c r="H11" i="16"/>
  <c r="F28" i="13"/>
  <c r="J26" i="20"/>
  <c r="K10" i="13"/>
  <c r="W47" i="13"/>
  <c r="I11" i="16"/>
  <c r="I111" i="20"/>
  <c r="Q81" i="16"/>
  <c r="H6" i="26"/>
  <c r="U23" i="13"/>
  <c r="K41" i="19"/>
  <c r="K123" i="19"/>
  <c r="T31" i="16"/>
  <c r="K22" i="21"/>
  <c r="E41" i="13"/>
  <c r="I58" i="20"/>
  <c r="K74" i="16"/>
  <c r="J36" i="13"/>
  <c r="F67" i="13"/>
  <c r="F24" i="13"/>
  <c r="K87" i="16"/>
  <c r="Q77" i="16"/>
  <c r="F40" i="13"/>
  <c r="K17" i="16"/>
  <c r="V59" i="16"/>
  <c r="V37" i="16"/>
  <c r="K7" i="19"/>
  <c r="H19" i="16"/>
  <c r="J24" i="16"/>
  <c r="H23" i="16"/>
  <c r="J58" i="20"/>
  <c r="G8" i="16"/>
  <c r="K40" i="15"/>
  <c r="G27" i="15"/>
  <c r="H32" i="15"/>
  <c r="V92" i="16"/>
  <c r="E42" i="13"/>
  <c r="S39" i="13"/>
  <c r="Q85" i="16"/>
  <c r="G106" i="20"/>
  <c r="N17" i="20"/>
  <c r="G25" i="16"/>
  <c r="H9" i="15"/>
  <c r="I15" i="16"/>
  <c r="O8" i="26"/>
  <c r="V65" i="16"/>
  <c r="J19" i="20"/>
  <c r="K47" i="13"/>
  <c r="K20" i="13"/>
  <c r="R76" i="16"/>
  <c r="G27" i="13"/>
  <c r="I112" i="20"/>
  <c r="I21" i="15"/>
  <c r="N14" i="20"/>
  <c r="K65" i="13"/>
  <c r="K68" i="13"/>
  <c r="I18" i="16"/>
  <c r="W26" i="13"/>
  <c r="R77" i="16"/>
  <c r="G10" i="16"/>
  <c r="H33" i="13"/>
  <c r="E46" i="13"/>
  <c r="R93" i="16"/>
  <c r="J35" i="15"/>
  <c r="R64" i="16"/>
  <c r="V47" i="16"/>
  <c r="I11" i="15"/>
  <c r="E60" i="13"/>
  <c r="K9" i="19"/>
  <c r="K66" i="13"/>
  <c r="D33" i="26"/>
  <c r="J43" i="20"/>
  <c r="I58" i="13"/>
  <c r="K99" i="16"/>
  <c r="K75" i="16"/>
  <c r="Q97" i="16"/>
  <c r="D38" i="26"/>
  <c r="V78" i="16"/>
  <c r="F31" i="13"/>
  <c r="K41" i="13"/>
  <c r="J71" i="20"/>
  <c r="G107" i="20"/>
  <c r="H19" i="13"/>
  <c r="G19" i="13"/>
  <c r="N13" i="20"/>
  <c r="J51" i="20"/>
  <c r="I96" i="20"/>
  <c r="J66" i="20"/>
  <c r="K48" i="16"/>
  <c r="K21" i="19"/>
  <c r="I27" i="15"/>
  <c r="K26" i="19"/>
  <c r="J12" i="16"/>
  <c r="I18" i="13"/>
  <c r="K141" i="19"/>
  <c r="Q102" i="16"/>
  <c r="J16" i="13"/>
  <c r="J20" i="20"/>
  <c r="E33" i="13"/>
  <c r="E16" i="13"/>
  <c r="S8" i="16"/>
  <c r="E25" i="13"/>
  <c r="L16" i="46"/>
  <c r="F38" i="13"/>
  <c r="W48" i="15"/>
  <c r="K45" i="13"/>
  <c r="R54" i="16"/>
  <c r="J15" i="16"/>
  <c r="V75" i="16"/>
  <c r="I23" i="13"/>
  <c r="V101" i="16"/>
  <c r="W11" i="13"/>
  <c r="S23" i="13"/>
  <c r="G21" i="13"/>
  <c r="E31" i="13"/>
  <c r="K19" i="19"/>
  <c r="K28" i="21"/>
  <c r="K18" i="13"/>
  <c r="K42" i="19"/>
  <c r="I11" i="13"/>
  <c r="R66" i="16"/>
  <c r="Q63" i="16"/>
  <c r="O9" i="26"/>
  <c r="W31" i="13"/>
  <c r="R87" i="16"/>
  <c r="G102" i="20"/>
  <c r="R53" i="16"/>
  <c r="J10" i="13"/>
  <c r="R70" i="16"/>
  <c r="H13" i="13"/>
  <c r="J14" i="13"/>
  <c r="I79" i="20"/>
  <c r="J43" i="13"/>
  <c r="I99" i="20"/>
  <c r="N21" i="20"/>
  <c r="D31" i="26"/>
  <c r="K6" i="16"/>
  <c r="V64" i="16"/>
  <c r="G70" i="13"/>
  <c r="G39" i="15"/>
  <c r="J17" i="15"/>
  <c r="R103" i="16"/>
  <c r="I10" i="16"/>
  <c r="E67" i="13"/>
  <c r="Q79" i="16"/>
  <c r="K11" i="13"/>
  <c r="E43" i="13"/>
  <c r="H16" i="16"/>
  <c r="J84" i="20"/>
  <c r="R27" i="13"/>
  <c r="E35" i="13"/>
  <c r="R67" i="16"/>
  <c r="H88" i="20"/>
  <c r="R96" i="16"/>
  <c r="H15" i="16"/>
  <c r="G64" i="13"/>
  <c r="K34" i="13"/>
  <c r="J37" i="13"/>
  <c r="W21" i="13"/>
  <c r="I69" i="20"/>
  <c r="G8" i="15"/>
  <c r="Q37" i="16"/>
  <c r="H24" i="13"/>
  <c r="K45" i="19"/>
  <c r="K21" i="13"/>
  <c r="I33" i="13"/>
  <c r="I36" i="13"/>
  <c r="K8" i="16"/>
  <c r="J38" i="15"/>
  <c r="J54" i="20"/>
  <c r="R69" i="16"/>
  <c r="G110" i="20"/>
  <c r="W47" i="15"/>
  <c r="E107" i="19"/>
  <c r="Q45" i="16"/>
  <c r="U27" i="13"/>
  <c r="H92" i="20"/>
  <c r="K45" i="21"/>
  <c r="E12" i="13"/>
  <c r="J30" i="20"/>
  <c r="J20" i="16"/>
  <c r="H100" i="20"/>
  <c r="K128" i="19"/>
  <c r="J82" i="20"/>
  <c r="K134" i="19"/>
  <c r="N28" i="20"/>
  <c r="K35" i="21"/>
  <c r="D58" i="20"/>
  <c r="Q76" i="16"/>
  <c r="K76" i="16"/>
  <c r="Q64" i="16"/>
  <c r="R43" i="16"/>
  <c r="W24" i="13"/>
  <c r="H14" i="16"/>
  <c r="H102" i="20"/>
  <c r="I9" i="16"/>
  <c r="K22" i="15"/>
  <c r="E20" i="13"/>
  <c r="K22" i="16"/>
  <c r="H20" i="16"/>
  <c r="K25" i="13"/>
  <c r="J85" i="20"/>
  <c r="W20" i="13"/>
  <c r="I109" i="20"/>
  <c r="D29" i="26"/>
  <c r="J29" i="20"/>
  <c r="H105" i="20"/>
  <c r="R61" i="16"/>
  <c r="V71" i="16"/>
  <c r="Q56" i="16"/>
  <c r="J34" i="15"/>
  <c r="H68" i="13"/>
  <c r="H8" i="15"/>
  <c r="R45" i="16"/>
  <c r="E65" i="13"/>
  <c r="W46" i="13"/>
  <c r="Q100" i="16"/>
  <c r="I92" i="20"/>
  <c r="Q55" i="16"/>
  <c r="R47" i="16"/>
  <c r="K61" i="13"/>
  <c r="R37" i="13"/>
  <c r="W90" i="15"/>
  <c r="J27" i="16"/>
  <c r="K12" i="15"/>
  <c r="I74" i="20"/>
  <c r="W18" i="13"/>
  <c r="D43" i="26"/>
  <c r="Q65" i="16"/>
  <c r="E36" i="13"/>
  <c r="K91" i="16"/>
  <c r="I95" i="20"/>
  <c r="E27" i="13"/>
  <c r="J25" i="13"/>
  <c r="W19" i="13"/>
  <c r="J36" i="15"/>
  <c r="G47" i="13"/>
  <c r="J78" i="20"/>
  <c r="R58" i="16"/>
  <c r="R44" i="16"/>
  <c r="G92" i="20"/>
  <c r="J42" i="13"/>
  <c r="G112" i="20"/>
  <c r="J18" i="13"/>
  <c r="G14" i="16"/>
  <c r="Q46" i="16"/>
  <c r="K80" i="16"/>
  <c r="R39" i="16"/>
  <c r="W7" i="13"/>
  <c r="K29" i="21"/>
  <c r="D41" i="26"/>
  <c r="J24" i="15"/>
  <c r="G62" i="13"/>
  <c r="I39" i="13"/>
  <c r="K64" i="16"/>
  <c r="J40" i="13"/>
  <c r="K37" i="13"/>
  <c r="K14" i="15"/>
  <c r="W44" i="13"/>
  <c r="J17" i="13"/>
  <c r="K13" i="15"/>
  <c r="K53" i="19"/>
  <c r="W93" i="15"/>
  <c r="V90" i="16"/>
  <c r="I25" i="16"/>
  <c r="N12" i="20"/>
  <c r="I91" i="20"/>
  <c r="J23" i="20"/>
  <c r="V57" i="16"/>
  <c r="I32" i="15"/>
  <c r="V39" i="13"/>
  <c r="D32" i="26"/>
  <c r="H13" i="16"/>
  <c r="H95" i="20"/>
  <c r="F12" i="13"/>
  <c r="J35" i="20"/>
  <c r="K27" i="16"/>
  <c r="K47" i="16"/>
  <c r="J72" i="20"/>
  <c r="W36" i="13"/>
  <c r="G9" i="16"/>
  <c r="J31" i="15"/>
  <c r="K6" i="21"/>
  <c r="F6" i="26"/>
  <c r="Q88" i="16"/>
  <c r="K58" i="19"/>
  <c r="U38" i="13"/>
  <c r="G17" i="13"/>
  <c r="R56" i="16"/>
  <c r="E70" i="13"/>
  <c r="K126" i="19"/>
  <c r="H25" i="16"/>
  <c r="G6" i="19"/>
  <c r="G106" i="19" s="1"/>
  <c r="V94" i="16"/>
  <c r="R132" i="46"/>
  <c r="J40" i="15"/>
  <c r="D37" i="26"/>
  <c r="F66" i="13"/>
  <c r="P31" i="16"/>
  <c r="K121" i="19"/>
  <c r="F9" i="13"/>
  <c r="R37" i="16"/>
  <c r="T38" i="13"/>
  <c r="K44" i="16"/>
  <c r="I34" i="13"/>
  <c r="I26" i="16"/>
  <c r="K36" i="21"/>
  <c r="G26" i="16"/>
  <c r="I87" i="20"/>
  <c r="J18" i="20"/>
  <c r="Q94" i="16"/>
  <c r="H42" i="13"/>
  <c r="H58" i="13"/>
  <c r="N16" i="20"/>
  <c r="Q75" i="16"/>
  <c r="V95" i="16"/>
  <c r="K16" i="16"/>
  <c r="K19" i="16"/>
  <c r="J6" i="20"/>
  <c r="I17" i="15"/>
  <c r="K52" i="16"/>
  <c r="H18" i="15"/>
  <c r="E44" i="13"/>
  <c r="I22" i="15"/>
  <c r="K100" i="16"/>
  <c r="D44" i="26"/>
  <c r="K22" i="13"/>
  <c r="K59" i="13"/>
  <c r="J16" i="15"/>
  <c r="G9" i="15"/>
  <c r="J7" i="16"/>
  <c r="D35" i="26"/>
  <c r="K35" i="15"/>
  <c r="V42" i="16"/>
  <c r="K21" i="16"/>
  <c r="W14" i="13"/>
  <c r="Q52" i="16"/>
  <c r="K79" i="16"/>
  <c r="G59" i="13"/>
  <c r="K23" i="15"/>
  <c r="W41" i="13"/>
  <c r="O29" i="16"/>
  <c r="R90" i="16"/>
  <c r="K48" i="19"/>
  <c r="H36" i="15"/>
  <c r="J18" i="16"/>
  <c r="G43" i="13"/>
  <c r="K22" i="19"/>
  <c r="H6" i="13"/>
  <c r="E7" i="13"/>
  <c r="R71" i="16"/>
  <c r="K59" i="16"/>
  <c r="K64" i="13"/>
  <c r="K42" i="15"/>
  <c r="Q74" i="16"/>
  <c r="Q86" i="16"/>
  <c r="K18" i="19"/>
  <c r="I44" i="13"/>
  <c r="I62" i="13"/>
  <c r="V48" i="16"/>
  <c r="F29" i="13"/>
  <c r="J73" i="20"/>
  <c r="G60" i="13"/>
  <c r="E37" i="13"/>
  <c r="G61" i="13"/>
  <c r="W15" i="13"/>
  <c r="L15" i="46"/>
  <c r="K11" i="16"/>
  <c r="K15" i="21"/>
  <c r="G35" i="15"/>
  <c r="H14" i="13"/>
  <c r="W38" i="13"/>
  <c r="G100" i="20"/>
  <c r="G24" i="15"/>
  <c r="J45" i="20"/>
  <c r="K20" i="16"/>
  <c r="E10" i="13"/>
  <c r="K8" i="21"/>
  <c r="K50" i="19"/>
  <c r="I27" i="16"/>
  <c r="K38" i="13"/>
  <c r="F11" i="13"/>
  <c r="I40" i="13"/>
  <c r="K51" i="19"/>
  <c r="I31" i="15"/>
  <c r="I102" i="20"/>
  <c r="H6" i="21"/>
  <c r="I68" i="13"/>
  <c r="K23" i="13"/>
  <c r="D39" i="26"/>
  <c r="Q90" i="16"/>
  <c r="Q44" i="16"/>
  <c r="F22" i="13"/>
  <c r="K73" i="16"/>
  <c r="I36" i="15"/>
  <c r="J21" i="20"/>
  <c r="I28" i="13"/>
  <c r="V69" i="16"/>
  <c r="G38" i="13"/>
  <c r="I66" i="13"/>
  <c r="S26" i="16"/>
  <c r="S18" i="16"/>
  <c r="V85" i="16"/>
  <c r="I14" i="13"/>
  <c r="F6" i="13"/>
  <c r="H111" i="20"/>
  <c r="K140" i="19"/>
  <c r="V87" i="16"/>
  <c r="G18" i="15"/>
  <c r="W54" i="13"/>
  <c r="H62" i="13"/>
  <c r="I114" i="20"/>
  <c r="R60" i="16"/>
  <c r="K34" i="21"/>
  <c r="K11" i="19"/>
  <c r="H45" i="13"/>
  <c r="I72" i="20"/>
  <c r="K58" i="13"/>
  <c r="H37" i="13"/>
  <c r="Q43" i="16"/>
  <c r="H25" i="15"/>
  <c r="G23" i="15"/>
  <c r="K12" i="13"/>
  <c r="G31" i="13"/>
  <c r="K15" i="16"/>
  <c r="H40" i="15"/>
  <c r="H26" i="15"/>
  <c r="J10" i="20"/>
  <c r="W25" i="13"/>
  <c r="G108" i="20"/>
  <c r="H103" i="20"/>
  <c r="K44" i="21"/>
  <c r="J6" i="13"/>
  <c r="G23" i="16"/>
  <c r="G66" i="13"/>
  <c r="F23" i="13"/>
  <c r="K69" i="16"/>
  <c r="O85" i="15"/>
  <c r="K27" i="13"/>
  <c r="K101" i="16"/>
  <c r="K84" i="16"/>
  <c r="J32" i="20"/>
  <c r="F68" i="13"/>
  <c r="K44" i="13"/>
  <c r="U133" i="46"/>
  <c r="J63" i="20"/>
  <c r="K7" i="21"/>
  <c r="Q42" i="16"/>
  <c r="I60" i="20"/>
  <c r="J26" i="15"/>
  <c r="K14" i="16"/>
  <c r="G29" i="13"/>
  <c r="H39" i="13"/>
  <c r="R36" i="16"/>
  <c r="G24" i="16"/>
  <c r="K136" i="19"/>
  <c r="I67" i="13"/>
  <c r="K115" i="19"/>
  <c r="H109" i="20"/>
  <c r="K10" i="15"/>
  <c r="J25" i="20"/>
  <c r="J70" i="20"/>
  <c r="G19" i="16"/>
  <c r="Q89" i="16"/>
  <c r="K86" i="16"/>
  <c r="G95" i="20"/>
  <c r="K110" i="19"/>
  <c r="K34" i="15"/>
  <c r="J38" i="20"/>
  <c r="F65" i="13"/>
  <c r="E61" i="13"/>
  <c r="G20" i="13"/>
  <c r="E34" i="13"/>
  <c r="V55" i="16"/>
  <c r="R59" i="16"/>
  <c r="N10" i="20"/>
  <c r="I16" i="13"/>
  <c r="G104" i="20"/>
  <c r="K14" i="21"/>
  <c r="U30" i="16"/>
  <c r="W37" i="13"/>
  <c r="R23" i="13"/>
  <c r="K62" i="13"/>
  <c r="I86" i="20"/>
  <c r="G35" i="13"/>
  <c r="I42" i="13"/>
  <c r="K139" i="19"/>
  <c r="J11" i="16"/>
  <c r="I60" i="13"/>
  <c r="W27" i="13"/>
  <c r="J10" i="15"/>
  <c r="P132" i="46"/>
  <c r="E28" i="19"/>
  <c r="K46" i="21"/>
  <c r="Q91" i="16"/>
  <c r="F19" i="13"/>
  <c r="G14" i="15"/>
  <c r="G30" i="13"/>
  <c r="K65" i="16"/>
  <c r="K45" i="16"/>
  <c r="J49" i="20"/>
  <c r="Q80" i="16"/>
  <c r="V99" i="16"/>
  <c r="J64" i="20"/>
  <c r="R102" i="16"/>
  <c r="N30" i="20"/>
  <c r="I108" i="20"/>
  <c r="I6" i="19"/>
  <c r="I106" i="19" s="1"/>
  <c r="K23" i="19"/>
  <c r="J68" i="20"/>
  <c r="J21" i="13"/>
  <c r="Q33" i="26"/>
  <c r="I110" i="20"/>
  <c r="H8" i="16"/>
  <c r="V37" i="13"/>
  <c r="I21" i="16"/>
  <c r="Q93" i="16"/>
  <c r="K83" i="16"/>
  <c r="G63" i="13"/>
  <c r="J22" i="16"/>
  <c r="K56" i="16"/>
  <c r="D60" i="19"/>
  <c r="J62" i="20"/>
  <c r="V79" i="16"/>
  <c r="W94" i="15"/>
  <c r="U31" i="16"/>
  <c r="S12" i="16"/>
  <c r="W46" i="15"/>
  <c r="K61" i="16"/>
  <c r="I101" i="20"/>
  <c r="I61" i="13"/>
  <c r="G34" i="15"/>
  <c r="D40" i="26"/>
  <c r="K52" i="19"/>
  <c r="J14" i="20"/>
  <c r="J11" i="15"/>
  <c r="J58" i="13"/>
  <c r="I84" i="20"/>
  <c r="Y95" i="15"/>
  <c r="K46" i="19"/>
  <c r="K18" i="16"/>
  <c r="J69" i="20"/>
  <c r="S22" i="16"/>
  <c r="V53" i="16"/>
  <c r="F60" i="13"/>
  <c r="J61" i="13"/>
  <c r="H46" i="13"/>
  <c r="J36" i="20"/>
  <c r="D30" i="26"/>
  <c r="R72" i="16"/>
  <c r="H99" i="20"/>
  <c r="S25" i="16"/>
  <c r="R79" i="16"/>
  <c r="K19" i="13"/>
  <c r="Q103" i="16"/>
  <c r="J44" i="13"/>
  <c r="K72" i="16"/>
  <c r="E64" i="13"/>
  <c r="K39" i="15"/>
  <c r="H63" i="13"/>
  <c r="G36" i="13"/>
  <c r="I88" i="20"/>
  <c r="K26" i="15"/>
  <c r="K57" i="16"/>
  <c r="G22" i="16"/>
  <c r="E13" i="13"/>
  <c r="E8" i="13"/>
  <c r="J39" i="13"/>
  <c r="K56" i="19"/>
  <c r="J22" i="15"/>
  <c r="I76" i="20"/>
  <c r="R136" i="46"/>
  <c r="J65" i="13"/>
  <c r="G109" i="20"/>
  <c r="H70" i="13"/>
  <c r="F15" i="13"/>
  <c r="K43" i="21"/>
  <c r="J13" i="15"/>
  <c r="I93" i="20"/>
  <c r="K35" i="13"/>
  <c r="J15" i="13"/>
  <c r="R55" i="16"/>
  <c r="V77" i="16"/>
  <c r="G13" i="16"/>
  <c r="J25" i="15"/>
  <c r="I59" i="13"/>
  <c r="I70" i="20"/>
  <c r="S15" i="16"/>
  <c r="G10" i="13"/>
  <c r="J17" i="20"/>
  <c r="K31" i="19"/>
  <c r="G20" i="16"/>
  <c r="G26" i="13"/>
  <c r="J9" i="20"/>
  <c r="Q87" i="16"/>
  <c r="I6" i="20"/>
  <c r="N19" i="20"/>
  <c r="K42" i="13"/>
  <c r="J27" i="13"/>
  <c r="J30" i="13"/>
  <c r="I80" i="20"/>
  <c r="G65" i="13"/>
  <c r="J48" i="20"/>
  <c r="J22" i="13"/>
  <c r="K118" i="19"/>
  <c r="K117" i="19"/>
  <c r="J40" i="20"/>
  <c r="K39" i="21"/>
  <c r="K135" i="19"/>
  <c r="K48" i="21"/>
  <c r="I6" i="21"/>
  <c r="J19" i="13"/>
  <c r="S17" i="16"/>
  <c r="I24" i="16"/>
  <c r="K18" i="15"/>
  <c r="Q48" i="16"/>
  <c r="G90" i="20"/>
  <c r="K20" i="19"/>
  <c r="H24" i="16"/>
  <c r="I14" i="15"/>
  <c r="W49" i="13"/>
  <c r="K55" i="19"/>
  <c r="F41" i="13"/>
  <c r="G7" i="16"/>
  <c r="K24" i="21"/>
  <c r="Q95" i="16"/>
  <c r="W53" i="13"/>
  <c r="K58" i="16"/>
  <c r="E30" i="13"/>
  <c r="R95" i="16"/>
  <c r="K12" i="16"/>
  <c r="H10" i="13"/>
  <c r="K43" i="19"/>
  <c r="J55" i="20"/>
  <c r="H18" i="16"/>
  <c r="H89" i="20"/>
  <c r="H6" i="19"/>
  <c r="H106" i="19" s="1"/>
  <c r="S38" i="13"/>
  <c r="H12" i="15"/>
  <c r="V93" i="16"/>
  <c r="J32" i="15"/>
  <c r="J12" i="13"/>
  <c r="N24" i="20"/>
  <c r="G14" i="13"/>
  <c r="V60" i="16"/>
  <c r="I39" i="15"/>
  <c r="W17" i="13"/>
  <c r="I45" i="13"/>
  <c r="F47" i="13"/>
  <c r="K43" i="13"/>
  <c r="K38" i="19"/>
  <c r="G15" i="13"/>
  <c r="E29" i="19"/>
  <c r="K17" i="19"/>
  <c r="X57" i="16"/>
  <c r="F6" i="20"/>
  <c r="K28" i="15"/>
  <c r="J23" i="13"/>
  <c r="J41" i="15"/>
  <c r="S37" i="13"/>
  <c r="J33" i="15"/>
  <c r="K40" i="13"/>
  <c r="I82" i="20"/>
  <c r="Q78" i="16"/>
  <c r="F27" i="13"/>
  <c r="Q71" i="16"/>
  <c r="J62" i="13"/>
  <c r="H65" i="13"/>
  <c r="F16" i="13"/>
  <c r="G16" i="15"/>
  <c r="K37" i="19"/>
  <c r="R85" i="16"/>
  <c r="Q92" i="16"/>
  <c r="V43" i="16"/>
  <c r="H22" i="15"/>
  <c r="G40" i="13"/>
  <c r="E59" i="13"/>
  <c r="K50" i="21"/>
  <c r="V97" i="16"/>
  <c r="G28" i="15"/>
  <c r="J37" i="20"/>
  <c r="F43" i="13"/>
  <c r="H29" i="13"/>
  <c r="K63" i="16"/>
  <c r="N56" i="26"/>
  <c r="K24" i="15"/>
  <c r="K30" i="19"/>
  <c r="I20" i="13"/>
  <c r="J33" i="13"/>
  <c r="F63" i="13"/>
  <c r="Q61" i="16"/>
  <c r="R46" i="16"/>
  <c r="U135" i="46"/>
  <c r="Q73" i="16"/>
  <c r="G18" i="16"/>
  <c r="K9" i="16"/>
  <c r="K38" i="21"/>
  <c r="S11" i="16"/>
  <c r="I13" i="13"/>
  <c r="K11" i="15"/>
  <c r="Q58" i="16"/>
  <c r="K49" i="19"/>
  <c r="K8" i="15"/>
  <c r="F45" i="13"/>
  <c r="V58" i="16"/>
  <c r="E19" i="13"/>
  <c r="V62" i="16"/>
  <c r="K27" i="15"/>
  <c r="J8" i="16"/>
  <c r="D49" i="16"/>
  <c r="J41" i="13"/>
  <c r="J50" i="20"/>
  <c r="Q47" i="16"/>
  <c r="J59" i="20"/>
  <c r="R100" i="16"/>
  <c r="K34" i="19"/>
  <c r="K31" i="13"/>
  <c r="R73" i="16"/>
  <c r="H60" i="13"/>
  <c r="H112" i="20"/>
  <c r="U136" i="46"/>
  <c r="J18" i="15"/>
  <c r="T30" i="16"/>
  <c r="G58" i="13"/>
  <c r="I41" i="13"/>
  <c r="J26" i="16"/>
  <c r="Q62" i="16"/>
  <c r="Q69" i="16"/>
  <c r="K10" i="19"/>
  <c r="H31" i="15"/>
  <c r="H41" i="15"/>
  <c r="K24" i="13"/>
  <c r="I12" i="15"/>
  <c r="F46" i="13"/>
  <c r="Q83" i="16"/>
  <c r="I21" i="13"/>
  <c r="H114" i="20"/>
  <c r="R134" i="46"/>
  <c r="G28" i="13"/>
  <c r="S23" i="16"/>
  <c r="I66" i="20"/>
  <c r="K14" i="19"/>
  <c r="V52" i="16"/>
  <c r="H34" i="15"/>
  <c r="R81" i="16"/>
  <c r="E49" i="16"/>
  <c r="H110" i="20"/>
  <c r="H96" i="20"/>
  <c r="W49" i="15"/>
  <c r="H91" i="20"/>
  <c r="J13" i="20"/>
  <c r="J45" i="13"/>
  <c r="K67" i="16"/>
  <c r="E63" i="13"/>
  <c r="G41" i="13"/>
  <c r="K90" i="16"/>
  <c r="G17" i="15"/>
  <c r="S20" i="16"/>
  <c r="J60" i="20"/>
  <c r="V102" i="16"/>
  <c r="I30" i="13"/>
  <c r="V66" i="16"/>
  <c r="V36" i="16"/>
  <c r="I12" i="13"/>
  <c r="E45" i="13"/>
  <c r="V88" i="16"/>
  <c r="Q67" i="16"/>
  <c r="N22" i="20"/>
  <c r="K62" i="16"/>
  <c r="K92" i="16"/>
  <c r="N9" i="20"/>
  <c r="I65" i="20"/>
  <c r="K88" i="16"/>
  <c r="J60" i="13"/>
  <c r="I17" i="16"/>
  <c r="J83" i="20"/>
  <c r="E62" i="13"/>
  <c r="D36" i="26"/>
  <c r="K24" i="16"/>
  <c r="G38" i="15"/>
  <c r="K30" i="13"/>
  <c r="W34" i="13"/>
  <c r="K17" i="13"/>
  <c r="H108" i="20"/>
  <c r="F36" i="13"/>
  <c r="G96" i="20"/>
  <c r="K9" i="15"/>
  <c r="K142" i="19"/>
  <c r="N133" i="46"/>
  <c r="E21" i="13"/>
  <c r="I24" i="15"/>
  <c r="G10" i="15"/>
  <c r="I43" i="13"/>
  <c r="K11" i="21"/>
  <c r="D45" i="26"/>
  <c r="E23" i="13"/>
  <c r="J70" i="13"/>
  <c r="W10" i="13"/>
  <c r="Q72" i="16"/>
  <c r="W92" i="15"/>
  <c r="I28" i="15"/>
  <c r="G99" i="20"/>
  <c r="I38" i="13"/>
  <c r="R137" i="46"/>
  <c r="K54" i="16"/>
  <c r="F20" i="13"/>
  <c r="I13" i="16"/>
  <c r="Q57" i="16"/>
  <c r="J28" i="15"/>
  <c r="V29" i="16"/>
  <c r="G36" i="15"/>
  <c r="H22" i="13"/>
  <c r="J41" i="20"/>
  <c r="K13" i="21"/>
  <c r="G105" i="20"/>
  <c r="K42" i="16"/>
  <c r="V45" i="16"/>
  <c r="I10" i="15"/>
  <c r="K77" i="16"/>
  <c r="I19" i="13"/>
  <c r="I8" i="15"/>
  <c r="Q54" i="16"/>
  <c r="J61" i="20"/>
  <c r="J16" i="16"/>
  <c r="H21" i="13"/>
  <c r="E28" i="13"/>
  <c r="N26" i="20"/>
  <c r="K57" i="19"/>
  <c r="I77" i="20"/>
  <c r="W89" i="15"/>
  <c r="K102" i="16"/>
  <c r="J12" i="20"/>
  <c r="K23" i="16"/>
  <c r="K112" i="19"/>
  <c r="W28" i="13"/>
  <c r="K47" i="19"/>
  <c r="I29" i="13"/>
  <c r="K66" i="16"/>
  <c r="U132" i="46"/>
  <c r="G45" i="13"/>
  <c r="I40" i="15"/>
  <c r="R39" i="13"/>
  <c r="J80" i="20"/>
  <c r="H21" i="16"/>
  <c r="I107" i="20"/>
  <c r="E29" i="13"/>
  <c r="J63" i="13"/>
  <c r="I59" i="20"/>
  <c r="V83" i="16"/>
  <c r="K37" i="16"/>
  <c r="R78" i="16"/>
  <c r="K37" i="21"/>
  <c r="E17" i="13"/>
  <c r="R99" i="16"/>
  <c r="F33" i="13"/>
  <c r="K23" i="21"/>
  <c r="K16" i="13"/>
  <c r="S10" i="16"/>
  <c r="V67" i="16"/>
  <c r="I63" i="20"/>
  <c r="G88" i="20"/>
  <c r="W16" i="13"/>
  <c r="N11" i="20"/>
  <c r="H39" i="15"/>
  <c r="I16" i="16"/>
  <c r="Q60" i="16"/>
  <c r="K9" i="21"/>
  <c r="F39" i="13"/>
  <c r="W9" i="13"/>
  <c r="D46" i="26"/>
  <c r="J77" i="20"/>
  <c r="K40" i="19"/>
  <c r="G101" i="20"/>
  <c r="U33" i="16"/>
  <c r="K60" i="13"/>
  <c r="G12" i="15"/>
  <c r="F35" i="13"/>
  <c r="N25" i="20"/>
  <c r="K43" i="16"/>
  <c r="J11" i="20"/>
  <c r="J28" i="20"/>
  <c r="U137" i="46"/>
  <c r="G42" i="13"/>
  <c r="G41" i="15"/>
  <c r="K26" i="16"/>
  <c r="Q39" i="16"/>
  <c r="K38" i="15"/>
  <c r="H26" i="16"/>
  <c r="W8" i="13"/>
  <c r="Y90" i="15"/>
  <c r="K33" i="19"/>
  <c r="Q59" i="16"/>
  <c r="J68" i="13"/>
  <c r="J47" i="20"/>
  <c r="R80" i="16"/>
  <c r="K49" i="21"/>
  <c r="V72" i="16"/>
  <c r="G6" i="21"/>
  <c r="I81" i="20"/>
  <c r="W23" i="13"/>
  <c r="K41" i="15"/>
  <c r="H27" i="13"/>
  <c r="K96" i="16"/>
  <c r="I22" i="16"/>
  <c r="E11" i="13"/>
  <c r="V74" i="16"/>
  <c r="V56" i="16"/>
  <c r="K116" i="19"/>
  <c r="W91" i="15"/>
  <c r="S7" i="16"/>
  <c r="K31" i="15"/>
  <c r="K103" i="16"/>
  <c r="J42" i="20"/>
  <c r="I65" i="13"/>
  <c r="K46" i="13"/>
  <c r="J26" i="13"/>
  <c r="K15" i="13"/>
  <c r="K89" i="16"/>
  <c r="F7" i="13"/>
  <c r="G94" i="20"/>
  <c r="N8" i="26"/>
  <c r="Q134" i="46"/>
  <c r="K13" i="13"/>
  <c r="I73" i="20"/>
  <c r="J67" i="13"/>
  <c r="E9" i="13"/>
  <c r="I19" i="16"/>
  <c r="W22" i="13"/>
  <c r="E58" i="13"/>
  <c r="J64" i="13"/>
  <c r="K26" i="21"/>
  <c r="F6" i="19"/>
  <c r="V76" i="16"/>
  <c r="J23" i="15"/>
  <c r="H16" i="15"/>
  <c r="J12" i="15"/>
  <c r="V86" i="16"/>
  <c r="J38" i="13"/>
  <c r="N9" i="26"/>
  <c r="J81" i="20"/>
  <c r="K16" i="21"/>
  <c r="I34" i="15"/>
  <c r="K98" i="16"/>
  <c r="J9" i="16"/>
  <c r="K13" i="16"/>
  <c r="S9" i="16"/>
  <c r="K122" i="19"/>
  <c r="J10" i="16"/>
  <c r="T37" i="13"/>
  <c r="Q101" i="16"/>
  <c r="R42" i="16"/>
  <c r="I94" i="20"/>
  <c r="R74" i="16"/>
  <c r="K8" i="19"/>
  <c r="K32" i="15"/>
  <c r="Q132" i="46"/>
  <c r="Q136" i="46"/>
  <c r="J34" i="13"/>
  <c r="I8" i="16"/>
  <c r="H98" i="20"/>
  <c r="J75" i="20"/>
  <c r="S13" i="16"/>
  <c r="G40" i="15"/>
  <c r="Q99" i="16"/>
  <c r="H61" i="13"/>
  <c r="G37" i="13"/>
  <c r="G11" i="13"/>
  <c r="R83" i="16"/>
  <c r="K17" i="21"/>
  <c r="H104" i="20"/>
  <c r="I23" i="16"/>
  <c r="G111" i="20"/>
  <c r="K38" i="16"/>
  <c r="G33" i="13"/>
  <c r="G25" i="13"/>
  <c r="I62" i="20"/>
  <c r="J14" i="16"/>
  <c r="I13" i="15"/>
  <c r="K25" i="16"/>
  <c r="I33" i="15"/>
  <c r="K138" i="19"/>
  <c r="I6" i="13"/>
  <c r="J42" i="15"/>
  <c r="H35" i="13"/>
  <c r="J29" i="13"/>
  <c r="H17" i="16"/>
  <c r="J86" i="20"/>
  <c r="F62" i="13"/>
  <c r="F17" i="13"/>
  <c r="K10" i="21"/>
  <c r="R107" i="19"/>
  <c r="I35" i="13"/>
  <c r="N29" i="26"/>
  <c r="H93" i="20"/>
  <c r="U37" i="13"/>
  <c r="K132" i="19"/>
  <c r="K124" i="19"/>
  <c r="I46" i="13"/>
  <c r="Q36" i="16"/>
  <c r="I18" i="15"/>
  <c r="J31" i="13"/>
  <c r="V39" i="16"/>
  <c r="V33" i="16" s="1"/>
  <c r="J14" i="15"/>
  <c r="Q135" i="46"/>
  <c r="I6" i="26"/>
  <c r="F64" i="13"/>
  <c r="K119" i="19"/>
  <c r="I78" i="20"/>
  <c r="G67" i="13"/>
  <c r="N29" i="20"/>
  <c r="H12" i="16"/>
  <c r="N134" i="46"/>
  <c r="I63" i="13"/>
  <c r="D28" i="19"/>
  <c r="I15" i="13"/>
  <c r="G16" i="13"/>
  <c r="K51" i="21"/>
  <c r="N23" i="20"/>
  <c r="H106" i="20"/>
  <c r="J66" i="13"/>
  <c r="I22" i="13"/>
  <c r="H38" i="15"/>
  <c r="J13" i="13"/>
  <c r="J59" i="13"/>
  <c r="J34" i="20"/>
  <c r="K39" i="13"/>
  <c r="J19" i="16"/>
  <c r="R88" i="16"/>
  <c r="G22" i="15"/>
  <c r="V38" i="16"/>
  <c r="K15" i="19"/>
  <c r="G24" i="13"/>
  <c r="K36" i="19"/>
  <c r="J8" i="20"/>
  <c r="I20" i="16"/>
  <c r="J13" i="16"/>
  <c r="K129" i="19"/>
  <c r="G13" i="13"/>
  <c r="J67" i="20"/>
  <c r="J23" i="16"/>
  <c r="W39" i="13"/>
  <c r="I105" i="20"/>
  <c r="J16" i="20"/>
  <c r="F26" i="13"/>
  <c r="J35" i="13"/>
  <c r="S24" i="16"/>
  <c r="H44" i="13"/>
  <c r="D107" i="19"/>
  <c r="K19" i="21"/>
  <c r="T32" i="16"/>
  <c r="H34" i="13"/>
  <c r="K27" i="21"/>
  <c r="R133" i="46"/>
  <c r="V80" i="16"/>
  <c r="G18" i="13"/>
  <c r="I75" i="20"/>
  <c r="G26" i="15"/>
  <c r="E60" i="19"/>
  <c r="H64" i="13"/>
  <c r="I16" i="15"/>
  <c r="G12" i="13"/>
  <c r="E26" i="13"/>
  <c r="J74" i="20"/>
  <c r="H12" i="13"/>
  <c r="I7" i="16"/>
  <c r="S21" i="16"/>
  <c r="H24" i="15"/>
  <c r="G31" i="15"/>
  <c r="V96" i="16"/>
  <c r="Q133" i="46"/>
  <c r="H9" i="16"/>
  <c r="V98" i="16"/>
  <c r="K70" i="13"/>
  <c r="K109" i="19"/>
  <c r="K39" i="16"/>
  <c r="K33" i="16" s="1"/>
  <c r="V46" i="16"/>
  <c r="K17" i="15"/>
  <c r="R84" i="16"/>
  <c r="G6" i="13"/>
  <c r="Q38" i="16"/>
  <c r="I104" i="20"/>
  <c r="K36" i="13"/>
  <c r="G17" i="16"/>
  <c r="K14" i="13"/>
  <c r="H107" i="20"/>
  <c r="G6" i="26"/>
  <c r="G33" i="15"/>
  <c r="G21" i="16"/>
  <c r="H94" i="20"/>
  <c r="H66" i="13"/>
  <c r="I17" i="13"/>
  <c r="N12" i="26"/>
  <c r="J56" i="20"/>
  <c r="Q7" i="19"/>
  <c r="H17" i="15"/>
  <c r="T33" i="16"/>
  <c r="J6" i="21"/>
  <c r="I113" i="20"/>
  <c r="G16" i="16"/>
  <c r="K81" i="16"/>
  <c r="F58" i="13"/>
  <c r="J24" i="13"/>
  <c r="BI53" i="55"/>
  <c r="AX4" i="55"/>
  <c r="CB55" i="55"/>
  <c r="BB4" i="55"/>
  <c r="AW4" i="55"/>
  <c r="CB11" i="55"/>
  <c r="BZ11" i="55"/>
  <c r="BZ55" i="55"/>
  <c r="BJ11" i="55"/>
  <c r="CA11" i="55" s="1"/>
  <c r="BI11" i="55"/>
  <c r="BA4" i="55"/>
  <c r="CB61" i="55"/>
  <c r="BZ53" i="55"/>
  <c r="BZ61" i="55"/>
  <c r="BJ53" i="55"/>
  <c r="CA53" i="55" s="1"/>
  <c r="P9" i="26" l="1"/>
  <c r="J15" i="15"/>
  <c r="V32" i="16"/>
  <c r="G15" i="15"/>
  <c r="P8" i="26"/>
  <c r="K31" i="16"/>
  <c r="V30" i="16"/>
  <c r="V41" i="16"/>
  <c r="V35" i="16"/>
  <c r="H15" i="15"/>
  <c r="K32" i="16"/>
  <c r="K41" i="16"/>
  <c r="K15" i="15"/>
  <c r="K35" i="16"/>
  <c r="V31" i="16"/>
  <c r="I15" i="15"/>
  <c r="K30" i="16"/>
  <c r="BI55" i="55"/>
  <c r="BZ13" i="55"/>
  <c r="CB13" i="55"/>
  <c r="BJ55" i="55"/>
  <c r="CA55" i="55" s="1"/>
  <c r="BJ13" i="55"/>
  <c r="CA13" i="55" s="1"/>
  <c r="BI13" i="55"/>
  <c r="BJ60" i="55"/>
  <c r="CA60" i="55" s="1"/>
  <c r="BZ60" i="55"/>
  <c r="CB60" i="55"/>
  <c r="BZ54" i="55"/>
  <c r="CB54" i="55"/>
  <c r="K29" i="16" l="1"/>
  <c r="BI54" i="55"/>
  <c r="BJ54" i="55"/>
  <c r="CA54" i="55" s="1"/>
  <c r="BZ12" i="55"/>
  <c r="CB12" i="55"/>
  <c r="F106" i="19" l="1"/>
  <c r="BI12" i="55"/>
  <c r="BJ12" i="55"/>
  <c r="CA12" i="55" s="1"/>
  <c r="CB4" i="22" l="1"/>
  <c r="AA12" i="26" l="1"/>
  <c r="X17" i="26"/>
  <c r="X15" i="26"/>
  <c r="AA11" i="26"/>
  <c r="X21" i="26"/>
  <c r="X7" i="26"/>
  <c r="X19" i="26"/>
  <c r="X14" i="26"/>
  <c r="AA25" i="26"/>
  <c r="X18" i="26"/>
  <c r="X16" i="26"/>
  <c r="AA19" i="26"/>
  <c r="AA14" i="26"/>
  <c r="X22" i="26"/>
  <c r="AA20" i="26"/>
  <c r="AA18" i="26"/>
  <c r="AA22" i="26"/>
  <c r="X12" i="26"/>
  <c r="X13" i="26"/>
  <c r="X25" i="26"/>
  <c r="X24" i="26"/>
  <c r="X23" i="26"/>
  <c r="AA15" i="26"/>
  <c r="AA21" i="26"/>
  <c r="X20" i="26"/>
  <c r="AA23" i="26"/>
  <c r="AA13" i="26"/>
  <c r="X11" i="26"/>
  <c r="AA7" i="26"/>
  <c r="AA16" i="26"/>
  <c r="AA24" i="26"/>
  <c r="AA17" i="26"/>
  <c r="AA81" i="26"/>
  <c r="AA80" i="26"/>
  <c r="X63" i="26" l="1"/>
  <c r="X61" i="26" l="1"/>
  <c r="X57" i="26"/>
  <c r="X60" i="26"/>
  <c r="X62" i="26"/>
  <c r="AA78" i="26"/>
  <c r="AA77" i="26"/>
  <c r="X50" i="26"/>
  <c r="X65" i="26"/>
  <c r="AA66" i="26"/>
  <c r="X64" i="26"/>
  <c r="AA71" i="26" l="1"/>
  <c r="AA74" i="26"/>
  <c r="AA76" i="26"/>
  <c r="AA73" i="26"/>
  <c r="AA70" i="26"/>
  <c r="AA72" i="26"/>
  <c r="X56" i="26"/>
  <c r="X58" i="26"/>
  <c r="X54" i="26"/>
  <c r="AA75" i="26"/>
  <c r="X55" i="26"/>
  <c r="X59" i="26"/>
  <c r="AA79" i="26"/>
  <c r="BN91" i="34" l="1"/>
  <c r="BN72" i="34"/>
  <c r="BN87" i="34"/>
  <c r="BN101" i="34"/>
  <c r="BN85" i="34"/>
  <c r="BN69" i="34"/>
  <c r="BN100" i="34"/>
  <c r="BN84" i="34"/>
  <c r="BN68" i="34"/>
  <c r="BN76" i="34"/>
  <c r="BN74" i="34"/>
  <c r="BN99" i="34"/>
  <c r="BN83" i="34"/>
  <c r="BN67" i="34"/>
  <c r="BN93" i="34"/>
  <c r="BN70" i="34"/>
  <c r="BN98" i="34"/>
  <c r="BN82" i="34"/>
  <c r="BN66" i="34"/>
  <c r="BN92" i="34"/>
  <c r="BN86" i="34"/>
  <c r="BN97" i="34"/>
  <c r="BN81" i="34"/>
  <c r="BN65" i="34"/>
  <c r="BN75" i="34"/>
  <c r="BN96" i="34"/>
  <c r="BN80" i="34"/>
  <c r="BN64" i="34"/>
  <c r="BN77" i="34"/>
  <c r="BN89" i="34"/>
  <c r="BN88" i="34"/>
  <c r="BN71" i="34"/>
  <c r="BN95" i="34"/>
  <c r="BN79" i="34"/>
  <c r="BN63" i="34"/>
  <c r="BN90" i="34"/>
  <c r="BN73" i="34"/>
  <c r="BN94" i="34"/>
  <c r="BN78" i="34"/>
  <c r="BN62" i="34"/>
  <c r="AG42" i="36" l="1"/>
  <c r="BM4" i="36" l="1"/>
  <c r="BM43" i="32" l="1"/>
  <c r="BM31" i="32" l="1"/>
  <c r="BM38" i="32" l="1"/>
  <c r="BM26" i="32" l="1"/>
  <c r="BM41" i="32" l="1"/>
  <c r="BM25" i="32" l="1"/>
  <c r="BM51" i="32" l="1"/>
  <c r="BM39" i="32" l="1"/>
  <c r="E58" i="16" a="1"/>
  <c r="H41" i="26" a="1"/>
  <c r="G9" i="21" a="1"/>
  <c r="P25" i="19" a="1"/>
  <c r="D14" i="16" a="1"/>
  <c r="F33" i="19" a="1"/>
  <c r="I41" i="48" a="1"/>
  <c r="L12" i="48" a="1"/>
  <c r="X93" i="16" a="1"/>
  <c r="E64" i="17" a="1"/>
  <c r="I17" i="26" a="1"/>
  <c r="D25" i="21" a="1"/>
  <c r="G50" i="46" a="1"/>
  <c r="X100" i="16" a="1"/>
  <c r="AA13" i="44" a="1"/>
  <c r="F54" i="15" a="1"/>
  <c r="G136" i="19" a="1"/>
  <c r="D52" i="16" a="1"/>
  <c r="X90" i="16" a="1"/>
  <c r="D71" i="20" a="1"/>
  <c r="P124" i="46" a="1"/>
  <c r="H46" i="48" a="1"/>
  <c r="G55" i="26" a="1"/>
  <c r="I98" i="16" a="1"/>
  <c r="T38" i="46" a="1"/>
  <c r="D20" i="16" a="1"/>
  <c r="D9" i="20" a="1"/>
  <c r="E36" i="50" a="1"/>
  <c r="K73" i="46" a="1"/>
  <c r="F90" i="20" a="1"/>
  <c r="G6" i="15" a="1"/>
  <c r="H18" i="19" a="1"/>
  <c r="S69" i="20" a="1"/>
  <c r="F35" i="46" a="1"/>
  <c r="G36" i="50" a="1"/>
  <c r="Q10" i="46" a="1"/>
  <c r="J12" i="19" a="1"/>
  <c r="Q40" i="21" a="1"/>
  <c r="D80" i="20" a="1"/>
  <c r="G99" i="16" a="1"/>
  <c r="H50" i="20" a="1"/>
  <c r="H73" i="17" a="1"/>
  <c r="O9" i="19" a="1"/>
  <c r="I123" i="19" a="1"/>
  <c r="Q44" i="19" a="1"/>
  <c r="D20" i="26" a="1"/>
  <c r="K45" i="15" a="1"/>
  <c r="O72" i="15" a="1"/>
  <c r="D110" i="19" a="1"/>
  <c r="P22" i="50" a="1"/>
  <c r="H49" i="20" a="1"/>
  <c r="D24" i="20" a="1"/>
  <c r="G90" i="16" a="1"/>
  <c r="H76" i="20" a="1"/>
  <c r="G51" i="21" a="1"/>
  <c r="D96" i="15" a="1"/>
  <c r="W27" i="16" a="1"/>
  <c r="E70" i="20" a="1"/>
  <c r="J42" i="16" a="1"/>
  <c r="R47" i="17" a="1"/>
  <c r="Z32" i="26" a="1"/>
  <c r="P44" i="19" a="1"/>
  <c r="P13" i="48" a="1"/>
  <c r="H18" i="21" a="1"/>
  <c r="G64" i="20" a="1"/>
  <c r="H11" i="46" a="1"/>
  <c r="H39" i="48" a="1"/>
  <c r="J53" i="15" a="1"/>
  <c r="S34" i="19" a="1"/>
  <c r="V80" i="15" a="1"/>
  <c r="G18" i="26" a="1"/>
  <c r="N76" i="16" a="1"/>
  <c r="O73" i="26" a="1"/>
  <c r="U14" i="46" a="1"/>
  <c r="L38" i="48" a="1"/>
  <c r="Q40" i="46" a="1"/>
  <c r="O75" i="16" a="1"/>
  <c r="K54" i="17" a="1"/>
  <c r="G65" i="46" a="1"/>
  <c r="I28" i="46" a="1"/>
  <c r="S80" i="20" a="1"/>
  <c r="G139" i="19" a="1"/>
  <c r="E12" i="19" a="1"/>
  <c r="V30" i="26" a="1"/>
  <c r="F70" i="26" a="1"/>
  <c r="N16" i="26" a="1"/>
  <c r="Q61" i="46" a="1"/>
  <c r="O53" i="15" a="1"/>
  <c r="R118" i="19" a="1"/>
  <c r="Q22" i="48" a="1"/>
  <c r="P33" i="50" a="1"/>
  <c r="G31" i="19" a="1"/>
  <c r="R28" i="20" a="1"/>
  <c r="J38" i="19" a="1"/>
  <c r="P72" i="15" a="1"/>
  <c r="H22" i="48" a="1"/>
  <c r="E39" i="21" a="1"/>
  <c r="I43" i="16" a="1"/>
  <c r="I60" i="26" a="1"/>
  <c r="J42" i="26" a="1"/>
  <c r="S64" i="17" a="1"/>
  <c r="F89" i="20" a="1"/>
  <c r="E141" i="19" a="1"/>
  <c r="P28" i="20" a="1"/>
  <c r="O32" i="16" a="1"/>
  <c r="P62" i="46" a="1"/>
  <c r="K6" i="15" a="1"/>
  <c r="E92" i="20" a="1"/>
  <c r="E9" i="44" a="1"/>
  <c r="I37" i="48" a="1"/>
  <c r="O122" i="19" a="1"/>
  <c r="F51" i="19" a="1"/>
  <c r="G38" i="19" a="1"/>
  <c r="G49" i="19" a="1"/>
  <c r="S90" i="16" a="1"/>
  <c r="F76" i="26" a="1"/>
  <c r="J66" i="16" a="1"/>
  <c r="E25" i="48" a="1"/>
  <c r="E58" i="19" a="1"/>
  <c r="Q125" i="46" a="1"/>
  <c r="F18" i="46" a="1"/>
  <c r="J81" i="15" a="1"/>
  <c r="I78" i="26" a="1"/>
  <c r="K62" i="15" a="1"/>
  <c r="S97" i="15" a="1"/>
  <c r="R37" i="20" a="1"/>
  <c r="I14" i="20" a="1"/>
  <c r="F19" i="21" a="1"/>
  <c r="I36" i="16" a="1"/>
  <c r="J47" i="16" a="1"/>
  <c r="P12" i="19" a="1"/>
  <c r="H15" i="46" a="1"/>
  <c r="I87" i="16" a="1"/>
  <c r="I49" i="19" a="1"/>
  <c r="G109" i="19" a="1"/>
  <c r="G67" i="16" a="1"/>
  <c r="F48" i="19" a="1"/>
  <c r="X33" i="26" a="1"/>
  <c r="K61" i="15" a="1"/>
  <c r="E44" i="19" a="1"/>
  <c r="F45" i="20" a="1"/>
  <c r="K68" i="46" a="1"/>
  <c r="I37" i="17" a="1"/>
  <c r="S14" i="50" a="1"/>
  <c r="H60" i="46" a="1"/>
  <c r="J45" i="19" a="1"/>
  <c r="G21" i="48" a="1"/>
  <c r="J56" i="46" a="1"/>
  <c r="E82" i="15" a="1"/>
  <c r="U26" i="46" a="1"/>
  <c r="F115" i="19" a="1"/>
  <c r="T63" i="15" a="1"/>
  <c r="G52" i="46" a="1"/>
  <c r="W15" i="16" a="1"/>
  <c r="D25" i="20" a="1"/>
  <c r="F21" i="44" a="1"/>
  <c r="H39" i="26" a="1"/>
  <c r="E47" i="17" a="1"/>
  <c r="G45" i="48" a="1"/>
  <c r="H59" i="17" a="1"/>
  <c r="U11" i="46" a="1"/>
  <c r="K92" i="15" a="1"/>
  <c r="F24" i="15" a="1"/>
  <c r="O72" i="20" a="1"/>
  <c r="F80" i="16" a="1"/>
  <c r="H54" i="20" a="1"/>
  <c r="H26" i="48" a="1"/>
  <c r="E28" i="20" a="1"/>
  <c r="O78" i="20" a="1"/>
  <c r="W19" i="48" a="1"/>
  <c r="G46" i="17" a="1"/>
  <c r="I38" i="16" a="1"/>
  <c r="D72" i="20" a="1"/>
  <c r="V87" i="15" a="1"/>
  <c r="I20" i="19" a="1"/>
  <c r="O52" i="19" a="1"/>
  <c r="H55" i="19" a="1"/>
  <c r="H115" i="19" a="1"/>
  <c r="P67" i="15" a="1"/>
  <c r="G20" i="26" a="1"/>
  <c r="G15" i="20" a="1"/>
  <c r="H54" i="16" a="1"/>
  <c r="U47" i="46" a="1"/>
  <c r="Q73" i="15" a="1"/>
  <c r="Y67" i="15" a="1"/>
  <c r="I70" i="16" a="1"/>
  <c r="J63" i="17" a="1"/>
  <c r="P122" i="19" a="1"/>
  <c r="Q24" i="19" a="1"/>
  <c r="J65" i="15" a="1"/>
  <c r="U41" i="46" a="1"/>
  <c r="E27" i="19" a="1"/>
  <c r="G44" i="20" a="1"/>
  <c r="X7" i="44" a="1"/>
  <c r="P109" i="19" a="1"/>
  <c r="Q15" i="19" a="1"/>
  <c r="G7" i="46" a="1"/>
  <c r="R17" i="19" a="1"/>
  <c r="K9" i="44" a="1"/>
  <c r="P16" i="50" a="1"/>
  <c r="N10" i="26" a="1"/>
  <c r="S38" i="19" a="1"/>
  <c r="S107" i="19" a="1"/>
  <c r="E9" i="21" a="1"/>
  <c r="E87" i="20" a="1"/>
  <c r="Y60" i="15" a="1"/>
  <c r="K16" i="48" a="1"/>
  <c r="T28" i="21" a="1"/>
  <c r="K45" i="46" a="1"/>
  <c r="Y34" i="15" a="1"/>
  <c r="X38" i="15" a="1"/>
  <c r="P52" i="19" a="1"/>
  <c r="Q58" i="19" a="1"/>
  <c r="Q25" i="46" a="1"/>
  <c r="H38" i="46" a="1"/>
  <c r="S8" i="19" a="1"/>
  <c r="I62" i="17" a="1"/>
  <c r="F8" i="21" a="1"/>
  <c r="I64" i="17" a="1"/>
  <c r="H60" i="26" a="1"/>
  <c r="J79" i="26" a="1"/>
  <c r="T43" i="46" a="1"/>
  <c r="G39" i="16" a="1"/>
  <c r="H39" i="20" a="1"/>
  <c r="Z33" i="26" a="1"/>
  <c r="S55" i="15" a="1"/>
  <c r="Q117" i="46" a="1"/>
  <c r="V15" i="44" a="1"/>
  <c r="P17" i="50" a="1"/>
  <c r="T16" i="21" a="1"/>
  <c r="J52" i="16" a="1"/>
  <c r="F41" i="15" a="1"/>
  <c r="F19" i="19" a="1"/>
  <c r="I112" i="19" a="1"/>
  <c r="O74" i="20" a="1"/>
  <c r="U71" i="46" a="1"/>
  <c r="D38" i="50" a="1"/>
  <c r="I51" i="46" a="1"/>
  <c r="G47" i="20" a="1"/>
  <c r="K8" i="44" a="1"/>
  <c r="E50" i="20" a="1"/>
  <c r="I23" i="20" a="1"/>
  <c r="H12" i="48" a="1"/>
  <c r="Y64" i="15" a="1"/>
  <c r="G55" i="20" a="1"/>
  <c r="P10" i="48" a="1"/>
  <c r="E10" i="19" a="1"/>
  <c r="E113" i="19" a="1"/>
  <c r="E67" i="17" a="1"/>
  <c r="R19" i="48" a="1"/>
  <c r="D71" i="26" a="1"/>
  <c r="K41" i="17" a="1"/>
  <c r="I7" i="46" a="1"/>
  <c r="T69" i="15" a="1"/>
  <c r="Q15" i="21" a="1"/>
  <c r="S21" i="19" a="1"/>
  <c r="G26" i="19" a="1"/>
  <c r="D95" i="15" a="1"/>
  <c r="R33" i="19" a="1"/>
  <c r="S30" i="26" a="1"/>
  <c r="S20" i="20" a="1"/>
  <c r="J69" i="16" a="1"/>
  <c r="R87" i="46" a="1"/>
  <c r="D61" i="26" a="1"/>
  <c r="E22" i="26" a="1"/>
  <c r="S58" i="16" a="1"/>
  <c r="O10" i="20" a="1"/>
  <c r="X60" i="16" a="1"/>
  <c r="D7" i="20" a="1"/>
  <c r="D9" i="16" a="1"/>
  <c r="H75" i="46" a="1"/>
  <c r="F85" i="46" a="1"/>
  <c r="O51" i="19" a="1"/>
  <c r="F73" i="17" a="1"/>
  <c r="P80" i="15" a="1"/>
  <c r="H24" i="21" a="1"/>
  <c r="H19" i="48" a="1"/>
  <c r="S115" i="19" a="1"/>
  <c r="O69" i="16" a="1"/>
  <c r="G78" i="20" a="1"/>
  <c r="F91" i="16" a="1"/>
  <c r="E28" i="21" a="1"/>
  <c r="K84" i="15" a="1"/>
  <c r="S74" i="20" a="1"/>
  <c r="I60" i="15" a="1"/>
  <c r="J91" i="16" a="1"/>
  <c r="H34" i="46" a="1"/>
  <c r="J15" i="21" a="1"/>
  <c r="O87" i="20" a="1"/>
  <c r="W43" i="16" a="1"/>
  <c r="D17" i="50" a="1"/>
  <c r="D49" i="21" a="1"/>
  <c r="F41" i="26" a="1"/>
  <c r="I62" i="46" a="1"/>
  <c r="H61" i="26" a="1"/>
  <c r="F63" i="46" a="1"/>
  <c r="P47" i="48" a="1"/>
  <c r="G16" i="26" a="1"/>
  <c r="G47" i="46" a="1"/>
  <c r="U64" i="16" a="1"/>
  <c r="S85" i="20" a="1"/>
  <c r="H38" i="19" a="1"/>
  <c r="F56" i="17" a="1"/>
  <c r="H63" i="46" a="1"/>
  <c r="H62" i="20" a="1"/>
  <c r="R52" i="20" a="1"/>
  <c r="D55" i="15" a="1"/>
  <c r="G32" i="26" a="1"/>
  <c r="E19" i="19" a="1"/>
  <c r="J33" i="50" a="1"/>
  <c r="P31" i="50" a="1"/>
  <c r="Q69" i="20" a="1"/>
  <c r="P17" i="46" a="1"/>
  <c r="X85" i="16" a="1"/>
  <c r="G62" i="15" a="1"/>
  <c r="F78" i="26" a="1"/>
  <c r="J45" i="15" a="1"/>
  <c r="K69" i="17" a="1"/>
  <c r="G38" i="26" a="1"/>
  <c r="H93" i="15" a="1"/>
  <c r="G17" i="26" a="1"/>
  <c r="I56" i="26" a="1"/>
  <c r="P26" i="46" a="1"/>
  <c r="J7" i="50" a="1"/>
  <c r="I93" i="15" a="1"/>
  <c r="J68" i="46" a="1"/>
  <c r="F7" i="15" a="1"/>
  <c r="P40" i="46" a="1"/>
  <c r="T38" i="15" a="1"/>
  <c r="U8" i="46" a="1"/>
  <c r="G70" i="15" a="1"/>
  <c r="O22" i="19" a="1"/>
  <c r="J87" i="46" a="1"/>
  <c r="I65" i="17" a="1"/>
  <c r="G18" i="21" a="1"/>
  <c r="J54" i="26" a="1"/>
  <c r="G64" i="17" a="1"/>
  <c r="H43" i="21" a="1"/>
  <c r="AA7" i="44" a="1"/>
  <c r="F108" i="20" a="1"/>
  <c r="J8" i="19" a="1"/>
  <c r="G67" i="46" a="1"/>
  <c r="S24" i="19" a="1"/>
  <c r="AA14" i="44" a="1"/>
  <c r="J49" i="15" a="1"/>
  <c r="F69" i="16" a="1"/>
  <c r="E36" i="21" a="1"/>
  <c r="I13" i="19" a="1"/>
  <c r="I71" i="46" a="1"/>
  <c r="Q42" i="19" a="1"/>
  <c r="S19" i="50" a="1"/>
  <c r="Q60" i="46" a="1"/>
  <c r="E53" i="20" a="1"/>
  <c r="P81" i="20" a="1"/>
  <c r="Y82" i="15" a="1"/>
  <c r="G56" i="20" a="1"/>
  <c r="J37" i="50" a="1"/>
  <c r="S44" i="21" a="1"/>
  <c r="F54" i="20" a="1"/>
  <c r="G52" i="15" a="1"/>
  <c r="P32" i="19" a="1"/>
  <c r="J35" i="19" a="1"/>
  <c r="F141" i="19" a="1"/>
  <c r="I7" i="44" a="1"/>
  <c r="F30" i="20" a="1"/>
  <c r="G29" i="50" a="1"/>
  <c r="J10" i="26" a="1"/>
  <c r="E54" i="17" a="1"/>
  <c r="E29" i="16" a="1"/>
  <c r="S55" i="21" a="1"/>
  <c r="F94" i="16" a="1"/>
  <c r="D11" i="21" a="1"/>
  <c r="G8" i="46" a="1"/>
  <c r="I118" i="19" a="1"/>
  <c r="N80" i="26" a="1"/>
  <c r="H22" i="19" a="1"/>
  <c r="I89" i="15" a="1"/>
  <c r="X50" i="15" a="1"/>
  <c r="I17" i="20" a="1"/>
  <c r="I7" i="20" a="1"/>
  <c r="O65" i="16" a="1"/>
  <c r="R23" i="50" a="1"/>
  <c r="I6" i="46" a="1"/>
  <c r="H22" i="21" a="1"/>
  <c r="T85" i="15" a="1"/>
  <c r="G70" i="26" a="1"/>
  <c r="F71" i="20" a="1"/>
  <c r="D92" i="15" a="1"/>
  <c r="I48" i="21" a="1"/>
  <c r="F40" i="48" a="1"/>
  <c r="E56" i="20" a="1"/>
  <c r="E123" i="19" a="1"/>
  <c r="F8" i="46" a="1"/>
  <c r="I41" i="46" a="1"/>
  <c r="H56" i="20" a="1"/>
  <c r="P95" i="20" a="1"/>
  <c r="H40" i="21" a="1"/>
  <c r="T75" i="16" a="1"/>
  <c r="F21" i="48" a="1"/>
  <c r="H88" i="16" a="1"/>
  <c r="P86" i="20" a="1"/>
  <c r="X36" i="15" a="1"/>
  <c r="E80" i="20" a="1"/>
  <c r="S44" i="16" a="1"/>
  <c r="K44" i="48" a="1"/>
  <c r="F47" i="15" a="1"/>
  <c r="G69" i="16" a="1"/>
  <c r="S14" i="20" a="1"/>
  <c r="H83" i="15" a="1"/>
  <c r="E29" i="50" a="1"/>
  <c r="P52" i="20" a="1"/>
  <c r="N52" i="16" a="1"/>
  <c r="Q128" i="46" a="1"/>
  <c r="H57" i="26" a="1"/>
  <c r="G16" i="21" a="1"/>
  <c r="T49" i="15" a="1"/>
  <c r="H134" i="19" a="1"/>
  <c r="S65" i="20" a="1"/>
  <c r="K37" i="46" a="1"/>
  <c r="G43" i="48" a="1"/>
  <c r="X42" i="16" a="1"/>
  <c r="N19" i="26" a="1"/>
  <c r="R23" i="20" a="1"/>
  <c r="F41" i="20" a="1"/>
  <c r="S99" i="20" a="1"/>
  <c r="F7" i="19" a="1"/>
  <c r="J40" i="48" a="1"/>
  <c r="U41" i="26" a="1"/>
  <c r="D51" i="15" a="1"/>
  <c r="P48" i="19" a="1"/>
  <c r="J55" i="16" a="1"/>
  <c r="Q18" i="48" a="1"/>
  <c r="V76" i="15" a="1"/>
  <c r="F120" i="19" a="1"/>
  <c r="I35" i="50" a="1"/>
  <c r="F30" i="19" a="1"/>
  <c r="H85" i="15" a="1"/>
  <c r="S8" i="21" a="1"/>
  <c r="S33" i="19" a="1"/>
  <c r="D100" i="16" a="1"/>
  <c r="G39" i="21" a="1"/>
  <c r="S53" i="16" a="1"/>
  <c r="O17" i="20" a="1"/>
  <c r="J12" i="50" a="1"/>
  <c r="F18" i="15" a="1"/>
  <c r="R98" i="20" a="1"/>
  <c r="I61" i="15" a="1"/>
  <c r="H47" i="21" a="1"/>
  <c r="E109" i="19" a="1"/>
  <c r="F14" i="20" a="1"/>
  <c r="J65" i="46" a="1"/>
  <c r="O73" i="16" a="1"/>
  <c r="X34" i="15" a="1"/>
  <c r="H21" i="46" a="1"/>
  <c r="R86" i="20" a="1"/>
  <c r="H79" i="20" a="1"/>
  <c r="T24" i="21" a="1"/>
  <c r="P44" i="48" a="1"/>
  <c r="P61" i="15" a="1"/>
  <c r="E44" i="16" a="1"/>
  <c r="P26" i="19" a="1"/>
  <c r="S52" i="46" a="1"/>
  <c r="S126" i="19" a="1"/>
  <c r="S37" i="26" a="1"/>
  <c r="H58" i="46" a="1"/>
  <c r="J70" i="46" a="1"/>
  <c r="N20" i="26" a="1"/>
  <c r="Q23" i="46" a="1"/>
  <c r="H38" i="20" a="1"/>
  <c r="R41" i="46" a="1"/>
  <c r="E56" i="19" a="1"/>
  <c r="J64" i="17" a="1"/>
  <c r="F16" i="21" a="1"/>
  <c r="D66" i="17" a="1"/>
  <c r="G19" i="46" a="1"/>
  <c r="I77" i="26" a="1"/>
  <c r="I80" i="16" a="1"/>
  <c r="G8" i="26" a="1"/>
  <c r="G57" i="19" a="1"/>
  <c r="J59" i="15" a="1"/>
  <c r="K28" i="46" a="1"/>
  <c r="P54" i="19" a="1"/>
  <c r="J7" i="44" a="1"/>
  <c r="F19" i="26" a="1"/>
  <c r="F15" i="48" a="1"/>
  <c r="E43" i="17" a="1"/>
  <c r="R18" i="50" a="1"/>
  <c r="G35" i="20" a="1"/>
  <c r="P54" i="16" a="1"/>
  <c r="T18" i="21" a="1"/>
  <c r="AA41" i="26" a="1"/>
  <c r="Q86" i="15" a="1"/>
  <c r="J54" i="19" a="1"/>
  <c r="F29" i="26" a="1"/>
  <c r="G35" i="50" a="1"/>
  <c r="D96" i="20" a="1"/>
  <c r="I58" i="16" a="1"/>
  <c r="F37" i="17" a="1"/>
  <c r="H19" i="26" a="1"/>
  <c r="P71" i="16" a="1"/>
  <c r="E53" i="19" a="1"/>
  <c r="G47" i="21" a="1"/>
  <c r="Q54" i="21" a="1"/>
  <c r="S47" i="19" a="1"/>
  <c r="Q30" i="19" a="1"/>
  <c r="G37" i="19" a="1"/>
  <c r="D75" i="20" a="1"/>
  <c r="D34" i="20" a="1"/>
  <c r="Q68" i="46" a="1"/>
  <c r="J22" i="46" a="1"/>
  <c r="I43" i="48" a="1"/>
  <c r="H44" i="46" a="1"/>
  <c r="G94" i="15" a="1"/>
  <c r="J50" i="21" a="1"/>
  <c r="D35" i="50" a="1"/>
  <c r="K12" i="46" a="1"/>
  <c r="P41" i="19" a="1"/>
  <c r="I64" i="26" a="1"/>
  <c r="P71" i="46" a="1"/>
  <c r="E56" i="26" a="1"/>
  <c r="H29" i="26" a="1"/>
  <c r="P77" i="20" a="1"/>
  <c r="P41" i="20" a="1"/>
  <c r="S38" i="21" a="1"/>
  <c r="Q12" i="20" a="1"/>
  <c r="F35" i="21" a="1"/>
  <c r="J121" i="19" a="1"/>
  <c r="D24" i="19" a="1"/>
  <c r="H33" i="19" a="1"/>
  <c r="I17" i="50" a="1"/>
  <c r="J48" i="19" a="1"/>
  <c r="E44" i="21" a="1"/>
  <c r="N70" i="26" a="1"/>
  <c r="J14" i="21" a="1"/>
  <c r="V34" i="26" a="1"/>
  <c r="H55" i="26" a="1"/>
  <c r="H65" i="16" a="1"/>
  <c r="H73" i="20" a="1"/>
  <c r="P125" i="19" a="1"/>
  <c r="F67" i="16" a="1"/>
  <c r="F61" i="20" a="1"/>
  <c r="J32" i="26" a="1"/>
  <c r="E56" i="15" a="1"/>
  <c r="Q63" i="15" a="1"/>
  <c r="Q56" i="19" a="1"/>
  <c r="F76" i="20" a="1"/>
  <c r="X33" i="15" a="1"/>
  <c r="J10" i="48" a="1"/>
  <c r="S74" i="16" a="1"/>
  <c r="D136" i="19" a="1"/>
  <c r="O22" i="26" a="1"/>
  <c r="H38" i="16" a="1"/>
  <c r="F95" i="20" a="1"/>
  <c r="V9" i="44" a="1"/>
  <c r="J41" i="21" a="1"/>
  <c r="X8" i="16" a="1"/>
  <c r="F136" i="19" a="1"/>
  <c r="E17" i="26" a="1"/>
  <c r="O61" i="26" a="1"/>
  <c r="W9" i="44" a="1"/>
  <c r="Q28" i="21" a="1"/>
  <c r="E15" i="21" a="1"/>
  <c r="Q30" i="48" a="1"/>
  <c r="G124" i="19" a="1"/>
  <c r="I127" i="19" a="1"/>
  <c r="H34" i="26" a="1"/>
  <c r="H9" i="19" a="1"/>
  <c r="E58" i="26" a="1"/>
  <c r="F54" i="19" a="1"/>
  <c r="D37" i="21" a="1"/>
  <c r="D78" i="20" a="1"/>
  <c r="S34" i="50" a="1"/>
  <c r="I21" i="50" a="1"/>
  <c r="AA31" i="26" a="1"/>
  <c r="F42" i="20" a="1"/>
  <c r="J24" i="26" a="1"/>
  <c r="H18" i="46" a="1"/>
  <c r="W97" i="15" a="1"/>
  <c r="V66" i="15" a="1"/>
  <c r="Q32" i="26" a="1"/>
  <c r="S46" i="19" a="1"/>
  <c r="Z9" i="44" a="1"/>
  <c r="F59" i="26" a="1"/>
  <c r="G63" i="26" a="1"/>
  <c r="J19" i="21" a="1"/>
  <c r="R76" i="46" a="1"/>
  <c r="E14" i="20" a="1"/>
  <c r="G11" i="20" a="1"/>
  <c r="G32" i="20" a="1"/>
  <c r="K43" i="17" a="1"/>
  <c r="I28" i="21" a="1"/>
  <c r="S86" i="15" a="1"/>
  <c r="J112" i="19" a="1"/>
  <c r="G23" i="19" a="1"/>
  <c r="K72" i="17" a="1"/>
  <c r="G131" i="19" a="1"/>
  <c r="H52" i="20" a="1"/>
  <c r="D30" i="19" a="1"/>
  <c r="R11" i="48" a="1"/>
  <c r="F28" i="21" a="1"/>
  <c r="G126" i="19" a="1"/>
  <c r="I16" i="50" a="1"/>
  <c r="R41" i="20" a="1"/>
  <c r="Q73" i="20" a="1"/>
  <c r="H26" i="46" a="1"/>
  <c r="G56" i="26" a="1"/>
  <c r="E97" i="16" a="1"/>
  <c r="E55" i="16" a="1"/>
  <c r="P71" i="20" a="1"/>
  <c r="F96" i="20" a="1"/>
  <c r="E69" i="16" a="1"/>
  <c r="I71" i="17" a="1"/>
  <c r="S111" i="19" a="1"/>
  <c r="G116" i="19" a="1"/>
  <c r="S50" i="21" a="1"/>
  <c r="H24" i="20" a="1"/>
  <c r="I48" i="20" a="1"/>
  <c r="F13" i="44" a="1"/>
  <c r="J18" i="48" a="1"/>
  <c r="I45" i="20" a="1"/>
  <c r="J51" i="19" a="1"/>
  <c r="U29" i="26" a="1"/>
  <c r="X30" i="26" a="1"/>
  <c r="D27" i="50" a="1"/>
  <c r="F70" i="20" a="1"/>
  <c r="D41" i="21" a="1"/>
  <c r="E67" i="20" a="1"/>
  <c r="H7" i="48" a="1"/>
  <c r="P60" i="15" a="1"/>
  <c r="R22" i="48" a="1"/>
  <c r="Q11" i="19" a="1"/>
  <c r="E136" i="19" a="1"/>
  <c r="F21" i="46" a="1"/>
  <c r="R71" i="20" a="1"/>
  <c r="I16" i="21" a="1"/>
  <c r="I38" i="21" a="1"/>
  <c r="H135" i="19" a="1"/>
  <c r="I76" i="15" a="1"/>
  <c r="P34" i="19" a="1"/>
  <c r="F26" i="19" a="1"/>
  <c r="J45" i="26" a="1"/>
  <c r="F119" i="46" a="1"/>
  <c r="V8" i="16" a="1"/>
  <c r="E24" i="20" a="1"/>
  <c r="G122" i="19" a="1"/>
  <c r="O67" i="16" a="1"/>
  <c r="R84" i="20" a="1"/>
  <c r="O29" i="20" a="1"/>
  <c r="G22" i="44" a="1"/>
  <c r="E15" i="26" a="1"/>
  <c r="J64" i="26" a="1"/>
  <c r="J42" i="21" a="1"/>
  <c r="P9" i="50" a="1"/>
  <c r="K80" i="46" a="1"/>
  <c r="J45" i="48" a="1"/>
  <c r="X81" i="16" a="1"/>
  <c r="G27" i="50" a="1"/>
  <c r="I20" i="20" a="1"/>
  <c r="H96" i="15" a="1"/>
  <c r="K30" i="48" a="1"/>
  <c r="K64" i="17" a="1"/>
  <c r="K21" i="48" a="1"/>
  <c r="Q55" i="15" a="1"/>
  <c r="D21" i="50" a="1"/>
  <c r="J52" i="15" a="1"/>
  <c r="H22" i="26" a="1"/>
  <c r="F10" i="15" a="1"/>
  <c r="T68" i="15" a="1"/>
  <c r="I73" i="46" a="1"/>
  <c r="O52" i="16" a="1"/>
  <c r="I42" i="48" a="1"/>
  <c r="J48" i="21" a="1"/>
  <c r="I25" i="26" a="1"/>
  <c r="I20" i="48" a="1"/>
  <c r="I19" i="20" a="1"/>
  <c r="S25" i="19" a="1"/>
  <c r="F45" i="19" a="1"/>
  <c r="F23" i="44" a="1"/>
  <c r="N63" i="26" a="1"/>
  <c r="I29" i="21" a="1"/>
  <c r="G17" i="19" a="1"/>
  <c r="S98" i="16" a="1"/>
  <c r="I34" i="50" a="1"/>
  <c r="G34" i="19" a="1"/>
  <c r="Y77" i="15" a="1"/>
  <c r="J22" i="19" a="1"/>
  <c r="R9" i="19" a="1"/>
  <c r="E32" i="50" a="1"/>
  <c r="F45" i="16" a="1"/>
  <c r="F15" i="19" a="1"/>
  <c r="Q52" i="19" a="1"/>
  <c r="Q85" i="20" a="1"/>
  <c r="F10" i="19" a="1"/>
  <c r="J16" i="48" a="1"/>
  <c r="S22" i="21" a="1"/>
  <c r="J58" i="46" a="1"/>
  <c r="D27" i="16" a="1"/>
  <c r="X66" i="16" a="1"/>
  <c r="F128" i="19" a="1"/>
  <c r="R81" i="46" a="1"/>
  <c r="J63" i="26" a="1"/>
  <c r="I121" i="19" a="1"/>
  <c r="I26" i="46" a="1"/>
  <c r="S23" i="50" a="1"/>
  <c r="S46" i="20" a="1"/>
  <c r="J102" i="16" a="1"/>
  <c r="T72" i="46" a="1"/>
  <c r="U61" i="46" a="1"/>
  <c r="E90" i="20" a="1"/>
  <c r="D7" i="19" a="1"/>
  <c r="H46" i="17" a="1"/>
  <c r="Q36" i="26" a="1"/>
  <c r="S101" i="16" a="1"/>
  <c r="H72" i="16" a="1"/>
  <c r="F59" i="16" a="1"/>
  <c r="E73" i="20" a="1"/>
  <c r="T29" i="21" a="1"/>
  <c r="T9" i="46" a="1"/>
  <c r="G80" i="20" a="1"/>
  <c r="V62" i="15" a="1"/>
  <c r="H25" i="46" a="1"/>
  <c r="D43" i="16" a="1"/>
  <c r="Q45" i="15" a="1"/>
  <c r="H110" i="19" a="1"/>
  <c r="G40" i="48" a="1"/>
  <c r="H46" i="16" a="1"/>
  <c r="H23" i="50" a="1"/>
  <c r="F61" i="16" a="1"/>
  <c r="P10" i="19" a="1"/>
  <c r="I26" i="19" a="1"/>
  <c r="S79" i="20" a="1"/>
  <c r="K29" i="48" a="1"/>
  <c r="S93" i="16" a="1"/>
  <c r="S39" i="26" a="1"/>
  <c r="P103" i="20" a="1"/>
  <c r="H69" i="20" a="1"/>
  <c r="F20" i="16" a="1"/>
  <c r="F44" i="15" a="1"/>
  <c r="H16" i="26" a="1"/>
  <c r="J127" i="46" a="1"/>
  <c r="E40" i="19" a="1"/>
  <c r="S34" i="20" a="1"/>
  <c r="F40" i="20" a="1"/>
  <c r="G38" i="46" a="1"/>
  <c r="J135" i="19" a="1"/>
  <c r="S103" i="16" a="1"/>
  <c r="G12" i="20" a="1"/>
  <c r="G26" i="46" a="1"/>
  <c r="I30" i="48" a="1"/>
  <c r="D24" i="16" a="1"/>
  <c r="E69" i="17" a="1"/>
  <c r="R46" i="19" a="1"/>
  <c r="E90" i="16" a="1"/>
  <c r="R102" i="20" a="1"/>
  <c r="F79" i="26" a="1"/>
  <c r="J50" i="15" a="1"/>
  <c r="I44" i="17" a="1"/>
  <c r="E7" i="50" a="1"/>
  <c r="D56" i="15" a="1"/>
  <c r="L17" i="48" a="1"/>
  <c r="V65" i="15" a="1"/>
  <c r="T82" i="15" a="1"/>
  <c r="G128" i="19" a="1"/>
  <c r="F38" i="19" a="1"/>
  <c r="G41" i="17" a="1"/>
  <c r="F93" i="15" a="1"/>
  <c r="U19" i="46" a="1"/>
  <c r="P67" i="46" a="1"/>
  <c r="I56" i="20" a="1"/>
  <c r="D25" i="26" a="1"/>
  <c r="T70" i="46" a="1"/>
  <c r="J51" i="15" a="1"/>
  <c r="S50" i="15" a="1"/>
  <c r="D27" i="19" a="1"/>
  <c r="S72" i="46" a="1"/>
  <c r="F32" i="19" a="1"/>
  <c r="G72" i="46" a="1"/>
  <c r="P29" i="50" a="1"/>
  <c r="H28" i="48" a="1"/>
  <c r="F68" i="20" a="1"/>
  <c r="I115" i="19" a="1"/>
  <c r="F82" i="15" a="1"/>
  <c r="O25" i="26" a="1"/>
  <c r="I88" i="16" a="1"/>
  <c r="K31" i="46" a="1"/>
  <c r="G59" i="15" a="1"/>
  <c r="Q78" i="15" a="1"/>
  <c r="R127" i="46" a="1"/>
  <c r="P58" i="16" a="1"/>
  <c r="H125" i="19" a="1"/>
  <c r="F55" i="26" a="1"/>
  <c r="I21" i="20" a="1"/>
  <c r="P102" i="20" a="1"/>
  <c r="G137" i="19" a="1"/>
  <c r="H13" i="19" a="1"/>
  <c r="D139" i="19" a="1"/>
  <c r="P37" i="26" a="1"/>
  <c r="H13" i="48" a="1"/>
  <c r="D13" i="21" a="1"/>
  <c r="X17" i="16" a="1"/>
  <c r="G16" i="50" a="1"/>
  <c r="F39" i="16" a="1"/>
  <c r="D85" i="20" a="1"/>
  <c r="K83" i="46" a="1"/>
  <c r="F46" i="48" a="1"/>
  <c r="J60" i="17" a="1"/>
  <c r="L42" i="48" a="1"/>
  <c r="G30" i="50" a="1"/>
  <c r="P7" i="48" a="1"/>
  <c r="G126" i="46" a="1"/>
  <c r="O72" i="16" a="1"/>
  <c r="E60" i="20" a="1"/>
  <c r="E112" i="20" a="1"/>
  <c r="H40" i="48" a="1"/>
  <c r="S74" i="46" a="1"/>
  <c r="K82" i="15" a="1"/>
  <c r="N45" i="26" a="1"/>
  <c r="H45" i="20" a="1"/>
  <c r="F63" i="20" a="1"/>
  <c r="G69" i="20" a="1"/>
  <c r="S23" i="21" a="1"/>
  <c r="E77" i="26" a="1"/>
  <c r="Q42" i="48" a="1"/>
  <c r="F80" i="26" a="1"/>
  <c r="J19" i="19" a="1"/>
  <c r="S78" i="16" a="1"/>
  <c r="F108" i="19" a="1"/>
  <c r="Y86" i="15" a="1"/>
  <c r="I23" i="19" a="1"/>
  <c r="E48" i="16" a="1"/>
  <c r="P27" i="50" a="1"/>
  <c r="E142" i="19" a="1"/>
  <c r="H20" i="20" a="1"/>
  <c r="S12" i="50" a="1"/>
  <c r="G17" i="48" a="1"/>
  <c r="S55" i="16" a="1"/>
  <c r="F72" i="46" a="1"/>
  <c r="Y27" i="15" a="1"/>
  <c r="Q35" i="46" a="1"/>
  <c r="J80" i="16" a="1"/>
  <c r="Q85" i="15" a="1"/>
  <c r="F9" i="46" a="1"/>
  <c r="E8" i="44" a="1"/>
  <c r="H48" i="21" a="1"/>
  <c r="F53" i="46" a="1"/>
  <c r="F12" i="50" a="1"/>
  <c r="F75" i="20" a="1"/>
  <c r="G57" i="17" a="1"/>
  <c r="F16" i="26" a="1"/>
  <c r="Q64" i="15" a="1"/>
  <c r="E46" i="17" a="1"/>
  <c r="Q27" i="48" a="1"/>
  <c r="D24" i="21" a="1"/>
  <c r="F99" i="20" a="1"/>
  <c r="G25" i="48" a="1"/>
  <c r="F22" i="21" a="1"/>
  <c r="E60" i="15" a="1"/>
  <c r="P49" i="46" a="1"/>
  <c r="O56" i="19" a="1"/>
  <c r="Q19" i="46" a="1"/>
  <c r="J63" i="16" a="1"/>
  <c r="S103" i="20" a="1"/>
  <c r="S22" i="19" a="1"/>
  <c r="I39" i="26" a="1"/>
  <c r="X84" i="16" a="1"/>
  <c r="E31" i="19" a="1"/>
  <c r="H23" i="44" a="1"/>
  <c r="S23" i="20" a="1"/>
  <c r="I7" i="19" a="1"/>
  <c r="D18" i="20" a="1"/>
  <c r="F26" i="16" a="1"/>
  <c r="P43" i="46" a="1"/>
  <c r="E29" i="20" a="1"/>
  <c r="K81" i="15" a="1"/>
  <c r="K77" i="15" a="1"/>
  <c r="I13" i="44" a="1"/>
  <c r="E71" i="16" a="1"/>
  <c r="E29" i="48" a="1"/>
  <c r="G37" i="17" a="1"/>
  <c r="Q79" i="46" a="1"/>
  <c r="D90" i="15" a="1"/>
  <c r="G98" i="16" a="1"/>
  <c r="E139" i="19" a="1"/>
  <c r="F21" i="20" a="1"/>
  <c r="O81" i="26" a="1"/>
  <c r="S107" i="20" a="1"/>
  <c r="D112" i="20" a="1"/>
  <c r="K64" i="46" a="1"/>
  <c r="S28" i="21" a="1"/>
  <c r="K70" i="17" a="1"/>
  <c r="D81" i="16" a="1"/>
  <c r="H18" i="20" a="1"/>
  <c r="G81" i="15" a="1"/>
  <c r="D78" i="16" a="1"/>
  <c r="P29" i="20" a="1"/>
  <c r="D44" i="19" a="1"/>
  <c r="J75" i="26" a="1"/>
  <c r="G78" i="15" a="1"/>
  <c r="D110" i="20" a="1"/>
  <c r="F96" i="15" a="1"/>
  <c r="G58" i="17" a="1"/>
  <c r="I25" i="20" a="1"/>
  <c r="S113" i="20" a="1"/>
  <c r="E43" i="16" a="1"/>
  <c r="Q77" i="15" a="1"/>
  <c r="J43" i="16" a="1"/>
  <c r="X39" i="26" a="1"/>
  <c r="G72" i="26" a="1"/>
  <c r="J11" i="19" a="1"/>
  <c r="E26" i="48" a="1"/>
  <c r="I82" i="15" a="1"/>
  <c r="I21" i="44" a="1"/>
  <c r="G113" i="19" a="1"/>
  <c r="R12" i="50" a="1"/>
  <c r="F135" i="19" a="1"/>
  <c r="J81" i="16" a="1"/>
  <c r="X31" i="15" a="1"/>
  <c r="J71" i="16" a="1"/>
  <c r="J88" i="46" a="1"/>
  <c r="T8" i="46" a="1"/>
  <c r="S63" i="16" a="1"/>
  <c r="P22" i="19" a="1"/>
  <c r="E19" i="44" a="1"/>
  <c r="P55" i="46" a="1"/>
  <c r="G39" i="26" a="1"/>
  <c r="R38" i="26" a="1"/>
  <c r="F83" i="20" a="1"/>
  <c r="W29" i="26" a="1"/>
  <c r="H24" i="19" a="1"/>
  <c r="I8" i="19" a="1"/>
  <c r="J80" i="46" a="1"/>
  <c r="E10" i="26" a="1"/>
  <c r="H24" i="50" a="1"/>
  <c r="J22" i="21" a="1"/>
  <c r="G46" i="46" a="1"/>
  <c r="S15" i="20" a="1"/>
  <c r="G60" i="17" a="1"/>
  <c r="D61" i="17" a="1"/>
  <c r="E36" i="20" a="1"/>
  <c r="S96" i="15" a="1"/>
  <c r="D105" i="20" a="1"/>
  <c r="I32" i="20" a="1"/>
  <c r="D64" i="20" a="1"/>
  <c r="G52" i="19" a="1"/>
  <c r="J54" i="16" a="1"/>
  <c r="Y78" i="15" a="1"/>
  <c r="P14" i="46" a="1"/>
  <c r="O70" i="15" a="1"/>
  <c r="J77" i="46" a="1"/>
  <c r="O70" i="26" a="1"/>
  <c r="D31" i="50" a="1"/>
  <c r="I33" i="20" a="1"/>
  <c r="F84" i="16" a="1"/>
  <c r="O56" i="15" a="1"/>
  <c r="O26" i="20" a="1"/>
  <c r="G65" i="16" a="1"/>
  <c r="K66" i="46" a="1"/>
  <c r="G62" i="17" a="1"/>
  <c r="I18" i="20" a="1"/>
  <c r="O67" i="20" a="1"/>
  <c r="D48" i="16" a="1"/>
  <c r="I30" i="46" a="1"/>
  <c r="H21" i="50" a="1"/>
  <c r="D100" i="20" a="1"/>
  <c r="J60" i="26" a="1"/>
  <c r="J48" i="16" a="1"/>
  <c r="G35" i="21" a="1"/>
  <c r="P71" i="15" a="1"/>
  <c r="T73" i="46" a="1"/>
  <c r="U67" i="46" a="1"/>
  <c r="I32" i="26" a="1"/>
  <c r="X101" i="16" a="1"/>
  <c r="Q38" i="26" a="1"/>
  <c r="S47" i="46" a="1"/>
  <c r="E126" i="19" a="1"/>
  <c r="D74" i="26" a="1"/>
  <c r="J97" i="16" a="1"/>
  <c r="V77" i="15" a="1"/>
  <c r="P51" i="19" a="1"/>
  <c r="Q88" i="46" a="1"/>
  <c r="S56" i="20" a="1"/>
  <c r="U67" i="15" a="1"/>
  <c r="G50" i="15" a="1"/>
  <c r="J74" i="26" a="1"/>
  <c r="J107" i="19" a="1"/>
  <c r="T84" i="15" a="1"/>
  <c r="G48" i="20" a="1"/>
  <c r="I19" i="44" a="1"/>
  <c r="F43" i="26" a="1"/>
  <c r="F17" i="19" a="1"/>
  <c r="T56" i="15" a="1"/>
  <c r="G93" i="16" a="1"/>
  <c r="P18" i="46" a="1"/>
  <c r="E13" i="44" a="1"/>
  <c r="U13" i="46" a="1"/>
  <c r="H129" i="19" a="1"/>
  <c r="T39" i="21" a="1"/>
  <c r="E96" i="16" a="1"/>
  <c r="F33" i="50" a="1"/>
  <c r="E15" i="44" a="1"/>
  <c r="O18" i="26" a="1"/>
  <c r="F45" i="21" a="1"/>
  <c r="J62" i="46" a="1"/>
  <c r="R33" i="50" a="1"/>
  <c r="K34" i="46" a="1"/>
  <c r="S112" i="19" a="1"/>
  <c r="P39" i="20" a="1"/>
  <c r="S61" i="20" a="1"/>
  <c r="Q41" i="21" a="1"/>
  <c r="S135" i="19" a="1"/>
  <c r="I27" i="21" a="1"/>
  <c r="S21" i="20" a="1"/>
  <c r="Q41" i="48" a="1"/>
  <c r="H52" i="15" a="1"/>
  <c r="J82" i="15" a="1"/>
  <c r="Y93" i="15" a="1"/>
  <c r="J31" i="46" a="1"/>
  <c r="V54" i="15" a="1"/>
  <c r="F27" i="46" a="1"/>
  <c r="H90" i="16" a="1"/>
  <c r="F25" i="48" a="1"/>
  <c r="K37" i="17" a="1"/>
  <c r="T7" i="21" a="1"/>
  <c r="J53" i="16" a="1"/>
  <c r="E16" i="50" a="1"/>
  <c r="Q47" i="46" a="1"/>
  <c r="J110" i="19" a="1"/>
  <c r="D39" i="19" a="1"/>
  <c r="I70" i="46" a="1"/>
  <c r="R113" i="19" a="1"/>
  <c r="J63" i="15" a="1"/>
  <c r="G23" i="26" a="1"/>
  <c r="N78" i="16" a="1"/>
  <c r="I69" i="46" a="1"/>
  <c r="E63" i="15" a="1"/>
  <c r="H77" i="15" a="1"/>
  <c r="Y39" i="26" a="1"/>
  <c r="H37" i="21" a="1"/>
  <c r="AA46" i="26" a="1"/>
  <c r="E66" i="20" a="1"/>
  <c r="H43" i="46" a="1"/>
  <c r="E44" i="48" a="1"/>
  <c r="G40" i="17" a="1"/>
  <c r="O11" i="20" a="1"/>
  <c r="F13" i="15" a="1"/>
  <c r="U25" i="46" a="1"/>
  <c r="T44" i="21" a="1"/>
  <c r="Q38" i="48" a="1"/>
  <c r="P55" i="15" a="1"/>
  <c r="O57" i="16" a="1"/>
  <c r="F15" i="46" a="1"/>
  <c r="F20" i="50" a="1"/>
  <c r="J43" i="46" a="1"/>
  <c r="H63" i="26" a="1"/>
  <c r="P27" i="19" a="1"/>
  <c r="Y51" i="15" a="1"/>
  <c r="I51" i="19" a="1"/>
  <c r="F67" i="17" a="1"/>
  <c r="I20" i="26" a="1"/>
  <c r="E43" i="48" a="1"/>
  <c r="X8" i="44" a="1"/>
  <c r="Q60" i="15" a="1"/>
  <c r="H131" i="19" a="1"/>
  <c r="E37" i="19" a="1"/>
  <c r="F70" i="17" a="1"/>
  <c r="I60" i="16" a="1"/>
  <c r="Z36" i="26" a="1"/>
  <c r="J55" i="19" a="1"/>
  <c r="E10" i="20" a="1"/>
  <c r="S62" i="17" a="1"/>
  <c r="G48" i="16" a="1"/>
  <c r="H80" i="20" a="1"/>
  <c r="Y37" i="26" a="1"/>
  <c r="R125" i="46" a="1"/>
  <c r="E61" i="20" a="1"/>
  <c r="G41" i="46" a="1"/>
  <c r="E52" i="16" a="1"/>
  <c r="G60" i="26" a="1"/>
  <c r="I50" i="19" a="1"/>
  <c r="U70" i="16" a="1"/>
  <c r="D34" i="19" a="1"/>
  <c r="D16" i="20" a="1"/>
  <c r="U23" i="46" a="1"/>
  <c r="E65" i="26" a="1"/>
  <c r="I48" i="46" a="1"/>
  <c r="G107" i="19" a="1"/>
  <c r="H8" i="46" a="1"/>
  <c r="Y36" i="26" a="1"/>
  <c r="T55" i="16" a="1"/>
  <c r="H13" i="50" a="1"/>
  <c r="K80" i="15" a="1"/>
  <c r="D36" i="20" a="1"/>
  <c r="H78" i="15" a="1"/>
  <c r="F47" i="19" a="1"/>
  <c r="R123" i="46" a="1"/>
  <c r="D38" i="20" a="1"/>
  <c r="F17" i="50" a="1"/>
  <c r="E55" i="15" a="1"/>
  <c r="I37" i="20" a="1"/>
  <c r="E57" i="26" a="1"/>
  <c r="E71" i="20" a="1"/>
  <c r="W11" i="16" a="1"/>
  <c r="I7" i="21" a="1"/>
  <c r="H42" i="26" a="1"/>
  <c r="F90" i="16" a="1"/>
  <c r="H10" i="21" a="1"/>
  <c r="G33" i="48" a="1"/>
  <c r="F82" i="20" a="1"/>
  <c r="N55" i="16" a="1"/>
  <c r="O59" i="26" a="1"/>
  <c r="K40" i="17" a="1"/>
  <c r="W10" i="48" a="1"/>
  <c r="Q12" i="48" a="1"/>
  <c r="F71" i="15" a="1"/>
  <c r="H54" i="26" a="1"/>
  <c r="O77" i="16" a="1"/>
  <c r="T51" i="46" a="1"/>
  <c r="S50" i="20" a="1"/>
  <c r="S124" i="19" a="1"/>
  <c r="E74" i="20" a="1"/>
  <c r="I100" i="16" a="1"/>
  <c r="K43" i="48" a="1"/>
  <c r="W16" i="16" a="1"/>
  <c r="H53" i="19" a="1"/>
  <c r="Q71" i="46" a="1"/>
  <c r="E76" i="26" a="1"/>
  <c r="S81" i="20" a="1"/>
  <c r="S57" i="16" a="1"/>
  <c r="J43" i="19" a="1"/>
  <c r="N11" i="26" a="1"/>
  <c r="O72" i="26" a="1"/>
  <c r="P46" i="46" a="1"/>
  <c r="D36" i="21" a="1"/>
  <c r="F49" i="20" a="1"/>
  <c r="G48" i="21" a="1"/>
  <c r="J7" i="21" a="1"/>
  <c r="I46" i="21" a="1"/>
  <c r="V55" i="15" a="1"/>
  <c r="V44" i="15" a="1"/>
  <c r="F57" i="46" a="1"/>
  <c r="G103" i="16" a="1"/>
  <c r="I34" i="21" a="1"/>
  <c r="J64" i="46" a="1"/>
  <c r="R11" i="50" a="1"/>
  <c r="V25" i="16" a="1"/>
  <c r="U76" i="16" a="1"/>
  <c r="S19" i="20" a="1"/>
  <c r="J28" i="21" a="1"/>
  <c r="D18" i="19" a="1"/>
  <c r="K61" i="17" a="1"/>
  <c r="H26" i="20" a="1"/>
  <c r="F8" i="15" a="1"/>
  <c r="G28" i="50" a="1"/>
  <c r="W28" i="48" a="1"/>
  <c r="I7" i="48" a="1"/>
  <c r="F60" i="46" a="1"/>
  <c r="U34" i="46" a="1"/>
  <c r="P14" i="19" a="1"/>
  <c r="I35" i="19" a="1"/>
  <c r="F11" i="46" a="1"/>
  <c r="I93" i="16" a="1"/>
  <c r="R119" i="19" a="1"/>
  <c r="I116" i="19" a="1"/>
  <c r="I124" i="19" a="1"/>
  <c r="P80" i="20" a="1"/>
  <c r="L27" i="48" a="1"/>
  <c r="D42" i="20" a="1"/>
  <c r="Q81" i="46" a="1"/>
  <c r="F36" i="16" a="1"/>
  <c r="S48" i="21" a="1"/>
  <c r="G110" i="19" a="1"/>
  <c r="P55" i="20" a="1"/>
  <c r="P82" i="15" a="1"/>
  <c r="I120" i="46" a="1"/>
  <c r="T7" i="15" a="1"/>
  <c r="R122" i="46" a="1"/>
  <c r="H47" i="17" a="1"/>
  <c r="R12" i="46" a="1"/>
  <c r="O75" i="26" a="1"/>
  <c r="H16" i="46" a="1"/>
  <c r="P16" i="20" a="1"/>
  <c r="Q14" i="48" a="1"/>
  <c r="Q26" i="19" a="1"/>
  <c r="F11" i="21" a="1"/>
  <c r="P121" i="46" a="1"/>
  <c r="E120" i="19" a="1"/>
  <c r="Q30" i="26" a="1"/>
  <c r="D49" i="15" a="1"/>
  <c r="E25" i="26" a="1"/>
  <c r="R103" i="20" a="1"/>
  <c r="R17" i="50" a="1"/>
  <c r="I61" i="46" a="1"/>
  <c r="F92" i="20" a="1"/>
  <c r="O12" i="20" a="1"/>
  <c r="E72" i="15" a="1"/>
  <c r="D45" i="20" a="1"/>
  <c r="P9" i="19" a="1"/>
  <c r="F134" i="19" a="1"/>
  <c r="T41" i="26" a="1"/>
  <c r="D9" i="26" a="1"/>
  <c r="K73" i="17" a="1"/>
  <c r="S54" i="16" a="1"/>
  <c r="D131" i="19" a="1"/>
  <c r="S108" i="20" a="1"/>
  <c r="E121" i="19" a="1"/>
  <c r="E38" i="50" a="1"/>
  <c r="D70" i="26" a="1"/>
  <c r="D93" i="20" a="1"/>
  <c r="O30" i="16" a="1"/>
  <c r="K61" i="46" a="1"/>
  <c r="G16" i="46" a="1"/>
  <c r="Q70" i="20" a="1"/>
  <c r="S31" i="19" a="1"/>
  <c r="S78" i="20" a="1"/>
  <c r="F37" i="21" a="1"/>
  <c r="V72" i="15" a="1"/>
  <c r="T53" i="46" a="1"/>
  <c r="F72" i="26" a="1"/>
  <c r="P12" i="20" a="1"/>
  <c r="H17" i="19" a="1"/>
  <c r="G62" i="20" a="1"/>
  <c r="K47" i="46" a="1"/>
  <c r="K47" i="48" a="1"/>
  <c r="K42" i="17" a="1"/>
  <c r="X59" i="16" a="1"/>
  <c r="P42" i="26" a="1"/>
  <c r="O33" i="19" a="1"/>
  <c r="T78" i="16" a="1"/>
  <c r="H58" i="19" a="1"/>
  <c r="T23" i="21" a="1"/>
  <c r="R15" i="19" a="1"/>
  <c r="J52" i="19" a="1"/>
  <c r="U52" i="16" a="1"/>
  <c r="G95" i="16" a="1"/>
  <c r="J30" i="48" a="1"/>
  <c r="D99" i="16" a="1"/>
  <c r="I97" i="15" a="1"/>
  <c r="S51" i="46" a="1"/>
  <c r="Q121" i="46" a="1"/>
  <c r="Y34" i="26" a="1"/>
  <c r="G25" i="26" a="1"/>
  <c r="W95" i="15" a="1"/>
  <c r="F39" i="26" a="1"/>
  <c r="S45" i="21" a="1"/>
  <c r="J17" i="46" a="1"/>
  <c r="D16" i="19" a="1"/>
  <c r="N63" i="16" a="1"/>
  <c r="F58" i="17" a="1"/>
  <c r="N23" i="26" a="1"/>
  <c r="U65" i="15" a="1"/>
  <c r="Q50" i="21" a="1"/>
  <c r="D42" i="16" a="1"/>
  <c r="O62" i="16" a="1"/>
  <c r="U58" i="46" a="1"/>
  <c r="G14" i="48" a="1"/>
  <c r="H20" i="26" a="1"/>
  <c r="T62" i="16" a="1"/>
  <c r="P28" i="50" a="1"/>
  <c r="X39" i="15" a="1"/>
  <c r="E22" i="20" a="1"/>
  <c r="I45" i="17" a="1"/>
  <c r="K16" i="46" a="1"/>
  <c r="K19" i="46" a="1"/>
  <c r="J27" i="19" a="1"/>
  <c r="G29" i="48" a="1"/>
  <c r="F121" i="19" a="1"/>
  <c r="G87" i="15" a="1"/>
  <c r="W33" i="48" a="1"/>
  <c r="G77" i="15" a="1"/>
  <c r="J58" i="26" a="1"/>
  <c r="X78" i="16" a="1"/>
  <c r="H85" i="20" a="1"/>
  <c r="O128" i="19" a="1"/>
  <c r="F60" i="17" a="1"/>
  <c r="O20" i="26" a="1"/>
  <c r="H69" i="17" a="1"/>
  <c r="H61" i="16" a="1"/>
  <c r="L28" i="48" a="1"/>
  <c r="G8" i="21" a="1"/>
  <c r="I122" i="19" a="1"/>
  <c r="H50" i="19" a="1"/>
  <c r="F63" i="15" a="1"/>
  <c r="J114" i="19" a="1"/>
  <c r="O86" i="15" a="1"/>
  <c r="O58" i="26" a="1"/>
  <c r="H49" i="19" a="1"/>
  <c r="V69" i="15" a="1"/>
  <c r="G25" i="21" a="1"/>
  <c r="J39" i="16" a="1"/>
  <c r="E48" i="21" a="1"/>
  <c r="T37" i="26" a="1"/>
  <c r="K9" i="48" a="1"/>
  <c r="D35" i="21" a="1"/>
  <c r="J13" i="48" a="1"/>
  <c r="K38" i="46" a="1"/>
  <c r="H9" i="48" a="1"/>
  <c r="S34" i="21" a="1"/>
  <c r="Q33" i="46" a="1"/>
  <c r="D28" i="21" a="1"/>
  <c r="F34" i="20" a="1"/>
  <c r="H47" i="16" a="1"/>
  <c r="D46" i="17" a="1"/>
  <c r="J20" i="44" a="1"/>
  <c r="F87" i="20" a="1"/>
  <c r="R31" i="50" a="1"/>
  <c r="G37" i="50" a="1"/>
  <c r="V61" i="15" a="1"/>
  <c r="S70" i="15" a="1"/>
  <c r="E140" i="19" a="1"/>
  <c r="P72" i="20" a="1"/>
  <c r="D37" i="17" a="1"/>
  <c r="W11" i="48" a="1"/>
  <c r="G89" i="16" a="1"/>
  <c r="I113" i="19" a="1"/>
  <c r="X46" i="15" a="1"/>
  <c r="S9" i="50" a="1"/>
  <c r="D72" i="17" a="1"/>
  <c r="D104" i="20" a="1"/>
  <c r="E15" i="48" a="1"/>
  <c r="I54" i="19" a="1"/>
  <c r="J27" i="50" a="1"/>
  <c r="J37" i="16" a="1"/>
  <c r="N33" i="26" a="1"/>
  <c r="H38" i="21" a="1"/>
  <c r="S46" i="21" a="1"/>
  <c r="T64" i="16" a="1"/>
  <c r="N54" i="26" a="1"/>
  <c r="N30" i="26" a="1"/>
  <c r="D36" i="19" a="1"/>
  <c r="W17" i="16" a="1"/>
  <c r="R9" i="48" a="1"/>
  <c r="Q40" i="48" a="1"/>
  <c r="U67" i="16" a="1"/>
  <c r="U29" i="46" a="1"/>
  <c r="J71" i="17" a="1"/>
  <c r="P33" i="26" a="1"/>
  <c r="F78" i="16" a="1"/>
  <c r="H40" i="17" a="1"/>
  <c r="S82" i="15" a="1"/>
  <c r="P27" i="48" a="1"/>
  <c r="Q64" i="46" a="1"/>
  <c r="J19" i="50" a="1"/>
  <c r="F16" i="46" a="1"/>
  <c r="D73" i="20" a="1"/>
  <c r="K35" i="46" a="1"/>
  <c r="J39" i="26" a="1"/>
  <c r="E14" i="21" a="1"/>
  <c r="F9" i="44" a="1"/>
  <c r="J46" i="26" a="1"/>
  <c r="O71" i="20" a="1"/>
  <c r="O30" i="19" a="1"/>
  <c r="X13" i="44" a="1"/>
  <c r="F23" i="15" a="1"/>
  <c r="E38" i="16" a="1"/>
  <c r="F111" i="19" a="1"/>
  <c r="L31" i="48" a="1"/>
  <c r="H29" i="21" a="1"/>
  <c r="F47" i="46" a="1"/>
  <c r="K50" i="46" a="1"/>
  <c r="K27" i="48" a="1"/>
  <c r="P64" i="15" a="1"/>
  <c r="J37" i="21" a="1"/>
  <c r="G45" i="17" a="1"/>
  <c r="P59" i="20" a="1"/>
  <c r="J23" i="50" a="1"/>
  <c r="I45" i="21" a="1"/>
  <c r="D31" i="19" a="1"/>
  <c r="P33" i="19" a="1"/>
  <c r="F10" i="21" a="1"/>
  <c r="J75" i="46" a="1"/>
  <c r="I72" i="17" a="1"/>
  <c r="H48" i="46" a="1"/>
  <c r="S79" i="16" a="1"/>
  <c r="H122" i="46" a="1"/>
  <c r="R46" i="46" a="1"/>
  <c r="P63" i="20" a="1"/>
  <c r="P24" i="48" a="1"/>
  <c r="Q11" i="48" a="1"/>
  <c r="N79" i="26" a="1"/>
  <c r="U127" i="46" a="1"/>
  <c r="I64" i="16" a="1"/>
  <c r="F129" i="46" a="1"/>
  <c r="J96" i="15" a="1"/>
  <c r="I131" i="19" a="1"/>
  <c r="F37" i="20" a="1"/>
  <c r="P112" i="19" a="1"/>
  <c r="S16" i="21" a="1"/>
  <c r="H56" i="17" a="1"/>
  <c r="K51" i="46" a="1"/>
  <c r="P34" i="50" a="1"/>
  <c r="G68" i="17" a="1"/>
  <c r="D56" i="16" a="1"/>
  <c r="G60" i="20" a="1"/>
  <c r="S40" i="19" a="1"/>
  <c r="J118" i="19" a="1"/>
  <c r="Z30" i="26" a="1"/>
  <c r="J6" i="16" a="1"/>
  <c r="F83" i="46" a="1"/>
  <c r="S17" i="21" a="1"/>
  <c r="O119" i="19" a="1"/>
  <c r="E45" i="21" a="1"/>
  <c r="N13" i="26" a="1"/>
  <c r="X9" i="44" a="1"/>
  <c r="F38" i="20" a="1"/>
  <c r="N25" i="26" a="1"/>
  <c r="R42" i="46" a="1"/>
  <c r="R14" i="20" a="1"/>
  <c r="S52" i="19" a="1"/>
  <c r="S68" i="20" a="1"/>
  <c r="W39" i="26" a="1"/>
  <c r="P76" i="16" a="1"/>
  <c r="S25" i="20" a="1"/>
  <c r="D22" i="44" a="1"/>
  <c r="I57" i="26" a="1"/>
  <c r="K66" i="15" a="1"/>
  <c r="T79" i="15" a="1"/>
  <c r="F13" i="19" a="1"/>
  <c r="E30" i="48" a="1"/>
  <c r="Y62" i="15" a="1"/>
  <c r="Q127" i="46" a="1"/>
  <c r="R72" i="20" a="1"/>
  <c r="Q124" i="46" a="1"/>
  <c r="J125" i="19" a="1"/>
  <c r="G138" i="19" a="1"/>
  <c r="F54" i="17" a="1"/>
  <c r="O55" i="26" a="1"/>
  <c r="H117" i="46" a="1"/>
  <c r="Q65" i="15" a="1"/>
  <c r="D20" i="19" a="1"/>
  <c r="S81" i="16" a="1"/>
  <c r="S73" i="15" a="1"/>
  <c r="J35" i="46" a="1"/>
  <c r="H96" i="16" a="1"/>
  <c r="D53" i="16" a="1"/>
  <c r="E61" i="16" a="1"/>
  <c r="I46" i="46" a="1"/>
  <c r="G23" i="46" a="1"/>
  <c r="J90" i="15" a="1"/>
  <c r="Q44" i="46" a="1"/>
  <c r="I29" i="20" a="1"/>
  <c r="F85" i="15" a="1"/>
  <c r="Q21" i="19" a="1"/>
  <c r="G16" i="48" a="1"/>
  <c r="J42" i="19" a="1"/>
  <c r="Q9" i="46" a="1"/>
  <c r="I47" i="19" a="1"/>
  <c r="E41" i="21" a="1"/>
  <c r="S39" i="16" a="1"/>
  <c r="Q67" i="15" a="1"/>
  <c r="H16" i="48" a="1"/>
  <c r="R36" i="20" a="1"/>
  <c r="G18" i="50" a="1"/>
  <c r="H13" i="21" a="1"/>
  <c r="I83" i="15" a="1"/>
  <c r="D94" i="20" a="1"/>
  <c r="G86" i="20" a="1"/>
  <c r="D54" i="17" a="1"/>
  <c r="G78" i="16" a="1"/>
  <c r="X25" i="16" a="1"/>
  <c r="N15" i="26" a="1"/>
  <c r="E33" i="48" a="1"/>
  <c r="K33" i="46" a="1"/>
  <c r="S59" i="15" a="1"/>
  <c r="H73" i="26" a="1"/>
  <c r="F32" i="15" a="1"/>
  <c r="J49" i="46" a="1"/>
  <c r="K60" i="15" a="1"/>
  <c r="X29" i="26" a="1"/>
  <c r="R61" i="20" a="1"/>
  <c r="J27" i="21" a="1"/>
  <c r="V16" i="16" a="1"/>
  <c r="F42" i="15" a="1"/>
  <c r="I77" i="46" a="1"/>
  <c r="O125" i="19" a="1"/>
  <c r="P54" i="20" a="1"/>
  <c r="T36" i="21" a="1"/>
  <c r="Q113" i="20" a="1"/>
  <c r="R20" i="19" a="1"/>
  <c r="P65" i="16" a="1"/>
  <c r="O105" i="20" a="1"/>
  <c r="F133" i="19" a="1"/>
  <c r="S66" i="20" a="1"/>
  <c r="S9" i="20" a="1"/>
  <c r="Q83" i="46" a="1"/>
  <c r="G62" i="26" a="1"/>
  <c r="R47" i="20" a="1"/>
  <c r="I47" i="16" a="1"/>
  <c r="F49" i="19" a="1"/>
  <c r="R41" i="50" a="1"/>
  <c r="H13" i="44" a="1"/>
  <c r="I57" i="46" a="1"/>
  <c r="F81" i="16" a="1"/>
  <c r="F36" i="46" a="1"/>
  <c r="E99" i="16" a="1"/>
  <c r="H22" i="50" a="1"/>
  <c r="Q70" i="15" a="1"/>
  <c r="E22" i="21" a="1"/>
  <c r="E132" i="19" a="1"/>
  <c r="H58" i="20" a="1"/>
  <c r="G57" i="46" a="1"/>
  <c r="Q84" i="15" a="1"/>
  <c r="H49" i="15" a="1"/>
  <c r="O48" i="19" a="1"/>
  <c r="O56" i="16" a="1"/>
  <c r="G36" i="19" a="1"/>
  <c r="R121" i="46" a="1"/>
  <c r="R8" i="50" a="1"/>
  <c r="F34" i="15" a="1"/>
  <c r="K13" i="44" a="1"/>
  <c r="Q44" i="21" a="1"/>
  <c r="S65" i="15" a="1"/>
  <c r="J87" i="15" a="1"/>
  <c r="F22" i="15" a="1"/>
  <c r="Q20" i="19" a="1"/>
  <c r="J132" i="19" a="1"/>
  <c r="I67" i="16" a="1"/>
  <c r="S84" i="16" a="1"/>
  <c r="R117" i="46" a="1"/>
  <c r="H27" i="50" a="1"/>
  <c r="Q65" i="46" a="1"/>
  <c r="I45" i="19" a="1"/>
  <c r="H7" i="20" a="1"/>
  <c r="G28" i="46" a="1"/>
  <c r="J61" i="46" a="1"/>
  <c r="E21" i="50" a="1"/>
  <c r="J27" i="48" a="1"/>
  <c r="D9" i="21" a="1"/>
  <c r="G100" i="16" a="1"/>
  <c r="P113" i="19" a="1"/>
  <c r="N58" i="16" a="1"/>
  <c r="J13" i="46" a="1"/>
  <c r="D38" i="19" a="1"/>
  <c r="P111" i="19" a="1"/>
  <c r="E12" i="48" a="1"/>
  <c r="G44" i="48" a="1"/>
  <c r="O16" i="19" a="1"/>
  <c r="Q59" i="46" a="1"/>
  <c r="Q6" i="46" a="1"/>
  <c r="O73" i="20" a="1"/>
  <c r="H51" i="21" a="1"/>
  <c r="AA34" i="26" a="1"/>
  <c r="S37" i="50" a="1"/>
  <c r="G10" i="50" a="1"/>
  <c r="F43" i="48" a="1"/>
  <c r="X69" i="16" a="1"/>
  <c r="S59" i="17" a="1"/>
  <c r="H139" i="19" a="1"/>
  <c r="I37" i="26" a="1"/>
  <c r="F18" i="19" a="1"/>
  <c r="X96" i="15" a="1"/>
  <c r="S91" i="20" a="1"/>
  <c r="T22" i="46" a="1"/>
  <c r="P124" i="19" a="1"/>
  <c r="Q21" i="46" a="1"/>
  <c r="S88" i="16" a="1"/>
  <c r="S52" i="17" a="1"/>
  <c r="P39" i="19" a="1"/>
  <c r="P23" i="46" a="1"/>
  <c r="Q34" i="20" a="1"/>
  <c r="R90" i="20" a="1"/>
  <c r="L45" i="48" a="1"/>
  <c r="R124" i="46" a="1"/>
  <c r="F27" i="50" a="1"/>
  <c r="I63" i="17" a="1"/>
  <c r="H53" i="46" a="1"/>
  <c r="J48" i="46" a="1"/>
  <c r="D59" i="26" a="1"/>
  <c r="O38" i="19" a="1"/>
  <c r="X28" i="15" a="1"/>
  <c r="T54" i="16" a="1"/>
  <c r="D12" i="19" a="1"/>
  <c r="F47" i="16" a="1"/>
  <c r="P39" i="46" a="1"/>
  <c r="S47" i="21" a="1"/>
  <c r="I38" i="20" a="1"/>
  <c r="X87" i="16" a="1"/>
  <c r="J62" i="17" a="1"/>
  <c r="P42" i="19" a="1"/>
  <c r="H128" i="19" a="1"/>
  <c r="G71" i="15" a="1"/>
  <c r="G14" i="19" a="1"/>
  <c r="H71" i="16" a="1"/>
  <c r="H81" i="46" a="1"/>
  <c r="U62" i="15" a="1"/>
  <c r="H82" i="20" a="1"/>
  <c r="J109" i="19" a="1"/>
  <c r="Q57" i="46" a="1"/>
  <c r="Q124" i="19" a="1"/>
  <c r="J13" i="50" a="1"/>
  <c r="F72" i="20" a="1"/>
  <c r="K23" i="46" a="1"/>
  <c r="I41" i="26" a="1"/>
  <c r="U74" i="46" a="1"/>
  <c r="Q93" i="20" a="1"/>
  <c r="J70" i="15" a="1"/>
  <c r="F61" i="17" a="1"/>
  <c r="N37" i="26" a="1"/>
  <c r="F51" i="15" a="1"/>
  <c r="P38" i="50" a="1"/>
  <c r="K71" i="17" a="1"/>
  <c r="AA30" i="26" a="1"/>
  <c r="Y81" i="15" a="1"/>
  <c r="I8" i="20" a="1"/>
  <c r="H125" i="46" a="1"/>
  <c r="E96" i="15" a="1"/>
  <c r="K21" i="44" a="1"/>
  <c r="P32" i="50" a="1"/>
  <c r="E60" i="17" a="1"/>
  <c r="E93" i="16" a="1"/>
  <c r="H10" i="20" a="1"/>
  <c r="P22" i="20" a="1"/>
  <c r="O10" i="26" a="1"/>
  <c r="K21" i="46" a="1"/>
  <c r="F49" i="46" a="1"/>
  <c r="S52" i="15" a="1"/>
  <c r="F32" i="26" a="1"/>
  <c r="I72" i="26" a="1"/>
  <c r="I19" i="26" a="1"/>
  <c r="U79" i="16" a="1"/>
  <c r="S8" i="46" a="1"/>
  <c r="E16" i="21" a="1"/>
  <c r="R49" i="20" a="1"/>
  <c r="H36" i="19" a="1"/>
  <c r="H44" i="16" a="1"/>
  <c r="J136" i="19" a="1"/>
  <c r="H120" i="46" a="1"/>
  <c r="E37" i="50" a="1"/>
  <c r="F60" i="26" a="1"/>
  <c r="D137" i="19" a="1"/>
  <c r="P49" i="19" a="1"/>
  <c r="L20" i="48" a="1"/>
  <c r="G73" i="15" a="1"/>
  <c r="I62" i="15" a="1"/>
  <c r="J118" i="46" a="1"/>
  <c r="I18" i="50" a="1"/>
  <c r="V33" i="26" a="1"/>
  <c r="P40" i="48" a="1"/>
  <c r="D19" i="21" a="1"/>
  <c r="H7" i="21" a="1"/>
  <c r="J29" i="21" a="1"/>
  <c r="U56" i="15" a="1"/>
  <c r="I120" i="19" a="1"/>
  <c r="I19" i="50" a="1"/>
  <c r="D141" i="19" a="1"/>
  <c r="Y31" i="26" a="1"/>
  <c r="E45" i="20" a="1"/>
  <c r="J9" i="44" a="1"/>
  <c r="U124" i="46" a="1"/>
  <c r="G64" i="16" a="1"/>
  <c r="P32" i="46" a="1"/>
  <c r="S53" i="21" a="1"/>
  <c r="F20" i="46" a="1"/>
  <c r="J59" i="46" a="1"/>
  <c r="L40" i="48" a="1"/>
  <c r="F65" i="15" a="1"/>
  <c r="N36" i="26" a="1"/>
  <c r="J34" i="21" a="1"/>
  <c r="H15" i="20" a="1"/>
  <c r="K42" i="46" a="1"/>
  <c r="U63" i="16" a="1"/>
  <c r="F70" i="46" a="1"/>
  <c r="W24" i="16" a="1"/>
  <c r="S75" i="46" a="1"/>
  <c r="D9" i="50" a="1"/>
  <c r="G22" i="48" a="1"/>
  <c r="G41" i="26" a="1"/>
  <c r="T41" i="46" a="1"/>
  <c r="F52" i="16" a="1"/>
  <c r="S49" i="19" a="1"/>
  <c r="U51" i="46" a="1"/>
  <c r="X65" i="16" a="1"/>
  <c r="J65" i="16" a="1"/>
  <c r="Q25" i="20" a="1"/>
  <c r="K90" i="15" a="1"/>
  <c r="E13" i="26" a="1"/>
  <c r="E54" i="20" a="1"/>
  <c r="H11" i="20" a="1"/>
  <c r="R14" i="19" a="1"/>
  <c r="H47" i="20" a="1"/>
  <c r="J18" i="26" a="1"/>
  <c r="U80" i="15" a="1"/>
  <c r="S120" i="19" a="1"/>
  <c r="I15" i="19" a="1"/>
  <c r="K14" i="48" a="1"/>
  <c r="O14" i="26" a="1"/>
  <c r="F106" i="20" a="1"/>
  <c r="F79" i="15" a="1"/>
  <c r="O65" i="26" a="1"/>
  <c r="H109" i="19" a="1"/>
  <c r="H58" i="17" a="1"/>
  <c r="D19" i="44" a="1"/>
  <c r="Q36" i="48" a="1"/>
  <c r="U121" i="46" a="1"/>
  <c r="G37" i="16" a="1"/>
  <c r="Q91" i="20" a="1"/>
  <c r="H95" i="15" a="1"/>
  <c r="D35" i="20" a="1"/>
  <c r="I12" i="46" a="1"/>
  <c r="Z45" i="26" a="1"/>
  <c r="J55" i="17" a="1"/>
  <c r="S29" i="21" a="1"/>
  <c r="Y73" i="15" a="1"/>
  <c r="L10" i="48" a="1"/>
  <c r="G56" i="17" a="1"/>
  <c r="F114" i="19" a="1"/>
  <c r="I19" i="19" a="1"/>
  <c r="S70" i="46" a="1"/>
  <c r="H64" i="15" a="1"/>
  <c r="O21" i="26" a="1"/>
  <c r="H76" i="16" a="1"/>
  <c r="D55" i="26" a="1"/>
  <c r="R88" i="20" a="1"/>
  <c r="I17" i="19" a="1"/>
  <c r="H33" i="20" a="1"/>
  <c r="Y49" i="15" a="1"/>
  <c r="E23" i="19" a="1"/>
  <c r="D71" i="17" a="1"/>
  <c r="I81" i="46" a="1"/>
  <c r="V63" i="15" a="1"/>
  <c r="E38" i="21" a="1"/>
  <c r="G111" i="19" a="1"/>
  <c r="F43" i="19" a="1"/>
  <c r="D120" i="19" a="1"/>
  <c r="F24" i="16" a="1"/>
  <c r="F44" i="26" a="1"/>
  <c r="I24" i="46" a="1"/>
  <c r="I82" i="46" a="1"/>
  <c r="N60" i="26" a="1"/>
  <c r="D56" i="17" a="1"/>
  <c r="U66" i="16" a="1"/>
  <c r="S27" i="20" a="1"/>
  <c r="Q114" i="19" a="1"/>
  <c r="X7" i="16" a="1"/>
  <c r="Q82" i="20" a="1"/>
  <c r="J13" i="44" a="1"/>
  <c r="J72" i="16" a="1"/>
  <c r="P79" i="15" a="1"/>
  <c r="J51" i="46" a="1"/>
  <c r="V70" i="15" a="1"/>
  <c r="F6" i="46" a="1"/>
  <c r="E47" i="16" a="1"/>
  <c r="E54" i="26" a="1"/>
  <c r="R40" i="26" a="1"/>
  <c r="Q29" i="20" a="1"/>
  <c r="R40" i="20" a="1"/>
  <c r="I66" i="17" a="1"/>
  <c r="S44" i="19" a="1"/>
  <c r="G14" i="44" a="1"/>
  <c r="H44" i="21" a="1"/>
  <c r="G54" i="17" a="1"/>
  <c r="J32" i="19" a="1"/>
  <c r="J43" i="21" a="1"/>
  <c r="P7" i="50" a="1"/>
  <c r="G24" i="20" a="1"/>
  <c r="S27" i="16" a="1"/>
  <c r="E88" i="16" a="1"/>
  <c r="S114" i="20" a="1"/>
  <c r="F24" i="48" a="1"/>
  <c r="T29" i="26" a="1"/>
  <c r="Q25" i="21" a="1"/>
  <c r="D12" i="20" a="1"/>
  <c r="I71" i="15" a="1"/>
  <c r="S100" i="16" a="1"/>
  <c r="E82" i="20" a="1"/>
  <c r="J44" i="21" a="1"/>
  <c r="Q46" i="26" a="1"/>
  <c r="F23" i="26" a="1"/>
  <c r="D77" i="20" a="1"/>
  <c r="E77" i="15" a="1"/>
  <c r="N57" i="16" a="1"/>
  <c r="S67" i="15" a="1"/>
  <c r="G9" i="26" a="1"/>
  <c r="G87" i="16" a="1"/>
  <c r="D13" i="19" a="1"/>
  <c r="Q44" i="26" a="1"/>
  <c r="O65" i="20" a="1"/>
  <c r="U48" i="46" a="1"/>
  <c r="G27" i="48" a="1"/>
  <c r="P65" i="15" a="1"/>
  <c r="H33" i="26" a="1"/>
  <c r="F64" i="17" a="1"/>
  <c r="E45" i="19" a="1"/>
  <c r="T53" i="15" a="1"/>
  <c r="G11" i="21" a="1"/>
  <c r="Q13" i="19" a="1"/>
  <c r="G7" i="50" a="1"/>
  <c r="Y30" i="26" a="1"/>
  <c r="H33" i="50" a="1"/>
  <c r="H83" i="20" a="1"/>
  <c r="K22" i="46" a="1"/>
  <c r="S38" i="26" a="1"/>
  <c r="P21" i="50" a="1"/>
  <c r="E92" i="15" a="1"/>
  <c r="V10" i="16" a="1"/>
  <c r="G9" i="20" a="1"/>
  <c r="G40" i="46" a="1"/>
  <c r="E80" i="16" a="1"/>
  <c r="F65" i="46" a="1"/>
  <c r="U69" i="46" a="1"/>
  <c r="E13" i="19" a="1"/>
  <c r="G123" i="46" a="1"/>
  <c r="Q125" i="19" a="1"/>
  <c r="AA38" i="26" a="1"/>
  <c r="S38" i="20" a="1"/>
  <c r="F138" i="19" a="1"/>
  <c r="E38" i="19" a="1"/>
  <c r="P105" i="20" a="1"/>
  <c r="H60" i="16" a="1"/>
  <c r="T95" i="15" a="1"/>
  <c r="K39" i="48" a="1"/>
  <c r="I71" i="26" a="1"/>
  <c r="T46" i="26" a="1"/>
  <c r="I7" i="50" a="1"/>
  <c r="I81" i="15" a="1"/>
  <c r="E59" i="26" a="1"/>
  <c r="O69" i="15" a="1"/>
  <c r="P85" i="20" a="1"/>
  <c r="S10" i="50" a="1"/>
  <c r="X103" i="16" a="1"/>
  <c r="Y43" i="26" a="1"/>
  <c r="U56" i="16" a="1"/>
  <c r="S10" i="19" a="1"/>
  <c r="I8" i="26" a="1"/>
  <c r="E81" i="26" a="1"/>
  <c r="E95" i="15" a="1"/>
  <c r="G9" i="46" a="1"/>
  <c r="G61" i="46" a="1"/>
  <c r="AA37" i="26" a="1"/>
  <c r="G41" i="21" a="1"/>
  <c r="T56" i="16" a="1"/>
  <c r="S50" i="19" a="1"/>
  <c r="U61" i="16" a="1"/>
  <c r="E25" i="19" a="1"/>
  <c r="X15" i="16" a="1"/>
  <c r="R33" i="20" a="1"/>
  <c r="S46" i="16" a="1"/>
  <c r="H20" i="48" a="1"/>
  <c r="T71" i="15" a="1"/>
  <c r="H95" i="16" a="1"/>
  <c r="N74" i="16" a="1"/>
  <c r="D52" i="19" a="1"/>
  <c r="R79" i="46" a="1"/>
  <c r="X94" i="16" a="1"/>
  <c r="X80" i="16" a="1"/>
  <c r="T59" i="15" a="1"/>
  <c r="Q126" i="19" a="1"/>
  <c r="F64" i="46" a="1"/>
  <c r="P31" i="46" a="1"/>
  <c r="H16" i="21" a="1"/>
  <c r="P46" i="48" a="1"/>
  <c r="H21" i="20" a="1"/>
  <c r="S47" i="17" a="1"/>
  <c r="P49" i="20" a="1"/>
  <c r="F42" i="17" a="1"/>
  <c r="F60" i="20" a="1"/>
  <c r="P85" i="15" a="1"/>
  <c r="T60" i="15" a="1"/>
  <c r="U77" i="15" a="1"/>
  <c r="E62" i="15" a="1"/>
  <c r="H127" i="19" a="1"/>
  <c r="O67" i="15" a="1"/>
  <c r="F20" i="48" a="1"/>
  <c r="D97" i="20" a="1"/>
  <c r="J124" i="19" a="1"/>
  <c r="L30" i="48" a="1"/>
  <c r="Q69" i="15" a="1"/>
  <c r="K94" i="15" a="1"/>
  <c r="R139" i="19" a="1"/>
  <c r="H79" i="16" a="1"/>
  <c r="J20" i="50" a="1"/>
  <c r="T8" i="21" a="1"/>
  <c r="K52" i="15" a="1"/>
  <c r="K17" i="48" a="1"/>
  <c r="F37" i="16" a="1"/>
  <c r="D63" i="26" a="1"/>
  <c r="O55" i="19" a="1"/>
  <c r="G125" i="19" a="1"/>
  <c r="F129" i="19" a="1"/>
  <c r="I88" i="46" a="1"/>
  <c r="P78" i="20" a="1"/>
  <c r="Q107" i="19" a="1"/>
  <c r="J73" i="15" a="1"/>
  <c r="Q14" i="19" a="1"/>
  <c r="D83" i="16" a="1"/>
  <c r="R17" i="48" a="1"/>
  <c r="R74" i="46" a="1"/>
  <c r="R39" i="19" a="1"/>
  <c r="S75" i="16" a="1"/>
  <c r="G31" i="48" a="1"/>
  <c r="J56" i="15" a="1"/>
  <c r="X79" i="16" a="1"/>
  <c r="G14" i="46" a="1"/>
  <c r="P59" i="46" a="1"/>
  <c r="F64" i="20" a="1"/>
  <c r="U9" i="46" a="1"/>
  <c r="P25" i="46" a="1"/>
  <c r="U33" i="26" a="1"/>
  <c r="D77" i="26" a="1"/>
  <c r="D77" i="16" a="1"/>
  <c r="P75" i="46" a="1"/>
  <c r="V20" i="16" a="1"/>
  <c r="F46" i="20" a="1"/>
  <c r="D56" i="20" a="1"/>
  <c r="D97" i="16" a="1"/>
  <c r="G72" i="17" a="1"/>
  <c r="E20" i="20" a="1"/>
  <c r="E21" i="26" a="1"/>
  <c r="F22" i="44" a="1"/>
  <c r="K15" i="46" a="1"/>
  <c r="E42" i="16" a="1"/>
  <c r="G49" i="21" a="1"/>
  <c r="Q13" i="46" a="1"/>
  <c r="Z14" i="44" a="1"/>
  <c r="F37" i="19" a="1"/>
  <c r="H39" i="16" a="1"/>
  <c r="T15" i="21" a="1"/>
  <c r="O78" i="16" a="1"/>
  <c r="O45" i="19" a="1"/>
  <c r="H17" i="50" a="1"/>
  <c r="F139" i="19" a="1"/>
  <c r="T39" i="46" a="1"/>
  <c r="S9" i="19" a="1"/>
  <c r="W14" i="48" a="1"/>
  <c r="P19" i="50" a="1"/>
  <c r="Y89" i="15" a="1"/>
  <c r="H11" i="21" a="1"/>
  <c r="S80" i="15" a="1"/>
  <c r="D70" i="17" a="1"/>
  <c r="F32" i="20" a="1"/>
  <c r="W30" i="48" a="1"/>
  <c r="R31" i="48" a="1"/>
  <c r="N60" i="16" a="1"/>
  <c r="U119" i="46" a="1"/>
  <c r="G71" i="17" a="1"/>
  <c r="S94" i="15" a="1"/>
  <c r="F46" i="17" a="1"/>
  <c r="D64" i="16" a="1"/>
  <c r="F45" i="48" a="1"/>
  <c r="P84" i="15" a="1"/>
  <c r="P37" i="19" a="1"/>
  <c r="X23" i="16" a="1"/>
  <c r="I60" i="17" a="1"/>
  <c r="G71" i="46" a="1"/>
  <c r="D86" i="16" a="1"/>
  <c r="E13" i="21" a="1"/>
  <c r="O17" i="19" a="1"/>
  <c r="G88" i="46" a="1"/>
  <c r="W13" i="44" a="1"/>
  <c r="I63" i="16" a="1"/>
  <c r="F31" i="46" a="1"/>
  <c r="I55" i="26" a="1"/>
  <c r="Q76" i="46" a="1"/>
  <c r="E17" i="48" a="1"/>
  <c r="G121" i="46" a="1"/>
  <c r="T75" i="46" a="1"/>
  <c r="Q114" i="20" a="1"/>
  <c r="H70" i="46" a="1"/>
  <c r="O44" i="19" a="1"/>
  <c r="O123" i="19" a="1"/>
  <c r="T81" i="15" a="1"/>
  <c r="U57" i="46" a="1"/>
  <c r="E53" i="15" a="1"/>
  <c r="G46" i="19" a="1"/>
  <c r="F54" i="16" a="1"/>
  <c r="O63" i="16" a="1"/>
  <c r="S24" i="21" a="1"/>
  <c r="U60" i="16" a="1"/>
  <c r="R32" i="50" a="1"/>
  <c r="K81" i="46" a="1"/>
  <c r="E80" i="15" a="1"/>
  <c r="R62" i="17" a="1"/>
  <c r="P7" i="19" a="1"/>
  <c r="F22" i="19" a="1"/>
  <c r="H35" i="20" a="1"/>
  <c r="I55" i="20" a="1"/>
  <c r="E61" i="17" a="1"/>
  <c r="E8" i="50" a="1"/>
  <c r="K62" i="46" a="1"/>
  <c r="H13" i="46" a="1"/>
  <c r="J58" i="16" a="1"/>
  <c r="E46" i="20" a="1"/>
  <c r="E17" i="50" a="1"/>
  <c r="Y40" i="15" a="1"/>
  <c r="H10" i="46" a="1"/>
  <c r="J30" i="19" a="1"/>
  <c r="E44" i="17" a="1"/>
  <c r="I36" i="26" a="1"/>
  <c r="D39" i="20" a="1"/>
  <c r="I132" i="19" a="1"/>
  <c r="D28" i="50" a="1"/>
  <c r="E86" i="20" a="1"/>
  <c r="F26" i="15" a="1"/>
  <c r="E50" i="21" a="1"/>
  <c r="F57" i="17" a="1"/>
  <c r="E66" i="15" a="1"/>
  <c r="O33" i="16" a="1"/>
  <c r="D28" i="20" a="1"/>
  <c r="P61" i="16" a="1"/>
  <c r="I54" i="15" a="1"/>
  <c r="X73" i="16" a="1"/>
  <c r="H63" i="16" a="1"/>
  <c r="H55" i="17" a="1"/>
  <c r="G23" i="21" a="1"/>
  <c r="V38" i="26" a="1"/>
  <c r="F36" i="20" a="1"/>
  <c r="R26" i="46" a="1"/>
  <c r="R35" i="26" a="1"/>
  <c r="J45" i="46" a="1"/>
  <c r="R34" i="19" a="1"/>
  <c r="J57" i="46" a="1"/>
  <c r="F59" i="20" a="1"/>
  <c r="S59" i="19" a="1"/>
  <c r="G38" i="16" a="1"/>
  <c r="F55" i="15" a="1"/>
  <c r="P12" i="48" a="1"/>
  <c r="F59" i="46" a="1"/>
  <c r="V39" i="26" a="1"/>
  <c r="G51" i="15" a="1"/>
  <c r="X35" i="26" a="1"/>
  <c r="J59" i="19" a="1"/>
  <c r="O54" i="15" a="1"/>
  <c r="N44" i="26" a="1"/>
  <c r="F56" i="15" a="1"/>
  <c r="S113" i="19" a="1"/>
  <c r="H132" i="19" a="1"/>
  <c r="E26" i="19" a="1"/>
  <c r="H66" i="15" a="1"/>
  <c r="G15" i="48" a="1"/>
  <c r="G29" i="26" a="1"/>
  <c r="P87" i="15" a="1"/>
  <c r="D49" i="19" a="1"/>
  <c r="Q42" i="21" a="1"/>
  <c r="S78" i="15" a="1"/>
  <c r="O81" i="20" a="1"/>
  <c r="P110" i="19" a="1"/>
  <c r="D92" i="20" a="1"/>
  <c r="J97" i="15" a="1"/>
  <c r="T66" i="16" a="1"/>
  <c r="U65" i="46" a="1"/>
  <c r="O61" i="15" a="1"/>
  <c r="P51" i="15" a="1"/>
  <c r="S89" i="16" a="1"/>
  <c r="J140" i="19" a="1"/>
  <c r="R47" i="46" a="1"/>
  <c r="N40" i="26" a="1"/>
  <c r="F73" i="15" a="1"/>
  <c r="F16" i="19" a="1"/>
  <c r="J85" i="15" a="1"/>
  <c r="H13" i="20" a="1"/>
  <c r="Q71" i="20" a="1"/>
  <c r="R33" i="48" a="1"/>
  <c r="F55" i="46" a="1"/>
  <c r="D54" i="15" a="1"/>
  <c r="D90" i="16" a="1"/>
  <c r="N78" i="26" a="1"/>
  <c r="J40" i="17" a="1"/>
  <c r="F9" i="48" a="1"/>
  <c r="G140" i="19" a="1"/>
  <c r="Q19" i="20" a="1"/>
  <c r="E59" i="15" a="1"/>
  <c r="E42" i="48" a="1"/>
  <c r="N17" i="26" a="1"/>
  <c r="J18" i="21" a="1"/>
  <c r="I54" i="26" a="1"/>
  <c r="Q34" i="46" a="1"/>
  <c r="D13" i="20" a="1"/>
  <c r="S61" i="46" a="1"/>
  <c r="R44" i="19" a="1"/>
  <c r="H50" i="15" a="1"/>
  <c r="R26" i="20" a="1"/>
  <c r="Q108" i="19" a="1"/>
  <c r="J54" i="17" a="1"/>
  <c r="S26" i="21" a="1"/>
  <c r="E85" i="20" a="1"/>
  <c r="E77" i="16" a="1"/>
  <c r="E52" i="21" a="1"/>
  <c r="E103" i="20" a="1"/>
  <c r="R72" i="17" a="1"/>
  <c r="H72" i="15" a="1"/>
  <c r="E38" i="20" a="1"/>
  <c r="G71" i="26" a="1"/>
  <c r="R80" i="46" a="1"/>
  <c r="D58" i="19" a="1"/>
  <c r="E22" i="44" a="1"/>
  <c r="J29" i="46" a="1"/>
  <c r="R108" i="19" a="1"/>
  <c r="P122" i="46" a="1"/>
  <c r="Q28" i="48" a="1"/>
  <c r="H6" i="15" a="1"/>
  <c r="R129" i="19" a="1"/>
  <c r="F29" i="21" a="1"/>
  <c r="F47" i="17" a="1"/>
  <c r="Y35" i="15" a="1"/>
  <c r="D33" i="19" a="1"/>
  <c r="S13" i="20" a="1"/>
  <c r="J41" i="48" a="1"/>
  <c r="R38" i="19" a="1"/>
  <c r="J78" i="16" a="1"/>
  <c r="J42" i="46" a="1"/>
  <c r="Q47" i="21" a="1"/>
  <c r="D44" i="16" a="1"/>
  <c r="Z41" i="26" a="1"/>
  <c r="S101" i="20" a="1"/>
  <c r="S111" i="20" a="1"/>
  <c r="H8" i="20" a="1"/>
  <c r="P15" i="46" a="1"/>
  <c r="H15" i="44" a="1"/>
  <c r="G43" i="26" a="1"/>
  <c r="Q33" i="21" a="1"/>
  <c r="S84" i="20" a="1"/>
  <c r="H58" i="26" a="1"/>
  <c r="G71" i="20" a="1"/>
  <c r="G45" i="15" a="1"/>
  <c r="R31" i="46" a="1"/>
  <c r="E54" i="15" a="1"/>
  <c r="F33" i="46" a="1"/>
  <c r="N70" i="16" a="1"/>
  <c r="R38" i="46" a="1"/>
  <c r="I49" i="21" a="1"/>
  <c r="F81" i="20" a="1"/>
  <c r="T17" i="21" a="1"/>
  <c r="H70" i="26" a="1"/>
  <c r="H20" i="46" a="1"/>
  <c r="G133" i="19" a="1"/>
  <c r="P18" i="20" a="1"/>
  <c r="E42" i="17" a="1"/>
  <c r="D50" i="21" a="1"/>
  <c r="P11" i="50" a="1"/>
  <c r="G21" i="20" a="1"/>
  <c r="D37" i="50" a="1"/>
  <c r="P108" i="20" a="1"/>
  <c r="J66" i="46" a="1"/>
  <c r="X70" i="16" a="1"/>
  <c r="P30" i="26" a="1"/>
  <c r="J19" i="46" a="1"/>
  <c r="O58" i="16" a="1"/>
  <c r="G24" i="50" a="1"/>
  <c r="P82" i="20" a="1"/>
  <c r="K62" i="17" a="1"/>
  <c r="J65" i="26" a="1"/>
  <c r="E16" i="20" a="1"/>
  <c r="D58" i="16" a="1"/>
  <c r="J61" i="16" a="1"/>
  <c r="U60" i="46" a="1"/>
  <c r="J21" i="19" a="1"/>
  <c r="F35" i="15" a="1"/>
  <c r="D22" i="19" a="1"/>
  <c r="O80" i="20" a="1"/>
  <c r="D117" i="19" a="1"/>
  <c r="D23" i="26" a="1"/>
  <c r="O113" i="20" a="1"/>
  <c r="E41" i="50" a="1"/>
  <c r="G95" i="15" a="1"/>
  <c r="F98" i="16" a="1"/>
  <c r="G15" i="44" a="1"/>
  <c r="Q46" i="48" a="1"/>
  <c r="R7" i="50" a="1"/>
  <c r="G61" i="15" a="1"/>
  <c r="F27" i="20" a="1"/>
  <c r="V73" i="15" a="1"/>
  <c r="X95" i="15" a="1"/>
  <c r="J22" i="44" a="1"/>
  <c r="P59" i="19" a="1"/>
  <c r="P54" i="15" a="1"/>
  <c r="P27" i="20" a="1"/>
  <c r="P25" i="48" a="1"/>
  <c r="H55" i="15" a="1"/>
  <c r="R28" i="50" a="1"/>
  <c r="F58" i="46" a="1"/>
  <c r="J8" i="21" a="1"/>
  <c r="U86" i="15" a="1"/>
  <c r="H45" i="46" a="1"/>
  <c r="D69" i="17" a="1"/>
  <c r="Q9" i="20" a="1"/>
  <c r="X46" i="26" a="1"/>
  <c r="F38" i="50" a="1"/>
  <c r="U21" i="46" a="1"/>
  <c r="F35" i="19" a="1"/>
  <c r="I75" i="46" a="1"/>
  <c r="Q17" i="21" a="1"/>
  <c r="D59" i="16" a="1"/>
  <c r="H59" i="15" a="1"/>
  <c r="S42" i="21" a="1"/>
  <c r="G44" i="19" a="1"/>
  <c r="P38" i="48" a="1"/>
  <c r="H40" i="50" a="1"/>
  <c r="I96" i="16" a="1"/>
  <c r="R21" i="50" a="1"/>
  <c r="S91" i="15" a="1"/>
  <c r="W22" i="48" a="1"/>
  <c r="I63" i="26" a="1"/>
  <c r="G55" i="17" a="1"/>
  <c r="F14" i="48" a="1"/>
  <c r="F14" i="46" a="1"/>
  <c r="H36" i="21" a="1"/>
  <c r="D45" i="16" a="1"/>
  <c r="V13" i="16" a="1"/>
  <c r="F43" i="16" a="1"/>
  <c r="T48" i="46" a="1"/>
  <c r="R14" i="50" a="1"/>
  <c r="H75" i="20" a="1"/>
  <c r="J57" i="26" a="1"/>
  <c r="G87" i="20" a="1"/>
  <c r="S26" i="20" a="1"/>
  <c r="F69" i="15" a="1"/>
  <c r="R24" i="50" a="1"/>
  <c r="R75" i="20" a="1"/>
  <c r="N38" i="26" a="1"/>
  <c r="G46" i="20" a="1"/>
  <c r="L18" i="48" a="1"/>
  <c r="H93" i="16" a="1"/>
  <c r="J62" i="15" a="1"/>
  <c r="O16" i="20" a="1"/>
  <c r="F45" i="26" a="1"/>
  <c r="H44" i="19" a="1"/>
  <c r="G50" i="19" a="1"/>
  <c r="G57" i="16" a="1"/>
  <c r="H23" i="19" a="1"/>
  <c r="H19" i="21" a="1"/>
  <c r="E96" i="20" a="1"/>
  <c r="I9" i="21" a="1"/>
  <c r="Q33" i="48" a="1"/>
  <c r="D13" i="50" a="1"/>
  <c r="P30" i="19" a="1"/>
  <c r="G72" i="20" a="1"/>
  <c r="E51" i="21" a="1"/>
  <c r="G73" i="17" a="1"/>
  <c r="G27" i="19" a="1"/>
  <c r="F86" i="16" a="1"/>
  <c r="I24" i="48" a="1"/>
  <c r="R16" i="20" a="1"/>
  <c r="Q23" i="20" a="1"/>
  <c r="Y97" i="15" a="1"/>
  <c r="H98" i="16" a="1"/>
  <c r="Q40" i="19" a="1"/>
  <c r="D62" i="20" a="1"/>
  <c r="G62" i="16" a="1"/>
  <c r="D21" i="44" a="1"/>
  <c r="I31" i="50" a="1"/>
  <c r="O63" i="15" a="1"/>
  <c r="Q28" i="20" a="1"/>
  <c r="F42" i="46" a="1"/>
  <c r="F12" i="48" a="1"/>
  <c r="F59" i="17" a="1"/>
  <c r="I68" i="15" a="1"/>
  <c r="Y52" i="15" a="1"/>
  <c r="F84" i="20" a="1"/>
  <c r="F10" i="50" a="1"/>
  <c r="E70" i="17" a="1"/>
  <c r="G86" i="15" a="1"/>
  <c r="I102" i="16" a="1"/>
  <c r="O11" i="26" a="1"/>
  <c r="H45" i="15" a="1"/>
  <c r="P53" i="19" a="1"/>
  <c r="P127" i="19" a="1"/>
  <c r="F27" i="48" a="1"/>
  <c r="R30" i="46" a="1"/>
  <c r="N29" i="16" a="1"/>
  <c r="P73" i="16" a="1"/>
  <c r="I49" i="46" a="1"/>
  <c r="F15" i="44" a="1"/>
  <c r="U80" i="46" a="1"/>
  <c r="E104" i="20" a="1"/>
  <c r="E102" i="20" a="1"/>
  <c r="G11" i="50" a="1"/>
  <c r="P17" i="48" a="1"/>
  <c r="U63" i="46" a="1"/>
  <c r="J38" i="46" a="1"/>
  <c r="H42" i="16" a="1"/>
  <c r="H19" i="50" a="1"/>
  <c r="G42" i="16" a="1"/>
  <c r="F13" i="50" a="1"/>
  <c r="P19" i="46" a="1"/>
  <c r="I44" i="48" a="1"/>
  <c r="E98" i="16" a="1"/>
  <c r="I43" i="46" a="1"/>
  <c r="F117" i="46" a="1"/>
  <c r="S65" i="16" a="1"/>
  <c r="O53" i="16" a="1"/>
  <c r="R129" i="46" a="1"/>
  <c r="P35" i="26" a="1"/>
  <c r="J47" i="46" a="1"/>
  <c r="F13" i="20" a="1"/>
  <c r="K55" i="15" a="1"/>
  <c r="D24" i="50" a="1"/>
  <c r="G10" i="26" a="1"/>
  <c r="H97" i="15" a="1"/>
  <c r="E71" i="15" a="1"/>
  <c r="R40" i="46" a="1"/>
  <c r="Q39" i="48" a="1"/>
  <c r="H27" i="48" a="1"/>
  <c r="H100" i="16" a="1"/>
  <c r="F34" i="50" a="1"/>
  <c r="I44" i="15" a="1"/>
  <c r="Y29" i="26" a="1"/>
  <c r="L9" i="48" a="1"/>
  <c r="R7" i="20" a="1"/>
  <c r="G19" i="44" a="1"/>
  <c r="S43" i="20" a="1"/>
  <c r="G63" i="17" a="1"/>
  <c r="N62" i="26" a="1"/>
  <c r="Q72" i="46" a="1"/>
  <c r="E72" i="16" a="1"/>
  <c r="F66" i="16" a="1"/>
  <c r="E23" i="26" a="1"/>
  <c r="I46" i="19" a="1"/>
  <c r="F107" i="20" a="1"/>
  <c r="I37" i="19" a="1"/>
  <c r="H76" i="46" a="1"/>
  <c r="G25" i="20" a="1"/>
  <c r="I22" i="46" a="1"/>
  <c r="J81" i="26" a="1"/>
  <c r="X42" i="15" a="1"/>
  <c r="F97" i="16" a="1"/>
  <c r="P31" i="48" a="1"/>
  <c r="D16" i="16" a="1"/>
  <c r="J41" i="46" a="1"/>
  <c r="S53" i="15" a="1"/>
  <c r="K50" i="15" a="1"/>
  <c r="D60" i="26" a="1"/>
  <c r="J16" i="26" a="1"/>
  <c r="J12" i="21" a="1"/>
  <c r="O27" i="19" a="1"/>
  <c r="I10" i="19" a="1"/>
  <c r="V50" i="15" a="1"/>
  <c r="Y44" i="15" a="1"/>
  <c r="F40" i="19" a="1"/>
  <c r="R31" i="26" a="1"/>
  <c r="S54" i="21" a="1"/>
  <c r="F52" i="19" a="1"/>
  <c r="I15" i="46" a="1"/>
  <c r="P108" i="19" a="1"/>
  <c r="H111" i="19" a="1"/>
  <c r="H15" i="48" a="1"/>
  <c r="G33" i="20" a="1"/>
  <c r="Q87" i="46" a="1"/>
  <c r="P84" i="20" a="1"/>
  <c r="E60" i="16" a="1"/>
  <c r="I114" i="19" a="1"/>
  <c r="Q45" i="26" a="1"/>
  <c r="U70" i="15" a="1"/>
  <c r="D113" i="19" a="1"/>
  <c r="P114" i="20" a="1"/>
  <c r="D135" i="19" a="1"/>
  <c r="H31" i="46" a="1"/>
  <c r="I70" i="26" a="1"/>
  <c r="R36" i="50" a="1"/>
  <c r="U129" i="46" a="1"/>
  <c r="S11" i="21" a="1"/>
  <c r="D14" i="19" a="1"/>
  <c r="T38" i="21" a="1"/>
  <c r="G127" i="19" a="1"/>
  <c r="Q116" i="19" a="1"/>
  <c r="F74" i="16" a="1"/>
  <c r="F57" i="16" a="1"/>
  <c r="J29" i="26" a="1"/>
  <c r="D112" i="19" a="1"/>
  <c r="S96" i="20" a="1"/>
  <c r="U61" i="15" a="1"/>
  <c r="I47" i="46" a="1"/>
  <c r="J60" i="16" a="1"/>
  <c r="T81" i="16" a="1"/>
  <c r="F114" i="20" a="1"/>
  <c r="S72" i="16" a="1"/>
  <c r="D65" i="26" a="1"/>
  <c r="K22" i="44" a="1"/>
  <c r="J39" i="46" a="1"/>
  <c r="Q59" i="19" a="1"/>
  <c r="S49" i="20" a="1"/>
  <c r="F31" i="26" a="1"/>
  <c r="O77" i="26" a="1"/>
  <c r="D57" i="16" a="1"/>
  <c r="R13" i="48" a="1"/>
  <c r="I16" i="46" a="1"/>
  <c r="S76" i="20" a="1"/>
  <c r="F18" i="16" a="1"/>
  <c r="F118" i="19" a="1"/>
  <c r="F14" i="19" a="1"/>
  <c r="Q17" i="48" a="1"/>
  <c r="X96" i="16" a="1"/>
  <c r="H71" i="15" a="1"/>
  <c r="P28" i="46" a="1"/>
  <c r="R22" i="20" a="1"/>
  <c r="I32" i="50" a="1"/>
  <c r="R68" i="20" a="1"/>
  <c r="W7" i="16" a="1"/>
  <c r="J73" i="16" a="1"/>
  <c r="H133" i="19" a="1"/>
  <c r="S102" i="16" a="1"/>
  <c r="D20" i="44" a="1"/>
  <c r="E18" i="48" a="1"/>
  <c r="Q29" i="26" a="1"/>
  <c r="D85" i="16" a="1"/>
  <c r="Q23" i="21" a="1"/>
  <c r="R18" i="19" a="1"/>
  <c r="G18" i="19" a="1"/>
  <c r="U10" i="46" a="1"/>
  <c r="X45" i="16" a="1"/>
  <c r="G32" i="50" a="1"/>
  <c r="Q8" i="19" a="1"/>
  <c r="H57" i="17" a="1"/>
  <c r="O18" i="19" a="1"/>
  <c r="D10" i="20" a="1"/>
  <c r="F17" i="21" a="1"/>
  <c r="X11" i="16" a="1"/>
  <c r="O42" i="19" a="1"/>
  <c r="R19" i="19" a="1"/>
  <c r="R10" i="20" a="1"/>
  <c r="H40" i="19" a="1"/>
  <c r="H76" i="26" a="1"/>
  <c r="F87" i="16" a="1"/>
  <c r="I53" i="16" a="1"/>
  <c r="F137" i="19" a="1"/>
  <c r="I73" i="15" a="1"/>
  <c r="D80" i="16" a="1"/>
  <c r="J25" i="21" a="1"/>
  <c r="I40" i="46" a="1"/>
  <c r="P18" i="19" a="1"/>
  <c r="W41" i="26" a="1"/>
  <c r="P68" i="15" a="1"/>
  <c r="E18" i="20" a="1"/>
  <c r="H41" i="19" a="1"/>
  <c r="S66" i="15" a="1"/>
  <c r="P64" i="20" a="1"/>
  <c r="L24" i="48" a="1"/>
  <c r="Q14" i="46" a="1"/>
  <c r="J56" i="16" a="1"/>
  <c r="H69" i="15" a="1"/>
  <c r="O75" i="20" a="1"/>
  <c r="E71" i="26" a="1"/>
  <c r="G78" i="26" a="1"/>
  <c r="P52" i="15" a="1"/>
  <c r="R43" i="26" a="1"/>
  <c r="Q51" i="15" a="1"/>
  <c r="G97" i="16" a="1"/>
  <c r="Q73" i="46" a="1"/>
  <c r="E16" i="26" a="1"/>
  <c r="R30" i="19" a="1"/>
  <c r="F28" i="20" a="1"/>
  <c r="G59" i="19" a="1"/>
  <c r="I32" i="46" a="1"/>
  <c r="I68" i="17" a="1"/>
  <c r="Q17" i="19" a="1"/>
  <c r="G69" i="17" a="1"/>
  <c r="G81" i="26" a="1"/>
  <c r="O63" i="26" a="1"/>
  <c r="H113" i="19" a="1"/>
  <c r="I39" i="21" a="1"/>
  <c r="E19" i="21" a="1"/>
  <c r="D10" i="50" a="1"/>
  <c r="Q30" i="21" a="1"/>
  <c r="E93" i="20" a="1"/>
  <c r="G79" i="16" a="1"/>
  <c r="P9" i="46" a="1"/>
  <c r="I14" i="21" a="1"/>
  <c r="H44" i="48" a="1"/>
  <c r="I92" i="15" a="1"/>
  <c r="D18" i="26" a="1"/>
  <c r="H52" i="46" a="1"/>
  <c r="Q40" i="26" a="1"/>
  <c r="S90" i="20" a="1"/>
  <c r="Q109" i="19" a="1"/>
  <c r="I69" i="16" a="1"/>
  <c r="F99" i="16" a="1"/>
  <c r="D99" i="20" a="1"/>
  <c r="S92" i="20" a="1"/>
  <c r="S36" i="16" a="1"/>
  <c r="T60" i="16" a="1"/>
  <c r="J20" i="48" a="1"/>
  <c r="Q31" i="19" a="1"/>
  <c r="R43" i="20" a="1"/>
  <c r="J89" i="16" a="1"/>
  <c r="X56" i="16" a="1"/>
  <c r="I42" i="19" a="1"/>
  <c r="H136" i="19" a="1"/>
  <c r="Q16" i="46" a="1"/>
  <c r="E7" i="44" a="1"/>
  <c r="Q87" i="20" a="1"/>
  <c r="F22" i="26" a="1"/>
  <c r="R70" i="46" a="1"/>
  <c r="F55" i="16" a="1"/>
  <c r="G54" i="15" a="1"/>
  <c r="S31" i="21" a="1"/>
  <c r="F80" i="46" a="1"/>
  <c r="V26" i="16" a="1"/>
  <c r="G8" i="19" a="1"/>
  <c r="H43" i="19" a="1"/>
  <c r="O79" i="26" a="1"/>
  <c r="J22" i="26" a="1"/>
  <c r="S77" i="20" a="1"/>
  <c r="G94" i="16" a="1"/>
  <c r="R34" i="26" a="1"/>
  <c r="S114" i="19" a="1"/>
  <c r="J14" i="48" a="1"/>
  <c r="Q37" i="48" a="1"/>
  <c r="R39" i="20" a="1"/>
  <c r="H26" i="19" a="1"/>
  <c r="S33" i="26" a="1"/>
  <c r="P47" i="19" a="1"/>
  <c r="O28" i="20" a="1"/>
  <c r="E17" i="19" a="1"/>
  <c r="K15" i="44" a="1"/>
  <c r="G79" i="15" a="1"/>
  <c r="F58" i="19" a="1"/>
  <c r="H128" i="46" a="1"/>
  <c r="H71" i="17" a="1"/>
  <c r="P78" i="16" a="1"/>
  <c r="E22" i="19" a="1"/>
  <c r="Q16" i="48" a="1"/>
  <c r="J18" i="19" a="1"/>
  <c r="F86" i="46" a="1"/>
  <c r="J33" i="46" a="1"/>
  <c r="G73" i="16" a="1"/>
  <c r="P120" i="46" a="1"/>
  <c r="J74" i="16" a="1"/>
  <c r="Q21" i="20" a="1"/>
  <c r="G46" i="16" a="1"/>
  <c r="P37" i="50" a="1"/>
  <c r="D109" i="20" a="1"/>
  <c r="W8" i="16" a="1"/>
  <c r="E10" i="50" a="1"/>
  <c r="J80" i="26" a="1"/>
  <c r="U120" i="46" a="1"/>
  <c r="Q29" i="48" a="1"/>
  <c r="O79" i="16" a="1"/>
  <c r="P104" i="20" a="1"/>
  <c r="Q122" i="19" a="1"/>
  <c r="Y28" i="15" a="1"/>
  <c r="F65" i="16" a="1"/>
  <c r="K41" i="46" a="1"/>
  <c r="P50" i="19" a="1"/>
  <c r="R8" i="46" a="1"/>
  <c r="Q127" i="19" a="1"/>
  <c r="P13" i="46" a="1"/>
  <c r="F19" i="50" a="1"/>
  <c r="R10" i="48" a="1"/>
  <c r="H90" i="15" a="1"/>
  <c r="J50" i="46" a="1"/>
  <c r="S18" i="19" a="1"/>
  <c r="F52" i="15" a="1"/>
  <c r="R41" i="19" a="1"/>
  <c r="G24" i="48" a="1"/>
  <c r="H6" i="46" a="1"/>
  <c r="G47" i="15" a="1"/>
  <c r="D36" i="50" a="1"/>
  <c r="I58" i="19" a="1"/>
  <c r="F23" i="46" a="1"/>
  <c r="Q29" i="46" a="1"/>
  <c r="X88" i="16" a="1"/>
  <c r="T26" i="21" a="1"/>
  <c r="J21" i="26" a="1"/>
  <c r="S66" i="16" a="1"/>
  <c r="D22" i="21" a="1"/>
  <c r="G42" i="19" a="1"/>
  <c r="E25" i="20" a="1"/>
  <c r="H52" i="16" a="1"/>
  <c r="F67" i="20" a="1"/>
  <c r="U27" i="46" a="1"/>
  <c r="E79" i="16" a="1"/>
  <c r="Q43" i="21" a="1"/>
  <c r="F111" i="20" a="1"/>
  <c r="J46" i="17" a="1"/>
  <c r="S33" i="50" a="1"/>
  <c r="E57" i="16" a="1"/>
  <c r="S19" i="19" a="1"/>
  <c r="E41" i="48" a="1"/>
  <c r="S58" i="20" a="1"/>
  <c r="J115" i="19" a="1"/>
  <c r="I107" i="19" a="1"/>
  <c r="H54" i="15" a="1"/>
  <c r="I45" i="46" a="1"/>
  <c r="U31" i="26" a="1"/>
  <c r="P66" i="46" a="1"/>
  <c r="R47" i="19" a="1"/>
  <c r="S59" i="16" a="1"/>
  <c r="D74" i="20" a="1"/>
  <c r="N14" i="26" a="1"/>
  <c r="E84" i="16" a="1"/>
  <c r="E59" i="16" a="1"/>
  <c r="V58" i="15" a="1"/>
  <c r="Z44" i="26" a="1"/>
  <c r="F45" i="15" a="1"/>
  <c r="I14" i="19" a="1"/>
  <c r="R112" i="20" a="1"/>
  <c r="N62" i="16" a="1"/>
  <c r="P46" i="20" a="1"/>
  <c r="I46" i="16" a="1"/>
  <c r="F37" i="26" a="1"/>
  <c r="R95" i="20" a="1"/>
  <c r="S29" i="20" a="1"/>
  <c r="P128" i="19" a="1"/>
  <c r="F21" i="19" a="1"/>
  <c r="I13" i="21" a="1"/>
  <c r="Y91" i="15" a="1"/>
  <c r="K76" i="46" a="1"/>
  <c r="G54" i="20" a="1"/>
  <c r="F77" i="26" a="1"/>
  <c r="J52" i="21" a="1"/>
  <c r="S45" i="20" a="1"/>
  <c r="K53" i="46" a="1"/>
  <c r="H9" i="26" a="1"/>
  <c r="H46" i="46" a="1"/>
  <c r="P64" i="16" a="1"/>
  <c r="H69" i="16" a="1"/>
  <c r="G44" i="26" a="1"/>
  <c r="R10" i="19" a="1"/>
  <c r="N41" i="26" a="1"/>
  <c r="S83" i="15" a="1"/>
  <c r="H56" i="19" a="1"/>
  <c r="Y45" i="15" a="1"/>
  <c r="O55" i="16" a="1"/>
  <c r="D95" i="20" a="1"/>
  <c r="E39" i="19" a="1"/>
  <c r="J11" i="46" a="1"/>
  <c r="K23" i="44" a="1"/>
  <c r="P15" i="48" a="1"/>
  <c r="J39" i="17" a="1"/>
  <c r="P12" i="50" a="1"/>
  <c r="Z29" i="26" a="1"/>
  <c r="J69" i="46" a="1"/>
  <c r="G37" i="26" a="1"/>
  <c r="G9" i="50" a="1"/>
  <c r="I22" i="20" a="1"/>
  <c r="G50" i="21" a="1"/>
  <c r="V17" i="16" a="1"/>
  <c r="E21" i="19" a="1"/>
  <c r="G77" i="16" a="1"/>
  <c r="H89" i="46" a="1"/>
  <c r="D56" i="19" a="1"/>
  <c r="G30" i="26" a="1"/>
  <c r="G19" i="50" a="1"/>
  <c r="G84" i="20" a="1"/>
  <c r="J63" i="46" a="1"/>
  <c r="E51" i="19" a="1"/>
  <c r="E24" i="26" a="1"/>
  <c r="H142" i="19" a="1"/>
  <c r="R27" i="19" a="1"/>
  <c r="Q52" i="46" a="1"/>
  <c r="K44" i="15" a="1"/>
  <c r="T45" i="21" a="1"/>
  <c r="D84" i="16" a="1"/>
  <c r="E133" i="19" a="1"/>
  <c r="H57" i="16" a="1"/>
  <c r="I79" i="15" a="1"/>
  <c r="I14" i="46" a="1"/>
  <c r="G12" i="46" a="1"/>
  <c r="O23" i="20" a="1"/>
  <c r="J133" i="19" a="1"/>
  <c r="K67" i="46" a="1"/>
  <c r="G7" i="48" a="1"/>
  <c r="F55" i="17" a="1"/>
  <c r="H32" i="50" a="1"/>
  <c r="Q47" i="19" a="1"/>
  <c r="E78" i="26" a="1"/>
  <c r="G56" i="16" a="1"/>
  <c r="E10" i="21" a="1"/>
  <c r="I54" i="17" a="1"/>
  <c r="F95" i="16" a="1"/>
  <c r="T40" i="15" a="1"/>
  <c r="O18" i="20" a="1"/>
  <c r="P45" i="15" a="1"/>
  <c r="J14" i="50" a="1"/>
  <c r="J9" i="50" a="1"/>
  <c r="I35" i="46" a="1"/>
  <c r="Q34" i="21" a="1"/>
  <c r="J28" i="48" a="1"/>
  <c r="K60" i="46" a="1"/>
  <c r="F66" i="17" a="1"/>
  <c r="F38" i="21" a="1"/>
  <c r="I41" i="50" a="1"/>
  <c r="U16" i="46" a="1"/>
  <c r="O34" i="19" a="1"/>
  <c r="E24" i="50" a="1"/>
  <c r="J45" i="16" a="1"/>
  <c r="P10" i="20" a="1"/>
  <c r="P24" i="46" a="1"/>
  <c r="D21" i="19" a="1"/>
  <c r="J76" i="15" a="1"/>
  <c r="E53" i="16" a="1"/>
  <c r="R24" i="46" a="1"/>
  <c r="D8" i="50" a="1"/>
  <c r="S18" i="20" a="1"/>
  <c r="W8" i="44" a="1"/>
  <c r="Y87" i="15" a="1"/>
  <c r="F25" i="46" a="1"/>
  <c r="G83" i="20" a="1"/>
  <c r="D103" i="16" a="1"/>
  <c r="F123" i="46" a="1"/>
  <c r="H94" i="16" a="1"/>
  <c r="G61" i="17" a="1"/>
  <c r="O82" i="20" a="1"/>
  <c r="P69" i="15" a="1"/>
  <c r="J40" i="46" a="1"/>
  <c r="J59" i="26" a="1"/>
  <c r="J34" i="46" a="1"/>
  <c r="I15" i="48" a="1"/>
  <c r="H73" i="46" a="1"/>
  <c r="R73" i="20" a="1"/>
  <c r="I9" i="44" a="1"/>
  <c r="G43" i="21" a="1"/>
  <c r="H124" i="19" a="1"/>
  <c r="J80" i="15" a="1"/>
  <c r="G24" i="46" a="1"/>
  <c r="G58" i="16" a="1"/>
  <c r="D25" i="19" a="1"/>
  <c r="U55" i="15" a="1"/>
  <c r="F126" i="19" a="1"/>
  <c r="S42" i="16" a="1"/>
  <c r="I59" i="17" a="1"/>
  <c r="I23" i="44" a="1"/>
  <c r="I89" i="46" a="1"/>
  <c r="G61" i="26" a="1"/>
  <c r="H52" i="21" a="1"/>
  <c r="I19" i="46" a="1"/>
  <c r="F18" i="26" a="1"/>
  <c r="K13" i="46" a="1"/>
  <c r="I117" i="19" a="1"/>
  <c r="D11" i="50" a="1"/>
  <c r="E11" i="20" a="1"/>
  <c r="E8" i="20" a="1"/>
  <c r="O113" i="19" a="1"/>
  <c r="T58" i="16" a="1"/>
  <c r="D20" i="20" a="1"/>
  <c r="H91" i="15" a="1"/>
  <c r="I90" i="16" a="1"/>
  <c r="X98" i="16" a="1"/>
  <c r="I41" i="17" a="1"/>
  <c r="F124" i="19" a="1"/>
  <c r="S47" i="20" a="1"/>
  <c r="I58" i="46" a="1"/>
  <c r="E90" i="15" a="1"/>
  <c r="J120" i="19" a="1"/>
  <c r="X32" i="26" a="1"/>
  <c r="Q26" i="46" a="1"/>
  <c r="G15" i="19" a="1"/>
  <c r="K36" i="48" a="1"/>
  <c r="F44" i="21" a="1"/>
  <c r="J23" i="21" a="1"/>
  <c r="T19" i="21" a="1"/>
  <c r="E100" i="20" a="1"/>
  <c r="X40" i="15" a="1"/>
  <c r="R27" i="46" a="1"/>
  <c r="E22" i="48" a="1"/>
  <c r="S12" i="19" a="1"/>
  <c r="D10" i="19" a="1"/>
  <c r="F8" i="26" a="1"/>
  <c r="D39" i="16" a="1"/>
  <c r="H41" i="46" a="1"/>
  <c r="N33" i="16" a="1"/>
  <c r="S36" i="26" a="1"/>
  <c r="O8" i="19" a="1"/>
  <c r="D118" i="19" a="1"/>
  <c r="D18" i="16" a="1"/>
  <c r="G49" i="15" a="1"/>
  <c r="R37" i="50" a="1"/>
  <c r="P13" i="50" a="1"/>
  <c r="T70" i="16" a="1"/>
  <c r="E73" i="17" a="1"/>
  <c r="F35" i="20" a="1"/>
  <c r="R100" i="20" a="1"/>
  <c r="S89" i="20" a="1"/>
  <c r="D108" i="20" a="1"/>
  <c r="E31" i="48" a="1"/>
  <c r="J131" i="19" a="1"/>
  <c r="I28" i="48" a="1"/>
  <c r="I55" i="19" a="1"/>
  <c r="U78" i="16" a="1"/>
  <c r="H45" i="21" a="1"/>
  <c r="H77" i="20" a="1"/>
  <c r="J113" i="19" a="1"/>
  <c r="X13" i="16" a="1"/>
  <c r="F38" i="16" a="1"/>
  <c r="I81" i="26" a="1"/>
  <c r="J11" i="21" a="1"/>
  <c r="O86" i="20" a="1"/>
  <c r="G42" i="17" a="1"/>
  <c r="H34" i="19" a="1"/>
  <c r="P20" i="20" a="1"/>
  <c r="F34" i="19" a="1"/>
  <c r="G33" i="19" a="1"/>
  <c r="S96" i="16" a="1"/>
  <c r="S13" i="50" a="1"/>
  <c r="F41" i="46" a="1"/>
  <c r="J54" i="15" a="1"/>
  <c r="D42" i="21" a="1"/>
  <c r="H38" i="48" a="1"/>
  <c r="J72" i="15" a="1"/>
  <c r="J26" i="48" a="1"/>
  <c r="G80" i="16" a="1"/>
  <c r="W25" i="16" a="1"/>
  <c r="R51" i="19" a="1"/>
  <c r="G92" i="16" a="1"/>
  <c r="F38" i="46" a="1"/>
  <c r="P48" i="20" a="1"/>
  <c r="S35" i="21" a="1"/>
  <c r="X67" i="16" a="1"/>
  <c r="F13" i="16" a="1"/>
  <c r="F67" i="46" a="1"/>
  <c r="Y70" i="15" a="1"/>
  <c r="H34" i="21" a="1"/>
  <c r="I25" i="46" a="1"/>
  <c r="J40" i="50" a="1"/>
  <c r="S64" i="15" a="1"/>
  <c r="F44" i="19" a="1"/>
  <c r="H80" i="46" a="1"/>
  <c r="F109" i="19" a="1"/>
  <c r="Q69" i="46" a="1"/>
  <c r="S95" i="15" a="1"/>
  <c r="S72" i="15" a="1"/>
  <c r="Q126" i="46" a="1"/>
  <c r="Z7" i="44" a="1"/>
  <c r="J51" i="21" a="1"/>
  <c r="R8" i="19" a="1"/>
  <c r="I47" i="20" a="1"/>
  <c r="I72" i="46" a="1"/>
  <c r="H59" i="20" a="1"/>
  <c r="E23" i="44" a="1"/>
  <c r="H12" i="21" a="1"/>
  <c r="I46" i="26" a="1"/>
  <c r="Q51" i="19" a="1"/>
  <c r="P36" i="50" a="1"/>
  <c r="F55" i="19" a="1"/>
  <c r="I109" i="19" a="1"/>
  <c r="R52" i="19" a="1"/>
  <c r="D46" i="19" a="1"/>
  <c r="F35" i="26" a="1"/>
  <c r="D16" i="26" a="1"/>
  <c r="E9" i="50" a="1"/>
  <c r="P43" i="19" a="1"/>
  <c r="J15" i="46" a="1"/>
  <c r="S24" i="50" a="1"/>
  <c r="Q31" i="46" a="1"/>
  <c r="F53" i="16" a="1"/>
  <c r="D54" i="19" a="1"/>
  <c r="K83" i="15" a="1"/>
  <c r="S8" i="50" a="1"/>
  <c r="Q84" i="20" a="1"/>
  <c r="T40" i="21" a="1"/>
  <c r="J10" i="50" a="1"/>
  <c r="H75" i="26" a="1"/>
  <c r="AA9" i="44" a="1"/>
  <c r="R45" i="26" a="1"/>
  <c r="Q75" i="20" a="1"/>
  <c r="X41" i="26" a="1"/>
  <c r="G102" i="16" a="1"/>
  <c r="T30" i="26" a="1"/>
  <c r="H34" i="20" a="1"/>
  <c r="E46" i="48" a="1"/>
  <c r="F33" i="20" a="1"/>
  <c r="I43" i="17" a="1"/>
  <c r="F31" i="50" a="1"/>
  <c r="Q42" i="46" a="1"/>
  <c r="N67" i="16" a="1"/>
  <c r="Q7" i="48" a="1"/>
  <c r="Q22" i="20" a="1"/>
  <c r="U87" i="46" a="1"/>
  <c r="E47" i="19" a="1"/>
  <c r="W12" i="48" a="1"/>
  <c r="S119" i="19" a="1"/>
  <c r="Q41" i="26" a="1"/>
  <c r="P58" i="19" a="1"/>
  <c r="D66" i="16" a="1"/>
  <c r="T14" i="21" a="1"/>
  <c r="S43" i="21" a="1"/>
  <c r="N81" i="26" a="1"/>
  <c r="G20" i="50" a="1"/>
  <c r="G22" i="19" a="1"/>
  <c r="J25" i="48" a="1"/>
  <c r="H35" i="21" a="1"/>
  <c r="I99" i="16" a="1"/>
  <c r="S95" i="20" a="1"/>
  <c r="O111" i="19" a="1"/>
  <c r="P57" i="19" a="1"/>
  <c r="P114" i="19" a="1"/>
  <c r="I29" i="26" a="1"/>
  <c r="J71" i="26" a="1"/>
  <c r="S128" i="19" a="1"/>
  <c r="F11" i="20" a="1"/>
  <c r="R20" i="20" a="1"/>
  <c r="Q77" i="46" a="1"/>
  <c r="R18" i="20" a="1"/>
  <c r="K56" i="15" a="1"/>
  <c r="P66" i="15" a="1"/>
  <c r="K63" i="46" a="1"/>
  <c r="H107" i="19" a="1"/>
  <c r="J9" i="26" a="1"/>
  <c r="E67" i="16" a="1"/>
  <c r="R111" i="19" a="1"/>
  <c r="K40" i="48" a="1"/>
  <c r="H73" i="15" a="1"/>
  <c r="E28" i="48" a="1"/>
  <c r="D24" i="26" a="1"/>
  <c r="X48" i="15" a="1"/>
  <c r="J45" i="21" a="1"/>
  <c r="Z15" i="44" a="1"/>
  <c r="P8" i="20" a="1"/>
  <c r="U68" i="15" a="1"/>
  <c r="I129" i="46" a="1"/>
  <c r="J71" i="15" a="1"/>
  <c r="F71" i="16" a="1"/>
  <c r="Q39" i="46" a="1"/>
  <c r="F75" i="26" a="1"/>
  <c r="G19" i="20" a="1"/>
  <c r="D14" i="26" a="1"/>
  <c r="H42" i="21" a="1"/>
  <c r="F19" i="46" a="1"/>
  <c r="R71" i="46" a="1"/>
  <c r="J21" i="44" a="1"/>
  <c r="I94" i="16" a="1"/>
  <c r="E84" i="15" a="1"/>
  <c r="I50" i="46" a="1"/>
  <c r="S36" i="19" a="1"/>
  <c r="S108" i="19" a="1"/>
  <c r="D54" i="26" a="1"/>
  <c r="F45" i="46" a="1"/>
  <c r="E137" i="19" a="1"/>
  <c r="H94" i="15" a="1"/>
  <c r="S104" i="20" a="1"/>
  <c r="I63" i="15" a="1"/>
  <c r="F102" i="16" a="1"/>
  <c r="S91" i="16" a="1"/>
  <c r="P38" i="26" a="1"/>
  <c r="P36" i="20" a="1"/>
  <c r="J39" i="21" a="1"/>
  <c r="H61" i="15" a="1"/>
  <c r="H53" i="15" a="1"/>
  <c r="I23" i="46" a="1"/>
  <c r="F66" i="20" a="1"/>
  <c r="E14" i="44" a="1"/>
  <c r="E94" i="15" a="1"/>
  <c r="I136" i="19" a="1"/>
  <c r="D21" i="16" a="1"/>
  <c r="F93" i="16" a="1"/>
  <c r="G21" i="44" a="1"/>
  <c r="R36" i="19" a="1"/>
  <c r="P23" i="19" a="1"/>
  <c r="R124" i="19" a="1"/>
  <c r="H8" i="26" a="1"/>
  <c r="R46" i="26" a="1"/>
  <c r="G127" i="46" a="1"/>
  <c r="F33" i="15" a="1"/>
  <c r="G68" i="20" a="1"/>
  <c r="H23" i="26" a="1"/>
  <c r="R25" i="19" a="1"/>
  <c r="E22" i="50" a="1"/>
  <c r="G64" i="15" a="1"/>
  <c r="G14" i="50" a="1"/>
  <c r="R111" i="20" a="1"/>
  <c r="D60" i="17" a="1"/>
  <c r="G33" i="26" a="1"/>
  <c r="G58" i="46" a="1"/>
  <c r="D68" i="20" a="1"/>
  <c r="F12" i="46" a="1"/>
  <c r="T71" i="46" a="1"/>
  <c r="G96" i="15" a="1"/>
  <c r="K7" i="44" a="1"/>
  <c r="Q18" i="19" a="1"/>
  <c r="G42" i="46" a="1"/>
  <c r="F75" i="16" a="1"/>
  <c r="G31" i="46" a="1"/>
  <c r="H47" i="15" a="1"/>
  <c r="E78" i="15" a="1"/>
  <c r="P74" i="20" a="1"/>
  <c r="S54" i="20" a="1"/>
  <c r="F50" i="46" a="1"/>
  <c r="H72" i="20" a="1"/>
  <c r="E14" i="19" a="1"/>
  <c r="F29" i="48" a="1"/>
  <c r="I90" i="15" a="1"/>
  <c r="F77" i="15" a="1"/>
  <c r="V52" i="15" a="1"/>
  <c r="E101" i="16" a="1"/>
  <c r="P100" i="20" a="1"/>
  <c r="H68" i="20" a="1"/>
  <c r="H56" i="15" a="1"/>
  <c r="P62" i="20" a="1"/>
  <c r="J99" i="16" a="1"/>
  <c r="W34" i="26" a="1"/>
  <c r="G66" i="46" a="1"/>
  <c r="P69" i="20" a="1"/>
  <c r="O55" i="15" a="1"/>
  <c r="H30" i="48" a="1"/>
  <c r="F22" i="46" a="1"/>
  <c r="E78" i="16" a="1"/>
  <c r="D53" i="20" a="1"/>
  <c r="X36" i="26" a="1"/>
  <c r="J14" i="19" a="1"/>
  <c r="I33" i="48" a="1"/>
  <c r="E63" i="20" a="1"/>
  <c r="T17" i="15" a="1"/>
  <c r="D79" i="26" a="1"/>
  <c r="E48" i="19" a="1"/>
  <c r="H120" i="19" a="1"/>
  <c r="G108" i="19" a="1"/>
  <c r="F65" i="20" a="1"/>
  <c r="J93" i="15" a="1"/>
  <c r="E87" i="16" a="1"/>
  <c r="G55" i="16" a="1"/>
  <c r="G42" i="21" a="1"/>
  <c r="L37" i="48" a="1"/>
  <c r="G14" i="20" a="1"/>
  <c r="J69" i="17" a="1"/>
  <c r="G52" i="20" a="1"/>
  <c r="K44" i="17" a="1"/>
  <c r="S55" i="19" a="1"/>
  <c r="S45" i="15" a="1"/>
  <c r="T78" i="15" a="1"/>
  <c r="D84" i="20" a="1"/>
  <c r="X43" i="16" a="1"/>
  <c r="V83" i="15" a="1"/>
  <c r="E67" i="15" a="1"/>
  <c r="H15" i="21" a="1"/>
  <c r="S19" i="21" a="1"/>
  <c r="G34" i="26" a="1"/>
  <c r="R25" i="48" a="1"/>
  <c r="H82" i="15" a="1"/>
  <c r="D58" i="17" a="1"/>
  <c r="W21" i="48" a="1"/>
  <c r="F59" i="19" a="1"/>
  <c r="G71" i="16" a="1"/>
  <c r="Q53" i="21" a="1"/>
  <c r="F7" i="44" a="1"/>
  <c r="G38" i="20" a="1"/>
  <c r="O60" i="26" a="1"/>
  <c r="I39" i="46" a="1"/>
  <c r="Q36" i="19" a="1"/>
  <c r="H67" i="15" a="1"/>
  <c r="R88" i="46" a="1"/>
  <c r="P69" i="16" a="1"/>
  <c r="J57" i="19" a="1"/>
  <c r="H37" i="50" a="1"/>
  <c r="K27" i="46" a="1"/>
  <c r="I56" i="46" a="1"/>
  <c r="X48" i="16" a="1"/>
  <c r="S17" i="19" a="1"/>
  <c r="T43" i="26" a="1"/>
  <c r="S41" i="46" a="1"/>
  <c r="R57" i="19" a="1"/>
  <c r="P36" i="48" a="1"/>
  <c r="F44" i="48" a="1"/>
  <c r="I38" i="48" a="1"/>
  <c r="F94" i="15" a="1"/>
  <c r="F16" i="15" a="1"/>
  <c r="P16" i="46" a="1"/>
  <c r="I22" i="21" a="1"/>
  <c r="I55" i="15" a="1"/>
  <c r="H81" i="16" a="1"/>
  <c r="N57" i="26" a="1"/>
  <c r="J44" i="16" a="1"/>
  <c r="Q11" i="21" a="1"/>
  <c r="I30" i="19" a="1"/>
  <c r="U64" i="46" a="1"/>
  <c r="R101" i="20" a="1"/>
  <c r="H32" i="46" a="1"/>
  <c r="J11" i="50" a="1"/>
  <c r="J49" i="19" a="1"/>
  <c r="F128" i="46" a="1"/>
  <c r="Q15" i="20" a="1"/>
  <c r="K66" i="17" a="1"/>
  <c r="I40" i="26" a="1"/>
  <c r="F70" i="15" a="1"/>
  <c r="H64" i="17" a="1"/>
  <c r="I11" i="50" a="1"/>
  <c r="G49" i="46" a="1"/>
  <c r="H56" i="16" a="1"/>
  <c r="J89" i="15" a="1"/>
  <c r="H119" i="19" a="1"/>
  <c r="F64" i="16" a="1"/>
  <c r="T74" i="16" a="1"/>
  <c r="G15" i="46" a="1"/>
  <c r="E135" i="19" a="1"/>
  <c r="P20" i="50" a="1"/>
  <c r="P44" i="26" a="1"/>
  <c r="H118" i="46" a="1"/>
  <c r="D34" i="21" a="1"/>
  <c r="Q14" i="21" a="1"/>
  <c r="I13" i="20" a="1"/>
  <c r="F33" i="26" a="1"/>
  <c r="F18" i="21" a="1"/>
  <c r="J40" i="21" a="1"/>
  <c r="G129" i="19" a="1"/>
  <c r="R119" i="46" a="1"/>
  <c r="S73" i="16" a="1"/>
  <c r="P87" i="20" a="1"/>
  <c r="H70" i="16" a="1"/>
  <c r="F28" i="15" a="1"/>
  <c r="G39" i="19" a="1"/>
  <c r="F12" i="21" a="1"/>
  <c r="O78" i="26" a="1"/>
  <c r="O19" i="26" a="1"/>
  <c r="P15" i="19" a="1"/>
  <c r="E29" i="21" a="1"/>
  <c r="K7" i="46" a="1"/>
  <c r="F93" i="20" a="1"/>
  <c r="I52" i="20" a="1"/>
  <c r="U73" i="15" a="1"/>
  <c r="D52" i="21" a="1"/>
  <c r="O64" i="16" a="1"/>
  <c r="I121" i="46" a="1"/>
  <c r="Z13" i="44" a="1"/>
  <c r="G29" i="46" a="1"/>
  <c r="H16" i="50" a="1"/>
  <c r="S35" i="20" a="1"/>
  <c r="Y59" i="15" a="1"/>
  <c r="S33" i="21" a="1"/>
  <c r="O13" i="20" a="1"/>
  <c r="O112" i="19" a="1"/>
  <c r="T47" i="46" a="1"/>
  <c r="N75" i="16" a="1"/>
  <c r="Q48" i="19" a="1"/>
  <c r="I25" i="50" a="1"/>
  <c r="U64" i="15" a="1"/>
  <c r="I80" i="15" a="1"/>
  <c r="J124" i="46" a="1"/>
  <c r="O54" i="19" a="1"/>
  <c r="I12" i="20" a="1"/>
  <c r="D23" i="19" a="1"/>
  <c r="U32" i="46" a="1"/>
  <c r="X38" i="26" a="1"/>
  <c r="H42" i="20" a="1"/>
  <c r="G74" i="26" a="1"/>
  <c r="G101" i="16" a="1"/>
  <c r="N65" i="16" a="1"/>
  <c r="D46" i="20" a="1"/>
  <c r="T52" i="46" a="1"/>
  <c r="T51" i="21" a="1"/>
  <c r="K49" i="46" a="1"/>
  <c r="G51" i="46" a="1"/>
  <c r="V59" i="15" a="1"/>
  <c r="E33" i="50" a="1"/>
  <c r="Y32" i="15" a="1"/>
  <c r="G11" i="46" a="1"/>
  <c r="S100" i="20" a="1"/>
  <c r="P59" i="16" a="1"/>
  <c r="Q9" i="21" a="1"/>
  <c r="J62" i="16" a="1"/>
  <c r="G23" i="50" a="1"/>
  <c r="S23" i="19" a="1"/>
  <c r="J24" i="21" a="1"/>
  <c r="H24" i="26" a="1"/>
  <c r="Q75" i="15" a="1"/>
  <c r="P18" i="50" a="1"/>
  <c r="G125" i="46" a="1"/>
  <c r="O36" i="19" a="1"/>
  <c r="P58" i="20" a="1"/>
  <c r="Q58" i="15" a="1"/>
  <c r="U63" i="15" a="1"/>
  <c r="Y41" i="26" a="1"/>
  <c r="F74" i="26" a="1"/>
  <c r="H17" i="21" a="1"/>
  <c r="Q16" i="19" a="1"/>
  <c r="H60" i="20" a="1"/>
  <c r="H64" i="46" a="1"/>
  <c r="T67" i="16" a="1"/>
  <c r="I44" i="21" a="1"/>
  <c r="X75" i="16" a="1"/>
  <c r="D59" i="17" a="1"/>
  <c r="H19" i="20" a="1"/>
  <c r="F77" i="46" a="1"/>
  <c r="I34" i="26" a="1"/>
  <c r="Q10" i="19" a="1"/>
  <c r="H58" i="16" a="1"/>
  <c r="P99" i="20" a="1"/>
  <c r="I49" i="15" a="1"/>
  <c r="Q9" i="19" a="1"/>
  <c r="H62" i="16" a="1"/>
  <c r="J77" i="26" a="1"/>
  <c r="AA33" i="26" a="1"/>
  <c r="K11" i="46" a="1"/>
  <c r="D129" i="19" a="1"/>
  <c r="U79" i="15" a="1"/>
  <c r="J61" i="15" a="1"/>
  <c r="I83" i="46" a="1"/>
  <c r="E47" i="48" a="1"/>
  <c r="I128" i="46" a="1"/>
  <c r="D50" i="20" a="1"/>
  <c r="H36" i="26" a="1"/>
  <c r="F45" i="17" a="1"/>
  <c r="G97" i="15" a="1"/>
  <c r="Q25" i="48" a="1"/>
  <c r="Q15" i="48" a="1"/>
  <c r="N79" i="16" a="1"/>
  <c r="J139" i="19" a="1"/>
  <c r="Q45" i="46" a="1"/>
  <c r="Q22" i="46" a="1"/>
  <c r="Q25" i="19" a="1"/>
  <c r="I135" i="19" a="1"/>
  <c r="S12" i="46" a="1"/>
  <c r="U66" i="15" a="1"/>
  <c r="S79" i="15" a="1"/>
  <c r="G8" i="20" a="1"/>
  <c r="J92" i="15" a="1"/>
  <c r="F27" i="19" a="1"/>
  <c r="F68" i="17" a="1"/>
  <c r="I27" i="19" a="1"/>
  <c r="H45" i="48" a="1"/>
  <c r="H29" i="46" a="1"/>
  <c r="K74" i="46" a="1"/>
  <c r="I30" i="50" a="1"/>
  <c r="L29" i="48" a="1"/>
  <c r="P72" i="16" a="1"/>
  <c r="G134" i="19" a="1"/>
  <c r="T73" i="15" a="1"/>
  <c r="R9" i="50" a="1"/>
  <c r="O19" i="19" a="1"/>
  <c r="I75" i="26" a="1"/>
  <c r="S56" i="16" a="1"/>
  <c r="U128" i="46" a="1"/>
  <c r="O71" i="15" a="1"/>
  <c r="S87" i="20" a="1"/>
  <c r="O60" i="16" a="1"/>
  <c r="F69" i="20" a="1"/>
  <c r="D38" i="16" a="1"/>
  <c r="G29" i="21" a="1"/>
  <c r="J16" i="50" a="1"/>
  <c r="H7" i="19" a="1"/>
  <c r="I28" i="50" a="1"/>
  <c r="F27" i="15" a="1"/>
  <c r="H123" i="46" a="1"/>
  <c r="G44" i="16" a="1"/>
  <c r="R8" i="20" a="1"/>
  <c r="D33" i="20" a="1"/>
  <c r="R126" i="46" a="1"/>
  <c r="G53" i="46" a="1"/>
  <c r="F13" i="48" a="1"/>
  <c r="E62" i="20" a="1"/>
  <c r="H79" i="26" a="1"/>
  <c r="H25" i="48" a="1"/>
  <c r="J129" i="46" a="1"/>
  <c r="S37" i="20" a="1"/>
  <c r="F31" i="48" a="1"/>
  <c r="D60" i="20" a="1"/>
  <c r="P42" i="20" a="1"/>
  <c r="Y38" i="15" a="1"/>
  <c r="O40" i="19" a="1"/>
  <c r="Q74" i="20" a="1"/>
  <c r="Q52" i="21" a="1"/>
  <c r="F51" i="21" a="1"/>
  <c r="Q39" i="26" a="1"/>
  <c r="G91" i="15" a="1"/>
  <c r="J55" i="46" a="1"/>
  <c r="I24" i="19" a="1"/>
  <c r="K25" i="48" a="1"/>
  <c r="Q27" i="19" a="1"/>
  <c r="E12" i="50" a="1"/>
  <c r="F80" i="15" a="1"/>
  <c r="E81" i="20" a="1"/>
  <c r="F19" i="48" a="1"/>
  <c r="K73" i="15" a="1"/>
  <c r="F19" i="16" a="1"/>
  <c r="F18" i="20" a="1"/>
  <c r="R39" i="26" a="1"/>
  <c r="J75" i="16" a="1"/>
  <c r="S99" i="16" a="1"/>
  <c r="K10" i="48" a="1"/>
  <c r="Q46" i="46" a="1"/>
  <c r="K53" i="15" a="1"/>
  <c r="Q39" i="19" a="1"/>
  <c r="E41" i="20" a="1"/>
  <c r="H89" i="16" a="1"/>
  <c r="J23" i="26" a="1"/>
  <c r="G30" i="48" a="1"/>
  <c r="P31" i="19" a="1"/>
  <c r="E68" i="17" a="1"/>
  <c r="Z42" i="26" a="1"/>
  <c r="R21" i="20" a="1"/>
  <c r="S76" i="46" a="1"/>
  <c r="S83" i="16" a="1"/>
  <c r="F56" i="20" a="1"/>
  <c r="F40" i="21" a="1"/>
  <c r="S16" i="20" a="1"/>
  <c r="J126" i="46" a="1"/>
  <c r="R19" i="20" a="1"/>
  <c r="U81" i="15" a="1"/>
  <c r="I45" i="26" a="1"/>
  <c r="N18" i="26" a="1"/>
  <c r="U33" i="46" a="1"/>
  <c r="E81" i="15" a="1"/>
  <c r="I14" i="48" a="1"/>
  <c r="O74" i="26" a="1"/>
  <c r="W7" i="48" a="1"/>
  <c r="E17" i="20" a="1"/>
  <c r="H81" i="20" a="1"/>
  <c r="N22" i="26" a="1"/>
  <c r="G65" i="17" a="1"/>
  <c r="P20" i="19" a="1"/>
  <c r="J24" i="50" a="1"/>
  <c r="O80" i="16" a="1"/>
  <c r="J13" i="19" a="1"/>
  <c r="N71" i="16" a="1"/>
  <c r="F24" i="50" a="1"/>
  <c r="I21" i="19" a="1"/>
  <c r="K30" i="46" a="1"/>
  <c r="S25" i="50" a="1"/>
  <c r="I9" i="26" a="1"/>
  <c r="X99" i="16" a="1"/>
  <c r="K65" i="17" a="1"/>
  <c r="I44" i="20" a="1"/>
  <c r="G70" i="20" a="1"/>
  <c r="D67" i="16" a="1"/>
  <c r="H22" i="44" a="1"/>
  <c r="X92" i="16" a="1"/>
  <c r="P30" i="48" a="1"/>
  <c r="AA40" i="26" a="1"/>
  <c r="O20" i="19" a="1"/>
  <c r="T80" i="15" a="1"/>
  <c r="P45" i="20" a="1"/>
  <c r="U57" i="16" a="1"/>
  <c r="D95" i="16" a="1"/>
  <c r="H29" i="20" a="1"/>
  <c r="I45" i="48" a="1"/>
  <c r="G112" i="19" a="1"/>
  <c r="P35" i="20" a="1"/>
  <c r="R29" i="50" a="1"/>
  <c r="S88" i="20" a="1"/>
  <c r="D47" i="15" a="1"/>
  <c r="F42" i="16" a="1"/>
  <c r="S73" i="46" a="1"/>
  <c r="I56" i="19" a="1"/>
  <c r="F19" i="44" a="1"/>
  <c r="H12" i="20" a="1"/>
  <c r="X61" i="16" a="1"/>
  <c r="J32" i="46" a="1"/>
  <c r="Q129" i="46" a="1"/>
  <c r="I66" i="16" a="1"/>
  <c r="E37" i="21" a="1"/>
  <c r="X83" i="16" a="1"/>
  <c r="H46" i="21" a="1"/>
  <c r="R35" i="19" a="1"/>
  <c r="J14" i="46" a="1"/>
  <c r="H27" i="46" a="1"/>
  <c r="D22" i="20" a="1"/>
  <c r="R26" i="19" a="1"/>
  <c r="I62" i="26" a="1"/>
  <c r="G60" i="15" a="1"/>
  <c r="E78" i="20" a="1"/>
  <c r="J116" i="19" a="1"/>
  <c r="X16" i="16" a="1"/>
  <c r="H46" i="20" a="1"/>
  <c r="L22" i="48" a="1"/>
  <c r="E7" i="48" a="1"/>
  <c r="Q24" i="48" a="1"/>
  <c r="F51" i="46" a="1"/>
  <c r="E61" i="26" a="1"/>
  <c r="K69" i="46" a="1"/>
  <c r="I57" i="17" a="1"/>
  <c r="F110" i="20" a="1"/>
  <c r="E93" i="15" a="1"/>
  <c r="H76" i="15" a="1"/>
  <c r="F12" i="19" a="1"/>
  <c r="H23" i="20" a="1"/>
  <c r="F23" i="16" a="1"/>
  <c r="E40" i="48" a="1"/>
  <c r="F12" i="20" a="1"/>
  <c r="G55" i="46" a="1"/>
  <c r="E35" i="20" a="1"/>
  <c r="J9" i="21" a="1"/>
  <c r="R67" i="20" a="1"/>
  <c r="P44" i="46" a="1"/>
  <c r="D11" i="19" a="1"/>
  <c r="W18" i="48" a="1"/>
  <c r="I110" i="19" a="1"/>
  <c r="J123" i="46" a="1"/>
  <c r="I45" i="16" a="1"/>
  <c r="Q68" i="20" a="1"/>
  <c r="E47" i="21" a="1"/>
  <c r="I80" i="26" a="1"/>
  <c r="F121" i="46" a="1"/>
  <c r="H121" i="19" a="1"/>
  <c r="Q32" i="21" a="1"/>
  <c r="S54" i="15" a="1"/>
  <c r="G21" i="26" a="1"/>
  <c r="G17" i="46" a="1"/>
  <c r="D15" i="21" a="1"/>
  <c r="E54" i="16" a="1"/>
  <c r="S61" i="15" a="1"/>
  <c r="J38" i="48" a="1"/>
  <c r="R127" i="19" a="1"/>
  <c r="U75" i="46" a="1"/>
  <c r="J17" i="50" a="1"/>
  <c r="G16" i="19" a="1"/>
  <c r="R120" i="46" a="1"/>
  <c r="I42" i="17" a="1"/>
  <c r="G12" i="19" a="1"/>
  <c r="H112" i="19" a="1"/>
  <c r="G19" i="19" a="1"/>
  <c r="H72" i="46" a="1"/>
  <c r="L41" i="48" a="1"/>
  <c r="T46" i="21" a="1"/>
  <c r="I50" i="20" a="1"/>
  <c r="I27" i="48" a="1"/>
  <c r="E36" i="48" a="1"/>
  <c r="G115" i="19" a="1"/>
  <c r="N30" i="16" a="1"/>
  <c r="D34" i="50" a="1"/>
  <c r="Q66" i="15" a="1"/>
  <c r="J43" i="26" a="1"/>
  <c r="E125" i="19" a="1"/>
  <c r="Q51" i="46" a="1"/>
  <c r="Q12" i="21" a="1"/>
  <c r="U65" i="16" a="1"/>
  <c r="K7" i="48" a="1"/>
  <c r="H41" i="48" a="1"/>
  <c r="I31" i="46" a="1"/>
  <c r="I141" i="19" a="1"/>
  <c r="D128" i="19" a="1"/>
  <c r="E24" i="19" a="1"/>
  <c r="I39" i="20" a="1"/>
  <c r="I65" i="26" a="1"/>
  <c r="D46" i="16" a="1"/>
  <c r="D22" i="50" a="1"/>
  <c r="X41" i="15" a="1"/>
  <c r="O66" i="16" a="1"/>
  <c r="S31" i="50" a="1"/>
  <c r="P88" i="20" a="1"/>
  <c r="Q111" i="19" a="1"/>
  <c r="R9" i="46" a="1"/>
  <c r="F22" i="16" a="1"/>
  <c r="H71" i="20" a="1"/>
  <c r="S53" i="20" a="1"/>
  <c r="I140" i="19" a="1"/>
  <c r="E65" i="15" a="1"/>
  <c r="H18" i="26" a="1"/>
  <c r="R22" i="46" a="1"/>
  <c r="I58" i="17" a="1"/>
  <c r="P11" i="48" a="1"/>
  <c r="G65" i="26" a="1"/>
  <c r="F100" i="20" a="1"/>
  <c r="E34" i="21" a="1"/>
  <c r="K6" i="46" a="1"/>
  <c r="D111" i="20" a="1"/>
  <c r="P65" i="20" a="1"/>
  <c r="F46" i="46" a="1"/>
  <c r="D97" i="15" a="1"/>
  <c r="I55" i="16" a="1"/>
  <c r="F16" i="20" a="1"/>
  <c r="E27" i="20" a="1"/>
  <c r="E14" i="26" a="1"/>
  <c r="I10" i="50" a="1"/>
  <c r="G22" i="26" a="1"/>
  <c r="K17" i="46" a="1"/>
  <c r="J37" i="48" a="1"/>
  <c r="G43" i="20" a="1"/>
  <c r="O83" i="15" a="1"/>
  <c r="X47" i="16" a="1"/>
  <c r="Q76" i="15" a="1"/>
  <c r="F42" i="26" a="1"/>
  <c r="G20" i="20" a="1"/>
  <c r="S62" i="15" a="1"/>
  <c r="R50" i="20" a="1"/>
  <c r="D52" i="20" a="1"/>
  <c r="S93" i="20" a="1"/>
  <c r="X10" i="16" a="1"/>
  <c r="D48" i="20" a="1"/>
  <c r="E9" i="48" a="1"/>
  <c r="AA15" i="44" a="1"/>
  <c r="R93" i="20" a="1"/>
  <c r="G75" i="46" a="1"/>
  <c r="H47" i="46" a="1"/>
  <c r="F116" i="19" a="1"/>
  <c r="G19" i="21" a="1"/>
  <c r="S67" i="16" a="1"/>
  <c r="P41" i="26" a="1"/>
  <c r="F104" i="20" a="1"/>
  <c r="G72" i="15" a="1"/>
  <c r="T31" i="15" a="1"/>
  <c r="W29" i="48" a="1"/>
  <c r="I31" i="26" a="1"/>
  <c r="J87" i="16" a="1"/>
  <c r="K39" i="17" a="1"/>
  <c r="P9" i="20" a="1"/>
  <c r="K15" i="48" a="1"/>
  <c r="R53" i="19" a="1"/>
  <c r="F43" i="17" a="1"/>
  <c r="P123" i="46" a="1"/>
  <c r="E55" i="26" a="1"/>
  <c r="E70" i="15" a="1"/>
  <c r="H67" i="46" a="1"/>
  <c r="G83" i="15" a="1"/>
  <c r="K51" i="15" a="1"/>
  <c r="T86" i="15" a="1"/>
  <c r="J36" i="19" a="1"/>
  <c r="H78" i="16" a="1"/>
  <c r="P13" i="19" a="1"/>
  <c r="R55" i="19" a="1"/>
  <c r="L46" i="48" a="1"/>
  <c r="D138" i="19" a="1"/>
  <c r="I52" i="15" a="1"/>
  <c r="H12" i="46" a="1"/>
  <c r="D43" i="20" a="1"/>
  <c r="D23" i="44" a="1"/>
  <c r="K59" i="15" a="1"/>
  <c r="O15" i="20" a="1"/>
  <c r="Q47" i="48" a="1"/>
  <c r="G9" i="44" a="1"/>
  <c r="X91" i="16" a="1"/>
  <c r="P24" i="19" a="1"/>
  <c r="P10" i="50" a="1"/>
  <c r="I13" i="48" a="1"/>
  <c r="H36" i="46" a="1"/>
  <c r="Q43" i="48" a="1"/>
  <c r="H68" i="15" a="1"/>
  <c r="D27" i="20" a="1"/>
  <c r="E112" i="19" a="1"/>
  <c r="P79" i="20" a="1"/>
  <c r="G37" i="48" a="1"/>
  <c r="E73" i="26" a="1"/>
  <c r="Q56" i="46" a="1"/>
  <c r="J86" i="16" a="1"/>
  <c r="V45" i="15" a="1"/>
  <c r="H44" i="17" a="1"/>
  <c r="O124" i="19" a="1"/>
  <c r="J43" i="48" a="1"/>
  <c r="G75" i="26" a="1"/>
  <c r="K39" i="46" a="1"/>
  <c r="E13" i="50" a="1"/>
  <c r="D58" i="26" a="1"/>
  <c r="F32" i="46" a="1"/>
  <c r="P21" i="19" a="1"/>
  <c r="Q33" i="19" a="1"/>
  <c r="S32" i="50" a="1"/>
  <c r="H34" i="50" a="1"/>
  <c r="F55" i="20" a="1"/>
  <c r="Q123" i="19" a="1"/>
  <c r="I134" i="19" a="1"/>
  <c r="AA45" i="26" a="1"/>
  <c r="D41" i="20" a="1"/>
  <c r="V14" i="44" a="1"/>
  <c r="W21" i="16" a="1"/>
  <c r="F68" i="15" a="1"/>
  <c r="O20" i="20" a="1"/>
  <c r="J17" i="26" a="1"/>
  <c r="J11" i="48" a="1"/>
  <c r="F34" i="46" a="1"/>
  <c r="R45" i="20" a="1"/>
  <c r="R75" i="46" a="1"/>
  <c r="H42" i="46" a="1"/>
  <c r="D93" i="16" a="1"/>
  <c r="I39" i="17" a="1"/>
  <c r="I6" i="16" a="1"/>
  <c r="I40" i="19" a="1"/>
  <c r="H51" i="19" a="1"/>
  <c r="J7" i="48" a="1"/>
  <c r="D88" i="16" a="1"/>
  <c r="R24" i="20" a="1"/>
  <c r="D15" i="20" a="1"/>
  <c r="H122" i="19" a="1"/>
  <c r="S46" i="46" a="1"/>
  <c r="J57" i="17" a="1"/>
  <c r="G17" i="21" a="1"/>
  <c r="K65" i="46" a="1"/>
  <c r="J18" i="50" a="1"/>
  <c r="L47" i="48" a="1"/>
  <c r="J37" i="17" a="1"/>
  <c r="E50" i="19" a="1"/>
  <c r="W29" i="16" a="1"/>
  <c r="J44" i="15" a="1"/>
  <c r="T27" i="21" a="1"/>
  <c r="F11" i="50" a="1"/>
  <c r="L7" i="48" a="1"/>
  <c r="F63" i="17" a="1"/>
  <c r="Y46" i="15" a="1"/>
  <c r="P118" i="19" a="1"/>
  <c r="T45" i="15" a="1"/>
  <c r="S127" i="19" a="1"/>
  <c r="W27" i="48" a="1"/>
  <c r="E41" i="17" a="1"/>
  <c r="H27" i="21" a="1"/>
  <c r="I46" i="17" a="1"/>
  <c r="G22" i="21" a="1"/>
  <c r="P19" i="20" a="1"/>
  <c r="R27" i="48" a="1"/>
  <c r="H35" i="46" a="1"/>
  <c r="T43" i="21" a="1"/>
  <c r="U87" i="15" a="1"/>
  <c r="D51" i="20" a="1"/>
  <c r="H25" i="19" a="1"/>
  <c r="J81" i="46" a="1"/>
  <c r="E91" i="16" a="1"/>
  <c r="Q7" i="46" a="1"/>
  <c r="E46" i="19" a="1"/>
  <c r="S125" i="19" a="1"/>
  <c r="J24" i="19" a="1"/>
  <c r="P117" i="19" a="1"/>
  <c r="I59" i="19" a="1"/>
  <c r="F21" i="16" a="1"/>
  <c r="Y32" i="26" a="1"/>
  <c r="S42" i="46" a="1"/>
  <c r="I139" i="19" a="1"/>
  <c r="H70" i="15" a="1"/>
  <c r="F37" i="46" a="1"/>
  <c r="D76" i="20" a="1"/>
  <c r="I53" i="19" a="1"/>
  <c r="J23" i="19" a="1"/>
  <c r="F47" i="21" a="1"/>
  <c r="O54" i="26" a="1"/>
  <c r="J65" i="17" a="1"/>
  <c r="F39" i="46" a="1"/>
  <c r="K32" i="46" a="1"/>
  <c r="F33" i="48" a="1"/>
  <c r="P23" i="50" a="1"/>
  <c r="D14" i="50" a="1"/>
  <c r="H32" i="19" a="1"/>
  <c r="G58" i="19" a="1"/>
  <c r="S123" i="19" a="1"/>
  <c r="R74" i="20" a="1"/>
  <c r="S63" i="20" a="1"/>
  <c r="D11" i="20" a="1"/>
  <c r="S61" i="16" a="1"/>
  <c r="F56" i="19" a="1"/>
  <c r="J56" i="26" a="1"/>
  <c r="I45" i="15" a="1"/>
  <c r="K55" i="17" a="1"/>
  <c r="P77" i="15" a="1"/>
  <c r="P21" i="48" a="1"/>
  <c r="I38" i="50" a="1"/>
  <c r="U62" i="46" a="1"/>
  <c r="U88" i="46" a="1"/>
  <c r="Z31" i="26" a="1"/>
  <c r="R42" i="19" a="1"/>
  <c r="F15" i="16" a="1"/>
  <c r="H28" i="46" a="1"/>
  <c r="Q17" i="46" a="1"/>
  <c r="I61" i="16" a="1"/>
  <c r="Y55" i="15" a="1"/>
  <c r="H35" i="19" a="1"/>
  <c r="R21" i="48" a="1"/>
  <c r="R126" i="19" a="1"/>
  <c r="I62" i="16" a="1"/>
  <c r="R34" i="20" a="1"/>
  <c r="D65" i="17" a="1"/>
  <c r="F46" i="21" a="1"/>
  <c r="E40" i="21" a="1"/>
  <c r="J27" i="46" a="1"/>
  <c r="H64" i="16" a="1"/>
  <c r="P94" i="20" a="1"/>
  <c r="O57" i="26" a="1"/>
  <c r="V15" i="16" a="1"/>
  <c r="I86" i="16" a="1"/>
  <c r="Y83" i="15" a="1"/>
  <c r="E37" i="16" a="1"/>
  <c r="X95" i="16" a="1"/>
  <c r="F58" i="16" a="1"/>
  <c r="K59" i="17" a="1"/>
  <c r="W16" i="48" a="1"/>
  <c r="F25" i="19" a="1"/>
  <c r="R116" i="19" a="1"/>
  <c r="P29" i="48" a="1"/>
  <c r="G17" i="50" a="1"/>
  <c r="G27" i="46" a="1"/>
  <c r="K58" i="17" a="1"/>
  <c r="I83" i="16" a="1"/>
  <c r="F30" i="48" a="1"/>
  <c r="J66" i="15" a="1"/>
  <c r="K29" i="46" a="1"/>
  <c r="R24" i="19" a="1"/>
  <c r="V43" i="26" a="1"/>
  <c r="P33" i="46" a="1"/>
  <c r="J31" i="19" a="1"/>
  <c r="F7" i="50" a="1"/>
  <c r="H71" i="46" a="1"/>
  <c r="G61" i="20" a="1"/>
  <c r="J29" i="50" a="1"/>
  <c r="S17" i="20" a="1"/>
  <c r="H119" i="46" a="1"/>
  <c r="S22" i="50" a="1"/>
  <c r="Y76" i="15" a="1"/>
  <c r="H21" i="44" a="1"/>
  <c r="S47" i="16" a="1"/>
  <c r="S49" i="21" a="1"/>
  <c r="X24" i="16" a="1"/>
  <c r="H61" i="17" a="1"/>
  <c r="S133" i="19" a="1"/>
  <c r="Y69" i="15" a="1"/>
  <c r="K20" i="46" a="1"/>
  <c r="E49" i="19" a="1"/>
  <c r="T51" i="15" a="1"/>
  <c r="S30" i="20" a="1"/>
  <c r="J64" i="16" a="1"/>
  <c r="I91" i="16" a="1"/>
  <c r="T83" i="15" a="1"/>
  <c r="E52" i="15" a="1"/>
  <c r="J7" i="46" a="1"/>
  <c r="Z35" i="26" a="1"/>
  <c r="E35" i="50" a="1"/>
  <c r="G76" i="46" a="1"/>
  <c r="D39" i="17" a="1"/>
  <c r="P127" i="46" a="1"/>
  <c r="R23" i="19" a="1"/>
  <c r="U59" i="15" a="1"/>
  <c r="N61" i="16" a="1"/>
  <c r="AA39" i="26" a="1"/>
  <c r="K67" i="17" a="1"/>
  <c r="O22" i="20" a="1"/>
  <c r="F56" i="46" a="1"/>
  <c r="I59" i="15" a="1"/>
  <c r="S56" i="19" a="1"/>
  <c r="U54" i="15" a="1"/>
  <c r="P39" i="48" a="1"/>
  <c r="P73" i="20" a="1"/>
  <c r="V85" i="15" a="1"/>
  <c r="R21" i="19" a="1"/>
  <c r="S27" i="50" a="1"/>
  <c r="P60" i="20" a="1"/>
  <c r="Y61" i="15" a="1"/>
  <c r="D114" i="20" a="1"/>
  <c r="Q66" i="46" a="1"/>
  <c r="G68" i="46" a="1"/>
  <c r="G63" i="15" a="1"/>
  <c r="U35" i="26" a="1"/>
  <c r="F53" i="15" a="1"/>
  <c r="H29" i="48" a="1"/>
  <c r="S18" i="50" a="1"/>
  <c r="R52" i="46" a="1"/>
  <c r="W10" i="16" a="1"/>
  <c r="H77" i="46" a="1"/>
  <c r="F63" i="26" a="1"/>
  <c r="R17" i="20" a="1"/>
  <c r="I52" i="21" a="1"/>
  <c r="D22" i="26" a="1"/>
  <c r="O24" i="19" a="1"/>
  <c r="H140" i="19" a="1"/>
  <c r="T11" i="21" a="1"/>
  <c r="R122" i="19" a="1"/>
  <c r="O64" i="15" a="1"/>
  <c r="G77" i="20" a="1"/>
  <c r="P81" i="16" a="1"/>
  <c r="E69" i="15" a="1"/>
  <c r="N76" i="26" a="1"/>
  <c r="F44" i="16" a="1"/>
  <c r="H42" i="17" a="1"/>
  <c r="Q44" i="48" a="1"/>
  <c r="Q59" i="15" a="1"/>
  <c r="G119" i="19" a="1"/>
  <c r="J120" i="46" a="1"/>
  <c r="I23" i="26" a="1"/>
  <c r="F78" i="20" a="1"/>
  <c r="P40" i="20" a="1"/>
  <c r="J34" i="19" a="1"/>
  <c r="J36" i="16" a="1"/>
  <c r="H86" i="20" a="1"/>
  <c r="P26" i="20" a="1"/>
  <c r="J47" i="17" a="1"/>
  <c r="Q62" i="46" a="1"/>
  <c r="N32" i="16" a="1"/>
  <c r="J141" i="19" a="1"/>
  <c r="P16" i="19" a="1"/>
  <c r="F76" i="46" a="1"/>
  <c r="D70" i="16" a="1"/>
  <c r="P52" i="16" a="1"/>
  <c r="D55" i="19" a="1"/>
  <c r="U78" i="15" a="1"/>
  <c r="I64" i="46" a="1"/>
  <c r="E111" i="20" a="1"/>
  <c r="E62" i="26" a="1"/>
  <c r="S26" i="19" a="1"/>
  <c r="P66" i="20" a="1"/>
  <c r="E49" i="21" a="1"/>
  <c r="D51" i="21" a="1"/>
  <c r="E49" i="15" a="1"/>
  <c r="H78" i="20" a="1"/>
  <c r="P13" i="20" a="1"/>
  <c r="H14" i="46" a="1"/>
  <c r="G45" i="20" a="1"/>
  <c r="U34" i="26" a="1"/>
  <c r="D42" i="19" a="1"/>
  <c r="J77" i="15" a="1"/>
  <c r="G119" i="46" a="1"/>
  <c r="AA8" i="44" a="1"/>
  <c r="G13" i="21" a="1"/>
  <c r="H63" i="17" a="1"/>
  <c r="J41" i="50" a="1"/>
  <c r="G44" i="46" a="1"/>
  <c r="K71" i="15" a="1"/>
  <c r="D79" i="20" a="1"/>
  <c r="U31" i="46" a="1"/>
  <c r="I15" i="20" a="1"/>
  <c r="J60" i="46" a="1"/>
  <c r="J91" i="15" a="1"/>
  <c r="P90" i="20" a="1"/>
  <c r="E124" i="19" a="1"/>
  <c r="D93" i="15" a="1"/>
  <c r="P76" i="20" a="1"/>
  <c r="F91" i="20" a="1"/>
  <c r="D17" i="19" a="1"/>
  <c r="Y38" i="26" a="1"/>
  <c r="E12" i="26" a="1"/>
  <c r="U46" i="26" a="1"/>
  <c r="D91" i="15" a="1"/>
  <c r="H25" i="20" a="1"/>
  <c r="AA36" i="26" a="1"/>
  <c r="G56" i="15" a="1"/>
  <c r="D19" i="16" a="1"/>
  <c r="H83" i="16" a="1"/>
  <c r="G54" i="16" a="1"/>
  <c r="R10" i="50" a="1"/>
  <c r="F44" i="17" a="1"/>
  <c r="F36" i="48" a="1"/>
  <c r="H65" i="20" a="1"/>
  <c r="I23" i="50" a="1"/>
  <c r="S76" i="15" a="1"/>
  <c r="O34" i="20" a="1"/>
  <c r="D80" i="26" a="1"/>
  <c r="I36" i="50" a="1"/>
  <c r="R110" i="20" a="1"/>
  <c r="P55" i="16" a="1"/>
  <c r="I34" i="20" a="1"/>
  <c r="U35" i="46" a="1"/>
  <c r="S64" i="16" a="1"/>
  <c r="R15" i="48" a="1"/>
  <c r="F86" i="15" a="1"/>
  <c r="E131" i="19" a="1"/>
  <c r="H126" i="19" a="1"/>
  <c r="E45" i="15" a="1"/>
  <c r="J90" i="16" a="1"/>
  <c r="U123" i="46" a="1"/>
  <c r="G80" i="46" a="1"/>
  <c r="H92" i="15" a="1"/>
  <c r="F92" i="15" a="1"/>
  <c r="T36" i="15" a="1"/>
  <c r="S59" i="20" a="1"/>
  <c r="K14" i="44" a="1"/>
  <c r="G22" i="50" a="1"/>
  <c r="O77" i="20" a="1"/>
  <c r="D75" i="26" a="1"/>
  <c r="E73" i="16" a="1"/>
  <c r="Z46" i="26" a="1"/>
  <c r="I47" i="17" a="1"/>
  <c r="E43" i="20" a="1"/>
  <c r="G117" i="46" a="1"/>
  <c r="E61" i="15" a="1"/>
  <c r="S44" i="20" a="1"/>
  <c r="J8" i="50" a="1"/>
  <c r="S43" i="46" a="1"/>
  <c r="S41" i="19" a="1"/>
  <c r="O50" i="19" a="1"/>
  <c r="G35" i="19" a="1"/>
  <c r="I20" i="46" a="1"/>
  <c r="I16" i="19" a="1"/>
  <c r="I11" i="21" a="1"/>
  <c r="G43" i="16" a="1"/>
  <c r="F18" i="48" a="1"/>
  <c r="E108" i="20" a="1"/>
  <c r="T77" i="15" a="1"/>
  <c r="D9" i="19" a="1"/>
  <c r="E40" i="20" a="1"/>
  <c r="R32" i="19" a="1"/>
  <c r="R7" i="19" a="1"/>
  <c r="F110" i="19" a="1"/>
  <c r="I8" i="50" a="1"/>
  <c r="P63" i="16" a="1"/>
  <c r="K79" i="46" a="1"/>
  <c r="F68" i="46" a="1"/>
  <c r="G27" i="21" a="1"/>
  <c r="G118" i="46" a="1"/>
  <c r="P30" i="50" a="1"/>
  <c r="E86" i="16" a="1"/>
  <c r="F60" i="16" a="1"/>
  <c r="I11" i="46" a="1"/>
  <c r="J49" i="21" a="1"/>
  <c r="S64" i="20" a="1"/>
  <c r="N71" i="26" a="1"/>
  <c r="J29" i="48" a="1"/>
  <c r="I19" i="48" a="1"/>
  <c r="H79" i="15" a="1"/>
  <c r="I41" i="21" a="1"/>
  <c r="S33" i="20" a="1"/>
  <c r="W96" i="15" a="1"/>
  <c r="G36" i="26" a="1"/>
  <c r="O17" i="26" a="1"/>
  <c r="K19" i="48" a="1"/>
  <c r="J119" i="19" a="1"/>
  <c r="D20" i="50" a="1"/>
  <c r="F34" i="21" a="1"/>
  <c r="F8" i="20" a="1"/>
  <c r="F56" i="16" a="1"/>
  <c r="E60" i="26" a="1"/>
  <c r="H79" i="46" a="1"/>
  <c r="E100" i="16" a="1"/>
  <c r="D122" i="19" a="1"/>
  <c r="D134" i="19" a="1"/>
  <c r="E99" i="20" a="1"/>
  <c r="E115" i="19" a="1"/>
  <c r="Q24" i="20" a="1"/>
  <c r="R120" i="19" a="1"/>
  <c r="G63" i="20" a="1"/>
  <c r="H88" i="46" a="1"/>
  <c r="D26" i="19" a="1"/>
  <c r="E38" i="48" a="1"/>
  <c r="I38" i="19" a="1"/>
  <c r="E31" i="50" a="1"/>
  <c r="S45" i="19" a="1"/>
  <c r="J68" i="17" a="1"/>
  <c r="H51" i="46" a="1"/>
  <c r="D81" i="26" a="1"/>
  <c r="I77" i="16" a="1"/>
  <c r="S79" i="46" a="1"/>
  <c r="S85" i="15" a="1"/>
  <c r="N73" i="26" a="1"/>
  <c r="T29" i="16" a="1"/>
  <c r="E89" i="20" a="1"/>
  <c r="R81" i="20" a="1"/>
  <c r="U81" i="16" a="1"/>
  <c r="D70" i="20" a="1"/>
  <c r="G6" i="16" a="1"/>
  <c r="X71" i="16" a="1"/>
  <c r="H30" i="20" a="1"/>
  <c r="G34" i="21" a="1"/>
  <c r="D33" i="50" a="1"/>
  <c r="Q15" i="46" a="1"/>
  <c r="I76" i="46" a="1"/>
  <c r="H56" i="46" a="1"/>
  <c r="J77" i="16" a="1"/>
  <c r="R25" i="20" a="1"/>
  <c r="P79" i="46" a="1"/>
  <c r="G40" i="20" a="1"/>
  <c r="R54" i="20" a="1"/>
  <c r="P126" i="46" a="1"/>
  <c r="K41" i="48" a="1"/>
  <c r="W33" i="26" a="1"/>
  <c r="G51" i="20" a="1"/>
  <c r="T40" i="46" a="1"/>
  <c r="Q32" i="19" a="1"/>
  <c r="F15" i="21" a="1"/>
  <c r="F79" i="46" a="1"/>
  <c r="D56" i="26" a="1"/>
  <c r="I74" i="26" a="1"/>
  <c r="I36" i="46" a="1"/>
  <c r="E95" i="20" a="1"/>
  <c r="D90" i="20" a="1"/>
  <c r="H97" i="16" a="1"/>
  <c r="H48" i="19" a="1"/>
  <c r="S27" i="19" a="1"/>
  <c r="H33" i="46" a="1"/>
  <c r="S30" i="21" a="1"/>
  <c r="F71" i="17" a="1"/>
  <c r="S95" i="16" a="1"/>
  <c r="N59" i="16" a="1"/>
  <c r="S17" i="50" a="1"/>
  <c r="G17" i="20" a="1"/>
  <c r="H50" i="21" a="1"/>
  <c r="F7" i="46" a="1"/>
  <c r="W38" i="26" a="1"/>
  <c r="G79" i="46" a="1"/>
  <c r="T12" i="21" a="1"/>
  <c r="F69" i="46" a="1"/>
  <c r="F9" i="16" a="1"/>
  <c r="Z39" i="26" a="1"/>
  <c r="X37" i="26" a="1"/>
  <c r="R12" i="48" a="1"/>
  <c r="D49" i="20" a="1"/>
  <c r="H127" i="46" a="1"/>
  <c r="R41" i="26" a="1"/>
  <c r="R22" i="19" a="1"/>
  <c r="H29" i="50" a="1"/>
  <c r="Y72" i="15" a="1"/>
  <c r="G83" i="16" a="1"/>
  <c r="S27" i="21" a="1"/>
  <c r="F100" i="16" a="1"/>
  <c r="I11" i="19" a="1"/>
  <c r="H53" i="20" a="1"/>
  <c r="P34" i="26" a="1"/>
  <c r="H31" i="50" a="1"/>
  <c r="I37" i="46" a="1"/>
  <c r="I18" i="48" a="1"/>
  <c r="F10" i="26" a="1"/>
  <c r="G18" i="46" a="1"/>
  <c r="H35" i="26" a="1"/>
  <c r="L39" i="48" a="1"/>
  <c r="G11" i="48" a="1"/>
  <c r="D10" i="21" a="1"/>
  <c r="H74" i="26" a="1"/>
  <c r="Z34" i="26" a="1"/>
  <c r="S46" i="26" a="1"/>
  <c r="H64" i="26" a="1"/>
  <c r="P98" i="20" a="1"/>
  <c r="Q123" i="46" a="1"/>
  <c r="H17" i="46" a="1"/>
  <c r="F26" i="20" a="1"/>
  <c r="V13" i="44" a="1"/>
  <c r="Q53" i="19" a="1"/>
  <c r="H16" i="20" a="1"/>
  <c r="N35" i="26" a="1"/>
  <c r="F25" i="16" a="1"/>
  <c r="U29" i="16" a="1"/>
  <c r="I48" i="16" a="1"/>
  <c r="U76" i="46" a="1"/>
  <c r="H53" i="16" a="1"/>
  <c r="R59" i="19" a="1"/>
  <c r="J8" i="26" a="1"/>
  <c r="H12" i="50" a="1"/>
  <c r="D8" i="16" a="1"/>
  <c r="E68" i="20" a="1"/>
  <c r="G36" i="16" a="1"/>
  <c r="G34" i="20" a="1"/>
  <c r="N21" i="26" a="1"/>
  <c r="J7" i="19" a="1"/>
  <c r="D86" i="20" a="1"/>
  <c r="D11" i="16" a="1"/>
  <c r="I74" i="16" a="1"/>
  <c r="P89" i="20" a="1"/>
  <c r="I46" i="20" a="1"/>
  <c r="P61" i="20" a="1"/>
  <c r="K52" i="46" a="1"/>
  <c r="H66" i="20" a="1"/>
  <c r="Q7" i="20" a="1"/>
  <c r="Q52" i="15" a="1"/>
  <c r="J36" i="50" a="1"/>
  <c r="S32" i="20" a="1"/>
  <c r="K57" i="17" a="1"/>
  <c r="E8" i="26" a="1"/>
  <c r="X27" i="15" a="1"/>
  <c r="Q35" i="21" a="1"/>
  <c r="P35" i="19" a="1"/>
  <c r="J6" i="15" a="1"/>
  <c r="I43" i="26" a="1"/>
  <c r="F34" i="26" a="1"/>
  <c r="F13" i="21" a="1"/>
  <c r="S10" i="20" a="1"/>
  <c r="G124" i="46" a="1"/>
  <c r="O56" i="26" a="1"/>
  <c r="X37" i="16" a="1"/>
  <c r="H10" i="26" a="1"/>
  <c r="H8" i="50" a="1"/>
  <c r="G43" i="19" a="1"/>
  <c r="E35" i="21" a="1"/>
  <c r="Q86" i="20" a="1"/>
  <c r="F61" i="15" a="1"/>
  <c r="K72" i="15" a="1"/>
  <c r="F61" i="26" a="1"/>
  <c r="O115" i="19" a="1"/>
  <c r="D64" i="17" a="1"/>
  <c r="Q110" i="19" a="1"/>
  <c r="H123" i="19" a="1"/>
  <c r="I55" i="46" a="1"/>
  <c r="I119" i="46" a="1"/>
  <c r="I37" i="21" a="1"/>
  <c r="E39" i="16" a="1"/>
  <c r="H138" i="19" a="1"/>
  <c r="I69" i="15" a="1"/>
  <c r="D91" i="20" a="1"/>
  <c r="U36" i="46" a="1"/>
  <c r="J70" i="16" a="1"/>
  <c r="S97" i="20" a="1"/>
  <c r="T39" i="26" a="1"/>
  <c r="P33" i="48" a="1"/>
  <c r="H66" i="17" a="1"/>
  <c r="G122" i="46" a="1"/>
  <c r="R85" i="20" a="1"/>
  <c r="Q72" i="20" a="1"/>
  <c r="I44" i="19" a="1"/>
  <c r="F9" i="15" a="1"/>
  <c r="J53" i="19" a="1"/>
  <c r="O61" i="16" a="1"/>
  <c r="T33" i="15" a="1"/>
  <c r="Y85" i="15" a="1"/>
  <c r="U74" i="16" a="1"/>
  <c r="I117" i="46" a="1"/>
  <c r="S110" i="19" a="1"/>
  <c r="T37" i="21" a="1"/>
  <c r="G8" i="44" a="1"/>
  <c r="Y50" i="15" a="1"/>
  <c r="E17" i="21" a="1"/>
  <c r="J76" i="46" a="1"/>
  <c r="I133" i="19" a="1"/>
  <c r="Q49" i="46" a="1"/>
  <c r="F41" i="21" a="1"/>
  <c r="H40" i="46" a="1"/>
  <c r="E79" i="26" a="1"/>
  <c r="K11" i="48" a="1"/>
  <c r="I43" i="21" a="1"/>
  <c r="F11" i="16" a="1"/>
  <c r="D23" i="20" a="1"/>
  <c r="J19" i="48" a="1"/>
  <c r="T77" i="16" a="1"/>
  <c r="O59" i="19" a="1"/>
  <c r="P107" i="19" a="1"/>
  <c r="X26" i="16" a="1"/>
  <c r="I61" i="17" a="1"/>
  <c r="H41" i="21" a="1"/>
  <c r="I52" i="16" a="1"/>
  <c r="H11" i="48" a="1"/>
  <c r="S35" i="50" a="1"/>
  <c r="I49" i="20" a="1"/>
  <c r="K87" i="15" a="1"/>
  <c r="E91" i="15" a="1"/>
  <c r="H59" i="16" a="1"/>
  <c r="E122" i="19" a="1"/>
  <c r="X36" i="16" a="1"/>
  <c r="Q67" i="20" a="1"/>
  <c r="I53" i="46" a="1"/>
  <c r="V64" i="15" a="1"/>
  <c r="G75" i="16" a="1"/>
  <c r="S62" i="20" a="1"/>
  <c r="I27" i="46" a="1"/>
  <c r="T39" i="15" a="1"/>
  <c r="D40" i="21" a="1"/>
  <c r="H10" i="19" a="1"/>
  <c r="O12" i="26" a="1"/>
  <c r="I50" i="15" a="1"/>
  <c r="J6" i="46" a="1"/>
  <c r="X34" i="26" a="1"/>
  <c r="F140" i="19" a="1"/>
  <c r="K40" i="46" a="1"/>
  <c r="J37" i="19" a="1"/>
  <c r="F132" i="19" a="1"/>
  <c r="F23" i="20" a="1"/>
  <c r="Q13" i="21" a="1"/>
  <c r="U50" i="15" a="1"/>
  <c r="I29" i="46" a="1"/>
  <c r="V24" i="16" a="1"/>
  <c r="S67" i="20" a="1"/>
  <c r="P40" i="50" a="1"/>
  <c r="D98" i="20" a="1"/>
  <c r="R32" i="46" a="1"/>
  <c r="P88" i="46" a="1"/>
  <c r="E11" i="48" a="1"/>
  <c r="J73" i="46" a="1"/>
  <c r="G45" i="21" a="1"/>
  <c r="H87" i="15" a="1"/>
  <c r="N69" i="16" a="1"/>
  <c r="O71" i="16" a="1"/>
  <c r="F46" i="19" a="1"/>
  <c r="E92" i="16" a="1"/>
  <c r="I35" i="26" a="1"/>
  <c r="O91" i="20" a="1"/>
  <c r="L14" i="48" a="1"/>
  <c r="S52" i="21" a="1"/>
  <c r="Q83" i="15" a="1"/>
  <c r="W23" i="16" a="1"/>
  <c r="R56" i="20" a="1"/>
  <c r="K55" i="46" a="1"/>
  <c r="T34" i="26" a="1"/>
  <c r="S43" i="16" a="1"/>
  <c r="H55" i="20" a="1"/>
  <c r="O49" i="19" a="1"/>
  <c r="H8" i="19" a="1"/>
  <c r="D30" i="50" a="1"/>
  <c r="H47" i="19" a="1"/>
  <c r="X27" i="16" a="1"/>
  <c r="D37" i="16" a="1"/>
  <c r="F10" i="16" a="1"/>
  <c r="R35" i="50" a="1"/>
  <c r="E110" i="19" a="1"/>
  <c r="I57" i="16" a="1"/>
  <c r="I84" i="15" a="1"/>
  <c r="J73" i="26" a="1"/>
  <c r="R128" i="46" a="1"/>
  <c r="I42" i="46" a="1"/>
  <c r="G12" i="50" a="1"/>
  <c r="E42" i="20" a="1"/>
  <c r="Y36" i="15" a="1"/>
  <c r="T42" i="15" a="1"/>
  <c r="L25" i="48" a="1"/>
  <c r="K57" i="46" a="1"/>
  <c r="G10" i="20" a="1"/>
  <c r="U12" i="46" a="1"/>
  <c r="I20" i="44" a="1"/>
  <c r="Q50" i="46" a="1"/>
  <c r="P75" i="20" a="1"/>
  <c r="O59" i="16" a="1"/>
  <c r="F47" i="20" a="1"/>
  <c r="F66" i="15" a="1"/>
  <c r="E62" i="16" a="1"/>
  <c r="G10" i="19" a="1"/>
  <c r="K46" i="17" a="1"/>
  <c r="G11" i="19" a="1"/>
  <c r="I67" i="17" a="1"/>
  <c r="P63" i="15" a="1"/>
  <c r="F26" i="21" a="1"/>
  <c r="D48" i="19" a="1"/>
  <c r="R30" i="48" a="1"/>
  <c r="D72" i="26" a="1"/>
  <c r="Q14" i="20" a="1"/>
  <c r="E30" i="20" a="1"/>
  <c r="N43" i="26" a="1"/>
  <c r="J73" i="17" a="1"/>
  <c r="J21" i="46" a="1"/>
  <c r="D59" i="20" a="1"/>
  <c r="N39" i="26" a="1"/>
  <c r="F26" i="46" a="1"/>
  <c r="E10" i="48" a="1"/>
  <c r="G15" i="21" a="1"/>
  <c r="I25" i="48" a="1"/>
  <c r="H84" i="16" a="1"/>
  <c r="E8" i="19" a="1"/>
  <c r="H124" i="46" a="1"/>
  <c r="F43" i="46" a="1"/>
  <c r="H87" i="46" a="1"/>
  <c r="R78" i="20" a="1"/>
  <c r="I12" i="19" a="1"/>
  <c r="J45" i="17" a="1"/>
  <c r="H45" i="16" a="1"/>
  <c r="G135" i="19" a="1"/>
  <c r="H77" i="26" a="1"/>
  <c r="F24" i="19" a="1"/>
  <c r="J44" i="17" a="1"/>
  <c r="P53" i="20" a="1"/>
  <c r="D38" i="21" a="1"/>
  <c r="F103" i="20" a="1"/>
  <c r="O27" i="20" a="1"/>
  <c r="D101" i="20" a="1"/>
  <c r="H62" i="17" a="1"/>
  <c r="E129" i="19" a="1"/>
  <c r="I14" i="50" a="1"/>
  <c r="S48" i="20" a="1"/>
  <c r="R123" i="19" a="1"/>
  <c r="S49" i="46" a="1"/>
  <c r="R53" i="20" a="1"/>
  <c r="D125" i="19" a="1"/>
  <c r="F81" i="26" a="1"/>
  <c r="P31" i="26" a="1"/>
  <c r="F50" i="21" a="1"/>
  <c r="F7" i="21" a="1"/>
  <c r="G32" i="19" a="1"/>
  <c r="P34" i="20" a="1"/>
  <c r="H101" i="16" a="1"/>
  <c r="G61" i="16" a="1"/>
  <c r="D76" i="26" a="1"/>
  <c r="G75" i="20" a="1"/>
  <c r="H42" i="19" a="1"/>
  <c r="H39" i="21" a="1"/>
  <c r="N72" i="16" a="1"/>
  <c r="I54" i="20" a="1"/>
  <c r="F61" i="46" a="1"/>
  <c r="R69" i="20" a="1"/>
  <c r="E76" i="15" a="1"/>
  <c r="H17" i="20" a="1"/>
  <c r="H21" i="48" a="1"/>
  <c r="E11" i="19" a="1"/>
  <c r="E45" i="48" a="1"/>
  <c r="I67" i="15" a="1"/>
  <c r="V71" i="15" a="1"/>
  <c r="U55" i="46" a="1"/>
  <c r="K25" i="46" a="1"/>
  <c r="K45" i="17" a="1"/>
  <c r="Q55" i="46" a="1"/>
  <c r="G52" i="16" a="1"/>
  <c r="U71" i="15" a="1"/>
  <c r="I17" i="48" a="1"/>
  <c r="Q48" i="21" a="1"/>
  <c r="H50" i="46" a="1"/>
  <c r="E64" i="16" a="1"/>
  <c r="G24" i="26" a="1"/>
  <c r="P112" i="20" a="1"/>
  <c r="S139" i="19" a="1"/>
  <c r="H37" i="20" a="1"/>
  <c r="H44" i="20" a="1"/>
  <c r="U28" i="46" a="1"/>
  <c r="S28" i="50" a="1"/>
  <c r="G18" i="20" a="1"/>
  <c r="Q31" i="48" a="1"/>
  <c r="S32" i="19" a="1"/>
  <c r="Y79" i="15" a="1"/>
  <c r="I36" i="20" a="1"/>
  <c r="F23" i="21" a="1"/>
  <c r="E103" i="16" a="1"/>
  <c r="X21" i="16" a="1"/>
  <c r="J25" i="50" a="1"/>
  <c r="S49" i="15" a="1"/>
  <c r="D23" i="50" a="1"/>
  <c r="I25" i="21" a="1"/>
  <c r="Q118" i="19" a="1"/>
  <c r="H118" i="19" a="1"/>
  <c r="T73" i="16" a="1"/>
  <c r="X22" i="16" a="1"/>
  <c r="F64" i="15" a="1"/>
  <c r="I41" i="19" a="1"/>
  <c r="Q49" i="19" a="1"/>
  <c r="G57" i="26" a="1"/>
  <c r="J33" i="26" a="1"/>
  <c r="G59" i="16" a="1"/>
  <c r="U30" i="46" a="1"/>
  <c r="I40" i="20" a="1"/>
  <c r="Q48" i="46" a="1"/>
  <c r="G13" i="46" a="1"/>
  <c r="S69" i="16" a="1"/>
  <c r="H46" i="26" a="1"/>
  <c r="L16" i="48" a="1"/>
  <c r="U53" i="16" a="1"/>
  <c r="W26" i="48" a="1"/>
  <c r="F79" i="16" a="1"/>
  <c r="G81" i="16" a="1"/>
  <c r="G26" i="48" a="1"/>
  <c r="N58" i="26" a="1"/>
  <c r="P60" i="16" a="1"/>
  <c r="D19" i="26" a="1"/>
  <c r="G12" i="21" a="1"/>
  <c r="S121" i="19" a="1"/>
  <c r="G10" i="46" a="1"/>
  <c r="G24" i="21" a="1"/>
  <c r="J36" i="26" a="1"/>
  <c r="U53" i="15" a="1"/>
  <c r="I103" i="16" a="1"/>
  <c r="G44" i="15" a="1"/>
  <c r="R52" i="17" a="1"/>
  <c r="H141" i="19" a="1"/>
  <c r="S30" i="19" a="1"/>
  <c r="P36" i="26" a="1"/>
  <c r="K10" i="46" a="1"/>
  <c r="H14" i="21" a="1"/>
  <c r="E63" i="26" a="1"/>
  <c r="S109" i="20" a="1"/>
  <c r="W20" i="16" a="1"/>
  <c r="S73" i="20" a="1"/>
  <c r="F71" i="46" a="1"/>
  <c r="D124" i="19" a="1"/>
  <c r="E63" i="16" a="1"/>
  <c r="E48" i="20" a="1"/>
  <c r="K44" i="46" a="1"/>
  <c r="E55" i="19" a="1"/>
  <c r="I21" i="26" a="1"/>
  <c r="G120" i="46" a="1"/>
  <c r="F43" i="21" a="1"/>
  <c r="J60" i="15" a="1"/>
  <c r="S36" i="21" a="1"/>
  <c r="G31" i="26" a="1"/>
  <c r="D75" i="16" a="1"/>
  <c r="G66" i="15" a="1"/>
  <c r="X97" i="15" a="1"/>
  <c r="Q19" i="19" a="1"/>
  <c r="Q20" i="20" a="1"/>
  <c r="R48" i="46" a="1"/>
  <c r="G7" i="19" a="1"/>
  <c r="R16" i="19" a="1"/>
  <c r="F124" i="46" a="1"/>
  <c r="F103" i="16" a="1"/>
  <c r="F11" i="15" a="1"/>
  <c r="O46" i="19" a="1"/>
  <c r="J61" i="17" a="1"/>
  <c r="F86" i="20" a="1"/>
  <c r="Q63" i="46" a="1"/>
  <c r="D102" i="16" a="1"/>
  <c r="X46" i="16" a="1"/>
  <c r="I16" i="26" a="1"/>
  <c r="F73" i="46" a="1"/>
  <c r="D57" i="17" a="1"/>
  <c r="G25" i="46" a="1"/>
  <c r="T34" i="21" a="1"/>
  <c r="U59" i="16" a="1"/>
  <c r="G87" i="46" a="1"/>
  <c r="S9" i="46" a="1"/>
  <c r="E32" i="20" a="1"/>
  <c r="I92" i="16" a="1"/>
  <c r="D62" i="16" a="1"/>
  <c r="P113" i="20" a="1"/>
  <c r="H7" i="44" a="1"/>
  <c r="J16" i="46" a="1"/>
  <c r="W46" i="26" a="1"/>
  <c r="H31" i="26" a="1"/>
  <c r="H14" i="48" a="1"/>
  <c r="O116" i="19" a="1"/>
  <c r="O21" i="19" a="1"/>
  <c r="S11" i="20" a="1"/>
  <c r="F51" i="20" a="1"/>
  <c r="F52" i="20" a="1"/>
  <c r="P47" i="46" a="1"/>
  <c r="J31" i="50" a="1"/>
  <c r="X9" i="16" a="1"/>
  <c r="F43" i="20" a="1"/>
  <c r="U39" i="26" a="1"/>
  <c r="F8" i="44" a="1"/>
  <c r="W31" i="26" a="1"/>
  <c r="I40" i="48" a="1"/>
  <c r="U66" i="46" a="1"/>
  <c r="U77" i="46" a="1"/>
  <c r="D109" i="19" a="1"/>
  <c r="G6" i="46" a="1"/>
  <c r="S39" i="20" a="1"/>
  <c r="F44" i="20" a="1"/>
  <c r="E39" i="48" a="1"/>
  <c r="H37" i="26" a="1"/>
  <c r="O118" i="19" a="1"/>
  <c r="R55" i="20" a="1"/>
  <c r="J26" i="46" a="1"/>
  <c r="K67" i="15" a="1"/>
  <c r="Y54" i="15" a="1"/>
  <c r="J35" i="26" a="1"/>
  <c r="W12" i="16" a="1"/>
  <c r="P61" i="46" a="1"/>
  <c r="E34" i="20" a="1"/>
  <c r="K89" i="46" a="1"/>
  <c r="L15" i="48" a="1"/>
  <c r="G81" i="46" a="1"/>
  <c r="D66" i="20" a="1"/>
  <c r="F67" i="15" a="1"/>
  <c r="S87" i="16" a="1"/>
  <c r="E6" i="20" a="1"/>
  <c r="D50" i="15" a="1"/>
  <c r="G73" i="46" a="1"/>
  <c r="J46" i="21" a="1"/>
  <c r="J20" i="26" a="1"/>
  <c r="T46" i="46" a="1"/>
  <c r="J15" i="48" a="1"/>
  <c r="H84" i="20" a="1"/>
  <c r="D65" i="16" a="1"/>
  <c r="U18" i="46" a="1"/>
  <c r="U72" i="46" a="1"/>
  <c r="K31" i="48" a="1"/>
  <c r="H14" i="20" a="1"/>
  <c r="O25" i="19" a="1"/>
  <c r="D126" i="19" a="1"/>
  <c r="Q27" i="21" a="1"/>
  <c r="V32" i="26" a="1"/>
  <c r="S48" i="19" a="1"/>
  <c r="O26" i="19" a="1"/>
  <c r="R82" i="20" a="1"/>
  <c r="D53" i="19" a="1"/>
  <c r="R97" i="20" a="1"/>
  <c r="I52" i="19" a="1"/>
  <c r="P22" i="48" a="1"/>
  <c r="I15" i="21" a="1"/>
  <c r="D101" i="16" a="1"/>
  <c r="G56" i="19" a="1"/>
  <c r="R87" i="20" a="1"/>
  <c r="D12" i="21" a="1"/>
  <c r="E55" i="20" a="1"/>
  <c r="I125" i="46" a="1"/>
  <c r="L21" i="48" a="1"/>
  <c r="E59" i="20" a="1"/>
  <c r="G79" i="26" a="1"/>
  <c r="G81" i="20" a="1"/>
  <c r="S62" i="16" a="1"/>
  <c r="E9" i="26" a="1"/>
  <c r="Y80" i="15" a="1"/>
  <c r="T64" i="15" a="1"/>
  <c r="F21" i="50" a="1"/>
  <c r="K8" i="46" a="1"/>
  <c r="P45" i="48" a="1"/>
  <c r="G21" i="46" a="1"/>
  <c r="U60" i="15" a="1"/>
  <c r="I24" i="21" a="1"/>
  <c r="Y35" i="26" a="1"/>
  <c r="F25" i="50" a="1"/>
  <c r="F73" i="26" a="1"/>
  <c r="I51" i="20" a="1"/>
  <c r="I31" i="48" a="1"/>
  <c r="E85" i="16" a="1"/>
  <c r="J138" i="19" a="1"/>
  <c r="O107" i="19" a="1"/>
  <c r="G30" i="46" a="1"/>
  <c r="S41" i="26" a="1"/>
  <c r="T35" i="26" a="1"/>
  <c r="S37" i="16" a="1"/>
  <c r="P65" i="46" a="1"/>
  <c r="H82" i="46" a="1"/>
  <c r="E40" i="50" a="1"/>
  <c r="O31" i="19" a="1"/>
  <c r="I36" i="48" a="1"/>
  <c r="O43" i="19" a="1"/>
  <c r="I8" i="44" a="1"/>
  <c r="J36" i="48" a="1"/>
  <c r="H43" i="20" a="1"/>
  <c r="S85" i="16" a="1"/>
  <c r="K45" i="48" a="1"/>
  <c r="F78" i="15" a="1"/>
  <c r="W35" i="26" a="1"/>
  <c r="I91" i="15" a="1"/>
  <c r="I9" i="46" a="1"/>
  <c r="D17" i="21" a="1"/>
  <c r="S10" i="21" a="1"/>
  <c r="P106" i="20" a="1"/>
  <c r="J122" i="19" a="1"/>
  <c r="K20" i="48" a="1"/>
  <c r="O66" i="20" a="1"/>
  <c r="I44" i="16" a="1"/>
  <c r="D71" i="16" a="1"/>
  <c r="H17" i="48" a="1"/>
  <c r="F25" i="20" a="1"/>
  <c r="H10" i="50" a="1"/>
  <c r="U39" i="46" a="1"/>
  <c r="I126" i="19" a="1"/>
  <c r="F14" i="44" a="1"/>
  <c r="F125" i="46" a="1"/>
  <c r="G28" i="48" a="1"/>
  <c r="E15" i="19" a="1"/>
  <c r="G33" i="50" a="1"/>
  <c r="D26" i="20" a="1"/>
  <c r="E138" i="19" a="1"/>
  <c r="T12" i="46" a="1"/>
  <c r="Q21" i="48" a="1"/>
  <c r="U44" i="15" a="1"/>
  <c r="P15" i="20" a="1"/>
  <c r="P76" i="46" a="1"/>
  <c r="P82" i="46" a="1"/>
  <c r="P30" i="20" a="1"/>
  <c r="E27" i="21" a="1"/>
  <c r="P73" i="46" a="1"/>
  <c r="R63" i="20" a="1"/>
  <c r="P91" i="20" a="1"/>
  <c r="F77" i="16" a="1"/>
  <c r="G88" i="16" a="1"/>
  <c r="H72" i="26" a="1"/>
  <c r="G31" i="50" a="1"/>
  <c r="I67" i="46" a="1"/>
  <c r="E33" i="19" a="1"/>
  <c r="U55" i="16" a="1"/>
  <c r="H68" i="17" a="1"/>
  <c r="T96" i="15" a="1"/>
  <c r="E71" i="17" a="1"/>
  <c r="H57" i="46" a="1"/>
  <c r="R91" i="20" a="1"/>
  <c r="S97" i="16" a="1"/>
  <c r="R7" i="48" a="1"/>
  <c r="J24" i="46" a="1"/>
  <c r="J19" i="26" a="1"/>
  <c r="R12" i="19" a="1"/>
  <c r="S7" i="19" a="1"/>
  <c r="G82" i="20" a="1"/>
  <c r="J127" i="19" a="1"/>
  <c r="D23" i="21" a="1"/>
  <c r="T42" i="21" a="1"/>
  <c r="V36" i="26" a="1"/>
  <c r="G120" i="19" a="1"/>
  <c r="J85" i="16" a="1"/>
  <c r="I84" i="16" a="1"/>
  <c r="S60" i="15" a="1"/>
  <c r="W25" i="48" a="1"/>
  <c r="S84" i="15" a="1"/>
  <c r="F65" i="26" a="1"/>
  <c r="G28" i="21" a="1"/>
  <c r="D15" i="19" a="1"/>
  <c r="H27" i="19" a="1"/>
  <c r="I72" i="16" a="1"/>
  <c r="O76" i="26" a="1"/>
  <c r="F112" i="19" a="1"/>
  <c r="J44" i="48" a="1"/>
  <c r="S35" i="26" a="1"/>
  <c r="Q41" i="19" a="1"/>
  <c r="F14" i="16" a="1"/>
  <c r="R46" i="17" a="1"/>
  <c r="Q75" i="46" a="1"/>
  <c r="G35" i="26" a="1"/>
  <c r="F75" i="46" a="1"/>
  <c r="I42" i="16" a="1"/>
  <c r="F8" i="50" a="1"/>
  <c r="I80" i="46" a="1"/>
  <c r="P44" i="20" a="1"/>
  <c r="Q20" i="48" a="1"/>
  <c r="R27" i="20" a="1"/>
  <c r="U50" i="46" a="1"/>
  <c r="Q37" i="19" a="1"/>
  <c r="F30" i="50" a="1"/>
  <c r="F118" i="46" a="1"/>
  <c r="F119" i="19" a="1"/>
  <c r="Q46" i="21" a="1"/>
  <c r="O58" i="19" a="1"/>
  <c r="H74" i="16" a="1"/>
  <c r="F8" i="16" a="1"/>
  <c r="H14" i="44" a="1"/>
  <c r="Q55" i="19" a="1"/>
  <c r="Q81" i="20" a="1"/>
  <c r="U75" i="16" a="1"/>
  <c r="E59" i="17" a="1"/>
  <c r="E69" i="20" a="1"/>
  <c r="X72" i="16" a="1"/>
  <c r="K65" i="15" a="1"/>
  <c r="O62" i="26" a="1"/>
  <c r="S40" i="21" a="1"/>
  <c r="F29" i="50" a="1"/>
  <c r="I36" i="21" a="1"/>
  <c r="I119" i="19" a="1"/>
  <c r="U49" i="46" a="1"/>
  <c r="T42" i="46" a="1"/>
  <c r="K9" i="46" a="1"/>
  <c r="O30" i="20" a="1"/>
  <c r="H10" i="48" a="1"/>
  <c r="I124" i="46" a="1"/>
  <c r="Y47" i="15" a="1"/>
  <c r="D35" i="19" a="1"/>
  <c r="F18" i="50" a="1"/>
  <c r="G20" i="46" a="1"/>
  <c r="F23" i="19" a="1"/>
  <c r="I10" i="21" a="1"/>
  <c r="R36" i="26" a="1"/>
  <c r="G77" i="46" a="1"/>
  <c r="D12" i="26" a="1"/>
  <c r="K36" i="46" a="1"/>
  <c r="E77" i="20" a="1"/>
  <c r="F36" i="21" a="1"/>
  <c r="D25" i="50" a="1"/>
  <c r="F73" i="16" a="1"/>
  <c r="T61" i="16" a="1"/>
  <c r="F50" i="19" a="1"/>
  <c r="S8" i="20" a="1"/>
  <c r="E59" i="19" a="1"/>
  <c r="H52" i="19" a="1"/>
  <c r="T36" i="26" a="1"/>
  <c r="I10" i="46" a="1"/>
  <c r="I87" i="15" a="1"/>
  <c r="D115" i="19" a="1"/>
  <c r="Y40" i="26" a="1"/>
  <c r="E26" i="21" a="1"/>
  <c r="H59" i="46" a="1"/>
  <c r="I9" i="20" a="1"/>
  <c r="E51" i="15" a="1"/>
  <c r="U15" i="46" a="1"/>
  <c r="R61" i="46" a="1"/>
  <c r="X19" i="16" a="1"/>
  <c r="E84" i="20" a="1"/>
  <c r="F44" i="46" a="1"/>
  <c r="Q31" i="21" a="1"/>
  <c r="P38" i="46" a="1"/>
  <c r="P32" i="16" a="1"/>
  <c r="F36" i="26" a="1"/>
  <c r="R49" i="19" a="1"/>
  <c r="P73" i="15" a="1"/>
  <c r="S16" i="19" a="1"/>
  <c r="AA43" i="26" a="1"/>
  <c r="F39" i="48" a="1"/>
  <c r="L26" i="48" a="1"/>
  <c r="O11" i="19" a="1"/>
  <c r="U69" i="15" a="1"/>
  <c r="F28" i="50" a="1"/>
  <c r="J35" i="50" a="1"/>
  <c r="Y71" i="15" a="1"/>
  <c r="T44" i="15" a="1"/>
  <c r="E49" i="20" a="1"/>
  <c r="D81" i="20" a="1"/>
  <c r="E18" i="26" a="1"/>
  <c r="S37" i="21" a="1"/>
  <c r="E56" i="16" a="1"/>
  <c r="J41" i="17" a="1"/>
  <c r="R34" i="50" a="1"/>
  <c r="J10" i="21" a="1"/>
  <c r="J31" i="48" a="1"/>
  <c r="D67" i="20" a="1"/>
  <c r="S141" i="19" a="1"/>
  <c r="F27" i="16" a="1"/>
  <c r="H32" i="26" a="1"/>
  <c r="X52" i="16" a="1"/>
  <c r="E114" i="20" a="1"/>
  <c r="F42" i="48" a="1"/>
  <c r="J67" i="17" a="1"/>
  <c r="E68" i="15" a="1"/>
  <c r="H35" i="50" a="1"/>
  <c r="I11" i="20" a="1"/>
  <c r="R30" i="20" a="1"/>
  <c r="G58" i="20" a="1"/>
  <c r="S25" i="21" a="1"/>
  <c r="I70" i="15" a="1"/>
  <c r="R60" i="20" a="1"/>
  <c r="D19" i="20" a="1"/>
  <c r="G96" i="16" a="1"/>
  <c r="I33" i="19" a="1"/>
  <c r="K68" i="15" a="1"/>
  <c r="W37" i="26" a="1"/>
  <c r="I16" i="48" a="1"/>
  <c r="J95" i="15" a="1"/>
  <c r="I125" i="19" a="1"/>
  <c r="D44" i="15" a="1"/>
  <c r="F6" i="21" a="1"/>
  <c r="G36" i="21" a="1"/>
  <c r="P24" i="50" a="1"/>
  <c r="E70" i="26" a="1"/>
  <c r="J70" i="17" a="1"/>
  <c r="D46" i="21" a="1"/>
  <c r="R11" i="19" a="1"/>
  <c r="I29" i="50" a="1"/>
  <c r="K86" i="15" a="1"/>
  <c r="T93" i="15" a="1"/>
  <c r="E57" i="19" a="1"/>
  <c r="J36" i="21" a="1"/>
  <c r="O14" i="19" a="1"/>
  <c r="I34" i="19" a="1"/>
  <c r="D37" i="20" a="1"/>
  <c r="J10" i="46" a="1"/>
  <c r="K49" i="15" a="1"/>
  <c r="Q60" i="20" a="1"/>
  <c r="G9" i="48" a="1"/>
  <c r="O78" i="15" a="1"/>
  <c r="H44" i="26" a="1"/>
  <c r="Y33" i="26" a="1"/>
  <c r="H117" i="19" a="1"/>
  <c r="I89" i="16" a="1"/>
  <c r="J79" i="46" a="1"/>
  <c r="S46" i="17" a="1"/>
  <c r="O19" i="20" a="1"/>
  <c r="R80" i="20" a="1"/>
  <c r="F81" i="46" a="1"/>
  <c r="D107" i="20" a="1"/>
  <c r="G10" i="48" a="1"/>
  <c r="W7" i="44" a="1"/>
  <c r="Q82" i="15" a="1"/>
  <c r="U51" i="15" a="1"/>
  <c r="G70" i="17" a="1"/>
  <c r="I10" i="26" a="1"/>
  <c r="Q19" i="48" a="1"/>
  <c r="O81" i="15" a="1"/>
  <c r="G39" i="48" a="1"/>
  <c r="H67" i="16" a="1"/>
  <c r="G40" i="26" a="1"/>
  <c r="J72" i="17" a="1"/>
  <c r="D14" i="44" a="1"/>
  <c r="E21" i="20" a="1"/>
  <c r="P28" i="48" a="1"/>
  <c r="G22" i="46" a="1"/>
  <c r="J52" i="46" a="1"/>
  <c r="Q61" i="15" a="1"/>
  <c r="E18" i="19" a="1"/>
  <c r="G142" i="19" a="1"/>
  <c r="D42" i="17" a="1"/>
  <c r="Q30" i="46" a="1"/>
  <c r="E15" i="20" a="1"/>
  <c r="P42" i="48" a="1"/>
  <c r="V79" i="15" a="1"/>
  <c r="R70" i="20" a="1"/>
  <c r="U37" i="26" a="1"/>
  <c r="Y39" i="15" a="1"/>
  <c r="Q24" i="21" a="1"/>
  <c r="S48" i="15" a="1"/>
  <c r="F35" i="50" a="1"/>
  <c r="F87" i="15" a="1"/>
  <c r="G10" i="21" a="1"/>
  <c r="U38" i="26" a="1"/>
  <c r="R113" i="20" a="1"/>
  <c r="I53" i="20" a="1"/>
  <c r="F85" i="16" a="1"/>
  <c r="F16" i="16" a="1"/>
  <c r="F17" i="26" a="1"/>
  <c r="D140" i="19" a="1"/>
  <c r="Q70" i="46" a="1"/>
  <c r="F37" i="48" a="1"/>
  <c r="F71" i="26" a="1"/>
  <c r="AA44" i="26" a="1"/>
  <c r="H60" i="17" a="1"/>
  <c r="U37" i="46" a="1"/>
  <c r="F65" i="17" a="1"/>
  <c r="G37" i="46" a="1"/>
  <c r="H30" i="46" a="1"/>
  <c r="F24" i="20" a="1"/>
  <c r="H15" i="19" a="1"/>
  <c r="I16" i="20" a="1"/>
  <c r="J26" i="19" a="1"/>
  <c r="I37" i="50" a="1"/>
  <c r="J98" i="16" a="1"/>
  <c r="Y46" i="26" a="1"/>
  <c r="D40" i="17" a="1"/>
  <c r="H24" i="48" a="1"/>
  <c r="T47" i="15" a="1"/>
  <c r="R59" i="17" a="1"/>
  <c r="J58" i="19" a="1"/>
  <c r="E20" i="26" a="1"/>
  <c r="F127" i="46" a="1"/>
  <c r="H80" i="26" a="1"/>
  <c r="S39" i="19" a="1"/>
  <c r="Q79" i="20" a="1"/>
  <c r="H77" i="16" a="1"/>
  <c r="H9" i="50" a="1"/>
  <c r="D65" i="20" a="1"/>
  <c r="I54" i="16" a="1"/>
  <c r="D26" i="21" a="1"/>
  <c r="T87" i="15" a="1"/>
  <c r="H54" i="19" a="1"/>
  <c r="P56" i="46" a="1"/>
  <c r="O62" i="15" a="1"/>
  <c r="Q90" i="20" a="1"/>
  <c r="R83" i="20" a="1"/>
  <c r="E105" i="20" a="1"/>
  <c r="R66" i="20" a="1"/>
  <c r="H137" i="19" a="1"/>
  <c r="I17" i="46" a="1"/>
  <c r="AA35" i="26" a="1"/>
  <c r="J128" i="19" a="1"/>
  <c r="Q37" i="46" a="1"/>
  <c r="G66" i="20" a="1"/>
  <c r="D87" i="16" a="1"/>
  <c r="O90" i="20" a="1"/>
  <c r="V29" i="26" a="1"/>
  <c r="I74" i="46" a="1"/>
  <c r="P8" i="50" a="1"/>
  <c r="D61" i="16" a="1"/>
  <c r="Q53" i="46" a="1"/>
  <c r="Y63" i="15" a="1"/>
  <c r="S32" i="21" a="1"/>
  <c r="Q10" i="21" a="1"/>
  <c r="H64" i="20" a="1"/>
  <c r="O64" i="26" a="1"/>
  <c r="I38" i="26" a="1"/>
  <c r="E19" i="20" a="1"/>
  <c r="P8" i="19" a="1"/>
  <c r="G58" i="26" a="1"/>
  <c r="F9" i="26" a="1"/>
  <c r="H26" i="21" a="1"/>
  <c r="E88" i="20" a="1"/>
  <c r="H87" i="16" a="1"/>
  <c r="S34" i="26" a="1"/>
  <c r="E16" i="48" a="1"/>
  <c r="U32" i="26" a="1"/>
  <c r="D74" i="16" a="1"/>
  <c r="E25" i="21" a="1"/>
  <c r="F39" i="15" a="1"/>
  <c r="F76" i="16" a="1"/>
  <c r="P50" i="15" a="1"/>
  <c r="D19" i="19" a="1"/>
  <c r="D10" i="16" a="1"/>
  <c r="I79" i="26" a="1"/>
  <c r="I101" i="16" a="1"/>
  <c r="S7" i="50" a="1"/>
  <c r="W14" i="16" a="1"/>
  <c r="K97" i="15" a="1"/>
  <c r="T72" i="15" a="1"/>
  <c r="E76" i="16" a="1"/>
  <c r="Q46" i="19" a="1"/>
  <c r="X38" i="16" a="1"/>
  <c r="J126" i="19" a="1"/>
  <c r="K42" i="48" a="1"/>
  <c r="S109" i="19" a="1"/>
  <c r="D127" i="19" a="1"/>
  <c r="J71" i="46" a="1"/>
  <c r="F19" i="20" a="1"/>
  <c r="D89" i="20" a="1"/>
  <c r="O9" i="20" a="1"/>
  <c r="R117" i="19" a="1"/>
  <c r="G19" i="26" a="1"/>
  <c r="S106" i="20" a="1"/>
  <c r="K58" i="46" a="1"/>
  <c r="D32" i="20" a="1"/>
  <c r="E98" i="20" a="1"/>
  <c r="Q50" i="15" a="1"/>
  <c r="R44" i="20" a="1"/>
  <c r="K85" i="15" a="1"/>
  <c r="X77" i="16" a="1"/>
  <c r="R64" i="17" a="1"/>
  <c r="F72" i="17" a="1"/>
  <c r="P107" i="20" a="1"/>
  <c r="O35" i="19" a="1"/>
  <c r="T63" i="16" a="1"/>
  <c r="H57" i="19" a="1"/>
  <c r="D82" i="20" a="1"/>
  <c r="R32" i="20" a="1"/>
  <c r="P33" i="20" a="1"/>
  <c r="Q38" i="21" a="1"/>
  <c r="J9" i="48" a="1"/>
  <c r="S81" i="15" a="1"/>
  <c r="G90" i="15" a="1"/>
  <c r="K63" i="15" a="1"/>
  <c r="E72" i="17" a="1"/>
  <c r="P20" i="48" a="1"/>
  <c r="S90" i="15" a="1"/>
  <c r="E79" i="20" a="1"/>
  <c r="S24" i="20" a="1"/>
  <c r="Q17" i="20" a="1"/>
  <c r="P7" i="20" a="1"/>
  <c r="D96" i="16" a="1"/>
  <c r="E14" i="48" a="1"/>
  <c r="P14" i="20" a="1"/>
  <c r="G46" i="48" a="1"/>
  <c r="I24" i="20" a="1"/>
  <c r="I87" i="46" a="1"/>
  <c r="R15" i="20" a="1"/>
  <c r="S82" i="20" a="1"/>
  <c r="F15" i="20" a="1"/>
  <c r="E94" i="16" a="1"/>
  <c r="Q16" i="21" a="1"/>
  <c r="Q54" i="15" a="1"/>
  <c r="Q36" i="46" a="1"/>
  <c r="H30" i="19" a="1"/>
  <c r="Q105" i="20" a="1"/>
  <c r="T79" i="16" a="1"/>
  <c r="T9" i="21" a="1"/>
  <c r="J21" i="48" a="1"/>
  <c r="H12" i="19" a="1"/>
  <c r="Q34" i="26" a="1"/>
  <c r="S41" i="21" a="1"/>
  <c r="R13" i="20" a="1"/>
  <c r="O84" i="20" a="1"/>
  <c r="S15" i="19" a="1"/>
  <c r="G37" i="21" a="1"/>
  <c r="G7" i="20" a="1"/>
  <c r="N56" i="16" a="1"/>
  <c r="G21" i="19" a="1"/>
  <c r="D45" i="21" a="1"/>
  <c r="F7" i="48" a="1"/>
  <c r="J129" i="19" a="1"/>
  <c r="G91" i="16" a="1"/>
  <c r="J33" i="19" a="1"/>
  <c r="T28" i="15" a="1"/>
  <c r="S21" i="50" a="1"/>
  <c r="Q82" i="46" a="1"/>
  <c r="S71" i="20" a="1"/>
  <c r="G18" i="48" a="1"/>
  <c r="H126" i="46" a="1"/>
  <c r="P101" i="20" a="1"/>
  <c r="G85" i="15" a="1"/>
  <c r="E76" i="20" a="1"/>
  <c r="S22" i="46" a="1"/>
  <c r="R30" i="50" a="1"/>
  <c r="D132" i="19" a="1"/>
  <c r="E128" i="19" a="1"/>
  <c r="I33" i="26" a="1"/>
  <c r="E43" i="19" a="1"/>
  <c r="U45" i="46" a="1"/>
  <c r="E27" i="50" a="1"/>
  <c r="O41" i="19" a="1"/>
  <c r="E39" i="20" a="1"/>
  <c r="H28" i="20" a="1"/>
  <c r="O24" i="20" a="1"/>
  <c r="J121" i="46" a="1"/>
  <c r="R30" i="26" a="1"/>
  <c r="J137" i="19" a="1"/>
  <c r="G13" i="44" a="1"/>
  <c r="F29" i="46" a="1"/>
  <c r="H9" i="44" a="1"/>
  <c r="U72" i="15" a="1"/>
  <c r="J88" i="16" a="1"/>
  <c r="F20" i="19" a="1"/>
  <c r="K46" i="46" a="1"/>
  <c r="Q50" i="19" a="1"/>
  <c r="F46" i="16" a="1"/>
  <c r="Q35" i="26" a="1"/>
  <c r="R137" i="19" a="1"/>
  <c r="I108" i="19" a="1"/>
  <c r="D37" i="19" a="1"/>
  <c r="I47" i="48" a="1"/>
  <c r="G89" i="15" a="1"/>
  <c r="H49" i="46" a="1"/>
  <c r="E37" i="17" a="1"/>
  <c r="V84" i="15" a="1"/>
  <c r="I31" i="19" a="1"/>
  <c r="P77" i="46" a="1"/>
  <c r="D73" i="17" a="1"/>
  <c r="F17" i="20" a="1"/>
  <c r="D79" i="16" a="1"/>
  <c r="P38" i="20" a="1"/>
  <c r="R58" i="20" a="1"/>
  <c r="Q7" i="21" a="1"/>
  <c r="E74" i="16" a="1"/>
  <c r="P92" i="20" a="1"/>
  <c r="S80" i="16" a="1"/>
  <c r="I63" i="46" a="1"/>
  <c r="J55" i="26" a="1"/>
  <c r="Q10" i="20" a="1"/>
  <c r="I64" i="15" a="1"/>
  <c r="X97" i="16" a="1"/>
  <c r="H71" i="26" a="1"/>
  <c r="K46" i="48" a="1"/>
  <c r="E11" i="50" a="1"/>
  <c r="P78" i="15" a="1"/>
  <c r="E119" i="19" a="1"/>
  <c r="H86" i="16" a="1"/>
  <c r="J40" i="19" a="1"/>
  <c r="Y31" i="15" a="1"/>
  <c r="S51" i="21" a="1"/>
  <c r="D62" i="26" a="1"/>
  <c r="D64" i="26" a="1"/>
  <c r="U22" i="46" a="1"/>
  <c r="I95" i="16" a="1"/>
  <c r="J28" i="46" a="1"/>
  <c r="S42" i="20" a="1"/>
  <c r="H30" i="26" a="1"/>
  <c r="R99" i="20" a="1"/>
  <c r="W15" i="48" a="1"/>
  <c r="H9" i="46" a="1"/>
  <c r="K19" i="44" a="1"/>
  <c r="I59" i="46" a="1"/>
  <c r="P96" i="20" a="1"/>
  <c r="I48" i="19" a="1"/>
  <c r="O51" i="15" a="1"/>
  <c r="O79" i="20" a="1"/>
  <c r="E47" i="20" a="1"/>
  <c r="T31" i="26" a="1"/>
  <c r="G40" i="19" a="1"/>
  <c r="N77" i="16" a="1"/>
  <c r="D13" i="16" a="1"/>
  <c r="S129" i="19" a="1"/>
  <c r="E58" i="17" a="1"/>
  <c r="F95" i="15" a="1"/>
  <c r="R73" i="46" a="1"/>
  <c r="P109" i="20" a="1"/>
  <c r="N31" i="26" a="1"/>
  <c r="P23" i="20" a="1"/>
  <c r="G27" i="20" a="1"/>
  <c r="O39" i="19" a="1"/>
  <c r="J74" i="46" a="1"/>
  <c r="Q120" i="46" a="1"/>
  <c r="D61" i="20" a="1"/>
  <c r="F53" i="19" a="1"/>
  <c r="D10" i="26" a="1"/>
  <c r="P111" i="20" a="1"/>
  <c r="G34" i="50" a="1"/>
  <c r="H62" i="26" a="1"/>
  <c r="O79" i="15" a="1"/>
  <c r="O74" i="16" a="1"/>
  <c r="D68" i="17" a="1"/>
  <c r="Y92" i="15" a="1"/>
  <c r="P68" i="20" a="1"/>
  <c r="F30" i="46" a="1"/>
  <c r="O70" i="20" a="1"/>
  <c r="E16" i="19" a="1"/>
  <c r="I129" i="19" a="1"/>
  <c r="E116" i="19" a="1"/>
  <c r="P25" i="20" a="1"/>
  <c r="S94" i="20" a="1"/>
  <c r="H45" i="19" a="1"/>
  <c r="V37" i="26" a="1"/>
  <c r="G29" i="20" a="1"/>
  <c r="G34" i="46" a="1"/>
  <c r="I69" i="17" a="1"/>
  <c r="K18" i="46" a="1"/>
  <c r="E106" i="20" a="1"/>
  <c r="T35" i="15" a="1"/>
  <c r="H17" i="26" a="1"/>
  <c r="S69" i="15" a="1"/>
  <c r="J25" i="46" a="1"/>
  <c r="I81" i="16" a="1"/>
  <c r="I76" i="16" a="1"/>
  <c r="J9" i="46" a="1"/>
  <c r="D14" i="21" a="1"/>
  <c r="G45" i="16" a="1"/>
  <c r="G73" i="20" a="1"/>
  <c r="J96" i="16" a="1"/>
  <c r="H31" i="48" a="1"/>
  <c r="F97" i="20" a="1"/>
  <c r="U36" i="26" a="1"/>
  <c r="G55" i="19" a="1"/>
  <c r="G59" i="26" a="1"/>
  <c r="S86" i="16" a="1"/>
  <c r="V35" i="26" a="1"/>
  <c r="H102" i="16" a="1"/>
  <c r="F122" i="19" a="1"/>
  <c r="K88" i="46" a="1"/>
  <c r="J108" i="19" a="1"/>
  <c r="P56" i="16" a="1"/>
  <c r="P45" i="19" a="1"/>
  <c r="F84" i="15" a="1"/>
  <c r="R29" i="20" a="1"/>
  <c r="G74" i="46" a="1"/>
  <c r="P35" i="50" a="1"/>
  <c r="I59" i="16" a="1"/>
  <c r="H108" i="19" a="1"/>
  <c r="I12" i="48" a="1"/>
  <c r="J62" i="26" a="1"/>
  <c r="F20" i="20" a="1"/>
  <c r="H65" i="46" a="1"/>
  <c r="L44" i="48" a="1"/>
  <c r="K91" i="15" a="1"/>
  <c r="G63" i="16" a="1"/>
  <c r="G80" i="26" a="1"/>
  <c r="S110" i="20" a="1"/>
  <c r="H28" i="50" a="1"/>
  <c r="E40" i="17" a="1"/>
  <c r="I65" i="46" a="1"/>
  <c r="H9" i="20" a="1"/>
  <c r="Q87" i="15" a="1"/>
  <c r="J119" i="46" a="1"/>
  <c r="F25" i="15" a="1"/>
  <c r="S28" i="20" a="1"/>
  <c r="W18" i="16" a="1"/>
  <c r="J19" i="44" a="1"/>
  <c r="F125" i="19" a="1"/>
  <c r="H39" i="19" a="1"/>
  <c r="K14" i="46" a="1"/>
  <c r="F142" i="19" a="1"/>
  <c r="R125" i="19" a="1"/>
  <c r="I39" i="48" a="1"/>
  <c r="P41" i="50" a="1"/>
  <c r="I35" i="20" a="1"/>
  <c r="G35" i="46" a="1"/>
  <c r="K43" i="46" a="1"/>
  <c r="P56" i="19" a="1"/>
  <c r="S11" i="19" a="1"/>
  <c r="G141" i="19" a="1"/>
  <c r="R62" i="20" a="1"/>
  <c r="G70" i="16" a="1"/>
  <c r="J117" i="19" a="1"/>
  <c r="F107" i="19" a="1"/>
  <c r="Y68" i="15" a="1"/>
  <c r="E19" i="48" a="1"/>
  <c r="T27" i="15" a="1"/>
  <c r="Q13" i="48" a="1"/>
  <c r="S55" i="20" a="1"/>
  <c r="F88" i="46" a="1"/>
  <c r="G82" i="15" a="1"/>
  <c r="J57" i="16" a="1"/>
  <c r="E34" i="50" a="1"/>
  <c r="E42" i="21" a="1"/>
  <c r="G36" i="20" a="1"/>
  <c r="E39" i="17" a="1"/>
  <c r="J10" i="19" a="1"/>
  <c r="H37" i="46" a="1"/>
  <c r="E102" i="16" a="1"/>
  <c r="O108" i="19" a="1"/>
  <c r="D29" i="16" a="1"/>
  <c r="I40" i="21" a="1"/>
  <c r="R59" i="20" a="1"/>
  <c r="S118" i="19" a="1"/>
  <c r="E41" i="19" a="1"/>
  <c r="K82" i="46" a="1"/>
  <c r="U125" i="46" a="1"/>
  <c r="T53" i="16" a="1"/>
  <c r="W22" i="16" a="1"/>
  <c r="Y84" i="15" a="1"/>
  <c r="O12" i="19" a="1"/>
  <c r="W26" i="16" a="1"/>
  <c r="Q24" i="46" a="1"/>
  <c r="F69" i="17" a="1"/>
  <c r="D11" i="26" a="1"/>
  <c r="V68" i="15" a="1"/>
  <c r="F63" i="16" a="1"/>
  <c r="H80" i="15" a="1"/>
  <c r="I6" i="15" a="1"/>
  <c r="E23" i="21" a="1"/>
  <c r="I97" i="16" a="1"/>
  <c r="E52" i="19" a="1"/>
  <c r="T61" i="46" a="1"/>
  <c r="F16" i="48" a="1"/>
  <c r="E95" i="16" a="1"/>
  <c r="D76" i="16" a="1"/>
  <c r="G9" i="19" a="1"/>
  <c r="N75" i="26" a="1"/>
  <c r="R133" i="19" a="1"/>
  <c r="D43" i="19" a="1"/>
  <c r="Q74" i="46" a="1"/>
  <c r="F50" i="20" a="1"/>
  <c r="Z37" i="26" a="1"/>
  <c r="D89" i="15" a="1"/>
  <c r="R48" i="19" a="1"/>
  <c r="N65" i="26" a="1"/>
  <c r="D51" i="19" a="1"/>
  <c r="F79" i="20" a="1"/>
  <c r="H45" i="26" a="1"/>
  <c r="S38" i="16" a="1"/>
  <c r="S75" i="20" a="1"/>
  <c r="P21" i="20" a="1"/>
  <c r="W9" i="48" a="1"/>
  <c r="F88" i="16" a="1"/>
  <c r="D25" i="16" a="1"/>
  <c r="O31" i="16" a="1"/>
  <c r="P70" i="16" a="1"/>
  <c r="E14" i="50" a="1"/>
  <c r="D7" i="21" a="1"/>
  <c r="O87" i="15" a="1"/>
  <c r="R39" i="46" a="1"/>
  <c r="O57" i="19" a="1"/>
  <c r="W17" i="48" a="1"/>
  <c r="H25" i="26" a="1"/>
  <c r="AA32" i="26" a="1"/>
  <c r="H43" i="17" a="1"/>
  <c r="D54" i="16" a="1"/>
  <c r="F49" i="21" a="1"/>
  <c r="O21" i="20" a="1"/>
  <c r="J15" i="19" a="1"/>
  <c r="I96" i="15" a="1"/>
  <c r="P76" i="15" a="1"/>
  <c r="H70" i="17" a="1"/>
  <c r="F14" i="50" a="1"/>
  <c r="J83" i="15" a="1"/>
  <c r="T38" i="26" a="1"/>
  <c r="S105" i="20" a="1"/>
  <c r="H40" i="20" a="1"/>
  <c r="V27" i="16" a="1"/>
  <c r="N74" i="26" a="1"/>
  <c r="S18" i="21" a="1"/>
  <c r="W13" i="16" a="1"/>
  <c r="J39" i="48" a="1"/>
  <c r="Q128" i="19" a="1"/>
  <c r="K24" i="46" a="1"/>
  <c r="Q41" i="46" a="1"/>
  <c r="P80" i="46" a="1"/>
  <c r="N24" i="26" a="1"/>
  <c r="G129" i="46" a="1"/>
  <c r="G46" i="26" a="1"/>
  <c r="Y66" i="15" a="1"/>
  <c r="H37" i="19" a="1"/>
  <c r="D45" i="19" a="1"/>
  <c r="I123" i="46" a="1"/>
  <c r="H68" i="46" a="1"/>
  <c r="G56" i="46" a="1"/>
  <c r="X86" i="16" a="1"/>
  <c r="T34" i="15" a="1"/>
  <c r="O114" i="20" a="1"/>
  <c r="R29" i="46" a="1"/>
  <c r="G85" i="20" a="1"/>
  <c r="N32" i="26" a="1"/>
  <c r="T32" i="15" a="1"/>
  <c r="H48" i="20" a="1"/>
  <c r="R25" i="46" a="1"/>
  <c r="F58" i="20" a="1"/>
  <c r="F39" i="19" a="1"/>
  <c r="F37" i="50" a="1"/>
  <c r="R44" i="26" a="1"/>
  <c r="F8" i="19" a="1"/>
  <c r="O109" i="19" a="1"/>
  <c r="P18" i="48" a="1"/>
  <c r="S77" i="15" a="1"/>
  <c r="J46" i="16" a="1"/>
  <c r="O69" i="20" a="1"/>
  <c r="I13" i="50" a="1"/>
  <c r="Q121" i="19" a="1"/>
  <c r="E134" i="19" a="1"/>
  <c r="J36" i="46" a="1"/>
  <c r="E51" i="20" a="1"/>
  <c r="S51" i="20" a="1"/>
  <c r="R51" i="46" a="1"/>
  <c r="N54" i="16" a="1"/>
  <c r="K95" i="15" a="1"/>
  <c r="H129" i="46" a="1"/>
  <c r="J17" i="48" a="1"/>
  <c r="G40" i="50" a="1"/>
  <c r="R94" i="20" a="1"/>
  <c r="P77" i="16" a="1"/>
  <c r="F9" i="20" a="1"/>
  <c r="U122" i="46" a="1"/>
  <c r="H43" i="48" a="1"/>
  <c r="F49" i="15" a="1"/>
  <c r="O37" i="19" a="1"/>
  <c r="D54" i="20" a="1"/>
  <c r="G13" i="19" a="1"/>
  <c r="G16" i="20" a="1"/>
  <c r="G36" i="46" a="1"/>
  <c r="R20" i="50" a="1"/>
  <c r="H67" i="17" a="1"/>
  <c r="Q53" i="15" a="1"/>
  <c r="J93" i="16" a="1"/>
  <c r="E64" i="15" a="1"/>
  <c r="X20" i="16" a="1"/>
  <c r="I75" i="16" a="1"/>
  <c r="Q65" i="20" a="1"/>
  <c r="D17" i="16" a="1"/>
  <c r="P36" i="19" a="1"/>
  <c r="F113" i="19" a="1"/>
  <c r="T74" i="46" a="1"/>
  <c r="E108" i="19" a="1"/>
  <c r="K78" i="15" a="1"/>
  <c r="O114" i="19" a="1"/>
  <c r="H74" i="46" a="1"/>
  <c r="P11" i="19" a="1"/>
  <c r="G69" i="46" a="1"/>
  <c r="F76" i="15" a="1"/>
  <c r="D63" i="16" a="1"/>
  <c r="U46" i="46" a="1"/>
  <c r="S40" i="46" a="1"/>
  <c r="Q26" i="48" a="1"/>
  <c r="N46" i="26" a="1"/>
  <c r="D41" i="17" a="1"/>
  <c r="H54" i="17" a="1"/>
  <c r="P43" i="20" a="1"/>
  <c r="R40" i="19" a="1"/>
  <c r="H18" i="48" a="1"/>
  <c r="F62" i="15" a="1"/>
  <c r="G13" i="20" a="1"/>
  <c r="D53" i="15" a="1"/>
  <c r="G118" i="19" a="1"/>
  <c r="I71" i="16" a="1"/>
  <c r="P79" i="16" a="1"/>
  <c r="G67" i="15" a="1"/>
  <c r="R32" i="26" a="1"/>
  <c r="D40" i="20" a="1"/>
  <c r="I55" i="17" a="1"/>
  <c r="U79" i="46" a="1"/>
  <c r="I43" i="19" a="1"/>
  <c r="I73" i="17" a="1"/>
  <c r="K54" i="15" a="1"/>
  <c r="J38" i="50" a="1"/>
  <c r="G41" i="48" a="1"/>
  <c r="H48" i="16" a="1"/>
  <c r="G13" i="48" a="1"/>
  <c r="J18" i="46" a="1"/>
  <c r="F98" i="20" a="1"/>
  <c r="L11" i="48" a="1"/>
  <c r="J56" i="19" a="1"/>
  <c r="F70" i="16" a="1"/>
  <c r="T69" i="16" a="1"/>
  <c r="Q31" i="26" a="1"/>
  <c r="O70" i="16" a="1"/>
  <c r="P97" i="20" a="1"/>
  <c r="K56" i="46" a="1"/>
  <c r="D48" i="21" a="1"/>
  <c r="O71" i="26" a="1"/>
  <c r="S22" i="20" a="1"/>
  <c r="O80" i="26" a="1"/>
  <c r="N61" i="26" a="1"/>
  <c r="I22" i="26" a="1"/>
  <c r="F42" i="19" a="1"/>
  <c r="I20" i="50" a="1"/>
  <c r="L43" i="48" a="1"/>
  <c r="F31" i="15" a="1"/>
  <c r="H41" i="17" a="1"/>
  <c r="G22" i="20" a="1"/>
  <c r="G60" i="46" a="1"/>
  <c r="R37" i="19" a="1"/>
  <c r="I85" i="16" a="1"/>
  <c r="F77" i="20" a="1"/>
  <c r="D52" i="15" a="1"/>
  <c r="U83" i="15" a="1"/>
  <c r="E83" i="20" a="1"/>
  <c r="Q66" i="20" a="1"/>
  <c r="J47" i="21" a="1"/>
  <c r="I13" i="46" a="1"/>
  <c r="R114" i="19" a="1"/>
  <c r="G25" i="50" a="1"/>
  <c r="H36" i="20" a="1"/>
  <c r="P93" i="20" a="1"/>
  <c r="P120" i="19" a="1"/>
  <c r="R26" i="48" a="1"/>
  <c r="T41" i="21" a="1"/>
  <c r="E44" i="15" a="1"/>
  <c r="S15" i="21" a="1"/>
  <c r="R96" i="20" a="1"/>
  <c r="G42" i="26" a="1"/>
  <c r="W13" i="48" a="1"/>
  <c r="J61" i="26" a="1"/>
  <c r="S42" i="19" a="1"/>
  <c r="P12" i="46" a="1"/>
  <c r="F21" i="15" a="1"/>
  <c r="S16" i="50" a="1"/>
  <c r="R110" i="19" a="1"/>
  <c r="I65" i="15" a="1"/>
  <c r="F101" i="16" a="1"/>
  <c r="G62" i="46" a="1"/>
  <c r="I44" i="46" a="1"/>
  <c r="E52" i="20" a="1"/>
  <c r="J8" i="46" a="1"/>
  <c r="E65" i="20" a="1"/>
  <c r="J14" i="44" a="1"/>
  <c r="P24" i="20" a="1"/>
  <c r="F14" i="21" a="1"/>
  <c r="Z38" i="26" a="1"/>
  <c r="E55" i="17" a="1"/>
  <c r="I79" i="16" a="1"/>
  <c r="I9" i="19" a="1"/>
  <c r="I27" i="50" a="1"/>
  <c r="N73" i="16" a="1"/>
  <c r="F52" i="46" a="1"/>
  <c r="R33" i="46" a="1"/>
  <c r="G67" i="20" a="1"/>
  <c r="F83" i="16" a="1"/>
  <c r="H92" i="16" a="1"/>
  <c r="H39" i="17" a="1"/>
  <c r="Q79" i="15" a="1"/>
  <c r="S36" i="50" a="1"/>
  <c r="D15" i="16" a="1"/>
  <c r="E23" i="50" a="1"/>
  <c r="P116" i="19" a="1"/>
  <c r="Z40" i="26" a="1"/>
  <c r="D16" i="50" a="1"/>
  <c r="I29" i="48" a="1"/>
  <c r="H8" i="44" a="1"/>
  <c r="E35" i="19" a="1"/>
  <c r="U82" i="15" a="1"/>
  <c r="U52" i="46" a="1"/>
  <c r="I60" i="46" a="1"/>
  <c r="E87" i="15" a="1"/>
  <c r="H21" i="19" a="1"/>
  <c r="F62" i="20" a="1"/>
  <c r="R20" i="48" a="1"/>
  <c r="G12" i="48" a="1"/>
  <c r="Q22" i="21" a="1"/>
  <c r="R43" i="46" a="1"/>
  <c r="S102" i="20" a="1"/>
  <c r="R27" i="50" a="1"/>
  <c r="I42" i="26" a="1"/>
  <c r="U17" i="46" a="1"/>
  <c r="K76" i="15" a="1"/>
  <c r="E89" i="15" a="1"/>
  <c r="E33" i="20" a="1"/>
  <c r="K75" i="46" a="1"/>
  <c r="D16" i="21" a="1"/>
  <c r="D41" i="19" a="1"/>
  <c r="Y42" i="26" a="1"/>
  <c r="G51" i="19" a="1"/>
  <c r="I77" i="15" a="1"/>
  <c r="P74" i="16" a="1"/>
  <c r="J40" i="26" a="1"/>
  <c r="I138" i="19" a="1"/>
  <c r="I30" i="20" a="1"/>
  <c r="E43" i="21" a="1"/>
  <c r="X53" i="16" a="1"/>
  <c r="S31" i="26" a="1"/>
  <c r="G132" i="19" a="1"/>
  <c r="F17" i="15" a="1"/>
  <c r="F39" i="20" a="1"/>
  <c r="S57" i="19" a="1"/>
  <c r="X14" i="16" a="1"/>
  <c r="J128" i="46" a="1"/>
  <c r="I52" i="46" a="1"/>
  <c r="Q45" i="21" a="1"/>
  <c r="E36" i="19" a="1"/>
  <c r="S112" i="20" a="1"/>
  <c r="Y94" i="15" a="1"/>
  <c r="U72" i="16" a="1"/>
  <c r="D114" i="19" a="1"/>
  <c r="H74" i="20" a="1"/>
  <c r="W19" i="16" a="1"/>
  <c r="J72" i="26" a="1"/>
  <c r="S9" i="21" a="1"/>
  <c r="D87" i="20" a="1"/>
  <c r="D44" i="21" a="1"/>
  <c r="J42" i="17" a="1"/>
  <c r="Q38" i="46" a="1"/>
  <c r="H55" i="16" a="1"/>
  <c r="P29" i="46" a="1"/>
  <c r="F23" i="50" a="1"/>
  <c r="F105" i="20" a="1"/>
  <c r="F32" i="50" a="1"/>
  <c r="U126" i="46" a="1"/>
  <c r="H23" i="46" a="1"/>
  <c r="P11" i="20" a="1"/>
  <c r="Z43" i="26" a="1"/>
  <c r="P29" i="26" a="1"/>
  <c r="J66" i="17" a="1"/>
  <c r="I137" i="19" a="1"/>
  <c r="H84" i="15" a="1"/>
  <c r="O82" i="15" a="1"/>
  <c r="J22" i="50" a="1"/>
  <c r="Q27" i="20" a="1"/>
  <c r="J21" i="50" a="1"/>
  <c r="E75" i="26" a="1"/>
  <c r="O126" i="19" a="1"/>
  <c r="P110" i="20" a="1"/>
  <c r="D8" i="20" a="1"/>
  <c r="H55" i="46" a="1"/>
  <c r="W31" i="48" a="1"/>
  <c r="R29" i="48" a="1"/>
  <c r="F38" i="48" a="1"/>
  <c r="R77" i="20" a="1"/>
  <c r="E65" i="17" a="1"/>
  <c r="I24" i="26" a="1"/>
  <c r="P8" i="46" a="1"/>
  <c r="D47" i="20" a="1"/>
  <c r="G70" i="46" a="1"/>
  <c r="D29" i="21" a="1"/>
  <c r="J23" i="44" a="1"/>
  <c r="J79" i="16" a="1"/>
  <c r="F40" i="15" a="1"/>
  <c r="R135" i="19" a="1"/>
  <c r="O117" i="19" a="1"/>
  <c r="I95" i="15" a="1"/>
  <c r="H65" i="17" a="1"/>
  <c r="H7" i="50" a="1"/>
  <c r="P46" i="26" a="1"/>
  <c r="G76" i="15" a="1"/>
  <c r="K70" i="46" a="1"/>
  <c r="W36" i="26" a="1"/>
  <c r="G66" i="16" a="1"/>
  <c r="U71" i="16" a="1"/>
  <c r="G33" i="46" a="1"/>
  <c r="J67" i="15" a="1"/>
  <c r="E58" i="20" a="1"/>
  <c r="H16" i="19" a="1"/>
  <c r="H14" i="50" a="1"/>
  <c r="Q13" i="20" a="1"/>
  <c r="H83" i="46" a="1"/>
  <c r="I32" i="19" a="1"/>
  <c r="E9" i="19" a="1"/>
  <c r="Q30" i="20" a="1"/>
  <c r="F81" i="15" a="1"/>
  <c r="Q80" i="20" a="1"/>
  <c r="E64" i="20" a="1"/>
  <c r="I37" i="16" a="1"/>
  <c r="I42" i="20" a="1"/>
  <c r="G79" i="20" a="1"/>
  <c r="X62" i="16" a="1"/>
  <c r="G47" i="17" a="1"/>
  <c r="F9" i="19" a="1"/>
  <c r="I38" i="46" a="1"/>
  <c r="Y53" i="15" a="1"/>
  <c r="K69" i="15" a="1"/>
  <c r="I57" i="19" a="1"/>
  <c r="H81" i="15" a="1"/>
  <c r="P81" i="46" a="1"/>
  <c r="G41" i="20" a="1"/>
  <c r="S41" i="20" a="1"/>
  <c r="I12" i="50" a="1"/>
  <c r="F17" i="48" a="1"/>
  <c r="R65" i="20" a="1"/>
  <c r="O53" i="19" a="1"/>
  <c r="E24" i="48" a="1"/>
  <c r="J47" i="48" a="1"/>
  <c r="H46" i="19" a="1"/>
  <c r="P45" i="46" a="1"/>
  <c r="U117" i="46" a="1"/>
  <c r="I18" i="21" a="1"/>
  <c r="G37" i="20" a="1"/>
  <c r="F31" i="19" a="1"/>
  <c r="J33" i="48" a="1"/>
  <c r="T55" i="15" a="1"/>
  <c r="P46" i="19" a="1"/>
  <c r="F27" i="21" a="1"/>
  <c r="G53" i="20" a="1"/>
  <c r="O76" i="16" a="1"/>
  <c r="F56" i="26" a="1"/>
  <c r="D57" i="19" a="1"/>
  <c r="K13" i="48" a="1"/>
  <c r="E75" i="20" a="1"/>
  <c r="K77" i="46" a="1"/>
  <c r="O68" i="20" a="1"/>
  <c r="V86" i="15" a="1"/>
  <c r="I72" i="15" a="1"/>
  <c r="U43" i="46" a="1"/>
  <c r="P11" i="46" a="1"/>
  <c r="G44" i="17" a="1"/>
  <c r="J13" i="21" a="1"/>
  <c r="I39" i="19" a="1"/>
  <c r="H66" i="46" a="1"/>
  <c r="G65" i="15" a="1"/>
  <c r="Q118" i="46" a="1"/>
  <c r="F47" i="48" a="1"/>
  <c r="E73" i="15" a="1"/>
  <c r="R12" i="20" a="1"/>
  <c r="O68" i="15" a="1"/>
  <c r="R49" i="46" a="1"/>
  <c r="E63" i="17" a="1"/>
  <c r="E117" i="19" a="1"/>
  <c r="V18" i="16" a="1"/>
  <c r="G46" i="21" a="1"/>
  <c r="V19" i="16" a="1"/>
  <c r="S87" i="15" a="1"/>
  <c r="P43" i="48" a="1"/>
  <c r="H59" i="19" a="1"/>
  <c r="J94" i="16" a="1"/>
  <c r="F112" i="20" a="1"/>
  <c r="F72" i="15" a="1"/>
  <c r="X89" i="16" a="1"/>
  <c r="G114" i="19" a="1"/>
  <c r="J53" i="46" a="1"/>
  <c r="H19" i="44" a="1"/>
  <c r="F62" i="46" a="1"/>
  <c r="I56" i="16" a="1"/>
  <c r="J64" i="15" a="1"/>
  <c r="O121" i="19" a="1"/>
  <c r="F26" i="48" a="1"/>
  <c r="F36" i="50" a="1"/>
  <c r="I127" i="46" a="1"/>
  <c r="J92" i="16" a="1"/>
  <c r="I53" i="15" a="1"/>
  <c r="V82" i="15" a="1"/>
  <c r="I78" i="16" a="1"/>
  <c r="R33" i="26" a="1"/>
  <c r="J123" i="19" a="1"/>
  <c r="F20" i="26" a="1"/>
  <c r="F39" i="21" a="1"/>
  <c r="X44" i="16" a="1"/>
  <c r="O59" i="15" a="1"/>
  <c r="E44" i="20" a="1"/>
  <c r="G59" i="46" a="1"/>
  <c r="D91" i="16" a="1"/>
  <c r="R51" i="20" a="1"/>
  <c r="J12" i="48" a="1"/>
  <c r="F41" i="19" a="1"/>
  <c r="D63" i="17" a="1"/>
  <c r="J26" i="21" a="1"/>
  <c r="G20" i="44" a="1"/>
  <c r="K68" i="17" a="1"/>
  <c r="X39" i="16" a="1"/>
  <c r="O60" i="20" a="1"/>
  <c r="H20" i="44" a="1"/>
  <c r="E94" i="20" a="1"/>
  <c r="U84" i="15" a="1"/>
  <c r="P59" i="15" a="1"/>
  <c r="D83" i="20" a="1"/>
  <c r="R60" i="17" a="1"/>
  <c r="V51" i="15" a="1"/>
  <c r="E7" i="19" a="1"/>
  <c r="F7" i="20" a="1"/>
  <c r="V31" i="26" a="1"/>
  <c r="Q77" i="20" a="1"/>
  <c r="E45" i="17" a="1"/>
  <c r="D32" i="50" a="1"/>
  <c r="F89" i="15" a="1"/>
  <c r="H56" i="26" a="1"/>
  <c r="S137" i="19" a="1"/>
  <c r="J72" i="46" a="1"/>
  <c r="S53" i="46" a="1"/>
  <c r="X102" i="16" a="1"/>
  <c r="D19" i="50" a="1"/>
  <c r="J67" i="46" a="1"/>
  <c r="D44" i="17" a="1"/>
  <c r="V8" i="44" a="1"/>
  <c r="J70" i="26" a="1"/>
  <c r="E47" i="15" a="1"/>
  <c r="E30" i="50" a="1"/>
  <c r="K33" i="48" a="1"/>
  <c r="H78" i="26" a="1"/>
  <c r="H14" i="19" a="1"/>
  <c r="I9" i="48" a="1"/>
  <c r="S13" i="19" a="1"/>
  <c r="D26" i="16" a="1"/>
  <c r="P89" i="46" a="1"/>
  <c r="W24" i="48" a="1"/>
  <c r="P19" i="19" a="1"/>
  <c r="F24" i="26" a="1"/>
  <c r="P40" i="26" a="1"/>
  <c r="E8" i="21" a="1"/>
  <c r="I118" i="46" a="1"/>
  <c r="X31" i="26" a="1"/>
  <c r="F24" i="46" a="1"/>
  <c r="R42" i="26" a="1"/>
  <c r="I46" i="48" a="1"/>
  <c r="S37" i="19" a="1"/>
  <c r="S58" i="19" a="1"/>
  <c r="F10" i="48" a="1"/>
  <c r="G65" i="20" a="1"/>
  <c r="H27" i="20" a="1"/>
  <c r="E27" i="48" a="1"/>
  <c r="J23" i="46" a="1"/>
  <c r="J58" i="17" a="1"/>
  <c r="J20" i="19" a="1"/>
  <c r="S89" i="15" a="1"/>
  <c r="J59" i="17" a="1"/>
  <c r="F40" i="50" a="1"/>
  <c r="AA29" i="26" a="1"/>
  <c r="G69" i="15" a="1"/>
  <c r="J67" i="16" a="1"/>
  <c r="J41" i="26" a="1"/>
  <c r="J30" i="50" a="1"/>
  <c r="R23" i="46" a="1"/>
  <c r="H114" i="19" a="1"/>
  <c r="H40" i="26" a="1"/>
  <c r="G55" i="15" a="1"/>
  <c r="I39" i="16" a="1"/>
  <c r="K63" i="17" a="1"/>
  <c r="I142" i="19" a="1"/>
  <c r="S41" i="50" a="1"/>
  <c r="S52" i="20" a="1"/>
  <c r="R89" i="46" a="1"/>
  <c r="D94" i="15" a="1"/>
  <c r="P32" i="20" a="1"/>
  <c r="U42" i="46" a="1"/>
  <c r="D47" i="19" a="1"/>
  <c r="X55" i="16" a="1"/>
  <c r="K12" i="48" a="1"/>
  <c r="S92" i="16" a="1"/>
  <c r="F113" i="20" a="1"/>
  <c r="V7" i="44" a="1"/>
  <c r="S30" i="50" a="1"/>
  <c r="E25" i="50" a="1"/>
  <c r="S14" i="19" a="1"/>
  <c r="J84" i="16" a="1"/>
  <c r="R9" i="20" a="1"/>
  <c r="I111" i="19" a="1"/>
  <c r="F117" i="19" a="1"/>
  <c r="D21" i="20" a="1"/>
  <c r="K87" i="46" a="1"/>
  <c r="I30" i="26" a="1"/>
  <c r="D17" i="26" a="1"/>
  <c r="V53" i="15" a="1"/>
  <c r="D40" i="50" a="1"/>
  <c r="D17" i="20" a="1"/>
  <c r="J31" i="26" a="1"/>
  <c r="O77" i="15" a="1"/>
  <c r="F91" i="15" a="1"/>
  <c r="F9" i="21" a="1"/>
  <c r="F36" i="19" a="1"/>
  <c r="E46" i="16" a="1"/>
  <c r="X43" i="26" a="1"/>
  <c r="P29" i="16" a="1"/>
  <c r="F11" i="48" a="1"/>
  <c r="E37" i="48" a="1"/>
  <c r="I33" i="46" a="1"/>
  <c r="S86" i="20" a="1"/>
  <c r="O93" i="20" a="1"/>
  <c r="K37" i="48" a="1"/>
  <c r="E9" i="20" a="1"/>
  <c r="E114" i="19" a="1"/>
  <c r="S51" i="19" a="1"/>
  <c r="T62" i="15" a="1"/>
  <c r="F12" i="16" a="1"/>
  <c r="F28" i="46" a="1"/>
  <c r="E81" i="16" a="1"/>
  <c r="K59" i="46" a="1"/>
  <c r="G85" i="16" a="1"/>
  <c r="S20" i="50" a="1"/>
  <c r="R28" i="48" a="1"/>
  <c r="P121" i="19" a="1"/>
  <c r="F22" i="20" a="1"/>
  <c r="Q68" i="15" a="1"/>
  <c r="P41" i="48" a="1"/>
  <c r="R112" i="19" a="1"/>
  <c r="F17" i="16" a="1"/>
  <c r="V23" i="16" a="1"/>
  <c r="U40" i="46" a="1"/>
  <c r="S70" i="20" a="1"/>
  <c r="G49" i="20" a="1"/>
  <c r="S76" i="16" a="1"/>
  <c r="S39" i="21" a="1"/>
  <c r="D121" i="19" a="1"/>
  <c r="Y33" i="15" a="1"/>
  <c r="R50" i="19" a="1"/>
  <c r="E20" i="50" a="1"/>
  <c r="O83" i="20" a="1"/>
  <c r="D69" i="16" a="1"/>
  <c r="Q35" i="19" a="1"/>
  <c r="R118" i="46" a="1"/>
  <c r="K79" i="15" a="1"/>
  <c r="R107" i="20" a="1"/>
  <c r="N42" i="26" a="1"/>
  <c r="E118" i="19" a="1"/>
  <c r="P30" i="46" a="1"/>
  <c r="Q32" i="46" a="1"/>
  <c r="F10" i="20" a="1"/>
  <c r="E113" i="20" a="1"/>
  <c r="S29" i="16" a="1"/>
  <c r="E74" i="26" a="1"/>
  <c r="P42" i="46" a="1"/>
  <c r="D23" i="16" a="1"/>
  <c r="R22" i="50" a="1"/>
  <c r="U85" i="15" a="1"/>
  <c r="H63" i="15" a="1"/>
  <c r="G53" i="19" a="1"/>
  <c r="F94" i="20" a="1"/>
  <c r="P119" i="19" a="1"/>
  <c r="I10" i="48" a="1"/>
  <c r="T25" i="21" a="1"/>
  <c r="J103" i="16" a="1"/>
  <c r="I66" i="46" a="1"/>
  <c r="T71" i="16" a="1"/>
  <c r="P56" i="20" a="1"/>
  <c r="F85" i="20" a="1"/>
  <c r="S36" i="20" a="1"/>
  <c r="S40" i="20" a="1"/>
  <c r="O16" i="26" a="1"/>
  <c r="Q43" i="26" a="1"/>
  <c r="D13" i="44" a="1"/>
  <c r="R105" i="20" a="1"/>
  <c r="G74" i="16" a="1"/>
  <c r="Q18" i="46" a="1"/>
  <c r="P38" i="19" a="1"/>
  <c r="O110" i="19" a="1"/>
  <c r="D18" i="21" a="1"/>
  <c r="F22" i="48" a="1"/>
  <c r="I21" i="46" a="1"/>
  <c r="H41" i="50" a="1"/>
  <c r="R35" i="20" a="1"/>
  <c r="S29" i="50" a="1"/>
  <c r="L13" i="48" a="1"/>
  <c r="K47" i="15" a="1"/>
  <c r="F24" i="21" a="1"/>
  <c r="S93" i="15" a="1"/>
  <c r="P83" i="15" a="1"/>
  <c r="F10" i="46" a="1"/>
  <c r="G21" i="50" a="1"/>
  <c r="X76" i="16" a="1"/>
  <c r="P53" i="15" a="1"/>
  <c r="H72" i="17" a="1"/>
  <c r="F62" i="17" a="1"/>
  <c r="P14" i="48" a="1"/>
  <c r="R38" i="50" a="1"/>
  <c r="G38" i="48" a="1"/>
  <c r="U59" i="46" a="1"/>
  <c r="N81" i="16" a="1"/>
  <c r="G41" i="19" a="1"/>
  <c r="J84" i="15" a="1"/>
  <c r="O54" i="16" a="1"/>
  <c r="I22" i="50" a="1"/>
  <c r="J56" i="17" a="1"/>
  <c r="E109" i="20" a="1"/>
  <c r="H22" i="46" a="1"/>
  <c r="N80" i="16" a="1"/>
  <c r="S35" i="19" a="1"/>
  <c r="E26" i="20" a="1"/>
  <c r="H67" i="20" a="1"/>
  <c r="Q19" i="21" a="1"/>
  <c r="H73" i="16" a="1"/>
  <c r="D60" i="16" a="1"/>
  <c r="S72" i="17" a="1"/>
  <c r="G64" i="26" a="1"/>
  <c r="I47" i="15" a="1"/>
  <c r="K93" i="15" a="1"/>
  <c r="R48" i="20" a="1"/>
  <c r="H59" i="26" a="1"/>
  <c r="R56" i="19" a="1"/>
  <c r="G20" i="48" a="1"/>
  <c r="D36" i="16" a="1"/>
  <c r="R54" i="19" a="1"/>
  <c r="J95" i="16" a="1"/>
  <c r="H33" i="48" a="1"/>
  <c r="I27" i="20" a="1"/>
  <c r="Q28" i="46" a="1"/>
  <c r="E11" i="21" a="1"/>
  <c r="H38" i="50" a="1"/>
  <c r="V46" i="26" a="1"/>
  <c r="I47" i="21" a="1"/>
  <c r="N64" i="26" a="1"/>
  <c r="H80" i="16" a="1"/>
  <c r="J46" i="46" a="1"/>
  <c r="E62" i="17" a="1"/>
  <c r="R115" i="19" a="1"/>
  <c r="G76" i="26" a="1"/>
  <c r="N34" i="26" a="1"/>
  <c r="R28" i="46" a="1"/>
  <c r="Q42" i="26" a="1"/>
  <c r="E46" i="21" a="1"/>
  <c r="F58" i="26" a="1"/>
  <c r="H6" i="16" a="1"/>
  <c r="H19" i="46" a="1"/>
  <c r="S131" i="19" a="1"/>
  <c r="D22" i="16" a="1"/>
  <c r="Q23" i="19" a="1"/>
  <c r="R29" i="26" a="1"/>
  <c r="J78" i="15" a="1"/>
  <c r="F62" i="16" a="1"/>
  <c r="F20" i="44" a="1"/>
  <c r="R89" i="20" a="1"/>
  <c r="T41" i="15" a="1"/>
  <c r="F11" i="19" a="1"/>
  <c r="H20" i="19" a="1"/>
  <c r="T50" i="15" a="1"/>
  <c r="S43" i="19" a="1"/>
  <c r="P57" i="46" a="1"/>
  <c r="P37" i="20" a="1"/>
  <c r="S48" i="46" a="1"/>
  <c r="V22" i="16" a="1"/>
  <c r="I26" i="21" a="1"/>
  <c r="U45" i="15" a="1"/>
  <c r="P74" i="46" a="1"/>
  <c r="I56" i="17" a="1"/>
  <c r="I10" i="20" a="1"/>
  <c r="I33" i="50" a="1"/>
  <c r="U43" i="26" a="1"/>
  <c r="P16" i="48" a="1"/>
  <c r="F57" i="19" a="1"/>
  <c r="Q44" i="15" a="1"/>
  <c r="T76" i="46" a="1"/>
  <c r="F41" i="48" a="1"/>
  <c r="L33" i="48" a="1"/>
  <c r="Q80" i="15" a="1"/>
  <c r="P50" i="46" a="1"/>
  <c r="E11" i="26" a="1"/>
  <c r="S60" i="16" a="1"/>
  <c r="I42" i="21" a="1"/>
  <c r="F74" i="46" a="1"/>
  <c r="Q9" i="48" a="1"/>
  <c r="E23" i="20" a="1"/>
  <c r="H116" i="19" a="1"/>
  <c r="H37" i="48" a="1"/>
  <c r="H62" i="15" a="1"/>
  <c r="J55" i="15" a="1"/>
  <c r="F40" i="46" a="1"/>
  <c r="Q43" i="46" a="1"/>
  <c r="I40" i="50" a="1"/>
  <c r="K26" i="48" a="1"/>
  <c r="P115" i="19" a="1"/>
  <c r="J38" i="21" a="1"/>
  <c r="J89" i="46" a="1"/>
  <c r="H66" i="16" a="1"/>
  <c r="K22" i="48" a="1"/>
  <c r="H86" i="15" a="1"/>
  <c r="J142" i="19" a="1"/>
  <c r="Q16" i="20" a="1"/>
  <c r="E54" i="19" a="1"/>
  <c r="Y42" i="15" a="1"/>
  <c r="D39" i="21" a="1"/>
  <c r="O23" i="26" a="1"/>
  <c r="D116" i="19" a="1"/>
  <c r="D27" i="21" a="1"/>
  <c r="Q26" i="21" a="1"/>
  <c r="T57" i="16" a="1"/>
  <c r="I66" i="15" a="1"/>
  <c r="D88" i="20" a="1"/>
  <c r="O7" i="19" a="1"/>
  <c r="S60" i="20" a="1"/>
  <c r="F48" i="46" a="1"/>
  <c r="J12" i="46" a="1"/>
  <c r="F89" i="16" a="1"/>
  <c r="J8" i="44" a="1"/>
  <c r="J59" i="16" a="1"/>
  <c r="G26" i="21" a="1"/>
  <c r="X18" i="16" a="1"/>
  <c r="E85" i="15" a="1"/>
  <c r="J46" i="48" a="1"/>
  <c r="G45" i="46" a="1"/>
  <c r="J125" i="46" a="1"/>
  <c r="P75" i="16" a="1"/>
  <c r="I76" i="26" a="1"/>
  <c r="S7" i="20" a="1"/>
  <c r="J38" i="26" a="1"/>
  <c r="H39" i="46" a="1"/>
  <c r="P25" i="50" a="1"/>
  <c r="I35" i="21" a="1"/>
  <c r="X35" i="15" a="1"/>
  <c r="F21" i="26" a="1"/>
  <c r="F38" i="26" a="1"/>
  <c r="I22" i="48" a="1"/>
  <c r="J122" i="46" a="1"/>
  <c r="P17" i="20" a="1"/>
  <c r="D94" i="16" a="1"/>
  <c r="O66" i="15" a="1"/>
  <c r="E56" i="17" a="1"/>
  <c r="G123" i="19" a="1"/>
  <c r="N72" i="26" a="1"/>
  <c r="G24" i="19" a="1"/>
  <c r="O85" i="20" a="1"/>
  <c r="F53" i="20" a="1"/>
  <c r="J76" i="26" a="1"/>
  <c r="D142" i="19" a="1"/>
  <c r="J69" i="15" a="1"/>
  <c r="P43" i="26" a="1"/>
  <c r="S92" i="15" a="1"/>
  <c r="D50" i="19" a="1"/>
  <c r="R121" i="19" a="1"/>
  <c r="D32" i="19" a="1"/>
  <c r="H36" i="48" a="1"/>
  <c r="J24" i="48" a="1"/>
  <c r="H28" i="21" a="1"/>
  <c r="Q83" i="20" a="1"/>
  <c r="D69" i="20" a="1"/>
  <c r="F127" i="19" a="1"/>
  <c r="P37" i="48" a="1"/>
  <c r="D12" i="16" a="1"/>
  <c r="I70" i="17" a="1"/>
  <c r="R13" i="19" a="1"/>
  <c r="H9" i="21" a="1"/>
  <c r="G32" i="46" a="1"/>
  <c r="J30" i="26" a="1"/>
  <c r="H91" i="16" a="1"/>
  <c r="F82" i="46" a="1"/>
  <c r="I8" i="21" a="1"/>
  <c r="Y44" i="26" a="1"/>
  <c r="R16" i="48" a="1"/>
  <c r="J15" i="44" a="1"/>
  <c r="J28" i="50" a="1"/>
  <c r="G64" i="46" a="1"/>
  <c r="F30" i="26" a="1"/>
  <c r="T70" i="15" a="1"/>
  <c r="P60" i="46" a="1"/>
  <c r="H75" i="16" a="1"/>
  <c r="Q12" i="46" a="1"/>
  <c r="G76" i="16" a="1"/>
  <c r="Y56" i="15" a="1"/>
  <c r="F109" i="20" a="1"/>
  <c r="D67" i="17" a="1"/>
  <c r="U56" i="46" a="1"/>
  <c r="R38" i="20" a="1"/>
  <c r="J83" i="46" a="1"/>
  <c r="R25" i="50" a="1"/>
  <c r="U73" i="46" a="1"/>
  <c r="F88" i="20" a="1"/>
  <c r="J17" i="21" a="1"/>
  <c r="K89" i="15" a="1"/>
  <c r="R43" i="19" a="1"/>
  <c r="H8" i="21" a="1"/>
  <c r="G7" i="44" a="1"/>
  <c r="O10" i="19" a="1"/>
  <c r="S38" i="46" a="1"/>
  <c r="I43" i="20" a="1"/>
  <c r="I73" i="16" a="1"/>
  <c r="E70" i="16" a="1"/>
  <c r="G77" i="26" a="1"/>
  <c r="O60" i="15" a="1"/>
  <c r="V67" i="15" a="1"/>
  <c r="F28" i="48" a="1"/>
  <c r="D14" i="20" a="1"/>
  <c r="F13" i="46" a="1"/>
  <c r="G93" i="15" a="1"/>
  <c r="O13" i="26" a="1"/>
  <c r="H25" i="50" a="1"/>
  <c r="K64" i="15" a="1"/>
  <c r="G59" i="20" a="1"/>
  <c r="G14" i="21" a="1"/>
  <c r="D43" i="21" a="1"/>
  <c r="D63" i="20" a="1"/>
  <c r="D59" i="19" a="1"/>
  <c r="U81" i="46" a="1"/>
  <c r="I51" i="21" a="1"/>
  <c r="I21" i="48" a="1"/>
  <c r="X58" i="16" a="1"/>
  <c r="J41" i="19" a="1"/>
  <c r="O73" i="15" a="1"/>
  <c r="N53" i="16" a="1"/>
  <c r="Q54" i="19" a="1"/>
  <c r="J25" i="26" a="1"/>
  <c r="E12" i="21" a="1"/>
  <c r="I18" i="19" a="1"/>
  <c r="F97" i="15" a="1"/>
  <c r="Q18" i="20" a="1"/>
  <c r="H25" i="21" a="1"/>
  <c r="I18" i="46" a="1"/>
  <c r="G63" i="46" a="1"/>
  <c r="J44" i="46" a="1"/>
  <c r="R131" i="19" a="1"/>
  <c r="X12" i="16" a="1"/>
  <c r="F123" i="19" a="1"/>
  <c r="E66" i="17" a="1"/>
  <c r="F80" i="20" a="1"/>
  <c r="F83" i="15" a="1"/>
  <c r="E57" i="17" a="1"/>
  <c r="F96" i="16" a="1"/>
  <c r="D21" i="26" a="1"/>
  <c r="Q55" i="21" a="1"/>
  <c r="S12" i="20" a="1"/>
  <c r="Q38" i="19" a="1"/>
  <c r="Y48" i="15" a="1"/>
  <c r="R79" i="20" a="1"/>
  <c r="S43" i="26" a="1"/>
  <c r="S45" i="16" a="1"/>
  <c r="N55" i="26" a="1"/>
  <c r="O23" i="19" a="1"/>
  <c r="S20" i="19" a="1"/>
  <c r="Q80" i="46" a="1"/>
  <c r="I86" i="15" a="1"/>
  <c r="G47" i="16" a="1"/>
  <c r="R114" i="20" a="1"/>
  <c r="S54" i="19" a="1"/>
  <c r="Q78" i="20" a="1"/>
  <c r="G26" i="20" a="1"/>
  <c r="R72" i="46" a="1"/>
  <c r="O127" i="19" a="1"/>
  <c r="F17" i="46" a="1"/>
  <c r="Q117" i="19" a="1"/>
  <c r="T54" i="15" a="1"/>
  <c r="X29" i="16" a="1"/>
  <c r="Q11" i="20" a="1"/>
  <c r="E12" i="20" a="1"/>
  <c r="O80" i="15" a="1"/>
  <c r="P47" i="20" a="1"/>
  <c r="E18" i="21" a="1"/>
  <c r="U54" i="16" a="1"/>
  <c r="H70" i="20" a="1"/>
  <c r="I65" i="16" a="1"/>
  <c r="P128" i="46" a="1"/>
  <c r="Q113" i="19" a="1"/>
  <c r="H49" i="21" a="1"/>
  <c r="I79" i="46" a="1"/>
  <c r="S94" i="16" a="1"/>
  <c r="F122" i="46" a="1"/>
  <c r="F87" i="46" a="1"/>
  <c r="D47" i="21" a="1"/>
  <c r="J100" i="16" a="1"/>
  <c r="P62" i="15" a="1"/>
  <c r="P45" i="26" a="1"/>
  <c r="H18" i="50" a="1"/>
  <c r="S7" i="21" a="1"/>
  <c r="G38" i="50" a="1"/>
  <c r="P62" i="16" a="1"/>
  <c r="G7" i="21" a="1"/>
  <c r="T59" i="16" a="1"/>
  <c r="I26" i="20" a="1"/>
  <c r="G42" i="20" a="1"/>
  <c r="E7" i="20" a="1"/>
  <c r="J9" i="19" a="1"/>
  <c r="Q12" i="19" a="1"/>
  <c r="P83" i="20" a="1"/>
  <c r="Q81" i="15" a="1"/>
  <c r="I56" i="15" a="1"/>
  <c r="E19" i="50" a="1"/>
  <c r="T76" i="16" a="1"/>
  <c r="J34" i="50" a="1"/>
  <c r="E75" i="16" a="1"/>
  <c r="K96" i="15" a="1"/>
  <c r="I59" i="26" a="1"/>
  <c r="R53" i="46" a="1"/>
  <c r="S83" i="20" a="1"/>
  <c r="I15" i="44" a="1"/>
  <c r="G84" i="16" a="1"/>
  <c r="T61" i="15" a="1"/>
  <c r="G45" i="26" a="1"/>
  <c r="J30" i="46" a="1"/>
  <c r="D62" i="17" a="1"/>
  <c r="W20" i="48" a="1"/>
  <c r="X74" i="16" a="1"/>
  <c r="I26" i="48" a="1"/>
  <c r="G45" i="19" a="1"/>
  <c r="R24" i="48" a="1"/>
  <c r="J46" i="19" a="1"/>
  <c r="T35" i="21" a="1"/>
  <c r="S72" i="20" a="1"/>
  <c r="D8" i="19" a="1"/>
  <c r="U62" i="16" a="1"/>
  <c r="I78" i="15" a="1"/>
  <c r="L36" i="48" a="1"/>
  <c r="J68" i="15" a="1"/>
  <c r="G39" i="46" a="1"/>
  <c r="E32" i="19" a="1"/>
  <c r="Z8" i="44" a="1"/>
  <c r="N64" i="16" a="1"/>
  <c r="K70" i="15" a="1"/>
  <c r="E79" i="15" a="1"/>
  <c r="G19" i="48" a="1"/>
  <c r="U58" i="16" a="1"/>
  <c r="R92" i="20" a="1"/>
  <c r="R31" i="19" a="1"/>
  <c r="D41" i="50" a="1"/>
  <c r="E127" i="19" a="1"/>
  <c r="F9" i="50" a="1"/>
  <c r="P51" i="20" a="1"/>
  <c r="K71" i="46" a="1"/>
  <c r="P26" i="48" a="1"/>
  <c r="E83" i="15" a="1"/>
  <c r="J94" i="15" a="1"/>
  <c r="S53" i="19" a="1"/>
  <c r="J16" i="21" a="1"/>
  <c r="I22" i="44" a="1"/>
  <c r="G117" i="19" a="1"/>
  <c r="F120" i="46" a="1"/>
  <c r="Q37" i="26" a="1"/>
  <c r="T10" i="21" a="1"/>
  <c r="G30" i="19" a="1"/>
  <c r="F126" i="46" a="1"/>
  <c r="E72" i="20" a="1"/>
  <c r="O84" i="15" a="1"/>
  <c r="R109" i="19" a="1"/>
  <c r="R11" i="20" a="1"/>
  <c r="R108" i="20" a="1"/>
  <c r="Q36" i="21" a="1"/>
  <c r="J34" i="26" a="1"/>
  <c r="D73" i="26" a="1"/>
  <c r="P40" i="19" a="1"/>
  <c r="D119" i="19" a="1"/>
  <c r="V9" i="16" a="1"/>
  <c r="I61" i="26" a="1"/>
  <c r="G47" i="19" a="1"/>
  <c r="I85" i="15" a="1"/>
  <c r="D73" i="16" a="1"/>
  <c r="U73" i="16" a="1"/>
  <c r="J22" i="48" a="1"/>
  <c r="E13" i="20" a="1"/>
  <c r="I41" i="20" a="1"/>
  <c r="P129" i="46" a="1"/>
  <c r="N66" i="16" a="1"/>
  <c r="E110" i="20" a="1"/>
  <c r="Q37" i="21" a="1"/>
  <c r="Q122" i="46" a="1"/>
  <c r="R16" i="50" a="1"/>
  <c r="F92" i="16" a="1"/>
  <c r="Q43" i="19" a="1"/>
  <c r="I73" i="26" a="1"/>
  <c r="R106" i="20" a="1"/>
  <c r="P32" i="26" a="1"/>
  <c r="Q51" i="21" a="1"/>
  <c r="T65" i="15" a="1"/>
  <c r="F48" i="16" a="1"/>
  <c r="I28" i="20" a="1"/>
  <c r="I19" i="21" a="1"/>
  <c r="E7" i="21" a="1"/>
  <c r="G54" i="26" a="1"/>
  <c r="J25" i="19" a="1"/>
  <c r="P10" i="46" a="1"/>
  <c r="E91" i="20" a="1"/>
  <c r="G68" i="15" a="1"/>
  <c r="H7" i="46" a="1"/>
  <c r="J42" i="48" a="1"/>
  <c r="G73" i="26" a="1"/>
  <c r="U38" i="46" a="1"/>
  <c r="G72" i="16" a="1"/>
  <c r="J134" i="19" a="1"/>
  <c r="H85" i="16" a="1"/>
  <c r="Q27" i="46" a="1"/>
  <c r="R109" i="20" a="1"/>
  <c r="Q34" i="19" a="1"/>
  <c r="P81" i="15" a="1"/>
  <c r="H87" i="20" a="1"/>
  <c r="U53" i="46" a="1"/>
  <c r="H103" i="16" a="1"/>
  <c r="H24" i="46" a="1"/>
  <c r="H30" i="50" a="1"/>
  <c r="E72" i="26" a="1"/>
  <c r="G80" i="15" a="1"/>
  <c r="I25" i="19" a="1"/>
  <c r="E50" i="15" a="1"/>
  <c r="Q10" i="48" a="1"/>
  <c r="S48" i="16" a="1"/>
  <c r="F48" i="21" a="1"/>
  <c r="H43" i="16" a="1"/>
  <c r="F62" i="26" a="1"/>
  <c r="E66" i="16" a="1"/>
  <c r="O24" i="26" a="1"/>
  <c r="T67" i="15" a="1"/>
  <c r="E64" i="26" a="1"/>
  <c r="F102" i="20" a="1"/>
  <c r="T13" i="21" a="1"/>
  <c r="J76" i="16" a="1"/>
  <c r="G48" i="19" a="1"/>
  <c r="J39" i="19" a="1"/>
  <c r="D45" i="17" a="1"/>
  <c r="H19" i="19" a="1"/>
  <c r="J47" i="15" a="1"/>
  <c r="H65" i="26" a="1"/>
  <c r="F25" i="21" a="1"/>
  <c r="U69" i="16" a="1"/>
  <c r="D55" i="16" a="1"/>
  <c r="G39" i="20" a="1"/>
  <c r="G8" i="50" a="1"/>
  <c r="H62" i="46" a="1"/>
  <c r="G40" i="21" a="1"/>
  <c r="I22" i="19" a="1"/>
  <c r="S122" i="19" a="1"/>
  <c r="H51" i="20" a="1"/>
  <c r="F41" i="17" a="1"/>
  <c r="D72" i="16" a="1"/>
  <c r="J117" i="46" a="1"/>
  <c r="K48" i="46" a="1"/>
  <c r="P123" i="19" a="1"/>
  <c r="I24" i="50" a="1"/>
  <c r="H61" i="46" a="1"/>
  <c r="P53" i="16" a="1"/>
  <c r="E20" i="44" a="1"/>
  <c r="R141" i="19" a="1"/>
  <c r="P19" i="48" a="1"/>
  <c r="T76" i="15" a="1"/>
  <c r="T49" i="46" a="1"/>
  <c r="Y45" i="26" a="1"/>
  <c r="I122" i="46" a="1"/>
  <c r="G121" i="19" a="1"/>
  <c r="H61" i="20" a="1"/>
  <c r="O14" i="20" a="1"/>
  <c r="D55" i="17" a="1"/>
  <c r="V81" i="15" a="1"/>
  <c r="F73" i="20" a="1"/>
  <c r="J44" i="19" a="1"/>
  <c r="U80" i="16" a="1"/>
  <c r="P14" i="50" a="1"/>
  <c r="H23" i="21" a="1"/>
  <c r="V60" i="15" a="1"/>
  <c r="F16" i="50" a="1"/>
  <c r="I11" i="48" a="1"/>
  <c r="F36" i="15" a="1"/>
  <c r="Y41" i="15" a="1"/>
  <c r="J47" i="19" a="1"/>
  <c r="Q89" i="46" a="1"/>
  <c r="Q45" i="48" a="1"/>
  <c r="Y65" i="15" a="1"/>
  <c r="D30" i="20" a="1"/>
  <c r="G52" i="21" a="1"/>
  <c r="J43" i="17" a="1"/>
  <c r="W9" i="16" a="1"/>
  <c r="D29" i="20" a="1"/>
  <c r="F14" i="15" a="1"/>
  <c r="F39" i="17" a="1"/>
  <c r="I126" i="46" a="1"/>
  <c r="Q26" i="20" a="1"/>
  <c r="D123" i="19" a="1"/>
  <c r="R82" i="46" a="1"/>
  <c r="O13" i="19" a="1"/>
  <c r="F25" i="26" a="1"/>
  <c r="S117" i="19" a="1"/>
  <c r="P9" i="48" a="1"/>
  <c r="D55" i="20" a="1"/>
  <c r="P70" i="15" a="1"/>
  <c r="U7" i="46" a="1"/>
  <c r="S71" i="46" a="1"/>
  <c r="E107" i="20" a="1"/>
  <c r="D78" i="26" a="1"/>
  <c r="U20" i="46" a="1"/>
  <c r="E37" i="20" a="1"/>
  <c r="X63" i="16" a="1"/>
  <c r="H32" i="20" a="1"/>
  <c r="D15" i="26" a="1"/>
  <c r="E24" i="21" a="1"/>
  <c r="R18" i="48" a="1"/>
  <c r="Q22" i="19" a="1"/>
  <c r="T97" i="15" a="1"/>
  <c r="E42" i="19" a="1"/>
  <c r="S71" i="16" a="1"/>
  <c r="E45" i="16" a="1"/>
  <c r="E21" i="48" a="1"/>
  <c r="Q11" i="46" a="1"/>
  <c r="R13" i="50" a="1"/>
  <c r="F29" i="20" a="1"/>
  <c r="Q45" i="19" a="1"/>
  <c r="G36" i="48" a="1"/>
  <c r="D98" i="16" a="1"/>
  <c r="D133" i="19" a="1"/>
  <c r="E83" i="16" a="1"/>
  <c r="R64" i="20" a="1"/>
  <c r="U30" i="26" a="1"/>
  <c r="Q39" i="21" a="1"/>
  <c r="U24" i="46" a="1"/>
  <c r="H38" i="26" a="1"/>
  <c r="J20" i="46" a="1"/>
  <c r="S40" i="50" a="1"/>
  <c r="E34" i="19" a="1"/>
  <c r="H99" i="16" a="1"/>
  <c r="U76" i="15" a="1"/>
  <c r="H89" i="15" a="1"/>
  <c r="E36" i="16" a="1"/>
  <c r="D29" i="50" a="1"/>
  <c r="R42" i="20" a="1"/>
  <c r="J37" i="26" a="1"/>
  <c r="G86" i="16" a="1"/>
  <c r="I58" i="26" a="1"/>
  <c r="W32" i="26" a="1"/>
  <c r="J101" i="16" a="1"/>
  <c r="P125" i="46" a="1"/>
  <c r="F40" i="26" a="1"/>
  <c r="R37" i="26" a="1"/>
  <c r="G50" i="20" a="1"/>
  <c r="P33" i="16" a="1"/>
  <c r="Q119" i="46" a="1"/>
  <c r="E80" i="26" a="1"/>
  <c r="Q112" i="19" a="1"/>
  <c r="U68" i="46" a="1"/>
  <c r="P70" i="20" a="1"/>
  <c r="H63" i="20" a="1"/>
  <c r="G39" i="17" a="1"/>
  <c r="F48" i="20" a="1"/>
  <c r="W43" i="26" a="1"/>
  <c r="H51" i="15" a="1"/>
  <c r="I50" i="21" a="1"/>
  <c r="F42" i="21" a="1"/>
  <c r="T66" i="15" a="1"/>
  <c r="H42" i="48" a="1"/>
  <c r="P56" i="15" a="1"/>
  <c r="P67" i="16" a="1"/>
  <c r="I8" i="46" a="1"/>
  <c r="S29" i="26" a="1"/>
  <c r="W30" i="26" a="1"/>
  <c r="D92" i="16" a="1"/>
  <c r="E97" i="15" a="1"/>
  <c r="G25" i="19" a="1"/>
  <c r="F90" i="15" a="1"/>
  <c r="S39" i="46" a="1"/>
  <c r="O81" i="16" a="1"/>
  <c r="H69" i="46" a="1"/>
  <c r="T32" i="26" a="1"/>
  <c r="S98" i="20" a="1"/>
  <c r="H44" i="15" a="1"/>
  <c r="I36" i="19" a="1"/>
  <c r="D13" i="26" a="1"/>
  <c r="F54" i="26" a="1"/>
  <c r="R76" i="20" a="1"/>
  <c r="T72" i="16" a="1"/>
  <c r="E65" i="16" a="1"/>
  <c r="G30" i="20" a="1"/>
  <c r="F66" i="46" a="1"/>
  <c r="D111" i="19" a="1"/>
  <c r="G76" i="20" a="1"/>
  <c r="P50" i="20" a="1"/>
  <c r="P126" i="19" a="1"/>
  <c r="T33" i="26" a="1"/>
  <c r="S56" i="15" a="1"/>
  <c r="G66" i="17" a="1"/>
  <c r="G53" i="15" a="1"/>
  <c r="Q20" i="46" a="1"/>
  <c r="Q72" i="15" a="1"/>
  <c r="S47" i="15" a="1"/>
  <c r="P27" i="46" a="1"/>
  <c r="J83" i="16" a="1"/>
  <c r="H31" i="19" a="1"/>
  <c r="K72" i="46" a="1"/>
  <c r="P67" i="20" a="1"/>
  <c r="G92" i="15" a="1"/>
  <c r="K47" i="17" a="1"/>
  <c r="I34" i="46" a="1"/>
  <c r="G20" i="19" a="1"/>
  <c r="F12" i="15" a="1"/>
  <c r="F38" i="15" a="1"/>
  <c r="R14" i="48" a="1"/>
  <c r="K24" i="48" a="1"/>
  <c r="D102" i="20" a="1"/>
  <c r="S63" i="15" a="1"/>
  <c r="D40" i="19" a="1"/>
  <c r="V12" i="16" a="1"/>
  <c r="E30" i="19" a="1"/>
  <c r="G23" i="44" a="1"/>
  <c r="G44" i="21" a="1"/>
  <c r="J38" i="16" a="1"/>
  <c r="G23" i="20" a="1"/>
  <c r="I17" i="21" a="1"/>
  <c r="D12" i="50" a="1"/>
  <c r="P17" i="19" a="1"/>
  <c r="X64" i="16" a="1"/>
  <c r="R58" i="19" a="1"/>
  <c r="G43" i="17" a="1"/>
  <c r="H37" i="16" a="1"/>
  <c r="S12" i="21" a="1"/>
  <c r="J79" i="15" a="1"/>
  <c r="D89" i="16" a="1"/>
  <c r="I51" i="15" a="1"/>
  <c r="X54" i="16" a="1"/>
  <c r="F22" i="50" a="1"/>
  <c r="D18" i="50" a="1"/>
  <c r="V11" i="16" a="1"/>
  <c r="H60" i="15" a="1"/>
  <c r="Y96" i="15" a="1"/>
  <c r="K38" i="48" a="1"/>
  <c r="P86" i="15" a="1"/>
  <c r="P72" i="46" a="1"/>
  <c r="F52" i="21" a="1"/>
  <c r="O32" i="19" a="1"/>
  <c r="I18" i="26" a="1"/>
  <c r="S11" i="50" a="1"/>
  <c r="O25" i="20" a="1"/>
  <c r="N77" i="26" a="1"/>
  <c r="G38" i="21" a="1"/>
  <c r="T65" i="16" a="1"/>
  <c r="G13" i="50" a="1"/>
  <c r="H81" i="26" a="1"/>
  <c r="J32" i="50" a="1"/>
  <c r="Q29" i="21" a="1"/>
  <c r="E89" i="16" a="1"/>
  <c r="K28" i="48" a="1"/>
  <c r="K26" i="46" a="1"/>
  <c r="G53" i="16" a="1"/>
  <c r="F46" i="26" a="1"/>
  <c r="F74" i="20" a="1"/>
  <c r="J50" i="19" a="1"/>
  <c r="G42" i="48" a="1"/>
  <c r="T80" i="16" a="1"/>
  <c r="S70" i="16" a="1"/>
  <c r="P63" i="46" a="1"/>
  <c r="R83" i="46" a="1"/>
  <c r="U77" i="16" a="1"/>
  <c r="H65" i="15" a="1"/>
  <c r="F50" i="15" a="1"/>
  <c r="U44" i="46" a="1"/>
  <c r="G48" i="46" a="1"/>
  <c r="H22" i="20" a="1"/>
  <c r="J17" i="19" a="1"/>
  <c r="I14" i="44" a="1"/>
  <c r="Q120" i="19" a="1"/>
  <c r="E19" i="26" a="1"/>
  <c r="P66" i="16" a="1"/>
  <c r="P57" i="16" a="1"/>
  <c r="G54" i="19" a="1"/>
  <c r="K20" i="44" a="1"/>
  <c r="D106" i="20" a="1"/>
  <c r="I40" i="17" a="1"/>
  <c r="P34" i="46" a="1"/>
  <c r="J82" i="46" a="1"/>
  <c r="E111" i="19" a="1"/>
  <c r="E101" i="20" a="1"/>
  <c r="G28" i="20" a="1"/>
  <c r="J35" i="21" a="1"/>
  <c r="D57" i="26" a="1"/>
  <c r="Q115" i="19" a="1"/>
  <c r="I12" i="21" a="1"/>
  <c r="H41" i="20" a="1"/>
  <c r="G59" i="17" a="1"/>
  <c r="R40" i="50" a="1"/>
  <c r="D47" i="16" a="1"/>
  <c r="D8" i="21" a="1"/>
  <c r="Q8" i="21" a="1"/>
  <c r="P80" i="16" a="1"/>
  <c r="S32" i="26" a="1"/>
  <c r="K56" i="17" a="1"/>
  <c r="D45" i="15" a="1"/>
  <c r="F131" i="19" a="1"/>
  <c r="I128" i="19" a="1"/>
  <c r="D113" i="20" a="1"/>
  <c r="R45" i="19" a="1"/>
  <c r="J16" i="19" a="1"/>
  <c r="Q71" i="15" a="1"/>
  <c r="S13" i="21" a="1"/>
  <c r="J78" i="26" a="1"/>
  <c r="S14" i="21" a="1"/>
  <c r="S77" i="16" a="1"/>
  <c r="F101" i="20" a="1"/>
  <c r="P55" i="19" a="1"/>
  <c r="D103" i="20" a="1"/>
  <c r="E86" i="15" a="1"/>
  <c r="H43" i="26" a="1"/>
  <c r="G60" i="16" a="1"/>
  <c r="F64" i="26" a="1"/>
  <c r="E97" i="20" a="1"/>
  <c r="S116" i="19" a="1"/>
  <c r="H11" i="19" a="1"/>
  <c r="D108" i="19" a="1"/>
  <c r="J111" i="19" a="1"/>
  <c r="G43" i="46" a="1"/>
  <c r="L19" i="48" a="1"/>
  <c r="G74" i="20" a="1"/>
  <c r="K60" i="17" a="1"/>
  <c r="V41" i="26" a="1"/>
  <c r="I9" i="50" a="1"/>
  <c r="Q119" i="19" a="1"/>
  <c r="E20" i="48" a="1"/>
  <c r="F72" i="16" a="1"/>
  <c r="O47" i="19" a="1"/>
  <c r="Q58" i="46" a="1"/>
  <c r="H21" i="26" a="1"/>
  <c r="H121" i="46" a="1"/>
  <c r="V78" i="15" a="1"/>
  <c r="R19" i="50" a="1"/>
  <c r="G84" i="15" a="1"/>
  <c r="P83" i="46" a="1"/>
  <c r="F40" i="17" a="1"/>
  <c r="H36" i="50" a="1"/>
  <c r="E18" i="50" a="1"/>
  <c r="E21" i="44" a="1"/>
  <c r="H20" i="50" a="1"/>
  <c r="AA42" i="26" a="1"/>
  <c r="O15" i="19" a="1"/>
  <c r="R46" i="20" a="1"/>
  <c r="K18" i="48" a="1"/>
  <c r="G67" i="17" a="1"/>
  <c r="E28" i="50" a="1"/>
  <c r="J37" i="46" a="1"/>
  <c r="R104" i="20" a="1"/>
  <c r="Q57" i="19" a="1"/>
  <c r="X32" i="15" a="1"/>
  <c r="I94" i="15" a="1"/>
  <c r="S71" i="15" a="1"/>
  <c r="J86" i="15" a="1"/>
  <c r="Q49" i="21" a="1"/>
  <c r="D8" i="26" a="1"/>
  <c r="H11" i="50" a="1"/>
  <c r="E20" i="19" a="1"/>
  <c r="P39" i="26" a="1"/>
  <c r="O15" i="26" a="1"/>
  <c r="R128" i="19" a="1"/>
  <c r="Q18" i="21" a="1"/>
  <c r="Q62" i="15" a="1"/>
  <c r="H45" i="17" a="1"/>
  <c r="P30" i="16" a="1"/>
  <c r="F57" i="26" a="1"/>
  <c r="Q8" i="46" a="1"/>
  <c r="I23" i="21" a="1"/>
  <c r="I68" i="46" a="1"/>
  <c r="R56" i="17" a="1"/>
  <c r="S60" i="17" a="1"/>
  <c r="I68" i="46" l="1"/>
  <c r="I23" i="21"/>
  <c r="Q8" i="46"/>
  <c r="F57" i="26"/>
  <c r="P30" i="16"/>
  <c r="H45" i="17"/>
  <c r="Q62" i="15"/>
  <c r="Q18" i="21"/>
  <c r="R128" i="19"/>
  <c r="O15" i="26"/>
  <c r="P39" i="26"/>
  <c r="E20" i="19"/>
  <c r="H11" i="50"/>
  <c r="D8" i="26"/>
  <c r="Q49" i="21"/>
  <c r="J86" i="15"/>
  <c r="S71" i="15"/>
  <c r="I94" i="15"/>
  <c r="X32" i="15"/>
  <c r="Q57" i="19"/>
  <c r="R104" i="20"/>
  <c r="J37" i="46"/>
  <c r="E28" i="50"/>
  <c r="G67" i="17"/>
  <c r="K18" i="48"/>
  <c r="R46" i="20"/>
  <c r="O15" i="19"/>
  <c r="AA42" i="26"/>
  <c r="H20" i="50"/>
  <c r="E21" i="44"/>
  <c r="E18" i="50"/>
  <c r="H36" i="50"/>
  <c r="F40" i="17"/>
  <c r="P83" i="46"/>
  <c r="G84" i="15"/>
  <c r="R19" i="50"/>
  <c r="V78" i="15"/>
  <c r="H121" i="46"/>
  <c r="H21" i="26"/>
  <c r="Q58" i="46"/>
  <c r="O47" i="19"/>
  <c r="F72" i="16"/>
  <c r="E20" i="48"/>
  <c r="Q119" i="19"/>
  <c r="I9" i="50"/>
  <c r="V41" i="26"/>
  <c r="K60" i="17"/>
  <c r="G74" i="20"/>
  <c r="L19" i="48"/>
  <c r="G43" i="46"/>
  <c r="J111" i="19"/>
  <c r="D108" i="19"/>
  <c r="H11" i="19"/>
  <c r="S116" i="19"/>
  <c r="E97" i="20"/>
  <c r="F64" i="26"/>
  <c r="G60" i="16"/>
  <c r="H43" i="26"/>
  <c r="E86" i="15"/>
  <c r="D103" i="20"/>
  <c r="P55" i="19"/>
  <c r="F101" i="20"/>
  <c r="S77" i="16"/>
  <c r="S14" i="21"/>
  <c r="J78" i="26"/>
  <c r="S13" i="21"/>
  <c r="Q71" i="15"/>
  <c r="J16" i="19"/>
  <c r="R45" i="19"/>
  <c r="D113" i="20"/>
  <c r="I128" i="19"/>
  <c r="F131" i="19"/>
  <c r="D45" i="15"/>
  <c r="K56" i="17"/>
  <c r="S32" i="26"/>
  <c r="P80" i="16"/>
  <c r="Q8" i="21"/>
  <c r="D8" i="21"/>
  <c r="D47" i="16"/>
  <c r="R40" i="50"/>
  <c r="G59" i="17"/>
  <c r="H41" i="20"/>
  <c r="I12" i="21"/>
  <c r="Q115" i="19"/>
  <c r="D57" i="26"/>
  <c r="J35" i="21"/>
  <c r="G28" i="20"/>
  <c r="E101" i="20"/>
  <c r="E111" i="19"/>
  <c r="J82" i="46"/>
  <c r="P34" i="46"/>
  <c r="I40" i="17"/>
  <c r="D106" i="20"/>
  <c r="K20" i="44"/>
  <c r="G54" i="19"/>
  <c r="P57" i="16"/>
  <c r="P66" i="16"/>
  <c r="E19" i="26"/>
  <c r="Q120" i="19"/>
  <c r="I14" i="44"/>
  <c r="J17" i="19"/>
  <c r="H22" i="20"/>
  <c r="G48" i="46"/>
  <c r="U44" i="46"/>
  <c r="F50" i="15"/>
  <c r="H65" i="15"/>
  <c r="U77" i="16"/>
  <c r="R83" i="46"/>
  <c r="P63" i="46"/>
  <c r="S70" i="16"/>
  <c r="T80" i="16"/>
  <c r="G42" i="48"/>
  <c r="J50" i="19"/>
  <c r="F74" i="20"/>
  <c r="F46" i="26"/>
  <c r="G53" i="16"/>
  <c r="K26" i="46"/>
  <c r="K28" i="48"/>
  <c r="E89" i="16"/>
  <c r="Q29" i="21"/>
  <c r="J32" i="50"/>
  <c r="H81" i="26"/>
  <c r="G13" i="50"/>
  <c r="T65" i="16"/>
  <c r="G38" i="21"/>
  <c r="N77" i="26"/>
  <c r="O25" i="20"/>
  <c r="S11" i="50"/>
  <c r="I18" i="26"/>
  <c r="O32" i="19"/>
  <c r="F52" i="21"/>
  <c r="P72" i="46"/>
  <c r="P86" i="15"/>
  <c r="K38" i="48"/>
  <c r="Y96" i="15"/>
  <c r="H60" i="15"/>
  <c r="V11" i="16"/>
  <c r="D18" i="50"/>
  <c r="F22" i="50"/>
  <c r="X54" i="16"/>
  <c r="I51" i="15"/>
  <c r="D89" i="16"/>
  <c r="J79" i="15"/>
  <c r="S12" i="21"/>
  <c r="H37" i="16"/>
  <c r="G43" i="17"/>
  <c r="R58" i="19"/>
  <c r="X64" i="16"/>
  <c r="P17" i="19"/>
  <c r="D12" i="50"/>
  <c r="I17" i="21"/>
  <c r="G23" i="20"/>
  <c r="J38" i="16"/>
  <c r="G44" i="21"/>
  <c r="G23" i="44"/>
  <c r="E30" i="19"/>
  <c r="V12" i="16"/>
  <c r="D40" i="19"/>
  <c r="S63" i="15"/>
  <c r="D102" i="20"/>
  <c r="K24" i="48"/>
  <c r="R14" i="48"/>
  <c r="F38" i="15"/>
  <c r="F12" i="15"/>
  <c r="G20" i="19"/>
  <c r="I34" i="46"/>
  <c r="K47" i="17"/>
  <c r="G92" i="15"/>
  <c r="Q92" i="15" s="1"/>
  <c r="P67" i="20"/>
  <c r="K72" i="46"/>
  <c r="H31" i="19"/>
  <c r="J83" i="16"/>
  <c r="P27" i="46"/>
  <c r="S47" i="15"/>
  <c r="Q72" i="15"/>
  <c r="Q20" i="46"/>
  <c r="G53" i="15"/>
  <c r="G66" i="17"/>
  <c r="S56" i="15"/>
  <c r="T33" i="26"/>
  <c r="P126" i="19"/>
  <c r="P50" i="20"/>
  <c r="G76" i="20"/>
  <c r="D111" i="19"/>
  <c r="F66" i="46"/>
  <c r="G30" i="20"/>
  <c r="E65" i="16"/>
  <c r="T72" i="16"/>
  <c r="R76" i="20"/>
  <c r="F54" i="26"/>
  <c r="D13" i="26"/>
  <c r="I36" i="19"/>
  <c r="H44" i="15"/>
  <c r="S98" i="20"/>
  <c r="T32" i="26"/>
  <c r="H69" i="46"/>
  <c r="O81" i="16"/>
  <c r="S39" i="46"/>
  <c r="F90" i="15"/>
  <c r="P90" i="15" s="1"/>
  <c r="G25" i="19"/>
  <c r="E97" i="15"/>
  <c r="D92" i="16"/>
  <c r="W30" i="26"/>
  <c r="S29" i="26"/>
  <c r="I8" i="46"/>
  <c r="P67" i="16"/>
  <c r="P56" i="15"/>
  <c r="H42" i="48"/>
  <c r="T66" i="15"/>
  <c r="F42" i="21"/>
  <c r="I50" i="21"/>
  <c r="H51" i="15"/>
  <c r="W43" i="26"/>
  <c r="F48" i="20"/>
  <c r="G39" i="17"/>
  <c r="H63" i="20"/>
  <c r="P70" i="20"/>
  <c r="U68" i="46"/>
  <c r="Q112" i="19"/>
  <c r="E80" i="26"/>
  <c r="Q119" i="46"/>
  <c r="P33" i="16"/>
  <c r="G50" i="20"/>
  <c r="R37" i="26"/>
  <c r="F40" i="26"/>
  <c r="P125" i="46"/>
  <c r="J101" i="16"/>
  <c r="W32" i="26"/>
  <c r="I58" i="26"/>
  <c r="G86" i="16"/>
  <c r="J37" i="26"/>
  <c r="R42" i="20"/>
  <c r="D29" i="50"/>
  <c r="E36" i="16"/>
  <c r="H89" i="15"/>
  <c r="U76" i="15"/>
  <c r="H99" i="16"/>
  <c r="E34" i="19"/>
  <c r="S40" i="50"/>
  <c r="J20" i="46"/>
  <c r="H38" i="26"/>
  <c r="U24" i="46"/>
  <c r="Q39" i="21"/>
  <c r="U30" i="26"/>
  <c r="R64" i="20"/>
  <c r="E83" i="16"/>
  <c r="D133" i="19"/>
  <c r="D98" i="16"/>
  <c r="G36" i="48"/>
  <c r="Q45" i="19"/>
  <c r="F29" i="20"/>
  <c r="R13" i="50"/>
  <c r="Q11" i="46"/>
  <c r="E21" i="48"/>
  <c r="E45" i="16"/>
  <c r="S71" i="16"/>
  <c r="E42" i="19"/>
  <c r="T97" i="15"/>
  <c r="Q22" i="19"/>
  <c r="R18" i="48"/>
  <c r="E24" i="21"/>
  <c r="D15" i="26"/>
  <c r="H32" i="20"/>
  <c r="X63" i="16"/>
  <c r="E37" i="20"/>
  <c r="U20" i="46"/>
  <c r="D78" i="26"/>
  <c r="E107" i="20"/>
  <c r="S71" i="46"/>
  <c r="U7" i="46"/>
  <c r="P70" i="15"/>
  <c r="D55" i="20"/>
  <c r="P9" i="48"/>
  <c r="S117" i="19"/>
  <c r="F25" i="26"/>
  <c r="O13" i="19"/>
  <c r="R82" i="46"/>
  <c r="D123" i="19"/>
  <c r="Q26" i="20"/>
  <c r="I126" i="46"/>
  <c r="F39" i="17"/>
  <c r="F14" i="15"/>
  <c r="D29" i="20"/>
  <c r="W9" i="16"/>
  <c r="J43" i="17"/>
  <c r="G52" i="21"/>
  <c r="D30" i="20"/>
  <c r="Y65" i="15"/>
  <c r="Q45" i="48"/>
  <c r="Q89" i="46"/>
  <c r="J47" i="19"/>
  <c r="Y41" i="15"/>
  <c r="F36" i="15"/>
  <c r="I11" i="48"/>
  <c r="F16" i="50"/>
  <c r="V60" i="15"/>
  <c r="H23" i="21"/>
  <c r="P14" i="50"/>
  <c r="U80" i="16"/>
  <c r="J44" i="19"/>
  <c r="F73" i="20"/>
  <c r="V81" i="15"/>
  <c r="D55" i="17"/>
  <c r="O14" i="20"/>
  <c r="H61" i="20"/>
  <c r="G121" i="19"/>
  <c r="I122" i="46"/>
  <c r="Y45" i="26"/>
  <c r="T49" i="46"/>
  <c r="T76" i="15"/>
  <c r="P19" i="48"/>
  <c r="R141" i="19"/>
  <c r="E20" i="44"/>
  <c r="P53" i="16"/>
  <c r="H61" i="46"/>
  <c r="I24" i="50"/>
  <c r="P123" i="19"/>
  <c r="K48" i="46"/>
  <c r="J117" i="46"/>
  <c r="D72" i="16"/>
  <c r="F41" i="17"/>
  <c r="H51" i="20"/>
  <c r="S122" i="19"/>
  <c r="I22" i="19"/>
  <c r="G40" i="21"/>
  <c r="H62" i="46"/>
  <c r="G8" i="50"/>
  <c r="G39" i="20"/>
  <c r="D55" i="16"/>
  <c r="U69" i="16"/>
  <c r="F25" i="21"/>
  <c r="H65" i="26"/>
  <c r="J47" i="15"/>
  <c r="H19" i="19"/>
  <c r="D45" i="17"/>
  <c r="J39" i="19"/>
  <c r="G48" i="19"/>
  <c r="J76" i="16"/>
  <c r="T13" i="21"/>
  <c r="F102" i="20"/>
  <c r="E64" i="26"/>
  <c r="T67" i="15"/>
  <c r="O24" i="26"/>
  <c r="E66" i="16"/>
  <c r="F62" i="26"/>
  <c r="H43" i="16"/>
  <c r="F48" i="21"/>
  <c r="S48" i="16"/>
  <c r="Q10" i="48"/>
  <c r="E50" i="15"/>
  <c r="I25" i="19"/>
  <c r="G80" i="15"/>
  <c r="E72" i="26"/>
  <c r="H30" i="50"/>
  <c r="H24" i="46"/>
  <c r="H103" i="16"/>
  <c r="U53" i="46"/>
  <c r="H87" i="20"/>
  <c r="P81" i="15"/>
  <c r="Q34" i="19"/>
  <c r="R109" i="20"/>
  <c r="Q27" i="46"/>
  <c r="H85" i="16"/>
  <c r="J134" i="19"/>
  <c r="G72" i="16"/>
  <c r="U38" i="46"/>
  <c r="G73" i="26"/>
  <c r="J42" i="48"/>
  <c r="H7" i="46"/>
  <c r="G68" i="15"/>
  <c r="E91" i="20"/>
  <c r="P10" i="46"/>
  <c r="J25" i="19"/>
  <c r="G54" i="26"/>
  <c r="E7" i="21"/>
  <c r="I19" i="21"/>
  <c r="I28" i="20"/>
  <c r="F48" i="16"/>
  <c r="T65" i="15"/>
  <c r="Q51" i="21"/>
  <c r="P32" i="26"/>
  <c r="R106" i="20"/>
  <c r="I73" i="26"/>
  <c r="Q43" i="19"/>
  <c r="F92" i="16"/>
  <c r="R16" i="50"/>
  <c r="Q122" i="46"/>
  <c r="Q37" i="21"/>
  <c r="E110" i="20"/>
  <c r="N66" i="16"/>
  <c r="P129" i="46"/>
  <c r="I41" i="20"/>
  <c r="E13" i="20"/>
  <c r="J22" i="48"/>
  <c r="U73" i="16"/>
  <c r="D73" i="16"/>
  <c r="I85" i="15"/>
  <c r="G47" i="19"/>
  <c r="I61" i="26"/>
  <c r="V9" i="16"/>
  <c r="D119" i="19"/>
  <c r="P40" i="19"/>
  <c r="D73" i="26"/>
  <c r="J34" i="26"/>
  <c r="Q36" i="21"/>
  <c r="R108" i="20"/>
  <c r="R11" i="20"/>
  <c r="R109" i="19"/>
  <c r="O84" i="15"/>
  <c r="E72" i="20"/>
  <c r="F126" i="46"/>
  <c r="G30" i="19"/>
  <c r="T10" i="21"/>
  <c r="Q37" i="26"/>
  <c r="F120" i="46"/>
  <c r="G117" i="19"/>
  <c r="I22" i="44"/>
  <c r="J16" i="21"/>
  <c r="S53" i="19"/>
  <c r="J94" i="15"/>
  <c r="E83" i="15"/>
  <c r="P26" i="48"/>
  <c r="K71" i="46"/>
  <c r="P51" i="20"/>
  <c r="F9" i="50"/>
  <c r="E127" i="19"/>
  <c r="D41" i="50"/>
  <c r="R31" i="19"/>
  <c r="R92" i="20"/>
  <c r="U58" i="16"/>
  <c r="G19" i="48"/>
  <c r="E79" i="15"/>
  <c r="K70" i="15"/>
  <c r="N64" i="16"/>
  <c r="Z8" i="44"/>
  <c r="E32" i="19"/>
  <c r="G39" i="46"/>
  <c r="J68" i="15"/>
  <c r="L36" i="48"/>
  <c r="I78" i="15"/>
  <c r="U62" i="16"/>
  <c r="D8" i="19"/>
  <c r="S72" i="20"/>
  <c r="T35" i="21"/>
  <c r="J46" i="19"/>
  <c r="R24" i="48"/>
  <c r="G45" i="19"/>
  <c r="I26" i="48"/>
  <c r="X74" i="16"/>
  <c r="W20" i="48"/>
  <c r="D62" i="17"/>
  <c r="J30" i="46"/>
  <c r="G45" i="26"/>
  <c r="T61" i="15"/>
  <c r="G84" i="16"/>
  <c r="I15" i="44"/>
  <c r="S83" i="20"/>
  <c r="R53" i="46"/>
  <c r="I59" i="26"/>
  <c r="K96" i="15"/>
  <c r="E75" i="16"/>
  <c r="J34" i="50"/>
  <c r="T76" i="16"/>
  <c r="E19" i="50"/>
  <c r="I56" i="15"/>
  <c r="Q81" i="15"/>
  <c r="P83" i="20"/>
  <c r="Q12" i="19"/>
  <c r="J9" i="19"/>
  <c r="E7" i="20"/>
  <c r="G42" i="20"/>
  <c r="I26" i="20"/>
  <c r="T59" i="16"/>
  <c r="G7" i="21"/>
  <c r="P62" i="16"/>
  <c r="G38" i="50"/>
  <c r="S7" i="21"/>
  <c r="H18" i="50"/>
  <c r="P45" i="26"/>
  <c r="P62" i="15"/>
  <c r="J100" i="16"/>
  <c r="D47" i="21"/>
  <c r="F87" i="46"/>
  <c r="F122" i="46"/>
  <c r="S94" i="16"/>
  <c r="I79" i="46"/>
  <c r="H49" i="21"/>
  <c r="Q113" i="19"/>
  <c r="P128" i="46"/>
  <c r="I65" i="16"/>
  <c r="H70" i="20"/>
  <c r="U54" i="16"/>
  <c r="E18" i="21"/>
  <c r="P47" i="20"/>
  <c r="O80" i="15"/>
  <c r="E12" i="20"/>
  <c r="Q11" i="20"/>
  <c r="X29" i="16"/>
  <c r="T54" i="15"/>
  <c r="Q117" i="19"/>
  <c r="F17" i="46"/>
  <c r="O127" i="19"/>
  <c r="R72" i="46"/>
  <c r="G26" i="20"/>
  <c r="Q78" i="20"/>
  <c r="S54" i="19"/>
  <c r="R114" i="20"/>
  <c r="G47" i="16"/>
  <c r="I86" i="15"/>
  <c r="Q80" i="46"/>
  <c r="S20" i="19"/>
  <c r="O23" i="19"/>
  <c r="N55" i="26"/>
  <c r="S45" i="16"/>
  <c r="S43" i="26"/>
  <c r="R79" i="20"/>
  <c r="Y48" i="15"/>
  <c r="Q38" i="19"/>
  <c r="S12" i="20"/>
  <c r="Q55" i="21"/>
  <c r="D21" i="26"/>
  <c r="F96" i="16"/>
  <c r="E57" i="17"/>
  <c r="F83" i="15"/>
  <c r="F80" i="20"/>
  <c r="E66" i="17"/>
  <c r="F123" i="19"/>
  <c r="X12" i="16"/>
  <c r="R131" i="19"/>
  <c r="J44" i="46"/>
  <c r="G63" i="46"/>
  <c r="I18" i="46"/>
  <c r="H25" i="21"/>
  <c r="Q18" i="20"/>
  <c r="F97" i="15"/>
  <c r="P97" i="15" s="1"/>
  <c r="I18" i="19"/>
  <c r="E12" i="21"/>
  <c r="J25" i="26"/>
  <c r="Q54" i="19"/>
  <c r="N53" i="16"/>
  <c r="O73" i="15"/>
  <c r="J41" i="19"/>
  <c r="X58" i="16"/>
  <c r="I21" i="48"/>
  <c r="I51" i="21"/>
  <c r="U81" i="46"/>
  <c r="D59" i="19"/>
  <c r="D63" i="20"/>
  <c r="D43" i="21"/>
  <c r="G14" i="21"/>
  <c r="G59" i="20"/>
  <c r="K64" i="15"/>
  <c r="H25" i="50"/>
  <c r="O13" i="26"/>
  <c r="G93" i="15"/>
  <c r="Q93" i="15" s="1"/>
  <c r="F13" i="46"/>
  <c r="D14" i="20"/>
  <c r="F28" i="48"/>
  <c r="V67" i="15"/>
  <c r="O60" i="15"/>
  <c r="G77" i="26"/>
  <c r="E70" i="16"/>
  <c r="I73" i="16"/>
  <c r="I43" i="20"/>
  <c r="S38" i="46"/>
  <c r="O10" i="19"/>
  <c r="G7" i="44"/>
  <c r="H8" i="21"/>
  <c r="R43" i="19"/>
  <c r="K89" i="15"/>
  <c r="J17" i="21"/>
  <c r="F88" i="20"/>
  <c r="U73" i="46"/>
  <c r="R25" i="50"/>
  <c r="J83" i="46"/>
  <c r="R38" i="20"/>
  <c r="U56" i="46"/>
  <c r="D67" i="17"/>
  <c r="F109" i="20"/>
  <c r="Y56" i="15"/>
  <c r="G76" i="16"/>
  <c r="Q12" i="46"/>
  <c r="H75" i="16"/>
  <c r="P60" i="46"/>
  <c r="T70" i="15"/>
  <c r="F30" i="26"/>
  <c r="G64" i="46"/>
  <c r="J28" i="50"/>
  <c r="J15" i="44"/>
  <c r="R16" i="48"/>
  <c r="Y44" i="26"/>
  <c r="I8" i="21"/>
  <c r="F82" i="46"/>
  <c r="H91" i="16"/>
  <c r="J30" i="26"/>
  <c r="G32" i="46"/>
  <c r="H9" i="21"/>
  <c r="R13" i="19"/>
  <c r="I70" i="17"/>
  <c r="D12" i="16"/>
  <c r="P37" i="48"/>
  <c r="F127" i="19"/>
  <c r="D69" i="20"/>
  <c r="Q83" i="20"/>
  <c r="H28" i="21"/>
  <c r="J24" i="48"/>
  <c r="H36" i="48"/>
  <c r="D32" i="19"/>
  <c r="R121" i="19"/>
  <c r="D50" i="19"/>
  <c r="S92" i="15"/>
  <c r="P43" i="26"/>
  <c r="J69" i="15"/>
  <c r="D142" i="19"/>
  <c r="J76" i="26"/>
  <c r="F53" i="20"/>
  <c r="O85" i="20"/>
  <c r="G24" i="19"/>
  <c r="N72" i="26"/>
  <c r="G123" i="19"/>
  <c r="E56" i="17"/>
  <c r="O66" i="15"/>
  <c r="D94" i="16"/>
  <c r="P17" i="20"/>
  <c r="J122" i="46"/>
  <c r="I22" i="48"/>
  <c r="F38" i="26"/>
  <c r="F21" i="26"/>
  <c r="X35" i="15"/>
  <c r="I35" i="21"/>
  <c r="P25" i="50"/>
  <c r="H39" i="46"/>
  <c r="J38" i="26"/>
  <c r="S7" i="20"/>
  <c r="I76" i="26"/>
  <c r="P75" i="16"/>
  <c r="J125" i="46"/>
  <c r="G45" i="46"/>
  <c r="J46" i="48"/>
  <c r="E85" i="15"/>
  <c r="X18" i="16"/>
  <c r="G26" i="21"/>
  <c r="J59" i="16"/>
  <c r="J8" i="44"/>
  <c r="F89" i="16"/>
  <c r="J12" i="46"/>
  <c r="F48" i="46"/>
  <c r="S60" i="20"/>
  <c r="O7" i="19"/>
  <c r="D88" i="20"/>
  <c r="I66" i="15"/>
  <c r="T57" i="16"/>
  <c r="Q26" i="21"/>
  <c r="D27" i="21"/>
  <c r="D116" i="19"/>
  <c r="O23" i="26"/>
  <c r="D39" i="21"/>
  <c r="Y42" i="15"/>
  <c r="E54" i="19"/>
  <c r="Q16" i="20"/>
  <c r="J142" i="19"/>
  <c r="H86" i="15"/>
  <c r="K22" i="48"/>
  <c r="H66" i="16"/>
  <c r="J89" i="46"/>
  <c r="J38" i="21"/>
  <c r="P115" i="19"/>
  <c r="K26" i="48"/>
  <c r="I40" i="50"/>
  <c r="Q43" i="46"/>
  <c r="F40" i="46"/>
  <c r="J55" i="15"/>
  <c r="H62" i="15"/>
  <c r="H37" i="48"/>
  <c r="H116" i="19"/>
  <c r="E23" i="20"/>
  <c r="Q9" i="48"/>
  <c r="F74" i="46"/>
  <c r="I42" i="21"/>
  <c r="S60" i="16"/>
  <c r="E11" i="26"/>
  <c r="P50" i="46"/>
  <c r="Q80" i="15"/>
  <c r="L33" i="48"/>
  <c r="F41" i="48"/>
  <c r="T76" i="46"/>
  <c r="Q44" i="15"/>
  <c r="F57" i="19"/>
  <c r="P16" i="48"/>
  <c r="U43" i="26"/>
  <c r="I33" i="50"/>
  <c r="I10" i="20"/>
  <c r="I56" i="17"/>
  <c r="P74" i="46"/>
  <c r="U45" i="15"/>
  <c r="I26" i="21"/>
  <c r="V22" i="16"/>
  <c r="S48" i="46"/>
  <c r="P37" i="20"/>
  <c r="P57" i="46"/>
  <c r="S43" i="19"/>
  <c r="T50" i="15"/>
  <c r="H20" i="19"/>
  <c r="F11" i="19"/>
  <c r="T41" i="15"/>
  <c r="R89" i="20"/>
  <c r="F20" i="44"/>
  <c r="F62" i="16"/>
  <c r="J78" i="15"/>
  <c r="R29" i="26"/>
  <c r="Q23" i="19"/>
  <c r="D22" i="16"/>
  <c r="S131" i="19"/>
  <c r="H19" i="46"/>
  <c r="H6" i="16"/>
  <c r="F58" i="26"/>
  <c r="E46" i="21"/>
  <c r="Q42" i="26"/>
  <c r="R28" i="46"/>
  <c r="N34" i="26"/>
  <c r="G76" i="26"/>
  <c r="R115" i="19"/>
  <c r="E62" i="17"/>
  <c r="J46" i="46"/>
  <c r="H80" i="16"/>
  <c r="N64" i="26"/>
  <c r="I47" i="21"/>
  <c r="V46" i="26"/>
  <c r="H38" i="50"/>
  <c r="E11" i="21"/>
  <c r="Q28" i="46"/>
  <c r="I27" i="20"/>
  <c r="H33" i="48"/>
  <c r="J95" i="16"/>
  <c r="R54" i="19"/>
  <c r="D36" i="16"/>
  <c r="G20" i="48"/>
  <c r="R56" i="19"/>
  <c r="H59" i="26"/>
  <c r="R48" i="20"/>
  <c r="K93" i="15"/>
  <c r="I47" i="15"/>
  <c r="G64" i="26"/>
  <c r="S72" i="17"/>
  <c r="D60" i="16"/>
  <c r="H73" i="16"/>
  <c r="Q19" i="21"/>
  <c r="H67" i="20"/>
  <c r="E26" i="20"/>
  <c r="S35" i="19"/>
  <c r="N80" i="16"/>
  <c r="H22" i="46"/>
  <c r="E109" i="20"/>
  <c r="J56" i="17"/>
  <c r="I22" i="50"/>
  <c r="O54" i="16"/>
  <c r="J84" i="15"/>
  <c r="G41" i="19"/>
  <c r="N81" i="16"/>
  <c r="U59" i="46"/>
  <c r="G38" i="48"/>
  <c r="R38" i="50"/>
  <c r="P14" i="48"/>
  <c r="F62" i="17"/>
  <c r="H72" i="17"/>
  <c r="P53" i="15"/>
  <c r="X76" i="16"/>
  <c r="G21" i="50"/>
  <c r="F10" i="46"/>
  <c r="P83" i="15"/>
  <c r="S93" i="15"/>
  <c r="F24" i="21"/>
  <c r="K47" i="15"/>
  <c r="L13" i="48"/>
  <c r="S29" i="50"/>
  <c r="R35" i="20"/>
  <c r="H41" i="50"/>
  <c r="I21" i="46"/>
  <c r="F22" i="48"/>
  <c r="D18" i="21"/>
  <c r="O110" i="19"/>
  <c r="P38" i="19"/>
  <c r="Q18" i="46"/>
  <c r="G74" i="16"/>
  <c r="R105" i="20"/>
  <c r="D13" i="44"/>
  <c r="Q43" i="26"/>
  <c r="O16" i="26"/>
  <c r="S40" i="20"/>
  <c r="S36" i="20"/>
  <c r="F85" i="20"/>
  <c r="P56" i="20"/>
  <c r="T71" i="16"/>
  <c r="I66" i="46"/>
  <c r="J103" i="16"/>
  <c r="T25" i="21"/>
  <c r="I10" i="48"/>
  <c r="P119" i="19"/>
  <c r="F94" i="20"/>
  <c r="G53" i="19"/>
  <c r="H63" i="15"/>
  <c r="U85" i="15"/>
  <c r="R22" i="50"/>
  <c r="D23" i="16"/>
  <c r="P42" i="46"/>
  <c r="E74" i="26"/>
  <c r="S29" i="16"/>
  <c r="E113" i="20"/>
  <c r="F10" i="20"/>
  <c r="Q32" i="46"/>
  <c r="P30" i="46"/>
  <c r="E118" i="19"/>
  <c r="N42" i="26"/>
  <c r="R107" i="20"/>
  <c r="K79" i="15"/>
  <c r="R118" i="46"/>
  <c r="Q35" i="19"/>
  <c r="D69" i="16"/>
  <c r="O83" i="20"/>
  <c r="E20" i="50"/>
  <c r="R50" i="19"/>
  <c r="Y33" i="15"/>
  <c r="D121" i="19"/>
  <c r="S39" i="21"/>
  <c r="S76" i="16"/>
  <c r="G49" i="20"/>
  <c r="S70" i="20"/>
  <c r="U40" i="46"/>
  <c r="V23" i="16"/>
  <c r="F17" i="16"/>
  <c r="R112" i="19"/>
  <c r="P41" i="48"/>
  <c r="Q68" i="15"/>
  <c r="F22" i="20"/>
  <c r="P121" i="19"/>
  <c r="R28" i="48"/>
  <c r="S20" i="50"/>
  <c r="G85" i="16"/>
  <c r="K59" i="46"/>
  <c r="E81" i="16"/>
  <c r="F28" i="46"/>
  <c r="F12" i="16"/>
  <c r="T62" i="15"/>
  <c r="S51" i="19"/>
  <c r="E114" i="19"/>
  <c r="E9" i="20"/>
  <c r="K37" i="48"/>
  <c r="O93" i="20"/>
  <c r="S86" i="20"/>
  <c r="I33" i="46"/>
  <c r="E37" i="48"/>
  <c r="F11" i="48"/>
  <c r="P29" i="16"/>
  <c r="X43" i="26"/>
  <c r="E46" i="16"/>
  <c r="F36" i="19"/>
  <c r="F9" i="21"/>
  <c r="F91" i="15"/>
  <c r="P91" i="15" s="1"/>
  <c r="O77" i="15"/>
  <c r="J31" i="26"/>
  <c r="D17" i="20"/>
  <c r="D40" i="50"/>
  <c r="V53" i="15"/>
  <c r="D17" i="26"/>
  <c r="I30" i="26"/>
  <c r="K87" i="46"/>
  <c r="D21" i="20"/>
  <c r="F117" i="19"/>
  <c r="I111" i="19"/>
  <c r="R9" i="20"/>
  <c r="J84" i="16"/>
  <c r="S14" i="19"/>
  <c r="E25" i="50"/>
  <c r="S30" i="50"/>
  <c r="V7" i="44"/>
  <c r="F113" i="20"/>
  <c r="S92" i="16"/>
  <c r="K12" i="48"/>
  <c r="X55" i="16"/>
  <c r="D47" i="19"/>
  <c r="U42" i="46"/>
  <c r="P32" i="20"/>
  <c r="D94" i="15"/>
  <c r="R89" i="46"/>
  <c r="S52" i="20"/>
  <c r="S41" i="50"/>
  <c r="I142" i="19"/>
  <c r="K63" i="17"/>
  <c r="I39" i="16"/>
  <c r="I33" i="16" s="1"/>
  <c r="G55" i="15"/>
  <c r="H40" i="26"/>
  <c r="H114" i="19"/>
  <c r="R23" i="46"/>
  <c r="J30" i="50"/>
  <c r="J41" i="26"/>
  <c r="J67" i="16"/>
  <c r="G69" i="15"/>
  <c r="AA29" i="26"/>
  <c r="F40" i="50"/>
  <c r="J59" i="17"/>
  <c r="S89" i="15"/>
  <c r="J20" i="19"/>
  <c r="J58" i="17"/>
  <c r="J23" i="46"/>
  <c r="E27" i="48"/>
  <c r="H27" i="20"/>
  <c r="G65" i="20"/>
  <c r="F10" i="48"/>
  <c r="S58" i="19"/>
  <c r="S37" i="19"/>
  <c r="I46" i="48"/>
  <c r="R42" i="26"/>
  <c r="F24" i="46"/>
  <c r="X31" i="26"/>
  <c r="I118" i="46"/>
  <c r="E8" i="21"/>
  <c r="P40" i="26"/>
  <c r="F24" i="26"/>
  <c r="P19" i="19"/>
  <c r="W24" i="48"/>
  <c r="P89" i="46"/>
  <c r="D26" i="16"/>
  <c r="S13" i="19"/>
  <c r="I9" i="48"/>
  <c r="H14" i="19"/>
  <c r="H78" i="26"/>
  <c r="K33" i="48"/>
  <c r="E30" i="50"/>
  <c r="E47" i="15"/>
  <c r="J70" i="26"/>
  <c r="V8" i="44"/>
  <c r="D44" i="17"/>
  <c r="J67" i="46"/>
  <c r="D19" i="50"/>
  <c r="X102" i="16"/>
  <c r="S53" i="46"/>
  <c r="J72" i="46"/>
  <c r="S137" i="19"/>
  <c r="H56" i="26"/>
  <c r="F89" i="15"/>
  <c r="D32" i="50"/>
  <c r="E45" i="17"/>
  <c r="Q77" i="20"/>
  <c r="V31" i="26"/>
  <c r="F7" i="20"/>
  <c r="E7" i="19"/>
  <c r="V51" i="15"/>
  <c r="R60" i="17"/>
  <c r="D83" i="20"/>
  <c r="P59" i="15"/>
  <c r="U84" i="15"/>
  <c r="E94" i="20"/>
  <c r="H20" i="44"/>
  <c r="O60" i="20"/>
  <c r="X39" i="16"/>
  <c r="X33" i="16" s="1"/>
  <c r="K68" i="17"/>
  <c r="G20" i="44"/>
  <c r="J26" i="21"/>
  <c r="D63" i="17"/>
  <c r="F41" i="19"/>
  <c r="J12" i="48"/>
  <c r="R51" i="20"/>
  <c r="D91" i="16"/>
  <c r="G59" i="46"/>
  <c r="E44" i="20"/>
  <c r="O59" i="15"/>
  <c r="X44" i="16"/>
  <c r="F39" i="21"/>
  <c r="F20" i="26"/>
  <c r="J123" i="19"/>
  <c r="R33" i="26"/>
  <c r="I78" i="16"/>
  <c r="V82" i="15"/>
  <c r="I53" i="15"/>
  <c r="J92" i="16"/>
  <c r="I127" i="46"/>
  <c r="F36" i="50"/>
  <c r="F26" i="48"/>
  <c r="O121" i="19"/>
  <c r="J64" i="15"/>
  <c r="I56" i="16"/>
  <c r="F62" i="46"/>
  <c r="H19" i="44"/>
  <c r="J53" i="46"/>
  <c r="G114" i="19"/>
  <c r="X89" i="16"/>
  <c r="F72" i="15"/>
  <c r="F112" i="20"/>
  <c r="J94" i="16"/>
  <c r="H59" i="19"/>
  <c r="P43" i="48"/>
  <c r="S87" i="15"/>
  <c r="V19" i="16"/>
  <c r="G46" i="21"/>
  <c r="V18" i="16"/>
  <c r="E117" i="19"/>
  <c r="E63" i="17"/>
  <c r="R49" i="46"/>
  <c r="O68" i="15"/>
  <c r="R12" i="20"/>
  <c r="E73" i="15"/>
  <c r="F47" i="48"/>
  <c r="Q118" i="46"/>
  <c r="G65" i="15"/>
  <c r="H66" i="46"/>
  <c r="I39" i="19"/>
  <c r="J13" i="21"/>
  <c r="G44" i="17"/>
  <c r="P11" i="46"/>
  <c r="U43" i="46"/>
  <c r="I72" i="15"/>
  <c r="V86" i="15"/>
  <c r="O68" i="20"/>
  <c r="K77" i="46"/>
  <c r="E75" i="20"/>
  <c r="K13" i="48"/>
  <c r="D57" i="19"/>
  <c r="F56" i="26"/>
  <c r="O76" i="16"/>
  <c r="G53" i="20"/>
  <c r="F27" i="21"/>
  <c r="P46" i="19"/>
  <c r="T55" i="15"/>
  <c r="J33" i="48"/>
  <c r="F31" i="19"/>
  <c r="G37" i="20"/>
  <c r="I18" i="21"/>
  <c r="U117" i="46"/>
  <c r="P45" i="46"/>
  <c r="H46" i="19"/>
  <c r="J47" i="48"/>
  <c r="E24" i="48"/>
  <c r="O53" i="19"/>
  <c r="R65" i="20"/>
  <c r="F17" i="48"/>
  <c r="I12" i="50"/>
  <c r="S41" i="20"/>
  <c r="G41" i="20"/>
  <c r="P81" i="46"/>
  <c r="H81" i="15"/>
  <c r="I57" i="19"/>
  <c r="K69" i="15"/>
  <c r="Y53" i="15"/>
  <c r="I38" i="46"/>
  <c r="F9" i="19"/>
  <c r="G47" i="17"/>
  <c r="X62" i="16"/>
  <c r="G79" i="20"/>
  <c r="I42" i="20"/>
  <c r="I37" i="16"/>
  <c r="E64" i="20"/>
  <c r="Q80" i="20"/>
  <c r="F81" i="15"/>
  <c r="Q30" i="20"/>
  <c r="E9" i="19"/>
  <c r="I32" i="19"/>
  <c r="H83" i="46"/>
  <c r="Q13" i="20"/>
  <c r="H14" i="50"/>
  <c r="H16" i="19"/>
  <c r="E58" i="20"/>
  <c r="J67" i="15"/>
  <c r="G33" i="46"/>
  <c r="U71" i="16"/>
  <c r="G66" i="16"/>
  <c r="W36" i="26"/>
  <c r="K70" i="46"/>
  <c r="G76" i="15"/>
  <c r="P46" i="26"/>
  <c r="H7" i="50"/>
  <c r="H65" i="17"/>
  <c r="I95" i="15"/>
  <c r="O117" i="19"/>
  <c r="R135" i="19"/>
  <c r="F40" i="15"/>
  <c r="J79" i="16"/>
  <c r="J23" i="44"/>
  <c r="D29" i="21"/>
  <c r="G70" i="46"/>
  <c r="D47" i="20"/>
  <c r="P8" i="46"/>
  <c r="I24" i="26"/>
  <c r="E65" i="17"/>
  <c r="R77" i="20"/>
  <c r="F38" i="48"/>
  <c r="R29" i="48"/>
  <c r="W31" i="48"/>
  <c r="H55" i="46"/>
  <c r="D8" i="20"/>
  <c r="P110" i="20"/>
  <c r="O126" i="19"/>
  <c r="E75" i="26"/>
  <c r="J21" i="50"/>
  <c r="Q27" i="20"/>
  <c r="J22" i="50"/>
  <c r="O82" i="15"/>
  <c r="H84" i="15"/>
  <c r="I137" i="19"/>
  <c r="J66" i="17"/>
  <c r="P29" i="26"/>
  <c r="Z43" i="26"/>
  <c r="P11" i="20"/>
  <c r="H23" i="46"/>
  <c r="U126" i="46"/>
  <c r="F32" i="50"/>
  <c r="F105" i="20"/>
  <c r="F23" i="50"/>
  <c r="P29" i="46"/>
  <c r="H55" i="16"/>
  <c r="Q38" i="46"/>
  <c r="J42" i="17"/>
  <c r="D44" i="21"/>
  <c r="D87" i="20"/>
  <c r="S9" i="21"/>
  <c r="J72" i="26"/>
  <c r="W19" i="16"/>
  <c r="H74" i="20"/>
  <c r="D114" i="19"/>
  <c r="U72" i="16"/>
  <c r="Y94" i="15"/>
  <c r="S112" i="20"/>
  <c r="E36" i="19"/>
  <c r="Q45" i="21"/>
  <c r="I52" i="46"/>
  <c r="J128" i="46"/>
  <c r="X14" i="16"/>
  <c r="S57" i="19"/>
  <c r="F39" i="20"/>
  <c r="F17" i="15"/>
  <c r="G132" i="19"/>
  <c r="S31" i="26"/>
  <c r="X53" i="16"/>
  <c r="E43" i="21"/>
  <c r="I30" i="20"/>
  <c r="I138" i="19"/>
  <c r="J40" i="26"/>
  <c r="P74" i="16"/>
  <c r="I77" i="15"/>
  <c r="G51" i="19"/>
  <c r="Y42" i="26"/>
  <c r="D41" i="19"/>
  <c r="D16" i="21"/>
  <c r="K75" i="46"/>
  <c r="E33" i="20"/>
  <c r="E89" i="15"/>
  <c r="K76" i="15"/>
  <c r="U17" i="46"/>
  <c r="I42" i="26"/>
  <c r="R27" i="50"/>
  <c r="S102" i="20"/>
  <c r="R43" i="46"/>
  <c r="Q22" i="21"/>
  <c r="G12" i="48"/>
  <c r="R20" i="48"/>
  <c r="F62" i="20"/>
  <c r="H21" i="19"/>
  <c r="E87" i="15"/>
  <c r="I60" i="46"/>
  <c r="U52" i="46"/>
  <c r="U82" i="15"/>
  <c r="E35" i="19"/>
  <c r="H8" i="44"/>
  <c r="I29" i="48"/>
  <c r="D16" i="50"/>
  <c r="Z40" i="26"/>
  <c r="P116" i="19"/>
  <c r="E23" i="50"/>
  <c r="D15" i="16"/>
  <c r="S36" i="50"/>
  <c r="Q79" i="15"/>
  <c r="H39" i="17"/>
  <c r="H92" i="16"/>
  <c r="F83" i="16"/>
  <c r="G67" i="20"/>
  <c r="R33" i="46"/>
  <c r="F52" i="46"/>
  <c r="N73" i="16"/>
  <c r="I27" i="50"/>
  <c r="I9" i="19"/>
  <c r="I79" i="16"/>
  <c r="E55" i="17"/>
  <c r="Z38" i="26"/>
  <c r="F14" i="21"/>
  <c r="P24" i="20"/>
  <c r="J14" i="44"/>
  <c r="E65" i="20"/>
  <c r="J8" i="46"/>
  <c r="E52" i="20"/>
  <c r="I44" i="46"/>
  <c r="G62" i="46"/>
  <c r="F101" i="16"/>
  <c r="I65" i="15"/>
  <c r="R110" i="19"/>
  <c r="S16" i="50"/>
  <c r="F21" i="15"/>
  <c r="P12" i="46"/>
  <c r="S42" i="19"/>
  <c r="J61" i="26"/>
  <c r="W13" i="48"/>
  <c r="G42" i="26"/>
  <c r="R96" i="20"/>
  <c r="S15" i="21"/>
  <c r="E44" i="15"/>
  <c r="T41" i="21"/>
  <c r="R26" i="48"/>
  <c r="P120" i="19"/>
  <c r="P93" i="20"/>
  <c r="H36" i="20"/>
  <c r="G25" i="50"/>
  <c r="R114" i="19"/>
  <c r="I13" i="46"/>
  <c r="J47" i="21"/>
  <c r="Q66" i="20"/>
  <c r="E83" i="20"/>
  <c r="U83" i="15"/>
  <c r="D52" i="15"/>
  <c r="F77" i="20"/>
  <c r="I85" i="16"/>
  <c r="R37" i="19"/>
  <c r="G60" i="46"/>
  <c r="G22" i="20"/>
  <c r="H41" i="17"/>
  <c r="F31" i="15"/>
  <c r="L43" i="48"/>
  <c r="I20" i="50"/>
  <c r="F42" i="19"/>
  <c r="I22" i="26"/>
  <c r="N61" i="26"/>
  <c r="O80" i="26"/>
  <c r="S22" i="20"/>
  <c r="O71" i="26"/>
  <c r="D48" i="21"/>
  <c r="K56" i="46"/>
  <c r="P97" i="20"/>
  <c r="O70" i="16"/>
  <c r="Q31" i="26"/>
  <c r="T69" i="16"/>
  <c r="F70" i="16"/>
  <c r="J56" i="19"/>
  <c r="L11" i="48"/>
  <c r="F98" i="20"/>
  <c r="J18" i="46"/>
  <c r="G13" i="48"/>
  <c r="H48" i="16"/>
  <c r="G41" i="48"/>
  <c r="J38" i="50"/>
  <c r="K54" i="15"/>
  <c r="I73" i="17"/>
  <c r="I43" i="19"/>
  <c r="U79" i="46"/>
  <c r="I55" i="17"/>
  <c r="D40" i="20"/>
  <c r="R32" i="26"/>
  <c r="G67" i="15"/>
  <c r="P79" i="16"/>
  <c r="I71" i="16"/>
  <c r="G118" i="19"/>
  <c r="D53" i="15"/>
  <c r="G13" i="20"/>
  <c r="F62" i="15"/>
  <c r="H18" i="48"/>
  <c r="R40" i="19"/>
  <c r="P43" i="20"/>
  <c r="H54" i="17"/>
  <c r="D41" i="17"/>
  <c r="N46" i="26"/>
  <c r="Q26" i="48"/>
  <c r="S40" i="46"/>
  <c r="U46" i="46"/>
  <c r="D63" i="16"/>
  <c r="F76" i="15"/>
  <c r="G69" i="46"/>
  <c r="P11" i="19"/>
  <c r="H74" i="46"/>
  <c r="O114" i="19"/>
  <c r="K78" i="15"/>
  <c r="E108" i="19"/>
  <c r="T74" i="46"/>
  <c r="F113" i="19"/>
  <c r="P36" i="19"/>
  <c r="D17" i="16"/>
  <c r="Q65" i="20"/>
  <c r="I75" i="16"/>
  <c r="X20" i="16"/>
  <c r="E64" i="15"/>
  <c r="J93" i="16"/>
  <c r="Q53" i="15"/>
  <c r="H67" i="17"/>
  <c r="R20" i="50"/>
  <c r="G36" i="46"/>
  <c r="G16" i="20"/>
  <c r="G13" i="19"/>
  <c r="D54" i="20"/>
  <c r="O37" i="19"/>
  <c r="F49" i="15"/>
  <c r="H43" i="48"/>
  <c r="U122" i="46"/>
  <c r="F9" i="20"/>
  <c r="P77" i="16"/>
  <c r="R94" i="20"/>
  <c r="G40" i="50"/>
  <c r="J17" i="48"/>
  <c r="H129" i="46"/>
  <c r="K95" i="15"/>
  <c r="N54" i="16"/>
  <c r="R51" i="46"/>
  <c r="S51" i="20"/>
  <c r="E51" i="20"/>
  <c r="J36" i="46"/>
  <c r="E134" i="19"/>
  <c r="Q121" i="19"/>
  <c r="I13" i="50"/>
  <c r="O69" i="20"/>
  <c r="J46" i="16"/>
  <c r="S77" i="15"/>
  <c r="P18" i="48"/>
  <c r="O109" i="19"/>
  <c r="F8" i="19"/>
  <c r="R44" i="26"/>
  <c r="F37" i="50"/>
  <c r="F39" i="19"/>
  <c r="F58" i="20"/>
  <c r="R25" i="46"/>
  <c r="H48" i="20"/>
  <c r="T32" i="15"/>
  <c r="N32" i="26"/>
  <c r="G85" i="20"/>
  <c r="R29" i="46"/>
  <c r="O114" i="20"/>
  <c r="T34" i="15"/>
  <c r="X86" i="16"/>
  <c r="G56" i="46"/>
  <c r="H68" i="46"/>
  <c r="I123" i="46"/>
  <c r="D45" i="19"/>
  <c r="H37" i="19"/>
  <c r="Y66" i="15"/>
  <c r="G46" i="26"/>
  <c r="G129" i="46"/>
  <c r="N24" i="26"/>
  <c r="P80" i="46"/>
  <c r="Q41" i="46"/>
  <c r="K24" i="46"/>
  <c r="Q128" i="19"/>
  <c r="J39" i="48"/>
  <c r="W13" i="16"/>
  <c r="S18" i="21"/>
  <c r="N74" i="26"/>
  <c r="V27" i="16"/>
  <c r="H40" i="20"/>
  <c r="S105" i="20"/>
  <c r="T38" i="26"/>
  <c r="J83" i="15"/>
  <c r="F14" i="50"/>
  <c r="H70" i="17"/>
  <c r="P76" i="15"/>
  <c r="I96" i="15"/>
  <c r="J15" i="19"/>
  <c r="O21" i="20"/>
  <c r="F49" i="21"/>
  <c r="D54" i="16"/>
  <c r="H43" i="17"/>
  <c r="AA32" i="26"/>
  <c r="H25" i="26"/>
  <c r="W17" i="48"/>
  <c r="O57" i="19"/>
  <c r="R39" i="46"/>
  <c r="O87" i="15"/>
  <c r="D7" i="21"/>
  <c r="E14" i="50"/>
  <c r="P70" i="16"/>
  <c r="O31" i="16"/>
  <c r="D25" i="16"/>
  <c r="F88" i="16"/>
  <c r="W9" i="48"/>
  <c r="P21" i="20"/>
  <c r="S75" i="20"/>
  <c r="S38" i="16"/>
  <c r="H45" i="26"/>
  <c r="F79" i="20"/>
  <c r="D51" i="19"/>
  <c r="N65" i="26"/>
  <c r="R48" i="19"/>
  <c r="D89" i="15"/>
  <c r="Z37" i="26"/>
  <c r="F50" i="20"/>
  <c r="Q74" i="46"/>
  <c r="D43" i="19"/>
  <c r="R133" i="19"/>
  <c r="N75" i="26"/>
  <c r="G9" i="19"/>
  <c r="D76" i="16"/>
  <c r="E95" i="16"/>
  <c r="F16" i="48"/>
  <c r="T61" i="46"/>
  <c r="E52" i="19"/>
  <c r="I97" i="16"/>
  <c r="E23" i="21"/>
  <c r="I6" i="15"/>
  <c r="H80" i="15"/>
  <c r="F63" i="16"/>
  <c r="V68" i="15"/>
  <c r="D11" i="26"/>
  <c r="F69" i="17"/>
  <c r="Q24" i="46"/>
  <c r="W26" i="16"/>
  <c r="O12" i="19"/>
  <c r="Y84" i="15"/>
  <c r="W22" i="16"/>
  <c r="T53" i="16"/>
  <c r="U125" i="46"/>
  <c r="K82" i="46"/>
  <c r="E41" i="19"/>
  <c r="S118" i="19"/>
  <c r="R59" i="20"/>
  <c r="I40" i="21"/>
  <c r="D29" i="16"/>
  <c r="O108" i="19"/>
  <c r="E102" i="16"/>
  <c r="H37" i="46"/>
  <c r="J10" i="19"/>
  <c r="E39" i="17"/>
  <c r="G36" i="20"/>
  <c r="E42" i="21"/>
  <c r="E34" i="50"/>
  <c r="J57" i="16"/>
  <c r="G82" i="15"/>
  <c r="F88" i="46"/>
  <c r="S55" i="20"/>
  <c r="Q13" i="48"/>
  <c r="T27" i="15"/>
  <c r="E19" i="48"/>
  <c r="Y68" i="15"/>
  <c r="F107" i="19"/>
  <c r="J117" i="19"/>
  <c r="G70" i="16"/>
  <c r="R62" i="20"/>
  <c r="G141" i="19"/>
  <c r="S11" i="19"/>
  <c r="P56" i="19"/>
  <c r="K43" i="46"/>
  <c r="G35" i="46"/>
  <c r="I35" i="20"/>
  <c r="P41" i="50"/>
  <c r="I39" i="48"/>
  <c r="R125" i="19"/>
  <c r="F142" i="19"/>
  <c r="K14" i="46"/>
  <c r="H39" i="19"/>
  <c r="F125" i="19"/>
  <c r="J19" i="44"/>
  <c r="W18" i="16"/>
  <c r="S28" i="20"/>
  <c r="F25" i="15"/>
  <c r="J119" i="46"/>
  <c r="Q87" i="15"/>
  <c r="H9" i="20"/>
  <c r="I65" i="46"/>
  <c r="E40" i="17"/>
  <c r="H28" i="50"/>
  <c r="S110" i="20"/>
  <c r="G80" i="26"/>
  <c r="G63" i="16"/>
  <c r="K91" i="15"/>
  <c r="L44" i="48"/>
  <c r="H65" i="46"/>
  <c r="F20" i="20"/>
  <c r="J62" i="26"/>
  <c r="I12" i="48"/>
  <c r="H108" i="19"/>
  <c r="I59" i="16"/>
  <c r="P35" i="50"/>
  <c r="G74" i="46"/>
  <c r="R29" i="20"/>
  <c r="F84" i="15"/>
  <c r="P45" i="19"/>
  <c r="P56" i="16"/>
  <c r="J108" i="19"/>
  <c r="K88" i="46"/>
  <c r="F122" i="19"/>
  <c r="H102" i="16"/>
  <c r="V35" i="26"/>
  <c r="S86" i="16"/>
  <c r="G59" i="26"/>
  <c r="G55" i="19"/>
  <c r="U36" i="26"/>
  <c r="F97" i="20"/>
  <c r="H31" i="48"/>
  <c r="J96" i="16"/>
  <c r="G73" i="20"/>
  <c r="G45" i="16"/>
  <c r="D14" i="21"/>
  <c r="J9" i="46"/>
  <c r="I76" i="16"/>
  <c r="I81" i="16"/>
  <c r="J25" i="46"/>
  <c r="S69" i="15"/>
  <c r="H17" i="26"/>
  <c r="T35" i="15"/>
  <c r="E106" i="20"/>
  <c r="K18" i="46"/>
  <c r="I69" i="17"/>
  <c r="G34" i="46"/>
  <c r="G29" i="20"/>
  <c r="V37" i="26"/>
  <c r="H45" i="19"/>
  <c r="S94" i="20"/>
  <c r="P25" i="20"/>
  <c r="E116" i="19"/>
  <c r="I129" i="19"/>
  <c r="E16" i="19"/>
  <c r="O70" i="20"/>
  <c r="F30" i="46"/>
  <c r="P68" i="20"/>
  <c r="Y92" i="15"/>
  <c r="D68" i="17"/>
  <c r="O74" i="16"/>
  <c r="O79" i="15"/>
  <c r="H62" i="26"/>
  <c r="G34" i="50"/>
  <c r="P111" i="20"/>
  <c r="D10" i="26"/>
  <c r="F53" i="19"/>
  <c r="D61" i="20"/>
  <c r="Q120" i="46"/>
  <c r="J74" i="46"/>
  <c r="O39" i="19"/>
  <c r="G27" i="20"/>
  <c r="P23" i="20"/>
  <c r="N31" i="26"/>
  <c r="P109" i="20"/>
  <c r="R73" i="46"/>
  <c r="F95" i="15"/>
  <c r="P95" i="15" s="1"/>
  <c r="E58" i="17"/>
  <c r="S129" i="19"/>
  <c r="D13" i="16"/>
  <c r="N77" i="16"/>
  <c r="G40" i="19"/>
  <c r="T31" i="26"/>
  <c r="E47" i="20"/>
  <c r="O79" i="20"/>
  <c r="O51" i="15"/>
  <c r="I48" i="19"/>
  <c r="P96" i="20"/>
  <c r="I59" i="46"/>
  <c r="K19" i="44"/>
  <c r="H9" i="46"/>
  <c r="W15" i="48"/>
  <c r="R99" i="20"/>
  <c r="H30" i="26"/>
  <c r="S42" i="20"/>
  <c r="J28" i="46"/>
  <c r="I95" i="16"/>
  <c r="U22" i="46"/>
  <c r="D64" i="26"/>
  <c r="D62" i="26"/>
  <c r="S51" i="21"/>
  <c r="Y31" i="15"/>
  <c r="J40" i="19"/>
  <c r="H86" i="16"/>
  <c r="E119" i="19"/>
  <c r="P78" i="15"/>
  <c r="E11" i="50"/>
  <c r="K46" i="48"/>
  <c r="H71" i="26"/>
  <c r="X97" i="16"/>
  <c r="I64" i="15"/>
  <c r="Q10" i="20"/>
  <c r="J55" i="26"/>
  <c r="I63" i="46"/>
  <c r="S80" i="16"/>
  <c r="P92" i="20"/>
  <c r="E74" i="16"/>
  <c r="Q7" i="21"/>
  <c r="R58" i="20"/>
  <c r="P38" i="20"/>
  <c r="D79" i="16"/>
  <c r="F17" i="20"/>
  <c r="D73" i="17"/>
  <c r="P77" i="46"/>
  <c r="I31" i="19"/>
  <c r="V84" i="15"/>
  <c r="E37" i="17"/>
  <c r="H49" i="46"/>
  <c r="G89" i="15"/>
  <c r="Q89" i="15" s="1"/>
  <c r="I47" i="48"/>
  <c r="D37" i="19"/>
  <c r="I108" i="19"/>
  <c r="R137" i="19"/>
  <c r="Q35" i="26"/>
  <c r="F46" i="16"/>
  <c r="Q50" i="19"/>
  <c r="K46" i="46"/>
  <c r="F20" i="19"/>
  <c r="J88" i="16"/>
  <c r="U72" i="15"/>
  <c r="H9" i="44"/>
  <c r="F29" i="46"/>
  <c r="G13" i="44"/>
  <c r="J137" i="19"/>
  <c r="R30" i="26"/>
  <c r="J121" i="46"/>
  <c r="O24" i="20"/>
  <c r="H28" i="20"/>
  <c r="E39" i="20"/>
  <c r="O41" i="19"/>
  <c r="E27" i="50"/>
  <c r="U45" i="46"/>
  <c r="E43" i="19"/>
  <c r="I33" i="26"/>
  <c r="E128" i="19"/>
  <c r="D132" i="19"/>
  <c r="R30" i="50"/>
  <c r="S22" i="46"/>
  <c r="E76" i="20"/>
  <c r="G85" i="15"/>
  <c r="P101" i="20"/>
  <c r="H126" i="46"/>
  <c r="G18" i="48"/>
  <c r="S71" i="20"/>
  <c r="Q82" i="46"/>
  <c r="S21" i="50"/>
  <c r="T28" i="15"/>
  <c r="J33" i="19"/>
  <c r="G91" i="16"/>
  <c r="J129" i="19"/>
  <c r="F7" i="48"/>
  <c r="D45" i="21"/>
  <c r="G21" i="19"/>
  <c r="N56" i="16"/>
  <c r="G7" i="20"/>
  <c r="G37" i="21"/>
  <c r="S15" i="19"/>
  <c r="O84" i="20"/>
  <c r="R13" i="20"/>
  <c r="S41" i="21"/>
  <c r="Q34" i="26"/>
  <c r="H12" i="19"/>
  <c r="J21" i="48"/>
  <c r="T9" i="21"/>
  <c r="T79" i="16"/>
  <c r="Q105" i="20"/>
  <c r="H30" i="19"/>
  <c r="Q36" i="46"/>
  <c r="Q54" i="15"/>
  <c r="Q16" i="21"/>
  <c r="E94" i="16"/>
  <c r="F15" i="20"/>
  <c r="S82" i="20"/>
  <c r="R15" i="20"/>
  <c r="I87" i="46"/>
  <c r="I24" i="20"/>
  <c r="G46" i="48"/>
  <c r="P14" i="20"/>
  <c r="E14" i="48"/>
  <c r="D96" i="16"/>
  <c r="P7" i="20"/>
  <c r="Q17" i="20"/>
  <c r="S24" i="20"/>
  <c r="E79" i="20"/>
  <c r="S90" i="15"/>
  <c r="P20" i="48"/>
  <c r="E72" i="17"/>
  <c r="K63" i="15"/>
  <c r="G90" i="15"/>
  <c r="Q90" i="15" s="1"/>
  <c r="S81" i="15"/>
  <c r="J9" i="48"/>
  <c r="Q38" i="21"/>
  <c r="P33" i="20"/>
  <c r="R32" i="20"/>
  <c r="D82" i="20"/>
  <c r="H57" i="19"/>
  <c r="T63" i="16"/>
  <c r="O35" i="19"/>
  <c r="P107" i="20"/>
  <c r="F72" i="17"/>
  <c r="R64" i="17"/>
  <c r="X77" i="16"/>
  <c r="K85" i="15"/>
  <c r="R44" i="20"/>
  <c r="Q50" i="15"/>
  <c r="E98" i="20"/>
  <c r="D32" i="20"/>
  <c r="K58" i="46"/>
  <c r="S106" i="20"/>
  <c r="G19" i="26"/>
  <c r="R117" i="19"/>
  <c r="O9" i="20"/>
  <c r="D89" i="20"/>
  <c r="F19" i="20"/>
  <c r="J71" i="46"/>
  <c r="D127" i="19"/>
  <c r="S109" i="19"/>
  <c r="K42" i="48"/>
  <c r="J126" i="19"/>
  <c r="X38" i="16"/>
  <c r="Q46" i="19"/>
  <c r="E76" i="16"/>
  <c r="T72" i="15"/>
  <c r="K97" i="15"/>
  <c r="W14" i="16"/>
  <c r="S7" i="50"/>
  <c r="I101" i="16"/>
  <c r="I79" i="26"/>
  <c r="D10" i="16"/>
  <c r="D19" i="19"/>
  <c r="P50" i="15"/>
  <c r="F76" i="16"/>
  <c r="F39" i="15"/>
  <c r="E25" i="21"/>
  <c r="D74" i="16"/>
  <c r="U32" i="26"/>
  <c r="E16" i="48"/>
  <c r="S34" i="26"/>
  <c r="H87" i="16"/>
  <c r="E88" i="20"/>
  <c r="H26" i="21"/>
  <c r="F9" i="26"/>
  <c r="G58" i="26"/>
  <c r="P8" i="19"/>
  <c r="E19" i="20"/>
  <c r="I38" i="26"/>
  <c r="O64" i="26"/>
  <c r="H64" i="20"/>
  <c r="Q10" i="21"/>
  <c r="S32" i="21"/>
  <c r="Y63" i="15"/>
  <c r="Q53" i="46"/>
  <c r="D61" i="16"/>
  <c r="P8" i="50"/>
  <c r="I74" i="46"/>
  <c r="V29" i="26"/>
  <c r="O90" i="20"/>
  <c r="D87" i="16"/>
  <c r="G66" i="20"/>
  <c r="Q37" i="46"/>
  <c r="J128" i="19"/>
  <c r="AA35" i="26"/>
  <c r="I17" i="46"/>
  <c r="H137" i="19"/>
  <c r="R66" i="20"/>
  <c r="E105" i="20"/>
  <c r="R83" i="20"/>
  <c r="Q90" i="20"/>
  <c r="O62" i="15"/>
  <c r="P56" i="46"/>
  <c r="H54" i="19"/>
  <c r="T87" i="15"/>
  <c r="D26" i="21"/>
  <c r="I54" i="16"/>
  <c r="D65" i="20"/>
  <c r="H9" i="50"/>
  <c r="H77" i="16"/>
  <c r="Q79" i="20"/>
  <c r="S39" i="19"/>
  <c r="H80" i="26"/>
  <c r="F127" i="46"/>
  <c r="E20" i="26"/>
  <c r="J58" i="19"/>
  <c r="R59" i="17"/>
  <c r="T47" i="15"/>
  <c r="H24" i="48"/>
  <c r="D40" i="17"/>
  <c r="Y46" i="26"/>
  <c r="J98" i="16"/>
  <c r="I37" i="50"/>
  <c r="J26" i="19"/>
  <c r="I16" i="20"/>
  <c r="H15" i="19"/>
  <c r="F24" i="20"/>
  <c r="H30" i="46"/>
  <c r="G37" i="46"/>
  <c r="F65" i="17"/>
  <c r="U37" i="46"/>
  <c r="H60" i="17"/>
  <c r="AA44" i="26"/>
  <c r="F71" i="26"/>
  <c r="F37" i="48"/>
  <c r="Q70" i="46"/>
  <c r="D140" i="19"/>
  <c r="F17" i="26"/>
  <c r="F16" i="16"/>
  <c r="F85" i="16"/>
  <c r="I53" i="20"/>
  <c r="R113" i="20"/>
  <c r="U38" i="26"/>
  <c r="G10" i="21"/>
  <c r="F87" i="15"/>
  <c r="F35" i="50"/>
  <c r="S48" i="15"/>
  <c r="Q24" i="21"/>
  <c r="Y39" i="15"/>
  <c r="U37" i="26"/>
  <c r="R70" i="20"/>
  <c r="V79" i="15"/>
  <c r="P42" i="48"/>
  <c r="E15" i="20"/>
  <c r="Q30" i="46"/>
  <c r="D42" i="17"/>
  <c r="G142" i="19"/>
  <c r="E18" i="19"/>
  <c r="Q61" i="15"/>
  <c r="J52" i="46"/>
  <c r="G22" i="46"/>
  <c r="P28" i="48"/>
  <c r="E21" i="20"/>
  <c r="D14" i="44"/>
  <c r="J72" i="17"/>
  <c r="G40" i="26"/>
  <c r="H67" i="16"/>
  <c r="G39" i="48"/>
  <c r="O81" i="15"/>
  <c r="Q19" i="48"/>
  <c r="I10" i="26"/>
  <c r="G70" i="17"/>
  <c r="U51" i="15"/>
  <c r="Q82" i="15"/>
  <c r="W7" i="44"/>
  <c r="G10" i="48"/>
  <c r="D107" i="20"/>
  <c r="F81" i="46"/>
  <c r="R80" i="20"/>
  <c r="O19" i="20"/>
  <c r="S46" i="17"/>
  <c r="J79" i="46"/>
  <c r="I89" i="16"/>
  <c r="H117" i="19"/>
  <c r="Y33" i="26"/>
  <c r="H44" i="26"/>
  <c r="O78" i="15"/>
  <c r="G9" i="48"/>
  <c r="Q60" i="20"/>
  <c r="K49" i="15"/>
  <c r="J10" i="46"/>
  <c r="D37" i="20"/>
  <c r="I34" i="19"/>
  <c r="O14" i="19"/>
  <c r="J36" i="21"/>
  <c r="E57" i="19"/>
  <c r="T93" i="15"/>
  <c r="V93" i="15" s="1"/>
  <c r="K86" i="15"/>
  <c r="I29" i="50"/>
  <c r="R11" i="19"/>
  <c r="D46" i="21"/>
  <c r="J70" i="17"/>
  <c r="E70" i="26"/>
  <c r="P24" i="50"/>
  <c r="G36" i="21"/>
  <c r="F6" i="21"/>
  <c r="D44" i="15"/>
  <c r="I125" i="19"/>
  <c r="J95" i="15"/>
  <c r="I16" i="48"/>
  <c r="W37" i="26"/>
  <c r="K68" i="15"/>
  <c r="I33" i="19"/>
  <c r="G96" i="16"/>
  <c r="D19" i="20"/>
  <c r="R60" i="20"/>
  <c r="I70" i="15"/>
  <c r="S25" i="21"/>
  <c r="G58" i="20"/>
  <c r="R30" i="20"/>
  <c r="I11" i="20"/>
  <c r="H35" i="50"/>
  <c r="E68" i="15"/>
  <c r="J67" i="17"/>
  <c r="F42" i="48"/>
  <c r="E114" i="20"/>
  <c r="X52" i="16"/>
  <c r="H32" i="26"/>
  <c r="F27" i="16"/>
  <c r="S141" i="19"/>
  <c r="D67" i="20"/>
  <c r="J31" i="48"/>
  <c r="J10" i="21"/>
  <c r="R34" i="50"/>
  <c r="J41" i="17"/>
  <c r="E56" i="16"/>
  <c r="S37" i="21"/>
  <c r="E18" i="26"/>
  <c r="D81" i="20"/>
  <c r="E49" i="20"/>
  <c r="T44" i="15"/>
  <c r="Y71" i="15"/>
  <c r="J35" i="50"/>
  <c r="F28" i="50"/>
  <c r="U69" i="15"/>
  <c r="O11" i="19"/>
  <c r="L26" i="48"/>
  <c r="F39" i="48"/>
  <c r="AA43" i="26"/>
  <c r="S16" i="19"/>
  <c r="P73" i="15"/>
  <c r="R49" i="19"/>
  <c r="F36" i="26"/>
  <c r="P32" i="16"/>
  <c r="P38" i="46"/>
  <c r="Q31" i="21"/>
  <c r="F44" i="46"/>
  <c r="E84" i="20"/>
  <c r="X19" i="16"/>
  <c r="R61" i="46"/>
  <c r="U15" i="46"/>
  <c r="E51" i="15"/>
  <c r="I9" i="20"/>
  <c r="H59" i="46"/>
  <c r="E26" i="21"/>
  <c r="Y40" i="26"/>
  <c r="D115" i="19"/>
  <c r="I87" i="15"/>
  <c r="I10" i="46"/>
  <c r="T36" i="26"/>
  <c r="H52" i="19"/>
  <c r="E59" i="19"/>
  <c r="S8" i="20"/>
  <c r="F50" i="19"/>
  <c r="T61" i="16"/>
  <c r="F73" i="16"/>
  <c r="D25" i="50"/>
  <c r="F36" i="21"/>
  <c r="E77" i="20"/>
  <c r="K36" i="46"/>
  <c r="D12" i="26"/>
  <c r="G77" i="46"/>
  <c r="R36" i="26"/>
  <c r="I10" i="21"/>
  <c r="F23" i="19"/>
  <c r="G20" i="46"/>
  <c r="F18" i="50"/>
  <c r="D35" i="19"/>
  <c r="Y47" i="15"/>
  <c r="I124" i="46"/>
  <c r="H10" i="48"/>
  <c r="O30" i="20"/>
  <c r="K9" i="46"/>
  <c r="T42" i="46"/>
  <c r="U49" i="46"/>
  <c r="I119" i="19"/>
  <c r="I36" i="21"/>
  <c r="F29" i="50"/>
  <c r="S40" i="21"/>
  <c r="O62" i="26"/>
  <c r="K65" i="15"/>
  <c r="X72" i="16"/>
  <c r="E69" i="20"/>
  <c r="E59" i="17"/>
  <c r="U75" i="16"/>
  <c r="Q81" i="20"/>
  <c r="Q55" i="19"/>
  <c r="H14" i="44"/>
  <c r="F8" i="16"/>
  <c r="H74" i="16"/>
  <c r="O58" i="19"/>
  <c r="Q46" i="21"/>
  <c r="F119" i="19"/>
  <c r="F118" i="46"/>
  <c r="F30" i="50"/>
  <c r="Q37" i="19"/>
  <c r="U50" i="46"/>
  <c r="R27" i="20"/>
  <c r="Q20" i="48"/>
  <c r="P44" i="20"/>
  <c r="I80" i="46"/>
  <c r="F8" i="50"/>
  <c r="I42" i="16"/>
  <c r="F75" i="46"/>
  <c r="G35" i="26"/>
  <c r="Q75" i="46"/>
  <c r="R46" i="17"/>
  <c r="F14" i="16"/>
  <c r="Q41" i="19"/>
  <c r="S35" i="26"/>
  <c r="J44" i="48"/>
  <c r="F112" i="19"/>
  <c r="O76" i="26"/>
  <c r="I72" i="16"/>
  <c r="H27" i="19"/>
  <c r="D15" i="19"/>
  <c r="G28" i="21"/>
  <c r="F65" i="26"/>
  <c r="S84" i="15"/>
  <c r="W25" i="48"/>
  <c r="S60" i="15"/>
  <c r="I84" i="16"/>
  <c r="J85" i="16"/>
  <c r="G120" i="19"/>
  <c r="V36" i="26"/>
  <c r="T42" i="21"/>
  <c r="D23" i="21"/>
  <c r="J127" i="19"/>
  <c r="G82" i="20"/>
  <c r="S7" i="19"/>
  <c r="R12" i="19"/>
  <c r="J19" i="26"/>
  <c r="J24" i="46"/>
  <c r="R7" i="48"/>
  <c r="S97" i="16"/>
  <c r="R91" i="20"/>
  <c r="H57" i="46"/>
  <c r="E71" i="17"/>
  <c r="T96" i="15"/>
  <c r="H68" i="17"/>
  <c r="U55" i="16"/>
  <c r="E33" i="19"/>
  <c r="I67" i="46"/>
  <c r="G31" i="50"/>
  <c r="H72" i="26"/>
  <c r="G88" i="16"/>
  <c r="F77" i="16"/>
  <c r="P91" i="20"/>
  <c r="R63" i="20"/>
  <c r="P73" i="46"/>
  <c r="E27" i="21"/>
  <c r="P30" i="20"/>
  <c r="P82" i="46"/>
  <c r="P76" i="46"/>
  <c r="P15" i="20"/>
  <c r="U44" i="15"/>
  <c r="Q21" i="48"/>
  <c r="T12" i="46"/>
  <c r="E138" i="19"/>
  <c r="D26" i="20"/>
  <c r="G33" i="50"/>
  <c r="E15" i="19"/>
  <c r="G28" i="48"/>
  <c r="F125" i="46"/>
  <c r="F14" i="44"/>
  <c r="I126" i="19"/>
  <c r="U39" i="46"/>
  <c r="H10" i="50"/>
  <c r="F25" i="20"/>
  <c r="H17" i="48"/>
  <c r="D71" i="16"/>
  <c r="I44" i="16"/>
  <c r="O66" i="20"/>
  <c r="K20" i="48"/>
  <c r="J122" i="19"/>
  <c r="P106" i="20"/>
  <c r="S10" i="21"/>
  <c r="D17" i="21"/>
  <c r="I9" i="46"/>
  <c r="I91" i="15"/>
  <c r="W35" i="26"/>
  <c r="F78" i="15"/>
  <c r="K45" i="48"/>
  <c r="S85" i="16"/>
  <c r="H43" i="20"/>
  <c r="J36" i="48"/>
  <c r="I8" i="44"/>
  <c r="O43" i="19"/>
  <c r="I36" i="48"/>
  <c r="O31" i="19"/>
  <c r="E40" i="50"/>
  <c r="H82" i="46"/>
  <c r="P65" i="46"/>
  <c r="S37" i="16"/>
  <c r="T35" i="26"/>
  <c r="S41" i="26"/>
  <c r="G30" i="46"/>
  <c r="O107" i="19"/>
  <c r="J138" i="19"/>
  <c r="E85" i="16"/>
  <c r="I31" i="48"/>
  <c r="I51" i="20"/>
  <c r="F73" i="26"/>
  <c r="F25" i="50"/>
  <c r="Y35" i="26"/>
  <c r="I24" i="21"/>
  <c r="U60" i="15"/>
  <c r="G21" i="46"/>
  <c r="P45" i="48"/>
  <c r="K8" i="46"/>
  <c r="F21" i="50"/>
  <c r="T64" i="15"/>
  <c r="Y80" i="15"/>
  <c r="E9" i="26"/>
  <c r="S62" i="16"/>
  <c r="G81" i="20"/>
  <c r="G79" i="26"/>
  <c r="E59" i="20"/>
  <c r="L21" i="48"/>
  <c r="I125" i="46"/>
  <c r="E55" i="20"/>
  <c r="D12" i="21"/>
  <c r="R87" i="20"/>
  <c r="G56" i="19"/>
  <c r="D101" i="16"/>
  <c r="I15" i="21"/>
  <c r="P22" i="48"/>
  <c r="I52" i="19"/>
  <c r="R97" i="20"/>
  <c r="D53" i="19"/>
  <c r="R82" i="20"/>
  <c r="O26" i="19"/>
  <c r="S48" i="19"/>
  <c r="V32" i="26"/>
  <c r="Q27" i="21"/>
  <c r="D126" i="19"/>
  <c r="O25" i="19"/>
  <c r="H14" i="20"/>
  <c r="K31" i="48"/>
  <c r="U72" i="46"/>
  <c r="U18" i="46"/>
  <c r="D65" i="16"/>
  <c r="H84" i="20"/>
  <c r="J15" i="48"/>
  <c r="T46" i="46"/>
  <c r="J20" i="26"/>
  <c r="J46" i="21"/>
  <c r="G73" i="46"/>
  <c r="D50" i="15"/>
  <c r="E6" i="20"/>
  <c r="S87" i="16"/>
  <c r="F67" i="15"/>
  <c r="D66" i="20"/>
  <c r="G81" i="46"/>
  <c r="L15" i="48"/>
  <c r="K89" i="46"/>
  <c r="E34" i="20"/>
  <c r="P61" i="46"/>
  <c r="W12" i="16"/>
  <c r="J35" i="26"/>
  <c r="Y54" i="15"/>
  <c r="K67" i="15"/>
  <c r="J26" i="46"/>
  <c r="R55" i="20"/>
  <c r="O118" i="19"/>
  <c r="H37" i="26"/>
  <c r="E39" i="48"/>
  <c r="F44" i="20"/>
  <c r="S39" i="20"/>
  <c r="G6" i="46"/>
  <c r="D109" i="19"/>
  <c r="U77" i="46"/>
  <c r="U66" i="46"/>
  <c r="I40" i="48"/>
  <c r="W31" i="26"/>
  <c r="F8" i="44"/>
  <c r="U39" i="26"/>
  <c r="F43" i="20"/>
  <c r="X9" i="16"/>
  <c r="J31" i="50"/>
  <c r="P47" i="46"/>
  <c r="F52" i="20"/>
  <c r="F51" i="20"/>
  <c r="S11" i="20"/>
  <c r="O21" i="19"/>
  <c r="O116" i="19"/>
  <c r="H14" i="48"/>
  <c r="H31" i="26"/>
  <c r="W46" i="26"/>
  <c r="J16" i="46"/>
  <c r="H7" i="44"/>
  <c r="P113" i="20"/>
  <c r="D62" i="16"/>
  <c r="I92" i="16"/>
  <c r="E32" i="20"/>
  <c r="S9" i="46"/>
  <c r="G87" i="46"/>
  <c r="U59" i="16"/>
  <c r="T34" i="21"/>
  <c r="G25" i="46"/>
  <c r="D57" i="17"/>
  <c r="F73" i="46"/>
  <c r="I16" i="26"/>
  <c r="X46" i="16"/>
  <c r="D102" i="16"/>
  <c r="Q63" i="46"/>
  <c r="F86" i="20"/>
  <c r="J61" i="17"/>
  <c r="O46" i="19"/>
  <c r="F11" i="15"/>
  <c r="F103" i="16"/>
  <c r="F124" i="46"/>
  <c r="R16" i="19"/>
  <c r="G7" i="19"/>
  <c r="R48" i="46"/>
  <c r="Q20" i="20"/>
  <c r="Q19" i="19"/>
  <c r="X97" i="15"/>
  <c r="G66" i="15"/>
  <c r="D75" i="16"/>
  <c r="G31" i="26"/>
  <c r="S36" i="21"/>
  <c r="J60" i="15"/>
  <c r="F43" i="21"/>
  <c r="G120" i="46"/>
  <c r="I21" i="26"/>
  <c r="E55" i="19"/>
  <c r="K44" i="46"/>
  <c r="E48" i="20"/>
  <c r="E63" i="16"/>
  <c r="D124" i="19"/>
  <c r="F71" i="46"/>
  <c r="S73" i="20"/>
  <c r="W20" i="16"/>
  <c r="S109" i="20"/>
  <c r="E63" i="26"/>
  <c r="H14" i="21"/>
  <c r="K10" i="46"/>
  <c r="P36" i="26"/>
  <c r="S30" i="19"/>
  <c r="H141" i="19"/>
  <c r="R52" i="17"/>
  <c r="G44" i="15"/>
  <c r="I103" i="16"/>
  <c r="U53" i="15"/>
  <c r="J36" i="26"/>
  <c r="G24" i="21"/>
  <c r="G10" i="46"/>
  <c r="S121" i="19"/>
  <c r="G12" i="21"/>
  <c r="D19" i="26"/>
  <c r="P60" i="16"/>
  <c r="N58" i="26"/>
  <c r="G26" i="48"/>
  <c r="G81" i="16"/>
  <c r="F79" i="16"/>
  <c r="W26" i="48"/>
  <c r="U53" i="16"/>
  <c r="L16" i="48"/>
  <c r="H46" i="26"/>
  <c r="S69" i="16"/>
  <c r="G13" i="46"/>
  <c r="Q48" i="46"/>
  <c r="I40" i="20"/>
  <c r="U30" i="46"/>
  <c r="G59" i="16"/>
  <c r="J33" i="26"/>
  <c r="G57" i="26"/>
  <c r="Q49" i="19"/>
  <c r="I41" i="19"/>
  <c r="F64" i="15"/>
  <c r="X22" i="16"/>
  <c r="T73" i="16"/>
  <c r="H118" i="19"/>
  <c r="Q118" i="19"/>
  <c r="I25" i="21"/>
  <c r="D23" i="50"/>
  <c r="S49" i="15"/>
  <c r="J25" i="50"/>
  <c r="X21" i="16"/>
  <c r="E103" i="16"/>
  <c r="F23" i="21"/>
  <c r="I36" i="20"/>
  <c r="Y79" i="15"/>
  <c r="S32" i="19"/>
  <c r="Q31" i="48"/>
  <c r="G18" i="20"/>
  <c r="S28" i="50"/>
  <c r="U28" i="46"/>
  <c r="H44" i="20"/>
  <c r="H37" i="20"/>
  <c r="S139" i="19"/>
  <c r="P112" i="20"/>
  <c r="G24" i="26"/>
  <c r="E64" i="16"/>
  <c r="H50" i="46"/>
  <c r="Q48" i="21"/>
  <c r="I17" i="48"/>
  <c r="U71" i="15"/>
  <c r="G52" i="16"/>
  <c r="Q55" i="46"/>
  <c r="K45" i="17"/>
  <c r="K25" i="46"/>
  <c r="U55" i="46"/>
  <c r="V71" i="15"/>
  <c r="I67" i="15"/>
  <c r="E45" i="48"/>
  <c r="E11" i="19"/>
  <c r="H21" i="48"/>
  <c r="H17" i="20"/>
  <c r="E76" i="15"/>
  <c r="R69" i="20"/>
  <c r="F61" i="46"/>
  <c r="I54" i="20"/>
  <c r="N72" i="16"/>
  <c r="H39" i="21"/>
  <c r="H42" i="19"/>
  <c r="G75" i="20"/>
  <c r="D76" i="26"/>
  <c r="G61" i="16"/>
  <c r="H101" i="16"/>
  <c r="P34" i="20"/>
  <c r="G32" i="19"/>
  <c r="F7" i="21"/>
  <c r="F50" i="21"/>
  <c r="P31" i="26"/>
  <c r="F81" i="26"/>
  <c r="D125" i="19"/>
  <c r="R53" i="20"/>
  <c r="S49" i="46"/>
  <c r="R123" i="19"/>
  <c r="S48" i="20"/>
  <c r="I14" i="50"/>
  <c r="E129" i="19"/>
  <c r="H62" i="17"/>
  <c r="D101" i="20"/>
  <c r="O27" i="20"/>
  <c r="F103" i="20"/>
  <c r="D38" i="21"/>
  <c r="P53" i="20"/>
  <c r="J44" i="17"/>
  <c r="F24" i="19"/>
  <c r="H77" i="26"/>
  <c r="G135" i="19"/>
  <c r="H45" i="16"/>
  <c r="J45" i="17"/>
  <c r="I12" i="19"/>
  <c r="R78" i="20"/>
  <c r="H87" i="46"/>
  <c r="F43" i="46"/>
  <c r="H124" i="46"/>
  <c r="E8" i="19"/>
  <c r="H84" i="16"/>
  <c r="I25" i="48"/>
  <c r="G15" i="21"/>
  <c r="E10" i="48"/>
  <c r="F26" i="46"/>
  <c r="N39" i="26"/>
  <c r="D59" i="20"/>
  <c r="J21" i="46"/>
  <c r="J73" i="17"/>
  <c r="N43" i="26"/>
  <c r="E30" i="20"/>
  <c r="Q14" i="20"/>
  <c r="D72" i="26"/>
  <c r="R30" i="48"/>
  <c r="D48" i="19"/>
  <c r="F26" i="21"/>
  <c r="P63" i="15"/>
  <c r="I67" i="17"/>
  <c r="G11" i="19"/>
  <c r="K46" i="17"/>
  <c r="G10" i="19"/>
  <c r="E62" i="16"/>
  <c r="F66" i="15"/>
  <c r="F47" i="20"/>
  <c r="O59" i="16"/>
  <c r="P75" i="20"/>
  <c r="Q50" i="46"/>
  <c r="I20" i="44"/>
  <c r="U12" i="46"/>
  <c r="G10" i="20"/>
  <c r="K57" i="46"/>
  <c r="L25" i="48"/>
  <c r="T42" i="15"/>
  <c r="Y36" i="15"/>
  <c r="E42" i="20"/>
  <c r="G12" i="50"/>
  <c r="I42" i="46"/>
  <c r="R128" i="46"/>
  <c r="J73" i="26"/>
  <c r="I84" i="15"/>
  <c r="I57" i="16"/>
  <c r="E110" i="19"/>
  <c r="R35" i="50"/>
  <c r="F10" i="16"/>
  <c r="D37" i="16"/>
  <c r="X27" i="16"/>
  <c r="H47" i="19"/>
  <c r="D30" i="50"/>
  <c r="H8" i="19"/>
  <c r="O49" i="19"/>
  <c r="H55" i="20"/>
  <c r="S43" i="16"/>
  <c r="T34" i="26"/>
  <c r="K55" i="46"/>
  <c r="R56" i="20"/>
  <c r="W23" i="16"/>
  <c r="Q83" i="15"/>
  <c r="S52" i="21"/>
  <c r="L14" i="48"/>
  <c r="O91" i="20"/>
  <c r="I35" i="26"/>
  <c r="E92" i="16"/>
  <c r="F46" i="19"/>
  <c r="O71" i="16"/>
  <c r="N69" i="16"/>
  <c r="H87" i="15"/>
  <c r="G45" i="21"/>
  <c r="J73" i="46"/>
  <c r="E11" i="48"/>
  <c r="P88" i="46"/>
  <c r="R32" i="46"/>
  <c r="D98" i="20"/>
  <c r="P40" i="50"/>
  <c r="S67" i="20"/>
  <c r="V24" i="16"/>
  <c r="I29" i="46"/>
  <c r="U50" i="15"/>
  <c r="Q13" i="21"/>
  <c r="F23" i="20"/>
  <c r="F132" i="19"/>
  <c r="J37" i="19"/>
  <c r="K40" i="46"/>
  <c r="F140" i="19"/>
  <c r="X34" i="26"/>
  <c r="J6" i="46"/>
  <c r="I50" i="15"/>
  <c r="O12" i="26"/>
  <c r="P12" i="26" s="1"/>
  <c r="H10" i="19"/>
  <c r="D40" i="21"/>
  <c r="T39" i="15"/>
  <c r="I27" i="46"/>
  <c r="S62" i="20"/>
  <c r="G75" i="16"/>
  <c r="V64" i="15"/>
  <c r="I53" i="46"/>
  <c r="Q67" i="20"/>
  <c r="X36" i="16"/>
  <c r="E122" i="19"/>
  <c r="H59" i="16"/>
  <c r="E91" i="15"/>
  <c r="K87" i="15"/>
  <c r="I49" i="20"/>
  <c r="S35" i="50"/>
  <c r="H11" i="48"/>
  <c r="I52" i="16"/>
  <c r="H41" i="21"/>
  <c r="I61" i="17"/>
  <c r="X26" i="16"/>
  <c r="P107" i="19"/>
  <c r="O59" i="19"/>
  <c r="T77" i="16"/>
  <c r="J19" i="48"/>
  <c r="D23" i="20"/>
  <c r="F11" i="16"/>
  <c r="I43" i="21"/>
  <c r="K11" i="48"/>
  <c r="E79" i="26"/>
  <c r="H40" i="46"/>
  <c r="F41" i="21"/>
  <c r="Q49" i="46"/>
  <c r="I133" i="19"/>
  <c r="J76" i="46"/>
  <c r="E17" i="21"/>
  <c r="Y50" i="15"/>
  <c r="G8" i="44"/>
  <c r="T37" i="21"/>
  <c r="S110" i="19"/>
  <c r="I117" i="46"/>
  <c r="U74" i="16"/>
  <c r="Y85" i="15"/>
  <c r="T33" i="15"/>
  <c r="O61" i="16"/>
  <c r="J53" i="19"/>
  <c r="F9" i="15"/>
  <c r="I44" i="19"/>
  <c r="Q72" i="20"/>
  <c r="R85" i="20"/>
  <c r="G122" i="46"/>
  <c r="H66" i="17"/>
  <c r="P33" i="48"/>
  <c r="T39" i="26"/>
  <c r="S97" i="20"/>
  <c r="J70" i="16"/>
  <c r="U36" i="46"/>
  <c r="D91" i="20"/>
  <c r="I69" i="15"/>
  <c r="H138" i="19"/>
  <c r="E39" i="16"/>
  <c r="E33" i="16" s="1"/>
  <c r="I37" i="21"/>
  <c r="I119" i="46"/>
  <c r="I55" i="46"/>
  <c r="H123" i="19"/>
  <c r="Q110" i="19"/>
  <c r="D64" i="17"/>
  <c r="O115" i="19"/>
  <c r="F61" i="26"/>
  <c r="K72" i="15"/>
  <c r="F61" i="15"/>
  <c r="Q86" i="20"/>
  <c r="E35" i="21"/>
  <c r="G43" i="19"/>
  <c r="H8" i="50"/>
  <c r="H10" i="26"/>
  <c r="X37" i="16"/>
  <c r="O56" i="26"/>
  <c r="P56" i="26" s="1"/>
  <c r="G124" i="46"/>
  <c r="S10" i="20"/>
  <c r="F13" i="21"/>
  <c r="F34" i="26"/>
  <c r="I43" i="26"/>
  <c r="J6" i="15"/>
  <c r="P35" i="19"/>
  <c r="Q35" i="21"/>
  <c r="X27" i="15"/>
  <c r="E8" i="26"/>
  <c r="K57" i="17"/>
  <c r="S32" i="20"/>
  <c r="J36" i="50"/>
  <c r="Q52" i="15"/>
  <c r="Q7" i="20"/>
  <c r="H66" i="20"/>
  <c r="K52" i="46"/>
  <c r="P61" i="20"/>
  <c r="I46" i="20"/>
  <c r="P89" i="20"/>
  <c r="I74" i="16"/>
  <c r="D11" i="16"/>
  <c r="D86" i="20"/>
  <c r="J7" i="19"/>
  <c r="N21" i="26"/>
  <c r="G34" i="20"/>
  <c r="G36" i="16"/>
  <c r="E68" i="20"/>
  <c r="D8" i="16"/>
  <c r="H12" i="50"/>
  <c r="J8" i="26"/>
  <c r="R59" i="19"/>
  <c r="H53" i="16"/>
  <c r="U76" i="46"/>
  <c r="I48" i="16"/>
  <c r="U29" i="16"/>
  <c r="F25" i="16"/>
  <c r="N35" i="26"/>
  <c r="H16" i="20"/>
  <c r="Q53" i="19"/>
  <c r="V13" i="44"/>
  <c r="F26" i="20"/>
  <c r="H17" i="46"/>
  <c r="Q123" i="46"/>
  <c r="P98" i="20"/>
  <c r="H64" i="26"/>
  <c r="S46" i="26"/>
  <c r="Z34" i="26"/>
  <c r="H74" i="26"/>
  <c r="D10" i="21"/>
  <c r="G11" i="48"/>
  <c r="L39" i="48"/>
  <c r="H35" i="26"/>
  <c r="G18" i="46"/>
  <c r="F10" i="26"/>
  <c r="I18" i="48"/>
  <c r="I37" i="46"/>
  <c r="H31" i="50"/>
  <c r="P34" i="26"/>
  <c r="H53" i="20"/>
  <c r="I11" i="19"/>
  <c r="F100" i="16"/>
  <c r="S27" i="21"/>
  <c r="G83" i="16"/>
  <c r="Y72" i="15"/>
  <c r="H29" i="50"/>
  <c r="R22" i="19"/>
  <c r="R41" i="26"/>
  <c r="H127" i="46"/>
  <c r="D49" i="20"/>
  <c r="R12" i="48"/>
  <c r="X37" i="26"/>
  <c r="Z39" i="26"/>
  <c r="F9" i="16"/>
  <c r="F69" i="46"/>
  <c r="T12" i="21"/>
  <c r="G79" i="46"/>
  <c r="W38" i="26"/>
  <c r="F7" i="46"/>
  <c r="H50" i="21"/>
  <c r="G17" i="20"/>
  <c r="S17" i="50"/>
  <c r="N59" i="16"/>
  <c r="S95" i="16"/>
  <c r="F71" i="17"/>
  <c r="S30" i="21"/>
  <c r="H33" i="46"/>
  <c r="S27" i="19"/>
  <c r="H48" i="19"/>
  <c r="H97" i="16"/>
  <c r="D90" i="20"/>
  <c r="E95" i="20"/>
  <c r="I36" i="46"/>
  <c r="I74" i="26"/>
  <c r="D56" i="26"/>
  <c r="F79" i="46"/>
  <c r="F15" i="21"/>
  <c r="Q32" i="19"/>
  <c r="T40" i="46"/>
  <c r="G51" i="20"/>
  <c r="W33" i="26"/>
  <c r="K41" i="48"/>
  <c r="P126" i="46"/>
  <c r="R54" i="20"/>
  <c r="G40" i="20"/>
  <c r="P79" i="46"/>
  <c r="R25" i="20"/>
  <c r="J77" i="16"/>
  <c r="H56" i="46"/>
  <c r="I76" i="46"/>
  <c r="Q15" i="46"/>
  <c r="D33" i="50"/>
  <c r="G34" i="21"/>
  <c r="H30" i="20"/>
  <c r="X71" i="16"/>
  <c r="G6" i="16"/>
  <c r="D70" i="20"/>
  <c r="U81" i="16"/>
  <c r="R81" i="20"/>
  <c r="E89" i="20"/>
  <c r="T29" i="16"/>
  <c r="N73" i="26"/>
  <c r="S85" i="15"/>
  <c r="S79" i="46"/>
  <c r="I77" i="16"/>
  <c r="D81" i="26"/>
  <c r="H51" i="46"/>
  <c r="J68" i="17"/>
  <c r="S45" i="19"/>
  <c r="E31" i="50"/>
  <c r="I38" i="19"/>
  <c r="E38" i="48"/>
  <c r="D26" i="19"/>
  <c r="H88" i="46"/>
  <c r="G63" i="20"/>
  <c r="R120" i="19"/>
  <c r="Q24" i="20"/>
  <c r="E115" i="19"/>
  <c r="E99" i="20"/>
  <c r="D134" i="19"/>
  <c r="D122" i="19"/>
  <c r="E100" i="16"/>
  <c r="H79" i="46"/>
  <c r="E60" i="26"/>
  <c r="F56" i="16"/>
  <c r="F8" i="20"/>
  <c r="F34" i="21"/>
  <c r="D20" i="50"/>
  <c r="J119" i="19"/>
  <c r="K19" i="48"/>
  <c r="O17" i="26"/>
  <c r="G36" i="26"/>
  <c r="W96" i="15"/>
  <c r="S33" i="20"/>
  <c r="I41" i="21"/>
  <c r="H79" i="15"/>
  <c r="I19" i="48"/>
  <c r="J29" i="48"/>
  <c r="N71" i="26"/>
  <c r="S64" i="20"/>
  <c r="J49" i="21"/>
  <c r="I11" i="46"/>
  <c r="F60" i="16"/>
  <c r="E86" i="16"/>
  <c r="P30" i="50"/>
  <c r="G118" i="46"/>
  <c r="G27" i="21"/>
  <c r="F68" i="46"/>
  <c r="K79" i="46"/>
  <c r="P63" i="16"/>
  <c r="I8" i="50"/>
  <c r="F110" i="19"/>
  <c r="R7" i="19"/>
  <c r="R32" i="19"/>
  <c r="E40" i="20"/>
  <c r="D9" i="19"/>
  <c r="T77" i="15"/>
  <c r="E108" i="20"/>
  <c r="F18" i="48"/>
  <c r="G43" i="16"/>
  <c r="I11" i="21"/>
  <c r="I16" i="19"/>
  <c r="I20" i="46"/>
  <c r="G35" i="19"/>
  <c r="O50" i="19"/>
  <c r="S41" i="19"/>
  <c r="S43" i="46"/>
  <c r="J8" i="50"/>
  <c r="S44" i="20"/>
  <c r="E61" i="15"/>
  <c r="G117" i="46"/>
  <c r="E43" i="20"/>
  <c r="I47" i="17"/>
  <c r="Z46" i="26"/>
  <c r="E73" i="16"/>
  <c r="D75" i="26"/>
  <c r="O77" i="20"/>
  <c r="G22" i="50"/>
  <c r="K14" i="44"/>
  <c r="S59" i="20"/>
  <c r="T36" i="15"/>
  <c r="F92" i="15"/>
  <c r="P92" i="15" s="1"/>
  <c r="H92" i="15"/>
  <c r="G80" i="46"/>
  <c r="U123" i="46"/>
  <c r="J90" i="16"/>
  <c r="E45" i="15"/>
  <c r="H126" i="19"/>
  <c r="E131" i="19"/>
  <c r="F86" i="15"/>
  <c r="R15" i="48"/>
  <c r="S64" i="16"/>
  <c r="U35" i="46"/>
  <c r="I34" i="20"/>
  <c r="P55" i="16"/>
  <c r="R110" i="20"/>
  <c r="I36" i="50"/>
  <c r="D80" i="26"/>
  <c r="O34" i="20"/>
  <c r="S76" i="15"/>
  <c r="I23" i="50"/>
  <c r="H65" i="20"/>
  <c r="F36" i="48"/>
  <c r="F44" i="17"/>
  <c r="R10" i="50"/>
  <c r="G54" i="16"/>
  <c r="H83" i="16"/>
  <c r="D19" i="16"/>
  <c r="G56" i="15"/>
  <c r="AA36" i="26"/>
  <c r="H25" i="20"/>
  <c r="D91" i="15"/>
  <c r="U46" i="26"/>
  <c r="E12" i="26"/>
  <c r="Y38" i="26"/>
  <c r="D17" i="19"/>
  <c r="F91" i="20"/>
  <c r="P76" i="20"/>
  <c r="D93" i="15"/>
  <c r="E124" i="19"/>
  <c r="P90" i="20"/>
  <c r="J91" i="15"/>
  <c r="J60" i="46"/>
  <c r="I15" i="20"/>
  <c r="U31" i="46"/>
  <c r="D79" i="20"/>
  <c r="K71" i="15"/>
  <c r="G44" i="46"/>
  <c r="J41" i="50"/>
  <c r="H63" i="17"/>
  <c r="G13" i="21"/>
  <c r="AA8" i="44"/>
  <c r="G119" i="46"/>
  <c r="J77" i="15"/>
  <c r="D42" i="19"/>
  <c r="U34" i="26"/>
  <c r="G45" i="20"/>
  <c r="H14" i="46"/>
  <c r="P13" i="20"/>
  <c r="H78" i="20"/>
  <c r="E49" i="15"/>
  <c r="D51" i="21"/>
  <c r="E49" i="21"/>
  <c r="P66" i="20"/>
  <c r="S26" i="19"/>
  <c r="E62" i="26"/>
  <c r="E111" i="20"/>
  <c r="I64" i="46"/>
  <c r="U78" i="15"/>
  <c r="D55" i="19"/>
  <c r="P52" i="16"/>
  <c r="D70" i="16"/>
  <c r="F76" i="46"/>
  <c r="P16" i="19"/>
  <c r="J141" i="19"/>
  <c r="N32" i="16"/>
  <c r="Q62" i="46"/>
  <c r="J47" i="17"/>
  <c r="P26" i="20"/>
  <c r="H86" i="20"/>
  <c r="J36" i="16"/>
  <c r="J34" i="19"/>
  <c r="P40" i="20"/>
  <c r="F78" i="20"/>
  <c r="I23" i="26"/>
  <c r="J120" i="46"/>
  <c r="G119" i="19"/>
  <c r="Q59" i="15"/>
  <c r="Q44" i="48"/>
  <c r="H42" i="17"/>
  <c r="F44" i="16"/>
  <c r="N76" i="26"/>
  <c r="E69" i="15"/>
  <c r="P81" i="16"/>
  <c r="G77" i="20"/>
  <c r="O64" i="15"/>
  <c r="R122" i="19"/>
  <c r="T11" i="21"/>
  <c r="H140" i="19"/>
  <c r="O24" i="19"/>
  <c r="D22" i="26"/>
  <c r="I52" i="21"/>
  <c r="R17" i="20"/>
  <c r="F63" i="26"/>
  <c r="H77" i="46"/>
  <c r="W10" i="16"/>
  <c r="R52" i="46"/>
  <c r="S18" i="50"/>
  <c r="H29" i="48"/>
  <c r="F53" i="15"/>
  <c r="U35" i="26"/>
  <c r="G63" i="15"/>
  <c r="G68" i="46"/>
  <c r="Q66" i="46"/>
  <c r="D114" i="20"/>
  <c r="Y61" i="15"/>
  <c r="P60" i="20"/>
  <c r="S27" i="50"/>
  <c r="R21" i="19"/>
  <c r="V85" i="15"/>
  <c r="P73" i="20"/>
  <c r="P39" i="48"/>
  <c r="U54" i="15"/>
  <c r="S56" i="19"/>
  <c r="I59" i="15"/>
  <c r="F56" i="46"/>
  <c r="O22" i="20"/>
  <c r="K67" i="17"/>
  <c r="AA39" i="26"/>
  <c r="N61" i="16"/>
  <c r="U59" i="15"/>
  <c r="R23" i="19"/>
  <c r="P127" i="46"/>
  <c r="D39" i="17"/>
  <c r="G76" i="46"/>
  <c r="E35" i="50"/>
  <c r="Z35" i="26"/>
  <c r="J7" i="46"/>
  <c r="E52" i="15"/>
  <c r="T83" i="15"/>
  <c r="I91" i="16"/>
  <c r="J64" i="16"/>
  <c r="S30" i="20"/>
  <c r="T51" i="15"/>
  <c r="E49" i="19"/>
  <c r="K20" i="46"/>
  <c r="Y69" i="15"/>
  <c r="S133" i="19"/>
  <c r="H61" i="17"/>
  <c r="X24" i="16"/>
  <c r="S49" i="21"/>
  <c r="S47" i="16"/>
  <c r="H21" i="44"/>
  <c r="Y76" i="15"/>
  <c r="S22" i="50"/>
  <c r="H119" i="46"/>
  <c r="S17" i="20"/>
  <c r="J29" i="50"/>
  <c r="G61" i="20"/>
  <c r="H71" i="46"/>
  <c r="F7" i="50"/>
  <c r="J31" i="19"/>
  <c r="P33" i="46"/>
  <c r="V43" i="26"/>
  <c r="R24" i="19"/>
  <c r="K29" i="46"/>
  <c r="J66" i="15"/>
  <c r="F30" i="48"/>
  <c r="I83" i="16"/>
  <c r="K58" i="17"/>
  <c r="G27" i="46"/>
  <c r="G17" i="50"/>
  <c r="P29" i="48"/>
  <c r="R116" i="19"/>
  <c r="F25" i="19"/>
  <c r="W16" i="48"/>
  <c r="K59" i="17"/>
  <c r="F58" i="16"/>
  <c r="X95" i="16"/>
  <c r="E37" i="16"/>
  <c r="Y83" i="15"/>
  <c r="I86" i="16"/>
  <c r="V15" i="16"/>
  <c r="O57" i="26"/>
  <c r="P94" i="20"/>
  <c r="H64" i="16"/>
  <c r="J27" i="46"/>
  <c r="E40" i="21"/>
  <c r="F46" i="21"/>
  <c r="D65" i="17"/>
  <c r="R34" i="20"/>
  <c r="I62" i="16"/>
  <c r="R126" i="19"/>
  <c r="R21" i="48"/>
  <c r="H35" i="19"/>
  <c r="Y55" i="15"/>
  <c r="I61" i="16"/>
  <c r="Q17" i="46"/>
  <c r="H28" i="46"/>
  <c r="F15" i="16"/>
  <c r="R42" i="19"/>
  <c r="Z31" i="26"/>
  <c r="U88" i="46"/>
  <c r="U62" i="46"/>
  <c r="I38" i="50"/>
  <c r="P21" i="48"/>
  <c r="P77" i="15"/>
  <c r="K55" i="17"/>
  <c r="I45" i="15"/>
  <c r="J56" i="26"/>
  <c r="F56" i="19"/>
  <c r="S61" i="16"/>
  <c r="D11" i="20"/>
  <c r="S63" i="20"/>
  <c r="R74" i="20"/>
  <c r="S123" i="19"/>
  <c r="G58" i="19"/>
  <c r="H32" i="19"/>
  <c r="D14" i="50"/>
  <c r="P23" i="50"/>
  <c r="F33" i="48"/>
  <c r="K32" i="46"/>
  <c r="F39" i="46"/>
  <c r="J65" i="17"/>
  <c r="O54" i="26"/>
  <c r="F47" i="21"/>
  <c r="J23" i="19"/>
  <c r="I53" i="19"/>
  <c r="D76" i="20"/>
  <c r="F37" i="46"/>
  <c r="H70" i="15"/>
  <c r="I139" i="19"/>
  <c r="S42" i="46"/>
  <c r="Y32" i="26"/>
  <c r="F21" i="16"/>
  <c r="I59" i="19"/>
  <c r="P117" i="19"/>
  <c r="J24" i="19"/>
  <c r="S125" i="19"/>
  <c r="E46" i="19"/>
  <c r="Q7" i="46"/>
  <c r="E91" i="16"/>
  <c r="J81" i="46"/>
  <c r="H25" i="19"/>
  <c r="D51" i="20"/>
  <c r="U87" i="15"/>
  <c r="T43" i="21"/>
  <c r="H35" i="46"/>
  <c r="R27" i="48"/>
  <c r="P19" i="20"/>
  <c r="G22" i="21"/>
  <c r="I46" i="17"/>
  <c r="H27" i="21"/>
  <c r="E41" i="17"/>
  <c r="W27" i="48"/>
  <c r="S127" i="19"/>
  <c r="T45" i="15"/>
  <c r="P118" i="19"/>
  <c r="Y46" i="15"/>
  <c r="F63" i="17"/>
  <c r="L7" i="48"/>
  <c r="F11" i="50"/>
  <c r="T27" i="21"/>
  <c r="J44" i="15"/>
  <c r="W29" i="16"/>
  <c r="E50" i="19"/>
  <c r="J37" i="17"/>
  <c r="L47" i="48"/>
  <c r="J18" i="50"/>
  <c r="K65" i="46"/>
  <c r="G17" i="21"/>
  <c r="J57" i="17"/>
  <c r="S46" i="46"/>
  <c r="H122" i="19"/>
  <c r="D15" i="20"/>
  <c r="R24" i="20"/>
  <c r="D88" i="16"/>
  <c r="J7" i="48"/>
  <c r="H51" i="19"/>
  <c r="I40" i="19"/>
  <c r="I6" i="16"/>
  <c r="I39" i="17"/>
  <c r="D93" i="16"/>
  <c r="H42" i="46"/>
  <c r="R75" i="46"/>
  <c r="R45" i="20"/>
  <c r="F34" i="46"/>
  <c r="J11" i="48"/>
  <c r="J17" i="26"/>
  <c r="O20" i="20"/>
  <c r="F68" i="15"/>
  <c r="W21" i="16"/>
  <c r="V14" i="44"/>
  <c r="D41" i="20"/>
  <c r="AA45" i="26"/>
  <c r="I134" i="19"/>
  <c r="Q123" i="19"/>
  <c r="F55" i="20"/>
  <c r="H34" i="50"/>
  <c r="S32" i="50"/>
  <c r="Q33" i="19"/>
  <c r="P21" i="19"/>
  <c r="F32" i="46"/>
  <c r="D58" i="26"/>
  <c r="E13" i="50"/>
  <c r="K39" i="46"/>
  <c r="G75" i="26"/>
  <c r="J43" i="48"/>
  <c r="O124" i="19"/>
  <c r="H44" i="17"/>
  <c r="V45" i="15"/>
  <c r="J86" i="16"/>
  <c r="Q56" i="46"/>
  <c r="E73" i="26"/>
  <c r="G37" i="48"/>
  <c r="P79" i="20"/>
  <c r="E112" i="19"/>
  <c r="D27" i="20"/>
  <c r="H68" i="15"/>
  <c r="Q43" i="48"/>
  <c r="H36" i="46"/>
  <c r="I13" i="48"/>
  <c r="P10" i="50"/>
  <c r="P24" i="19"/>
  <c r="X91" i="16"/>
  <c r="G9" i="44"/>
  <c r="Q47" i="48"/>
  <c r="O15" i="20"/>
  <c r="K59" i="15"/>
  <c r="D23" i="44"/>
  <c r="D43" i="20"/>
  <c r="H12" i="46"/>
  <c r="I52" i="15"/>
  <c r="D138" i="19"/>
  <c r="L46" i="48"/>
  <c r="R55" i="19"/>
  <c r="P13" i="19"/>
  <c r="H78" i="16"/>
  <c r="J36" i="19"/>
  <c r="T86" i="15"/>
  <c r="K51" i="15"/>
  <c r="G83" i="15"/>
  <c r="H67" i="46"/>
  <c r="E70" i="15"/>
  <c r="E55" i="26"/>
  <c r="P123" i="46"/>
  <c r="F43" i="17"/>
  <c r="R53" i="19"/>
  <c r="K15" i="48"/>
  <c r="P9" i="20"/>
  <c r="K39" i="17"/>
  <c r="J87" i="16"/>
  <c r="I31" i="26"/>
  <c r="W29" i="48"/>
  <c r="T31" i="15"/>
  <c r="G72" i="15"/>
  <c r="F104" i="20"/>
  <c r="P41" i="26"/>
  <c r="S67" i="16"/>
  <c r="G19" i="21"/>
  <c r="F116" i="19"/>
  <c r="H47" i="46"/>
  <c r="G75" i="46"/>
  <c r="R93" i="20"/>
  <c r="AA15" i="44"/>
  <c r="E9" i="48"/>
  <c r="D48" i="20"/>
  <c r="X10" i="16"/>
  <c r="S93" i="20"/>
  <c r="D52" i="20"/>
  <c r="R50" i="20"/>
  <c r="S62" i="15"/>
  <c r="G20" i="20"/>
  <c r="F42" i="26"/>
  <c r="Q76" i="15"/>
  <c r="X47" i="16"/>
  <c r="O83" i="15"/>
  <c r="G43" i="20"/>
  <c r="J37" i="48"/>
  <c r="K17" i="46"/>
  <c r="G22" i="26"/>
  <c r="I10" i="50"/>
  <c r="E14" i="26"/>
  <c r="E27" i="20"/>
  <c r="F16" i="20"/>
  <c r="I55" i="16"/>
  <c r="D97" i="15"/>
  <c r="F46" i="46"/>
  <c r="P65" i="20"/>
  <c r="D111" i="20"/>
  <c r="K6" i="46"/>
  <c r="E34" i="21"/>
  <c r="F100" i="20"/>
  <c r="G65" i="26"/>
  <c r="P11" i="48"/>
  <c r="I58" i="17"/>
  <c r="R22" i="46"/>
  <c r="H18" i="26"/>
  <c r="E65" i="15"/>
  <c r="I140" i="19"/>
  <c r="S53" i="20"/>
  <c r="H71" i="20"/>
  <c r="F22" i="16"/>
  <c r="R9" i="46"/>
  <c r="Q111" i="19"/>
  <c r="P88" i="20"/>
  <c r="S31" i="50"/>
  <c r="O66" i="16"/>
  <c r="X41" i="15"/>
  <c r="D22" i="50"/>
  <c r="D46" i="16"/>
  <c r="I65" i="26"/>
  <c r="I39" i="20"/>
  <c r="E24" i="19"/>
  <c r="D128" i="19"/>
  <c r="I141" i="19"/>
  <c r="I31" i="46"/>
  <c r="H41" i="48"/>
  <c r="K7" i="48"/>
  <c r="U65" i="16"/>
  <c r="Q12" i="21"/>
  <c r="Q51" i="46"/>
  <c r="E125" i="19"/>
  <c r="J43" i="26"/>
  <c r="Q66" i="15"/>
  <c r="D34" i="50"/>
  <c r="N30" i="16"/>
  <c r="G115" i="19"/>
  <c r="E36" i="48"/>
  <c r="I27" i="48"/>
  <c r="I50" i="20"/>
  <c r="T46" i="21"/>
  <c r="L41" i="48"/>
  <c r="H72" i="46"/>
  <c r="G19" i="19"/>
  <c r="H112" i="19"/>
  <c r="G12" i="19"/>
  <c r="I42" i="17"/>
  <c r="R120" i="46"/>
  <c r="G16" i="19"/>
  <c r="J17" i="50"/>
  <c r="U75" i="46"/>
  <c r="R127" i="19"/>
  <c r="J38" i="48"/>
  <c r="S61" i="15"/>
  <c r="E54" i="16"/>
  <c r="D15" i="21"/>
  <c r="G17" i="46"/>
  <c r="G21" i="26"/>
  <c r="S54" i="15"/>
  <c r="Q32" i="21"/>
  <c r="H121" i="19"/>
  <c r="F121" i="46"/>
  <c r="I80" i="26"/>
  <c r="E47" i="21"/>
  <c r="Q68" i="20"/>
  <c r="I45" i="16"/>
  <c r="J123" i="46"/>
  <c r="I110" i="19"/>
  <c r="W18" i="48"/>
  <c r="D11" i="19"/>
  <c r="P44" i="46"/>
  <c r="R67" i="20"/>
  <c r="J9" i="21"/>
  <c r="E35" i="20"/>
  <c r="G55" i="46"/>
  <c r="F12" i="20"/>
  <c r="E40" i="48"/>
  <c r="F23" i="16"/>
  <c r="H23" i="20"/>
  <c r="F12" i="19"/>
  <c r="H76" i="15"/>
  <c r="E93" i="15"/>
  <c r="F110" i="20"/>
  <c r="I57" i="17"/>
  <c r="K69" i="46"/>
  <c r="E61" i="26"/>
  <c r="F51" i="46"/>
  <c r="Q24" i="48"/>
  <c r="E7" i="48"/>
  <c r="L22" i="48"/>
  <c r="H46" i="20"/>
  <c r="X16" i="16"/>
  <c r="J116" i="19"/>
  <c r="E78" i="20"/>
  <c r="G60" i="15"/>
  <c r="I62" i="26"/>
  <c r="R26" i="19"/>
  <c r="D22" i="20"/>
  <c r="H27" i="46"/>
  <c r="J14" i="46"/>
  <c r="R35" i="19"/>
  <c r="H46" i="21"/>
  <c r="X83" i="16"/>
  <c r="E37" i="21"/>
  <c r="I66" i="16"/>
  <c r="Q129" i="46"/>
  <c r="J32" i="46"/>
  <c r="X61" i="16"/>
  <c r="H12" i="20"/>
  <c r="F19" i="44"/>
  <c r="I56" i="19"/>
  <c r="S73" i="46"/>
  <c r="F42" i="16"/>
  <c r="D47" i="15"/>
  <c r="S88" i="20"/>
  <c r="R29" i="50"/>
  <c r="P35" i="20"/>
  <c r="G112" i="19"/>
  <c r="I45" i="48"/>
  <c r="H29" i="20"/>
  <c r="D95" i="16"/>
  <c r="U57" i="16"/>
  <c r="P45" i="20"/>
  <c r="T80" i="15"/>
  <c r="O20" i="19"/>
  <c r="AA40" i="26"/>
  <c r="P30" i="48"/>
  <c r="X92" i="16"/>
  <c r="H22" i="44"/>
  <c r="D67" i="16"/>
  <c r="G70" i="20"/>
  <c r="I44" i="20"/>
  <c r="K65" i="17"/>
  <c r="X99" i="16"/>
  <c r="I9" i="26"/>
  <c r="S25" i="50"/>
  <c r="K30" i="46"/>
  <c r="I21" i="19"/>
  <c r="F24" i="50"/>
  <c r="N71" i="16"/>
  <c r="J13" i="19"/>
  <c r="O80" i="16"/>
  <c r="J24" i="50"/>
  <c r="P20" i="19"/>
  <c r="G65" i="17"/>
  <c r="N22" i="26"/>
  <c r="H81" i="20"/>
  <c r="E17" i="20"/>
  <c r="W7" i="48"/>
  <c r="O74" i="26"/>
  <c r="I14" i="48"/>
  <c r="E81" i="15"/>
  <c r="U33" i="46"/>
  <c r="N18" i="26"/>
  <c r="I45" i="26"/>
  <c r="U81" i="15"/>
  <c r="R19" i="20"/>
  <c r="J126" i="46"/>
  <c r="S16" i="20"/>
  <c r="F40" i="21"/>
  <c r="F56" i="20"/>
  <c r="S83" i="16"/>
  <c r="S76" i="46"/>
  <c r="R21" i="20"/>
  <c r="Z42" i="26"/>
  <c r="E68" i="17"/>
  <c r="P31" i="19"/>
  <c r="G30" i="48"/>
  <c r="J23" i="26"/>
  <c r="H89" i="16"/>
  <c r="E41" i="20"/>
  <c r="Q39" i="19"/>
  <c r="K53" i="15"/>
  <c r="Q46" i="46"/>
  <c r="K10" i="48"/>
  <c r="S99" i="16"/>
  <c r="J75" i="16"/>
  <c r="R39" i="26"/>
  <c r="F18" i="20"/>
  <c r="F19" i="16"/>
  <c r="K73" i="15"/>
  <c r="F19" i="48"/>
  <c r="E81" i="20"/>
  <c r="F80" i="15"/>
  <c r="E12" i="50"/>
  <c r="Q27" i="19"/>
  <c r="K25" i="48"/>
  <c r="I24" i="19"/>
  <c r="J55" i="46"/>
  <c r="G91" i="15"/>
  <c r="Q91" i="15" s="1"/>
  <c r="Q39" i="26"/>
  <c r="F51" i="21"/>
  <c r="Q52" i="21"/>
  <c r="Q74" i="20"/>
  <c r="O40" i="19"/>
  <c r="Y38" i="15"/>
  <c r="P42" i="20"/>
  <c r="D60" i="20"/>
  <c r="F31" i="48"/>
  <c r="S37" i="20"/>
  <c r="J129" i="46"/>
  <c r="H25" i="48"/>
  <c r="H79" i="26"/>
  <c r="E62" i="20"/>
  <c r="F13" i="48"/>
  <c r="G53" i="46"/>
  <c r="R126" i="46"/>
  <c r="D33" i="20"/>
  <c r="R8" i="20"/>
  <c r="G44" i="16"/>
  <c r="H123" i="46"/>
  <c r="F27" i="15"/>
  <c r="I28" i="50"/>
  <c r="H7" i="19"/>
  <c r="J16" i="50"/>
  <c r="G29" i="21"/>
  <c r="D38" i="16"/>
  <c r="F69" i="20"/>
  <c r="O60" i="16"/>
  <c r="S87" i="20"/>
  <c r="O71" i="15"/>
  <c r="U128" i="46"/>
  <c r="S56" i="16"/>
  <c r="I75" i="26"/>
  <c r="O19" i="19"/>
  <c r="R9" i="50"/>
  <c r="T73" i="15"/>
  <c r="G134" i="19"/>
  <c r="P72" i="16"/>
  <c r="L29" i="48"/>
  <c r="I30" i="50"/>
  <c r="K74" i="46"/>
  <c r="H29" i="46"/>
  <c r="H45" i="48"/>
  <c r="I27" i="19"/>
  <c r="F68" i="17"/>
  <c r="F27" i="19"/>
  <c r="J92" i="15"/>
  <c r="G8" i="20"/>
  <c r="S79" i="15"/>
  <c r="U66" i="15"/>
  <c r="S12" i="46"/>
  <c r="I135" i="19"/>
  <c r="Q25" i="19"/>
  <c r="Q22" i="46"/>
  <c r="Q45" i="46"/>
  <c r="J139" i="19"/>
  <c r="N79" i="16"/>
  <c r="Q15" i="48"/>
  <c r="Q25" i="48"/>
  <c r="G97" i="15"/>
  <c r="F45" i="17"/>
  <c r="H36" i="26"/>
  <c r="D50" i="20"/>
  <c r="I128" i="46"/>
  <c r="E47" i="48"/>
  <c r="I83" i="46"/>
  <c r="J61" i="15"/>
  <c r="U79" i="15"/>
  <c r="D129" i="19"/>
  <c r="K11" i="46"/>
  <c r="AA33" i="26"/>
  <c r="J77" i="26"/>
  <c r="H62" i="16"/>
  <c r="Q9" i="19"/>
  <c r="I49" i="15"/>
  <c r="P99" i="20"/>
  <c r="H58" i="16"/>
  <c r="Q10" i="19"/>
  <c r="I34" i="26"/>
  <c r="F77" i="46"/>
  <c r="H19" i="20"/>
  <c r="D59" i="17"/>
  <c r="X75" i="16"/>
  <c r="I44" i="21"/>
  <c r="T67" i="16"/>
  <c r="H64" i="46"/>
  <c r="H60" i="20"/>
  <c r="Q16" i="19"/>
  <c r="H17" i="21"/>
  <c r="F74" i="26"/>
  <c r="Y41" i="26"/>
  <c r="U63" i="15"/>
  <c r="Q58" i="15"/>
  <c r="P58" i="20"/>
  <c r="O36" i="19"/>
  <c r="G125" i="46"/>
  <c r="P18" i="50"/>
  <c r="Q75" i="15"/>
  <c r="H24" i="26"/>
  <c r="J24" i="21"/>
  <c r="S23" i="19"/>
  <c r="G23" i="50"/>
  <c r="J62" i="16"/>
  <c r="Q9" i="21"/>
  <c r="P59" i="16"/>
  <c r="S100" i="20"/>
  <c r="G11" i="46"/>
  <c r="Y32" i="15"/>
  <c r="E33" i="50"/>
  <c r="V59" i="15"/>
  <c r="G51" i="46"/>
  <c r="K49" i="46"/>
  <c r="T51" i="21"/>
  <c r="T52" i="46"/>
  <c r="D46" i="20"/>
  <c r="N65" i="16"/>
  <c r="G101" i="16"/>
  <c r="G74" i="26"/>
  <c r="H42" i="20"/>
  <c r="X38" i="26"/>
  <c r="U32" i="46"/>
  <c r="D23" i="19"/>
  <c r="I12" i="20"/>
  <c r="O54" i="19"/>
  <c r="J124" i="46"/>
  <c r="I80" i="15"/>
  <c r="U64" i="15"/>
  <c r="I25" i="50"/>
  <c r="Q48" i="19"/>
  <c r="N75" i="16"/>
  <c r="T47" i="46"/>
  <c r="O112" i="19"/>
  <c r="O13" i="20"/>
  <c r="S33" i="21"/>
  <c r="Y59" i="15"/>
  <c r="S35" i="20"/>
  <c r="H16" i="50"/>
  <c r="G29" i="46"/>
  <c r="Z13" i="44"/>
  <c r="I121" i="46"/>
  <c r="O64" i="16"/>
  <c r="D52" i="21"/>
  <c r="U73" i="15"/>
  <c r="I52" i="20"/>
  <c r="F93" i="20"/>
  <c r="K7" i="46"/>
  <c r="E29" i="21"/>
  <c r="P15" i="19"/>
  <c r="O19" i="26"/>
  <c r="O78" i="26"/>
  <c r="F12" i="21"/>
  <c r="G39" i="19"/>
  <c r="F28" i="15"/>
  <c r="H70" i="16"/>
  <c r="P87" i="20"/>
  <c r="S73" i="16"/>
  <c r="R119" i="46"/>
  <c r="G129" i="19"/>
  <c r="J40" i="21"/>
  <c r="F18" i="21"/>
  <c r="F33" i="26"/>
  <c r="I13" i="20"/>
  <c r="Q14" i="21"/>
  <c r="D34" i="21"/>
  <c r="H118" i="46"/>
  <c r="P44" i="26"/>
  <c r="P20" i="50"/>
  <c r="E135" i="19"/>
  <c r="G15" i="46"/>
  <c r="T74" i="16"/>
  <c r="F64" i="16"/>
  <c r="H119" i="19"/>
  <c r="J89" i="15"/>
  <c r="H56" i="16"/>
  <c r="G49" i="46"/>
  <c r="I11" i="50"/>
  <c r="H64" i="17"/>
  <c r="F70" i="15"/>
  <c r="I40" i="26"/>
  <c r="K66" i="17"/>
  <c r="Q15" i="20"/>
  <c r="F128" i="46"/>
  <c r="J49" i="19"/>
  <c r="J11" i="50"/>
  <c r="H32" i="46"/>
  <c r="R101" i="20"/>
  <c r="U64" i="46"/>
  <c r="I30" i="19"/>
  <c r="Q11" i="21"/>
  <c r="J44" i="16"/>
  <c r="N57" i="26"/>
  <c r="H81" i="16"/>
  <c r="I55" i="15"/>
  <c r="I22" i="21"/>
  <c r="P16" i="46"/>
  <c r="F16" i="15"/>
  <c r="F94" i="15"/>
  <c r="P94" i="15" s="1"/>
  <c r="I38" i="48"/>
  <c r="F44" i="48"/>
  <c r="P36" i="48"/>
  <c r="R57" i="19"/>
  <c r="S41" i="46"/>
  <c r="T43" i="26"/>
  <c r="S17" i="19"/>
  <c r="X48" i="16"/>
  <c r="I56" i="46"/>
  <c r="K27" i="46"/>
  <c r="H37" i="50"/>
  <c r="J57" i="19"/>
  <c r="P69" i="16"/>
  <c r="R88" i="46"/>
  <c r="H67" i="15"/>
  <c r="Q36" i="19"/>
  <c r="I39" i="46"/>
  <c r="O60" i="26"/>
  <c r="G38" i="20"/>
  <c r="F7" i="44"/>
  <c r="Q53" i="21"/>
  <c r="G71" i="16"/>
  <c r="F59" i="19"/>
  <c r="W21" i="48"/>
  <c r="D58" i="17"/>
  <c r="H82" i="15"/>
  <c r="R25" i="48"/>
  <c r="G34" i="26"/>
  <c r="S19" i="21"/>
  <c r="H15" i="21"/>
  <c r="E67" i="15"/>
  <c r="V83" i="15"/>
  <c r="X43" i="16"/>
  <c r="D84" i="20"/>
  <c r="T78" i="15"/>
  <c r="S45" i="15"/>
  <c r="S55" i="19"/>
  <c r="K44" i="17"/>
  <c r="G52" i="20"/>
  <c r="J69" i="17"/>
  <c r="G14" i="20"/>
  <c r="L37" i="48"/>
  <c r="G42" i="21"/>
  <c r="G55" i="16"/>
  <c r="E87" i="16"/>
  <c r="J93" i="15"/>
  <c r="F65" i="20"/>
  <c r="G108" i="19"/>
  <c r="H120" i="19"/>
  <c r="E48" i="19"/>
  <c r="D79" i="26"/>
  <c r="T17" i="15"/>
  <c r="E63" i="20"/>
  <c r="I33" i="48"/>
  <c r="J14" i="19"/>
  <c r="X36" i="26"/>
  <c r="D53" i="20"/>
  <c r="E78" i="16"/>
  <c r="F22" i="46"/>
  <c r="H30" i="48"/>
  <c r="O55" i="15"/>
  <c r="P69" i="20"/>
  <c r="G66" i="46"/>
  <c r="W34" i="26"/>
  <c r="J99" i="16"/>
  <c r="P62" i="20"/>
  <c r="H56" i="15"/>
  <c r="H68" i="20"/>
  <c r="P100" i="20"/>
  <c r="E101" i="16"/>
  <c r="V52" i="15"/>
  <c r="F77" i="15"/>
  <c r="I90" i="15"/>
  <c r="F29" i="48"/>
  <c r="E14" i="19"/>
  <c r="H72" i="20"/>
  <c r="F50" i="46"/>
  <c r="S54" i="20"/>
  <c r="P74" i="20"/>
  <c r="E78" i="15"/>
  <c r="H47" i="15"/>
  <c r="G31" i="46"/>
  <c r="F75" i="16"/>
  <c r="G42" i="46"/>
  <c r="Q18" i="19"/>
  <c r="K7" i="44"/>
  <c r="G96" i="15"/>
  <c r="T71" i="46"/>
  <c r="F12" i="46"/>
  <c r="D68" i="20"/>
  <c r="G58" i="46"/>
  <c r="G33" i="26"/>
  <c r="D60" i="17"/>
  <c r="R111" i="20"/>
  <c r="G14" i="50"/>
  <c r="G64" i="15"/>
  <c r="E22" i="50"/>
  <c r="R25" i="19"/>
  <c r="H23" i="26"/>
  <c r="G68" i="20"/>
  <c r="F33" i="15"/>
  <c r="G127" i="46"/>
  <c r="R46" i="26"/>
  <c r="H8" i="26"/>
  <c r="R124" i="19"/>
  <c r="P23" i="19"/>
  <c r="R36" i="19"/>
  <c r="G21" i="44"/>
  <c r="F93" i="16"/>
  <c r="D21" i="16"/>
  <c r="I136" i="19"/>
  <c r="E94" i="15"/>
  <c r="E14" i="44"/>
  <c r="F66" i="20"/>
  <c r="I23" i="46"/>
  <c r="H53" i="15"/>
  <c r="H61" i="15"/>
  <c r="J39" i="21"/>
  <c r="P36" i="20"/>
  <c r="P38" i="26"/>
  <c r="S91" i="16"/>
  <c r="F102" i="16"/>
  <c r="I63" i="15"/>
  <c r="S104" i="20"/>
  <c r="H94" i="15"/>
  <c r="E137" i="19"/>
  <c r="F45" i="46"/>
  <c r="D54" i="26"/>
  <c r="S108" i="19"/>
  <c r="S36" i="19"/>
  <c r="I50" i="46"/>
  <c r="E84" i="15"/>
  <c r="I94" i="16"/>
  <c r="J21" i="44"/>
  <c r="R71" i="46"/>
  <c r="F19" i="46"/>
  <c r="H42" i="21"/>
  <c r="D14" i="26"/>
  <c r="G19" i="20"/>
  <c r="F75" i="26"/>
  <c r="Q39" i="46"/>
  <c r="F71" i="16"/>
  <c r="J71" i="15"/>
  <c r="I129" i="46"/>
  <c r="U68" i="15"/>
  <c r="P8" i="20"/>
  <c r="Z15" i="44"/>
  <c r="J45" i="21"/>
  <c r="X48" i="15"/>
  <c r="D24" i="26"/>
  <c r="E28" i="48"/>
  <c r="H73" i="15"/>
  <c r="K40" i="48"/>
  <c r="R111" i="19"/>
  <c r="E67" i="16"/>
  <c r="J9" i="26"/>
  <c r="H107" i="19"/>
  <c r="K63" i="46"/>
  <c r="P66" i="15"/>
  <c r="K56" i="15"/>
  <c r="R18" i="20"/>
  <c r="Q77" i="46"/>
  <c r="R20" i="20"/>
  <c r="F11" i="20"/>
  <c r="S128" i="19"/>
  <c r="J71" i="26"/>
  <c r="I29" i="26"/>
  <c r="P114" i="19"/>
  <c r="P57" i="19"/>
  <c r="O111" i="19"/>
  <c r="S95" i="20"/>
  <c r="I99" i="16"/>
  <c r="H35" i="21"/>
  <c r="J25" i="48"/>
  <c r="G22" i="19"/>
  <c r="G20" i="50"/>
  <c r="N81" i="26"/>
  <c r="S43" i="21"/>
  <c r="T14" i="21"/>
  <c r="D66" i="16"/>
  <c r="P58" i="19"/>
  <c r="Q41" i="26"/>
  <c r="S119" i="19"/>
  <c r="W12" i="48"/>
  <c r="E47" i="19"/>
  <c r="U87" i="46"/>
  <c r="Q22" i="20"/>
  <c r="Q7" i="48"/>
  <c r="N67" i="16"/>
  <c r="Q42" i="46"/>
  <c r="F31" i="50"/>
  <c r="I43" i="17"/>
  <c r="F33" i="20"/>
  <c r="E46" i="48"/>
  <c r="H34" i="20"/>
  <c r="T30" i="26"/>
  <c r="G102" i="16"/>
  <c r="X41" i="26"/>
  <c r="Q75" i="20"/>
  <c r="R45" i="26"/>
  <c r="AA9" i="44"/>
  <c r="H75" i="26"/>
  <c r="J10" i="50"/>
  <c r="T40" i="21"/>
  <c r="Q84" i="20"/>
  <c r="S8" i="50"/>
  <c r="K83" i="15"/>
  <c r="D54" i="19"/>
  <c r="F53" i="16"/>
  <c r="Q31" i="46"/>
  <c r="S24" i="50"/>
  <c r="J15" i="46"/>
  <c r="P43" i="19"/>
  <c r="E9" i="50"/>
  <c r="D16" i="26"/>
  <c r="F35" i="26"/>
  <c r="D46" i="19"/>
  <c r="R52" i="19"/>
  <c r="I109" i="19"/>
  <c r="F55" i="19"/>
  <c r="P36" i="50"/>
  <c r="Q51" i="19"/>
  <c r="I46" i="26"/>
  <c r="H12" i="21"/>
  <c r="E23" i="44"/>
  <c r="H59" i="20"/>
  <c r="I72" i="46"/>
  <c r="I47" i="20"/>
  <c r="R8" i="19"/>
  <c r="J51" i="21"/>
  <c r="Z7" i="44"/>
  <c r="Q126" i="46"/>
  <c r="S72" i="15"/>
  <c r="S95" i="15"/>
  <c r="Q69" i="46"/>
  <c r="F109" i="19"/>
  <c r="H80" i="46"/>
  <c r="F44" i="19"/>
  <c r="S64" i="15"/>
  <c r="J40" i="50"/>
  <c r="I25" i="46"/>
  <c r="H34" i="21"/>
  <c r="Y70" i="15"/>
  <c r="F67" i="46"/>
  <c r="F13" i="16"/>
  <c r="X67" i="16"/>
  <c r="S35" i="21"/>
  <c r="P48" i="20"/>
  <c r="F38" i="46"/>
  <c r="G92" i="16"/>
  <c r="R51" i="19"/>
  <c r="W25" i="16"/>
  <c r="G80" i="16"/>
  <c r="J26" i="48"/>
  <c r="J72" i="15"/>
  <c r="H38" i="48"/>
  <c r="D42" i="21"/>
  <c r="J54" i="15"/>
  <c r="F41" i="46"/>
  <c r="S13" i="50"/>
  <c r="S96" i="16"/>
  <c r="G33" i="19"/>
  <c r="F34" i="19"/>
  <c r="P20" i="20"/>
  <c r="H34" i="19"/>
  <c r="G42" i="17"/>
  <c r="O86" i="20"/>
  <c r="J11" i="21"/>
  <c r="I81" i="26"/>
  <c r="F38" i="16"/>
  <c r="X13" i="16"/>
  <c r="J113" i="19"/>
  <c r="H77" i="20"/>
  <c r="H45" i="21"/>
  <c r="U78" i="16"/>
  <c r="I55" i="19"/>
  <c r="I28" i="48"/>
  <c r="J131" i="19"/>
  <c r="E31" i="48"/>
  <c r="D108" i="20"/>
  <c r="S89" i="20"/>
  <c r="R100" i="20"/>
  <c r="F35" i="20"/>
  <c r="E73" i="17"/>
  <c r="T70" i="16"/>
  <c r="P13" i="50"/>
  <c r="R37" i="50"/>
  <c r="G49" i="15"/>
  <c r="D18" i="16"/>
  <c r="D118" i="19"/>
  <c r="O8" i="19"/>
  <c r="S36" i="26"/>
  <c r="N33" i="16"/>
  <c r="H41" i="46"/>
  <c r="D39" i="16"/>
  <c r="D33" i="16" s="1"/>
  <c r="F8" i="26"/>
  <c r="D10" i="19"/>
  <c r="S12" i="19"/>
  <c r="E22" i="48"/>
  <c r="R27" i="46"/>
  <c r="X40" i="15"/>
  <c r="E100" i="20"/>
  <c r="T19" i="21"/>
  <c r="J23" i="21"/>
  <c r="F44" i="21"/>
  <c r="K36" i="48"/>
  <c r="G15" i="19"/>
  <c r="Q26" i="46"/>
  <c r="X32" i="26"/>
  <c r="J120" i="19"/>
  <c r="E90" i="15"/>
  <c r="I58" i="46"/>
  <c r="S47" i="20"/>
  <c r="F124" i="19"/>
  <c r="I41" i="17"/>
  <c r="X98" i="16"/>
  <c r="I90" i="16"/>
  <c r="H91" i="15"/>
  <c r="D20" i="20"/>
  <c r="T58" i="16"/>
  <c r="O113" i="19"/>
  <c r="E8" i="20"/>
  <c r="E11" i="20"/>
  <c r="D11" i="50"/>
  <c r="I117" i="19"/>
  <c r="K13" i="46"/>
  <c r="F18" i="26"/>
  <c r="I19" i="46"/>
  <c r="H52" i="21"/>
  <c r="G61" i="26"/>
  <c r="I89" i="46"/>
  <c r="I23" i="44"/>
  <c r="I59" i="17"/>
  <c r="S42" i="16"/>
  <c r="F126" i="19"/>
  <c r="U55" i="15"/>
  <c r="D25" i="19"/>
  <c r="G58" i="16"/>
  <c r="G24" i="46"/>
  <c r="J80" i="15"/>
  <c r="H124" i="19"/>
  <c r="G43" i="21"/>
  <c r="I9" i="44"/>
  <c r="R73" i="20"/>
  <c r="H73" i="46"/>
  <c r="I15" i="48"/>
  <c r="J34" i="46"/>
  <c r="J59" i="26"/>
  <c r="J40" i="46"/>
  <c r="P69" i="15"/>
  <c r="O82" i="20"/>
  <c r="G61" i="17"/>
  <c r="H94" i="16"/>
  <c r="F123" i="46"/>
  <c r="D103" i="16"/>
  <c r="G83" i="20"/>
  <c r="F25" i="46"/>
  <c r="Y87" i="15"/>
  <c r="W8" i="44"/>
  <c r="S18" i="20"/>
  <c r="D8" i="50"/>
  <c r="R24" i="46"/>
  <c r="E53" i="16"/>
  <c r="J76" i="15"/>
  <c r="D21" i="19"/>
  <c r="P24" i="46"/>
  <c r="P10" i="20"/>
  <c r="J45" i="16"/>
  <c r="E24" i="50"/>
  <c r="O34" i="19"/>
  <c r="U16" i="46"/>
  <c r="I41" i="50"/>
  <c r="F38" i="21"/>
  <c r="F66" i="17"/>
  <c r="K60" i="46"/>
  <c r="J28" i="48"/>
  <c r="Q34" i="21"/>
  <c r="I35" i="46"/>
  <c r="J9" i="50"/>
  <c r="J14" i="50"/>
  <c r="P45" i="15"/>
  <c r="O18" i="20"/>
  <c r="T40" i="15"/>
  <c r="F95" i="16"/>
  <c r="I54" i="17"/>
  <c r="E10" i="21"/>
  <c r="G56" i="16"/>
  <c r="E78" i="26"/>
  <c r="Q47" i="19"/>
  <c r="H32" i="50"/>
  <c r="F55" i="17"/>
  <c r="G7" i="48"/>
  <c r="K67" i="46"/>
  <c r="J133" i="19"/>
  <c r="O23" i="20"/>
  <c r="G12" i="46"/>
  <c r="I14" i="46"/>
  <c r="I79" i="15"/>
  <c r="H57" i="16"/>
  <c r="E133" i="19"/>
  <c r="D84" i="16"/>
  <c r="T45" i="21"/>
  <c r="K44" i="15"/>
  <c r="Q52" i="46"/>
  <c r="R27" i="19"/>
  <c r="H142" i="19"/>
  <c r="E24" i="26"/>
  <c r="E51" i="19"/>
  <c r="J63" i="46"/>
  <c r="G84" i="20"/>
  <c r="G19" i="50"/>
  <c r="G30" i="26"/>
  <c r="D56" i="19"/>
  <c r="H89" i="46"/>
  <c r="G77" i="16"/>
  <c r="E21" i="19"/>
  <c r="V17" i="16"/>
  <c r="G50" i="21"/>
  <c r="I22" i="20"/>
  <c r="G9" i="50"/>
  <c r="G37" i="26"/>
  <c r="J69" i="46"/>
  <c r="Z29" i="26"/>
  <c r="P12" i="50"/>
  <c r="J39" i="17"/>
  <c r="P15" i="48"/>
  <c r="K23" i="44"/>
  <c r="J11" i="46"/>
  <c r="E39" i="19"/>
  <c r="D95" i="20"/>
  <c r="O55" i="16"/>
  <c r="Y45" i="15"/>
  <c r="H56" i="19"/>
  <c r="S83" i="15"/>
  <c r="N41" i="26"/>
  <c r="R10" i="19"/>
  <c r="G44" i="26"/>
  <c r="H69" i="16"/>
  <c r="P64" i="16"/>
  <c r="H46" i="46"/>
  <c r="H9" i="26"/>
  <c r="K53" i="46"/>
  <c r="S45" i="20"/>
  <c r="J52" i="21"/>
  <c r="F77" i="26"/>
  <c r="G54" i="20"/>
  <c r="K76" i="46"/>
  <c r="Y91" i="15"/>
  <c r="I13" i="21"/>
  <c r="F21" i="19"/>
  <c r="P128" i="19"/>
  <c r="S29" i="20"/>
  <c r="R95" i="20"/>
  <c r="F37" i="26"/>
  <c r="I46" i="16"/>
  <c r="P46" i="20"/>
  <c r="N62" i="16"/>
  <c r="R112" i="20"/>
  <c r="I14" i="19"/>
  <c r="F45" i="15"/>
  <c r="Z44" i="26"/>
  <c r="V58" i="15"/>
  <c r="E59" i="16"/>
  <c r="E84" i="16"/>
  <c r="N14" i="26"/>
  <c r="D74" i="20"/>
  <c r="S59" i="16"/>
  <c r="R47" i="19"/>
  <c r="P66" i="46"/>
  <c r="U31" i="26"/>
  <c r="I45" i="46"/>
  <c r="H54" i="15"/>
  <c r="I107" i="19"/>
  <c r="J115" i="19"/>
  <c r="S58" i="20"/>
  <c r="E41" i="48"/>
  <c r="S19" i="19"/>
  <c r="E57" i="16"/>
  <c r="S33" i="50"/>
  <c r="J46" i="17"/>
  <c r="F111" i="20"/>
  <c r="Q43" i="21"/>
  <c r="E79" i="16"/>
  <c r="U27" i="46"/>
  <c r="F67" i="20"/>
  <c r="H52" i="16"/>
  <c r="E25" i="20"/>
  <c r="G42" i="19"/>
  <c r="D22" i="21"/>
  <c r="S66" i="16"/>
  <c r="J21" i="26"/>
  <c r="T26" i="21"/>
  <c r="X88" i="16"/>
  <c r="Q29" i="46"/>
  <c r="F23" i="46"/>
  <c r="I58" i="19"/>
  <c r="D36" i="50"/>
  <c r="G47" i="15"/>
  <c r="H6" i="46"/>
  <c r="G24" i="48"/>
  <c r="R41" i="19"/>
  <c r="F52" i="15"/>
  <c r="S18" i="19"/>
  <c r="J50" i="46"/>
  <c r="H90" i="15"/>
  <c r="R10" i="48"/>
  <c r="F19" i="50"/>
  <c r="P13" i="46"/>
  <c r="Q127" i="19"/>
  <c r="R8" i="46"/>
  <c r="P50" i="19"/>
  <c r="K41" i="46"/>
  <c r="F65" i="16"/>
  <c r="Y28" i="15"/>
  <c r="Q122" i="19"/>
  <c r="P104" i="20"/>
  <c r="O79" i="16"/>
  <c r="Q29" i="48"/>
  <c r="U120" i="46"/>
  <c r="J80" i="26"/>
  <c r="E10" i="50"/>
  <c r="W8" i="16"/>
  <c r="D109" i="20"/>
  <c r="P37" i="50"/>
  <c r="G46" i="16"/>
  <c r="Q21" i="20"/>
  <c r="J74" i="16"/>
  <c r="P120" i="46"/>
  <c r="G73" i="16"/>
  <c r="J33" i="46"/>
  <c r="F86" i="46"/>
  <c r="J18" i="19"/>
  <c r="Q16" i="48"/>
  <c r="E22" i="19"/>
  <c r="P78" i="16"/>
  <c r="H71" i="17"/>
  <c r="H128" i="46"/>
  <c r="F58" i="19"/>
  <c r="G79" i="15"/>
  <c r="K15" i="44"/>
  <c r="E17" i="19"/>
  <c r="O28" i="20"/>
  <c r="P47" i="19"/>
  <c r="S33" i="26"/>
  <c r="H26" i="19"/>
  <c r="R39" i="20"/>
  <c r="Q37" i="48"/>
  <c r="J14" i="48"/>
  <c r="S114" i="19"/>
  <c r="R34" i="26"/>
  <c r="G94" i="16"/>
  <c r="S77" i="20"/>
  <c r="J22" i="26"/>
  <c r="O79" i="26"/>
  <c r="H43" i="19"/>
  <c r="G8" i="19"/>
  <c r="V26" i="16"/>
  <c r="F80" i="46"/>
  <c r="S31" i="21"/>
  <c r="G54" i="15"/>
  <c r="F55" i="16"/>
  <c r="R70" i="46"/>
  <c r="F22" i="26"/>
  <c r="Q87" i="20"/>
  <c r="E7" i="44"/>
  <c r="Q16" i="46"/>
  <c r="H136" i="19"/>
  <c r="I42" i="19"/>
  <c r="X56" i="16"/>
  <c r="J89" i="16"/>
  <c r="R43" i="20"/>
  <c r="Q31" i="19"/>
  <c r="J20" i="48"/>
  <c r="T60" i="16"/>
  <c r="S36" i="16"/>
  <c r="S92" i="20"/>
  <c r="D99" i="20"/>
  <c r="F99" i="16"/>
  <c r="I69" i="16"/>
  <c r="Q109" i="19"/>
  <c r="S90" i="20"/>
  <c r="Q40" i="26"/>
  <c r="H52" i="46"/>
  <c r="D18" i="26"/>
  <c r="I92" i="15"/>
  <c r="H44" i="48"/>
  <c r="I14" i="21"/>
  <c r="P9" i="46"/>
  <c r="G79" i="16"/>
  <c r="E93" i="20"/>
  <c r="Q30" i="21"/>
  <c r="D10" i="50"/>
  <c r="E19" i="21"/>
  <c r="I39" i="21"/>
  <c r="H113" i="19"/>
  <c r="O63" i="26"/>
  <c r="G81" i="26"/>
  <c r="G69" i="17"/>
  <c r="Q17" i="19"/>
  <c r="I68" i="17"/>
  <c r="I32" i="46"/>
  <c r="G59" i="19"/>
  <c r="F28" i="20"/>
  <c r="R30" i="19"/>
  <c r="E16" i="26"/>
  <c r="Q73" i="46"/>
  <c r="G97" i="16"/>
  <c r="Q51" i="15"/>
  <c r="R43" i="26"/>
  <c r="P52" i="15"/>
  <c r="G78" i="26"/>
  <c r="E71" i="26"/>
  <c r="O75" i="20"/>
  <c r="H69" i="15"/>
  <c r="J56" i="16"/>
  <c r="Q14" i="46"/>
  <c r="L24" i="48"/>
  <c r="P64" i="20"/>
  <c r="S66" i="15"/>
  <c r="H41" i="19"/>
  <c r="E18" i="20"/>
  <c r="P68" i="15"/>
  <c r="W41" i="26"/>
  <c r="P18" i="19"/>
  <c r="I40" i="46"/>
  <c r="J25" i="21"/>
  <c r="D80" i="16"/>
  <c r="I73" i="15"/>
  <c r="F137" i="19"/>
  <c r="I53" i="16"/>
  <c r="F87" i="16"/>
  <c r="H76" i="26"/>
  <c r="H40" i="19"/>
  <c r="R10" i="20"/>
  <c r="R19" i="19"/>
  <c r="O42" i="19"/>
  <c r="X11" i="16"/>
  <c r="F17" i="21"/>
  <c r="D10" i="20"/>
  <c r="O18" i="19"/>
  <c r="H57" i="17"/>
  <c r="Q8" i="19"/>
  <c r="G32" i="50"/>
  <c r="X45" i="16"/>
  <c r="U10" i="46"/>
  <c r="G18" i="19"/>
  <c r="R18" i="19"/>
  <c r="Q23" i="21"/>
  <c r="D85" i="16"/>
  <c r="Q29" i="26"/>
  <c r="E18" i="48"/>
  <c r="D20" i="44"/>
  <c r="S102" i="16"/>
  <c r="H133" i="19"/>
  <c r="J73" i="16"/>
  <c r="W7" i="16"/>
  <c r="R68" i="20"/>
  <c r="I32" i="50"/>
  <c r="R22" i="20"/>
  <c r="P28" i="46"/>
  <c r="H71" i="15"/>
  <c r="X96" i="16"/>
  <c r="Q17" i="48"/>
  <c r="F14" i="19"/>
  <c r="F118" i="19"/>
  <c r="F18" i="16"/>
  <c r="S76" i="20"/>
  <c r="I16" i="46"/>
  <c r="R13" i="48"/>
  <c r="D57" i="16"/>
  <c r="O77" i="26"/>
  <c r="F31" i="26"/>
  <c r="S49" i="20"/>
  <c r="Q59" i="19"/>
  <c r="J39" i="46"/>
  <c r="K22" i="44"/>
  <c r="D65" i="26"/>
  <c r="S72" i="16"/>
  <c r="F114" i="20"/>
  <c r="T81" i="16"/>
  <c r="J60" i="16"/>
  <c r="I47" i="46"/>
  <c r="U61" i="15"/>
  <c r="S96" i="20"/>
  <c r="D112" i="19"/>
  <c r="J29" i="26"/>
  <c r="F57" i="16"/>
  <c r="F74" i="16"/>
  <c r="Q116" i="19"/>
  <c r="G127" i="19"/>
  <c r="T38" i="21"/>
  <c r="D14" i="19"/>
  <c r="S11" i="21"/>
  <c r="U129" i="46"/>
  <c r="R36" i="50"/>
  <c r="I70" i="26"/>
  <c r="H31" i="46"/>
  <c r="D135" i="19"/>
  <c r="P114" i="20"/>
  <c r="D113" i="19"/>
  <c r="U70" i="15"/>
  <c r="Q45" i="26"/>
  <c r="I114" i="19"/>
  <c r="E60" i="16"/>
  <c r="P84" i="20"/>
  <c r="Q87" i="46"/>
  <c r="G33" i="20"/>
  <c r="H15" i="48"/>
  <c r="H111" i="19"/>
  <c r="P108" i="19"/>
  <c r="I15" i="46"/>
  <c r="F52" i="19"/>
  <c r="S54" i="21"/>
  <c r="R31" i="26"/>
  <c r="F40" i="19"/>
  <c r="Y44" i="15"/>
  <c r="V50" i="15"/>
  <c r="I10" i="19"/>
  <c r="O27" i="19"/>
  <c r="J12" i="21"/>
  <c r="J16" i="26"/>
  <c r="D60" i="26"/>
  <c r="K50" i="15"/>
  <c r="S53" i="15"/>
  <c r="J41" i="46"/>
  <c r="D16" i="16"/>
  <c r="P31" i="48"/>
  <c r="F97" i="16"/>
  <c r="X42" i="15"/>
  <c r="J81" i="26"/>
  <c r="I22" i="46"/>
  <c r="G25" i="20"/>
  <c r="H76" i="46"/>
  <c r="I37" i="19"/>
  <c r="F107" i="20"/>
  <c r="I46" i="19"/>
  <c r="E23" i="26"/>
  <c r="F66" i="16"/>
  <c r="E72" i="16"/>
  <c r="Q72" i="46"/>
  <c r="N62" i="26"/>
  <c r="G63" i="17"/>
  <c r="S43" i="20"/>
  <c r="G19" i="44"/>
  <c r="R7" i="20"/>
  <c r="L9" i="48"/>
  <c r="Y29" i="26"/>
  <c r="I44" i="15"/>
  <c r="F34" i="50"/>
  <c r="H100" i="16"/>
  <c r="H27" i="48"/>
  <c r="Q39" i="48"/>
  <c r="R40" i="46"/>
  <c r="E71" i="15"/>
  <c r="H97" i="15"/>
  <c r="G10" i="26"/>
  <c r="D24" i="50"/>
  <c r="K55" i="15"/>
  <c r="F13" i="20"/>
  <c r="J47" i="46"/>
  <c r="P35" i="26"/>
  <c r="R129" i="46"/>
  <c r="O53" i="16"/>
  <c r="S65" i="16"/>
  <c r="F117" i="46"/>
  <c r="I43" i="46"/>
  <c r="E98" i="16"/>
  <c r="I44" i="48"/>
  <c r="P19" i="46"/>
  <c r="F13" i="50"/>
  <c r="G42" i="16"/>
  <c r="H19" i="50"/>
  <c r="H42" i="16"/>
  <c r="J38" i="46"/>
  <c r="U63" i="46"/>
  <c r="P17" i="48"/>
  <c r="G11" i="50"/>
  <c r="E102" i="20"/>
  <c r="E104" i="20"/>
  <c r="U80" i="46"/>
  <c r="F15" i="44"/>
  <c r="I49" i="46"/>
  <c r="P73" i="16"/>
  <c r="N29" i="16"/>
  <c r="R30" i="46"/>
  <c r="F27" i="48"/>
  <c r="P127" i="19"/>
  <c r="P53" i="19"/>
  <c r="H45" i="15"/>
  <c r="O11" i="26"/>
  <c r="I102" i="16"/>
  <c r="G86" i="15"/>
  <c r="E70" i="17"/>
  <c r="F10" i="50"/>
  <c r="F84" i="20"/>
  <c r="Y52" i="15"/>
  <c r="I68" i="15"/>
  <c r="F59" i="17"/>
  <c r="F12" i="48"/>
  <c r="F42" i="46"/>
  <c r="Q28" i="20"/>
  <c r="O63" i="15"/>
  <c r="I31" i="50"/>
  <c r="D21" i="44"/>
  <c r="G62" i="16"/>
  <c r="D62" i="20"/>
  <c r="Q40" i="19"/>
  <c r="H98" i="16"/>
  <c r="Y97" i="15"/>
  <c r="Q23" i="20"/>
  <c r="R16" i="20"/>
  <c r="I24" i="48"/>
  <c r="F86" i="16"/>
  <c r="G27" i="19"/>
  <c r="G73" i="17"/>
  <c r="E51" i="21"/>
  <c r="G72" i="20"/>
  <c r="P30" i="19"/>
  <c r="D13" i="50"/>
  <c r="Q33" i="48"/>
  <c r="I9" i="21"/>
  <c r="E96" i="20"/>
  <c r="H19" i="21"/>
  <c r="H23" i="19"/>
  <c r="G57" i="16"/>
  <c r="G50" i="19"/>
  <c r="H44" i="19"/>
  <c r="F45" i="26"/>
  <c r="O16" i="20"/>
  <c r="J62" i="15"/>
  <c r="H93" i="16"/>
  <c r="L18" i="48"/>
  <c r="G46" i="20"/>
  <c r="N38" i="26"/>
  <c r="R75" i="20"/>
  <c r="R24" i="50"/>
  <c r="F69" i="15"/>
  <c r="S26" i="20"/>
  <c r="G87" i="20"/>
  <c r="J57" i="26"/>
  <c r="H75" i="20"/>
  <c r="R14" i="50"/>
  <c r="T48" i="46"/>
  <c r="F43" i="16"/>
  <c r="V13" i="16"/>
  <c r="D45" i="16"/>
  <c r="H36" i="21"/>
  <c r="F14" i="46"/>
  <c r="F14" i="48"/>
  <c r="G55" i="17"/>
  <c r="I63" i="26"/>
  <c r="W22" i="48"/>
  <c r="S91" i="15"/>
  <c r="R21" i="50"/>
  <c r="I96" i="16"/>
  <c r="H40" i="50"/>
  <c r="P38" i="48"/>
  <c r="G44" i="19"/>
  <c r="S42" i="21"/>
  <c r="H59" i="15"/>
  <c r="D59" i="16"/>
  <c r="Q17" i="21"/>
  <c r="I75" i="46"/>
  <c r="F35" i="19"/>
  <c r="U21" i="46"/>
  <c r="F38" i="50"/>
  <c r="X46" i="26"/>
  <c r="Q9" i="20"/>
  <c r="D69" i="17"/>
  <c r="H45" i="46"/>
  <c r="U86" i="15"/>
  <c r="J8" i="21"/>
  <c r="F58" i="46"/>
  <c r="R28" i="50"/>
  <c r="H55" i="15"/>
  <c r="P25" i="48"/>
  <c r="P27" i="20"/>
  <c r="P54" i="15"/>
  <c r="P59" i="19"/>
  <c r="J22" i="44"/>
  <c r="X95" i="15"/>
  <c r="V73" i="15"/>
  <c r="F27" i="20"/>
  <c r="G61" i="15"/>
  <c r="R7" i="50"/>
  <c r="Q46" i="48"/>
  <c r="G15" i="44"/>
  <c r="F98" i="16"/>
  <c r="G95" i="15"/>
  <c r="E41" i="50"/>
  <c r="O113" i="20"/>
  <c r="D23" i="26"/>
  <c r="D117" i="19"/>
  <c r="O80" i="20"/>
  <c r="D22" i="19"/>
  <c r="F35" i="15"/>
  <c r="J21" i="19"/>
  <c r="U60" i="46"/>
  <c r="J61" i="16"/>
  <c r="D58" i="16"/>
  <c r="E16" i="20"/>
  <c r="J65" i="26"/>
  <c r="K62" i="17"/>
  <c r="P82" i="20"/>
  <c r="G24" i="50"/>
  <c r="O58" i="16"/>
  <c r="J19" i="46"/>
  <c r="P30" i="26"/>
  <c r="X70" i="16"/>
  <c r="J66" i="46"/>
  <c r="P108" i="20"/>
  <c r="D37" i="50"/>
  <c r="G21" i="20"/>
  <c r="P11" i="50"/>
  <c r="D50" i="21"/>
  <c r="E42" i="17"/>
  <c r="P18" i="20"/>
  <c r="G133" i="19"/>
  <c r="H20" i="46"/>
  <c r="H70" i="26"/>
  <c r="T17" i="21"/>
  <c r="F81" i="20"/>
  <c r="I49" i="21"/>
  <c r="R38" i="46"/>
  <c r="N70" i="16"/>
  <c r="F33" i="46"/>
  <c r="E54" i="15"/>
  <c r="R31" i="46"/>
  <c r="G45" i="15"/>
  <c r="G71" i="20"/>
  <c r="H58" i="26"/>
  <c r="S84" i="20"/>
  <c r="Q33" i="21"/>
  <c r="G43" i="26"/>
  <c r="H15" i="44"/>
  <c r="P15" i="46"/>
  <c r="H8" i="20"/>
  <c r="S111" i="20"/>
  <c r="S101" i="20"/>
  <c r="Z41" i="26"/>
  <c r="D44" i="16"/>
  <c r="Q47" i="21"/>
  <c r="J42" i="46"/>
  <c r="J78" i="16"/>
  <c r="R38" i="19"/>
  <c r="J41" i="48"/>
  <c r="S13" i="20"/>
  <c r="D33" i="19"/>
  <c r="Y35" i="15"/>
  <c r="F47" i="17"/>
  <c r="F29" i="21"/>
  <c r="R129" i="19"/>
  <c r="H6" i="15"/>
  <c r="Q28" i="48"/>
  <c r="P122" i="46"/>
  <c r="R108" i="19"/>
  <c r="J29" i="46"/>
  <c r="E22" i="44"/>
  <c r="D58" i="19"/>
  <c r="R80" i="46"/>
  <c r="G71" i="26"/>
  <c r="E38" i="20"/>
  <c r="H72" i="15"/>
  <c r="R72" i="17"/>
  <c r="E103" i="20"/>
  <c r="E52" i="21"/>
  <c r="E77" i="16"/>
  <c r="E85" i="20"/>
  <c r="S26" i="21"/>
  <c r="J54" i="17"/>
  <c r="Q108" i="19"/>
  <c r="R26" i="20"/>
  <c r="H50" i="15"/>
  <c r="R44" i="19"/>
  <c r="S61" i="46"/>
  <c r="D13" i="20"/>
  <c r="Q34" i="46"/>
  <c r="I54" i="26"/>
  <c r="J18" i="21"/>
  <c r="N17" i="26"/>
  <c r="E42" i="48"/>
  <c r="E59" i="15"/>
  <c r="Q19" i="20"/>
  <c r="G140" i="19"/>
  <c r="F9" i="48"/>
  <c r="J40" i="17"/>
  <c r="N78" i="26"/>
  <c r="D90" i="16"/>
  <c r="D54" i="15"/>
  <c r="F55" i="46"/>
  <c r="R33" i="48"/>
  <c r="Q71" i="20"/>
  <c r="H13" i="20"/>
  <c r="J85" i="15"/>
  <c r="F16" i="19"/>
  <c r="F73" i="15"/>
  <c r="N40" i="26"/>
  <c r="R47" i="46"/>
  <c r="J140" i="19"/>
  <c r="S89" i="16"/>
  <c r="P51" i="15"/>
  <c r="O61" i="15"/>
  <c r="U65" i="46"/>
  <c r="T66" i="16"/>
  <c r="J97" i="15"/>
  <c r="D92" i="20"/>
  <c r="P110" i="19"/>
  <c r="O81" i="20"/>
  <c r="S78" i="15"/>
  <c r="Q42" i="21"/>
  <c r="D49" i="19"/>
  <c r="P87" i="15"/>
  <c r="G29" i="26"/>
  <c r="G15" i="48"/>
  <c r="H66" i="15"/>
  <c r="E26" i="19"/>
  <c r="H132" i="19"/>
  <c r="S113" i="19"/>
  <c r="F56" i="15"/>
  <c r="N44" i="26"/>
  <c r="O54" i="15"/>
  <c r="J59" i="19"/>
  <c r="X35" i="26"/>
  <c r="G51" i="15"/>
  <c r="V39" i="26"/>
  <c r="F59" i="46"/>
  <c r="P12" i="48"/>
  <c r="F55" i="15"/>
  <c r="G38" i="16"/>
  <c r="S59" i="19"/>
  <c r="F59" i="20"/>
  <c r="J57" i="46"/>
  <c r="R34" i="19"/>
  <c r="J45" i="46"/>
  <c r="R35" i="26"/>
  <c r="R26" i="46"/>
  <c r="F36" i="20"/>
  <c r="V38" i="26"/>
  <c r="G23" i="21"/>
  <c r="H55" i="17"/>
  <c r="H63" i="16"/>
  <c r="X73" i="16"/>
  <c r="I54" i="15"/>
  <c r="P61" i="16"/>
  <c r="D28" i="20"/>
  <c r="O33" i="16"/>
  <c r="E66" i="15"/>
  <c r="F57" i="17"/>
  <c r="E50" i="21"/>
  <c r="F26" i="15"/>
  <c r="E86" i="20"/>
  <c r="D28" i="50"/>
  <c r="I132" i="19"/>
  <c r="D39" i="20"/>
  <c r="I36" i="26"/>
  <c r="E44" i="17"/>
  <c r="J30" i="19"/>
  <c r="H10" i="46"/>
  <c r="Y40" i="15"/>
  <c r="E17" i="50"/>
  <c r="E46" i="20"/>
  <c r="J58" i="16"/>
  <c r="H13" i="46"/>
  <c r="K62" i="46"/>
  <c r="E8" i="50"/>
  <c r="E61" i="17"/>
  <c r="I55" i="20"/>
  <c r="H35" i="20"/>
  <c r="F22" i="19"/>
  <c r="P7" i="19"/>
  <c r="R62" i="17"/>
  <c r="E80" i="15"/>
  <c r="K81" i="46"/>
  <c r="R32" i="50"/>
  <c r="U60" i="16"/>
  <c r="S24" i="21"/>
  <c r="O63" i="16"/>
  <c r="F54" i="16"/>
  <c r="G46" i="19"/>
  <c r="E53" i="15"/>
  <c r="U57" i="46"/>
  <c r="T81" i="15"/>
  <c r="O123" i="19"/>
  <c r="O44" i="19"/>
  <c r="H70" i="46"/>
  <c r="Q114" i="20"/>
  <c r="T75" i="46"/>
  <c r="G121" i="46"/>
  <c r="E17" i="48"/>
  <c r="Q76" i="46"/>
  <c r="I55" i="26"/>
  <c r="F31" i="46"/>
  <c r="I63" i="16"/>
  <c r="W13" i="44"/>
  <c r="G88" i="46"/>
  <c r="O17" i="19"/>
  <c r="E13" i="21"/>
  <c r="D86" i="16"/>
  <c r="G71" i="46"/>
  <c r="I60" i="17"/>
  <c r="X23" i="16"/>
  <c r="P37" i="19"/>
  <c r="P84" i="15"/>
  <c r="F45" i="48"/>
  <c r="D64" i="16"/>
  <c r="F46" i="17"/>
  <c r="S94" i="15"/>
  <c r="G71" i="17"/>
  <c r="U119" i="46"/>
  <c r="N60" i="16"/>
  <c r="R31" i="48"/>
  <c r="W30" i="48"/>
  <c r="F32" i="20"/>
  <c r="D70" i="17"/>
  <c r="S80" i="15"/>
  <c r="H11" i="21"/>
  <c r="Y89" i="15"/>
  <c r="P19" i="50"/>
  <c r="W14" i="48"/>
  <c r="S9" i="19"/>
  <c r="T39" i="46"/>
  <c r="F139" i="19"/>
  <c r="H17" i="50"/>
  <c r="O45" i="19"/>
  <c r="O78" i="16"/>
  <c r="T15" i="21"/>
  <c r="H39" i="16"/>
  <c r="H33" i="16" s="1"/>
  <c r="F37" i="19"/>
  <c r="Z14" i="44"/>
  <c r="Q13" i="46"/>
  <c r="G49" i="21"/>
  <c r="E42" i="16"/>
  <c r="K15" i="46"/>
  <c r="F22" i="44"/>
  <c r="E21" i="26"/>
  <c r="E20" i="20"/>
  <c r="G72" i="17"/>
  <c r="D97" i="16"/>
  <c r="D56" i="20"/>
  <c r="F46" i="20"/>
  <c r="V20" i="16"/>
  <c r="P75" i="46"/>
  <c r="D77" i="16"/>
  <c r="D77" i="26"/>
  <c r="U33" i="26"/>
  <c r="P25" i="46"/>
  <c r="U9" i="46"/>
  <c r="F64" i="20"/>
  <c r="P59" i="46"/>
  <c r="G14" i="46"/>
  <c r="X79" i="16"/>
  <c r="J56" i="15"/>
  <c r="G31" i="48"/>
  <c r="S75" i="16"/>
  <c r="R39" i="19"/>
  <c r="R74" i="46"/>
  <c r="R17" i="48"/>
  <c r="D83" i="16"/>
  <c r="Q14" i="19"/>
  <c r="J73" i="15"/>
  <c r="Q107" i="19"/>
  <c r="P78" i="20"/>
  <c r="I88" i="46"/>
  <c r="F129" i="19"/>
  <c r="G125" i="19"/>
  <c r="O55" i="19"/>
  <c r="D63" i="26"/>
  <c r="F37" i="16"/>
  <c r="K17" i="48"/>
  <c r="K52" i="15"/>
  <c r="T8" i="21"/>
  <c r="J20" i="50"/>
  <c r="H79" i="16"/>
  <c r="R139" i="19"/>
  <c r="K94" i="15"/>
  <c r="Q69" i="15"/>
  <c r="L30" i="48"/>
  <c r="J124" i="19"/>
  <c r="D97" i="20"/>
  <c r="F20" i="48"/>
  <c r="O67" i="15"/>
  <c r="H127" i="19"/>
  <c r="E62" i="15"/>
  <c r="U77" i="15"/>
  <c r="T60" i="15"/>
  <c r="P85" i="15"/>
  <c r="F60" i="20"/>
  <c r="F42" i="17"/>
  <c r="P49" i="20"/>
  <c r="S47" i="17"/>
  <c r="H21" i="20"/>
  <c r="P46" i="48"/>
  <c r="H16" i="21"/>
  <c r="P31" i="46"/>
  <c r="F64" i="46"/>
  <c r="Q126" i="19"/>
  <c r="T59" i="15"/>
  <c r="X80" i="16"/>
  <c r="X94" i="16"/>
  <c r="R79" i="46"/>
  <c r="D52" i="19"/>
  <c r="N74" i="16"/>
  <c r="H95" i="16"/>
  <c r="T71" i="15"/>
  <c r="H20" i="48"/>
  <c r="S46" i="16"/>
  <c r="R33" i="20"/>
  <c r="X15" i="16"/>
  <c r="E25" i="19"/>
  <c r="U61" i="16"/>
  <c r="S50" i="19"/>
  <c r="T56" i="16"/>
  <c r="G41" i="21"/>
  <c r="AA37" i="26"/>
  <c r="G61" i="46"/>
  <c r="G9" i="46"/>
  <c r="E95" i="15"/>
  <c r="E81" i="26"/>
  <c r="I8" i="26"/>
  <c r="S10" i="19"/>
  <c r="U56" i="16"/>
  <c r="Y43" i="26"/>
  <c r="X103" i="16"/>
  <c r="S10" i="50"/>
  <c r="P85" i="20"/>
  <c r="O69" i="15"/>
  <c r="E59" i="26"/>
  <c r="I81" i="15"/>
  <c r="I7" i="50"/>
  <c r="T46" i="26"/>
  <c r="I71" i="26"/>
  <c r="K39" i="48"/>
  <c r="T95" i="15"/>
  <c r="H60" i="16"/>
  <c r="P105" i="20"/>
  <c r="E38" i="19"/>
  <c r="F138" i="19"/>
  <c r="S38" i="20"/>
  <c r="AA38" i="26"/>
  <c r="Q125" i="19"/>
  <c r="G123" i="46"/>
  <c r="E13" i="19"/>
  <c r="U69" i="46"/>
  <c r="F65" i="46"/>
  <c r="E80" i="16"/>
  <c r="G40" i="46"/>
  <c r="G9" i="20"/>
  <c r="V10" i="16"/>
  <c r="E92" i="15"/>
  <c r="P21" i="50"/>
  <c r="S38" i="26"/>
  <c r="K22" i="46"/>
  <c r="H83" i="20"/>
  <c r="H33" i="50"/>
  <c r="Y30" i="26"/>
  <c r="G7" i="50"/>
  <c r="Q13" i="19"/>
  <c r="G11" i="21"/>
  <c r="T53" i="15"/>
  <c r="E45" i="19"/>
  <c r="F64" i="17"/>
  <c r="H33" i="26"/>
  <c r="P65" i="15"/>
  <c r="G27" i="48"/>
  <c r="U48" i="46"/>
  <c r="O65" i="20"/>
  <c r="Q44" i="26"/>
  <c r="D13" i="19"/>
  <c r="G87" i="16"/>
  <c r="G9" i="26"/>
  <c r="S67" i="15"/>
  <c r="N57" i="16"/>
  <c r="E77" i="15"/>
  <c r="D77" i="20"/>
  <c r="F23" i="26"/>
  <c r="Q46" i="26"/>
  <c r="J44" i="21"/>
  <c r="E82" i="20"/>
  <c r="S100" i="16"/>
  <c r="I71" i="15"/>
  <c r="D12" i="20"/>
  <c r="Q25" i="21"/>
  <c r="T29" i="26"/>
  <c r="F24" i="48"/>
  <c r="S114" i="20"/>
  <c r="E88" i="16"/>
  <c r="S27" i="16"/>
  <c r="G24" i="20"/>
  <c r="P7" i="50"/>
  <c r="J43" i="21"/>
  <c r="J32" i="19"/>
  <c r="G54" i="17"/>
  <c r="H44" i="21"/>
  <c r="G14" i="44"/>
  <c r="S44" i="19"/>
  <c r="I66" i="17"/>
  <c r="R40" i="20"/>
  <c r="Q29" i="20"/>
  <c r="R40" i="26"/>
  <c r="E54" i="26"/>
  <c r="E47" i="16"/>
  <c r="F6" i="46"/>
  <c r="V70" i="15"/>
  <c r="J51" i="46"/>
  <c r="P79" i="15"/>
  <c r="J72" i="16"/>
  <c r="J13" i="44"/>
  <c r="Q82" i="20"/>
  <c r="X7" i="16"/>
  <c r="Q114" i="19"/>
  <c r="S27" i="20"/>
  <c r="U66" i="16"/>
  <c r="D56" i="17"/>
  <c r="N60" i="26"/>
  <c r="I82" i="46"/>
  <c r="I24" i="46"/>
  <c r="F44" i="26"/>
  <c r="F24" i="16"/>
  <c r="D120" i="19"/>
  <c r="F43" i="19"/>
  <c r="G111" i="19"/>
  <c r="E38" i="21"/>
  <c r="V63" i="15"/>
  <c r="I81" i="46"/>
  <c r="D71" i="17"/>
  <c r="E23" i="19"/>
  <c r="Y49" i="15"/>
  <c r="H33" i="20"/>
  <c r="I17" i="19"/>
  <c r="R88" i="20"/>
  <c r="D55" i="26"/>
  <c r="H76" i="16"/>
  <c r="O21" i="26"/>
  <c r="H64" i="15"/>
  <c r="S70" i="46"/>
  <c r="I19" i="19"/>
  <c r="F114" i="19"/>
  <c r="G56" i="17"/>
  <c r="L10" i="48"/>
  <c r="Y73" i="15"/>
  <c r="S29" i="21"/>
  <c r="J55" i="17"/>
  <c r="Z45" i="26"/>
  <c r="I12" i="46"/>
  <c r="D35" i="20"/>
  <c r="H95" i="15"/>
  <c r="Q91" i="20"/>
  <c r="G37" i="16"/>
  <c r="U121" i="46"/>
  <c r="Q36" i="48"/>
  <c r="D19" i="44"/>
  <c r="H58" i="17"/>
  <c r="H109" i="19"/>
  <c r="O65" i="26"/>
  <c r="F79" i="15"/>
  <c r="F106" i="20"/>
  <c r="O14" i="26"/>
  <c r="K14" i="48"/>
  <c r="I15" i="19"/>
  <c r="S120" i="19"/>
  <c r="U80" i="15"/>
  <c r="J18" i="26"/>
  <c r="H47" i="20"/>
  <c r="R14" i="19"/>
  <c r="H11" i="20"/>
  <c r="E54" i="20"/>
  <c r="E13" i="26"/>
  <c r="K90" i="15"/>
  <c r="Q25" i="20"/>
  <c r="J65" i="16"/>
  <c r="X65" i="16"/>
  <c r="U51" i="46"/>
  <c r="S49" i="19"/>
  <c r="F52" i="16"/>
  <c r="T41" i="46"/>
  <c r="G41" i="26"/>
  <c r="G22" i="48"/>
  <c r="D9" i="50"/>
  <c r="S75" i="46"/>
  <c r="W24" i="16"/>
  <c r="F70" i="46"/>
  <c r="U63" i="16"/>
  <c r="K42" i="46"/>
  <c r="H15" i="20"/>
  <c r="J34" i="21"/>
  <c r="N36" i="26"/>
  <c r="F65" i="15"/>
  <c r="L40" i="48"/>
  <c r="J59" i="46"/>
  <c r="F20" i="46"/>
  <c r="S53" i="21"/>
  <c r="P32" i="46"/>
  <c r="G64" i="16"/>
  <c r="U124" i="46"/>
  <c r="J9" i="44"/>
  <c r="E45" i="20"/>
  <c r="Y31" i="26"/>
  <c r="D141" i="19"/>
  <c r="I19" i="50"/>
  <c r="I120" i="19"/>
  <c r="U56" i="15"/>
  <c r="J29" i="21"/>
  <c r="H7" i="21"/>
  <c r="D19" i="21"/>
  <c r="P40" i="48"/>
  <c r="V33" i="26"/>
  <c r="I18" i="50"/>
  <c r="J118" i="46"/>
  <c r="I62" i="15"/>
  <c r="G73" i="15"/>
  <c r="L20" i="48"/>
  <c r="P49" i="19"/>
  <c r="D137" i="19"/>
  <c r="F60" i="26"/>
  <c r="E37" i="50"/>
  <c r="H120" i="46"/>
  <c r="J136" i="19"/>
  <c r="H44" i="16"/>
  <c r="H36" i="19"/>
  <c r="R49" i="20"/>
  <c r="E16" i="21"/>
  <c r="S8" i="46"/>
  <c r="U79" i="16"/>
  <c r="I19" i="26"/>
  <c r="I72" i="26"/>
  <c r="F32" i="26"/>
  <c r="S52" i="15"/>
  <c r="F49" i="46"/>
  <c r="K21" i="46"/>
  <c r="O10" i="26"/>
  <c r="O7" i="26" s="1"/>
  <c r="P22" i="20"/>
  <c r="H10" i="20"/>
  <c r="E93" i="16"/>
  <c r="E60" i="17"/>
  <c r="P32" i="50"/>
  <c r="K21" i="44"/>
  <c r="E96" i="15"/>
  <c r="H125" i="46"/>
  <c r="I8" i="20"/>
  <c r="Y81" i="15"/>
  <c r="AA30" i="26"/>
  <c r="K71" i="17"/>
  <c r="P38" i="50"/>
  <c r="F51" i="15"/>
  <c r="N37" i="26"/>
  <c r="F61" i="17"/>
  <c r="J70" i="15"/>
  <c r="Q93" i="20"/>
  <c r="U74" i="46"/>
  <c r="I41" i="26"/>
  <c r="K23" i="46"/>
  <c r="F72" i="20"/>
  <c r="J13" i="50"/>
  <c r="Q124" i="19"/>
  <c r="Q57" i="46"/>
  <c r="J109" i="19"/>
  <c r="H82" i="20"/>
  <c r="U62" i="15"/>
  <c r="H81" i="46"/>
  <c r="H71" i="16"/>
  <c r="G14" i="19"/>
  <c r="G71" i="15"/>
  <c r="H128" i="19"/>
  <c r="P42" i="19"/>
  <c r="J62" i="17"/>
  <c r="X87" i="16"/>
  <c r="I38" i="20"/>
  <c r="S47" i="21"/>
  <c r="P39" i="46"/>
  <c r="F47" i="16"/>
  <c r="D12" i="19"/>
  <c r="T54" i="16"/>
  <c r="X28" i="15"/>
  <c r="O38" i="19"/>
  <c r="D59" i="26"/>
  <c r="J48" i="46"/>
  <c r="H53" i="46"/>
  <c r="I63" i="17"/>
  <c r="F27" i="50"/>
  <c r="R124" i="46"/>
  <c r="L45" i="48"/>
  <c r="R90" i="20"/>
  <c r="Q34" i="20"/>
  <c r="P23" i="46"/>
  <c r="P39" i="19"/>
  <c r="S52" i="17"/>
  <c r="S88" i="16"/>
  <c r="Q21" i="46"/>
  <c r="P124" i="19"/>
  <c r="T22" i="46"/>
  <c r="S91" i="20"/>
  <c r="X96" i="15"/>
  <c r="F18" i="19"/>
  <c r="I37" i="26"/>
  <c r="H139" i="19"/>
  <c r="S59" i="17"/>
  <c r="X69" i="16"/>
  <c r="F43" i="48"/>
  <c r="G10" i="50"/>
  <c r="S37" i="50"/>
  <c r="AA34" i="26"/>
  <c r="H51" i="21"/>
  <c r="O73" i="20"/>
  <c r="Q6" i="46"/>
  <c r="Q59" i="46"/>
  <c r="O16" i="19"/>
  <c r="G44" i="48"/>
  <c r="E12" i="48"/>
  <c r="P111" i="19"/>
  <c r="D38" i="19"/>
  <c r="J13" i="46"/>
  <c r="N58" i="16"/>
  <c r="P113" i="19"/>
  <c r="G100" i="16"/>
  <c r="D9" i="21"/>
  <c r="J27" i="48"/>
  <c r="E21" i="50"/>
  <c r="J61" i="46"/>
  <c r="G28" i="46"/>
  <c r="H7" i="20"/>
  <c r="I45" i="19"/>
  <c r="Q65" i="46"/>
  <c r="H27" i="50"/>
  <c r="R117" i="46"/>
  <c r="S84" i="16"/>
  <c r="I67" i="16"/>
  <c r="J132" i="19"/>
  <c r="Q20" i="19"/>
  <c r="F22" i="15"/>
  <c r="J87" i="15"/>
  <c r="S65" i="15"/>
  <c r="Q44" i="21"/>
  <c r="K13" i="44"/>
  <c r="F34" i="15"/>
  <c r="R8" i="50"/>
  <c r="R121" i="46"/>
  <c r="G36" i="19"/>
  <c r="O56" i="16"/>
  <c r="O48" i="19"/>
  <c r="H49" i="15"/>
  <c r="Q84" i="15"/>
  <c r="G57" i="46"/>
  <c r="H58" i="20"/>
  <c r="E132" i="19"/>
  <c r="E22" i="21"/>
  <c r="Q70" i="15"/>
  <c r="H22" i="50"/>
  <c r="E99" i="16"/>
  <c r="F36" i="46"/>
  <c r="F81" i="16"/>
  <c r="I57" i="46"/>
  <c r="H13" i="44"/>
  <c r="R41" i="50"/>
  <c r="F49" i="19"/>
  <c r="I47" i="16"/>
  <c r="R47" i="20"/>
  <c r="G62" i="26"/>
  <c r="Q83" i="46"/>
  <c r="S9" i="20"/>
  <c r="S66" i="20"/>
  <c r="F133" i="19"/>
  <c r="O105" i="20"/>
  <c r="P65" i="16"/>
  <c r="R20" i="19"/>
  <c r="Q113" i="20"/>
  <c r="T36" i="21"/>
  <c r="P54" i="20"/>
  <c r="O125" i="19"/>
  <c r="I77" i="46"/>
  <c r="F42" i="15"/>
  <c r="V16" i="16"/>
  <c r="J27" i="21"/>
  <c r="R61" i="20"/>
  <c r="X29" i="26"/>
  <c r="K60" i="15"/>
  <c r="J49" i="46"/>
  <c r="F32" i="15"/>
  <c r="H73" i="26"/>
  <c r="S59" i="15"/>
  <c r="K33" i="46"/>
  <c r="E33" i="48"/>
  <c r="N15" i="26"/>
  <c r="X25" i="16"/>
  <c r="G78" i="16"/>
  <c r="D54" i="17"/>
  <c r="G86" i="20"/>
  <c r="D94" i="20"/>
  <c r="I83" i="15"/>
  <c r="H13" i="21"/>
  <c r="G18" i="50"/>
  <c r="R36" i="20"/>
  <c r="H16" i="48"/>
  <c r="Q67" i="15"/>
  <c r="S39" i="16"/>
  <c r="S33" i="16" s="1"/>
  <c r="E41" i="21"/>
  <c r="I47" i="19"/>
  <c r="Q9" i="46"/>
  <c r="J42" i="19"/>
  <c r="G16" i="48"/>
  <c r="Q21" i="19"/>
  <c r="F85" i="15"/>
  <c r="I29" i="20"/>
  <c r="Q44" i="46"/>
  <c r="J90" i="15"/>
  <c r="G23" i="46"/>
  <c r="I46" i="46"/>
  <c r="E61" i="16"/>
  <c r="D53" i="16"/>
  <c r="H96" i="16"/>
  <c r="J35" i="46"/>
  <c r="S73" i="15"/>
  <c r="S81" i="16"/>
  <c r="D20" i="19"/>
  <c r="Q65" i="15"/>
  <c r="H117" i="46"/>
  <c r="O55" i="26"/>
  <c r="F54" i="17"/>
  <c r="G138" i="19"/>
  <c r="J125" i="19"/>
  <c r="Q124" i="46"/>
  <c r="R72" i="20"/>
  <c r="Q127" i="46"/>
  <c r="Y62" i="15"/>
  <c r="E30" i="48"/>
  <c r="F13" i="19"/>
  <c r="T79" i="15"/>
  <c r="K66" i="15"/>
  <c r="I57" i="26"/>
  <c r="D22" i="44"/>
  <c r="S25" i="20"/>
  <c r="P76" i="16"/>
  <c r="W39" i="26"/>
  <c r="S68" i="20"/>
  <c r="S52" i="19"/>
  <c r="R14" i="20"/>
  <c r="R42" i="46"/>
  <c r="N25" i="26"/>
  <c r="F38" i="20"/>
  <c r="X9" i="44"/>
  <c r="N13" i="26"/>
  <c r="E45" i="21"/>
  <c r="O119" i="19"/>
  <c r="S17" i="21"/>
  <c r="F83" i="46"/>
  <c r="J6" i="16"/>
  <c r="Z30" i="26"/>
  <c r="J118" i="19"/>
  <c r="S40" i="19"/>
  <c r="G60" i="20"/>
  <c r="D56" i="16"/>
  <c r="G68" i="17"/>
  <c r="P34" i="50"/>
  <c r="K51" i="46"/>
  <c r="H56" i="17"/>
  <c r="S16" i="21"/>
  <c r="P112" i="19"/>
  <c r="F37" i="20"/>
  <c r="I131" i="19"/>
  <c r="J96" i="15"/>
  <c r="F129" i="46"/>
  <c r="I64" i="16"/>
  <c r="U127" i="46"/>
  <c r="N79" i="26"/>
  <c r="Q11" i="48"/>
  <c r="P24" i="48"/>
  <c r="P63" i="20"/>
  <c r="R46" i="46"/>
  <c r="H122" i="46"/>
  <c r="S79" i="16"/>
  <c r="H48" i="46"/>
  <c r="I72" i="17"/>
  <c r="J75" i="46"/>
  <c r="F10" i="21"/>
  <c r="P33" i="19"/>
  <c r="D31" i="19"/>
  <c r="I45" i="21"/>
  <c r="J23" i="50"/>
  <c r="P59" i="20"/>
  <c r="G45" i="17"/>
  <c r="J37" i="21"/>
  <c r="P64" i="15"/>
  <c r="K27" i="48"/>
  <c r="K50" i="46"/>
  <c r="F47" i="46"/>
  <c r="H29" i="21"/>
  <c r="L31" i="48"/>
  <c r="F111" i="19"/>
  <c r="E38" i="16"/>
  <c r="F23" i="15"/>
  <c r="X13" i="44"/>
  <c r="O30" i="19"/>
  <c r="O71" i="20"/>
  <c r="J46" i="26"/>
  <c r="F9" i="44"/>
  <c r="E14" i="21"/>
  <c r="J39" i="26"/>
  <c r="K35" i="46"/>
  <c r="D73" i="20"/>
  <c r="F16" i="46"/>
  <c r="J19" i="50"/>
  <c r="Q64" i="46"/>
  <c r="P27" i="48"/>
  <c r="S82" i="15"/>
  <c r="H40" i="17"/>
  <c r="F78" i="16"/>
  <c r="P33" i="26"/>
  <c r="J71" i="17"/>
  <c r="U29" i="46"/>
  <c r="U67" i="16"/>
  <c r="Q40" i="48"/>
  <c r="R9" i="48"/>
  <c r="W17" i="16"/>
  <c r="D36" i="19"/>
  <c r="N30" i="26"/>
  <c r="N54" i="26"/>
  <c r="T64" i="16"/>
  <c r="S46" i="21"/>
  <c r="H38" i="21"/>
  <c r="N33" i="26"/>
  <c r="J37" i="16"/>
  <c r="J27" i="50"/>
  <c r="I54" i="19"/>
  <c r="E15" i="48"/>
  <c r="D104" i="20"/>
  <c r="D72" i="17"/>
  <c r="S9" i="50"/>
  <c r="X46" i="15"/>
  <c r="I113" i="19"/>
  <c r="G89" i="16"/>
  <c r="W11" i="48"/>
  <c r="D37" i="17"/>
  <c r="P72" i="20"/>
  <c r="E140" i="19"/>
  <c r="S70" i="15"/>
  <c r="V61" i="15"/>
  <c r="G37" i="50"/>
  <c r="R31" i="50"/>
  <c r="F87" i="20"/>
  <c r="J20" i="44"/>
  <c r="D46" i="17"/>
  <c r="H47" i="16"/>
  <c r="F34" i="20"/>
  <c r="D28" i="21"/>
  <c r="Q33" i="46"/>
  <c r="S34" i="21"/>
  <c r="H9" i="48"/>
  <c r="K38" i="46"/>
  <c r="J13" i="48"/>
  <c r="D35" i="21"/>
  <c r="K9" i="48"/>
  <c r="T37" i="26"/>
  <c r="E48" i="21"/>
  <c r="J39" i="16"/>
  <c r="J33" i="16" s="1"/>
  <c r="G25" i="21"/>
  <c r="V69" i="15"/>
  <c r="H49" i="19"/>
  <c r="O58" i="26"/>
  <c r="O86" i="15"/>
  <c r="J114" i="19"/>
  <c r="F63" i="15"/>
  <c r="H50" i="19"/>
  <c r="I122" i="19"/>
  <c r="G8" i="21"/>
  <c r="L28" i="48"/>
  <c r="H61" i="16"/>
  <c r="H69" i="17"/>
  <c r="O20" i="26"/>
  <c r="F60" i="17"/>
  <c r="O128" i="19"/>
  <c r="H85" i="20"/>
  <c r="X78" i="16"/>
  <c r="J58" i="26"/>
  <c r="G77" i="15"/>
  <c r="W33" i="48"/>
  <c r="G87" i="15"/>
  <c r="F121" i="19"/>
  <c r="G29" i="48"/>
  <c r="J27" i="19"/>
  <c r="K19" i="46"/>
  <c r="K16" i="46"/>
  <c r="I45" i="17"/>
  <c r="E22" i="20"/>
  <c r="X39" i="15"/>
  <c r="P28" i="50"/>
  <c r="T62" i="16"/>
  <c r="H20" i="26"/>
  <c r="G14" i="48"/>
  <c r="U58" i="46"/>
  <c r="O62" i="16"/>
  <c r="D42" i="16"/>
  <c r="Q50" i="21"/>
  <c r="U65" i="15"/>
  <c r="N23" i="26"/>
  <c r="F58" i="17"/>
  <c r="N63" i="16"/>
  <c r="D16" i="19"/>
  <c r="J17" i="46"/>
  <c r="S45" i="21"/>
  <c r="F39" i="26"/>
  <c r="W95" i="15"/>
  <c r="G25" i="26"/>
  <c r="Y34" i="26"/>
  <c r="Q121" i="46"/>
  <c r="S51" i="46"/>
  <c r="I97" i="15"/>
  <c r="D99" i="16"/>
  <c r="J30" i="48"/>
  <c r="G95" i="16"/>
  <c r="U52" i="16"/>
  <c r="J52" i="19"/>
  <c r="R15" i="19"/>
  <c r="T23" i="21"/>
  <c r="H58" i="19"/>
  <c r="T78" i="16"/>
  <c r="O33" i="19"/>
  <c r="P42" i="26"/>
  <c r="X59" i="16"/>
  <c r="K42" i="17"/>
  <c r="K47" i="48"/>
  <c r="K47" i="46"/>
  <c r="G62" i="20"/>
  <c r="H17" i="19"/>
  <c r="P12" i="20"/>
  <c r="F72" i="26"/>
  <c r="T53" i="46"/>
  <c r="V72" i="15"/>
  <c r="F37" i="21"/>
  <c r="S78" i="20"/>
  <c r="S31" i="19"/>
  <c r="Q70" i="20"/>
  <c r="G16" i="46"/>
  <c r="K61" i="46"/>
  <c r="O30" i="16"/>
  <c r="D93" i="20"/>
  <c r="D70" i="26"/>
  <c r="E38" i="50"/>
  <c r="E121" i="19"/>
  <c r="S108" i="20"/>
  <c r="D131" i="19"/>
  <c r="S54" i="16"/>
  <c r="K73" i="17"/>
  <c r="D9" i="26"/>
  <c r="T41" i="26"/>
  <c r="F134" i="19"/>
  <c r="P9" i="19"/>
  <c r="D45" i="20"/>
  <c r="E72" i="15"/>
  <c r="O12" i="20"/>
  <c r="F92" i="20"/>
  <c r="I61" i="46"/>
  <c r="R17" i="50"/>
  <c r="R103" i="20"/>
  <c r="E25" i="26"/>
  <c r="D49" i="15"/>
  <c r="Q30" i="26"/>
  <c r="E120" i="19"/>
  <c r="P121" i="46"/>
  <c r="F11" i="21"/>
  <c r="Q26" i="19"/>
  <c r="Q14" i="48"/>
  <c r="P16" i="20"/>
  <c r="H16" i="46"/>
  <c r="O75" i="26"/>
  <c r="R12" i="46"/>
  <c r="H47" i="17"/>
  <c r="R122" i="46"/>
  <c r="T7" i="15"/>
  <c r="I120" i="46"/>
  <c r="P82" i="15"/>
  <c r="P55" i="20"/>
  <c r="G110" i="19"/>
  <c r="S48" i="21"/>
  <c r="F36" i="16"/>
  <c r="Q81" i="46"/>
  <c r="D42" i="20"/>
  <c r="L27" i="48"/>
  <c r="P80" i="20"/>
  <c r="I124" i="19"/>
  <c r="I116" i="19"/>
  <c r="R119" i="19"/>
  <c r="I93" i="16"/>
  <c r="F11" i="46"/>
  <c r="I35" i="19"/>
  <c r="P14" i="19"/>
  <c r="U34" i="46"/>
  <c r="F60" i="46"/>
  <c r="I7" i="48"/>
  <c r="W28" i="48"/>
  <c r="G28" i="50"/>
  <c r="F8" i="15"/>
  <c r="H26" i="20"/>
  <c r="K61" i="17"/>
  <c r="D18" i="19"/>
  <c r="J28" i="21"/>
  <c r="S19" i="20"/>
  <c r="U76" i="16"/>
  <c r="V25" i="16"/>
  <c r="R11" i="50"/>
  <c r="J64" i="46"/>
  <c r="I34" i="21"/>
  <c r="G103" i="16"/>
  <c r="F57" i="46"/>
  <c r="V44" i="15"/>
  <c r="V55" i="15"/>
  <c r="I46" i="21"/>
  <c r="J7" i="21"/>
  <c r="G48" i="21"/>
  <c r="F49" i="20"/>
  <c r="D36" i="21"/>
  <c r="P46" i="46"/>
  <c r="O72" i="26"/>
  <c r="N11" i="26"/>
  <c r="J43" i="19"/>
  <c r="S57" i="16"/>
  <c r="S81" i="20"/>
  <c r="E76" i="26"/>
  <c r="Q71" i="46"/>
  <c r="H53" i="19"/>
  <c r="W16" i="16"/>
  <c r="K43" i="48"/>
  <c r="I100" i="16"/>
  <c r="E74" i="20"/>
  <c r="S124" i="19"/>
  <c r="S50" i="20"/>
  <c r="T51" i="46"/>
  <c r="O77" i="16"/>
  <c r="H54" i="26"/>
  <c r="F71" i="15"/>
  <c r="Q12" i="48"/>
  <c r="W10" i="48"/>
  <c r="K40" i="17"/>
  <c r="O59" i="26"/>
  <c r="P59" i="26" s="1"/>
  <c r="N55" i="16"/>
  <c r="F82" i="20"/>
  <c r="G33" i="48"/>
  <c r="H10" i="21"/>
  <c r="F90" i="16"/>
  <c r="H42" i="26"/>
  <c r="I7" i="21"/>
  <c r="W11" i="16"/>
  <c r="E71" i="20"/>
  <c r="E57" i="26"/>
  <c r="I37" i="20"/>
  <c r="E55" i="15"/>
  <c r="F17" i="50"/>
  <c r="D38" i="20"/>
  <c r="R123" i="46"/>
  <c r="F47" i="19"/>
  <c r="H78" i="15"/>
  <c r="D36" i="20"/>
  <c r="K80" i="15"/>
  <c r="H13" i="50"/>
  <c r="T55" i="16"/>
  <c r="Y36" i="26"/>
  <c r="H8" i="46"/>
  <c r="G107" i="19"/>
  <c r="I48" i="46"/>
  <c r="E65" i="26"/>
  <c r="U23" i="46"/>
  <c r="D16" i="20"/>
  <c r="D34" i="19"/>
  <c r="U70" i="16"/>
  <c r="I50" i="19"/>
  <c r="G60" i="26"/>
  <c r="E52" i="16"/>
  <c r="G41" i="46"/>
  <c r="E61" i="20"/>
  <c r="R125" i="46"/>
  <c r="Y37" i="26"/>
  <c r="H80" i="20"/>
  <c r="G48" i="16"/>
  <c r="S62" i="17"/>
  <c r="E10" i="20"/>
  <c r="J55" i="19"/>
  <c r="Z36" i="26"/>
  <c r="I60" i="16"/>
  <c r="F70" i="17"/>
  <c r="E37" i="19"/>
  <c r="H131" i="19"/>
  <c r="Q60" i="15"/>
  <c r="X8" i="44"/>
  <c r="E43" i="48"/>
  <c r="I20" i="26"/>
  <c r="F67" i="17"/>
  <c r="I51" i="19"/>
  <c r="Y51" i="15"/>
  <c r="P27" i="19"/>
  <c r="H63" i="26"/>
  <c r="J43" i="46"/>
  <c r="F20" i="50"/>
  <c r="F15" i="46"/>
  <c r="O57" i="16"/>
  <c r="P55" i="15"/>
  <c r="Q38" i="48"/>
  <c r="T44" i="21"/>
  <c r="U25" i="46"/>
  <c r="F13" i="15"/>
  <c r="O11" i="20"/>
  <c r="G40" i="17"/>
  <c r="E44" i="48"/>
  <c r="H43" i="46"/>
  <c r="E66" i="20"/>
  <c r="AA46" i="26"/>
  <c r="H37" i="21"/>
  <c r="Y39" i="26"/>
  <c r="H77" i="15"/>
  <c r="E63" i="15"/>
  <c r="I69" i="46"/>
  <c r="N78" i="16"/>
  <c r="G23" i="26"/>
  <c r="J63" i="15"/>
  <c r="R113" i="19"/>
  <c r="I70" i="46"/>
  <c r="D39" i="19"/>
  <c r="J110" i="19"/>
  <c r="Q47" i="46"/>
  <c r="E16" i="50"/>
  <c r="J53" i="16"/>
  <c r="T7" i="21"/>
  <c r="K37" i="17"/>
  <c r="F25" i="48"/>
  <c r="H90" i="16"/>
  <c r="F27" i="46"/>
  <c r="V54" i="15"/>
  <c r="J31" i="46"/>
  <c r="Y93" i="15"/>
  <c r="J82" i="15"/>
  <c r="H52" i="15"/>
  <c r="Q41" i="48"/>
  <c r="S21" i="20"/>
  <c r="I27" i="21"/>
  <c r="S135" i="19"/>
  <c r="Q41" i="21"/>
  <c r="S61" i="20"/>
  <c r="P39" i="20"/>
  <c r="S112" i="19"/>
  <c r="K34" i="46"/>
  <c r="R33" i="50"/>
  <c r="J62" i="46"/>
  <c r="F45" i="21"/>
  <c r="O18" i="26"/>
  <c r="E15" i="44"/>
  <c r="F33" i="50"/>
  <c r="E96" i="16"/>
  <c r="T39" i="21"/>
  <c r="H129" i="19"/>
  <c r="U13" i="46"/>
  <c r="E13" i="44"/>
  <c r="P18" i="46"/>
  <c r="G93" i="16"/>
  <c r="T56" i="15"/>
  <c r="F17" i="19"/>
  <c r="F43" i="26"/>
  <c r="I19" i="44"/>
  <c r="G48" i="20"/>
  <c r="T84" i="15"/>
  <c r="J107" i="19"/>
  <c r="J74" i="26"/>
  <c r="G50" i="15"/>
  <c r="U67" i="15"/>
  <c r="S56" i="20"/>
  <c r="Q88" i="46"/>
  <c r="P51" i="19"/>
  <c r="V77" i="15"/>
  <c r="J97" i="16"/>
  <c r="D74" i="26"/>
  <c r="E126" i="19"/>
  <c r="S47" i="46"/>
  <c r="Q38" i="26"/>
  <c r="X101" i="16"/>
  <c r="I32" i="26"/>
  <c r="U67" i="46"/>
  <c r="T73" i="46"/>
  <c r="P71" i="15"/>
  <c r="G35" i="21"/>
  <c r="J48" i="16"/>
  <c r="J60" i="26"/>
  <c r="D100" i="20"/>
  <c r="H21" i="50"/>
  <c r="I30" i="46"/>
  <c r="D48" i="16"/>
  <c r="O67" i="20"/>
  <c r="I18" i="20"/>
  <c r="G62" i="17"/>
  <c r="K66" i="46"/>
  <c r="G65" i="16"/>
  <c r="O26" i="20"/>
  <c r="O56" i="15"/>
  <c r="F84" i="16"/>
  <c r="I33" i="20"/>
  <c r="D31" i="50"/>
  <c r="O70" i="26"/>
  <c r="J77" i="46"/>
  <c r="O70" i="15"/>
  <c r="P14" i="46"/>
  <c r="Y78" i="15"/>
  <c r="J54" i="16"/>
  <c r="G52" i="19"/>
  <c r="D64" i="20"/>
  <c r="I32" i="20"/>
  <c r="D105" i="20"/>
  <c r="S96" i="15"/>
  <c r="E36" i="20"/>
  <c r="D61" i="17"/>
  <c r="G60" i="17"/>
  <c r="S15" i="20"/>
  <c r="G46" i="46"/>
  <c r="J22" i="21"/>
  <c r="H24" i="50"/>
  <c r="E10" i="26"/>
  <c r="J80" i="46"/>
  <c r="I8" i="19"/>
  <c r="H24" i="19"/>
  <c r="W29" i="26"/>
  <c r="F83" i="20"/>
  <c r="R38" i="26"/>
  <c r="G39" i="26"/>
  <c r="P55" i="46"/>
  <c r="E19" i="44"/>
  <c r="P22" i="19"/>
  <c r="S63" i="16"/>
  <c r="T8" i="46"/>
  <c r="J88" i="46"/>
  <c r="J71" i="16"/>
  <c r="X31" i="15"/>
  <c r="J81" i="16"/>
  <c r="F135" i="19"/>
  <c r="R12" i="50"/>
  <c r="G113" i="19"/>
  <c r="I21" i="44"/>
  <c r="I82" i="15"/>
  <c r="E26" i="48"/>
  <c r="J11" i="19"/>
  <c r="G72" i="26"/>
  <c r="X39" i="26"/>
  <c r="J43" i="16"/>
  <c r="Q77" i="15"/>
  <c r="E43" i="16"/>
  <c r="S113" i="20"/>
  <c r="I25" i="20"/>
  <c r="G58" i="17"/>
  <c r="F96" i="15"/>
  <c r="P96" i="15" s="1"/>
  <c r="D110" i="20"/>
  <c r="G78" i="15"/>
  <c r="J75" i="26"/>
  <c r="D44" i="19"/>
  <c r="P29" i="20"/>
  <c r="D78" i="16"/>
  <c r="G81" i="15"/>
  <c r="H18" i="20"/>
  <c r="D81" i="16"/>
  <c r="K70" i="17"/>
  <c r="S28" i="21"/>
  <c r="K64" i="46"/>
  <c r="D112" i="20"/>
  <c r="S107" i="20"/>
  <c r="O81" i="26"/>
  <c r="F21" i="20"/>
  <c r="E139" i="19"/>
  <c r="G98" i="16"/>
  <c r="D90" i="15"/>
  <c r="Q79" i="46"/>
  <c r="G37" i="17"/>
  <c r="E29" i="48"/>
  <c r="E71" i="16"/>
  <c r="I13" i="44"/>
  <c r="K77" i="15"/>
  <c r="K81" i="15"/>
  <c r="E29" i="20"/>
  <c r="P43" i="46"/>
  <c r="F26" i="16"/>
  <c r="D18" i="20"/>
  <c r="I7" i="19"/>
  <c r="S23" i="20"/>
  <c r="H23" i="44"/>
  <c r="E31" i="19"/>
  <c r="X84" i="16"/>
  <c r="I39" i="26"/>
  <c r="S22" i="19"/>
  <c r="S103" i="20"/>
  <c r="J63" i="16"/>
  <c r="Q19" i="46"/>
  <c r="O56" i="19"/>
  <c r="P49" i="46"/>
  <c r="E60" i="15"/>
  <c r="F22" i="21"/>
  <c r="G25" i="48"/>
  <c r="F99" i="20"/>
  <c r="D24" i="21"/>
  <c r="Q27" i="48"/>
  <c r="E46" i="17"/>
  <c r="Q64" i="15"/>
  <c r="F16" i="26"/>
  <c r="G57" i="17"/>
  <c r="F75" i="20"/>
  <c r="F12" i="50"/>
  <c r="F53" i="46"/>
  <c r="H48" i="21"/>
  <c r="E8" i="44"/>
  <c r="F9" i="46"/>
  <c r="Q85" i="15"/>
  <c r="J80" i="16"/>
  <c r="Q35" i="46"/>
  <c r="Y27" i="15"/>
  <c r="F72" i="46"/>
  <c r="S55" i="16"/>
  <c r="G17" i="48"/>
  <c r="S12" i="50"/>
  <c r="H20" i="20"/>
  <c r="E142" i="19"/>
  <c r="P27" i="50"/>
  <c r="E48" i="16"/>
  <c r="I23" i="19"/>
  <c r="Y86" i="15"/>
  <c r="F108" i="19"/>
  <c r="S78" i="16"/>
  <c r="J19" i="19"/>
  <c r="F80" i="26"/>
  <c r="Q42" i="48"/>
  <c r="E77" i="26"/>
  <c r="S23" i="21"/>
  <c r="G69" i="20"/>
  <c r="F63" i="20"/>
  <c r="H45" i="20"/>
  <c r="N45" i="26"/>
  <c r="K82" i="15"/>
  <c r="S74" i="46"/>
  <c r="H40" i="48"/>
  <c r="E112" i="20"/>
  <c r="E60" i="20"/>
  <c r="O72" i="16"/>
  <c r="G126" i="46"/>
  <c r="P7" i="48"/>
  <c r="G30" i="50"/>
  <c r="L42" i="48"/>
  <c r="J60" i="17"/>
  <c r="F46" i="48"/>
  <c r="K83" i="46"/>
  <c r="D85" i="20"/>
  <c r="F39" i="16"/>
  <c r="F33" i="16" s="1"/>
  <c r="G16" i="50"/>
  <c r="X17" i="16"/>
  <c r="D13" i="21"/>
  <c r="H13" i="48"/>
  <c r="P37" i="26"/>
  <c r="D139" i="19"/>
  <c r="H13" i="19"/>
  <c r="G137" i="19"/>
  <c r="P102" i="20"/>
  <c r="I21" i="20"/>
  <c r="F55" i="26"/>
  <c r="H125" i="19"/>
  <c r="P58" i="16"/>
  <c r="R127" i="46"/>
  <c r="Q78" i="15"/>
  <c r="G59" i="15"/>
  <c r="K31" i="46"/>
  <c r="I88" i="16"/>
  <c r="O25" i="26"/>
  <c r="F82" i="15"/>
  <c r="I115" i="19"/>
  <c r="F68" i="20"/>
  <c r="H28" i="48"/>
  <c r="P29" i="50"/>
  <c r="G72" i="46"/>
  <c r="F32" i="19"/>
  <c r="S72" i="46"/>
  <c r="D27" i="19"/>
  <c r="S50" i="15"/>
  <c r="J51" i="15"/>
  <c r="T70" i="46"/>
  <c r="D25" i="26"/>
  <c r="I56" i="20"/>
  <c r="P67" i="46"/>
  <c r="U19" i="46"/>
  <c r="F93" i="15"/>
  <c r="P93" i="15" s="1"/>
  <c r="G41" i="17"/>
  <c r="F38" i="19"/>
  <c r="G128" i="19"/>
  <c r="T82" i="15"/>
  <c r="V65" i="15"/>
  <c r="L17" i="48"/>
  <c r="D56" i="15"/>
  <c r="E7" i="50"/>
  <c r="I44" i="17"/>
  <c r="J50" i="15"/>
  <c r="F79" i="26"/>
  <c r="R102" i="20"/>
  <c r="E90" i="16"/>
  <c r="R46" i="19"/>
  <c r="E69" i="17"/>
  <c r="D24" i="16"/>
  <c r="I30" i="48"/>
  <c r="G26" i="46"/>
  <c r="G12" i="20"/>
  <c r="S103" i="16"/>
  <c r="J135" i="19"/>
  <c r="G38" i="46"/>
  <c r="F40" i="20"/>
  <c r="S34" i="20"/>
  <c r="E40" i="19"/>
  <c r="J127" i="46"/>
  <c r="H16" i="26"/>
  <c r="F44" i="15"/>
  <c r="F20" i="16"/>
  <c r="H69" i="20"/>
  <c r="P103" i="20"/>
  <c r="S39" i="26"/>
  <c r="S93" i="16"/>
  <c r="K29" i="48"/>
  <c r="S79" i="20"/>
  <c r="I26" i="19"/>
  <c r="P10" i="19"/>
  <c r="F61" i="16"/>
  <c r="H23" i="50"/>
  <c r="H46" i="16"/>
  <c r="H30" i="16" s="1"/>
  <c r="G40" i="48"/>
  <c r="H110" i="19"/>
  <c r="Q45" i="15"/>
  <c r="D43" i="16"/>
  <c r="H25" i="46"/>
  <c r="V62" i="15"/>
  <c r="G80" i="20"/>
  <c r="T9" i="46"/>
  <c r="T29" i="21"/>
  <c r="E73" i="20"/>
  <c r="F59" i="16"/>
  <c r="H72" i="16"/>
  <c r="S101" i="16"/>
  <c r="Q36" i="26"/>
  <c r="H46" i="17"/>
  <c r="D7" i="19"/>
  <c r="E90" i="20"/>
  <c r="U61" i="46"/>
  <c r="T72" i="46"/>
  <c r="J102" i="16"/>
  <c r="S46" i="20"/>
  <c r="S23" i="50"/>
  <c r="I26" i="46"/>
  <c r="I121" i="19"/>
  <c r="J63" i="26"/>
  <c r="R81" i="46"/>
  <c r="F128" i="19"/>
  <c r="X66" i="16"/>
  <c r="D27" i="16"/>
  <c r="J58" i="46"/>
  <c r="S22" i="21"/>
  <c r="J16" i="48"/>
  <c r="F10" i="19"/>
  <c r="Q85" i="20"/>
  <c r="Q52" i="19"/>
  <c r="F15" i="19"/>
  <c r="F45" i="16"/>
  <c r="E32" i="50"/>
  <c r="R9" i="19"/>
  <c r="J22" i="19"/>
  <c r="Y77" i="15"/>
  <c r="G34" i="19"/>
  <c r="I34" i="50"/>
  <c r="S98" i="16"/>
  <c r="G17" i="19"/>
  <c r="I29" i="21"/>
  <c r="N63" i="26"/>
  <c r="F23" i="44"/>
  <c r="F45" i="19"/>
  <c r="S25" i="19"/>
  <c r="I19" i="20"/>
  <c r="I20" i="48"/>
  <c r="I25" i="26"/>
  <c r="J48" i="21"/>
  <c r="I42" i="48"/>
  <c r="O52" i="16"/>
  <c r="I73" i="46"/>
  <c r="T68" i="15"/>
  <c r="F10" i="15"/>
  <c r="H22" i="26"/>
  <c r="J52" i="15"/>
  <c r="D21" i="50"/>
  <c r="Q55" i="15"/>
  <c r="K21" i="48"/>
  <c r="K64" i="17"/>
  <c r="K30" i="48"/>
  <c r="H96" i="15"/>
  <c r="I20" i="20"/>
  <c r="G27" i="50"/>
  <c r="X81" i="16"/>
  <c r="J45" i="48"/>
  <c r="K80" i="46"/>
  <c r="P9" i="50"/>
  <c r="J42" i="21"/>
  <c r="J64" i="26"/>
  <c r="E15" i="26"/>
  <c r="G22" i="44"/>
  <c r="O29" i="20"/>
  <c r="R84" i="20"/>
  <c r="O67" i="16"/>
  <c r="G122" i="19"/>
  <c r="E24" i="20"/>
  <c r="V8" i="16"/>
  <c r="F119" i="46"/>
  <c r="J45" i="26"/>
  <c r="F26" i="19"/>
  <c r="P34" i="19"/>
  <c r="I76" i="15"/>
  <c r="H135" i="19"/>
  <c r="I38" i="21"/>
  <c r="I16" i="21"/>
  <c r="R71" i="20"/>
  <c r="F21" i="46"/>
  <c r="E136" i="19"/>
  <c r="Q11" i="19"/>
  <c r="R22" i="48"/>
  <c r="P60" i="15"/>
  <c r="H7" i="48"/>
  <c r="E67" i="20"/>
  <c r="D41" i="21"/>
  <c r="F70" i="20"/>
  <c r="D27" i="50"/>
  <c r="X30" i="26"/>
  <c r="U29" i="26"/>
  <c r="J51" i="19"/>
  <c r="I45" i="20"/>
  <c r="J18" i="48"/>
  <c r="F13" i="44"/>
  <c r="I48" i="20"/>
  <c r="H24" i="20"/>
  <c r="S50" i="21"/>
  <c r="G116" i="19"/>
  <c r="S111" i="19"/>
  <c r="I71" i="17"/>
  <c r="E69" i="16"/>
  <c r="F96" i="20"/>
  <c r="P71" i="20"/>
  <c r="E55" i="16"/>
  <c r="E97" i="16"/>
  <c r="G56" i="26"/>
  <c r="H26" i="46"/>
  <c r="Q73" i="20"/>
  <c r="R41" i="20"/>
  <c r="I16" i="50"/>
  <c r="G126" i="19"/>
  <c r="F28" i="21"/>
  <c r="R11" i="48"/>
  <c r="D30" i="19"/>
  <c r="H52" i="20"/>
  <c r="G131" i="19"/>
  <c r="K72" i="17"/>
  <c r="G23" i="19"/>
  <c r="J112" i="19"/>
  <c r="S86" i="15"/>
  <c r="I28" i="21"/>
  <c r="K43" i="17"/>
  <c r="G32" i="20"/>
  <c r="G11" i="20"/>
  <c r="E14" i="20"/>
  <c r="R76" i="46"/>
  <c r="J19" i="21"/>
  <c r="G63" i="26"/>
  <c r="F59" i="26"/>
  <c r="Z9" i="44"/>
  <c r="S46" i="19"/>
  <c r="Q32" i="26"/>
  <c r="V66" i="15"/>
  <c r="W97" i="15"/>
  <c r="H18" i="46"/>
  <c r="J24" i="26"/>
  <c r="F42" i="20"/>
  <c r="AA31" i="26"/>
  <c r="I21" i="50"/>
  <c r="S34" i="50"/>
  <c r="D78" i="20"/>
  <c r="D37" i="21"/>
  <c r="F54" i="19"/>
  <c r="E58" i="26"/>
  <c r="H9" i="19"/>
  <c r="H34" i="26"/>
  <c r="I127" i="19"/>
  <c r="G124" i="19"/>
  <c r="Q30" i="48"/>
  <c r="E15" i="21"/>
  <c r="Q28" i="21"/>
  <c r="W9" i="44"/>
  <c r="O61" i="26"/>
  <c r="E17" i="26"/>
  <c r="F136" i="19"/>
  <c r="X8" i="16"/>
  <c r="J41" i="21"/>
  <c r="V9" i="44"/>
  <c r="F95" i="20"/>
  <c r="H38" i="16"/>
  <c r="O22" i="26"/>
  <c r="D136" i="19"/>
  <c r="S74" i="16"/>
  <c r="J10" i="48"/>
  <c r="X33" i="15"/>
  <c r="F76" i="20"/>
  <c r="Q56" i="19"/>
  <c r="Q63" i="15"/>
  <c r="E56" i="15"/>
  <c r="J32" i="26"/>
  <c r="F61" i="20"/>
  <c r="F67" i="16"/>
  <c r="P125" i="19"/>
  <c r="H73" i="20"/>
  <c r="H65" i="16"/>
  <c r="H55" i="26"/>
  <c r="V34" i="26"/>
  <c r="J14" i="21"/>
  <c r="N70" i="26"/>
  <c r="E44" i="21"/>
  <c r="J48" i="19"/>
  <c r="I17" i="50"/>
  <c r="H33" i="19"/>
  <c r="D24" i="19"/>
  <c r="J121" i="19"/>
  <c r="F35" i="21"/>
  <c r="Q12" i="20"/>
  <c r="S38" i="21"/>
  <c r="P41" i="20"/>
  <c r="P77" i="20"/>
  <c r="H29" i="26"/>
  <c r="E56" i="26"/>
  <c r="P71" i="46"/>
  <c r="I64" i="26"/>
  <c r="P41" i="19"/>
  <c r="K12" i="46"/>
  <c r="D35" i="50"/>
  <c r="J50" i="21"/>
  <c r="G94" i="15"/>
  <c r="Q94" i="15" s="1"/>
  <c r="H44" i="46"/>
  <c r="I43" i="48"/>
  <c r="J22" i="46"/>
  <c r="Q68" i="46"/>
  <c r="D34" i="20"/>
  <c r="D75" i="20"/>
  <c r="G37" i="19"/>
  <c r="Q30" i="19"/>
  <c r="S47" i="19"/>
  <c r="Q54" i="21"/>
  <c r="G47" i="21"/>
  <c r="E53" i="19"/>
  <c r="P71" i="16"/>
  <c r="H19" i="26"/>
  <c r="F37" i="17"/>
  <c r="I58" i="16"/>
  <c r="D96" i="20"/>
  <c r="G35" i="50"/>
  <c r="F29" i="26"/>
  <c r="J54" i="19"/>
  <c r="Q86" i="15"/>
  <c r="AA41" i="26"/>
  <c r="T18" i="21"/>
  <c r="P54" i="16"/>
  <c r="G35" i="20"/>
  <c r="R18" i="50"/>
  <c r="E43" i="17"/>
  <c r="F15" i="48"/>
  <c r="F19" i="26"/>
  <c r="J7" i="44"/>
  <c r="P54" i="19"/>
  <c r="K28" i="46"/>
  <c r="J59" i="15"/>
  <c r="G57" i="19"/>
  <c r="G8" i="26"/>
  <c r="I80" i="16"/>
  <c r="I77" i="26"/>
  <c r="G19" i="46"/>
  <c r="D66" i="17"/>
  <c r="F16" i="21"/>
  <c r="J64" i="17"/>
  <c r="E56" i="19"/>
  <c r="R41" i="46"/>
  <c r="H38" i="20"/>
  <c r="Q23" i="46"/>
  <c r="N20" i="26"/>
  <c r="J70" i="46"/>
  <c r="H58" i="46"/>
  <c r="S37" i="26"/>
  <c r="S126" i="19"/>
  <c r="S52" i="46"/>
  <c r="P26" i="19"/>
  <c r="E44" i="16"/>
  <c r="P61" i="15"/>
  <c r="P44" i="48"/>
  <c r="T24" i="21"/>
  <c r="H79" i="20"/>
  <c r="R86" i="20"/>
  <c r="H21" i="46"/>
  <c r="X34" i="15"/>
  <c r="O73" i="16"/>
  <c r="J65" i="46"/>
  <c r="F14" i="20"/>
  <c r="E109" i="19"/>
  <c r="H47" i="21"/>
  <c r="I61" i="15"/>
  <c r="R98" i="20"/>
  <c r="F18" i="15"/>
  <c r="J12" i="50"/>
  <c r="O17" i="20"/>
  <c r="S53" i="16"/>
  <c r="G39" i="21"/>
  <c r="D100" i="16"/>
  <c r="S33" i="19"/>
  <c r="S8" i="21"/>
  <c r="H85" i="15"/>
  <c r="F30" i="19"/>
  <c r="I35" i="50"/>
  <c r="F120" i="19"/>
  <c r="V76" i="15"/>
  <c r="Q18" i="48"/>
  <c r="J55" i="16"/>
  <c r="P48" i="19"/>
  <c r="D51" i="15"/>
  <c r="U41" i="26"/>
  <c r="J40" i="48"/>
  <c r="F7" i="19"/>
  <c r="S99" i="20"/>
  <c r="F41" i="20"/>
  <c r="R23" i="20"/>
  <c r="N19" i="26"/>
  <c r="X42" i="16"/>
  <c r="G43" i="48"/>
  <c r="K37" i="46"/>
  <c r="S65" i="20"/>
  <c r="H134" i="19"/>
  <c r="T49" i="15"/>
  <c r="G16" i="21"/>
  <c r="H57" i="26"/>
  <c r="Q128" i="46"/>
  <c r="N52" i="16"/>
  <c r="P52" i="20"/>
  <c r="E29" i="50"/>
  <c r="H83" i="15"/>
  <c r="S14" i="20"/>
  <c r="G69" i="16"/>
  <c r="F47" i="15"/>
  <c r="K44" i="48"/>
  <c r="S44" i="16"/>
  <c r="E80" i="20"/>
  <c r="X36" i="15"/>
  <c r="P86" i="20"/>
  <c r="H88" i="16"/>
  <c r="F21" i="48"/>
  <c r="T75" i="16"/>
  <c r="H40" i="21"/>
  <c r="P95" i="20"/>
  <c r="H56" i="20"/>
  <c r="I41" i="46"/>
  <c r="F8" i="46"/>
  <c r="E123" i="19"/>
  <c r="E56" i="20"/>
  <c r="F40" i="48"/>
  <c r="I48" i="21"/>
  <c r="D92" i="15"/>
  <c r="F71" i="20"/>
  <c r="G70" i="26"/>
  <c r="T85" i="15"/>
  <c r="H22" i="21"/>
  <c r="I6" i="46"/>
  <c r="R23" i="50"/>
  <c r="O65" i="16"/>
  <c r="I7" i="20"/>
  <c r="I17" i="20"/>
  <c r="X50" i="15"/>
  <c r="I89" i="15"/>
  <c r="H22" i="19"/>
  <c r="N80" i="26"/>
  <c r="I118" i="19"/>
  <c r="G8" i="46"/>
  <c r="D11" i="21"/>
  <c r="F94" i="16"/>
  <c r="S55" i="21"/>
  <c r="E29" i="16"/>
  <c r="E54" i="17"/>
  <c r="J10" i="26"/>
  <c r="G29" i="50"/>
  <c r="F30" i="20"/>
  <c r="I7" i="44"/>
  <c r="F141" i="19"/>
  <c r="J35" i="19"/>
  <c r="P32" i="19"/>
  <c r="G52" i="15"/>
  <c r="F54" i="20"/>
  <c r="S44" i="21"/>
  <c r="J37" i="50"/>
  <c r="G56" i="20"/>
  <c r="Y82" i="15"/>
  <c r="P81" i="20"/>
  <c r="E53" i="20"/>
  <c r="Q60" i="46"/>
  <c r="S19" i="50"/>
  <c r="Q42" i="19"/>
  <c r="I71" i="46"/>
  <c r="I13" i="19"/>
  <c r="E36" i="21"/>
  <c r="F69" i="16"/>
  <c r="J49" i="15"/>
  <c r="AA14" i="44"/>
  <c r="S24" i="19"/>
  <c r="G67" i="46"/>
  <c r="J8" i="19"/>
  <c r="F108" i="20"/>
  <c r="AA7" i="44"/>
  <c r="H43" i="21"/>
  <c r="G64" i="17"/>
  <c r="J54" i="26"/>
  <c r="G18" i="21"/>
  <c r="I65" i="17"/>
  <c r="J87" i="46"/>
  <c r="O22" i="19"/>
  <c r="G70" i="15"/>
  <c r="U8" i="46"/>
  <c r="T38" i="15"/>
  <c r="P40" i="46"/>
  <c r="F7" i="15"/>
  <c r="J68" i="46"/>
  <c r="I93" i="15"/>
  <c r="J7" i="50"/>
  <c r="P26" i="46"/>
  <c r="I56" i="26"/>
  <c r="G17" i="26"/>
  <c r="H93" i="15"/>
  <c r="G38" i="26"/>
  <c r="K69" i="17"/>
  <c r="J45" i="15"/>
  <c r="F78" i="26"/>
  <c r="G62" i="15"/>
  <c r="X85" i="16"/>
  <c r="P17" i="46"/>
  <c r="Q69" i="20"/>
  <c r="P31" i="50"/>
  <c r="J33" i="50"/>
  <c r="E19" i="19"/>
  <c r="G32" i="26"/>
  <c r="D55" i="15"/>
  <c r="R52" i="20"/>
  <c r="H62" i="20"/>
  <c r="H63" i="46"/>
  <c r="F56" i="17"/>
  <c r="H38" i="19"/>
  <c r="S85" i="20"/>
  <c r="U64" i="16"/>
  <c r="G47" i="46"/>
  <c r="G16" i="26"/>
  <c r="P47" i="48"/>
  <c r="F63" i="46"/>
  <c r="H61" i="26"/>
  <c r="I62" i="46"/>
  <c r="F41" i="26"/>
  <c r="D49" i="21"/>
  <c r="D17" i="50"/>
  <c r="W43" i="16"/>
  <c r="O87" i="20"/>
  <c r="J15" i="21"/>
  <c r="H34" i="46"/>
  <c r="J91" i="16"/>
  <c r="I60" i="15"/>
  <c r="S74" i="20"/>
  <c r="K84" i="15"/>
  <c r="E28" i="21"/>
  <c r="F91" i="16"/>
  <c r="G78" i="20"/>
  <c r="O69" i="16"/>
  <c r="S115" i="19"/>
  <c r="H19" i="48"/>
  <c r="H24" i="21"/>
  <c r="P80" i="15"/>
  <c r="F73" i="17"/>
  <c r="O51" i="19"/>
  <c r="F85" i="46"/>
  <c r="H75" i="46"/>
  <c r="D9" i="16"/>
  <c r="D7" i="20"/>
  <c r="X60" i="16"/>
  <c r="O10" i="20"/>
  <c r="S58" i="16"/>
  <c r="E22" i="26"/>
  <c r="D61" i="26"/>
  <c r="R87" i="46"/>
  <c r="J69" i="16"/>
  <c r="S20" i="20"/>
  <c r="S30" i="26"/>
  <c r="R33" i="19"/>
  <c r="D95" i="15"/>
  <c r="G26" i="19"/>
  <c r="S21" i="19"/>
  <c r="Q15" i="21"/>
  <c r="T69" i="15"/>
  <c r="I7" i="46"/>
  <c r="K41" i="17"/>
  <c r="D71" i="26"/>
  <c r="R19" i="48"/>
  <c r="E67" i="17"/>
  <c r="E113" i="19"/>
  <c r="E10" i="19"/>
  <c r="P10" i="48"/>
  <c r="G55" i="20"/>
  <c r="Y64" i="15"/>
  <c r="H12" i="48"/>
  <c r="I23" i="20"/>
  <c r="E50" i="20"/>
  <c r="K8" i="44"/>
  <c r="G47" i="20"/>
  <c r="I51" i="46"/>
  <c r="D38" i="50"/>
  <c r="U71" i="46"/>
  <c r="O74" i="20"/>
  <c r="I112" i="19"/>
  <c r="F19" i="19"/>
  <c r="F41" i="15"/>
  <c r="J52" i="16"/>
  <c r="T16" i="21"/>
  <c r="P17" i="50"/>
  <c r="V15" i="44"/>
  <c r="Q117" i="46"/>
  <c r="S55" i="15"/>
  <c r="Z33" i="26"/>
  <c r="H39" i="20"/>
  <c r="G39" i="16"/>
  <c r="G33" i="16" s="1"/>
  <c r="T43" i="46"/>
  <c r="J79" i="26"/>
  <c r="H60" i="26"/>
  <c r="I64" i="17"/>
  <c r="F8" i="21"/>
  <c r="I62" i="17"/>
  <c r="S8" i="19"/>
  <c r="H38" i="46"/>
  <c r="Q25" i="46"/>
  <c r="Q58" i="19"/>
  <c r="P52" i="19"/>
  <c r="X38" i="15"/>
  <c r="Y34" i="15"/>
  <c r="K45" i="46"/>
  <c r="T28" i="21"/>
  <c r="K16" i="48"/>
  <c r="Y60" i="15"/>
  <c r="E87" i="20"/>
  <c r="E9" i="21"/>
  <c r="S107" i="19"/>
  <c r="S38" i="19"/>
  <c r="N10" i="26"/>
  <c r="N7" i="26" s="1"/>
  <c r="P16" i="50"/>
  <c r="K9" i="44"/>
  <c r="R17" i="19"/>
  <c r="G7" i="46"/>
  <c r="Q15" i="19"/>
  <c r="P109" i="19"/>
  <c r="X7" i="44"/>
  <c r="G44" i="20"/>
  <c r="E27" i="19"/>
  <c r="U41" i="46"/>
  <c r="J65" i="15"/>
  <c r="Q24" i="19"/>
  <c r="P122" i="19"/>
  <c r="J63" i="17"/>
  <c r="I70" i="16"/>
  <c r="Y67" i="15"/>
  <c r="Q73" i="15"/>
  <c r="U47" i="46"/>
  <c r="H54" i="16"/>
  <c r="G15" i="20"/>
  <c r="G20" i="26"/>
  <c r="P67" i="15"/>
  <c r="H115" i="19"/>
  <c r="H55" i="19"/>
  <c r="O52" i="19"/>
  <c r="I20" i="19"/>
  <c r="V87" i="15"/>
  <c r="D72" i="20"/>
  <c r="I38" i="16"/>
  <c r="G46" i="17"/>
  <c r="W19" i="48"/>
  <c r="O78" i="20"/>
  <c r="E28" i="20"/>
  <c r="H26" i="48"/>
  <c r="H54" i="20"/>
  <c r="F80" i="16"/>
  <c r="O72" i="20"/>
  <c r="F24" i="15"/>
  <c r="K92" i="15"/>
  <c r="U11" i="46"/>
  <c r="H59" i="17"/>
  <c r="G45" i="48"/>
  <c r="E47" i="17"/>
  <c r="H39" i="26"/>
  <c r="F21" i="44"/>
  <c r="D25" i="20"/>
  <c r="W15" i="16"/>
  <c r="G52" i="46"/>
  <c r="T63" i="15"/>
  <c r="F115" i="19"/>
  <c r="U26" i="46"/>
  <c r="E82" i="15"/>
  <c r="J56" i="46"/>
  <c r="G21" i="48"/>
  <c r="J45" i="19"/>
  <c r="H60" i="46"/>
  <c r="S14" i="50"/>
  <c r="I37" i="17"/>
  <c r="K68" i="46"/>
  <c r="F45" i="20"/>
  <c r="E44" i="19"/>
  <c r="K61" i="15"/>
  <c r="X33" i="26"/>
  <c r="F48" i="19"/>
  <c r="G67" i="16"/>
  <c r="G109" i="19"/>
  <c r="I49" i="19"/>
  <c r="I87" i="16"/>
  <c r="H15" i="46"/>
  <c r="P12" i="19"/>
  <c r="J47" i="16"/>
  <c r="I36" i="16"/>
  <c r="F19" i="21"/>
  <c r="I14" i="20"/>
  <c r="R37" i="20"/>
  <c r="S97" i="15"/>
  <c r="K62" i="15"/>
  <c r="I78" i="26"/>
  <c r="J81" i="15"/>
  <c r="F18" i="46"/>
  <c r="Q125" i="46"/>
  <c r="E58" i="19"/>
  <c r="E25" i="48"/>
  <c r="J66" i="16"/>
  <c r="F76" i="26"/>
  <c r="S90" i="16"/>
  <c r="G49" i="19"/>
  <c r="G38" i="19"/>
  <c r="F51" i="19"/>
  <c r="O122" i="19"/>
  <c r="I37" i="48"/>
  <c r="E9" i="44"/>
  <c r="E92" i="20"/>
  <c r="K6" i="15"/>
  <c r="P62" i="46"/>
  <c r="O32" i="16"/>
  <c r="P28" i="20"/>
  <c r="E141" i="19"/>
  <c r="F89" i="20"/>
  <c r="S64" i="17"/>
  <c r="J42" i="26"/>
  <c r="I60" i="26"/>
  <c r="I43" i="16"/>
  <c r="E39" i="21"/>
  <c r="H22" i="48"/>
  <c r="P72" i="15"/>
  <c r="J38" i="19"/>
  <c r="R28" i="20"/>
  <c r="G31" i="19"/>
  <c r="P33" i="50"/>
  <c r="Q22" i="48"/>
  <c r="R118" i="19"/>
  <c r="O53" i="15"/>
  <c r="Q61" i="46"/>
  <c r="N16" i="26"/>
  <c r="F70" i="26"/>
  <c r="V30" i="26"/>
  <c r="E12" i="19"/>
  <c r="G139" i="19"/>
  <c r="S80" i="20"/>
  <c r="I28" i="46"/>
  <c r="G65" i="46"/>
  <c r="K54" i="17"/>
  <c r="O75" i="16"/>
  <c r="Q40" i="46"/>
  <c r="L38" i="48"/>
  <c r="U14" i="46"/>
  <c r="O73" i="26"/>
  <c r="N76" i="16"/>
  <c r="G18" i="26"/>
  <c r="V80" i="15"/>
  <c r="S34" i="19"/>
  <c r="J53" i="15"/>
  <c r="H39" i="48"/>
  <c r="H11" i="46"/>
  <c r="G64" i="20"/>
  <c r="H18" i="21"/>
  <c r="P13" i="48"/>
  <c r="P44" i="19"/>
  <c r="Z32" i="26"/>
  <c r="R47" i="17"/>
  <c r="J42" i="16"/>
  <c r="E70" i="20"/>
  <c r="W27" i="16"/>
  <c r="D96" i="15"/>
  <c r="G51" i="21"/>
  <c r="H76" i="20"/>
  <c r="G90" i="16"/>
  <c r="D24" i="20"/>
  <c r="H49" i="20"/>
  <c r="P22" i="50"/>
  <c r="D110" i="19"/>
  <c r="O72" i="15"/>
  <c r="K45" i="15"/>
  <c r="D20" i="26"/>
  <c r="Q44" i="19"/>
  <c r="I123" i="19"/>
  <c r="O9" i="19"/>
  <c r="H73" i="17"/>
  <c r="H50" i="20"/>
  <c r="G99" i="16"/>
  <c r="D80" i="20"/>
  <c r="Q40" i="21"/>
  <c r="J12" i="19"/>
  <c r="Q10" i="46"/>
  <c r="G36" i="50"/>
  <c r="F35" i="46"/>
  <c r="S69" i="20"/>
  <c r="H18" i="19"/>
  <c r="G6" i="15"/>
  <c r="F90" i="20"/>
  <c r="K73" i="46"/>
  <c r="E36" i="50"/>
  <c r="D9" i="20"/>
  <c r="D20" i="16"/>
  <c r="T38" i="46"/>
  <c r="I98" i="16"/>
  <c r="G55" i="26"/>
  <c r="H46" i="48"/>
  <c r="P124" i="46"/>
  <c r="D71" i="20"/>
  <c r="X90" i="16"/>
  <c r="D52" i="16"/>
  <c r="G136" i="19"/>
  <c r="F54" i="15"/>
  <c r="AA13" i="44"/>
  <c r="X100" i="16"/>
  <c r="G50" i="46"/>
  <c r="D25" i="21"/>
  <c r="I17" i="26"/>
  <c r="E64" i="17"/>
  <c r="X93" i="16"/>
  <c r="L12" i="48"/>
  <c r="I41" i="48"/>
  <c r="F33" i="19"/>
  <c r="D14" i="16"/>
  <c r="P25" i="19"/>
  <c r="G9" i="21"/>
  <c r="H41" i="26"/>
  <c r="E58" i="16"/>
  <c r="S60" i="17"/>
  <c r="R56" i="17"/>
  <c r="BM35" i="32"/>
  <c r="R44" i="17" a="1"/>
  <c r="S56" i="17" a="1"/>
  <c r="T48" i="15" l="1"/>
  <c r="H15" i="26"/>
  <c r="U93" i="15"/>
  <c r="D48" i="15"/>
  <c r="N74" i="20"/>
  <c r="P15" i="26"/>
  <c r="P25" i="26"/>
  <c r="P77" i="26"/>
  <c r="F15" i="26"/>
  <c r="N80" i="20"/>
  <c r="P16" i="26"/>
  <c r="G15" i="26"/>
  <c r="F15" i="15"/>
  <c r="X15" i="15" s="1"/>
  <c r="H13" i="26"/>
  <c r="G12" i="26"/>
  <c r="G41" i="16"/>
  <c r="I7" i="26"/>
  <c r="N67" i="20"/>
  <c r="N75" i="20"/>
  <c r="P79" i="26"/>
  <c r="N97" i="20"/>
  <c r="G31" i="16"/>
  <c r="P60" i="26"/>
  <c r="J30" i="16"/>
  <c r="N90" i="20"/>
  <c r="N99" i="20"/>
  <c r="N91" i="20"/>
  <c r="I48" i="15"/>
  <c r="J32" i="16"/>
  <c r="P72" i="26"/>
  <c r="P14" i="26"/>
  <c r="J11" i="26"/>
  <c r="P13" i="26"/>
  <c r="I13" i="26"/>
  <c r="N113" i="20"/>
  <c r="J13" i="26"/>
  <c r="N78" i="20"/>
  <c r="E30" i="16"/>
  <c r="H31" i="16"/>
  <c r="N66" i="26"/>
  <c r="F66" i="26"/>
  <c r="N70" i="20"/>
  <c r="N58" i="20"/>
  <c r="N62" i="20"/>
  <c r="N89" i="20"/>
  <c r="D50" i="26"/>
  <c r="S30" i="16"/>
  <c r="N65" i="20"/>
  <c r="P58" i="15"/>
  <c r="P80" i="26"/>
  <c r="G7" i="26"/>
  <c r="I32" i="16"/>
  <c r="N110" i="20"/>
  <c r="P57" i="26"/>
  <c r="O50" i="26"/>
  <c r="G13" i="26"/>
  <c r="E41" i="16"/>
  <c r="J75" i="15"/>
  <c r="K46" i="15"/>
  <c r="N66" i="20"/>
  <c r="D35" i="16"/>
  <c r="D41" i="16"/>
  <c r="N61" i="20"/>
  <c r="N63" i="20"/>
  <c r="E48" i="15"/>
  <c r="D7" i="26"/>
  <c r="I31" i="16"/>
  <c r="J46" i="15"/>
  <c r="H11" i="26"/>
  <c r="J31" i="16"/>
  <c r="E32" i="16"/>
  <c r="N60" i="20"/>
  <c r="P81" i="26"/>
  <c r="P18" i="26"/>
  <c r="N100" i="20"/>
  <c r="K58" i="15"/>
  <c r="P21" i="26"/>
  <c r="S31" i="16"/>
  <c r="X32" i="16"/>
  <c r="N72" i="20"/>
  <c r="P54" i="26"/>
  <c r="O75" i="15"/>
  <c r="I50" i="26"/>
  <c r="J15" i="26"/>
  <c r="S58" i="15"/>
  <c r="P76" i="26"/>
  <c r="F46" i="15"/>
  <c r="G48" i="15"/>
  <c r="N94" i="20"/>
  <c r="F48" i="15"/>
  <c r="S41" i="16"/>
  <c r="E50" i="26"/>
  <c r="N69" i="20"/>
  <c r="E7" i="26"/>
  <c r="R97" i="15"/>
  <c r="E31" i="16"/>
  <c r="F11" i="26"/>
  <c r="P62" i="26"/>
  <c r="N95" i="20"/>
  <c r="J58" i="15"/>
  <c r="K75" i="15"/>
  <c r="N106" i="20"/>
  <c r="H7" i="26"/>
  <c r="U75" i="15"/>
  <c r="J66" i="26"/>
  <c r="P75" i="15"/>
  <c r="N79" i="20"/>
  <c r="P78" i="26"/>
  <c r="Y58" i="15"/>
  <c r="X30" i="16"/>
  <c r="P65" i="26"/>
  <c r="F50" i="26"/>
  <c r="N92" i="20"/>
  <c r="F31" i="16"/>
  <c r="N68" i="20"/>
  <c r="N64" i="20"/>
  <c r="I35" i="16"/>
  <c r="P17" i="26"/>
  <c r="P20" i="26"/>
  <c r="F14" i="26"/>
  <c r="I41" i="16"/>
  <c r="F35" i="16"/>
  <c r="F7" i="26"/>
  <c r="F58" i="15"/>
  <c r="AA32" i="46"/>
  <c r="I75" i="15"/>
  <c r="AB32" i="46"/>
  <c r="P7" i="26"/>
  <c r="H41" i="16"/>
  <c r="N87" i="20"/>
  <c r="H46" i="15"/>
  <c r="J50" i="26"/>
  <c r="I66" i="26"/>
  <c r="P74" i="26"/>
  <c r="I14" i="26"/>
  <c r="N107" i="20"/>
  <c r="G35" i="16"/>
  <c r="N112" i="20"/>
  <c r="H58" i="15"/>
  <c r="T75" i="15"/>
  <c r="T58" i="15"/>
  <c r="N59" i="20"/>
  <c r="N104" i="20"/>
  <c r="AB13" i="46"/>
  <c r="R95" i="15"/>
  <c r="K48" i="15"/>
  <c r="G58" i="15"/>
  <c r="X35" i="16"/>
  <c r="P10" i="26"/>
  <c r="J41" i="16"/>
  <c r="H32" i="16"/>
  <c r="D31" i="16"/>
  <c r="P58" i="26"/>
  <c r="N86" i="20"/>
  <c r="I58" i="15"/>
  <c r="G11" i="26"/>
  <c r="E58" i="15"/>
  <c r="P70" i="26"/>
  <c r="H50" i="26"/>
  <c r="D66" i="26"/>
  <c r="J14" i="26"/>
  <c r="G14" i="26"/>
  <c r="N73" i="20"/>
  <c r="D30" i="16"/>
  <c r="Y75" i="15"/>
  <c r="E46" i="15"/>
  <c r="F13" i="26"/>
  <c r="N101" i="20"/>
  <c r="P19" i="26"/>
  <c r="N77" i="20"/>
  <c r="I11" i="26"/>
  <c r="F41" i="16"/>
  <c r="F32" i="16"/>
  <c r="P63" i="26"/>
  <c r="AB100" i="15"/>
  <c r="AB98" i="15"/>
  <c r="N84" i="20"/>
  <c r="S75" i="15"/>
  <c r="P61" i="26"/>
  <c r="N105" i="20"/>
  <c r="D46" i="15"/>
  <c r="J48" i="15"/>
  <c r="S32" i="16"/>
  <c r="H75" i="15"/>
  <c r="N82" i="20"/>
  <c r="F30" i="16"/>
  <c r="N50" i="26"/>
  <c r="N111" i="20"/>
  <c r="N93" i="20"/>
  <c r="F75" i="15"/>
  <c r="N98" i="20"/>
  <c r="P55" i="26"/>
  <c r="X41" i="16"/>
  <c r="G32" i="16"/>
  <c r="N103" i="20"/>
  <c r="AC32" i="46"/>
  <c r="O58" i="15"/>
  <c r="P64" i="26"/>
  <c r="E35" i="16"/>
  <c r="N108" i="20"/>
  <c r="N96" i="20"/>
  <c r="D32" i="16"/>
  <c r="P23" i="26"/>
  <c r="F12" i="26"/>
  <c r="G46" i="15"/>
  <c r="P75" i="26"/>
  <c r="N88" i="20"/>
  <c r="N102" i="20"/>
  <c r="J12" i="26"/>
  <c r="P22" i="26"/>
  <c r="N114" i="20"/>
  <c r="N85" i="20"/>
  <c r="I12" i="26"/>
  <c r="H35" i="16"/>
  <c r="H14" i="26"/>
  <c r="J35" i="16"/>
  <c r="G30" i="16"/>
  <c r="N83" i="20"/>
  <c r="J7" i="26"/>
  <c r="T46" i="15"/>
  <c r="E75" i="15"/>
  <c r="O66" i="26"/>
  <c r="S35" i="16"/>
  <c r="I30" i="16"/>
  <c r="N81" i="20"/>
  <c r="R96" i="15"/>
  <c r="I15" i="26"/>
  <c r="E66" i="26"/>
  <c r="P71" i="26"/>
  <c r="G50" i="26"/>
  <c r="H48" i="15"/>
  <c r="N71" i="20"/>
  <c r="P11" i="26"/>
  <c r="G75" i="15"/>
  <c r="H12" i="26"/>
  <c r="I46" i="15"/>
  <c r="U58" i="15"/>
  <c r="P73" i="26"/>
  <c r="X31" i="16"/>
  <c r="H66" i="26"/>
  <c r="P24" i="26"/>
  <c r="N109" i="20"/>
  <c r="G66" i="26"/>
  <c r="N76" i="20"/>
  <c r="S56" i="17"/>
  <c r="R44" i="17"/>
  <c r="BM23" i="32"/>
  <c r="S44" i="17" a="1"/>
  <c r="R71" i="17" a="1"/>
  <c r="G29" i="16" l="1"/>
  <c r="T15" i="15"/>
  <c r="P66" i="26"/>
  <c r="P50" i="26"/>
  <c r="I29" i="16"/>
  <c r="F29" i="16"/>
  <c r="H29" i="16"/>
  <c r="J29" i="16"/>
  <c r="S44" i="17"/>
  <c r="R71" i="17"/>
  <c r="BM50" i="32"/>
  <c r="R63" i="17" a="1"/>
  <c r="S71" i="17" a="1"/>
  <c r="S71" i="17" l="1"/>
  <c r="R63" i="17"/>
  <c r="BM42" i="32"/>
  <c r="R51" i="17" a="1"/>
  <c r="S63" i="17" a="1"/>
  <c r="S63" i="17" l="1"/>
  <c r="R51" i="17"/>
  <c r="BM30" i="32"/>
  <c r="BK18" i="32"/>
  <c r="S51" i="17" a="1"/>
  <c r="R39" i="17" a="1"/>
  <c r="S51" i="17" l="1"/>
  <c r="R39" i="17"/>
  <c r="BM18" i="32"/>
  <c r="S39" i="17" a="1"/>
  <c r="R70" i="17" a="1"/>
  <c r="S39" i="17" l="1"/>
  <c r="R70" i="17"/>
  <c r="BM49" i="32"/>
  <c r="R58" i="17" a="1"/>
  <c r="S70" i="17" a="1"/>
  <c r="S70" i="17" l="1"/>
  <c r="R58" i="17"/>
  <c r="BM37" i="32"/>
  <c r="R50" i="17" a="1"/>
  <c r="S58" i="17" a="1"/>
  <c r="S58" i="17" l="1"/>
  <c r="R50" i="17"/>
  <c r="BM29" i="32"/>
  <c r="S50" i="17" a="1"/>
  <c r="R38" i="17" a="1"/>
  <c r="S50" i="17" l="1"/>
  <c r="R38" i="17"/>
  <c r="BM17" i="32"/>
  <c r="R73" i="17" a="1"/>
  <c r="S38" i="17" a="1"/>
  <c r="S38" i="17" l="1"/>
  <c r="R73" i="17"/>
  <c r="BM52" i="32"/>
  <c r="S73" i="17" a="1"/>
  <c r="R69" i="17" a="1"/>
  <c r="S73" i="17" l="1"/>
  <c r="R69" i="17"/>
  <c r="BM48" i="32"/>
  <c r="S69" i="17" a="1"/>
  <c r="R65" i="17" a="1"/>
  <c r="S69" i="17" l="1"/>
  <c r="R65" i="17"/>
  <c r="BM44" i="32"/>
  <c r="S65" i="17" a="1"/>
  <c r="R61" i="17" a="1"/>
  <c r="S65" i="17" l="1"/>
  <c r="R61" i="17"/>
  <c r="BM40" i="32"/>
  <c r="R57" i="17" a="1"/>
  <c r="S61" i="17" a="1"/>
  <c r="S61" i="17" l="1"/>
  <c r="R57" i="17"/>
  <c r="BM36" i="32"/>
  <c r="S57" i="17" a="1"/>
  <c r="R53" i="17" a="1"/>
  <c r="S57" i="17" l="1"/>
  <c r="R53" i="17"/>
  <c r="BM32" i="32"/>
  <c r="R49" i="17" a="1"/>
  <c r="S53" i="17" a="1"/>
  <c r="S53" i="17" l="1"/>
  <c r="R49" i="17"/>
  <c r="BM28" i="32"/>
  <c r="BK24" i="32"/>
  <c r="S49" i="17" a="1"/>
  <c r="R45" i="17" a="1"/>
  <c r="S49" i="17" l="1"/>
  <c r="R45" i="17"/>
  <c r="BM24" i="32"/>
  <c r="S45" i="17" a="1"/>
  <c r="R41" i="17" a="1"/>
  <c r="S45" i="17" l="1"/>
  <c r="R41" i="17"/>
  <c r="BM20" i="32"/>
  <c r="BK16" i="32"/>
  <c r="R37" i="17" a="1"/>
  <c r="S41" i="17" a="1"/>
  <c r="S41" i="17" l="1"/>
  <c r="R37" i="17"/>
  <c r="BM16" i="32"/>
  <c r="S37" i="17" a="1"/>
  <c r="R68" i="17" a="1"/>
  <c r="S37" i="17" l="1"/>
  <c r="R68" i="17"/>
  <c r="BM47" i="32"/>
  <c r="S68" i="17" a="1"/>
  <c r="R40" i="17" a="1"/>
  <c r="S68" i="17" l="1"/>
  <c r="R40" i="17"/>
  <c r="BM19" i="32"/>
  <c r="S40" i="17" a="1"/>
  <c r="R67" i="17" a="1"/>
  <c r="S40" i="17" l="1"/>
  <c r="R67" i="17"/>
  <c r="BM46" i="32"/>
  <c r="R55" i="17" a="1"/>
  <c r="S67" i="17" a="1"/>
  <c r="S67" i="17" l="1"/>
  <c r="R55" i="17"/>
  <c r="BM34" i="32"/>
  <c r="S55" i="17" a="1"/>
  <c r="R43" i="17" a="1"/>
  <c r="S55" i="17" l="1"/>
  <c r="R43" i="17"/>
  <c r="BM22" i="32"/>
  <c r="S43" i="17" a="1"/>
  <c r="R66" i="17" a="1"/>
  <c r="S43" i="17" l="1"/>
  <c r="R66" i="17"/>
  <c r="BM45" i="32"/>
  <c r="R54" i="17" a="1"/>
  <c r="S66" i="17" a="1"/>
  <c r="S66" i="17" l="1"/>
  <c r="R54" i="17"/>
  <c r="BM33" i="32"/>
  <c r="R42" i="17" a="1"/>
  <c r="S54" i="17" a="1"/>
  <c r="S54" i="17" l="1"/>
  <c r="R42" i="17"/>
  <c r="BM21" i="32"/>
  <c r="S42" i="17" a="1"/>
  <c r="S42" i="17" l="1"/>
  <c r="BM5" i="32"/>
  <c r="S10" i="17" a="1"/>
  <c r="S10" i="17" l="1"/>
  <c r="BM12" i="32"/>
  <c r="BM9" i="32" l="1"/>
  <c r="S16" i="17" a="1"/>
  <c r="S16" i="17" l="1"/>
  <c r="BM6" i="32"/>
  <c r="BM13" i="32" l="1"/>
  <c r="S22" i="17" a="1"/>
  <c r="S22" i="17" l="1"/>
  <c r="BM14" i="32"/>
  <c r="BM10" i="32" l="1"/>
  <c r="BM7" i="32" l="1"/>
  <c r="S13" i="17" a="1"/>
  <c r="S13" i="17" l="1"/>
  <c r="BM11" i="32"/>
  <c r="S19" i="17" a="1"/>
  <c r="S19" i="17" l="1"/>
  <c r="BM8" i="32"/>
  <c r="P37" i="17" a="1"/>
  <c r="P37" i="17" l="1"/>
  <c r="P70" i="17" a="1"/>
  <c r="P70" i="17" l="1"/>
  <c r="P54" i="17" a="1"/>
  <c r="P54" i="17" l="1"/>
  <c r="P68" i="17" a="1"/>
  <c r="P68" i="17" l="1"/>
  <c r="P67" i="17" a="1"/>
  <c r="P67" i="17" l="1"/>
  <c r="P69" i="17" a="1"/>
  <c r="P69" i="17" l="1"/>
  <c r="P53" i="17" a="1"/>
  <c r="P53" i="17" l="1"/>
  <c r="P65" i="17" a="1"/>
  <c r="P65" i="17" l="1"/>
  <c r="P49" i="17" a="1"/>
  <c r="P49" i="17" l="1"/>
  <c r="P64" i="17" a="1"/>
  <c r="P64" i="17" l="1"/>
  <c r="P47" i="17" a="1"/>
  <c r="P47" i="17" l="1"/>
  <c r="P62" i="17" a="1"/>
  <c r="P62" i="17" l="1"/>
  <c r="P61" i="17" a="1"/>
  <c r="P61" i="17" l="1"/>
  <c r="P44" i="17" a="1"/>
  <c r="P44" i="17" l="1"/>
  <c r="P63" i="17" a="1"/>
  <c r="P63" i="17" l="1"/>
  <c r="P45" i="17" a="1"/>
  <c r="P45" i="17" l="1"/>
  <c r="P60" i="17" a="1"/>
  <c r="P60" i="17" l="1"/>
  <c r="P43" i="17" a="1"/>
  <c r="P43" i="17" l="1"/>
  <c r="P59" i="17" a="1"/>
  <c r="P59" i="17" l="1"/>
  <c r="P42" i="17" a="1"/>
  <c r="P42" i="17" l="1"/>
  <c r="P58" i="17" a="1"/>
  <c r="P58" i="17" l="1"/>
  <c r="P41" i="17" a="1"/>
  <c r="P41" i="17" l="1"/>
  <c r="P73" i="17" a="1"/>
  <c r="P73" i="17" l="1"/>
  <c r="P57" i="17" a="1"/>
  <c r="P57" i="17" l="1"/>
  <c r="P40" i="17" a="1"/>
  <c r="P40" i="17" l="1"/>
  <c r="P52" i="17" a="1"/>
  <c r="P52" i="17" l="1"/>
  <c r="P51" i="17" a="1"/>
  <c r="P51" i="17" l="1"/>
  <c r="P66" i="17" a="1"/>
  <c r="P66" i="17" l="1"/>
  <c r="P46" i="17" a="1"/>
  <c r="P46" i="17" l="1"/>
  <c r="P72" i="17" a="1"/>
  <c r="P72" i="17" l="1"/>
  <c r="P56" i="17" a="1"/>
  <c r="P56" i="17" l="1"/>
  <c r="P39" i="17" a="1"/>
  <c r="P39" i="17" l="1"/>
  <c r="P50" i="17" a="1"/>
  <c r="P50" i="17" l="1"/>
  <c r="P71" i="17" a="1"/>
  <c r="P71" i="17" l="1"/>
  <c r="P55" i="17" a="1"/>
  <c r="P55" i="17" l="1"/>
  <c r="P38" i="17" a="1"/>
  <c r="P38" i="17" l="1"/>
  <c r="T7" i="13" a="1"/>
  <c r="T7" i="13" l="1"/>
  <c r="T13" i="13" a="1"/>
  <c r="T13" i="13" l="1"/>
  <c r="T21" i="13" a="1"/>
  <c r="T21" i="13" l="1"/>
  <c r="T9" i="13" a="1"/>
  <c r="T9" i="13" l="1"/>
  <c r="T11" i="13" a="1"/>
  <c r="T11" i="13" l="1"/>
  <c r="T8" i="13" a="1"/>
  <c r="T8" i="13" l="1"/>
  <c r="T12" i="13" a="1"/>
  <c r="T12" i="13" l="1"/>
  <c r="T16" i="13" a="1"/>
  <c r="T16" i="13" l="1"/>
  <c r="T20" i="13" a="1"/>
  <c r="T20" i="13" l="1"/>
  <c r="T17" i="13" a="1"/>
  <c r="T17" i="13" l="1"/>
  <c r="T15" i="13" a="1"/>
  <c r="T15" i="13" l="1"/>
  <c r="T10" i="13" a="1"/>
  <c r="T10" i="13" l="1"/>
  <c r="T14" i="13" a="1"/>
  <c r="T14" i="13" l="1"/>
  <c r="T18" i="13" a="1"/>
  <c r="T18" i="13" l="1"/>
  <c r="T19" i="13" a="1"/>
  <c r="T19" i="13" l="1"/>
  <c r="T22" i="13" a="1"/>
  <c r="T22" i="13" l="1"/>
  <c r="T23" i="13" a="1"/>
  <c r="T23" i="13" l="1"/>
  <c r="T26" i="13" a="1"/>
  <c r="T26" i="13" l="1"/>
  <c r="AT24" i="33"/>
  <c r="T27" i="13" a="1"/>
  <c r="T27" i="13" l="1"/>
  <c r="T25" i="13" a="1"/>
  <c r="T25" i="13" l="1"/>
  <c r="T24" i="13" a="1"/>
  <c r="T24" i="13" l="1"/>
  <c r="T31" i="13" a="1"/>
  <c r="T31" i="13" l="1"/>
  <c r="BM4" i="33"/>
  <c r="V7" i="13" a="1"/>
  <c r="V7" i="13" l="1"/>
  <c r="V27" i="13" a="1"/>
  <c r="T28" i="13" a="1"/>
  <c r="T30" i="13" a="1"/>
  <c r="T29" i="13" a="1"/>
  <c r="T29" i="13" l="1"/>
  <c r="T28" i="13"/>
  <c r="T30" i="13"/>
  <c r="V27" i="13"/>
  <c r="BM24" i="33"/>
  <c r="BN24" i="33" s="1"/>
  <c r="BM20" i="33"/>
  <c r="BN20" i="33" s="1"/>
  <c r="V23" i="13" a="1"/>
  <c r="V23" i="13" l="1"/>
  <c r="BM15" i="33"/>
  <c r="V18" i="13" a="1"/>
  <c r="V18" i="13" l="1"/>
  <c r="V17" i="13" a="1"/>
  <c r="V17" i="13" l="1"/>
  <c r="BM14" i="33"/>
  <c r="V21" i="13" a="1"/>
  <c r="V21" i="13" l="1"/>
  <c r="BM18" i="33"/>
  <c r="V20" i="13" a="1"/>
  <c r="V20" i="13" l="1"/>
  <c r="BM17" i="33"/>
  <c r="V16" i="13" a="1"/>
  <c r="V16" i="13" l="1"/>
  <c r="BM13" i="33"/>
  <c r="V15" i="13" a="1"/>
  <c r="V15" i="13" l="1"/>
  <c r="BM12" i="33"/>
  <c r="V30" i="13" a="1"/>
  <c r="V30" i="13" l="1"/>
  <c r="BM27" i="33"/>
  <c r="BM11" i="33"/>
  <c r="V14" i="13" a="1"/>
  <c r="V14" i="13" l="1"/>
  <c r="V29" i="13" a="1"/>
  <c r="V29" i="13" l="1"/>
  <c r="BM26" i="33"/>
  <c r="V13" i="13" a="1"/>
  <c r="V13" i="13" l="1"/>
  <c r="BM10" i="33"/>
  <c r="V28" i="13" a="1"/>
  <c r="V28" i="13" l="1"/>
  <c r="BM25" i="33"/>
  <c r="V12" i="13" a="1"/>
  <c r="V12" i="13" l="1"/>
  <c r="BM9" i="33"/>
  <c r="V11" i="13" a="1"/>
  <c r="V11" i="13" l="1"/>
  <c r="BM8" i="33"/>
  <c r="BM16" i="33"/>
  <c r="V19" i="13" a="1"/>
  <c r="V19" i="13" l="1"/>
  <c r="BM23" i="33"/>
  <c r="V26" i="13" a="1"/>
  <c r="V26" i="13" l="1"/>
  <c r="BM7" i="33"/>
  <c r="V10" i="13" a="1"/>
  <c r="V10" i="13" l="1"/>
  <c r="V22" i="13" a="1"/>
  <c r="V22" i="13" l="1"/>
  <c r="BM19" i="33"/>
  <c r="BM28" i="33"/>
  <c r="V31" i="13" a="1"/>
  <c r="V31" i="13" l="1"/>
  <c r="V25" i="13" a="1"/>
  <c r="V25" i="13" l="1"/>
  <c r="BM22" i="33"/>
  <c r="V9" i="13" a="1"/>
  <c r="V9" i="13" l="1"/>
  <c r="BM6" i="33"/>
  <c r="V24" i="13" a="1"/>
  <c r="V24" i="13" l="1"/>
  <c r="BM21" i="33"/>
  <c r="V8" i="13" a="1"/>
  <c r="V8" i="13" l="1"/>
  <c r="BM5" i="33"/>
  <c r="BM43" i="33"/>
  <c r="V49" i="13" a="1"/>
  <c r="V49" i="13" l="1"/>
  <c r="T49" i="13" a="1"/>
  <c r="T49" i="13" l="1"/>
  <c r="BM47" i="33"/>
  <c r="V53" i="13" a="1"/>
  <c r="V53" i="13" l="1"/>
  <c r="T53" i="13" a="1"/>
  <c r="T53" i="13" l="1"/>
  <c r="BM55" i="33"/>
  <c r="V61" i="13" a="1"/>
  <c r="V61" i="13" l="1"/>
  <c r="T61" i="13" a="1"/>
  <c r="T61" i="13" l="1"/>
  <c r="BM59" i="33"/>
  <c r="V65" i="13" a="1"/>
  <c r="V65" i="13" l="1"/>
  <c r="T65" i="13" a="1"/>
  <c r="T65" i="13" l="1"/>
  <c r="BM63" i="33"/>
  <c r="V69" i="13" a="1"/>
  <c r="V69" i="13" l="1"/>
  <c r="T69" i="13" a="1"/>
  <c r="T69" i="13" l="1"/>
  <c r="BM32" i="33"/>
  <c r="V35" i="13" a="1"/>
  <c r="V35" i="13" l="1"/>
  <c r="T35" i="13" a="1"/>
  <c r="T35" i="13" l="1"/>
  <c r="BM36" i="33"/>
  <c r="V42" i="13" a="1"/>
  <c r="V42" i="13" l="1"/>
  <c r="T42" i="13" a="1"/>
  <c r="T42" i="13" l="1"/>
  <c r="BM40" i="33"/>
  <c r="V46" i="13" a="1"/>
  <c r="V46" i="13" l="1"/>
  <c r="T46" i="13" a="1"/>
  <c r="T46" i="13" l="1"/>
  <c r="T50" i="13" a="1"/>
  <c r="T50" i="13" l="1"/>
  <c r="BM44" i="33"/>
  <c r="V50" i="13" a="1"/>
  <c r="V50" i="13" l="1"/>
  <c r="BM48" i="33"/>
  <c r="V54" i="13" a="1"/>
  <c r="V54" i="13" l="1"/>
  <c r="T54" i="13" a="1"/>
  <c r="T54" i="13" l="1"/>
  <c r="BM52" i="33"/>
  <c r="V58" i="13" a="1"/>
  <c r="V58" i="13" l="1"/>
  <c r="T58" i="13" a="1"/>
  <c r="T58" i="13" l="1"/>
  <c r="BM56" i="33"/>
  <c r="V62" i="13" a="1"/>
  <c r="V62" i="13" l="1"/>
  <c r="T62" i="13" a="1"/>
  <c r="T62" i="13" l="1"/>
  <c r="BM60" i="33"/>
  <c r="V66" i="13" a="1"/>
  <c r="V66" i="13" l="1"/>
  <c r="T66" i="13" a="1"/>
  <c r="T66" i="13" l="1"/>
  <c r="BM64" i="33"/>
  <c r="V70" i="13" a="1"/>
  <c r="V70" i="13" l="1"/>
  <c r="T70" i="13" a="1"/>
  <c r="T70" i="13" l="1"/>
  <c r="T45" i="13" a="1"/>
  <c r="T45" i="13" l="1"/>
  <c r="V45" i="13" a="1"/>
  <c r="V45" i="13" l="1"/>
  <c r="BM39" i="33"/>
  <c r="T41" i="13" a="1"/>
  <c r="T41" i="13" l="1"/>
  <c r="V41" i="13" a="1"/>
  <c r="V41" i="13" l="1"/>
  <c r="BM35" i="33"/>
  <c r="T34" i="13" a="1"/>
  <c r="T34" i="13" l="1"/>
  <c r="V34" i="13" a="1"/>
  <c r="V34" i="13" l="1"/>
  <c r="BM31" i="33"/>
  <c r="V33" i="13" a="1"/>
  <c r="V33" i="13" l="1"/>
  <c r="BM30" i="33"/>
  <c r="T33" i="13" a="1"/>
  <c r="T33" i="13" l="1"/>
  <c r="V64" i="13" a="1"/>
  <c r="V64" i="13" l="1"/>
  <c r="BM58" i="33"/>
  <c r="T64" i="13" a="1"/>
  <c r="T64" i="13" l="1"/>
  <c r="T52" i="13" a="1"/>
  <c r="T52" i="13" l="1"/>
  <c r="V52" i="13" a="1"/>
  <c r="V52" i="13" l="1"/>
  <c r="BM46" i="33"/>
  <c r="T44" i="13" a="1"/>
  <c r="T44" i="13" l="1"/>
  <c r="V44" i="13" a="1"/>
  <c r="V44" i="13" l="1"/>
  <c r="BM38" i="33"/>
  <c r="V40" i="13" a="1"/>
  <c r="V40" i="13" l="1"/>
  <c r="BM34" i="33"/>
  <c r="T40" i="13" a="1"/>
  <c r="T40" i="13" l="1"/>
  <c r="T67" i="13" a="1"/>
  <c r="T67" i="13" l="1"/>
  <c r="V67" i="13" a="1"/>
  <c r="V67" i="13" l="1"/>
  <c r="BM61" i="33"/>
  <c r="T63" i="13" a="1"/>
  <c r="T63" i="13" l="1"/>
  <c r="V63" i="13" a="1"/>
  <c r="V63" i="13" l="1"/>
  <c r="BM57" i="33"/>
  <c r="T59" i="13" a="1"/>
  <c r="T59" i="13" l="1"/>
  <c r="V59" i="13" a="1"/>
  <c r="V59" i="13" l="1"/>
  <c r="BM53" i="33"/>
  <c r="T51" i="13" a="1"/>
  <c r="T51" i="13" l="1"/>
  <c r="V51" i="13" a="1"/>
  <c r="V51" i="13" l="1"/>
  <c r="BM45" i="33"/>
  <c r="T47" i="13" a="1"/>
  <c r="T47" i="13" l="1"/>
  <c r="V47" i="13" a="1"/>
  <c r="V47" i="13" l="1"/>
  <c r="BM41" i="33"/>
  <c r="T43" i="13" a="1"/>
  <c r="T43" i="13" l="1"/>
  <c r="V43" i="13" a="1"/>
  <c r="V43" i="13" l="1"/>
  <c r="BM37" i="33"/>
  <c r="V36" i="13" a="1"/>
  <c r="V36" i="13" l="1"/>
  <c r="BM33" i="33"/>
  <c r="T36" i="13" a="1"/>
  <c r="T36" i="13" l="1"/>
  <c r="T68" i="13" a="1"/>
  <c r="T68" i="13" l="1"/>
  <c r="V68" i="13" a="1"/>
  <c r="V68" i="13" l="1"/>
  <c r="BM62" i="33"/>
  <c r="T60" i="13" a="1"/>
  <c r="T60" i="13" l="1"/>
  <c r="V60" i="13" a="1"/>
  <c r="V60" i="13" l="1"/>
  <c r="BM54" i="33"/>
  <c r="T48" i="13" a="1"/>
  <c r="T48" i="13" l="1"/>
  <c r="V48" i="13" a="1"/>
  <c r="V48" i="13" l="1"/>
  <c r="BM42" i="33"/>
  <c r="E29" i="26" a="1"/>
  <c r="E29" i="26" l="1"/>
  <c r="E45" i="26" a="1"/>
  <c r="E45" i="26" l="1"/>
  <c r="E41" i="26" a="1"/>
  <c r="E41" i="26" l="1"/>
  <c r="E39" i="26" a="1"/>
  <c r="E39" i="26" l="1"/>
  <c r="E44" i="26" a="1"/>
  <c r="E44" i="26" l="1"/>
  <c r="E31" i="26" a="1"/>
  <c r="E31" i="26" l="1"/>
  <c r="E40" i="26" a="1"/>
  <c r="E40" i="26" l="1"/>
  <c r="E37" i="26" a="1"/>
  <c r="E37" i="26" l="1"/>
  <c r="E43" i="26" a="1"/>
  <c r="E43" i="26" l="1"/>
  <c r="E32" i="26" a="1"/>
  <c r="E32" i="26" l="1"/>
  <c r="E30" i="26" a="1"/>
  <c r="E30" i="26" l="1"/>
  <c r="E35" i="26" a="1"/>
  <c r="E35" i="26" l="1"/>
  <c r="E36" i="26" a="1"/>
  <c r="E36" i="26" l="1"/>
  <c r="E42" i="26" a="1"/>
  <c r="E42" i="26" l="1"/>
  <c r="E38" i="26" a="1"/>
  <c r="E38" i="26" l="1"/>
  <c r="E33" i="26" a="1"/>
  <c r="E33" i="26" l="1"/>
  <c r="E34" i="26" a="1"/>
  <c r="E34" i="26" l="1"/>
  <c r="E46" i="26" a="1"/>
  <c r="E46" i="26" l="1"/>
  <c r="E25" i="16" a="1"/>
  <c r="E25" i="16" l="1"/>
  <c r="E11" i="16" a="1"/>
  <c r="E11" i="16" l="1"/>
  <c r="E18" i="16" a="1"/>
  <c r="E18" i="16" l="1"/>
  <c r="BK118" i="34" l="1"/>
  <c r="BK109" i="34"/>
  <c r="BK116" i="34"/>
  <c r="BK115" i="34"/>
  <c r="BK113" i="34"/>
  <c r="BK110" i="34"/>
  <c r="BK117" i="34"/>
  <c r="BK114" i="34"/>
  <c r="BK112" i="34"/>
  <c r="BK111" i="34"/>
  <c r="M1" i="46"/>
  <c r="CW78" i="45"/>
  <c r="CU5" i="45"/>
  <c r="CW5" i="45" s="1"/>
  <c r="CP6" i="45"/>
  <c r="CP81" i="45"/>
  <c r="CQ81" i="45"/>
  <c r="CP97" i="45"/>
  <c r="CQ97" i="45"/>
  <c r="CP111" i="45"/>
  <c r="CQ111" i="45"/>
  <c r="CP115" i="45"/>
  <c r="CP114" i="45" s="1"/>
  <c r="CQ115" i="45"/>
  <c r="CQ114" i="45" s="1"/>
  <c r="CP137" i="45"/>
  <c r="CQ137" i="45"/>
  <c r="CP145" i="45"/>
  <c r="CQ145" i="45"/>
  <c r="CP150" i="45"/>
  <c r="CQ150" i="45"/>
  <c r="CP163" i="45"/>
  <c r="CQ163" i="45"/>
  <c r="CP171" i="45"/>
  <c r="CQ171" i="45"/>
  <c r="CE176" i="45"/>
  <c r="CC176" i="45"/>
  <c r="BW22" i="45"/>
  <c r="BX22" i="45"/>
  <c r="F25" i="45"/>
  <c r="G25" i="45"/>
  <c r="H25" i="45"/>
  <c r="I25" i="45"/>
  <c r="J25" i="45"/>
  <c r="K25" i="45"/>
  <c r="L25" i="45"/>
  <c r="M25" i="45"/>
  <c r="N25" i="45"/>
  <c r="O25" i="45"/>
  <c r="P25" i="45"/>
  <c r="Q25" i="45"/>
  <c r="R25" i="45"/>
  <c r="S25" i="45"/>
  <c r="T25" i="45"/>
  <c r="U25" i="45"/>
  <c r="V25" i="45"/>
  <c r="W25" i="45"/>
  <c r="X25" i="45"/>
  <c r="Y25" i="45"/>
  <c r="Z25" i="45"/>
  <c r="AA25" i="45"/>
  <c r="AB25" i="45"/>
  <c r="AC25" i="45"/>
  <c r="AD25" i="45"/>
  <c r="AD22" i="45" s="1"/>
  <c r="AE25" i="45"/>
  <c r="AE22" i="45" s="1"/>
  <c r="AF25" i="45"/>
  <c r="AF22" i="45" s="1"/>
  <c r="AG25" i="45"/>
  <c r="AG22" i="45" s="1"/>
  <c r="AH25" i="45"/>
  <c r="AH22" i="45" s="1"/>
  <c r="AI25" i="45"/>
  <c r="AI22" i="45" s="1"/>
  <c r="AJ25" i="45"/>
  <c r="AJ22" i="45" s="1"/>
  <c r="AK25" i="45"/>
  <c r="AK22" i="45" s="1"/>
  <c r="AL25" i="45"/>
  <c r="AL22" i="45" s="1"/>
  <c r="AM25" i="45"/>
  <c r="AM22" i="45" s="1"/>
  <c r="AN25" i="45"/>
  <c r="AN22" i="45" s="1"/>
  <c r="AO25" i="45"/>
  <c r="AO22" i="45" s="1"/>
  <c r="AQ25" i="45"/>
  <c r="AQ22" i="45" s="1"/>
  <c r="AR25" i="45"/>
  <c r="AR22" i="45" s="1"/>
  <c r="AS25" i="45"/>
  <c r="AS22" i="45" s="1"/>
  <c r="AT25" i="45"/>
  <c r="AT22" i="45" s="1"/>
  <c r="AU25" i="45"/>
  <c r="AU22" i="45" s="1"/>
  <c r="AV25" i="45"/>
  <c r="AV22" i="45" s="1"/>
  <c r="AW25" i="45"/>
  <c r="AW22" i="45" s="1"/>
  <c r="AX25" i="45"/>
  <c r="AX22" i="45" s="1"/>
  <c r="AY25" i="45"/>
  <c r="AY22" i="45" s="1"/>
  <c r="AZ25" i="45"/>
  <c r="AZ22" i="45" s="1"/>
  <c r="BA25" i="45"/>
  <c r="BA22" i="45" s="1"/>
  <c r="BB25" i="45"/>
  <c r="BB22" i="45" s="1"/>
  <c r="BC25" i="45"/>
  <c r="BC22" i="45" s="1"/>
  <c r="BD25" i="45"/>
  <c r="BD22" i="45" s="1"/>
  <c r="BE25" i="45"/>
  <c r="BE22" i="45" s="1"/>
  <c r="BF25" i="45"/>
  <c r="BF22" i="45" s="1"/>
  <c r="BG25" i="45"/>
  <c r="BG22" i="45" s="1"/>
  <c r="BH25" i="45"/>
  <c r="BH22" i="45" s="1"/>
  <c r="BI25" i="45"/>
  <c r="BI22" i="45" s="1"/>
  <c r="BJ25" i="45"/>
  <c r="BJ22" i="45" s="1"/>
  <c r="BK25" i="45"/>
  <c r="BK22" i="45" s="1"/>
  <c r="BL25" i="45"/>
  <c r="BL22" i="45" s="1"/>
  <c r="BM25" i="45"/>
  <c r="BM22" i="45" s="1"/>
  <c r="BO25" i="45"/>
  <c r="BO22" i="45" s="1"/>
  <c r="BP25" i="45"/>
  <c r="BP22" i="45" s="1"/>
  <c r="BQ25" i="45"/>
  <c r="BQ22" i="45" s="1"/>
  <c r="BR25" i="45"/>
  <c r="BR22" i="45" s="1"/>
  <c r="BS25" i="45"/>
  <c r="BS22" i="45" s="1"/>
  <c r="BT25" i="45"/>
  <c r="BT22" i="45" s="1"/>
  <c r="BU25" i="45"/>
  <c r="BU22" i="45" s="1"/>
  <c r="BV25" i="45"/>
  <c r="BV22" i="45" s="1"/>
  <c r="BW25" i="45"/>
  <c r="BX25" i="45"/>
  <c r="BY25" i="45"/>
  <c r="BY22" i="45" s="1"/>
  <c r="BZ25" i="45"/>
  <c r="BZ22" i="45" s="1"/>
  <c r="CA25" i="45"/>
  <c r="CA22" i="45" s="1"/>
  <c r="CB25" i="45"/>
  <c r="CB22" i="45" s="1"/>
  <c r="CD25" i="45"/>
  <c r="CD22" i="45" s="1"/>
  <c r="BN25" i="45"/>
  <c r="BN22" i="45" s="1"/>
  <c r="O135" i="46" a="1"/>
  <c r="M49" i="46" a="1"/>
  <c r="M6" i="46" a="1"/>
  <c r="H91" i="46" a="1"/>
  <c r="I115" i="46" a="1"/>
  <c r="N105" i="46" a="1"/>
  <c r="O105" i="46" a="1"/>
  <c r="M73" i="46" a="1"/>
  <c r="M85" i="46" a="1"/>
  <c r="O115" i="46" a="1"/>
  <c r="L103" i="46" a="1"/>
  <c r="I103" i="46" a="1"/>
  <c r="T79" i="46" a="1"/>
  <c r="N97" i="46" a="1"/>
  <c r="H108" i="46" a="1"/>
  <c r="M118" i="46" a="1"/>
  <c r="I114" i="46" a="1"/>
  <c r="J102" i="46" a="1"/>
  <c r="K110" i="46" a="1"/>
  <c r="N96" i="46" a="1"/>
  <c r="N99" i="46" a="1"/>
  <c r="R93" i="46" a="1"/>
  <c r="N103" i="46" a="1"/>
  <c r="T6" i="46" a="1"/>
  <c r="H92" i="46" a="1"/>
  <c r="R107" i="46" a="1"/>
  <c r="G107" i="46" a="1"/>
  <c r="J96" i="46" a="1"/>
  <c r="O98" i="46" a="1"/>
  <c r="K95" i="46" a="1"/>
  <c r="J105" i="46" a="1"/>
  <c r="G112" i="46" a="1"/>
  <c r="M26" i="46" a="1"/>
  <c r="G95" i="46" a="1"/>
  <c r="R113" i="46" a="1"/>
  <c r="H116" i="46" a="1"/>
  <c r="M40" i="46" a="1"/>
  <c r="O109" i="46" a="1"/>
  <c r="M120" i="46" a="1"/>
  <c r="M61" i="46" a="1"/>
  <c r="K116" i="46" a="1"/>
  <c r="M117" i="46" a="1"/>
  <c r="M29" i="46" a="1"/>
  <c r="R96" i="46" a="1"/>
  <c r="K115" i="46" a="1"/>
  <c r="M126" i="46" a="1"/>
  <c r="R103" i="46" a="1"/>
  <c r="H111" i="46" a="1"/>
  <c r="M8" i="46" a="1"/>
  <c r="N95" i="46" a="1"/>
  <c r="H112" i="46" a="1"/>
  <c r="J115" i="46" a="1"/>
  <c r="O92" i="46" a="1"/>
  <c r="N116" i="46" a="1"/>
  <c r="O102" i="46" a="1"/>
  <c r="L98" i="46" a="1"/>
  <c r="H97" i="46" a="1"/>
  <c r="M121" i="46" a="1"/>
  <c r="O101" i="46" a="1"/>
  <c r="L111" i="46" a="1"/>
  <c r="K102" i="46" a="1"/>
  <c r="G100" i="46" a="1"/>
  <c r="H104" i="46" a="1"/>
  <c r="G94" i="46" a="1"/>
  <c r="M22" i="46" a="1"/>
  <c r="M92" i="46" a="1"/>
  <c r="O112" i="46" a="1"/>
  <c r="G103" i="46" a="1"/>
  <c r="M74" i="46" a="1"/>
  <c r="M82" i="46" a="1"/>
  <c r="U6" i="46" a="1"/>
  <c r="M129" i="46" a="1"/>
  <c r="L95" i="46" a="1"/>
  <c r="M123" i="46" a="1"/>
  <c r="J103" i="46" a="1"/>
  <c r="I113" i="46" a="1"/>
  <c r="J101" i="46" a="1"/>
  <c r="H109" i="46" a="1"/>
  <c r="K106" i="46" a="1"/>
  <c r="R97" i="46" a="1"/>
  <c r="M91" i="46" a="1"/>
  <c r="M46" i="46" a="1"/>
  <c r="I110" i="46" a="1"/>
  <c r="O116" i="46" a="1"/>
  <c r="L115" i="46" a="1"/>
  <c r="L92" i="46" a="1"/>
  <c r="L108" i="46" a="1"/>
  <c r="J104" i="46" a="1"/>
  <c r="I101" i="46" a="1"/>
  <c r="M72" i="46" a="1"/>
  <c r="I111" i="46" a="1"/>
  <c r="J95" i="46" a="1"/>
  <c r="M124" i="46" a="1"/>
  <c r="G110" i="46" a="1"/>
  <c r="L91" i="46" a="1"/>
  <c r="R109" i="46" a="1"/>
  <c r="I97" i="46" a="1"/>
  <c r="K99" i="46" a="1"/>
  <c r="K103" i="46" a="1"/>
  <c r="N108" i="46" a="1"/>
  <c r="R92" i="46" a="1"/>
  <c r="H107" i="46" a="1"/>
  <c r="J97" i="46" a="1"/>
  <c r="M84" i="46" a="1"/>
  <c r="I95" i="46" a="1"/>
  <c r="N107" i="46" a="1"/>
  <c r="O99" i="46" a="1"/>
  <c r="O93" i="46" a="1"/>
  <c r="M39" i="46" a="1"/>
  <c r="M122" i="46" a="1"/>
  <c r="O107" i="46" a="1"/>
  <c r="J112" i="46" a="1"/>
  <c r="M47" i="46" a="1"/>
  <c r="R104" i="46" a="1"/>
  <c r="J94" i="46" a="1"/>
  <c r="K97" i="46" a="1"/>
  <c r="N94" i="46" a="1"/>
  <c r="H98" i="46" a="1"/>
  <c r="M31" i="46" a="1"/>
  <c r="H99" i="46" a="1"/>
  <c r="N100" i="46" a="1"/>
  <c r="G115" i="46" a="1"/>
  <c r="H113" i="46" a="1"/>
  <c r="I107" i="46" a="1"/>
  <c r="O91" i="46" a="1"/>
  <c r="L96" i="46" a="1"/>
  <c r="H94" i="46" a="1"/>
  <c r="H100" i="46" a="1"/>
  <c r="L102" i="46" a="1"/>
  <c r="J107" i="46" a="1"/>
  <c r="O95" i="46" a="1"/>
  <c r="J106" i="46" a="1"/>
  <c r="N102" i="46" a="1"/>
  <c r="R95" i="46" a="1"/>
  <c r="M89" i="46" a="1"/>
  <c r="L97" i="46" a="1"/>
  <c r="I93" i="46" a="1"/>
  <c r="M43" i="46" a="1"/>
  <c r="G109" i="46" a="1"/>
  <c r="I106" i="46" a="1"/>
  <c r="R108" i="46" a="1"/>
  <c r="M53" i="46" a="1"/>
  <c r="O110" i="46" a="1"/>
  <c r="O104" i="46" a="1"/>
  <c r="N91" i="46" a="1"/>
  <c r="L93" i="46" a="1"/>
  <c r="I100" i="46" a="1"/>
  <c r="M70" i="46" a="1"/>
  <c r="G98" i="46" a="1"/>
  <c r="M86" i="46" a="1"/>
  <c r="O97" i="46" a="1"/>
  <c r="R98" i="46" a="1"/>
  <c r="N106" i="46" a="1"/>
  <c r="H115" i="46" a="1"/>
  <c r="L114" i="46" a="1"/>
  <c r="I99" i="46" a="1"/>
  <c r="G91" i="46" a="1"/>
  <c r="L106" i="46" a="1"/>
  <c r="L112" i="46" a="1"/>
  <c r="J93" i="46" a="1"/>
  <c r="M83" i="46" a="1"/>
  <c r="O113" i="46" a="1"/>
  <c r="M93" i="46" a="1"/>
  <c r="K100" i="46" a="1"/>
  <c r="R115" i="46" a="1"/>
  <c r="R101" i="46" a="1"/>
  <c r="J98" i="46" a="1"/>
  <c r="J113" i="46" a="1"/>
  <c r="O94" i="46" a="1"/>
  <c r="M79" i="46" a="1"/>
  <c r="I105" i="46" a="1"/>
  <c r="O114" i="46" a="1"/>
  <c r="K96" i="46" a="1"/>
  <c r="L101" i="46" a="1"/>
  <c r="M33" i="46" a="1"/>
  <c r="G116" i="46" a="1"/>
  <c r="I98" i="46" a="1"/>
  <c r="G114" i="46" a="1"/>
  <c r="R105" i="46" a="1"/>
  <c r="K109" i="46" a="1"/>
  <c r="J111" i="46" a="1"/>
  <c r="O111" i="46" a="1"/>
  <c r="J108" i="46" a="1"/>
  <c r="K94" i="46" a="1"/>
  <c r="N98" i="46" a="1"/>
  <c r="H106" i="46" a="1"/>
  <c r="I94" i="46" a="1"/>
  <c r="I96" i="46" a="1"/>
  <c r="R114" i="46" a="1"/>
  <c r="P7" i="46" a="1"/>
  <c r="L105" i="46" a="1"/>
  <c r="M24" i="46" a="1"/>
  <c r="G101" i="46" a="1"/>
  <c r="K112" i="46" a="1"/>
  <c r="G102" i="46" a="1"/>
  <c r="M75" i="46" a="1"/>
  <c r="G96" i="46" a="1"/>
  <c r="N109" i="46" a="1"/>
  <c r="M41" i="46" a="1"/>
  <c r="I104" i="46" a="1"/>
  <c r="I102" i="46" a="1"/>
  <c r="G111" i="46" a="1"/>
  <c r="L94" i="46" a="1"/>
  <c r="K111" i="46" a="1"/>
  <c r="M52" i="46" a="1"/>
  <c r="M71" i="46" a="1"/>
  <c r="M27" i="46" a="1"/>
  <c r="M125" i="46" a="1"/>
  <c r="N113" i="46" a="1"/>
  <c r="N104" i="46" a="1"/>
  <c r="H102" i="46" a="1"/>
  <c r="M32" i="46" a="1"/>
  <c r="I92" i="46" a="1"/>
  <c r="M42" i="46" a="1"/>
  <c r="M28" i="46" a="1"/>
  <c r="L104" i="46" a="1"/>
  <c r="K93" i="46" a="1"/>
  <c r="R110" i="46" a="1"/>
  <c r="R94" i="46" a="1"/>
  <c r="O96" i="46" a="1"/>
  <c r="G92" i="46" a="1"/>
  <c r="G108" i="46" a="1"/>
  <c r="L99" i="46" a="1"/>
  <c r="O100" i="46" a="1"/>
  <c r="I108" i="46" a="1"/>
  <c r="J92" i="46" a="1"/>
  <c r="M127" i="46" a="1"/>
  <c r="G105" i="46" a="1"/>
  <c r="K92" i="46" a="1"/>
  <c r="I91" i="46" a="1"/>
  <c r="N112" i="46" a="1"/>
  <c r="L109" i="46" a="1"/>
  <c r="L107" i="46" a="1"/>
  <c r="J99" i="46" a="1"/>
  <c r="O106" i="46" a="1"/>
  <c r="K101" i="46" a="1"/>
  <c r="G93" i="46" a="1"/>
  <c r="J91" i="46" a="1"/>
  <c r="H101" i="46" a="1"/>
  <c r="I116" i="46" a="1"/>
  <c r="M119" i="46" a="1"/>
  <c r="L116" i="46" a="1"/>
  <c r="N93" i="46" a="1"/>
  <c r="R99" i="46" a="1"/>
  <c r="M48" i="46" a="1"/>
  <c r="M88" i="46" a="1"/>
  <c r="N114" i="46" a="1"/>
  <c r="R106" i="46" a="1"/>
  <c r="G113" i="46" a="1"/>
  <c r="K114" i="46" a="1"/>
  <c r="L113" i="46" a="1"/>
  <c r="K113" i="46" a="1"/>
  <c r="G99" i="46" a="1"/>
  <c r="M25" i="46" a="1"/>
  <c r="K107" i="46" a="1"/>
  <c r="N92" i="46" a="1"/>
  <c r="R6" i="46" a="1"/>
  <c r="M128" i="46" a="1"/>
  <c r="K108" i="46" a="1"/>
  <c r="K91" i="46" a="1"/>
  <c r="N111" i="46" a="1"/>
  <c r="M76" i="46" a="1"/>
  <c r="N101" i="46" a="1"/>
  <c r="J114" i="46" a="1"/>
  <c r="L100" i="46" a="1"/>
  <c r="H96" i="46" a="1"/>
  <c r="O103" i="46" a="1"/>
  <c r="K98" i="46" a="1"/>
  <c r="R91" i="46" a="1"/>
  <c r="H103" i="46" a="1"/>
  <c r="G104" i="46" a="1"/>
  <c r="G97" i="46" a="1"/>
  <c r="M80" i="46" a="1"/>
  <c r="J116" i="46" a="1"/>
  <c r="M38" i="46" a="1"/>
  <c r="J100" i="46" a="1"/>
  <c r="M30" i="46" a="1"/>
  <c r="O108" i="46" a="1"/>
  <c r="I109" i="46" a="1"/>
  <c r="J110" i="46" a="1"/>
  <c r="M12" i="46" a="1"/>
  <c r="I112" i="46" a="1"/>
  <c r="H110" i="46" a="1"/>
  <c r="R102" i="46" a="1"/>
  <c r="H105" i="46" a="1"/>
  <c r="K105" i="46" a="1"/>
  <c r="H95" i="46" a="1"/>
  <c r="K104" i="46" a="1"/>
  <c r="R111" i="46" a="1"/>
  <c r="M23" i="46" a="1"/>
  <c r="J109" i="46" a="1"/>
  <c r="M81" i="46" a="1"/>
  <c r="M87" i="46" a="1"/>
  <c r="M51" i="46" a="1"/>
  <c r="M9" i="46" a="1"/>
  <c r="G106" i="46" a="1"/>
  <c r="R116" i="46" a="1"/>
  <c r="H114" i="46" a="1"/>
  <c r="N110" i="46" a="1"/>
  <c r="N115" i="46" a="1"/>
  <c r="L110" i="46" a="1"/>
  <c r="H93" i="46" a="1"/>
  <c r="O135" i="46" l="1"/>
  <c r="CE182" i="45"/>
  <c r="CU176" i="45"/>
  <c r="T79" i="46"/>
  <c r="T6" i="46"/>
  <c r="R6" i="46"/>
  <c r="CV5" i="45"/>
  <c r="U6" i="46"/>
  <c r="P7" i="46"/>
  <c r="CR196" i="45"/>
  <c r="O116" i="46"/>
  <c r="H99" i="46"/>
  <c r="R91" i="46"/>
  <c r="J105" i="46"/>
  <c r="L108" i="46"/>
  <c r="I95" i="46"/>
  <c r="H111" i="46"/>
  <c r="M91" i="46"/>
  <c r="H103" i="46"/>
  <c r="M93" i="46"/>
  <c r="H95" i="46"/>
  <c r="L113" i="46"/>
  <c r="G101" i="46"/>
  <c r="N93" i="46"/>
  <c r="G97" i="46"/>
  <c r="O108" i="46"/>
  <c r="I111" i="46"/>
  <c r="O101" i="46"/>
  <c r="L114" i="46"/>
  <c r="G94" i="46"/>
  <c r="O97" i="46"/>
  <c r="R95" i="46"/>
  <c r="R99" i="46"/>
  <c r="G109" i="46"/>
  <c r="H112" i="46"/>
  <c r="K112" i="46"/>
  <c r="O100" i="46"/>
  <c r="L107" i="46"/>
  <c r="I93" i="46"/>
  <c r="O96" i="46"/>
  <c r="I105" i="46"/>
  <c r="J113" i="46"/>
  <c r="R115" i="46"/>
  <c r="I103" i="46"/>
  <c r="I99" i="46"/>
  <c r="K92" i="46"/>
  <c r="K106" i="46"/>
  <c r="N114" i="46"/>
  <c r="H94" i="46"/>
  <c r="L106" i="46"/>
  <c r="M92" i="46"/>
  <c r="O114" i="46"/>
  <c r="I94" i="46"/>
  <c r="G102" i="46"/>
  <c r="N106" i="46"/>
  <c r="O92" i="46"/>
  <c r="G98" i="46"/>
  <c r="H104" i="46"/>
  <c r="I107" i="46"/>
  <c r="K94" i="46"/>
  <c r="G96" i="46"/>
  <c r="G100" i="46"/>
  <c r="H102" i="46"/>
  <c r="K104" i="46"/>
  <c r="R109" i="46"/>
  <c r="L112" i="46"/>
  <c r="L115" i="46"/>
  <c r="H91" i="46"/>
  <c r="H98" i="46"/>
  <c r="J100" i="46"/>
  <c r="G105" i="46"/>
  <c r="I113" i="46"/>
  <c r="L93" i="46"/>
  <c r="L105" i="46"/>
  <c r="H110" i="46"/>
  <c r="J111" i="46"/>
  <c r="N112" i="46"/>
  <c r="G115" i="46"/>
  <c r="J95" i="46"/>
  <c r="I101" i="46"/>
  <c r="J103" i="46"/>
  <c r="H109" i="46"/>
  <c r="H116" i="46"/>
  <c r="I91" i="46"/>
  <c r="O93" i="46"/>
  <c r="I97" i="46"/>
  <c r="J99" i="46"/>
  <c r="L101" i="46"/>
  <c r="L111" i="46"/>
  <c r="O112" i="46"/>
  <c r="K116" i="46"/>
  <c r="G92" i="46"/>
  <c r="K95" i="46"/>
  <c r="L97" i="46"/>
  <c r="K103" i="46"/>
  <c r="J91" i="46"/>
  <c r="O94" i="46"/>
  <c r="K99" i="46"/>
  <c r="N102" i="46"/>
  <c r="G107" i="46"/>
  <c r="I115" i="46"/>
  <c r="L96" i="46"/>
  <c r="O104" i="46"/>
  <c r="J109" i="46"/>
  <c r="K91" i="46"/>
  <c r="J92" i="46"/>
  <c r="N101" i="46"/>
  <c r="O102" i="46"/>
  <c r="R105" i="46"/>
  <c r="H107" i="46"/>
  <c r="K108" i="46"/>
  <c r="H114" i="46"/>
  <c r="J115" i="46"/>
  <c r="N116" i="46"/>
  <c r="R92" i="46"/>
  <c r="J96" i="46"/>
  <c r="I102" i="46"/>
  <c r="L104" i="46"/>
  <c r="O106" i="46"/>
  <c r="R107" i="46"/>
  <c r="K110" i="46"/>
  <c r="N94" i="46"/>
  <c r="I98" i="46"/>
  <c r="K100" i="46"/>
  <c r="R113" i="46"/>
  <c r="H115" i="46"/>
  <c r="K96" i="46"/>
  <c r="K102" i="46"/>
  <c r="N104" i="46"/>
  <c r="I109" i="46"/>
  <c r="L110" i="46"/>
  <c r="K98" i="46"/>
  <c r="L100" i="46"/>
  <c r="L116" i="46"/>
  <c r="N98" i="46"/>
  <c r="H108" i="46"/>
  <c r="N110" i="46"/>
  <c r="G113" i="46"/>
  <c r="G93" i="46"/>
  <c r="N97" i="46"/>
  <c r="O98" i="46"/>
  <c r="L109" i="46"/>
  <c r="O110" i="46"/>
  <c r="R111" i="46"/>
  <c r="H113" i="46"/>
  <c r="K114" i="46"/>
  <c r="L92" i="46"/>
  <c r="R96" i="46"/>
  <c r="R103" i="46"/>
  <c r="H105" i="46"/>
  <c r="H106" i="46"/>
  <c r="J107" i="46"/>
  <c r="N108" i="46"/>
  <c r="G111" i="46"/>
  <c r="L91" i="46"/>
  <c r="N92" i="46"/>
  <c r="H93" i="46"/>
  <c r="J94" i="46"/>
  <c r="R94" i="46"/>
  <c r="L95" i="46"/>
  <c r="N96" i="46"/>
  <c r="H97" i="46"/>
  <c r="J98" i="46"/>
  <c r="R98" i="46"/>
  <c r="L99" i="46"/>
  <c r="N100" i="46"/>
  <c r="H101" i="46"/>
  <c r="J102" i="46"/>
  <c r="R102" i="46"/>
  <c r="L103" i="46"/>
  <c r="G104" i="46"/>
  <c r="K105" i="46"/>
  <c r="G106" i="46"/>
  <c r="K107" i="46"/>
  <c r="G108" i="46"/>
  <c r="K109" i="46"/>
  <c r="G110" i="46"/>
  <c r="K111" i="46"/>
  <c r="G112" i="46"/>
  <c r="K113" i="46"/>
  <c r="G114" i="46"/>
  <c r="K115" i="46"/>
  <c r="G116" i="46"/>
  <c r="N91" i="46"/>
  <c r="H92" i="46"/>
  <c r="J93" i="46"/>
  <c r="R93" i="46"/>
  <c r="L94" i="46"/>
  <c r="N95" i="46"/>
  <c r="H96" i="46"/>
  <c r="J97" i="46"/>
  <c r="R97" i="46"/>
  <c r="L98" i="46"/>
  <c r="N99" i="46"/>
  <c r="H100" i="46"/>
  <c r="J101" i="46"/>
  <c r="R101" i="46"/>
  <c r="L102" i="46"/>
  <c r="N103" i="46"/>
  <c r="I104" i="46"/>
  <c r="R104" i="46"/>
  <c r="N105" i="46"/>
  <c r="I106" i="46"/>
  <c r="R106" i="46"/>
  <c r="N107" i="46"/>
  <c r="I108" i="46"/>
  <c r="R108" i="46"/>
  <c r="N109" i="46"/>
  <c r="I110" i="46"/>
  <c r="R110" i="46"/>
  <c r="N111" i="46"/>
  <c r="I112" i="46"/>
  <c r="N113" i="46"/>
  <c r="I114" i="46"/>
  <c r="R114" i="46"/>
  <c r="N115" i="46"/>
  <c r="I116" i="46"/>
  <c r="R116" i="46"/>
  <c r="I92" i="46"/>
  <c r="G95" i="46"/>
  <c r="G99" i="46"/>
  <c r="O99" i="46"/>
  <c r="I100" i="46"/>
  <c r="K101" i="46"/>
  <c r="G103" i="46"/>
  <c r="O103" i="46"/>
  <c r="J104" i="46"/>
  <c r="J106" i="46"/>
  <c r="O107" i="46"/>
  <c r="J108" i="46"/>
  <c r="O109" i="46"/>
  <c r="J110" i="46"/>
  <c r="O111" i="46"/>
  <c r="J112" i="46"/>
  <c r="O113" i="46"/>
  <c r="J114" i="46"/>
  <c r="O115" i="46"/>
  <c r="J116" i="46"/>
  <c r="G91" i="46"/>
  <c r="O91" i="46"/>
  <c r="K93" i="46"/>
  <c r="O95" i="46"/>
  <c r="I96" i="46"/>
  <c r="K97" i="46"/>
  <c r="O105" i="46"/>
  <c r="M48" i="46"/>
  <c r="M8" i="46"/>
  <c r="M24" i="46"/>
  <c r="M31" i="46"/>
  <c r="M39" i="46"/>
  <c r="M47" i="46"/>
  <c r="M72" i="46"/>
  <c r="M81" i="46"/>
  <c r="M89" i="46"/>
  <c r="M122" i="46"/>
  <c r="M12" i="46"/>
  <c r="M28" i="46"/>
  <c r="M43" i="46"/>
  <c r="M51" i="46"/>
  <c r="M76" i="46"/>
  <c r="M85" i="46"/>
  <c r="M126" i="46"/>
  <c r="M118" i="46"/>
  <c r="M52" i="46"/>
  <c r="M61" i="46"/>
  <c r="M86" i="46"/>
  <c r="M119" i="46"/>
  <c r="M127" i="46"/>
  <c r="M82" i="46"/>
  <c r="M33" i="46"/>
  <c r="M117" i="46"/>
  <c r="M6" i="46"/>
  <c r="M22" i="46"/>
  <c r="M53" i="46"/>
  <c r="M70" i="46"/>
  <c r="M79" i="46"/>
  <c r="M87" i="46"/>
  <c r="M120" i="46"/>
  <c r="M128" i="46"/>
  <c r="M9" i="46"/>
  <c r="M25" i="46"/>
  <c r="M32" i="46"/>
  <c r="M40" i="46"/>
  <c r="M73" i="46"/>
  <c r="M123" i="46"/>
  <c r="M26" i="46"/>
  <c r="M41" i="46"/>
  <c r="M49" i="46"/>
  <c r="M74" i="46"/>
  <c r="M83" i="46"/>
  <c r="M124" i="46"/>
  <c r="M27" i="46"/>
  <c r="M42" i="46"/>
  <c r="M75" i="46"/>
  <c r="M84" i="46"/>
  <c r="M125" i="46"/>
  <c r="M23" i="46"/>
  <c r="M30" i="46"/>
  <c r="M38" i="46"/>
  <c r="M46" i="46"/>
  <c r="M71" i="46"/>
  <c r="M80" i="46"/>
  <c r="M88" i="46"/>
  <c r="M121" i="46"/>
  <c r="M129" i="46"/>
  <c r="M29" i="46"/>
  <c r="M94" i="46" a="1"/>
  <c r="M96" i="46" a="1"/>
  <c r="R135" i="46" a="1"/>
  <c r="S6" i="46" a="1"/>
  <c r="M102" i="46" a="1"/>
  <c r="M101" i="46" a="1"/>
  <c r="M103" i="46" a="1"/>
  <c r="O141" i="46" a="1"/>
  <c r="M98" i="46" a="1"/>
  <c r="M97" i="46" a="1"/>
  <c r="M95" i="46" a="1"/>
  <c r="M99" i="46" a="1"/>
  <c r="R135" i="46" l="1"/>
  <c r="O141" i="46"/>
  <c r="CU182" i="45"/>
  <c r="S6" i="46"/>
  <c r="M98" i="46"/>
  <c r="M95" i="46"/>
  <c r="M103" i="46"/>
  <c r="M94" i="46"/>
  <c r="M99" i="46"/>
  <c r="M96" i="46"/>
  <c r="M102" i="46"/>
  <c r="M101" i="46"/>
  <c r="M97" i="46"/>
  <c r="R141" i="46" a="1"/>
  <c r="R141" i="46" l="1"/>
  <c r="CC133" i="45"/>
  <c r="CC134" i="45"/>
  <c r="CC135" i="45"/>
  <c r="CC136" i="45"/>
  <c r="CC137" i="45"/>
  <c r="CC138" i="45"/>
  <c r="CC139" i="45"/>
  <c r="CC140" i="45"/>
  <c r="CC141" i="45"/>
  <c r="CC142" i="45"/>
  <c r="CC143" i="45"/>
  <c r="CC144" i="45"/>
  <c r="CC145" i="45"/>
  <c r="CC146" i="45"/>
  <c r="CC147" i="45"/>
  <c r="CC148" i="45"/>
  <c r="CC149" i="45"/>
  <c r="CC150" i="45"/>
  <c r="CC151" i="45"/>
  <c r="CC152" i="45"/>
  <c r="CC153" i="45"/>
  <c r="CC154" i="45"/>
  <c r="CC155" i="45"/>
  <c r="CC156" i="45"/>
  <c r="CC157" i="45"/>
  <c r="CC132" i="45"/>
  <c r="F93" i="46" a="1"/>
  <c r="F98" i="46" a="1"/>
  <c r="F96" i="46" a="1"/>
  <c r="F94" i="46" a="1"/>
  <c r="F101" i="46" a="1"/>
  <c r="F102" i="46" a="1"/>
  <c r="F92" i="46" a="1"/>
  <c r="F97" i="46" a="1"/>
  <c r="F100" i="46" a="1"/>
  <c r="F91" i="46" a="1"/>
  <c r="F99" i="46" a="1"/>
  <c r="F103" i="46" a="1"/>
  <c r="F95" i="46" a="1"/>
  <c r="F102" i="46" l="1"/>
  <c r="F96" i="46"/>
  <c r="F91" i="46"/>
  <c r="F103" i="46"/>
  <c r="F101" i="46"/>
  <c r="F100" i="46"/>
  <c r="F99" i="46"/>
  <c r="F98" i="46"/>
  <c r="F97" i="46"/>
  <c r="F95" i="46"/>
  <c r="F94" i="46"/>
  <c r="F93" i="46"/>
  <c r="F92" i="46"/>
  <c r="DP144" i="45"/>
  <c r="DO144" i="45"/>
  <c r="DP142" i="45"/>
  <c r="DO142" i="45"/>
  <c r="DP141" i="45"/>
  <c r="DO141" i="45"/>
  <c r="DP140" i="45"/>
  <c r="DO140" i="45"/>
  <c r="DP139" i="45"/>
  <c r="DO139" i="45"/>
  <c r="DP138" i="45"/>
  <c r="DO138" i="45"/>
  <c r="DP137" i="45"/>
  <c r="DO137" i="45"/>
  <c r="DP136" i="45"/>
  <c r="DO136" i="45"/>
  <c r="DP135" i="45"/>
  <c r="DO135" i="45"/>
  <c r="DP134" i="45"/>
  <c r="DO134" i="45"/>
  <c r="DP133" i="45"/>
  <c r="DO133" i="45"/>
  <c r="DP132" i="45"/>
  <c r="M100" i="46" a="1"/>
  <c r="G128" i="46" a="1"/>
  <c r="G141" i="46" a="1"/>
  <c r="R112" i="46" a="1"/>
  <c r="R100" i="46" a="1"/>
  <c r="R100" i="46" l="1"/>
  <c r="M100" i="46"/>
  <c r="R112" i="46"/>
  <c r="G141" i="46"/>
  <c r="BQ82" i="45"/>
  <c r="G128" i="46"/>
  <c r="BQ81" i="45"/>
  <c r="DP169" i="45"/>
  <c r="DQ169" i="45" s="1"/>
  <c r="DQ139" i="45"/>
  <c r="DQ144" i="45"/>
  <c r="DQ140" i="45"/>
  <c r="DQ134" i="45"/>
  <c r="DQ135" i="45"/>
  <c r="DQ142" i="45"/>
  <c r="DQ136" i="45"/>
  <c r="DQ138" i="45"/>
  <c r="DQ141" i="45"/>
  <c r="DQ137" i="45"/>
  <c r="DO143" i="45"/>
  <c r="DP143" i="45"/>
  <c r="DO132" i="45"/>
  <c r="G83" i="46" a="1"/>
  <c r="G82" i="46" a="1"/>
  <c r="G83" i="46" l="1"/>
  <c r="G82" i="46"/>
  <c r="BQ88" i="45"/>
  <c r="CC88" i="45" s="1"/>
  <c r="BQ205" i="45"/>
  <c r="DQ143" i="45"/>
  <c r="U83" i="46" a="1"/>
  <c r="F89" i="46" a="1"/>
  <c r="U82" i="46" a="1"/>
  <c r="G89" i="46" a="1"/>
  <c r="F89" i="46" l="1"/>
  <c r="U83" i="46"/>
  <c r="G89" i="46"/>
  <c r="U82" i="46"/>
  <c r="S52" i="24"/>
  <c r="AE52" i="24" s="1"/>
  <c r="T52" i="24"/>
  <c r="T54" i="24" s="1"/>
  <c r="U52" i="24"/>
  <c r="U54" i="24" s="1"/>
  <c r="V52" i="24"/>
  <c r="V54" i="24" s="1"/>
  <c r="W52" i="24"/>
  <c r="W54" i="24" s="1"/>
  <c r="X52" i="24"/>
  <c r="X54" i="24" s="1"/>
  <c r="Y52" i="24"/>
  <c r="Y54" i="24" s="1"/>
  <c r="Z52" i="24"/>
  <c r="Z54" i="24" s="1"/>
  <c r="AA52" i="24"/>
  <c r="AA57" i="24" s="1"/>
  <c r="AB52" i="24"/>
  <c r="AB57" i="24" s="1"/>
  <c r="AC52" i="24"/>
  <c r="AC57" i="24" s="1"/>
  <c r="AD52" i="24"/>
  <c r="AD54" i="24" s="1"/>
  <c r="W57" i="24"/>
  <c r="X57" i="24"/>
  <c r="Y57" i="24"/>
  <c r="U89" i="46" a="1"/>
  <c r="AE54" i="24" l="1"/>
  <c r="AE57" i="24"/>
  <c r="AF52" i="24"/>
  <c r="V57" i="24"/>
  <c r="U57" i="24"/>
  <c r="T57" i="24"/>
  <c r="AB54" i="24"/>
  <c r="Z57" i="24"/>
  <c r="S57" i="24"/>
  <c r="S54" i="24"/>
  <c r="U89" i="46"/>
  <c r="AA54" i="24"/>
  <c r="AD57" i="24"/>
  <c r="AC54" i="24"/>
  <c r="AF57" i="24" l="1"/>
  <c r="AF54" i="24"/>
  <c r="BN188" i="22"/>
  <c r="BO188" i="22"/>
  <c r="BP188" i="22"/>
  <c r="BQ188" i="22"/>
  <c r="BR188" i="22"/>
  <c r="BS188" i="22"/>
  <c r="BT188" i="22"/>
  <c r="BU188" i="22"/>
  <c r="BV188" i="22"/>
  <c r="BW188" i="22"/>
  <c r="BN189" i="22"/>
  <c r="BO189" i="22"/>
  <c r="BP189" i="22"/>
  <c r="BQ189" i="22"/>
  <c r="BR189" i="22"/>
  <c r="BS189" i="22"/>
  <c r="BT189" i="22"/>
  <c r="BU189" i="22"/>
  <c r="BV189" i="22"/>
  <c r="BW189" i="22"/>
  <c r="BN190" i="22"/>
  <c r="BO190" i="22"/>
  <c r="BP190" i="22"/>
  <c r="BQ190" i="22"/>
  <c r="BR190" i="22"/>
  <c r="BS190" i="22"/>
  <c r="BT190" i="22"/>
  <c r="BU190" i="22"/>
  <c r="BV190" i="22"/>
  <c r="BW190" i="22"/>
  <c r="BN191" i="22"/>
  <c r="BO191" i="22"/>
  <c r="BP191" i="22"/>
  <c r="BQ191" i="22"/>
  <c r="BR191" i="22"/>
  <c r="BS191" i="22"/>
  <c r="BT191" i="22"/>
  <c r="BU191" i="22"/>
  <c r="BV191" i="22"/>
  <c r="BW191" i="22"/>
  <c r="BN192" i="22"/>
  <c r="BO192" i="22"/>
  <c r="BP192" i="22"/>
  <c r="BQ192" i="22"/>
  <c r="BR192" i="22"/>
  <c r="BS192" i="22"/>
  <c r="BT192" i="22"/>
  <c r="BU192" i="22"/>
  <c r="BV192" i="22"/>
  <c r="BW192" i="22"/>
  <c r="BN193" i="22"/>
  <c r="BO193" i="22"/>
  <c r="BP193" i="22"/>
  <c r="BQ193" i="22"/>
  <c r="BR193" i="22"/>
  <c r="BS193" i="22"/>
  <c r="BT193" i="22"/>
  <c r="BU193" i="22"/>
  <c r="BV193" i="22"/>
  <c r="BW193" i="22"/>
  <c r="BN194" i="22"/>
  <c r="BO194" i="22"/>
  <c r="BP194" i="22"/>
  <c r="BQ194" i="22"/>
  <c r="BR194" i="22"/>
  <c r="BS194" i="22"/>
  <c r="BT194" i="22"/>
  <c r="BU194" i="22"/>
  <c r="BV194" i="22"/>
  <c r="BW194" i="22"/>
  <c r="BN195" i="22"/>
  <c r="BO195" i="22"/>
  <c r="BP195" i="22"/>
  <c r="BQ195" i="22"/>
  <c r="BR195" i="22"/>
  <c r="BS195" i="22"/>
  <c r="BT195" i="22"/>
  <c r="BU195" i="22"/>
  <c r="BV195" i="22"/>
  <c r="BW195" i="22"/>
  <c r="BN196" i="22"/>
  <c r="BO196" i="22"/>
  <c r="BP196" i="22"/>
  <c r="BQ196" i="22"/>
  <c r="BR196" i="22"/>
  <c r="BS196" i="22"/>
  <c r="BT196" i="22"/>
  <c r="BU196" i="22"/>
  <c r="BV196" i="22"/>
  <c r="BW196" i="22"/>
  <c r="BN197" i="22"/>
  <c r="BO197" i="22"/>
  <c r="BP197" i="22"/>
  <c r="BQ197" i="22"/>
  <c r="BR197" i="22"/>
  <c r="BS197" i="22"/>
  <c r="BT197" i="22"/>
  <c r="BU197" i="22"/>
  <c r="BV197" i="22"/>
  <c r="BW197" i="22"/>
  <c r="BN198" i="22"/>
  <c r="BO198" i="22"/>
  <c r="BP198" i="22"/>
  <c r="BQ198" i="22"/>
  <c r="BR198" i="22"/>
  <c r="BS198" i="22"/>
  <c r="BT198" i="22"/>
  <c r="BU198" i="22"/>
  <c r="BV198" i="22"/>
  <c r="BW198" i="22"/>
  <c r="BN199" i="22"/>
  <c r="BO199" i="22"/>
  <c r="BP199" i="22"/>
  <c r="BQ199" i="22"/>
  <c r="BR199" i="22"/>
  <c r="BS199" i="22"/>
  <c r="BT199" i="22"/>
  <c r="BU199" i="22"/>
  <c r="BV199" i="22"/>
  <c r="BW199" i="22"/>
  <c r="BN200" i="22"/>
  <c r="BO200" i="22"/>
  <c r="BP200" i="22"/>
  <c r="BQ200" i="22"/>
  <c r="BR200" i="22"/>
  <c r="BS200" i="22"/>
  <c r="BT200" i="22"/>
  <c r="BU200" i="22"/>
  <c r="BV200" i="22"/>
  <c r="BW200" i="22"/>
  <c r="BN201" i="22"/>
  <c r="BO201" i="22"/>
  <c r="BP201" i="22"/>
  <c r="BQ201" i="22"/>
  <c r="BR201" i="22"/>
  <c r="BS201" i="22"/>
  <c r="BT201" i="22"/>
  <c r="BU201" i="22"/>
  <c r="BV201" i="22"/>
  <c r="BW201" i="22"/>
  <c r="BN202" i="22"/>
  <c r="BO202" i="22"/>
  <c r="BP202" i="22"/>
  <c r="BQ202" i="22"/>
  <c r="BR202" i="22"/>
  <c r="BS202" i="22"/>
  <c r="BT202" i="22"/>
  <c r="BU202" i="22"/>
  <c r="BV202" i="22"/>
  <c r="BW202" i="22"/>
  <c r="BN203" i="22"/>
  <c r="BO203" i="22"/>
  <c r="BP203" i="22"/>
  <c r="BQ203" i="22"/>
  <c r="BR203" i="22"/>
  <c r="BS203" i="22"/>
  <c r="BT203" i="22"/>
  <c r="BU203" i="22"/>
  <c r="BV203" i="22"/>
  <c r="BW203" i="22"/>
  <c r="BL195" i="22"/>
  <c r="BL196" i="22"/>
  <c r="BL197" i="22"/>
  <c r="BL198" i="22"/>
  <c r="BL199" i="22"/>
  <c r="BL200" i="22"/>
  <c r="BL201" i="22"/>
  <c r="BL202" i="22"/>
  <c r="BL203" i="22"/>
  <c r="BL194" i="22"/>
  <c r="BL190" i="22"/>
  <c r="BL191" i="22"/>
  <c r="BL192" i="22"/>
  <c r="BL193" i="22"/>
  <c r="BL189" i="22"/>
  <c r="BL188" i="22"/>
  <c r="BN161" i="22"/>
  <c r="BO161" i="22"/>
  <c r="BP161" i="22"/>
  <c r="BQ161" i="22"/>
  <c r="BR161" i="22"/>
  <c r="BS161" i="22"/>
  <c r="BT161" i="22"/>
  <c r="BU161" i="22"/>
  <c r="BV161" i="22"/>
  <c r="BW161" i="22"/>
  <c r="BN162" i="22"/>
  <c r="BO162" i="22"/>
  <c r="BP162" i="22"/>
  <c r="BQ162" i="22"/>
  <c r="BR162" i="22"/>
  <c r="BS162" i="22"/>
  <c r="BT162" i="22"/>
  <c r="BU162" i="22"/>
  <c r="BV162" i="22"/>
  <c r="BW162" i="22"/>
  <c r="BN163" i="22"/>
  <c r="BO163" i="22"/>
  <c r="BP163" i="22"/>
  <c r="BQ163" i="22"/>
  <c r="BR163" i="22"/>
  <c r="BS163" i="22"/>
  <c r="BT163" i="22"/>
  <c r="BU163" i="22"/>
  <c r="BV163" i="22"/>
  <c r="BW163" i="22"/>
  <c r="BN164" i="22"/>
  <c r="BO164" i="22"/>
  <c r="BP164" i="22"/>
  <c r="BQ164" i="22"/>
  <c r="BR164" i="22"/>
  <c r="BS164" i="22"/>
  <c r="BT164" i="22"/>
  <c r="BU164" i="22"/>
  <c r="BV164" i="22"/>
  <c r="BW164" i="22"/>
  <c r="BN165" i="22"/>
  <c r="BO165" i="22"/>
  <c r="BP165" i="22"/>
  <c r="BQ165" i="22"/>
  <c r="BR165" i="22"/>
  <c r="BS165" i="22"/>
  <c r="BT165" i="22"/>
  <c r="BU165" i="22"/>
  <c r="BV165" i="22"/>
  <c r="BW165" i="22"/>
  <c r="BN166" i="22"/>
  <c r="BO166" i="22"/>
  <c r="BP166" i="22"/>
  <c r="BQ166" i="22"/>
  <c r="BR166" i="22"/>
  <c r="BS166" i="22"/>
  <c r="BT166" i="22"/>
  <c r="BU166" i="22"/>
  <c r="BV166" i="22"/>
  <c r="BW166" i="22"/>
  <c r="BN167" i="22"/>
  <c r="BO167" i="22"/>
  <c r="BP167" i="22"/>
  <c r="BQ167" i="22"/>
  <c r="BR167" i="22"/>
  <c r="BS167" i="22"/>
  <c r="BT167" i="22"/>
  <c r="BU167" i="22"/>
  <c r="BV167" i="22"/>
  <c r="BW167" i="22"/>
  <c r="BN168" i="22"/>
  <c r="BO168" i="22"/>
  <c r="BP168" i="22"/>
  <c r="BQ168" i="22"/>
  <c r="BR168" i="22"/>
  <c r="BS168" i="22"/>
  <c r="BT168" i="22"/>
  <c r="BU168" i="22"/>
  <c r="BV168" i="22"/>
  <c r="BW168" i="22"/>
  <c r="BN169" i="22"/>
  <c r="BO169" i="22"/>
  <c r="BP169" i="22"/>
  <c r="BQ169" i="22"/>
  <c r="BR169" i="22"/>
  <c r="BS169" i="22"/>
  <c r="BT169" i="22"/>
  <c r="BU169" i="22"/>
  <c r="BV169" i="22"/>
  <c r="BW169" i="22"/>
  <c r="BN170" i="22"/>
  <c r="BO170" i="22"/>
  <c r="BP170" i="22"/>
  <c r="BQ170" i="22"/>
  <c r="BR170" i="22"/>
  <c r="BS170" i="22"/>
  <c r="BT170" i="22"/>
  <c r="BU170" i="22"/>
  <c r="BV170" i="22"/>
  <c r="BW170" i="22"/>
  <c r="BL162" i="22"/>
  <c r="BL163" i="22"/>
  <c r="BL164" i="22"/>
  <c r="BL165" i="22"/>
  <c r="BL166" i="22"/>
  <c r="BL167" i="22"/>
  <c r="BL168" i="22"/>
  <c r="BL169" i="22"/>
  <c r="BL170" i="22"/>
  <c r="BL161" i="22"/>
  <c r="BL157" i="22"/>
  <c r="BN157" i="22"/>
  <c r="BO157" i="22"/>
  <c r="BP157" i="22"/>
  <c r="BQ157" i="22"/>
  <c r="BR157" i="22"/>
  <c r="BS157" i="22"/>
  <c r="BT157" i="22"/>
  <c r="BU157" i="22"/>
  <c r="BV157" i="22"/>
  <c r="BW157" i="22"/>
  <c r="BL158" i="22"/>
  <c r="BN158" i="22"/>
  <c r="BO158" i="22"/>
  <c r="BP158" i="22"/>
  <c r="BQ158" i="22"/>
  <c r="BR158" i="22"/>
  <c r="BS158" i="22"/>
  <c r="BT158" i="22"/>
  <c r="BU158" i="22"/>
  <c r="BV158" i="22"/>
  <c r="BW158" i="22"/>
  <c r="BL159" i="22"/>
  <c r="BN159" i="22"/>
  <c r="BO159" i="22"/>
  <c r="BP159" i="22"/>
  <c r="BQ159" i="22"/>
  <c r="BR159" i="22"/>
  <c r="BS159" i="22"/>
  <c r="BT159" i="22"/>
  <c r="BU159" i="22"/>
  <c r="BV159" i="22"/>
  <c r="BW159" i="22"/>
  <c r="BL160" i="22"/>
  <c r="BN160" i="22"/>
  <c r="BO160" i="22"/>
  <c r="BP160" i="22"/>
  <c r="BQ160" i="22"/>
  <c r="BR160" i="22"/>
  <c r="BS160" i="22"/>
  <c r="BT160" i="22"/>
  <c r="BU160" i="22"/>
  <c r="BV160" i="22"/>
  <c r="BW160" i="22"/>
  <c r="BN156" i="22"/>
  <c r="BO156" i="22"/>
  <c r="BP156" i="22"/>
  <c r="BQ156" i="22"/>
  <c r="BR156" i="22"/>
  <c r="BS156" i="22"/>
  <c r="BT156" i="22"/>
  <c r="BU156" i="22"/>
  <c r="BV156" i="22"/>
  <c r="BW156" i="22"/>
  <c r="BL156" i="22"/>
  <c r="BN155" i="22"/>
  <c r="BO155" i="22"/>
  <c r="BP155" i="22"/>
  <c r="BQ155" i="22"/>
  <c r="BR155" i="22"/>
  <c r="BS155" i="22"/>
  <c r="BT155" i="22"/>
  <c r="BU155" i="22"/>
  <c r="BV155" i="22"/>
  <c r="BW155" i="22"/>
  <c r="BL155" i="22"/>
  <c r="E54" i="32"/>
  <c r="F54" i="32"/>
  <c r="G54" i="32"/>
  <c r="H54" i="32"/>
  <c r="I54" i="32"/>
  <c r="J54" i="32"/>
  <c r="K54" i="32"/>
  <c r="L54" i="32"/>
  <c r="M54" i="32"/>
  <c r="N54" i="32"/>
  <c r="O54" i="32"/>
  <c r="E55" i="32"/>
  <c r="F55" i="32"/>
  <c r="G55" i="32"/>
  <c r="H55" i="32"/>
  <c r="I55" i="32"/>
  <c r="J55" i="32"/>
  <c r="K55" i="32"/>
  <c r="L55" i="32"/>
  <c r="M55" i="32"/>
  <c r="N55" i="32"/>
  <c r="O55" i="32"/>
  <c r="E56" i="32"/>
  <c r="F56" i="32"/>
  <c r="G56" i="32"/>
  <c r="H56" i="32"/>
  <c r="I56" i="32"/>
  <c r="J56" i="32"/>
  <c r="K56" i="32"/>
  <c r="L56" i="32"/>
  <c r="M56" i="32"/>
  <c r="N56" i="32"/>
  <c r="O56" i="32"/>
  <c r="E57" i="32"/>
  <c r="F57" i="32"/>
  <c r="G57" i="32"/>
  <c r="H57" i="32"/>
  <c r="I57" i="32"/>
  <c r="J57" i="32"/>
  <c r="K57" i="32"/>
  <c r="L57" i="32"/>
  <c r="M57" i="32"/>
  <c r="N57" i="32"/>
  <c r="O57" i="32"/>
  <c r="E58" i="32"/>
  <c r="F58" i="32"/>
  <c r="G58" i="32"/>
  <c r="H58" i="32"/>
  <c r="I58" i="32"/>
  <c r="J58" i="32"/>
  <c r="K58" i="32"/>
  <c r="L58" i="32"/>
  <c r="M58" i="32"/>
  <c r="N58" i="32"/>
  <c r="O58" i="32"/>
  <c r="E59" i="32"/>
  <c r="F59" i="32"/>
  <c r="G59" i="32"/>
  <c r="H59" i="32"/>
  <c r="I59" i="32"/>
  <c r="J59" i="32"/>
  <c r="K59" i="32"/>
  <c r="L59" i="32"/>
  <c r="M59" i="32"/>
  <c r="N59" i="32"/>
  <c r="O59" i="32"/>
  <c r="E60" i="32"/>
  <c r="F60" i="32"/>
  <c r="G60" i="32"/>
  <c r="H60" i="32"/>
  <c r="I60" i="32"/>
  <c r="J60" i="32"/>
  <c r="K60" i="32"/>
  <c r="L60" i="32"/>
  <c r="M60" i="32"/>
  <c r="N60" i="32"/>
  <c r="O60" i="32"/>
  <c r="E61" i="32"/>
  <c r="F61" i="32"/>
  <c r="G61" i="32"/>
  <c r="H61" i="32"/>
  <c r="I61" i="32"/>
  <c r="J61" i="32"/>
  <c r="K61" i="32"/>
  <c r="L61" i="32"/>
  <c r="M61" i="32"/>
  <c r="N61" i="32"/>
  <c r="O61" i="32"/>
  <c r="E62" i="32"/>
  <c r="F62" i="32"/>
  <c r="G62" i="32"/>
  <c r="H62" i="32"/>
  <c r="I62" i="32"/>
  <c r="J62" i="32"/>
  <c r="K62" i="32"/>
  <c r="L62" i="32"/>
  <c r="M62" i="32"/>
  <c r="N62" i="32"/>
  <c r="O62" i="32"/>
  <c r="E63" i="32"/>
  <c r="F63" i="32"/>
  <c r="G63" i="32"/>
  <c r="H63" i="32"/>
  <c r="I63" i="32"/>
  <c r="J63" i="32"/>
  <c r="K63" i="32"/>
  <c r="L63" i="32"/>
  <c r="M63" i="32"/>
  <c r="N63" i="32"/>
  <c r="O63" i="32"/>
  <c r="E64" i="32"/>
  <c r="F64" i="32"/>
  <c r="G64" i="32"/>
  <c r="H64" i="32"/>
  <c r="I64" i="32"/>
  <c r="J64" i="32"/>
  <c r="K64" i="32"/>
  <c r="L64" i="32"/>
  <c r="M64" i="32"/>
  <c r="N64" i="32"/>
  <c r="O64" i="32"/>
  <c r="E65" i="32"/>
  <c r="F65" i="32"/>
  <c r="G65" i="32"/>
  <c r="H65" i="32"/>
  <c r="I65" i="32"/>
  <c r="J65" i="32"/>
  <c r="K65" i="32"/>
  <c r="L65" i="32"/>
  <c r="M65" i="32"/>
  <c r="N65" i="32"/>
  <c r="O65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T54" i="32"/>
  <c r="U54" i="32"/>
  <c r="V54" i="32"/>
  <c r="W54" i="32"/>
  <c r="X54" i="32"/>
  <c r="Y54" i="32"/>
  <c r="Z54" i="32"/>
  <c r="AA54" i="32"/>
  <c r="AB54" i="32"/>
  <c r="AC54" i="32"/>
  <c r="AD54" i="32"/>
  <c r="T55" i="32"/>
  <c r="U55" i="32"/>
  <c r="V55" i="32"/>
  <c r="W55" i="32"/>
  <c r="X55" i="32"/>
  <c r="Y55" i="32"/>
  <c r="Z55" i="32"/>
  <c r="AA55" i="32"/>
  <c r="AB55" i="32"/>
  <c r="AC55" i="32"/>
  <c r="AD55" i="32"/>
  <c r="T56" i="32"/>
  <c r="U56" i="32"/>
  <c r="V56" i="32"/>
  <c r="W56" i="32"/>
  <c r="X56" i="32"/>
  <c r="Y56" i="32"/>
  <c r="Z56" i="32"/>
  <c r="AA56" i="32"/>
  <c r="AB56" i="32"/>
  <c r="AC56" i="32"/>
  <c r="AD56" i="32"/>
  <c r="T57" i="32"/>
  <c r="U57" i="32"/>
  <c r="V57" i="32"/>
  <c r="W57" i="32"/>
  <c r="X57" i="32"/>
  <c r="Y57" i="32"/>
  <c r="Z57" i="32"/>
  <c r="AA57" i="32"/>
  <c r="AB57" i="32"/>
  <c r="AC57" i="32"/>
  <c r="AD57" i="32"/>
  <c r="T58" i="32"/>
  <c r="U58" i="32"/>
  <c r="V58" i="32"/>
  <c r="W58" i="32"/>
  <c r="X58" i="32"/>
  <c r="Y58" i="32"/>
  <c r="Z58" i="32"/>
  <c r="AA58" i="32"/>
  <c r="AB58" i="32"/>
  <c r="AC58" i="32"/>
  <c r="AD58" i="32"/>
  <c r="T59" i="32"/>
  <c r="U59" i="32"/>
  <c r="V59" i="32"/>
  <c r="W59" i="32"/>
  <c r="X59" i="32"/>
  <c r="Y59" i="32"/>
  <c r="Z59" i="32"/>
  <c r="AA59" i="32"/>
  <c r="AB59" i="32"/>
  <c r="AC59" i="32"/>
  <c r="AD59" i="32"/>
  <c r="T60" i="32"/>
  <c r="U60" i="32"/>
  <c r="V60" i="32"/>
  <c r="W60" i="32"/>
  <c r="X60" i="32"/>
  <c r="Y60" i="32"/>
  <c r="Z60" i="32"/>
  <c r="AA60" i="32"/>
  <c r="AB60" i="32"/>
  <c r="AC60" i="32"/>
  <c r="AD60" i="32"/>
  <c r="T61" i="32"/>
  <c r="U61" i="32"/>
  <c r="V61" i="32"/>
  <c r="W61" i="32"/>
  <c r="X61" i="32"/>
  <c r="Y61" i="32"/>
  <c r="Z61" i="32"/>
  <c r="AA61" i="32"/>
  <c r="AB61" i="32"/>
  <c r="AC61" i="32"/>
  <c r="AD61" i="32"/>
  <c r="T62" i="32"/>
  <c r="U62" i="32"/>
  <c r="V62" i="32"/>
  <c r="W62" i="32"/>
  <c r="X62" i="32"/>
  <c r="Y62" i="32"/>
  <c r="Z62" i="32"/>
  <c r="AA62" i="32"/>
  <c r="AB62" i="32"/>
  <c r="AC62" i="32"/>
  <c r="AD62" i="32"/>
  <c r="T63" i="32"/>
  <c r="U63" i="32"/>
  <c r="V63" i="32"/>
  <c r="W63" i="32"/>
  <c r="X63" i="32"/>
  <c r="Y63" i="32"/>
  <c r="Z63" i="32"/>
  <c r="AA63" i="32"/>
  <c r="AB63" i="32"/>
  <c r="AC63" i="32"/>
  <c r="AD63" i="32"/>
  <c r="T64" i="32"/>
  <c r="U64" i="32"/>
  <c r="V64" i="32"/>
  <c r="W64" i="32"/>
  <c r="X64" i="32"/>
  <c r="Y64" i="32"/>
  <c r="Z64" i="32"/>
  <c r="AA64" i="32"/>
  <c r="AB64" i="32"/>
  <c r="AC64" i="32"/>
  <c r="AD64" i="32"/>
  <c r="T65" i="32"/>
  <c r="U65" i="32"/>
  <c r="V65" i="32"/>
  <c r="W65" i="32"/>
  <c r="X65" i="32"/>
  <c r="Y65" i="32"/>
  <c r="Z65" i="32"/>
  <c r="AA65" i="32"/>
  <c r="AB65" i="32"/>
  <c r="AC65" i="32"/>
  <c r="AD65" i="32"/>
  <c r="S65" i="32"/>
  <c r="S64" i="32"/>
  <c r="S63" i="32"/>
  <c r="S62" i="32"/>
  <c r="S61" i="32"/>
  <c r="S60" i="32"/>
  <c r="S59" i="32"/>
  <c r="S58" i="32"/>
  <c r="S57" i="32"/>
  <c r="S56" i="32"/>
  <c r="S55" i="32"/>
  <c r="S54" i="32"/>
  <c r="AH54" i="32"/>
  <c r="AI54" i="32"/>
  <c r="AJ54" i="32"/>
  <c r="AK54" i="32"/>
  <c r="AL54" i="32"/>
  <c r="AM54" i="32"/>
  <c r="AN54" i="32"/>
  <c r="AO54" i="32"/>
  <c r="AP54" i="32"/>
  <c r="AQ54" i="32"/>
  <c r="AR54" i="32"/>
  <c r="AS54" i="32"/>
  <c r="AI55" i="32"/>
  <c r="AJ55" i="32"/>
  <c r="AK55" i="32"/>
  <c r="AL55" i="32"/>
  <c r="AM55" i="32"/>
  <c r="AN55" i="32"/>
  <c r="AO55" i="32"/>
  <c r="AP55" i="32"/>
  <c r="AQ55" i="32"/>
  <c r="AR55" i="32"/>
  <c r="AS55" i="32"/>
  <c r="AI56" i="32"/>
  <c r="AJ56" i="32"/>
  <c r="AK56" i="32"/>
  <c r="AL56" i="32"/>
  <c r="AM56" i="32"/>
  <c r="AN56" i="32"/>
  <c r="AO56" i="32"/>
  <c r="AP56" i="32"/>
  <c r="AQ56" i="32"/>
  <c r="AR56" i="32"/>
  <c r="AS56" i="32"/>
  <c r="AI57" i="32"/>
  <c r="AJ57" i="32"/>
  <c r="AK57" i="32"/>
  <c r="AL57" i="32"/>
  <c r="AM57" i="32"/>
  <c r="AN57" i="32"/>
  <c r="AO57" i="32"/>
  <c r="AP57" i="32"/>
  <c r="AQ57" i="32"/>
  <c r="AR57" i="32"/>
  <c r="AS57" i="32"/>
  <c r="AI58" i="32"/>
  <c r="AJ58" i="32"/>
  <c r="AK58" i="32"/>
  <c r="AL58" i="32"/>
  <c r="AM58" i="32"/>
  <c r="AN58" i="32"/>
  <c r="AO58" i="32"/>
  <c r="AP58" i="32"/>
  <c r="AQ58" i="32"/>
  <c r="AR58" i="32"/>
  <c r="AS58" i="32"/>
  <c r="AI59" i="32"/>
  <c r="AJ59" i="32"/>
  <c r="AK59" i="32"/>
  <c r="AL59" i="32"/>
  <c r="AM59" i="32"/>
  <c r="AN59" i="32"/>
  <c r="AO59" i="32"/>
  <c r="AP59" i="32"/>
  <c r="AQ59" i="32"/>
  <c r="AR59" i="32"/>
  <c r="AS59" i="32"/>
  <c r="AI60" i="32"/>
  <c r="AJ60" i="32"/>
  <c r="AK60" i="32"/>
  <c r="AL60" i="32"/>
  <c r="AM60" i="32"/>
  <c r="AN60" i="32"/>
  <c r="AO60" i="32"/>
  <c r="AP60" i="32"/>
  <c r="AQ60" i="32"/>
  <c r="AR60" i="32"/>
  <c r="AS60" i="32"/>
  <c r="AI61" i="32"/>
  <c r="AJ61" i="32"/>
  <c r="AK61" i="32"/>
  <c r="AL61" i="32"/>
  <c r="AM61" i="32"/>
  <c r="AN61" i="32"/>
  <c r="AO61" i="32"/>
  <c r="AP61" i="32"/>
  <c r="AQ61" i="32"/>
  <c r="AR61" i="32"/>
  <c r="AS61" i="32"/>
  <c r="AI62" i="32"/>
  <c r="AJ62" i="32"/>
  <c r="AK62" i="32"/>
  <c r="AL62" i="32"/>
  <c r="AM62" i="32"/>
  <c r="AN62" i="32"/>
  <c r="AO62" i="32"/>
  <c r="AP62" i="32"/>
  <c r="AQ62" i="32"/>
  <c r="AR62" i="32"/>
  <c r="AS62" i="32"/>
  <c r="AI63" i="32"/>
  <c r="AJ63" i="32"/>
  <c r="AK63" i="32"/>
  <c r="AL63" i="32"/>
  <c r="AM63" i="32"/>
  <c r="AN63" i="32"/>
  <c r="AO63" i="32"/>
  <c r="AP63" i="32"/>
  <c r="AQ63" i="32"/>
  <c r="AR63" i="32"/>
  <c r="AS63" i="32"/>
  <c r="AI64" i="32"/>
  <c r="AJ64" i="32"/>
  <c r="AK64" i="32"/>
  <c r="AL64" i="32"/>
  <c r="AM64" i="32"/>
  <c r="AN64" i="32"/>
  <c r="AO64" i="32"/>
  <c r="AP64" i="32"/>
  <c r="AQ64" i="32"/>
  <c r="AR64" i="32"/>
  <c r="AS64" i="32"/>
  <c r="AI65" i="32"/>
  <c r="AJ65" i="32"/>
  <c r="AK65" i="32"/>
  <c r="AL65" i="32"/>
  <c r="AM65" i="32"/>
  <c r="AN65" i="32"/>
  <c r="AO65" i="32"/>
  <c r="AP65" i="32"/>
  <c r="AQ65" i="32"/>
  <c r="AR65" i="32"/>
  <c r="AS65" i="32"/>
  <c r="AH65" i="32"/>
  <c r="AH64" i="32"/>
  <c r="AH63" i="32"/>
  <c r="AH62" i="32"/>
  <c r="AH61" i="32"/>
  <c r="AH60" i="32"/>
  <c r="AH59" i="32"/>
  <c r="AH58" i="32"/>
  <c r="AH57" i="32"/>
  <c r="AH56" i="32"/>
  <c r="AH55" i="32"/>
  <c r="AY54" i="32"/>
  <c r="AZ54" i="32"/>
  <c r="BA54" i="32"/>
  <c r="BB54" i="32"/>
  <c r="BC54" i="32"/>
  <c r="BD54" i="32"/>
  <c r="BE54" i="32"/>
  <c r="BF54" i="32"/>
  <c r="BG54" i="32"/>
  <c r="BH54" i="32"/>
  <c r="AW54" i="32"/>
  <c r="AW60" i="32"/>
  <c r="AY55" i="32"/>
  <c r="AZ55" i="32"/>
  <c r="BA55" i="32"/>
  <c r="BB55" i="32"/>
  <c r="BC55" i="32"/>
  <c r="BD55" i="32"/>
  <c r="BE55" i="32"/>
  <c r="BF55" i="32"/>
  <c r="BG55" i="32"/>
  <c r="BH55" i="32"/>
  <c r="AY56" i="32"/>
  <c r="AZ56" i="32"/>
  <c r="BA56" i="32"/>
  <c r="BB56" i="32"/>
  <c r="BC56" i="32"/>
  <c r="BD56" i="32"/>
  <c r="BE56" i="32"/>
  <c r="BF56" i="32"/>
  <c r="BG56" i="32"/>
  <c r="BH56" i="32"/>
  <c r="AY57" i="32"/>
  <c r="AZ57" i="32"/>
  <c r="BA57" i="32"/>
  <c r="BB57" i="32"/>
  <c r="BC57" i="32"/>
  <c r="BD57" i="32"/>
  <c r="BE57" i="32"/>
  <c r="BF57" i="32"/>
  <c r="BG57" i="32"/>
  <c r="BH57" i="32"/>
  <c r="AY58" i="32"/>
  <c r="AZ58" i="32"/>
  <c r="BA58" i="32"/>
  <c r="BB58" i="32"/>
  <c r="BC58" i="32"/>
  <c r="BD58" i="32"/>
  <c r="BE58" i="32"/>
  <c r="BF58" i="32"/>
  <c r="BG58" i="32"/>
  <c r="BH58" i="32"/>
  <c r="AY59" i="32"/>
  <c r="AZ59" i="32"/>
  <c r="BA59" i="32"/>
  <c r="BB59" i="32"/>
  <c r="BC59" i="32"/>
  <c r="BD59" i="32"/>
  <c r="BE59" i="32"/>
  <c r="BF59" i="32"/>
  <c r="BG59" i="32"/>
  <c r="BH59" i="32"/>
  <c r="AW56" i="32"/>
  <c r="AW57" i="32"/>
  <c r="AW58" i="32"/>
  <c r="AW59" i="32"/>
  <c r="AW55" i="32"/>
  <c r="AY61" i="32"/>
  <c r="AZ61" i="32"/>
  <c r="BA61" i="32"/>
  <c r="BB61" i="32"/>
  <c r="BC61" i="32"/>
  <c r="BD61" i="32"/>
  <c r="BE61" i="32"/>
  <c r="BF61" i="32"/>
  <c r="BG61" i="32"/>
  <c r="BH61" i="32"/>
  <c r="AY62" i="32"/>
  <c r="AZ62" i="32"/>
  <c r="BA62" i="32"/>
  <c r="BB62" i="32"/>
  <c r="BC62" i="32"/>
  <c r="BD62" i="32"/>
  <c r="BE62" i="32"/>
  <c r="BF62" i="32"/>
  <c r="BG62" i="32"/>
  <c r="BH62" i="32"/>
  <c r="AY63" i="32"/>
  <c r="AZ63" i="32"/>
  <c r="BA63" i="32"/>
  <c r="BB63" i="32"/>
  <c r="BC63" i="32"/>
  <c r="BD63" i="32"/>
  <c r="BE63" i="32"/>
  <c r="BF63" i="32"/>
  <c r="BG63" i="32"/>
  <c r="BH63" i="32"/>
  <c r="AY64" i="32"/>
  <c r="AZ64" i="32"/>
  <c r="BA64" i="32"/>
  <c r="BB64" i="32"/>
  <c r="BC64" i="32"/>
  <c r="BD64" i="32"/>
  <c r="BE64" i="32"/>
  <c r="BF64" i="32"/>
  <c r="BG64" i="32"/>
  <c r="BH64" i="32"/>
  <c r="AY65" i="32"/>
  <c r="AZ65" i="32"/>
  <c r="BA65" i="32"/>
  <c r="BB65" i="32"/>
  <c r="BC65" i="32"/>
  <c r="BD65" i="32"/>
  <c r="BE65" i="32"/>
  <c r="BF65" i="32"/>
  <c r="BG65" i="32"/>
  <c r="BH65" i="32"/>
  <c r="AW62" i="32"/>
  <c r="AW63" i="32"/>
  <c r="AW64" i="32"/>
  <c r="AW65" i="32"/>
  <c r="BJ61" i="32"/>
  <c r="BI61" i="32" s="1"/>
  <c r="AW61" i="32"/>
  <c r="BY161" i="22" l="1"/>
  <c r="W16" i="26" s="1"/>
  <c r="CC161" i="22"/>
  <c r="CD161" i="22"/>
  <c r="BY193" i="22"/>
  <c r="Z15" i="26" s="1"/>
  <c r="CD193" i="22"/>
  <c r="CC193" i="22"/>
  <c r="BY170" i="22"/>
  <c r="W25" i="26" s="1"/>
  <c r="CC170" i="22"/>
  <c r="CD170" i="22"/>
  <c r="BY192" i="22"/>
  <c r="Z14" i="26" s="1"/>
  <c r="CC192" i="22"/>
  <c r="CD192" i="22"/>
  <c r="BY156" i="22"/>
  <c r="W11" i="26" s="1"/>
  <c r="CD156" i="22"/>
  <c r="CC156" i="22"/>
  <c r="BY159" i="22"/>
  <c r="W14" i="26" s="1"/>
  <c r="CC159" i="22"/>
  <c r="CD159" i="22"/>
  <c r="BY162" i="22"/>
  <c r="W17" i="26" s="1"/>
  <c r="CD162" i="22"/>
  <c r="CC162" i="22"/>
  <c r="BY199" i="22"/>
  <c r="Z21" i="26" s="1"/>
  <c r="CC199" i="22"/>
  <c r="CD199" i="22"/>
  <c r="BY198" i="22"/>
  <c r="Z20" i="26" s="1"/>
  <c r="CD198" i="22"/>
  <c r="CC198" i="22"/>
  <c r="BY163" i="22"/>
  <c r="W18" i="26" s="1"/>
  <c r="CD163" i="22"/>
  <c r="CC163" i="22"/>
  <c r="BY197" i="22"/>
  <c r="Z19" i="26" s="1"/>
  <c r="CD197" i="22"/>
  <c r="CC197" i="22"/>
  <c r="BY196" i="22"/>
  <c r="Z18" i="26" s="1"/>
  <c r="CD196" i="22"/>
  <c r="CC196" i="22"/>
  <c r="BY169" i="22"/>
  <c r="W24" i="26" s="1"/>
  <c r="CC169" i="22"/>
  <c r="CD169" i="22"/>
  <c r="BY195" i="22"/>
  <c r="Z17" i="26" s="1"/>
  <c r="CC195" i="22"/>
  <c r="CD195" i="22"/>
  <c r="BY190" i="22"/>
  <c r="Z12" i="26" s="1"/>
  <c r="CC190" i="22"/>
  <c r="CD190" i="22"/>
  <c r="BY167" i="22"/>
  <c r="W22" i="26" s="1"/>
  <c r="CD167" i="22"/>
  <c r="CC167" i="22"/>
  <c r="BY194" i="22"/>
  <c r="Z16" i="26" s="1"/>
  <c r="CD194" i="22"/>
  <c r="CC194" i="22"/>
  <c r="BY166" i="22"/>
  <c r="W21" i="26" s="1"/>
  <c r="CC166" i="22"/>
  <c r="CD166" i="22"/>
  <c r="BY202" i="22"/>
  <c r="Z24" i="26" s="1"/>
  <c r="CD202" i="22"/>
  <c r="CC202" i="22"/>
  <c r="BY164" i="22"/>
  <c r="W19" i="26" s="1"/>
  <c r="CC164" i="22"/>
  <c r="CD164" i="22"/>
  <c r="BY200" i="22"/>
  <c r="Z22" i="26" s="1"/>
  <c r="CC200" i="22"/>
  <c r="CD200" i="22"/>
  <c r="BY155" i="22"/>
  <c r="CD155" i="22"/>
  <c r="CC155" i="22"/>
  <c r="BY160" i="22"/>
  <c r="W15" i="26" s="1"/>
  <c r="CC160" i="22"/>
  <c r="CD160" i="22"/>
  <c r="BY188" i="22"/>
  <c r="CD188" i="22"/>
  <c r="CC188" i="22"/>
  <c r="BY191" i="22"/>
  <c r="Z13" i="26" s="1"/>
  <c r="CD191" i="22"/>
  <c r="CC191" i="22"/>
  <c r="BY168" i="22"/>
  <c r="W23" i="26" s="1"/>
  <c r="CC168" i="22"/>
  <c r="CD168" i="22"/>
  <c r="BY158" i="22"/>
  <c r="W13" i="26" s="1"/>
  <c r="CD158" i="22"/>
  <c r="CC158" i="22"/>
  <c r="BY203" i="22"/>
  <c r="Z25" i="26" s="1"/>
  <c r="CC203" i="22"/>
  <c r="CD203" i="22"/>
  <c r="BY165" i="22"/>
  <c r="W20" i="26" s="1"/>
  <c r="CC165" i="22"/>
  <c r="CD165" i="22"/>
  <c r="BY201" i="22"/>
  <c r="Z23" i="26" s="1"/>
  <c r="CD201" i="22"/>
  <c r="CC201" i="22"/>
  <c r="BY157" i="22"/>
  <c r="W12" i="26" s="1"/>
  <c r="CD157" i="22"/>
  <c r="CC157" i="22"/>
  <c r="BY189" i="22"/>
  <c r="Z11" i="26" s="1"/>
  <c r="CC189" i="22"/>
  <c r="CD189" i="22"/>
  <c r="BJ64" i="32"/>
  <c r="BI64" i="32" s="1"/>
  <c r="BJ63" i="32"/>
  <c r="BI63" i="32" s="1"/>
  <c r="BJ62" i="32"/>
  <c r="BI62" i="32" s="1"/>
  <c r="BJ65" i="32"/>
  <c r="BI65" i="32" s="1"/>
  <c r="CB351" i="24" l="1"/>
  <c r="CB352" i="24"/>
  <c r="CB353" i="24"/>
  <c r="CB354" i="24"/>
  <c r="CB355" i="24"/>
  <c r="CB356" i="24"/>
  <c r="CB357" i="24"/>
  <c r="CB358" i="24"/>
  <c r="CB359" i="24"/>
  <c r="CB360" i="24"/>
  <c r="CB361" i="24"/>
  <c r="CB362" i="24"/>
  <c r="CB363" i="24"/>
  <c r="CB364" i="24"/>
  <c r="CB365" i="24"/>
  <c r="CB366" i="24"/>
  <c r="CB367" i="24"/>
  <c r="CB368" i="24"/>
  <c r="CB369" i="24"/>
  <c r="CB371" i="24"/>
  <c r="CB372" i="24"/>
  <c r="CB373" i="24"/>
  <c r="CB374" i="24"/>
  <c r="CB375" i="24"/>
  <c r="CB376" i="24"/>
  <c r="CB377" i="24"/>
  <c r="CB378" i="24"/>
  <c r="CB379" i="24"/>
  <c r="CB380" i="24"/>
  <c r="CB381" i="24"/>
  <c r="CB350" i="24"/>
  <c r="CC350" i="24"/>
  <c r="CB349" i="24"/>
  <c r="CB347" i="24"/>
  <c r="CB348" i="24"/>
  <c r="CB346" i="24"/>
  <c r="CC346" i="24"/>
  <c r="CC345" i="24"/>
  <c r="CB332" i="24"/>
  <c r="CB333" i="24"/>
  <c r="CB334" i="24"/>
  <c r="CB335" i="24"/>
  <c r="CB336" i="24"/>
  <c r="CB331" i="24"/>
  <c r="CC331" i="24"/>
  <c r="CC329" i="24"/>
  <c r="CD344" i="24"/>
  <c r="CE339" i="24"/>
  <c r="CB290" i="24"/>
  <c r="CB291" i="24"/>
  <c r="CB292" i="24"/>
  <c r="CB293" i="24"/>
  <c r="CB294" i="24"/>
  <c r="CB295" i="24"/>
  <c r="CB296" i="24"/>
  <c r="CB297" i="24"/>
  <c r="CB298" i="24"/>
  <c r="CB299" i="24"/>
  <c r="CB300" i="24"/>
  <c r="CB301" i="24"/>
  <c r="CB302" i="24"/>
  <c r="CB303" i="24"/>
  <c r="CB304" i="24"/>
  <c r="CB305" i="24"/>
  <c r="CB306" i="24"/>
  <c r="CB307" i="24"/>
  <c r="CB308" i="24"/>
  <c r="CB309" i="24"/>
  <c r="CB310" i="24"/>
  <c r="CB311" i="24"/>
  <c r="CB312" i="24"/>
  <c r="CB313" i="24"/>
  <c r="CB314" i="24"/>
  <c r="CB315" i="24"/>
  <c r="CB316" i="24"/>
  <c r="CB317" i="24"/>
  <c r="CB318" i="24"/>
  <c r="CB319" i="24"/>
  <c r="CB320" i="24"/>
  <c r="CB321" i="24"/>
  <c r="CB322" i="24"/>
  <c r="CB323" i="24"/>
  <c r="CB324" i="24"/>
  <c r="CB325" i="24"/>
  <c r="CB326" i="24"/>
  <c r="CB327" i="24"/>
  <c r="CB328" i="24"/>
  <c r="CB329" i="24"/>
  <c r="CC289" i="24"/>
  <c r="CC290" i="24"/>
  <c r="CC318" i="24"/>
  <c r="CC319" i="24"/>
  <c r="CC320" i="24"/>
  <c r="CC321" i="24"/>
  <c r="CC322" i="24"/>
  <c r="CC323" i="24"/>
  <c r="CC324" i="24"/>
  <c r="CC325" i="24"/>
  <c r="CC326" i="24"/>
  <c r="CC327" i="24"/>
  <c r="CC328" i="24"/>
  <c r="CC312" i="24"/>
  <c r="CC291" i="24"/>
  <c r="CC292" i="24"/>
  <c r="CC293" i="24"/>
  <c r="CC294" i="24"/>
  <c r="CC295" i="24"/>
  <c r="CC296" i="24"/>
  <c r="CC298" i="24"/>
  <c r="CC299" i="24"/>
  <c r="CC300" i="24"/>
  <c r="CC301" i="24"/>
  <c r="CC302" i="24"/>
  <c r="CC303" i="24"/>
  <c r="CC304" i="24"/>
  <c r="CC305" i="24"/>
  <c r="CC306" i="24"/>
  <c r="CC307" i="24"/>
  <c r="CC308" i="24"/>
  <c r="CC309" i="24"/>
  <c r="CC310" i="24"/>
  <c r="CC311" i="24"/>
  <c r="CC314" i="24"/>
  <c r="CC315" i="24"/>
  <c r="CC316" i="24"/>
  <c r="CC317" i="24"/>
  <c r="CC313" i="24"/>
  <c r="CC381" i="24"/>
  <c r="CC380" i="24"/>
  <c r="CC379" i="24"/>
  <c r="CC378" i="24"/>
  <c r="CC377" i="24"/>
  <c r="CC376" i="24"/>
  <c r="CC375" i="24"/>
  <c r="CC374" i="24"/>
  <c r="CC373" i="24"/>
  <c r="CC372" i="24"/>
  <c r="CC371" i="24"/>
  <c r="CC370" i="24"/>
  <c r="CC336" i="24"/>
  <c r="CC335" i="24"/>
  <c r="CC334" i="24"/>
  <c r="CC333" i="24"/>
  <c r="CC332" i="24"/>
  <c r="BY94" i="24" l="1"/>
  <c r="BY95" i="24"/>
  <c r="BI98" i="24"/>
  <c r="BI97" i="24"/>
  <c r="BL291" i="24"/>
  <c r="BL54" i="24"/>
  <c r="BM92" i="55" l="1"/>
  <c r="BL92" i="55"/>
  <c r="BK92" i="55"/>
  <c r="BX86" i="55"/>
  <c r="BU92" i="55"/>
  <c r="BT92" i="55"/>
  <c r="BS92" i="55"/>
  <c r="BR92" i="55"/>
  <c r="BQ92" i="55"/>
  <c r="BO92" i="55"/>
  <c r="BX84" i="55"/>
  <c r="BW84" i="55"/>
  <c r="BX83" i="55"/>
  <c r="BW83" i="55"/>
  <c r="BX82" i="55"/>
  <c r="BW82" i="55"/>
  <c r="BX81" i="55"/>
  <c r="BW81" i="55"/>
  <c r="BX78" i="55"/>
  <c r="BW78" i="55"/>
  <c r="BX77" i="55"/>
  <c r="BW77" i="55"/>
  <c r="BX76" i="55"/>
  <c r="BW76" i="55"/>
  <c r="BX75" i="55"/>
  <c r="BW75" i="55"/>
  <c r="BX74" i="55"/>
  <c r="BX72" i="55"/>
  <c r="BW72" i="55"/>
  <c r="BX71" i="55"/>
  <c r="BW71" i="55"/>
  <c r="BX70" i="55"/>
  <c r="BW70" i="55"/>
  <c r="BX69" i="55"/>
  <c r="BW69" i="55"/>
  <c r="BX68" i="55"/>
  <c r="BX66" i="55"/>
  <c r="BW66" i="55"/>
  <c r="BX65" i="55"/>
  <c r="BW65" i="55"/>
  <c r="BX64" i="55"/>
  <c r="BW64" i="55"/>
  <c r="BX63" i="55"/>
  <c r="BW63" i="55"/>
  <c r="BX61" i="55"/>
  <c r="BX60" i="55"/>
  <c r="BW60" i="55"/>
  <c r="BX59" i="55"/>
  <c r="BW59" i="55"/>
  <c r="BX58" i="55"/>
  <c r="BW58" i="55"/>
  <c r="BX57" i="55"/>
  <c r="BW57" i="55"/>
  <c r="BX54" i="55"/>
  <c r="BW53" i="55"/>
  <c r="BX52" i="55"/>
  <c r="BW51" i="55"/>
  <c r="BX51" i="55"/>
  <c r="BX48" i="55"/>
  <c r="BW48" i="55"/>
  <c r="BX47" i="55"/>
  <c r="BW47" i="55"/>
  <c r="BX46" i="55"/>
  <c r="BW46" i="55"/>
  <c r="BX45" i="55"/>
  <c r="BW45" i="55"/>
  <c r="BX44" i="55"/>
  <c r="BX42" i="55"/>
  <c r="BW42" i="55"/>
  <c r="BX41" i="55"/>
  <c r="BW41" i="55"/>
  <c r="BX39" i="55"/>
  <c r="BW39" i="55"/>
  <c r="BX36" i="55"/>
  <c r="BW36" i="55"/>
  <c r="BX35" i="55"/>
  <c r="BW35" i="55"/>
  <c r="BX34" i="55"/>
  <c r="BW34" i="55"/>
  <c r="BX33" i="55"/>
  <c r="BW33" i="55"/>
  <c r="BX32" i="55"/>
  <c r="BX31" i="55"/>
  <c r="BX30" i="55"/>
  <c r="BW30" i="55"/>
  <c r="BX29" i="55"/>
  <c r="BW29" i="55"/>
  <c r="BX28" i="55"/>
  <c r="BW28" i="55"/>
  <c r="BX27" i="55"/>
  <c r="BW27" i="55"/>
  <c r="BX24" i="55"/>
  <c r="BW24" i="55"/>
  <c r="BX23" i="55"/>
  <c r="BW23" i="55"/>
  <c r="BW21" i="55"/>
  <c r="BW18" i="55"/>
  <c r="BW17" i="55"/>
  <c r="BS6" i="55"/>
  <c r="BU6" i="55"/>
  <c r="BT6" i="55"/>
  <c r="BQ6" i="55"/>
  <c r="BU5" i="55"/>
  <c r="BT5" i="55"/>
  <c r="BS5" i="55"/>
  <c r="BR5" i="55"/>
  <c r="BQ5" i="55"/>
  <c r="BU4" i="55"/>
  <c r="BT4" i="55"/>
  <c r="BS4" i="55"/>
  <c r="BR4" i="55"/>
  <c r="BQ4" i="55"/>
  <c r="BM4" i="55"/>
  <c r="BX17" i="55" l="1"/>
  <c r="BX49" i="55"/>
  <c r="BW49" i="55"/>
  <c r="BX73" i="55"/>
  <c r="BW73" i="55"/>
  <c r="BX67" i="55"/>
  <c r="BX79" i="55"/>
  <c r="BO4" i="55"/>
  <c r="BX37" i="55"/>
  <c r="BW37" i="55"/>
  <c r="BX21" i="55"/>
  <c r="BW74" i="55"/>
  <c r="BW62" i="55"/>
  <c r="BX53" i="55"/>
  <c r="BX62" i="55"/>
  <c r="BW31" i="55"/>
  <c r="BW67" i="55"/>
  <c r="BW79" i="55"/>
  <c r="BN92" i="55"/>
  <c r="BX18" i="55"/>
  <c r="BW38" i="55"/>
  <c r="BW68" i="55"/>
  <c r="BX38" i="55"/>
  <c r="BW44" i="55"/>
  <c r="BW50" i="55"/>
  <c r="BW52" i="55"/>
  <c r="BW54" i="55"/>
  <c r="BW61" i="55"/>
  <c r="BW86" i="55"/>
  <c r="BP92" i="55"/>
  <c r="BW32" i="55"/>
  <c r="BX50" i="55"/>
  <c r="BW15" i="55"/>
  <c r="BP4" i="55" l="1"/>
  <c r="BX9" i="55"/>
  <c r="BW9" i="55"/>
  <c r="BV92" i="55"/>
  <c r="BW55" i="55"/>
  <c r="BW20" i="55"/>
  <c r="BX20" i="55"/>
  <c r="BX10" i="55"/>
  <c r="BW10" i="55"/>
  <c r="BW12" i="55"/>
  <c r="BX12" i="55"/>
  <c r="BX26" i="55"/>
  <c r="BX85" i="55"/>
  <c r="BX15" i="55"/>
  <c r="BW85" i="55"/>
  <c r="BW92" i="55" s="1"/>
  <c r="BW26" i="55"/>
  <c r="BW11" i="55"/>
  <c r="BX11" i="55"/>
  <c r="BX40" i="55" l="1"/>
  <c r="BW40" i="55"/>
  <c r="BX22" i="55"/>
  <c r="BW22" i="55"/>
  <c r="BX14" i="55"/>
  <c r="BW14" i="55"/>
  <c r="BX25" i="55"/>
  <c r="BW25" i="55"/>
  <c r="BX55" i="55"/>
  <c r="BX19" i="55"/>
  <c r="BW19" i="55"/>
  <c r="BX16" i="55" l="1"/>
  <c r="BW16" i="55"/>
  <c r="BX43" i="55"/>
  <c r="BW43" i="55"/>
  <c r="BX13" i="55"/>
  <c r="BW13" i="55"/>
  <c r="BL119" i="22" l="1"/>
  <c r="AW1" i="34"/>
  <c r="BV13" i="43" l="1"/>
  <c r="L28" i="44" a="1"/>
  <c r="AA18" i="44" a="1"/>
  <c r="AA17" i="44" a="1"/>
  <c r="V18" i="44" a="1"/>
  <c r="L7" i="44" a="1"/>
  <c r="L9" i="44" a="1"/>
  <c r="L21" i="44" a="1"/>
  <c r="L24" i="44" a="1"/>
  <c r="L29" i="44" a="1"/>
  <c r="J17" i="44" a="1"/>
  <c r="L15" i="44" a="1"/>
  <c r="L27" i="44" a="1"/>
  <c r="G17" i="44" a="1"/>
  <c r="S17" i="44" a="1"/>
  <c r="R17" i="44" a="1"/>
  <c r="L11" i="44" a="1"/>
  <c r="I17" i="44" a="1"/>
  <c r="L18" i="44" a="1"/>
  <c r="J18" i="44" a="1"/>
  <c r="L8" i="44" a="1"/>
  <c r="E18" i="44" a="1"/>
  <c r="L10" i="44" a="1"/>
  <c r="Z17" i="44" a="1"/>
  <c r="L13" i="44" a="1"/>
  <c r="L31" i="44" a="1"/>
  <c r="H17" i="44" a="1"/>
  <c r="L25" i="44" a="1"/>
  <c r="I18" i="44" a="1"/>
  <c r="L30" i="44" a="1"/>
  <c r="L32" i="44" a="1"/>
  <c r="L12" i="44" a="1"/>
  <c r="V17" i="44" a="1"/>
  <c r="F17" i="44" a="1"/>
  <c r="L6" i="44" a="1"/>
  <c r="L23" i="44" a="1"/>
  <c r="F18" i="44" a="1"/>
  <c r="Z18" i="44" a="1"/>
  <c r="L19" i="44" a="1"/>
  <c r="H18" i="44" a="1"/>
  <c r="L22" i="44" a="1"/>
  <c r="L17" i="44" a="1"/>
  <c r="E17" i="44" a="1"/>
  <c r="R18" i="44" a="1"/>
  <c r="L16" i="44" a="1"/>
  <c r="K18" i="44" a="1"/>
  <c r="L14" i="44" a="1"/>
  <c r="S18" i="44" a="1"/>
  <c r="L20" i="44" a="1"/>
  <c r="K17" i="44" a="1"/>
  <c r="G18" i="44" a="1"/>
  <c r="L30" i="44" l="1"/>
  <c r="L20" i="44"/>
  <c r="L28" i="44"/>
  <c r="L19" i="44"/>
  <c r="L27" i="44"/>
  <c r="L17" i="44"/>
  <c r="L16" i="44"/>
  <c r="L13" i="44"/>
  <c r="L29" i="44"/>
  <c r="L10" i="44"/>
  <c r="L25" i="44"/>
  <c r="L32" i="44"/>
  <c r="L23" i="44"/>
  <c r="L15" i="44"/>
  <c r="L7" i="44"/>
  <c r="L24" i="44"/>
  <c r="L21" i="44"/>
  <c r="L12" i="44"/>
  <c r="L11" i="44"/>
  <c r="L18" i="44"/>
  <c r="L9" i="44"/>
  <c r="L8" i="44"/>
  <c r="L31" i="44"/>
  <c r="L22" i="44"/>
  <c r="L14" i="44"/>
  <c r="L6" i="44"/>
  <c r="K17" i="44"/>
  <c r="J17" i="44"/>
  <c r="S18" i="44"/>
  <c r="K18" i="44"/>
  <c r="Z17" i="44"/>
  <c r="H17" i="44"/>
  <c r="R18" i="44"/>
  <c r="J18" i="44"/>
  <c r="G17" i="44"/>
  <c r="V18" i="44"/>
  <c r="AA18" i="44"/>
  <c r="I18" i="44"/>
  <c r="V17" i="44"/>
  <c r="F17" i="44"/>
  <c r="F18" i="44"/>
  <c r="E18" i="44"/>
  <c r="I17" i="44"/>
  <c r="G18" i="44"/>
  <c r="S17" i="44"/>
  <c r="R17" i="44"/>
  <c r="AA17" i="44"/>
  <c r="Z18" i="44"/>
  <c r="H18" i="44"/>
  <c r="E17" i="44"/>
  <c r="L2" i="17" l="1"/>
  <c r="L1" i="17"/>
  <c r="N1" i="17"/>
  <c r="N2" i="17" s="1"/>
  <c r="Q65" i="32"/>
  <c r="P65" i="32" s="1"/>
  <c r="Q64" i="32"/>
  <c r="P64" i="32" s="1"/>
  <c r="Q63" i="32"/>
  <c r="P63" i="32" s="1"/>
  <c r="Q62" i="32"/>
  <c r="P62" i="32" s="1"/>
  <c r="Q61" i="32"/>
  <c r="P61" i="32" s="1"/>
  <c r="Q60" i="32"/>
  <c r="P60" i="32" s="1"/>
  <c r="Q59" i="32"/>
  <c r="P59" i="32" s="1"/>
  <c r="Q58" i="32"/>
  <c r="P58" i="32" s="1"/>
  <c r="Q57" i="32"/>
  <c r="P57" i="32" s="1"/>
  <c r="Q56" i="32"/>
  <c r="P56" i="32" s="1"/>
  <c r="Q55" i="32"/>
  <c r="P55" i="32" s="1"/>
  <c r="Q54" i="32"/>
  <c r="P54" i="32" s="1"/>
  <c r="AF65" i="32"/>
  <c r="AE65" i="32" s="1"/>
  <c r="AF64" i="32"/>
  <c r="AE64" i="32" s="1"/>
  <c r="AF63" i="32"/>
  <c r="AE63" i="32" s="1"/>
  <c r="AF62" i="32"/>
  <c r="AE62" i="32" s="1"/>
  <c r="AF61" i="32"/>
  <c r="AE61" i="32" s="1"/>
  <c r="AF60" i="32"/>
  <c r="AE60" i="32" s="1"/>
  <c r="AF59" i="32"/>
  <c r="AE59" i="32" s="1"/>
  <c r="AF58" i="32"/>
  <c r="AE58" i="32" s="1"/>
  <c r="AF57" i="32"/>
  <c r="AE57" i="32" s="1"/>
  <c r="AF56" i="32"/>
  <c r="AE56" i="32" s="1"/>
  <c r="AF55" i="32"/>
  <c r="AE55" i="32" s="1"/>
  <c r="AF54" i="32"/>
  <c r="AE54" i="32" s="1"/>
  <c r="AT56" i="32"/>
  <c r="AT59" i="32"/>
  <c r="AU64" i="32"/>
  <c r="AT64" i="32" s="1"/>
  <c r="AU63" i="32"/>
  <c r="AT63" i="32" s="1"/>
  <c r="AU62" i="32"/>
  <c r="AT62" i="32" s="1"/>
  <c r="AU60" i="32"/>
  <c r="AT60" i="32" s="1"/>
  <c r="AU59" i="32"/>
  <c r="AU56" i="32"/>
  <c r="AU55" i="32"/>
  <c r="AT55" i="32" s="1"/>
  <c r="BJ4" i="32"/>
  <c r="BI4" i="32" s="1"/>
  <c r="S1" i="17"/>
  <c r="S2" i="17" s="1"/>
  <c r="R1" i="17"/>
  <c r="R2" i="17" s="1"/>
  <c r="Q1" i="17"/>
  <c r="Q2" i="17" s="1"/>
  <c r="P1" i="17"/>
  <c r="P2" i="17" s="1"/>
  <c r="O1" i="17"/>
  <c r="O2" i="17" s="1"/>
  <c r="T24" i="17"/>
  <c r="T21" i="17"/>
  <c r="T20" i="17"/>
  <c r="T18" i="17"/>
  <c r="T23" i="17"/>
  <c r="T17" i="17"/>
  <c r="T22" i="17"/>
  <c r="T19" i="17"/>
  <c r="T16" i="17"/>
  <c r="T15" i="17"/>
  <c r="T14" i="17"/>
  <c r="T13" i="17"/>
  <c r="T10" i="17"/>
  <c r="T12" i="17"/>
  <c r="T11" i="17"/>
  <c r="T9" i="17"/>
  <c r="T8" i="17"/>
  <c r="T7" i="17"/>
  <c r="AW4" i="32"/>
  <c r="BJ60" i="32"/>
  <c r="BI60" i="32" s="1"/>
  <c r="BJ59" i="32"/>
  <c r="BI59" i="32" s="1"/>
  <c r="BJ57" i="32"/>
  <c r="BI57" i="32" s="1"/>
  <c r="BJ56" i="32"/>
  <c r="BI56" i="32" s="1"/>
  <c r="BJ55" i="32"/>
  <c r="BI55" i="32" s="1"/>
  <c r="BJ54" i="32"/>
  <c r="BH56" i="47"/>
  <c r="BG56" i="47"/>
  <c r="BH55" i="47"/>
  <c r="BG55" i="47"/>
  <c r="BH54" i="47"/>
  <c r="BG54" i="47"/>
  <c r="BH53" i="47"/>
  <c r="BG53" i="47"/>
  <c r="BH52" i="47"/>
  <c r="BG52" i="47"/>
  <c r="BH51" i="47"/>
  <c r="BG51" i="47"/>
  <c r="BH50" i="47"/>
  <c r="BG50" i="47"/>
  <c r="AT51" i="47"/>
  <c r="AT52" i="47"/>
  <c r="AT53" i="47"/>
  <c r="AT54" i="47"/>
  <c r="AT55" i="47"/>
  <c r="AT56" i="47"/>
  <c r="AT50" i="47"/>
  <c r="AS51" i="47"/>
  <c r="AS52" i="47"/>
  <c r="AS53" i="47"/>
  <c r="AS54" i="47"/>
  <c r="AS55" i="47"/>
  <c r="AS56" i="47"/>
  <c r="AS50" i="47"/>
  <c r="AU65" i="32"/>
  <c r="AT65" i="32" s="1"/>
  <c r="AU61" i="32"/>
  <c r="AT61" i="32" s="1"/>
  <c r="AU63" i="25"/>
  <c r="AU62" i="25"/>
  <c r="AU60" i="25"/>
  <c r="AU59" i="25"/>
  <c r="AU58" i="25"/>
  <c r="AU57" i="25"/>
  <c r="AU56" i="25"/>
  <c r="AU55" i="25"/>
  <c r="AU53" i="25"/>
  <c r="AU52" i="25"/>
  <c r="AU51" i="25"/>
  <c r="AU50" i="25"/>
  <c r="AU49" i="25"/>
  <c r="AU48" i="25"/>
  <c r="AU46" i="25"/>
  <c r="AU45" i="25"/>
  <c r="AU44" i="25"/>
  <c r="AU43" i="25"/>
  <c r="AU5" i="25"/>
  <c r="AU6" i="25"/>
  <c r="AU7" i="25"/>
  <c r="AU8" i="25"/>
  <c r="AU9" i="25"/>
  <c r="AU10" i="25"/>
  <c r="AU11" i="25"/>
  <c r="AU12" i="25"/>
  <c r="AU13" i="25"/>
  <c r="AU14" i="25"/>
  <c r="AU15" i="25"/>
  <c r="AU16" i="25"/>
  <c r="AU17" i="25"/>
  <c r="AU18" i="25"/>
  <c r="AU19" i="25"/>
  <c r="AU20" i="25"/>
  <c r="AU21" i="25"/>
  <c r="AU22" i="25"/>
  <c r="AU23" i="25"/>
  <c r="AU24" i="25"/>
  <c r="AU25" i="25"/>
  <c r="AU26" i="25"/>
  <c r="AU27" i="25"/>
  <c r="AU28" i="25"/>
  <c r="AU29" i="25"/>
  <c r="AU30" i="25"/>
  <c r="AU31" i="25"/>
  <c r="AU32" i="25"/>
  <c r="AU33" i="25"/>
  <c r="AU34" i="25"/>
  <c r="AU35" i="25"/>
  <c r="AU36" i="25"/>
  <c r="AU37" i="25"/>
  <c r="AU4" i="25"/>
  <c r="AT43" i="25"/>
  <c r="AT44" i="25"/>
  <c r="AT45" i="25"/>
  <c r="AT46" i="25"/>
  <c r="AT49" i="25"/>
  <c r="AT50" i="25"/>
  <c r="AT51" i="25"/>
  <c r="AT52" i="25"/>
  <c r="AT53" i="25"/>
  <c r="AT55" i="25"/>
  <c r="AT56" i="25"/>
  <c r="AT57" i="25"/>
  <c r="AT58" i="25"/>
  <c r="AT59" i="25"/>
  <c r="AT60" i="25"/>
  <c r="AT62" i="25"/>
  <c r="AT63" i="25"/>
  <c r="AT4" i="25"/>
  <c r="AT5" i="25"/>
  <c r="AT6" i="25"/>
  <c r="AT7" i="25"/>
  <c r="AT8" i="25"/>
  <c r="AT9" i="25"/>
  <c r="AT10" i="25"/>
  <c r="AT11" i="25"/>
  <c r="AT12" i="25"/>
  <c r="AT13" i="25"/>
  <c r="AT14" i="25"/>
  <c r="AT15" i="25"/>
  <c r="AT16" i="25"/>
  <c r="AT17" i="25"/>
  <c r="AT18" i="25"/>
  <c r="AT19" i="25"/>
  <c r="AT20" i="25"/>
  <c r="AT21" i="25"/>
  <c r="AT22" i="25"/>
  <c r="AT23" i="25"/>
  <c r="AT24" i="25"/>
  <c r="AT25" i="25"/>
  <c r="AT26" i="25"/>
  <c r="AT27" i="25"/>
  <c r="AT28" i="25"/>
  <c r="AT29" i="25"/>
  <c r="AT30" i="25"/>
  <c r="AT31" i="25"/>
  <c r="AT32" i="25"/>
  <c r="AT33" i="25"/>
  <c r="AT34" i="25"/>
  <c r="AT35" i="25"/>
  <c r="AT36" i="25"/>
  <c r="AT37" i="25"/>
  <c r="AU64" i="33"/>
  <c r="AT64" i="33"/>
  <c r="AU63" i="33"/>
  <c r="AT63" i="33"/>
  <c r="AU62" i="33"/>
  <c r="AT62" i="33"/>
  <c r="AU61" i="33"/>
  <c r="AT61" i="33"/>
  <c r="AU60" i="33"/>
  <c r="AT60" i="33"/>
  <c r="AU59" i="33"/>
  <c r="AT59" i="33"/>
  <c r="AU58" i="33"/>
  <c r="AT58" i="33"/>
  <c r="AU57" i="33"/>
  <c r="AT57" i="33"/>
  <c r="AU56" i="33"/>
  <c r="AT56" i="33"/>
  <c r="AU55" i="33"/>
  <c r="AT55" i="33"/>
  <c r="AU54" i="33"/>
  <c r="AT54" i="33"/>
  <c r="AU53" i="33"/>
  <c r="AT53" i="33"/>
  <c r="AU52" i="33"/>
  <c r="AT52" i="33"/>
  <c r="AU51" i="33"/>
  <c r="AT51" i="33"/>
  <c r="AU50" i="33"/>
  <c r="AT50" i="33"/>
  <c r="AU49" i="33"/>
  <c r="AT49" i="33"/>
  <c r="AU48" i="33"/>
  <c r="AT48" i="33"/>
  <c r="AU47" i="33"/>
  <c r="AT47" i="33"/>
  <c r="AU46" i="33"/>
  <c r="AT46" i="33"/>
  <c r="AU45" i="33"/>
  <c r="AT45" i="33"/>
  <c r="AU44" i="33"/>
  <c r="AT44" i="33"/>
  <c r="AU43" i="33"/>
  <c r="AT43" i="33"/>
  <c r="AU42" i="33"/>
  <c r="AT42" i="33"/>
  <c r="AU41" i="33"/>
  <c r="AT41" i="33"/>
  <c r="AU40" i="33"/>
  <c r="AT40" i="33"/>
  <c r="AU39" i="33"/>
  <c r="AT39" i="33"/>
  <c r="AU38" i="33"/>
  <c r="AT38" i="33"/>
  <c r="AU37" i="33"/>
  <c r="AT37" i="33"/>
  <c r="AU36" i="33"/>
  <c r="AT36" i="33"/>
  <c r="AU35" i="33"/>
  <c r="AT35" i="33"/>
  <c r="AU34" i="33"/>
  <c r="AT34" i="33"/>
  <c r="AU33" i="33"/>
  <c r="AT33" i="33"/>
  <c r="AU32" i="33"/>
  <c r="AT32" i="33"/>
  <c r="AU31" i="33"/>
  <c r="AT31" i="33"/>
  <c r="AU30" i="33"/>
  <c r="AT30" i="33"/>
  <c r="AU5" i="33"/>
  <c r="AU6" i="33"/>
  <c r="AU7" i="33"/>
  <c r="AU8" i="33"/>
  <c r="AU9" i="33"/>
  <c r="AU10" i="33"/>
  <c r="AU11" i="33"/>
  <c r="AU12" i="33"/>
  <c r="AU13" i="33"/>
  <c r="AU14" i="33"/>
  <c r="AU15" i="33"/>
  <c r="AU16" i="33"/>
  <c r="AU17" i="33"/>
  <c r="AU18" i="33"/>
  <c r="AU19" i="33"/>
  <c r="AU20" i="33"/>
  <c r="AU21" i="33"/>
  <c r="AU22" i="33"/>
  <c r="AU23" i="33"/>
  <c r="AU24" i="33"/>
  <c r="AU25" i="33"/>
  <c r="AU26" i="33"/>
  <c r="AU27" i="33"/>
  <c r="AU28" i="33"/>
  <c r="AU4" i="33"/>
  <c r="AT28" i="33"/>
  <c r="AT27" i="33"/>
  <c r="AT26" i="33"/>
  <c r="AT25" i="33"/>
  <c r="AT23" i="33"/>
  <c r="AT22" i="33"/>
  <c r="AT21" i="33"/>
  <c r="AT20" i="33"/>
  <c r="AT5" i="33"/>
  <c r="AT6" i="33"/>
  <c r="AT7" i="33"/>
  <c r="AT8" i="33"/>
  <c r="AT9" i="33"/>
  <c r="AT10" i="33"/>
  <c r="AT11" i="33"/>
  <c r="AT12" i="33"/>
  <c r="AT13" i="33"/>
  <c r="AT14" i="33"/>
  <c r="AT15" i="33"/>
  <c r="AT16" i="33"/>
  <c r="AT17" i="33"/>
  <c r="AT18" i="33"/>
  <c r="AT19" i="33"/>
  <c r="AT4" i="33"/>
  <c r="AT52" i="32"/>
  <c r="AT51" i="32"/>
  <c r="AT50" i="32"/>
  <c r="AT49" i="32"/>
  <c r="AT48" i="32"/>
  <c r="AT47" i="32"/>
  <c r="AT46" i="32"/>
  <c r="AT45" i="32"/>
  <c r="AT44" i="32"/>
  <c r="AT43" i="32"/>
  <c r="AT42" i="32"/>
  <c r="AT41" i="32"/>
  <c r="AT40" i="32"/>
  <c r="AT39" i="32"/>
  <c r="AT38" i="32"/>
  <c r="AT37" i="32"/>
  <c r="AT36" i="32"/>
  <c r="AT35" i="32"/>
  <c r="AT34" i="32"/>
  <c r="AT33" i="32"/>
  <c r="AT32" i="32"/>
  <c r="AT31" i="32"/>
  <c r="AT30" i="32"/>
  <c r="AT29" i="32"/>
  <c r="AT28" i="32"/>
  <c r="AT26" i="32"/>
  <c r="AT25" i="32"/>
  <c r="AT24" i="32"/>
  <c r="AT23" i="32"/>
  <c r="AT22" i="32"/>
  <c r="AT21" i="32"/>
  <c r="AT20" i="32"/>
  <c r="AT19" i="32"/>
  <c r="AT18" i="32"/>
  <c r="AT17" i="32"/>
  <c r="AT16" i="32"/>
  <c r="AU52" i="32"/>
  <c r="AU51" i="32"/>
  <c r="AU50" i="32"/>
  <c r="AU49" i="32"/>
  <c r="AU48" i="32"/>
  <c r="AU47" i="32"/>
  <c r="AU46" i="32"/>
  <c r="AU45" i="32"/>
  <c r="AU44" i="32"/>
  <c r="AU43" i="32"/>
  <c r="AU42" i="32"/>
  <c r="AU41" i="32"/>
  <c r="AU40" i="32"/>
  <c r="AU39" i="32"/>
  <c r="AU38" i="32"/>
  <c r="AU37" i="32"/>
  <c r="AU36" i="32"/>
  <c r="AU35" i="32"/>
  <c r="AU34" i="32"/>
  <c r="AU33" i="32"/>
  <c r="AU32" i="32"/>
  <c r="AU31" i="32"/>
  <c r="AU30" i="32"/>
  <c r="AU29" i="32"/>
  <c r="AU28" i="32"/>
  <c r="BM27" i="32"/>
  <c r="AU26" i="32"/>
  <c r="AU25" i="32"/>
  <c r="AU24" i="32"/>
  <c r="AU23" i="32"/>
  <c r="AU22" i="32"/>
  <c r="AU21" i="32"/>
  <c r="AU20" i="32"/>
  <c r="AU19" i="32"/>
  <c r="AU18" i="32"/>
  <c r="AU17" i="32"/>
  <c r="AU16" i="32"/>
  <c r="BF13" i="43"/>
  <c r="BL13" i="43" s="1"/>
  <c r="BG13" i="43"/>
  <c r="BP13" i="43" s="1"/>
  <c r="BQ13" i="43" s="1"/>
  <c r="BF14" i="43"/>
  <c r="BL14" i="43" s="1"/>
  <c r="BG14" i="43"/>
  <c r="BP14" i="43" s="1"/>
  <c r="BQ14" i="43" s="1"/>
  <c r="BF15" i="43"/>
  <c r="BL15" i="43" s="1"/>
  <c r="BG15" i="43"/>
  <c r="BP15" i="43" s="1"/>
  <c r="BQ15" i="43" s="1"/>
  <c r="BF16" i="43"/>
  <c r="BG16" i="43"/>
  <c r="BP16" i="43" s="1"/>
  <c r="BQ16" i="43" s="1"/>
  <c r="BL16" i="43"/>
  <c r="BF17" i="43"/>
  <c r="BL17" i="43" s="1"/>
  <c r="BG17" i="43"/>
  <c r="BP17" i="43"/>
  <c r="BQ17" i="43" s="1"/>
  <c r="BF18" i="43"/>
  <c r="BG18" i="43"/>
  <c r="BP18" i="43" s="1"/>
  <c r="BQ18" i="43" s="1"/>
  <c r="BL18" i="43"/>
  <c r="BF5" i="43"/>
  <c r="BF10" i="43"/>
  <c r="BF9" i="43"/>
  <c r="AS20" i="43"/>
  <c r="AS21" i="43"/>
  <c r="AS22" i="43"/>
  <c r="AS23" i="43"/>
  <c r="AS24" i="43"/>
  <c r="AS25" i="43"/>
  <c r="AS26" i="43"/>
  <c r="AS27" i="43"/>
  <c r="AS28" i="43"/>
  <c r="AS29" i="43"/>
  <c r="AS30" i="43"/>
  <c r="AS31" i="43"/>
  <c r="AS19" i="43"/>
  <c r="AR20" i="43"/>
  <c r="AR21" i="43"/>
  <c r="AR22" i="43"/>
  <c r="AR23" i="43"/>
  <c r="AR24" i="43"/>
  <c r="AR25" i="43"/>
  <c r="AR26" i="43"/>
  <c r="AR27" i="43"/>
  <c r="AR28" i="43"/>
  <c r="AR29" i="43"/>
  <c r="AR30" i="43"/>
  <c r="AR31" i="43"/>
  <c r="AR19" i="43"/>
  <c r="BM15" i="32"/>
  <c r="BM29" i="33"/>
  <c r="BX213" i="22"/>
  <c r="BI119" i="53"/>
  <c r="BJ119" i="53" s="1"/>
  <c r="BI120" i="53"/>
  <c r="BJ120" i="53" s="1"/>
  <c r="BI121" i="53"/>
  <c r="BJ121" i="53"/>
  <c r="BI122" i="53"/>
  <c r="BJ122" i="53" s="1"/>
  <c r="BI123" i="53"/>
  <c r="BJ123" i="53"/>
  <c r="BI124" i="53"/>
  <c r="BJ124" i="53" s="1"/>
  <c r="BI125" i="53"/>
  <c r="BJ125" i="53" s="1"/>
  <c r="BI126" i="53"/>
  <c r="BJ126" i="53" s="1"/>
  <c r="BI127" i="53"/>
  <c r="BJ127" i="53" s="1"/>
  <c r="BI128" i="53"/>
  <c r="BJ128" i="53" s="1"/>
  <c r="BI129" i="53"/>
  <c r="BJ129" i="53" s="1"/>
  <c r="BI130" i="53"/>
  <c r="BJ130" i="53" s="1"/>
  <c r="BI131" i="53"/>
  <c r="BJ131" i="53"/>
  <c r="BI132" i="53"/>
  <c r="BJ132" i="53" s="1"/>
  <c r="BI133" i="53"/>
  <c r="BJ133" i="53" s="1"/>
  <c r="BI134" i="53"/>
  <c r="BJ134" i="53" s="1"/>
  <c r="BI135" i="53"/>
  <c r="BJ135" i="53" s="1"/>
  <c r="BI136" i="53"/>
  <c r="BJ136" i="53" s="1"/>
  <c r="BI137" i="53"/>
  <c r="BJ137" i="53" s="1"/>
  <c r="BI118" i="53"/>
  <c r="BJ118" i="53" s="1"/>
  <c r="AT119" i="53"/>
  <c r="AU119" i="53" s="1"/>
  <c r="AT120" i="53"/>
  <c r="AU120" i="53" s="1"/>
  <c r="AT121" i="53"/>
  <c r="AU121" i="53"/>
  <c r="AT122" i="53"/>
  <c r="AU122" i="53" s="1"/>
  <c r="AT123" i="53"/>
  <c r="AU123" i="53"/>
  <c r="AT124" i="53"/>
  <c r="AU124" i="53" s="1"/>
  <c r="AT125" i="53"/>
  <c r="AU125" i="53" s="1"/>
  <c r="AT126" i="53"/>
  <c r="AU126" i="53" s="1"/>
  <c r="AT127" i="53"/>
  <c r="AU127" i="53" s="1"/>
  <c r="AT128" i="53"/>
  <c r="AU128" i="53"/>
  <c r="AT129" i="53"/>
  <c r="AU129" i="53" s="1"/>
  <c r="AT130" i="53"/>
  <c r="AU130" i="53" s="1"/>
  <c r="AT131" i="53"/>
  <c r="AU131" i="53" s="1"/>
  <c r="AT132" i="53"/>
  <c r="AU132" i="53" s="1"/>
  <c r="AT133" i="53"/>
  <c r="AU133" i="53" s="1"/>
  <c r="AT134" i="53"/>
  <c r="AU134" i="53" s="1"/>
  <c r="AT135" i="53"/>
  <c r="AU135" i="53" s="1"/>
  <c r="AT136" i="53"/>
  <c r="AU136" i="53" s="1"/>
  <c r="AT137" i="53"/>
  <c r="AU137" i="53" s="1"/>
  <c r="AT118" i="53"/>
  <c r="AU118" i="53" s="1"/>
  <c r="BM12" i="36"/>
  <c r="BM17" i="36"/>
  <c r="BM18" i="36"/>
  <c r="BM19" i="36"/>
  <c r="BM20" i="36"/>
  <c r="BM21" i="36"/>
  <c r="BM22" i="36"/>
  <c r="BM23" i="36"/>
  <c r="BM24" i="36"/>
  <c r="BM25" i="36"/>
  <c r="BM26" i="36"/>
  <c r="BM27" i="36"/>
  <c r="BM28" i="36"/>
  <c r="BM29" i="36"/>
  <c r="BM30" i="36"/>
  <c r="BM31" i="36"/>
  <c r="BM32" i="36"/>
  <c r="BM33" i="36"/>
  <c r="BM34" i="36"/>
  <c r="BM35" i="36"/>
  <c r="BM36" i="36"/>
  <c r="BM37" i="36"/>
  <c r="BM38" i="36"/>
  <c r="BM39" i="36"/>
  <c r="BM40" i="36"/>
  <c r="BJ4" i="36"/>
  <c r="BI4" i="36" s="1"/>
  <c r="BJ74" i="36"/>
  <c r="BM74" i="36" s="1"/>
  <c r="BI74" i="36"/>
  <c r="BJ73" i="36"/>
  <c r="BM73" i="36" s="1"/>
  <c r="BI73" i="36"/>
  <c r="BJ72" i="36"/>
  <c r="BM72" i="36" s="1"/>
  <c r="BI72" i="36"/>
  <c r="BJ71" i="36"/>
  <c r="BM71" i="36" s="1"/>
  <c r="BI71" i="36"/>
  <c r="BJ70" i="36"/>
  <c r="BM70" i="36" s="1"/>
  <c r="BI70" i="36"/>
  <c r="BJ69" i="36"/>
  <c r="BM69" i="36" s="1"/>
  <c r="BI69" i="36"/>
  <c r="BJ68" i="36"/>
  <c r="BM68" i="36" s="1"/>
  <c r="BI68" i="36"/>
  <c r="BJ67" i="36"/>
  <c r="BM67" i="36" s="1"/>
  <c r="BI67" i="36"/>
  <c r="BJ66" i="36"/>
  <c r="BM66" i="36" s="1"/>
  <c r="BI66" i="36"/>
  <c r="BJ65" i="36"/>
  <c r="BM65" i="36" s="1"/>
  <c r="BI65" i="36"/>
  <c r="BJ64" i="36"/>
  <c r="BM64" i="36" s="1"/>
  <c r="BI64" i="36"/>
  <c r="BJ63" i="36"/>
  <c r="BM63" i="36" s="1"/>
  <c r="BI63" i="36"/>
  <c r="BJ62" i="36"/>
  <c r="BM62" i="36" s="1"/>
  <c r="BI62" i="36"/>
  <c r="BJ61" i="36"/>
  <c r="BM61" i="36" s="1"/>
  <c r="BI61" i="36"/>
  <c r="BJ60" i="36"/>
  <c r="BM60" i="36" s="1"/>
  <c r="BI60" i="36"/>
  <c r="BJ59" i="36"/>
  <c r="BM59" i="36" s="1"/>
  <c r="BI59" i="36"/>
  <c r="BJ58" i="36"/>
  <c r="BM58" i="36" s="1"/>
  <c r="BI58" i="36"/>
  <c r="BJ57" i="36"/>
  <c r="BM57" i="36" s="1"/>
  <c r="BI57" i="36"/>
  <c r="BJ56" i="36"/>
  <c r="BM56" i="36" s="1"/>
  <c r="BI56" i="36"/>
  <c r="BJ55" i="36"/>
  <c r="BM55" i="36" s="1"/>
  <c r="BI55" i="36"/>
  <c r="BJ54" i="36"/>
  <c r="BM54" i="36" s="1"/>
  <c r="BI54" i="36"/>
  <c r="BJ53" i="36"/>
  <c r="BM53" i="36" s="1"/>
  <c r="BI53" i="36"/>
  <c r="BJ52" i="36"/>
  <c r="BM52" i="36" s="1"/>
  <c r="BI52" i="36"/>
  <c r="BJ51" i="36"/>
  <c r="BM51" i="36" s="1"/>
  <c r="BI51" i="36"/>
  <c r="BJ50" i="36"/>
  <c r="BM50" i="36" s="1"/>
  <c r="BI50" i="36"/>
  <c r="BJ49" i="36"/>
  <c r="BM49" i="36" s="1"/>
  <c r="BI49" i="36"/>
  <c r="BJ48" i="36"/>
  <c r="BM48" i="36" s="1"/>
  <c r="BI48" i="36"/>
  <c r="BJ47" i="36"/>
  <c r="BM47" i="36" s="1"/>
  <c r="BI47" i="36"/>
  <c r="BJ46" i="36"/>
  <c r="BM46" i="36" s="1"/>
  <c r="BI46" i="36"/>
  <c r="BJ45" i="36"/>
  <c r="BM45" i="36" s="1"/>
  <c r="BI45" i="36"/>
  <c r="BJ44" i="36"/>
  <c r="BM44" i="36" s="1"/>
  <c r="BI44" i="36"/>
  <c r="BJ43" i="36"/>
  <c r="BM43" i="36" s="1"/>
  <c r="BI43" i="36"/>
  <c r="BJ42" i="36"/>
  <c r="BM42" i="36" s="1"/>
  <c r="BI42" i="36"/>
  <c r="BJ41" i="36"/>
  <c r="BM41" i="36" s="1"/>
  <c r="BI41" i="36"/>
  <c r="BJ39" i="36"/>
  <c r="BI39" i="36"/>
  <c r="BJ38" i="36"/>
  <c r="BI38" i="36"/>
  <c r="BJ37" i="36"/>
  <c r="BI37" i="36"/>
  <c r="BJ36" i="36"/>
  <c r="BI36" i="36"/>
  <c r="BJ35" i="36"/>
  <c r="BI35" i="36"/>
  <c r="BJ34" i="36"/>
  <c r="BI34" i="36"/>
  <c r="BJ33" i="36"/>
  <c r="BI33" i="36"/>
  <c r="BJ32" i="36"/>
  <c r="BI32" i="36"/>
  <c r="BJ31" i="36"/>
  <c r="BI31" i="36"/>
  <c r="BJ30" i="36"/>
  <c r="BI30" i="36"/>
  <c r="BJ29" i="36"/>
  <c r="BI29" i="36" s="1"/>
  <c r="BJ28" i="36"/>
  <c r="BI28" i="36"/>
  <c r="BJ26" i="36"/>
  <c r="BI26" i="36"/>
  <c r="BJ25" i="36"/>
  <c r="BI25" i="36"/>
  <c r="BJ24" i="36"/>
  <c r="BI24" i="36"/>
  <c r="BJ23" i="36"/>
  <c r="BI23" i="36"/>
  <c r="BJ22" i="36"/>
  <c r="BI22" i="36"/>
  <c r="BJ21" i="36"/>
  <c r="BI21" i="36"/>
  <c r="BJ20" i="36"/>
  <c r="BI20" i="36"/>
  <c r="BJ19" i="36"/>
  <c r="BI19" i="36"/>
  <c r="BJ18" i="36"/>
  <c r="BI18" i="36"/>
  <c r="BJ16" i="36"/>
  <c r="BI16" i="36" s="1"/>
  <c r="BJ15" i="36"/>
  <c r="BI15" i="36" s="1"/>
  <c r="BJ14" i="36"/>
  <c r="BM14" i="36" s="1"/>
  <c r="BI14" i="36"/>
  <c r="BJ13" i="36"/>
  <c r="BM13" i="36" s="1"/>
  <c r="BI13" i="36"/>
  <c r="BJ12" i="36"/>
  <c r="BI12" i="36"/>
  <c r="BJ11" i="36"/>
  <c r="BI11" i="36" s="1"/>
  <c r="BJ10" i="36"/>
  <c r="BI10" i="36" s="1"/>
  <c r="BJ9" i="36"/>
  <c r="BM9" i="36" s="1"/>
  <c r="BJ8" i="36"/>
  <c r="BI8" i="36" s="1"/>
  <c r="BJ7" i="36"/>
  <c r="BI7" i="36" s="1"/>
  <c r="BJ6" i="36"/>
  <c r="BI6" i="36" s="1"/>
  <c r="BJ5" i="36"/>
  <c r="BM5" i="36" s="1"/>
  <c r="AU74" i="36"/>
  <c r="AT74" i="36"/>
  <c r="AU73" i="36"/>
  <c r="AT73" i="36"/>
  <c r="AU72" i="36"/>
  <c r="AT72" i="36"/>
  <c r="AU71" i="36"/>
  <c r="AT71" i="36"/>
  <c r="AU70" i="36"/>
  <c r="AT70" i="36"/>
  <c r="AU69" i="36"/>
  <c r="AT69" i="36"/>
  <c r="AU68" i="36"/>
  <c r="AT68" i="36"/>
  <c r="AU67" i="36"/>
  <c r="AT67" i="36"/>
  <c r="AU66" i="36"/>
  <c r="AT66" i="36"/>
  <c r="AU65" i="36"/>
  <c r="AT65" i="36"/>
  <c r="AU64" i="36"/>
  <c r="AT64" i="36"/>
  <c r="AU63" i="36"/>
  <c r="AT63" i="36"/>
  <c r="AU62" i="36"/>
  <c r="AT62" i="36"/>
  <c r="AU61" i="36"/>
  <c r="AT61" i="36"/>
  <c r="AU60" i="36"/>
  <c r="AT60" i="36"/>
  <c r="AU59" i="36"/>
  <c r="AT59" i="36"/>
  <c r="AU58" i="36"/>
  <c r="AT58" i="36"/>
  <c r="AU57" i="36"/>
  <c r="AT57" i="36"/>
  <c r="AU56" i="36"/>
  <c r="AT56" i="36"/>
  <c r="AU55" i="36"/>
  <c r="AT55" i="36"/>
  <c r="AU54" i="36"/>
  <c r="AT54" i="36"/>
  <c r="AU53" i="36"/>
  <c r="AT53" i="36"/>
  <c r="AU52" i="36"/>
  <c r="AT52" i="36"/>
  <c r="AU51" i="36"/>
  <c r="AT51" i="36"/>
  <c r="AU50" i="36"/>
  <c r="AT50" i="36"/>
  <c r="AU49" i="36"/>
  <c r="AT49" i="36"/>
  <c r="AU48" i="36"/>
  <c r="AT48" i="36"/>
  <c r="AU47" i="36"/>
  <c r="AT47" i="36"/>
  <c r="AU46" i="36"/>
  <c r="AT46" i="36"/>
  <c r="AU45" i="36"/>
  <c r="AT45" i="36"/>
  <c r="AU44" i="36"/>
  <c r="AT44" i="36"/>
  <c r="AU43" i="36"/>
  <c r="AT43" i="36"/>
  <c r="AU42" i="36"/>
  <c r="AT42" i="36"/>
  <c r="AU41" i="36"/>
  <c r="AT41" i="36"/>
  <c r="AU39" i="36"/>
  <c r="AT39" i="36"/>
  <c r="AU38" i="36"/>
  <c r="AT38" i="36"/>
  <c r="AU37" i="36"/>
  <c r="AT37" i="36"/>
  <c r="AU36" i="36"/>
  <c r="AT36" i="36"/>
  <c r="AU35" i="36"/>
  <c r="AT35" i="36"/>
  <c r="AU34" i="36"/>
  <c r="AT34" i="36"/>
  <c r="AU33" i="36"/>
  <c r="AT33" i="36" s="1"/>
  <c r="AU32" i="36"/>
  <c r="AT32" i="36"/>
  <c r="AU31" i="36"/>
  <c r="AT31" i="36"/>
  <c r="AU30" i="36"/>
  <c r="AT30" i="36"/>
  <c r="AU29" i="36"/>
  <c r="AT29" i="36" s="1"/>
  <c r="AU28" i="36"/>
  <c r="AT28" i="36"/>
  <c r="AU26" i="36"/>
  <c r="AT26" i="36"/>
  <c r="AU25" i="36"/>
  <c r="AT25" i="36"/>
  <c r="AU24" i="36"/>
  <c r="AT24" i="36"/>
  <c r="AU23" i="36"/>
  <c r="AT23" i="36"/>
  <c r="AU22" i="36"/>
  <c r="AT22" i="36"/>
  <c r="AU21" i="36"/>
  <c r="AT21" i="36"/>
  <c r="AU20" i="36"/>
  <c r="AT20" i="36"/>
  <c r="AU19" i="36"/>
  <c r="AT19" i="36"/>
  <c r="AU18" i="36"/>
  <c r="AT18" i="36"/>
  <c r="AU16" i="36"/>
  <c r="AT16" i="36"/>
  <c r="AU15" i="36"/>
  <c r="AT15" i="36" s="1"/>
  <c r="AU14" i="36"/>
  <c r="AT14" i="36"/>
  <c r="AU13" i="36"/>
  <c r="AT13" i="36"/>
  <c r="AU12" i="36"/>
  <c r="AT12" i="36"/>
  <c r="AU11" i="36"/>
  <c r="AT11" i="36" s="1"/>
  <c r="AU10" i="36"/>
  <c r="AT10" i="36"/>
  <c r="AU9" i="36"/>
  <c r="AT9" i="36"/>
  <c r="AU8" i="36"/>
  <c r="AT8" i="36"/>
  <c r="AU7" i="36"/>
  <c r="AT7" i="36"/>
  <c r="AU6" i="36"/>
  <c r="AT6" i="36"/>
  <c r="AU5" i="36"/>
  <c r="AT5" i="36"/>
  <c r="AU4" i="36"/>
  <c r="AT4" i="36"/>
  <c r="BM26" i="53"/>
  <c r="BN26" i="53" s="1"/>
  <c r="BM27" i="53"/>
  <c r="BN27" i="53" s="1"/>
  <c r="BM28" i="53"/>
  <c r="BN28" i="53" s="1"/>
  <c r="BM29" i="53"/>
  <c r="BN29" i="53" s="1"/>
  <c r="BM32" i="53"/>
  <c r="BM58" i="53"/>
  <c r="BJ4" i="53"/>
  <c r="BI4" i="53"/>
  <c r="BJ6" i="56"/>
  <c r="AU138" i="34"/>
  <c r="AU137" i="34"/>
  <c r="AU136" i="34"/>
  <c r="AU135" i="34"/>
  <c r="AU134" i="34"/>
  <c r="AU133" i="34"/>
  <c r="AU132" i="34"/>
  <c r="AU131" i="34"/>
  <c r="AU130" i="34"/>
  <c r="AU129" i="34"/>
  <c r="AU128" i="34"/>
  <c r="AU127" i="34"/>
  <c r="AU126" i="34"/>
  <c r="AU125" i="34"/>
  <c r="AU124" i="34"/>
  <c r="AU123" i="34"/>
  <c r="AU122" i="34"/>
  <c r="AU121" i="34"/>
  <c r="AU120" i="34"/>
  <c r="AU119" i="34"/>
  <c r="AU118" i="34"/>
  <c r="AU117" i="34"/>
  <c r="AU116" i="34"/>
  <c r="AU115" i="34"/>
  <c r="AU114" i="34"/>
  <c r="AU113" i="34"/>
  <c r="AU112" i="34"/>
  <c r="AU111" i="34"/>
  <c r="AU110" i="34"/>
  <c r="AU109" i="34"/>
  <c r="AU108" i="34"/>
  <c r="AU107" i="34"/>
  <c r="AU106" i="34"/>
  <c r="AU105" i="34"/>
  <c r="AU104" i="34"/>
  <c r="AU103" i="34"/>
  <c r="AU101" i="34"/>
  <c r="AU100" i="34"/>
  <c r="AU99" i="34"/>
  <c r="AU98" i="34"/>
  <c r="AU97" i="34"/>
  <c r="AU96" i="34"/>
  <c r="AU95" i="34"/>
  <c r="AU94" i="34"/>
  <c r="AU93" i="34"/>
  <c r="AU92" i="34"/>
  <c r="AU91" i="34"/>
  <c r="AU90" i="34"/>
  <c r="AU89" i="34"/>
  <c r="AU88" i="34"/>
  <c r="AU87" i="34"/>
  <c r="AU86" i="34"/>
  <c r="AU85" i="34"/>
  <c r="AU84" i="34"/>
  <c r="AU83" i="34"/>
  <c r="AU82" i="34"/>
  <c r="AU81" i="34"/>
  <c r="AU80" i="34"/>
  <c r="AU79" i="34"/>
  <c r="AU78" i="34"/>
  <c r="AU77" i="34"/>
  <c r="AU76" i="34"/>
  <c r="AU75" i="34"/>
  <c r="AU74" i="34"/>
  <c r="AU73" i="34"/>
  <c r="AU72" i="34"/>
  <c r="AU71" i="34"/>
  <c r="AU70" i="34"/>
  <c r="AU69" i="34"/>
  <c r="AU68" i="34"/>
  <c r="AU67" i="34"/>
  <c r="AU66" i="34"/>
  <c r="AU65" i="34"/>
  <c r="AU64" i="34"/>
  <c r="AU63" i="34"/>
  <c r="AU62" i="34"/>
  <c r="AU5" i="34"/>
  <c r="AU6" i="34"/>
  <c r="AU7" i="34"/>
  <c r="AU8" i="34"/>
  <c r="AU9" i="34"/>
  <c r="AU10" i="34"/>
  <c r="AU11" i="34"/>
  <c r="AU12" i="34"/>
  <c r="AU13" i="34"/>
  <c r="AU14" i="34"/>
  <c r="AU15" i="34"/>
  <c r="AU16" i="34"/>
  <c r="AU17" i="34"/>
  <c r="AU18" i="34"/>
  <c r="AU19" i="34"/>
  <c r="AU20" i="34"/>
  <c r="AU21" i="34"/>
  <c r="AU22" i="34"/>
  <c r="AU23" i="34"/>
  <c r="AU24" i="34"/>
  <c r="AU26" i="34"/>
  <c r="AU27" i="34"/>
  <c r="AU28" i="34"/>
  <c r="AU29" i="34"/>
  <c r="AU30" i="34"/>
  <c r="AU32" i="34"/>
  <c r="AU33" i="34"/>
  <c r="AU34" i="34"/>
  <c r="AU35" i="34"/>
  <c r="AU36" i="34"/>
  <c r="AU37" i="34"/>
  <c r="AU38" i="34"/>
  <c r="AU39" i="34"/>
  <c r="AU40" i="34"/>
  <c r="AU41" i="34"/>
  <c r="AU42" i="34"/>
  <c r="AU43" i="34"/>
  <c r="AU44" i="34"/>
  <c r="AU45" i="34"/>
  <c r="AU46" i="34"/>
  <c r="AU47" i="34"/>
  <c r="AU48" i="34"/>
  <c r="AU49" i="34"/>
  <c r="AU50" i="34"/>
  <c r="AU51" i="34"/>
  <c r="AU52" i="34"/>
  <c r="AU53" i="34"/>
  <c r="AU54" i="34"/>
  <c r="AU55" i="34"/>
  <c r="AU56" i="34"/>
  <c r="AU57" i="34"/>
  <c r="AU58" i="34"/>
  <c r="AU59" i="34"/>
  <c r="AU60" i="34"/>
  <c r="AU4" i="34"/>
  <c r="AY1" i="34"/>
  <c r="AZ1" i="34"/>
  <c r="BA1" i="34"/>
  <c r="BB1" i="34"/>
  <c r="BC1" i="34"/>
  <c r="BD1" i="34"/>
  <c r="BE1" i="34"/>
  <c r="BF1" i="34"/>
  <c r="BG1" i="34"/>
  <c r="BH1" i="34"/>
  <c r="BI115" i="53"/>
  <c r="BJ115" i="53" s="1"/>
  <c r="BI114" i="53"/>
  <c r="BJ114" i="53" s="1"/>
  <c r="BJ113" i="53"/>
  <c r="BI113" i="53"/>
  <c r="BJ112" i="53"/>
  <c r="BI112" i="53"/>
  <c r="BJ111" i="53"/>
  <c r="BI111" i="53"/>
  <c r="BJ110" i="53"/>
  <c r="BI110" i="53"/>
  <c r="BJ109" i="53"/>
  <c r="BI109" i="53"/>
  <c r="BJ108" i="53"/>
  <c r="BI108" i="53"/>
  <c r="BJ107" i="53"/>
  <c r="BI107" i="53"/>
  <c r="BI106" i="53"/>
  <c r="BJ106" i="53" s="1"/>
  <c r="BI105" i="53"/>
  <c r="BJ104" i="53"/>
  <c r="BI104" i="53"/>
  <c r="BJ103" i="53"/>
  <c r="BI103" i="53"/>
  <c r="BJ102" i="53"/>
  <c r="BI102" i="53"/>
  <c r="BJ101" i="53"/>
  <c r="BI101" i="53"/>
  <c r="BJ100" i="53"/>
  <c r="BI100" i="53"/>
  <c r="BJ99" i="53"/>
  <c r="BI99" i="53"/>
  <c r="BJ98" i="53"/>
  <c r="BI98" i="53"/>
  <c r="BJ97" i="53"/>
  <c r="BI97" i="53"/>
  <c r="BJ96" i="53"/>
  <c r="BI96" i="53"/>
  <c r="BJ95" i="53"/>
  <c r="BI95" i="53"/>
  <c r="BI94" i="53"/>
  <c r="BJ94" i="53" s="1"/>
  <c r="BJ93" i="53"/>
  <c r="BI92" i="53"/>
  <c r="BJ92" i="53" s="1"/>
  <c r="BI91" i="53"/>
  <c r="BJ91" i="53" s="1"/>
  <c r="BJ90" i="53"/>
  <c r="BI90" i="53"/>
  <c r="BJ89" i="53"/>
  <c r="BI89" i="53"/>
  <c r="BI88" i="53"/>
  <c r="BJ88" i="53" s="1"/>
  <c r="BI87" i="53"/>
  <c r="BJ87" i="53" s="1"/>
  <c r="BI86" i="53"/>
  <c r="BJ86" i="53" s="1"/>
  <c r="BI85" i="53"/>
  <c r="BJ85" i="53" s="1"/>
  <c r="BI84" i="53"/>
  <c r="BJ84" i="53" s="1"/>
  <c r="BI83" i="53"/>
  <c r="BJ83" i="53" s="1"/>
  <c r="BI82" i="53"/>
  <c r="BJ82" i="53" s="1"/>
  <c r="BI81" i="53"/>
  <c r="BJ81" i="53" s="1"/>
  <c r="BI80" i="53"/>
  <c r="BJ80" i="53" s="1"/>
  <c r="BI79" i="53"/>
  <c r="BJ79" i="53" s="1"/>
  <c r="BI78" i="53"/>
  <c r="BJ78" i="53" s="1"/>
  <c r="BJ77" i="53"/>
  <c r="BI77" i="53"/>
  <c r="BI76" i="53"/>
  <c r="BJ76" i="53" s="1"/>
  <c r="BI75" i="53"/>
  <c r="BJ75" i="53" s="1"/>
  <c r="BI74" i="53"/>
  <c r="BJ74" i="53" s="1"/>
  <c r="BI73" i="53"/>
  <c r="BJ73" i="53" s="1"/>
  <c r="BI72" i="53"/>
  <c r="BJ72" i="53" s="1"/>
  <c r="BI71" i="53"/>
  <c r="BJ71" i="53" s="1"/>
  <c r="BJ70" i="53"/>
  <c r="BI69" i="53"/>
  <c r="BJ69" i="53" s="1"/>
  <c r="BI68" i="53"/>
  <c r="BJ68" i="53" s="1"/>
  <c r="BI67" i="53"/>
  <c r="BJ67" i="53" s="1"/>
  <c r="BI66" i="53"/>
  <c r="BJ66" i="53" s="1"/>
  <c r="BJ65" i="53"/>
  <c r="BI65" i="53"/>
  <c r="BJ64" i="53"/>
  <c r="BI64" i="53"/>
  <c r="BJ63" i="53"/>
  <c r="BI63" i="53"/>
  <c r="BJ62" i="53"/>
  <c r="BI62" i="53"/>
  <c r="BJ60" i="53"/>
  <c r="BI60" i="53"/>
  <c r="BJ59" i="53"/>
  <c r="BI59" i="53"/>
  <c r="BJ57" i="53"/>
  <c r="BI57" i="53"/>
  <c r="BJ56" i="53"/>
  <c r="BI56" i="53"/>
  <c r="BJ55" i="53"/>
  <c r="BI55" i="53"/>
  <c r="BJ54" i="53"/>
  <c r="BI54" i="53"/>
  <c r="BJ53" i="53"/>
  <c r="BI53" i="53"/>
  <c r="BJ52" i="53"/>
  <c r="BI52" i="53"/>
  <c r="BJ51" i="53"/>
  <c r="BI51" i="53"/>
  <c r="BJ50" i="53"/>
  <c r="BI50" i="53"/>
  <c r="BJ49" i="53"/>
  <c r="BI49" i="53"/>
  <c r="BJ48" i="53"/>
  <c r="BI48" i="53"/>
  <c r="BJ47" i="53"/>
  <c r="BI47" i="53"/>
  <c r="BJ46" i="53"/>
  <c r="BI46" i="53"/>
  <c r="BJ45" i="53"/>
  <c r="BI45" i="53"/>
  <c r="BJ44" i="53"/>
  <c r="BI44" i="53"/>
  <c r="BJ43" i="53"/>
  <c r="BI43" i="53"/>
  <c r="BJ42" i="53"/>
  <c r="BI42" i="53"/>
  <c r="BJ41" i="53"/>
  <c r="BI41" i="53"/>
  <c r="BJ40" i="53"/>
  <c r="BI40" i="53"/>
  <c r="BJ39" i="53"/>
  <c r="BI39" i="53"/>
  <c r="BJ38" i="53"/>
  <c r="BI38" i="53"/>
  <c r="BJ37" i="53"/>
  <c r="BI37" i="53"/>
  <c r="BJ36" i="53"/>
  <c r="BI36" i="53"/>
  <c r="BJ34" i="53"/>
  <c r="BI34" i="53"/>
  <c r="BJ33" i="53"/>
  <c r="BI33" i="53"/>
  <c r="BI31" i="53"/>
  <c r="BJ31" i="53" s="1"/>
  <c r="BI30" i="53"/>
  <c r="BJ30" i="53" s="1"/>
  <c r="BI25" i="53"/>
  <c r="BJ25" i="53" s="1"/>
  <c r="BI24" i="53"/>
  <c r="BJ24" i="53" s="1"/>
  <c r="BI23" i="53"/>
  <c r="BJ23" i="53" s="1"/>
  <c r="BI22" i="53"/>
  <c r="BJ22" i="53" s="1"/>
  <c r="BI21" i="53"/>
  <c r="BJ21" i="53" s="1"/>
  <c r="BI20" i="53"/>
  <c r="BJ20" i="53" s="1"/>
  <c r="BI19" i="53"/>
  <c r="BJ19" i="53" s="1"/>
  <c r="BI18" i="53"/>
  <c r="BJ18" i="53" s="1"/>
  <c r="BI17" i="53"/>
  <c r="BJ17" i="53" s="1"/>
  <c r="BI16" i="53"/>
  <c r="BJ16" i="53" s="1"/>
  <c r="BI15" i="53"/>
  <c r="BJ15" i="53" s="1"/>
  <c r="BI14" i="53"/>
  <c r="BJ14" i="53" s="1"/>
  <c r="BI13" i="53"/>
  <c r="BJ13" i="53" s="1"/>
  <c r="BI12" i="53"/>
  <c r="BJ12" i="53" s="1"/>
  <c r="BI11" i="53"/>
  <c r="BJ11" i="53" s="1"/>
  <c r="BI10" i="53"/>
  <c r="BJ10" i="53" s="1"/>
  <c r="BI9" i="53"/>
  <c r="BJ9" i="53" s="1"/>
  <c r="BI8" i="53"/>
  <c r="BJ8" i="53" s="1"/>
  <c r="BI7" i="53"/>
  <c r="BJ7" i="53" s="1"/>
  <c r="BJ5" i="53"/>
  <c r="BI5" i="53"/>
  <c r="AT114" i="53"/>
  <c r="AU114" i="53" s="1"/>
  <c r="AU113" i="53"/>
  <c r="AT113" i="53"/>
  <c r="AU112" i="53"/>
  <c r="AT112" i="53"/>
  <c r="AU111" i="53"/>
  <c r="AT111" i="53"/>
  <c r="AU110" i="53"/>
  <c r="AT110" i="53"/>
  <c r="AU109" i="53"/>
  <c r="AT109" i="53"/>
  <c r="AU108" i="53"/>
  <c r="AT108" i="53"/>
  <c r="AU107" i="53"/>
  <c r="AT107" i="53"/>
  <c r="AT106" i="53"/>
  <c r="AU106" i="53" s="1"/>
  <c r="AU104" i="53"/>
  <c r="AT104" i="53"/>
  <c r="AU103" i="53"/>
  <c r="AT103" i="53"/>
  <c r="AU102" i="53"/>
  <c r="AT102" i="53"/>
  <c r="AU101" i="53"/>
  <c r="AT101" i="53"/>
  <c r="AU100" i="53"/>
  <c r="AT100" i="53"/>
  <c r="AU99" i="53"/>
  <c r="AT99" i="53"/>
  <c r="AU98" i="53"/>
  <c r="AT98" i="53"/>
  <c r="AU97" i="53"/>
  <c r="AT97" i="53"/>
  <c r="AU96" i="53"/>
  <c r="AT96" i="53"/>
  <c r="AU95" i="53"/>
  <c r="AT95" i="53"/>
  <c r="AT94" i="53"/>
  <c r="AU94" i="53" s="1"/>
  <c r="AT92" i="53"/>
  <c r="AU92" i="53" s="1"/>
  <c r="AT91" i="53"/>
  <c r="AU91" i="53" s="1"/>
  <c r="AU90" i="53"/>
  <c r="AT90" i="53"/>
  <c r="AU89" i="53"/>
  <c r="AT89" i="53"/>
  <c r="AT88" i="53"/>
  <c r="AU88" i="53" s="1"/>
  <c r="AT87" i="53"/>
  <c r="AU87" i="53" s="1"/>
  <c r="AT86" i="53"/>
  <c r="AU86" i="53" s="1"/>
  <c r="AT85" i="53"/>
  <c r="AU85" i="53" s="1"/>
  <c r="AT84" i="53"/>
  <c r="AU84" i="53" s="1"/>
  <c r="AT83" i="53"/>
  <c r="AU83" i="53" s="1"/>
  <c r="AT82" i="53"/>
  <c r="AU82" i="53" s="1"/>
  <c r="AT81" i="53"/>
  <c r="AU81" i="53" s="1"/>
  <c r="AT80" i="53"/>
  <c r="AU80" i="53" s="1"/>
  <c r="AT79" i="53"/>
  <c r="AU79" i="53" s="1"/>
  <c r="AT78" i="53"/>
  <c r="AU78" i="53" s="1"/>
  <c r="AU77" i="53"/>
  <c r="AT77" i="53"/>
  <c r="AT76" i="53"/>
  <c r="AU76" i="53" s="1"/>
  <c r="AT75" i="53"/>
  <c r="AU75" i="53" s="1"/>
  <c r="AT74" i="53"/>
  <c r="AU74" i="53" s="1"/>
  <c r="AT73" i="53"/>
  <c r="AU73" i="53" s="1"/>
  <c r="AT72" i="53"/>
  <c r="AU72" i="53" s="1"/>
  <c r="AT71" i="53"/>
  <c r="AU71" i="53" s="1"/>
  <c r="AT70" i="53"/>
  <c r="AU70" i="53" s="1"/>
  <c r="AT69" i="53"/>
  <c r="AU69" i="53" s="1"/>
  <c r="AT68" i="53"/>
  <c r="AU68" i="53" s="1"/>
  <c r="AT67" i="53"/>
  <c r="AU67" i="53" s="1"/>
  <c r="AT66" i="53"/>
  <c r="AU66" i="53" s="1"/>
  <c r="AU65" i="53"/>
  <c r="AT65" i="53"/>
  <c r="AU64" i="53"/>
  <c r="AT64" i="53"/>
  <c r="AU63" i="53"/>
  <c r="AT63" i="53"/>
  <c r="AU62" i="53"/>
  <c r="AT62" i="53"/>
  <c r="AU60" i="53"/>
  <c r="AT60" i="53"/>
  <c r="AU57" i="53"/>
  <c r="AT57" i="53"/>
  <c r="AU56" i="53"/>
  <c r="AT56" i="53"/>
  <c r="AU55" i="53"/>
  <c r="AT55" i="53"/>
  <c r="AU54" i="53"/>
  <c r="AT54" i="53"/>
  <c r="AU53" i="53"/>
  <c r="AT53" i="53"/>
  <c r="AU52" i="53"/>
  <c r="AT52" i="53"/>
  <c r="AU51" i="53"/>
  <c r="AT51" i="53"/>
  <c r="AU50" i="53"/>
  <c r="AT50" i="53"/>
  <c r="AU49" i="53"/>
  <c r="AT49" i="53"/>
  <c r="AU48" i="53"/>
  <c r="AT48" i="53"/>
  <c r="AU47" i="53"/>
  <c r="AT47" i="53"/>
  <c r="AU46" i="53"/>
  <c r="AT46" i="53"/>
  <c r="AU45" i="53"/>
  <c r="AT45" i="53"/>
  <c r="AU44" i="53"/>
  <c r="AT44" i="53"/>
  <c r="AU43" i="53"/>
  <c r="AT43" i="53"/>
  <c r="AU42" i="53"/>
  <c r="AT42" i="53"/>
  <c r="AU41" i="53"/>
  <c r="AT41" i="53"/>
  <c r="AU40" i="53"/>
  <c r="AT40" i="53"/>
  <c r="AU39" i="53"/>
  <c r="AT39" i="53"/>
  <c r="AU38" i="53"/>
  <c r="AT38" i="53"/>
  <c r="AU37" i="53"/>
  <c r="AT37" i="53"/>
  <c r="AU36" i="53"/>
  <c r="AT36" i="53"/>
  <c r="AU34" i="53"/>
  <c r="AT34" i="53"/>
  <c r="AU33" i="53"/>
  <c r="AT33" i="53"/>
  <c r="AT30" i="53"/>
  <c r="AU30" i="53" s="1"/>
  <c r="AT25" i="53"/>
  <c r="AU25" i="53" s="1"/>
  <c r="AT24" i="53"/>
  <c r="AU24" i="53" s="1"/>
  <c r="AT23" i="53"/>
  <c r="AU23" i="53" s="1"/>
  <c r="AT22" i="53"/>
  <c r="AU22" i="53" s="1"/>
  <c r="AT21" i="53"/>
  <c r="AU21" i="53" s="1"/>
  <c r="AT20" i="53"/>
  <c r="AU20" i="53" s="1"/>
  <c r="AT19" i="53"/>
  <c r="AU19" i="53" s="1"/>
  <c r="AT18" i="53"/>
  <c r="AU18" i="53" s="1"/>
  <c r="AT17" i="53"/>
  <c r="AU17" i="53" s="1"/>
  <c r="AT16" i="53"/>
  <c r="AU16" i="53" s="1"/>
  <c r="AT15" i="53"/>
  <c r="AU15" i="53" s="1"/>
  <c r="AT14" i="53"/>
  <c r="AU14" i="53" s="1"/>
  <c r="AT13" i="53"/>
  <c r="AU13" i="53" s="1"/>
  <c r="AT12" i="53"/>
  <c r="AU12" i="53" s="1"/>
  <c r="AT11" i="53"/>
  <c r="AU11" i="53" s="1"/>
  <c r="AT10" i="53"/>
  <c r="AU10" i="53" s="1"/>
  <c r="AT9" i="53"/>
  <c r="AU9" i="53" s="1"/>
  <c r="AT8" i="53"/>
  <c r="AU8" i="53" s="1"/>
  <c r="AT7" i="53"/>
  <c r="AU7" i="53" s="1"/>
  <c r="AU5" i="53"/>
  <c r="AT5" i="53"/>
  <c r="AU4" i="53"/>
  <c r="AT4" i="53"/>
  <c r="BM6" i="56"/>
  <c r="BM12" i="56"/>
  <c r="BM23" i="56"/>
  <c r="BM36" i="56"/>
  <c r="BM39" i="56"/>
  <c r="BJ4" i="56"/>
  <c r="BM4" i="56" s="1"/>
  <c r="BI4" i="56"/>
  <c r="BJ57" i="56"/>
  <c r="BM57" i="56" s="1"/>
  <c r="BI57" i="56"/>
  <c r="BJ56" i="56"/>
  <c r="BM56" i="56" s="1"/>
  <c r="BI56" i="56"/>
  <c r="BJ55" i="56"/>
  <c r="BM55" i="56" s="1"/>
  <c r="BI55" i="56"/>
  <c r="BJ54" i="56"/>
  <c r="BM54" i="56" s="1"/>
  <c r="BI54" i="56"/>
  <c r="BJ53" i="56"/>
  <c r="BM53" i="56" s="1"/>
  <c r="BI53" i="56"/>
  <c r="BJ52" i="56"/>
  <c r="BM52" i="56" s="1"/>
  <c r="BI52" i="56"/>
  <c r="BJ51" i="56"/>
  <c r="BM51" i="56" s="1"/>
  <c r="BI51" i="56"/>
  <c r="BJ50" i="56"/>
  <c r="BM50" i="56" s="1"/>
  <c r="BI50" i="56"/>
  <c r="BJ49" i="56"/>
  <c r="BM49" i="56" s="1"/>
  <c r="BI49" i="56"/>
  <c r="BJ48" i="56"/>
  <c r="BM48" i="56" s="1"/>
  <c r="BI48" i="56"/>
  <c r="BJ47" i="56"/>
  <c r="BM47" i="56" s="1"/>
  <c r="BI47" i="56"/>
  <c r="BJ46" i="56"/>
  <c r="BM46" i="56" s="1"/>
  <c r="BI46" i="56"/>
  <c r="BJ45" i="56"/>
  <c r="BM45" i="56" s="1"/>
  <c r="BI45" i="56"/>
  <c r="BJ44" i="56"/>
  <c r="BM44" i="56" s="1"/>
  <c r="BI44" i="56"/>
  <c r="BJ43" i="56"/>
  <c r="BM43" i="56" s="1"/>
  <c r="BI43" i="56"/>
  <c r="BJ42" i="56"/>
  <c r="BM42" i="56" s="1"/>
  <c r="BI42" i="56"/>
  <c r="BJ41" i="56"/>
  <c r="BM41" i="56" s="1"/>
  <c r="BI41" i="56"/>
  <c r="BJ40" i="56"/>
  <c r="BM40" i="56" s="1"/>
  <c r="BI40" i="56"/>
  <c r="BI39" i="56"/>
  <c r="BJ38" i="56"/>
  <c r="BM38" i="56" s="1"/>
  <c r="BI38" i="56"/>
  <c r="BJ37" i="56"/>
  <c r="BM37" i="56" s="1"/>
  <c r="BI37" i="56"/>
  <c r="BI36" i="56"/>
  <c r="BJ35" i="56"/>
  <c r="BM35" i="56" s="1"/>
  <c r="BI35" i="56"/>
  <c r="BJ34" i="56"/>
  <c r="BM34" i="56" s="1"/>
  <c r="BI34" i="56"/>
  <c r="BJ33" i="56"/>
  <c r="BM33" i="56" s="1"/>
  <c r="BI33" i="56"/>
  <c r="BJ32" i="56"/>
  <c r="BM32" i="56" s="1"/>
  <c r="BI32" i="56"/>
  <c r="BJ31" i="56"/>
  <c r="BM31" i="56" s="1"/>
  <c r="BI31" i="56"/>
  <c r="BJ30" i="56"/>
  <c r="BM30" i="56" s="1"/>
  <c r="BI30" i="56"/>
  <c r="BJ29" i="56"/>
  <c r="BM29" i="56" s="1"/>
  <c r="BI29" i="56"/>
  <c r="BJ28" i="56"/>
  <c r="BM28" i="56" s="1"/>
  <c r="BI28" i="56"/>
  <c r="BJ27" i="56"/>
  <c r="BM27" i="56" s="1"/>
  <c r="BI27" i="56"/>
  <c r="BJ26" i="56"/>
  <c r="BM26" i="56" s="1"/>
  <c r="BI26" i="56"/>
  <c r="BJ25" i="56"/>
  <c r="BM25" i="56" s="1"/>
  <c r="BI25" i="56"/>
  <c r="BJ24" i="56"/>
  <c r="BM24" i="56" s="1"/>
  <c r="BI24" i="56"/>
  <c r="BJ22" i="56"/>
  <c r="BM22" i="56" s="1"/>
  <c r="BI22" i="56"/>
  <c r="BJ21" i="56"/>
  <c r="BM21" i="56" s="1"/>
  <c r="BI21" i="56"/>
  <c r="BJ20" i="56"/>
  <c r="BM20" i="56" s="1"/>
  <c r="BI20" i="56"/>
  <c r="BJ19" i="56"/>
  <c r="BM19" i="56" s="1"/>
  <c r="BI19" i="56"/>
  <c r="BJ18" i="56"/>
  <c r="BM18" i="56" s="1"/>
  <c r="BI18" i="56"/>
  <c r="BJ17" i="56"/>
  <c r="BM17" i="56" s="1"/>
  <c r="BI17" i="56"/>
  <c r="BJ16" i="56"/>
  <c r="BM16" i="56" s="1"/>
  <c r="BI16" i="56"/>
  <c r="BJ15" i="56"/>
  <c r="BM15" i="56" s="1"/>
  <c r="BI15" i="56"/>
  <c r="BJ14" i="56"/>
  <c r="BM14" i="56" s="1"/>
  <c r="BI14" i="56"/>
  <c r="BJ13" i="56"/>
  <c r="BM13" i="56" s="1"/>
  <c r="BI13" i="56"/>
  <c r="BI12" i="56"/>
  <c r="BJ11" i="56"/>
  <c r="BM11" i="56" s="1"/>
  <c r="BI11" i="56"/>
  <c r="BJ10" i="56"/>
  <c r="BM10" i="56" s="1"/>
  <c r="BI10" i="56"/>
  <c r="BJ9" i="56"/>
  <c r="BM9" i="56" s="1"/>
  <c r="BI9" i="56"/>
  <c r="BJ8" i="56"/>
  <c r="BM8" i="56" s="1"/>
  <c r="BI8" i="56"/>
  <c r="BJ7" i="56"/>
  <c r="BM7" i="56" s="1"/>
  <c r="BI7" i="56"/>
  <c r="BI6" i="56"/>
  <c r="BJ5" i="56"/>
  <c r="BM5" i="56" s="1"/>
  <c r="BI5" i="56"/>
  <c r="AU4" i="56"/>
  <c r="AU57" i="56"/>
  <c r="AU56" i="56"/>
  <c r="AU55" i="56"/>
  <c r="AU54" i="56"/>
  <c r="AU53" i="56"/>
  <c r="AU52" i="56"/>
  <c r="AU51" i="56"/>
  <c r="AU50" i="56"/>
  <c r="AU49" i="56"/>
  <c r="AU48" i="56"/>
  <c r="AU47" i="56"/>
  <c r="AU46" i="56"/>
  <c r="AU45" i="56"/>
  <c r="AU44" i="56"/>
  <c r="AU43" i="56"/>
  <c r="AU42" i="56"/>
  <c r="AU41" i="56"/>
  <c r="AU40" i="56"/>
  <c r="AU38" i="56"/>
  <c r="AU37" i="56"/>
  <c r="AU35" i="56"/>
  <c r="AU34" i="56"/>
  <c r="AU33" i="56"/>
  <c r="AU32" i="56"/>
  <c r="AU31" i="56"/>
  <c r="AU30" i="56"/>
  <c r="AU29" i="56"/>
  <c r="AU28" i="56"/>
  <c r="AU27" i="56"/>
  <c r="AU26" i="56"/>
  <c r="AU25" i="56"/>
  <c r="AU24" i="56"/>
  <c r="AU22" i="56"/>
  <c r="AU21" i="56"/>
  <c r="AU20" i="56"/>
  <c r="AU19" i="56"/>
  <c r="AU18" i="56"/>
  <c r="AU17" i="56"/>
  <c r="AU16" i="56"/>
  <c r="AU15" i="56"/>
  <c r="AU14" i="56"/>
  <c r="AU13" i="56"/>
  <c r="AU11" i="56"/>
  <c r="AU10" i="56"/>
  <c r="AU9" i="56"/>
  <c r="AU8" i="56"/>
  <c r="AU7" i="56"/>
  <c r="AU6" i="56"/>
  <c r="AU5" i="56"/>
  <c r="AT5" i="56"/>
  <c r="AT6" i="56"/>
  <c r="AT7" i="56"/>
  <c r="AT8" i="56"/>
  <c r="AT9" i="56"/>
  <c r="AT10" i="56"/>
  <c r="AT11" i="56"/>
  <c r="AT12" i="56"/>
  <c r="AT13" i="56"/>
  <c r="AT14" i="56"/>
  <c r="AT15" i="56"/>
  <c r="AT16" i="56"/>
  <c r="AT17" i="56"/>
  <c r="AT18" i="56"/>
  <c r="AT19" i="56"/>
  <c r="AT20" i="56"/>
  <c r="AT21" i="56"/>
  <c r="AT22" i="56"/>
  <c r="AT24" i="56"/>
  <c r="AT25" i="56"/>
  <c r="AT26" i="56"/>
  <c r="AT27" i="56"/>
  <c r="AT28" i="56"/>
  <c r="AT29" i="56"/>
  <c r="AT30" i="56"/>
  <c r="AT31" i="56"/>
  <c r="AT32" i="56"/>
  <c r="AT33" i="56"/>
  <c r="AT34" i="56"/>
  <c r="AT35" i="56"/>
  <c r="AT36" i="56"/>
  <c r="AT37" i="56"/>
  <c r="AT38" i="56"/>
  <c r="AT39" i="56"/>
  <c r="AT40" i="56"/>
  <c r="AT41" i="56"/>
  <c r="AT42" i="56"/>
  <c r="AT43" i="56"/>
  <c r="AT44" i="56"/>
  <c r="AT45" i="56"/>
  <c r="AT46" i="56"/>
  <c r="AT47" i="56"/>
  <c r="AT48" i="56"/>
  <c r="AT49" i="56"/>
  <c r="AT50" i="56"/>
  <c r="AT51" i="56"/>
  <c r="AT52" i="56"/>
  <c r="AT53" i="56"/>
  <c r="AT54" i="56"/>
  <c r="AT55" i="56"/>
  <c r="AT56" i="56"/>
  <c r="AT57" i="56"/>
  <c r="AT4" i="56"/>
  <c r="BO118" i="34"/>
  <c r="BO117" i="34"/>
  <c r="BO116" i="34"/>
  <c r="BO115" i="34"/>
  <c r="BO114" i="34"/>
  <c r="BO113" i="34"/>
  <c r="BO112" i="34"/>
  <c r="BO111" i="34"/>
  <c r="BO110" i="34"/>
  <c r="BO109" i="34"/>
  <c r="BO108" i="34"/>
  <c r="BO107" i="34"/>
  <c r="BO106" i="34"/>
  <c r="BO105" i="34"/>
  <c r="BO104" i="34"/>
  <c r="BO103" i="34" s="1"/>
  <c r="BP106" i="34"/>
  <c r="BN104" i="34"/>
  <c r="BY208" i="22"/>
  <c r="BX208" i="22"/>
  <c r="AT433" i="22"/>
  <c r="AT432" i="22"/>
  <c r="AT431" i="22"/>
  <c r="AT430" i="22"/>
  <c r="AT429" i="22"/>
  <c r="AT428" i="22"/>
  <c r="AT427" i="22"/>
  <c r="AT426" i="22"/>
  <c r="AT425" i="22"/>
  <c r="AT424" i="22"/>
  <c r="AT423" i="22"/>
  <c r="AT422" i="22"/>
  <c r="AT421" i="22"/>
  <c r="AT420" i="22"/>
  <c r="AT419" i="22"/>
  <c r="AT418" i="22"/>
  <c r="AT417" i="22"/>
  <c r="AT416" i="22"/>
  <c r="AT415" i="22"/>
  <c r="AT414" i="22"/>
  <c r="AT413" i="22"/>
  <c r="AT412" i="22"/>
  <c r="AT411" i="22"/>
  <c r="AT410" i="22"/>
  <c r="AT409" i="22"/>
  <c r="AT408" i="22"/>
  <c r="AT407" i="22"/>
  <c r="AT406" i="22"/>
  <c r="AT405" i="22"/>
  <c r="AT404" i="22"/>
  <c r="AT403" i="22"/>
  <c r="AT402" i="22"/>
  <c r="AT401" i="22"/>
  <c r="AT400" i="22"/>
  <c r="AT399" i="22"/>
  <c r="AT398" i="22"/>
  <c r="AT397" i="22"/>
  <c r="AT396" i="22"/>
  <c r="AT395" i="22"/>
  <c r="AT394" i="22"/>
  <c r="AT393" i="22"/>
  <c r="AT392" i="22"/>
  <c r="AT391" i="22"/>
  <c r="AT390" i="22"/>
  <c r="AT389" i="22"/>
  <c r="AT388" i="22"/>
  <c r="AT387" i="22"/>
  <c r="AT386" i="22"/>
  <c r="AT385" i="22"/>
  <c r="AT384" i="22"/>
  <c r="AT383" i="22"/>
  <c r="AT382" i="22"/>
  <c r="AT381" i="22"/>
  <c r="AT380" i="22"/>
  <c r="AT379" i="22"/>
  <c r="AT378" i="22"/>
  <c r="AT377" i="22"/>
  <c r="AT376" i="22"/>
  <c r="AT375" i="22"/>
  <c r="AT374" i="22"/>
  <c r="AT373" i="22"/>
  <c r="AT372" i="22"/>
  <c r="AT371" i="22"/>
  <c r="AT370" i="22"/>
  <c r="AT369" i="22"/>
  <c r="AT368" i="22"/>
  <c r="AT367" i="22"/>
  <c r="AT366" i="22"/>
  <c r="AT365" i="22"/>
  <c r="AT364" i="22"/>
  <c r="AT363" i="22"/>
  <c r="AT362" i="22"/>
  <c r="AT361" i="22"/>
  <c r="AT360" i="22"/>
  <c r="AT359" i="22"/>
  <c r="AT358" i="22"/>
  <c r="AT357" i="22"/>
  <c r="AT356" i="22"/>
  <c r="AT355" i="22"/>
  <c r="AT354" i="22"/>
  <c r="AT353" i="22"/>
  <c r="AT352" i="22"/>
  <c r="AT351" i="22"/>
  <c r="AT350" i="22"/>
  <c r="AT349" i="22"/>
  <c r="AT348" i="22"/>
  <c r="AT347" i="22"/>
  <c r="AT346" i="22"/>
  <c r="AT345" i="22"/>
  <c r="AT344" i="22"/>
  <c r="AT343" i="22"/>
  <c r="AT342" i="22"/>
  <c r="AT341" i="22"/>
  <c r="AT340" i="22"/>
  <c r="AT339" i="22"/>
  <c r="AT338" i="22"/>
  <c r="AT337" i="22"/>
  <c r="AT336" i="22"/>
  <c r="AT328" i="22"/>
  <c r="AT327" i="22"/>
  <c r="AT326" i="22"/>
  <c r="AT325" i="22"/>
  <c r="AT324" i="22"/>
  <c r="AT323" i="22"/>
  <c r="AT322" i="22"/>
  <c r="AT321" i="22"/>
  <c r="AT320" i="22"/>
  <c r="AT312" i="22"/>
  <c r="AT311" i="22"/>
  <c r="AT310" i="22"/>
  <c r="AT309" i="22"/>
  <c r="AT308" i="22"/>
  <c r="AT307" i="22"/>
  <c r="AT306" i="22"/>
  <c r="AT305" i="22"/>
  <c r="AT304" i="22"/>
  <c r="AT303" i="22"/>
  <c r="AT302" i="22"/>
  <c r="AT301" i="22"/>
  <c r="AT300" i="22"/>
  <c r="AT299" i="22"/>
  <c r="AT298" i="22"/>
  <c r="AT297" i="22"/>
  <c r="AT296" i="22"/>
  <c r="AT295" i="22"/>
  <c r="AT294" i="22"/>
  <c r="AT293" i="22"/>
  <c r="AT292" i="22"/>
  <c r="AT291" i="22"/>
  <c r="AT290" i="22"/>
  <c r="AT289" i="22"/>
  <c r="AT288" i="22"/>
  <c r="AT287" i="22"/>
  <c r="AT286" i="22"/>
  <c r="AT285" i="22"/>
  <c r="AT284" i="22"/>
  <c r="AT283" i="22"/>
  <c r="AT282" i="22"/>
  <c r="AT281" i="22"/>
  <c r="AT280" i="22"/>
  <c r="AT279" i="22"/>
  <c r="AT278" i="22"/>
  <c r="AT277" i="22"/>
  <c r="AT276" i="22"/>
  <c r="AT275" i="22"/>
  <c r="AT274" i="22"/>
  <c r="AT273" i="22"/>
  <c r="AT272" i="22"/>
  <c r="AT271" i="22"/>
  <c r="AT270" i="22"/>
  <c r="AT269" i="22"/>
  <c r="AT268" i="22"/>
  <c r="AT267" i="22"/>
  <c r="AT266" i="22"/>
  <c r="AT265" i="22"/>
  <c r="AT264" i="22"/>
  <c r="AT263" i="22"/>
  <c r="AT262" i="22"/>
  <c r="AT261" i="22"/>
  <c r="AT260" i="22"/>
  <c r="AT259" i="22"/>
  <c r="AT258" i="22"/>
  <c r="AT257" i="22"/>
  <c r="AT255" i="22"/>
  <c r="AT254" i="22"/>
  <c r="AT253" i="22"/>
  <c r="AT252" i="22"/>
  <c r="AT251" i="22"/>
  <c r="AT250" i="22"/>
  <c r="AT249" i="22"/>
  <c r="AT248" i="22"/>
  <c r="AT247" i="22"/>
  <c r="AT246" i="22"/>
  <c r="AT245" i="22"/>
  <c r="AT244" i="22"/>
  <c r="AT243" i="22"/>
  <c r="AT242" i="22"/>
  <c r="AT241" i="22"/>
  <c r="AT239" i="22"/>
  <c r="AT238" i="22"/>
  <c r="AT237" i="22"/>
  <c r="AT236" i="22"/>
  <c r="AT235" i="22"/>
  <c r="AT234" i="22"/>
  <c r="AT233" i="22"/>
  <c r="AT232" i="22"/>
  <c r="AT231" i="22"/>
  <c r="AT230" i="22"/>
  <c r="AT229" i="22"/>
  <c r="AT228" i="22"/>
  <c r="AT227" i="22"/>
  <c r="AT226" i="22"/>
  <c r="AT225" i="22"/>
  <c r="AT223" i="22"/>
  <c r="AT222" i="22"/>
  <c r="AT221" i="22"/>
  <c r="AT220" i="22"/>
  <c r="AT219" i="22"/>
  <c r="AT218" i="22"/>
  <c r="AT217" i="22"/>
  <c r="AT216" i="22"/>
  <c r="AT215" i="22"/>
  <c r="AT214" i="22"/>
  <c r="AT213" i="22"/>
  <c r="AT212" i="22"/>
  <c r="AT211" i="22"/>
  <c r="AT210" i="22"/>
  <c r="AT209" i="22"/>
  <c r="AT149" i="22"/>
  <c r="AS83" i="22"/>
  <c r="AS61" i="22"/>
  <c r="AT55" i="22"/>
  <c r="AU323" i="22"/>
  <c r="AU322" i="22"/>
  <c r="AU320" i="22"/>
  <c r="BI315" i="22"/>
  <c r="BJ315" i="22"/>
  <c r="BX315" i="22"/>
  <c r="BY315" i="22"/>
  <c r="BI316" i="22"/>
  <c r="BJ316" i="22"/>
  <c r="BX316" i="22"/>
  <c r="BY316" i="22"/>
  <c r="BI317" i="22"/>
  <c r="BJ317" i="22"/>
  <c r="BX317" i="22"/>
  <c r="BY317" i="22"/>
  <c r="BI318" i="22"/>
  <c r="BJ318" i="22"/>
  <c r="BX318" i="22"/>
  <c r="BY318" i="22"/>
  <c r="BI319" i="22"/>
  <c r="BJ319" i="22"/>
  <c r="BX319" i="22"/>
  <c r="BY319" i="22"/>
  <c r="BI320" i="22"/>
  <c r="BJ320" i="22"/>
  <c r="CB320" i="22" s="1"/>
  <c r="BX320" i="22"/>
  <c r="BY320" i="22"/>
  <c r="AU321" i="22"/>
  <c r="BI321" i="22"/>
  <c r="BJ321" i="22"/>
  <c r="BX321" i="22"/>
  <c r="BY321" i="22"/>
  <c r="BI322" i="22"/>
  <c r="BJ322" i="22"/>
  <c r="CB322" i="22" s="1"/>
  <c r="BX322" i="22"/>
  <c r="BY322" i="22"/>
  <c r="BI323" i="22"/>
  <c r="BJ323" i="22"/>
  <c r="CB323" i="22" s="1"/>
  <c r="BX323" i="22"/>
  <c r="BY323" i="22"/>
  <c r="D18" i="15" a="1"/>
  <c r="D34" i="15" a="1"/>
  <c r="D23" i="15" a="1"/>
  <c r="D39" i="15" a="1"/>
  <c r="D14" i="15" a="1"/>
  <c r="D32" i="15" a="1"/>
  <c r="D35" i="15" a="1"/>
  <c r="D36" i="15" a="1"/>
  <c r="D21" i="15" a="1"/>
  <c r="D22" i="15" a="1"/>
  <c r="D38" i="15" a="1"/>
  <c r="D17" i="15" a="1"/>
  <c r="D7" i="15" a="1"/>
  <c r="D24" i="15" a="1"/>
  <c r="D40" i="15" a="1"/>
  <c r="D26" i="15" a="1"/>
  <c r="D10" i="15" a="1"/>
  <c r="D11" i="15" a="1"/>
  <c r="D12" i="15" a="1"/>
  <c r="D13" i="15" a="1"/>
  <c r="D31" i="15" a="1"/>
  <c r="D16" i="15" a="1"/>
  <c r="D8" i="15" a="1"/>
  <c r="D25" i="15" a="1"/>
  <c r="D41" i="15" a="1"/>
  <c r="D9" i="15" a="1"/>
  <c r="D27" i="15" a="1"/>
  <c r="D28" i="15" a="1"/>
  <c r="D33" i="15" a="1"/>
  <c r="E19" i="16" a="1"/>
  <c r="E16" i="15" a="1"/>
  <c r="E32" i="15" a="1"/>
  <c r="E28" i="15" a="1"/>
  <c r="E20" i="16" a="1"/>
  <c r="E17" i="15" a="1"/>
  <c r="E33" i="15" a="1"/>
  <c r="E21" i="16" a="1"/>
  <c r="E18" i="15" a="1"/>
  <c r="E34" i="15" a="1"/>
  <c r="E22" i="16" a="1"/>
  <c r="E35" i="15" a="1"/>
  <c r="E14" i="16" a="1"/>
  <c r="E23" i="16" a="1"/>
  <c r="E36" i="15" a="1"/>
  <c r="E24" i="16" a="1"/>
  <c r="E21" i="15" a="1"/>
  <c r="E7" i="16" a="1"/>
  <c r="E26" i="16" a="1"/>
  <c r="E22" i="15" a="1"/>
  <c r="E38" i="15" a="1"/>
  <c r="E8" i="16" a="1"/>
  <c r="E27" i="16" a="1"/>
  <c r="E23" i="15" a="1"/>
  <c r="E39" i="15" a="1"/>
  <c r="E9" i="16" a="1"/>
  <c r="E7" i="15" a="1"/>
  <c r="E24" i="15" a="1"/>
  <c r="E40" i="15" a="1"/>
  <c r="E12" i="15" a="1"/>
  <c r="E10" i="16" a="1"/>
  <c r="E8" i="15" a="1"/>
  <c r="E25" i="15" a="1"/>
  <c r="E41" i="15" a="1"/>
  <c r="E12" i="16" a="1"/>
  <c r="E9" i="15" a="1"/>
  <c r="E26" i="15" a="1"/>
  <c r="E13" i="16" a="1"/>
  <c r="E10" i="15" a="1"/>
  <c r="E27" i="15" a="1"/>
  <c r="E16" i="16" a="1"/>
  <c r="E13" i="15" a="1"/>
  <c r="E11" i="15" a="1"/>
  <c r="E17" i="16" a="1"/>
  <c r="E14" i="15" a="1"/>
  <c r="E31" i="15" a="1"/>
  <c r="I12" i="17" a="1"/>
  <c r="R11" i="17" a="1"/>
  <c r="K24" i="17" a="1"/>
  <c r="F24" i="17" a="1"/>
  <c r="D10" i="17" a="1"/>
  <c r="K17" i="17" a="1"/>
  <c r="L15" i="17" a="1"/>
  <c r="L17" i="17" a="1"/>
  <c r="L11" i="17" a="1"/>
  <c r="P9" i="17" a="1"/>
  <c r="H17" i="17" a="1"/>
  <c r="P18" i="17" a="1"/>
  <c r="G19" i="17" a="1"/>
  <c r="I13" i="17" a="1"/>
  <c r="F20" i="17" a="1"/>
  <c r="D23" i="17" a="1"/>
  <c r="L19" i="17" a="1"/>
  <c r="J17" i="17" a="1"/>
  <c r="K12" i="17" a="1"/>
  <c r="E7" i="17" a="1"/>
  <c r="G15" i="17" a="1"/>
  <c r="J16" i="17" a="1"/>
  <c r="K16" i="17" a="1"/>
  <c r="H24" i="17" a="1"/>
  <c r="I23" i="17" a="1"/>
  <c r="R7" i="17" a="1"/>
  <c r="L24" i="17" a="1"/>
  <c r="E21" i="17" a="1"/>
  <c r="E9" i="17" a="1"/>
  <c r="P12" i="17" a="1"/>
  <c r="I16" i="17" a="1"/>
  <c r="I24" i="17" a="1"/>
  <c r="D7" i="17" a="1"/>
  <c r="K7" i="17" a="1"/>
  <c r="R24" i="17" a="1"/>
  <c r="P24" i="17" a="1"/>
  <c r="G20" i="17" a="1"/>
  <c r="J14" i="17" a="1"/>
  <c r="F10" i="17" a="1"/>
  <c r="J22" i="17" a="1"/>
  <c r="E12" i="17" a="1"/>
  <c r="E15" i="17" a="1"/>
  <c r="I15" i="17" a="1"/>
  <c r="K21" i="17" a="1"/>
  <c r="L7" i="17" a="1"/>
  <c r="I9" i="17" a="1"/>
  <c r="L21" i="17" a="1"/>
  <c r="G8" i="17" a="1"/>
  <c r="K19" i="17" a="1"/>
  <c r="R14" i="17" a="1"/>
  <c r="J9" i="17" a="1"/>
  <c r="F17" i="17" a="1"/>
  <c r="G17" i="17" a="1"/>
  <c r="G21" i="17" a="1"/>
  <c r="F9" i="17" a="1"/>
  <c r="R17" i="17" a="1"/>
  <c r="I7" i="17" a="1"/>
  <c r="L22" i="17" a="1"/>
  <c r="F23" i="17" a="1"/>
  <c r="H8" i="17" a="1"/>
  <c r="L16" i="17" a="1"/>
  <c r="F18" i="17" a="1"/>
  <c r="G9" i="17" a="1"/>
  <c r="R8" i="17" a="1"/>
  <c r="D9" i="17" a="1"/>
  <c r="F12" i="17" a="1"/>
  <c r="G14" i="17" a="1"/>
  <c r="H11" i="17" a="1"/>
  <c r="H9" i="17" a="1"/>
  <c r="P11" i="17" a="1"/>
  <c r="L12" i="17" a="1"/>
  <c r="I11" i="17" a="1"/>
  <c r="L23" i="17" a="1"/>
  <c r="K18" i="17" a="1"/>
  <c r="K14" i="17" a="1"/>
  <c r="G10" i="17" a="1"/>
  <c r="F21" i="17" a="1"/>
  <c r="R15" i="17" a="1"/>
  <c r="K22" i="17" a="1"/>
  <c r="P21" i="17" a="1"/>
  <c r="I22" i="17" a="1"/>
  <c r="D24" i="17" a="1"/>
  <c r="F19" i="17" a="1"/>
  <c r="H10" i="17" a="1"/>
  <c r="D15" i="17" a="1"/>
  <c r="G13" i="17" a="1"/>
  <c r="I21" i="17" a="1"/>
  <c r="J12" i="17" a="1"/>
  <c r="D16" i="17" a="1"/>
  <c r="G24" i="17" a="1"/>
  <c r="G23" i="17" a="1"/>
  <c r="I10" i="17" a="1"/>
  <c r="F22" i="17" a="1"/>
  <c r="E18" i="17" a="1"/>
  <c r="I17" i="17" a="1"/>
  <c r="D17" i="17" a="1"/>
  <c r="J10" i="17" a="1"/>
  <c r="L10" i="17" a="1"/>
  <c r="D21" i="17" a="1"/>
  <c r="F7" i="17" a="1"/>
  <c r="D12" i="17" a="1"/>
  <c r="J13" i="17" a="1"/>
  <c r="P15" i="17" a="1"/>
  <c r="P7" i="17" a="1"/>
  <c r="I19" i="17" a="1"/>
  <c r="P17" i="17" a="1"/>
  <c r="H18" i="17" a="1"/>
  <c r="K11" i="17" a="1"/>
  <c r="G7" i="17" a="1"/>
  <c r="D14" i="17" a="1"/>
  <c r="L20" i="17" a="1"/>
  <c r="H20" i="17" a="1"/>
  <c r="L9" i="17" a="1"/>
  <c r="H23" i="17" a="1"/>
  <c r="E22" i="17" a="1"/>
  <c r="F11" i="17" a="1"/>
  <c r="F8" i="17" a="1"/>
  <c r="K20" i="17" a="1"/>
  <c r="R23" i="17" a="1"/>
  <c r="L14" i="17" a="1"/>
  <c r="E23" i="17" a="1"/>
  <c r="P14" i="17" a="1"/>
  <c r="F13" i="17" a="1"/>
  <c r="J18" i="17" a="1"/>
  <c r="F14" i="17" a="1"/>
  <c r="H19" i="17" a="1"/>
  <c r="J21" i="17" a="1"/>
  <c r="K8" i="17" a="1"/>
  <c r="K15" i="17" a="1"/>
  <c r="J19" i="17" a="1"/>
  <c r="D13" i="17" a="1"/>
  <c r="G16" i="17" a="1"/>
  <c r="D20" i="17" a="1"/>
  <c r="G11" i="17" a="1"/>
  <c r="J11" i="17" a="1"/>
  <c r="H14" i="17" a="1"/>
  <c r="H7" i="17" a="1"/>
  <c r="E13" i="17" a="1"/>
  <c r="D8" i="17" a="1"/>
  <c r="L18" i="17" a="1"/>
  <c r="E16" i="17" a="1"/>
  <c r="P23" i="17" a="1"/>
  <c r="K13" i="17" a="1"/>
  <c r="L8" i="17" a="1"/>
  <c r="K23" i="17" a="1"/>
  <c r="R18" i="17" a="1"/>
  <c r="I20" i="17" a="1"/>
  <c r="I14" i="17" a="1"/>
  <c r="D19" i="17" a="1"/>
  <c r="K9" i="17" a="1"/>
  <c r="J24" i="17" a="1"/>
  <c r="K10" i="17" a="1"/>
  <c r="R9" i="17" a="1"/>
  <c r="E10" i="17" a="1"/>
  <c r="J8" i="17" a="1"/>
  <c r="H12" i="17" a="1"/>
  <c r="H22" i="17" a="1"/>
  <c r="G18" i="17" a="1"/>
  <c r="E11" i="17" a="1"/>
  <c r="E19" i="17" a="1"/>
  <c r="F15" i="17" a="1"/>
  <c r="F16" i="17" a="1"/>
  <c r="L13" i="17" a="1"/>
  <c r="I18" i="17" a="1"/>
  <c r="I8" i="17" a="1"/>
  <c r="D22" i="17" a="1"/>
  <c r="H15" i="17" a="1"/>
  <c r="D11" i="17" a="1"/>
  <c r="E24" i="17" a="1"/>
  <c r="D18" i="17" a="1"/>
  <c r="R12" i="17" a="1"/>
  <c r="G12" i="17" a="1"/>
  <c r="J15" i="17" a="1"/>
  <c r="E14" i="17" a="1"/>
  <c r="H21" i="17" a="1"/>
  <c r="R21" i="17" a="1"/>
  <c r="J20" i="17" a="1"/>
  <c r="J23" i="17" a="1"/>
  <c r="J7" i="17" a="1"/>
  <c r="G22" i="17" a="1"/>
  <c r="H16" i="17" a="1"/>
  <c r="H13" i="17" a="1"/>
  <c r="D33" i="15" l="1"/>
  <c r="D28" i="15"/>
  <c r="D27" i="15"/>
  <c r="D9" i="15"/>
  <c r="D41" i="15"/>
  <c r="D25" i="15"/>
  <c r="D8" i="15"/>
  <c r="D16" i="15"/>
  <c r="D31" i="15"/>
  <c r="D13" i="15"/>
  <c r="D12" i="15"/>
  <c r="D11" i="15"/>
  <c r="D10" i="15"/>
  <c r="D26" i="15"/>
  <c r="D40" i="15"/>
  <c r="D24" i="15"/>
  <c r="D7" i="15"/>
  <c r="D17" i="15"/>
  <c r="D38" i="15"/>
  <c r="D22" i="15"/>
  <c r="D21" i="15"/>
  <c r="D36" i="15"/>
  <c r="D35" i="15"/>
  <c r="D32" i="15"/>
  <c r="D14" i="15"/>
  <c r="D39" i="15"/>
  <c r="D23" i="15"/>
  <c r="D34" i="15"/>
  <c r="D18" i="15"/>
  <c r="E31" i="15"/>
  <c r="E14" i="15"/>
  <c r="E17" i="16"/>
  <c r="E11" i="15"/>
  <c r="E13" i="15"/>
  <c r="E16" i="16"/>
  <c r="E27" i="15"/>
  <c r="E10" i="15"/>
  <c r="E13" i="16"/>
  <c r="E26" i="15"/>
  <c r="E9" i="15"/>
  <c r="E12" i="16"/>
  <c r="E41" i="15"/>
  <c r="E25" i="15"/>
  <c r="E8" i="15"/>
  <c r="E10" i="16"/>
  <c r="E12" i="15"/>
  <c r="E40" i="15"/>
  <c r="E24" i="15"/>
  <c r="E7" i="15"/>
  <c r="E9" i="16"/>
  <c r="E39" i="15"/>
  <c r="E23" i="15"/>
  <c r="E27" i="16"/>
  <c r="E8" i="16"/>
  <c r="E38" i="15"/>
  <c r="E22" i="15"/>
  <c r="E26" i="16"/>
  <c r="E7" i="16"/>
  <c r="E21" i="15"/>
  <c r="E24" i="16"/>
  <c r="E36" i="15"/>
  <c r="E23" i="16"/>
  <c r="E14" i="16"/>
  <c r="E35" i="15"/>
  <c r="E22" i="16"/>
  <c r="E34" i="15"/>
  <c r="E18" i="15"/>
  <c r="E21" i="16"/>
  <c r="E33" i="15"/>
  <c r="E17" i="15"/>
  <c r="E20" i="16"/>
  <c r="E28" i="15"/>
  <c r="E32" i="15"/>
  <c r="E16" i="15"/>
  <c r="E19" i="16"/>
  <c r="BI9" i="36"/>
  <c r="BI5" i="36"/>
  <c r="L17" i="17"/>
  <c r="L16" i="17"/>
  <c r="L15" i="17"/>
  <c r="L21" i="17"/>
  <c r="L13" i="17"/>
  <c r="L12" i="17"/>
  <c r="L19" i="17"/>
  <c r="L11" i="17"/>
  <c r="L9" i="17"/>
  <c r="L24" i="17"/>
  <c r="L8" i="17"/>
  <c r="L23" i="17"/>
  <c r="L7" i="17"/>
  <c r="L22" i="17"/>
  <c r="L14" i="17"/>
  <c r="L20" i="17"/>
  <c r="L18" i="17"/>
  <c r="L10" i="17"/>
  <c r="BM60" i="32"/>
  <c r="AU58" i="32"/>
  <c r="AT58" i="32" s="1"/>
  <c r="AU54" i="32"/>
  <c r="AU57" i="32"/>
  <c r="AT57" i="32" s="1"/>
  <c r="BI54" i="32"/>
  <c r="BM4" i="32"/>
  <c r="P17" i="17"/>
  <c r="J24" i="17"/>
  <c r="H14" i="17"/>
  <c r="F17" i="17"/>
  <c r="D20" i="17"/>
  <c r="D13" i="17"/>
  <c r="K14" i="17"/>
  <c r="I17" i="17"/>
  <c r="G20" i="17"/>
  <c r="E23" i="17"/>
  <c r="E13" i="17"/>
  <c r="F15" i="17"/>
  <c r="J17" i="17"/>
  <c r="P18" i="17"/>
  <c r="H20" i="17"/>
  <c r="F23" i="17"/>
  <c r="H15" i="17"/>
  <c r="R15" i="17"/>
  <c r="F18" i="17"/>
  <c r="J20" i="17"/>
  <c r="D21" i="17"/>
  <c r="P21" i="17"/>
  <c r="H23" i="17"/>
  <c r="R23" i="17"/>
  <c r="F14" i="17"/>
  <c r="D17" i="17"/>
  <c r="F22" i="17"/>
  <c r="G22" i="17"/>
  <c r="R14" i="17"/>
  <c r="J19" i="17"/>
  <c r="H22" i="17"/>
  <c r="E15" i="17"/>
  <c r="K22" i="17"/>
  <c r="D18" i="17"/>
  <c r="F13" i="17"/>
  <c r="K16" i="17"/>
  <c r="I19" i="17"/>
  <c r="K20" i="17"/>
  <c r="I23" i="17"/>
  <c r="J13" i="17"/>
  <c r="D16" i="17"/>
  <c r="R18" i="17"/>
  <c r="J23" i="17"/>
  <c r="P24" i="17"/>
  <c r="G16" i="17"/>
  <c r="E19" i="17"/>
  <c r="D14" i="17"/>
  <c r="J16" i="17"/>
  <c r="H19" i="17"/>
  <c r="G14" i="17"/>
  <c r="K24" i="17"/>
  <c r="I13" i="17"/>
  <c r="I15" i="17"/>
  <c r="G18" i="17"/>
  <c r="E21" i="17"/>
  <c r="J15" i="17"/>
  <c r="H18" i="17"/>
  <c r="F21" i="17"/>
  <c r="D24" i="17"/>
  <c r="K18" i="17"/>
  <c r="I21" i="17"/>
  <c r="G24" i="17"/>
  <c r="P14" i="17"/>
  <c r="H16" i="17"/>
  <c r="F19" i="17"/>
  <c r="J21" i="17"/>
  <c r="D22" i="17"/>
  <c r="H24" i="17"/>
  <c r="R24" i="17"/>
  <c r="G13" i="17"/>
  <c r="G17" i="17"/>
  <c r="I18" i="17"/>
  <c r="K19" i="17"/>
  <c r="G21" i="17"/>
  <c r="I22" i="17"/>
  <c r="K23" i="17"/>
  <c r="E24" i="17"/>
  <c r="H13" i="17"/>
  <c r="J14" i="17"/>
  <c r="D15" i="17"/>
  <c r="P15" i="17"/>
  <c r="F16" i="17"/>
  <c r="H17" i="17"/>
  <c r="R17" i="17"/>
  <c r="J18" i="17"/>
  <c r="D19" i="17"/>
  <c r="F20" i="17"/>
  <c r="H21" i="17"/>
  <c r="R21" i="17"/>
  <c r="J22" i="17"/>
  <c r="D23" i="17"/>
  <c r="P23" i="17"/>
  <c r="F24" i="17"/>
  <c r="I14" i="17"/>
  <c r="K15" i="17"/>
  <c r="E16" i="17"/>
  <c r="K13" i="17"/>
  <c r="E14" i="17"/>
  <c r="G15" i="17"/>
  <c r="I16" i="17"/>
  <c r="K17" i="17"/>
  <c r="E18" i="17"/>
  <c r="G19" i="17"/>
  <c r="I20" i="17"/>
  <c r="K21" i="17"/>
  <c r="E22" i="17"/>
  <c r="G23" i="17"/>
  <c r="I24" i="17"/>
  <c r="H11" i="17"/>
  <c r="R11" i="17"/>
  <c r="J12" i="17"/>
  <c r="G10" i="17"/>
  <c r="I11" i="17"/>
  <c r="H10" i="17"/>
  <c r="J11" i="17"/>
  <c r="D12" i="17"/>
  <c r="P12" i="17"/>
  <c r="I10" i="17"/>
  <c r="K11" i="17"/>
  <c r="E12" i="17"/>
  <c r="J10" i="17"/>
  <c r="D11" i="17"/>
  <c r="P11" i="17"/>
  <c r="F12" i="17"/>
  <c r="F10" i="17"/>
  <c r="K12" i="17"/>
  <c r="K10" i="17"/>
  <c r="E11" i="17"/>
  <c r="G12" i="17"/>
  <c r="D10" i="17"/>
  <c r="F11" i="17"/>
  <c r="H12" i="17"/>
  <c r="R12" i="17"/>
  <c r="E10" i="17"/>
  <c r="G11" i="17"/>
  <c r="I12" i="17"/>
  <c r="J9" i="17"/>
  <c r="F8" i="17"/>
  <c r="R9" i="17"/>
  <c r="H9" i="17"/>
  <c r="J7" i="17"/>
  <c r="G9" i="17"/>
  <c r="I7" i="17"/>
  <c r="F9" i="17"/>
  <c r="K8" i="17"/>
  <c r="R7" i="17"/>
  <c r="H7" i="17"/>
  <c r="I9" i="17"/>
  <c r="K7" i="17"/>
  <c r="E9" i="17"/>
  <c r="J8" i="17"/>
  <c r="G7" i="17"/>
  <c r="F7" i="17"/>
  <c r="G8" i="17"/>
  <c r="P7" i="17"/>
  <c r="P9" i="17"/>
  <c r="I8" i="17"/>
  <c r="K9" i="17"/>
  <c r="R8" i="17"/>
  <c r="H8" i="17"/>
  <c r="E7" i="17"/>
  <c r="D7" i="17"/>
  <c r="D9" i="17"/>
  <c r="D8" i="17"/>
  <c r="BJ58" i="32"/>
  <c r="BM64" i="32"/>
  <c r="BM55" i="32"/>
  <c r="BM61" i="32"/>
  <c r="BM63" i="32"/>
  <c r="BM59" i="32"/>
  <c r="BM62" i="32"/>
  <c r="BM56" i="32"/>
  <c r="BM65" i="32"/>
  <c r="BM6" i="36"/>
  <c r="BM16" i="36"/>
  <c r="BM7" i="36"/>
  <c r="BM8" i="36"/>
  <c r="BM11" i="36"/>
  <c r="BM15" i="36"/>
  <c r="BM10" i="36"/>
  <c r="CB321" i="22"/>
  <c r="BM98" i="53"/>
  <c r="BM134" i="53"/>
  <c r="BM121" i="53"/>
  <c r="BM129" i="53"/>
  <c r="BM137" i="53"/>
  <c r="BM126" i="53"/>
  <c r="BM127" i="53"/>
  <c r="BM128" i="53"/>
  <c r="BM125" i="53"/>
  <c r="BM133" i="53"/>
  <c r="BM135" i="53"/>
  <c r="BM120" i="53"/>
  <c r="BM122" i="53"/>
  <c r="BM123" i="53"/>
  <c r="BM131" i="53"/>
  <c r="BM136" i="53"/>
  <c r="BM124" i="53"/>
  <c r="BM132" i="53"/>
  <c r="BI6" i="53"/>
  <c r="BJ6" i="53" s="1"/>
  <c r="BM8" i="53"/>
  <c r="BM40" i="53"/>
  <c r="BM55" i="53"/>
  <c r="BM48" i="53"/>
  <c r="BM89" i="53"/>
  <c r="BM11" i="53"/>
  <c r="BN11" i="53" s="1"/>
  <c r="BM30" i="53"/>
  <c r="BN30" i="53" s="1"/>
  <c r="BM41" i="53"/>
  <c r="BM56" i="53"/>
  <c r="BM82" i="53"/>
  <c r="BN82" i="53" s="1"/>
  <c r="BM95" i="53"/>
  <c r="BM103" i="53"/>
  <c r="BM112" i="53"/>
  <c r="BM14" i="53"/>
  <c r="BN14" i="53" s="1"/>
  <c r="BM69" i="53"/>
  <c r="BN69" i="53" s="1"/>
  <c r="BM96" i="53"/>
  <c r="BM104" i="53"/>
  <c r="BM25" i="53"/>
  <c r="BN25" i="53" s="1"/>
  <c r="BM15" i="53"/>
  <c r="BN15" i="53" s="1"/>
  <c r="BM70" i="53"/>
  <c r="BN70" i="53" s="1"/>
  <c r="BM68" i="53"/>
  <c r="BN68" i="53" s="1"/>
  <c r="BM7" i="53"/>
  <c r="BN7" i="53" s="1"/>
  <c r="BM34" i="53"/>
  <c r="BM43" i="53"/>
  <c r="BM50" i="53"/>
  <c r="BM83" i="53"/>
  <c r="BN83" i="53" s="1"/>
  <c r="BM101" i="53"/>
  <c r="BM79" i="53"/>
  <c r="BN79" i="53" s="1"/>
  <c r="BM102" i="53"/>
  <c r="BM17" i="53"/>
  <c r="BN17" i="53" s="1"/>
  <c r="BM72" i="53"/>
  <c r="BN72" i="53" s="1"/>
  <c r="BM86" i="53"/>
  <c r="BN86" i="53" s="1"/>
  <c r="BM18" i="53"/>
  <c r="BN18" i="53" s="1"/>
  <c r="BM36" i="53"/>
  <c r="BM44" i="53"/>
  <c r="BM51" i="53"/>
  <c r="BM60" i="53"/>
  <c r="BM73" i="53"/>
  <c r="BN73" i="53" s="1"/>
  <c r="BM87" i="53"/>
  <c r="BN87" i="53" s="1"/>
  <c r="BM19" i="53"/>
  <c r="BN19" i="53" s="1"/>
  <c r="BM37" i="53"/>
  <c r="BM45" i="53"/>
  <c r="BM52" i="53"/>
  <c r="BM4" i="53"/>
  <c r="BM23" i="53"/>
  <c r="BN23" i="53" s="1"/>
  <c r="BM21" i="53"/>
  <c r="BN21" i="53" s="1"/>
  <c r="BM92" i="53"/>
  <c r="BN92" i="53" s="1"/>
  <c r="BM22" i="53"/>
  <c r="BN22" i="53" s="1"/>
  <c r="BM74" i="53"/>
  <c r="BN74" i="53" s="1"/>
  <c r="BM88" i="53"/>
  <c r="BN88" i="53" s="1"/>
  <c r="BM109" i="53"/>
  <c r="BM75" i="53"/>
  <c r="BN75" i="53" s="1"/>
  <c r="BM63" i="53"/>
  <c r="BM77" i="53"/>
  <c r="BM90" i="53"/>
  <c r="BM100" i="53"/>
  <c r="BM64" i="53"/>
  <c r="BM66" i="53"/>
  <c r="BN66" i="53" s="1"/>
  <c r="BM80" i="53"/>
  <c r="BN80" i="53" s="1"/>
  <c r="BM94" i="53"/>
  <c r="BN94" i="53" s="1"/>
  <c r="BM65" i="53"/>
  <c r="BM67" i="53"/>
  <c r="BN67" i="53" s="1"/>
  <c r="BM81" i="53"/>
  <c r="BN81" i="53" s="1"/>
  <c r="BM110" i="53"/>
  <c r="BM84" i="53"/>
  <c r="BN84" i="53" s="1"/>
  <c r="BM33" i="53"/>
  <c r="BM107" i="53"/>
  <c r="BM62" i="53"/>
  <c r="BM16" i="53"/>
  <c r="BN16" i="53" s="1"/>
  <c r="BM20" i="53"/>
  <c r="BN20" i="53" s="1"/>
  <c r="BM76" i="53"/>
  <c r="BN76" i="53" s="1"/>
  <c r="BM99" i="53"/>
  <c r="AT6" i="53"/>
  <c r="AU6" i="53" s="1"/>
  <c r="BM6" i="53" s="1"/>
  <c r="BN6" i="53" s="1"/>
  <c r="BM9" i="53"/>
  <c r="BN9" i="53" s="1"/>
  <c r="BM39" i="53"/>
  <c r="BM47" i="53"/>
  <c r="BM54" i="53"/>
  <c r="BM78" i="53"/>
  <c r="BN78" i="53" s="1"/>
  <c r="BM91" i="53"/>
  <c r="BN91" i="53" s="1"/>
  <c r="BM111" i="53"/>
  <c r="BM12" i="53"/>
  <c r="BN12" i="53" s="1"/>
  <c r="BM13" i="53"/>
  <c r="BN13" i="53" s="1"/>
  <c r="BM38" i="53"/>
  <c r="BM46" i="53"/>
  <c r="BM53" i="53"/>
  <c r="BM108" i="53"/>
  <c r="BM10" i="53"/>
  <c r="BN10" i="53" s="1"/>
  <c r="BM24" i="53"/>
  <c r="BN24" i="53" s="1"/>
  <c r="BM97" i="53"/>
  <c r="BM106" i="53"/>
  <c r="BN106" i="53" s="1"/>
  <c r="BM113" i="53"/>
  <c r="BM114" i="53"/>
  <c r="BN114" i="53" s="1"/>
  <c r="BM42" i="53"/>
  <c r="BM49" i="53"/>
  <c r="BM57" i="53"/>
  <c r="BM71" i="53"/>
  <c r="BN71" i="53" s="1"/>
  <c r="BM85" i="53"/>
  <c r="BN85" i="53" s="1"/>
  <c r="AU35" i="53"/>
  <c r="AT35" i="53"/>
  <c r="BI61" i="53"/>
  <c r="BJ61" i="53" s="1"/>
  <c r="BJ35" i="53"/>
  <c r="BM35" i="53" s="1"/>
  <c r="BN35" i="53" s="1"/>
  <c r="BM130" i="53"/>
  <c r="BM119" i="53"/>
  <c r="BI35" i="53"/>
  <c r="BJ105" i="53"/>
  <c r="BI93" i="53"/>
  <c r="P8" i="17" a="1"/>
  <c r="E17" i="17" a="1"/>
  <c r="S18" i="17" a="1"/>
  <c r="R20" i="17" a="1"/>
  <c r="S24" i="17" a="1"/>
  <c r="E20" i="17" a="1"/>
  <c r="S14" i="17" a="1"/>
  <c r="S21" i="17" a="1"/>
  <c r="S9" i="17" a="1"/>
  <c r="S23" i="17" a="1"/>
  <c r="S11" i="17" a="1"/>
  <c r="S7" i="17" a="1"/>
  <c r="S12" i="17" a="1"/>
  <c r="S15" i="17" a="1"/>
  <c r="D15" i="15" l="1"/>
  <c r="E15" i="15"/>
  <c r="Y15" i="15" s="1"/>
  <c r="E17" i="17"/>
  <c r="E20" i="17"/>
  <c r="BM54" i="32"/>
  <c r="AT54" i="32"/>
  <c r="BM57" i="32"/>
  <c r="BM58" i="32"/>
  <c r="S9" i="17"/>
  <c r="S24" i="17"/>
  <c r="S21" i="17"/>
  <c r="S18" i="17"/>
  <c r="S15" i="17"/>
  <c r="S12" i="17"/>
  <c r="P8" i="17"/>
  <c r="S23" i="17"/>
  <c r="R20" i="17"/>
  <c r="BI58" i="32"/>
  <c r="S14" i="17"/>
  <c r="S11" i="17"/>
  <c r="S7" i="17"/>
  <c r="AT203" i="22"/>
  <c r="AT202" i="22"/>
  <c r="AT201" i="22"/>
  <c r="AT200" i="22"/>
  <c r="AT199" i="22"/>
  <c r="AT198" i="22"/>
  <c r="AT197" i="22"/>
  <c r="AT196" i="22"/>
  <c r="AT195" i="22"/>
  <c r="AT194" i="22"/>
  <c r="AT193" i="22"/>
  <c r="AT192" i="22"/>
  <c r="AT191" i="22"/>
  <c r="AT190" i="22"/>
  <c r="AT189" i="22"/>
  <c r="AT188" i="22"/>
  <c r="AT187" i="22"/>
  <c r="AT186" i="22"/>
  <c r="AT185" i="22"/>
  <c r="AT184" i="22"/>
  <c r="AT183" i="22"/>
  <c r="AT182" i="22"/>
  <c r="AT181" i="22"/>
  <c r="AT180" i="22"/>
  <c r="AT179" i="22"/>
  <c r="AT178" i="22"/>
  <c r="AT177" i="22"/>
  <c r="AT176" i="22"/>
  <c r="AT175" i="22"/>
  <c r="AT174" i="22"/>
  <c r="AT173" i="22"/>
  <c r="AT172" i="22"/>
  <c r="AT171" i="22"/>
  <c r="AT170" i="22"/>
  <c r="AT169" i="22"/>
  <c r="AT168" i="22"/>
  <c r="AT167" i="22"/>
  <c r="AT166" i="22"/>
  <c r="AT165" i="22"/>
  <c r="AT164" i="22"/>
  <c r="AT163" i="22"/>
  <c r="AT162" i="22"/>
  <c r="AT161" i="22"/>
  <c r="AT160" i="22"/>
  <c r="AT159" i="22"/>
  <c r="AT158" i="22"/>
  <c r="AT157" i="22"/>
  <c r="AT156" i="22"/>
  <c r="AT155" i="22"/>
  <c r="AT154" i="22"/>
  <c r="AT153" i="22"/>
  <c r="AT152" i="22"/>
  <c r="AT151" i="22"/>
  <c r="AT150" i="22"/>
  <c r="AT148" i="22"/>
  <c r="AT147" i="22"/>
  <c r="AT146" i="22"/>
  <c r="AT145" i="22"/>
  <c r="AT144" i="22"/>
  <c r="AT143" i="22"/>
  <c r="AT142" i="22"/>
  <c r="AT141" i="22"/>
  <c r="AT140" i="22"/>
  <c r="AT139" i="22"/>
  <c r="AT138" i="22"/>
  <c r="AT137" i="22"/>
  <c r="AT136" i="22"/>
  <c r="AT135" i="22"/>
  <c r="AT134" i="22"/>
  <c r="AT133" i="22"/>
  <c r="AT132" i="22"/>
  <c r="AT131" i="22"/>
  <c r="AT130" i="22"/>
  <c r="AT129" i="22"/>
  <c r="AT128" i="22"/>
  <c r="AT122" i="22"/>
  <c r="AT121" i="22"/>
  <c r="AT120" i="22"/>
  <c r="AT118" i="22"/>
  <c r="AT117" i="22"/>
  <c r="AT116" i="22"/>
  <c r="AT115" i="22"/>
  <c r="AT114" i="22"/>
  <c r="AT113" i="22"/>
  <c r="AT112" i="22"/>
  <c r="AT111" i="22"/>
  <c r="AT110" i="22"/>
  <c r="AT109" i="22"/>
  <c r="AT103" i="22"/>
  <c r="AT102" i="22"/>
  <c r="AT101" i="22"/>
  <c r="AT99" i="22"/>
  <c r="AT98" i="22"/>
  <c r="AT97" i="22"/>
  <c r="AT96" i="22"/>
  <c r="AT95" i="22"/>
  <c r="AT94" i="22"/>
  <c r="AT93" i="22"/>
  <c r="AT92" i="22"/>
  <c r="AT91" i="22"/>
  <c r="AT90" i="22"/>
  <c r="AT84" i="22"/>
  <c r="AT82" i="22"/>
  <c r="AT80" i="22"/>
  <c r="AT60" i="22"/>
  <c r="AT59" i="22"/>
  <c r="AT58" i="22"/>
  <c r="AT57" i="22"/>
  <c r="AT56" i="22"/>
  <c r="AT54" i="22"/>
  <c r="AT53" i="22"/>
  <c r="AT52" i="22"/>
  <c r="AT51" i="22"/>
  <c r="AT45" i="22"/>
  <c r="AT44" i="22"/>
  <c r="AT43" i="22"/>
  <c r="AT41" i="22"/>
  <c r="AT40" i="22"/>
  <c r="AT39" i="22"/>
  <c r="AT38" i="22"/>
  <c r="AT37" i="22"/>
  <c r="AT36" i="22"/>
  <c r="AT35" i="22"/>
  <c r="AT34" i="22"/>
  <c r="AT33" i="22"/>
  <c r="AT32" i="22"/>
  <c r="AT26" i="22"/>
  <c r="AT25" i="22"/>
  <c r="AT24" i="22"/>
  <c r="AU433" i="22"/>
  <c r="AU432" i="22"/>
  <c r="AU431" i="22"/>
  <c r="AU430" i="22"/>
  <c r="AU429" i="22"/>
  <c r="AU428" i="22"/>
  <c r="AU427" i="22"/>
  <c r="AU426" i="22"/>
  <c r="AU425" i="22"/>
  <c r="AU424" i="22"/>
  <c r="AU423" i="22"/>
  <c r="AU422" i="22"/>
  <c r="AU421" i="22"/>
  <c r="AU420" i="22"/>
  <c r="AU419" i="22"/>
  <c r="AU418" i="22"/>
  <c r="AU417" i="22"/>
  <c r="AU416" i="22"/>
  <c r="AU415" i="22"/>
  <c r="AU414" i="22"/>
  <c r="AU413" i="22"/>
  <c r="AU412" i="22"/>
  <c r="AU411" i="22"/>
  <c r="AU410" i="22"/>
  <c r="AU409" i="22"/>
  <c r="AU408" i="22"/>
  <c r="AU407" i="22"/>
  <c r="AU406" i="22"/>
  <c r="AU405" i="22"/>
  <c r="AU404" i="22"/>
  <c r="AU403" i="22"/>
  <c r="AU402" i="22"/>
  <c r="AU401" i="22"/>
  <c r="AU400" i="22"/>
  <c r="AU399" i="22"/>
  <c r="AU398" i="22"/>
  <c r="AU397" i="22"/>
  <c r="AU396" i="22"/>
  <c r="AU395" i="22"/>
  <c r="AU394" i="22"/>
  <c r="AU393" i="22"/>
  <c r="AU392" i="22"/>
  <c r="AU391" i="22"/>
  <c r="AU390" i="22"/>
  <c r="AU389" i="22"/>
  <c r="AU388" i="22"/>
  <c r="AU387" i="22"/>
  <c r="AU386" i="22"/>
  <c r="AU385" i="22"/>
  <c r="CB385" i="22" s="1"/>
  <c r="AU384" i="22"/>
  <c r="AU383" i="22"/>
  <c r="AU382" i="22"/>
  <c r="AU381" i="22"/>
  <c r="AU380" i="22"/>
  <c r="AU379" i="22"/>
  <c r="AU378" i="22"/>
  <c r="AU377" i="22"/>
  <c r="AU376" i="22"/>
  <c r="AU375" i="22"/>
  <c r="AU374" i="22"/>
  <c r="AU373" i="22"/>
  <c r="AU372" i="22"/>
  <c r="AU371" i="22"/>
  <c r="AU370" i="22"/>
  <c r="AU369" i="22"/>
  <c r="AU368" i="22"/>
  <c r="AU367" i="22"/>
  <c r="AU366" i="22"/>
  <c r="AU365" i="22"/>
  <c r="AU364" i="22"/>
  <c r="AU363" i="22"/>
  <c r="AU362" i="22"/>
  <c r="AU361" i="22"/>
  <c r="AU360" i="22"/>
  <c r="AU359" i="22"/>
  <c r="AU358" i="22"/>
  <c r="AU357" i="22"/>
  <c r="AU356" i="22"/>
  <c r="AU355" i="22"/>
  <c r="AU354" i="22"/>
  <c r="AU353" i="22"/>
  <c r="AU352" i="22"/>
  <c r="AU351" i="22"/>
  <c r="AU350" i="22"/>
  <c r="AU349" i="22"/>
  <c r="AU348" i="22"/>
  <c r="AU347" i="22"/>
  <c r="AU346" i="22"/>
  <c r="AU345" i="22"/>
  <c r="AU344" i="22"/>
  <c r="AU343" i="22"/>
  <c r="AU342" i="22"/>
  <c r="AU341" i="22"/>
  <c r="AU340" i="22"/>
  <c r="AU339" i="22"/>
  <c r="AU338" i="22"/>
  <c r="AU337" i="22"/>
  <c r="AU336" i="22"/>
  <c r="CB336" i="22" s="1"/>
  <c r="AU303" i="22"/>
  <c r="AU302" i="22"/>
  <c r="AU301" i="22"/>
  <c r="AU300" i="22"/>
  <c r="AU299" i="22"/>
  <c r="AU298" i="22"/>
  <c r="AU297" i="22"/>
  <c r="AU291" i="22"/>
  <c r="AU290" i="22"/>
  <c r="AU289" i="22"/>
  <c r="AU287" i="22"/>
  <c r="AU286" i="22"/>
  <c r="AU285" i="22"/>
  <c r="AU284" i="22"/>
  <c r="AU283" i="22"/>
  <c r="AU282" i="22"/>
  <c r="AU281" i="22"/>
  <c r="AU275" i="22"/>
  <c r="AU274" i="22"/>
  <c r="AU273" i="22"/>
  <c r="AU271" i="22"/>
  <c r="AU270" i="22"/>
  <c r="AU269" i="22"/>
  <c r="AU268" i="22"/>
  <c r="AU267" i="22"/>
  <c r="AU266" i="22"/>
  <c r="AU265" i="22"/>
  <c r="AU259" i="22"/>
  <c r="AU258" i="22"/>
  <c r="AU257" i="22"/>
  <c r="AU255" i="22"/>
  <c r="AU254" i="22"/>
  <c r="AU253" i="22"/>
  <c r="AU252" i="22"/>
  <c r="AU251" i="22"/>
  <c r="AU250" i="22"/>
  <c r="AU249" i="22"/>
  <c r="AU243" i="22"/>
  <c r="AU242" i="22"/>
  <c r="AU241" i="22"/>
  <c r="AU239" i="22"/>
  <c r="AU238" i="22"/>
  <c r="AU237" i="22"/>
  <c r="AU236" i="22"/>
  <c r="AU235" i="22"/>
  <c r="AU234" i="22"/>
  <c r="AU233" i="22"/>
  <c r="AU227" i="22"/>
  <c r="AU226" i="22"/>
  <c r="AU225" i="22"/>
  <c r="AU223" i="22"/>
  <c r="AU222" i="22"/>
  <c r="AU221" i="22"/>
  <c r="AU220" i="22"/>
  <c r="AU219" i="22"/>
  <c r="AU218" i="22"/>
  <c r="AU217" i="22"/>
  <c r="AU216" i="22"/>
  <c r="CB216" i="22" s="1"/>
  <c r="AU215" i="22"/>
  <c r="CB215" i="22" s="1"/>
  <c r="AU214" i="22"/>
  <c r="CB214" i="22" s="1"/>
  <c r="AU213" i="22"/>
  <c r="CB213" i="22" s="1"/>
  <c r="AU212" i="22"/>
  <c r="CB212" i="22" s="1"/>
  <c r="AU211" i="22"/>
  <c r="AU210" i="22"/>
  <c r="AU209" i="22"/>
  <c r="AU203" i="22"/>
  <c r="AU202" i="22"/>
  <c r="AU201" i="22"/>
  <c r="AU200" i="22"/>
  <c r="AU199" i="22"/>
  <c r="AU198" i="22"/>
  <c r="AU197" i="22"/>
  <c r="AU196" i="22"/>
  <c r="AU195" i="22"/>
  <c r="AU194" i="22"/>
  <c r="AU193" i="22"/>
  <c r="AU192" i="22"/>
  <c r="AU191" i="22"/>
  <c r="AU190" i="22"/>
  <c r="AU189" i="22"/>
  <c r="AU188" i="22"/>
  <c r="AU187" i="22"/>
  <c r="AU186" i="22"/>
  <c r="AU185" i="22"/>
  <c r="AU184" i="22"/>
  <c r="AU183" i="22"/>
  <c r="AU182" i="22"/>
  <c r="AU181" i="22"/>
  <c r="AU180" i="22"/>
  <c r="AU179" i="22"/>
  <c r="AU178" i="22"/>
  <c r="AU177" i="22"/>
  <c r="AU176" i="22"/>
  <c r="AU175" i="22"/>
  <c r="AU174" i="22"/>
  <c r="AU173" i="22"/>
  <c r="AU172" i="22"/>
  <c r="AU171" i="22"/>
  <c r="AU170" i="22"/>
  <c r="AU169" i="22"/>
  <c r="AU168" i="22"/>
  <c r="AU167" i="22"/>
  <c r="AU166" i="22"/>
  <c r="AU165" i="22"/>
  <c r="AU164" i="22"/>
  <c r="AU163" i="22"/>
  <c r="AU162" i="22"/>
  <c r="AU161" i="22"/>
  <c r="AU160" i="22"/>
  <c r="AU159" i="22"/>
  <c r="AU158" i="22"/>
  <c r="AU157" i="22"/>
  <c r="AU156" i="22"/>
  <c r="AU155" i="22"/>
  <c r="AU154" i="22"/>
  <c r="AU153" i="22"/>
  <c r="AU152" i="22"/>
  <c r="AU151" i="22"/>
  <c r="AU150" i="22"/>
  <c r="AU149" i="22"/>
  <c r="AU148" i="22"/>
  <c r="AU147" i="22"/>
  <c r="AU146" i="22"/>
  <c r="AU145" i="22"/>
  <c r="AU144" i="22"/>
  <c r="AU143" i="22"/>
  <c r="AU142" i="22"/>
  <c r="AU141" i="22"/>
  <c r="AU140" i="22"/>
  <c r="AU139" i="22"/>
  <c r="AU138" i="22"/>
  <c r="CB138" i="22" s="1"/>
  <c r="AU137" i="22"/>
  <c r="AU136" i="22"/>
  <c r="AU135" i="22"/>
  <c r="AU134" i="22"/>
  <c r="AU133" i="22"/>
  <c r="AU132" i="22"/>
  <c r="AU131" i="22"/>
  <c r="AU130" i="22"/>
  <c r="AU129" i="22"/>
  <c r="AU128" i="22"/>
  <c r="AU122" i="22"/>
  <c r="AU121" i="22"/>
  <c r="AU120" i="22"/>
  <c r="AU118" i="22"/>
  <c r="AU117" i="22"/>
  <c r="AU116" i="22"/>
  <c r="AU115" i="22"/>
  <c r="AU114" i="22"/>
  <c r="AU113" i="22"/>
  <c r="AU112" i="22"/>
  <c r="AU111" i="22"/>
  <c r="AU110" i="22"/>
  <c r="AU109" i="22"/>
  <c r="AU103" i="22"/>
  <c r="AU102" i="22"/>
  <c r="AU101" i="22"/>
  <c r="AU99" i="22"/>
  <c r="AU98" i="22"/>
  <c r="AU97" i="22"/>
  <c r="AU96" i="22"/>
  <c r="AU95" i="22"/>
  <c r="AU94" i="22"/>
  <c r="AU93" i="22"/>
  <c r="AU92" i="22"/>
  <c r="AU91" i="22"/>
  <c r="AU90" i="22"/>
  <c r="AU84" i="22"/>
  <c r="AU82" i="22"/>
  <c r="AU80" i="22"/>
  <c r="AU60" i="22"/>
  <c r="AU59" i="22"/>
  <c r="AU58" i="22"/>
  <c r="AU57" i="22"/>
  <c r="AU56" i="22"/>
  <c r="AU55" i="22"/>
  <c r="AU54" i="22"/>
  <c r="AU53" i="22"/>
  <c r="AU52" i="22"/>
  <c r="AU51" i="22"/>
  <c r="AU45" i="22"/>
  <c r="AU44" i="22"/>
  <c r="AU43" i="22"/>
  <c r="AU41" i="22"/>
  <c r="AU40" i="22"/>
  <c r="AU39" i="22"/>
  <c r="AU38" i="22"/>
  <c r="AU37" i="22"/>
  <c r="AU36" i="22"/>
  <c r="AU35" i="22"/>
  <c r="AU34" i="22"/>
  <c r="AU33" i="22"/>
  <c r="AU32" i="22"/>
  <c r="AU26" i="22"/>
  <c r="AU25" i="22"/>
  <c r="AU24" i="22"/>
  <c r="AU22" i="22"/>
  <c r="AU21" i="22"/>
  <c r="AU20" i="22"/>
  <c r="AU19" i="22"/>
  <c r="AU18" i="22"/>
  <c r="AU17" i="22"/>
  <c r="AU16" i="22"/>
  <c r="AU15" i="22"/>
  <c r="AU14" i="22"/>
  <c r="AU13" i="22"/>
  <c r="AU7" i="22"/>
  <c r="AU6" i="22"/>
  <c r="AU5" i="22"/>
  <c r="AT5" i="22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4" i="22"/>
  <c r="BJ208" i="22"/>
  <c r="BJ203" i="22"/>
  <c r="CB203" i="22" s="1"/>
  <c r="BJ202" i="22"/>
  <c r="CB202" i="22" s="1"/>
  <c r="BJ201" i="22"/>
  <c r="CB201" i="22" s="1"/>
  <c r="BJ200" i="22"/>
  <c r="CB200" i="22" s="1"/>
  <c r="BJ199" i="22"/>
  <c r="CB199" i="22" s="1"/>
  <c r="BJ198" i="22"/>
  <c r="CB198" i="22" s="1"/>
  <c r="BJ197" i="22"/>
  <c r="BJ196" i="22"/>
  <c r="BJ195" i="22"/>
  <c r="BJ194" i="22"/>
  <c r="BJ193" i="22"/>
  <c r="BJ192" i="22"/>
  <c r="BJ191" i="22"/>
  <c r="CB191" i="22" s="1"/>
  <c r="BJ190" i="22"/>
  <c r="CB190" i="22" s="1"/>
  <c r="BJ189" i="22"/>
  <c r="CB189" i="22" s="1"/>
  <c r="BJ188" i="22"/>
  <c r="CB188" i="22" s="1"/>
  <c r="BJ187" i="22"/>
  <c r="CB187" i="22" s="1"/>
  <c r="BJ186" i="22"/>
  <c r="CB186" i="22" s="1"/>
  <c r="BJ185" i="22"/>
  <c r="CB185" i="22" s="1"/>
  <c r="BJ184" i="22"/>
  <c r="CB184" i="22" s="1"/>
  <c r="BJ183" i="22"/>
  <c r="CB183" i="22" s="1"/>
  <c r="BJ182" i="22"/>
  <c r="CB182" i="22" s="1"/>
  <c r="BJ181" i="22"/>
  <c r="BJ180" i="22"/>
  <c r="BJ179" i="22"/>
  <c r="BJ178" i="22"/>
  <c r="BJ177" i="22"/>
  <c r="BJ176" i="22"/>
  <c r="BJ175" i="22"/>
  <c r="CB175" i="22" s="1"/>
  <c r="BJ174" i="22"/>
  <c r="CB174" i="22" s="1"/>
  <c r="BJ173" i="22"/>
  <c r="CB173" i="22" s="1"/>
  <c r="BJ172" i="22"/>
  <c r="CB172" i="22" s="1"/>
  <c r="BJ171" i="22"/>
  <c r="CB171" i="22" s="1"/>
  <c r="BJ170" i="22"/>
  <c r="CB170" i="22" s="1"/>
  <c r="BJ169" i="22"/>
  <c r="CB169" i="22" s="1"/>
  <c r="BJ168" i="22"/>
  <c r="CB168" i="22" s="1"/>
  <c r="BJ167" i="22"/>
  <c r="CB167" i="22" s="1"/>
  <c r="BJ166" i="22"/>
  <c r="CB166" i="22" s="1"/>
  <c r="BJ165" i="22"/>
  <c r="BJ164" i="22"/>
  <c r="BJ163" i="22"/>
  <c r="BJ162" i="22"/>
  <c r="BJ161" i="22"/>
  <c r="BJ160" i="22"/>
  <c r="BJ159" i="22"/>
  <c r="CB159" i="22" s="1"/>
  <c r="BJ158" i="22"/>
  <c r="CB158" i="22" s="1"/>
  <c r="BJ157" i="22"/>
  <c r="CB157" i="22" s="1"/>
  <c r="BJ156" i="22"/>
  <c r="CB156" i="22" s="1"/>
  <c r="BJ155" i="22"/>
  <c r="CB155" i="22" s="1"/>
  <c r="BJ154" i="22"/>
  <c r="CB154" i="22" s="1"/>
  <c r="BJ153" i="22"/>
  <c r="CB153" i="22" s="1"/>
  <c r="BJ152" i="22"/>
  <c r="CB152" i="22" s="1"/>
  <c r="BJ151" i="22"/>
  <c r="CB151" i="22" s="1"/>
  <c r="BJ150" i="22"/>
  <c r="CB150" i="22" s="1"/>
  <c r="BJ149" i="22"/>
  <c r="BJ148" i="22"/>
  <c r="BJ147" i="22"/>
  <c r="BJ146" i="22"/>
  <c r="BJ145" i="22"/>
  <c r="BJ144" i="22"/>
  <c r="BJ143" i="22"/>
  <c r="CB143" i="22" s="1"/>
  <c r="BJ142" i="22"/>
  <c r="CB142" i="22" s="1"/>
  <c r="BJ141" i="22"/>
  <c r="CB141" i="22" s="1"/>
  <c r="BJ140" i="22"/>
  <c r="CB140" i="22" s="1"/>
  <c r="BJ139" i="22"/>
  <c r="CB139" i="22" s="1"/>
  <c r="BJ137" i="22"/>
  <c r="CB137" i="22" s="1"/>
  <c r="BJ136" i="22"/>
  <c r="CB136" i="22" s="1"/>
  <c r="BJ135" i="22"/>
  <c r="CB135" i="22" s="1"/>
  <c r="BJ134" i="22"/>
  <c r="CB134" i="22" s="1"/>
  <c r="BJ133" i="22"/>
  <c r="CB133" i="22" s="1"/>
  <c r="BJ132" i="22"/>
  <c r="BJ131" i="22"/>
  <c r="BJ130" i="22"/>
  <c r="BJ129" i="22"/>
  <c r="BJ128" i="22"/>
  <c r="BJ127" i="22"/>
  <c r="BJ126" i="22"/>
  <c r="BJ125" i="22"/>
  <c r="BJ124" i="22"/>
  <c r="BJ123" i="22"/>
  <c r="BJ122" i="22"/>
  <c r="CB122" i="22" s="1"/>
  <c r="BJ121" i="22"/>
  <c r="CB121" i="22" s="1"/>
  <c r="BJ120" i="22"/>
  <c r="CB120" i="22" s="1"/>
  <c r="BJ119" i="22"/>
  <c r="BJ118" i="22"/>
  <c r="CB118" i="22" s="1"/>
  <c r="BJ117" i="22"/>
  <c r="CB117" i="22" s="1"/>
  <c r="BJ116" i="22"/>
  <c r="CB116" i="22" s="1"/>
  <c r="BJ115" i="22"/>
  <c r="CB115" i="22" s="1"/>
  <c r="BJ114" i="22"/>
  <c r="BJ113" i="22"/>
  <c r="BJ112" i="22"/>
  <c r="BJ111" i="22"/>
  <c r="BJ110" i="22"/>
  <c r="BJ109" i="22"/>
  <c r="BJ108" i="22"/>
  <c r="BJ107" i="22"/>
  <c r="BJ106" i="22"/>
  <c r="BJ105" i="22"/>
  <c r="BJ104" i="22"/>
  <c r="BJ103" i="22"/>
  <c r="BJ102" i="22"/>
  <c r="BJ101" i="22"/>
  <c r="BJ99" i="22"/>
  <c r="CB99" i="22" s="1"/>
  <c r="BJ98" i="22"/>
  <c r="CB98" i="22" s="1"/>
  <c r="BJ97" i="22"/>
  <c r="CB97" i="22" s="1"/>
  <c r="BJ96" i="22"/>
  <c r="CB96" i="22" s="1"/>
  <c r="BJ95" i="22"/>
  <c r="CB95" i="22" s="1"/>
  <c r="BJ94" i="22"/>
  <c r="CB94" i="22" s="1"/>
  <c r="BJ93" i="22"/>
  <c r="BJ92" i="22"/>
  <c r="BJ91" i="22"/>
  <c r="BJ90" i="22"/>
  <c r="BJ89" i="22"/>
  <c r="BJ88" i="22"/>
  <c r="BJ87" i="22"/>
  <c r="BJ86" i="22"/>
  <c r="BJ85" i="22"/>
  <c r="BJ84" i="22"/>
  <c r="CB84" i="22" s="1"/>
  <c r="BJ83" i="22"/>
  <c r="BJ82" i="22"/>
  <c r="BJ81" i="22"/>
  <c r="BJ80" i="22"/>
  <c r="BJ60" i="22"/>
  <c r="BJ59" i="22"/>
  <c r="BJ58" i="22"/>
  <c r="BJ57" i="22"/>
  <c r="CB57" i="22" s="1"/>
  <c r="BJ56" i="22"/>
  <c r="CB56" i="22" s="1"/>
  <c r="BJ55" i="22"/>
  <c r="CB55" i="22" s="1"/>
  <c r="BJ54" i="22"/>
  <c r="CB54" i="22" s="1"/>
  <c r="BJ53" i="22"/>
  <c r="CB53" i="22" s="1"/>
  <c r="BJ52" i="22"/>
  <c r="CB52" i="22" s="1"/>
  <c r="BJ51" i="22"/>
  <c r="CB51" i="22" s="1"/>
  <c r="BJ50" i="22"/>
  <c r="BJ49" i="22"/>
  <c r="BJ48" i="22"/>
  <c r="BJ47" i="22"/>
  <c r="BJ46" i="22"/>
  <c r="BJ45" i="22"/>
  <c r="BJ44" i="22"/>
  <c r="BJ43" i="22"/>
  <c r="BJ42" i="22"/>
  <c r="BJ41" i="22"/>
  <c r="BJ40" i="22"/>
  <c r="BJ39" i="22"/>
  <c r="BJ38" i="22"/>
  <c r="BJ37" i="22"/>
  <c r="BJ36" i="22"/>
  <c r="BJ35" i="22"/>
  <c r="CB35" i="22" s="1"/>
  <c r="BJ34" i="22"/>
  <c r="CB34" i="22" s="1"/>
  <c r="BJ5" i="22"/>
  <c r="CB5" i="22" s="1"/>
  <c r="BJ6" i="22"/>
  <c r="CB6" i="22" s="1"/>
  <c r="BJ7" i="22"/>
  <c r="CB7" i="22" s="1"/>
  <c r="BJ8" i="22"/>
  <c r="BJ9" i="22"/>
  <c r="BJ10" i="22"/>
  <c r="BJ11" i="22"/>
  <c r="BJ12" i="22"/>
  <c r="BJ13" i="22"/>
  <c r="CB13" i="22" s="1"/>
  <c r="BJ14" i="22"/>
  <c r="BJ15" i="22"/>
  <c r="BJ16" i="22"/>
  <c r="BJ17" i="22"/>
  <c r="BJ18" i="22"/>
  <c r="BJ19" i="22"/>
  <c r="CB19" i="22" s="1"/>
  <c r="BJ20" i="22"/>
  <c r="CB20" i="22" s="1"/>
  <c r="BJ21" i="22"/>
  <c r="CB21" i="22" s="1"/>
  <c r="BJ22" i="22"/>
  <c r="BJ23" i="22"/>
  <c r="BJ24" i="22"/>
  <c r="BJ25" i="22"/>
  <c r="CB25" i="22" s="1"/>
  <c r="BJ26" i="22"/>
  <c r="CB26" i="22" s="1"/>
  <c r="BJ27" i="22"/>
  <c r="BJ28" i="22"/>
  <c r="BJ29" i="22"/>
  <c r="BJ30" i="22"/>
  <c r="BJ31" i="22"/>
  <c r="BJ32" i="22"/>
  <c r="CB32" i="22" s="1"/>
  <c r="BJ33" i="22"/>
  <c r="CB33" i="22" s="1"/>
  <c r="BJ4" i="22"/>
  <c r="CC95" i="24"/>
  <c r="CC96" i="24"/>
  <c r="CC98" i="24"/>
  <c r="CC99" i="24"/>
  <c r="CC100" i="24"/>
  <c r="CC140" i="24"/>
  <c r="CC144" i="24"/>
  <c r="CC94" i="24"/>
  <c r="CC4" i="24"/>
  <c r="CC5" i="24"/>
  <c r="CC6" i="24"/>
  <c r="CC7" i="24"/>
  <c r="CC8" i="24"/>
  <c r="CC9" i="24"/>
  <c r="BN4" i="34"/>
  <c r="BL4" i="34"/>
  <c r="BP137" i="34"/>
  <c r="BP135" i="34"/>
  <c r="BP133" i="34"/>
  <c r="BP131" i="34"/>
  <c r="BP129" i="34"/>
  <c r="BP127" i="34"/>
  <c r="BP125" i="34"/>
  <c r="BP124" i="34"/>
  <c r="BN124" i="34"/>
  <c r="BP123" i="34"/>
  <c r="BN123" i="34"/>
  <c r="BP122" i="34"/>
  <c r="BN122" i="34"/>
  <c r="BP121" i="34"/>
  <c r="BN121" i="34"/>
  <c r="BP120" i="34"/>
  <c r="BN120" i="34"/>
  <c r="BP119" i="34"/>
  <c r="BN119" i="34"/>
  <c r="BN118" i="34"/>
  <c r="BN117" i="34"/>
  <c r="BN116" i="34"/>
  <c r="BN115" i="34"/>
  <c r="BN114" i="34"/>
  <c r="BN113" i="34"/>
  <c r="BN112" i="34"/>
  <c r="BN111" i="34"/>
  <c r="BN110" i="34"/>
  <c r="BN109" i="34"/>
  <c r="BN108" i="34"/>
  <c r="BN107" i="34"/>
  <c r="BN106" i="34"/>
  <c r="BN105" i="34"/>
  <c r="BN103" i="34"/>
  <c r="AS61" i="34"/>
  <c r="BL60" i="34"/>
  <c r="BN59" i="34"/>
  <c r="BL59" i="34"/>
  <c r="BN58" i="34"/>
  <c r="BL58" i="34"/>
  <c r="BN57" i="34"/>
  <c r="BL57" i="34"/>
  <c r="BN56" i="34"/>
  <c r="BL56" i="34"/>
  <c r="BN55" i="34"/>
  <c r="BL55" i="34"/>
  <c r="BN54" i="34"/>
  <c r="BL54" i="34"/>
  <c r="BN53" i="34"/>
  <c r="BL53" i="34"/>
  <c r="BN52" i="34"/>
  <c r="BL52" i="34"/>
  <c r="BN51" i="34"/>
  <c r="BL51" i="34"/>
  <c r="BN50" i="34"/>
  <c r="BL50" i="34"/>
  <c r="BN49" i="34"/>
  <c r="BL49" i="34"/>
  <c r="BN48" i="34"/>
  <c r="BL48" i="34"/>
  <c r="BN47" i="34"/>
  <c r="BL47" i="34"/>
  <c r="BN46" i="34"/>
  <c r="BL46" i="34"/>
  <c r="BN45" i="34"/>
  <c r="BL45" i="34"/>
  <c r="BN44" i="34"/>
  <c r="BL44" i="34"/>
  <c r="BN43" i="34"/>
  <c r="BL43" i="34"/>
  <c r="BN42" i="34"/>
  <c r="BL42" i="34"/>
  <c r="BN41" i="34"/>
  <c r="BL41" i="34"/>
  <c r="BN40" i="34"/>
  <c r="BL40" i="34"/>
  <c r="BN39" i="34"/>
  <c r="BL39" i="34"/>
  <c r="BN38" i="34"/>
  <c r="BL38" i="34"/>
  <c r="BN37" i="34"/>
  <c r="BL37" i="34"/>
  <c r="BN36" i="34"/>
  <c r="BL36" i="34"/>
  <c r="BN35" i="34"/>
  <c r="BL35" i="34"/>
  <c r="BN34" i="34"/>
  <c r="BL34" i="34"/>
  <c r="BN33" i="34"/>
  <c r="BL33" i="34"/>
  <c r="BN32" i="34"/>
  <c r="BL32" i="34"/>
  <c r="BN31" i="34"/>
  <c r="BL31" i="34"/>
  <c r="AS31" i="34"/>
  <c r="AU31" i="34" s="1"/>
  <c r="BN30" i="34"/>
  <c r="BL30" i="34"/>
  <c r="BN29" i="34"/>
  <c r="BL29" i="34"/>
  <c r="BN28" i="34"/>
  <c r="BL28" i="34"/>
  <c r="BN27" i="34"/>
  <c r="BL27" i="34"/>
  <c r="BN26" i="34"/>
  <c r="BL26" i="34"/>
  <c r="BN24" i="34"/>
  <c r="BL24" i="34"/>
  <c r="BN23" i="34"/>
  <c r="BL23" i="34"/>
  <c r="BN22" i="34"/>
  <c r="BL22" i="34"/>
  <c r="BN21" i="34"/>
  <c r="BL21" i="34"/>
  <c r="BN20" i="34"/>
  <c r="BL20" i="34"/>
  <c r="BL19" i="34"/>
  <c r="BN18" i="34"/>
  <c r="BL18" i="34"/>
  <c r="BN17" i="34"/>
  <c r="BL17" i="34"/>
  <c r="BN16" i="34"/>
  <c r="BL16" i="34"/>
  <c r="BN15" i="34"/>
  <c r="BL15" i="34"/>
  <c r="BN14" i="34"/>
  <c r="BL14" i="34"/>
  <c r="BN13" i="34"/>
  <c r="BL13" i="34"/>
  <c r="BN12" i="34"/>
  <c r="BL12" i="34"/>
  <c r="BN11" i="34"/>
  <c r="BL11" i="34"/>
  <c r="BN10" i="34"/>
  <c r="BL10" i="34"/>
  <c r="BN9" i="34"/>
  <c r="BL9" i="34"/>
  <c r="BN8" i="34"/>
  <c r="BL8" i="34"/>
  <c r="BN7" i="34"/>
  <c r="BL7" i="34"/>
  <c r="BN6" i="34"/>
  <c r="BL6" i="34"/>
  <c r="BN5" i="34"/>
  <c r="BL5" i="34"/>
  <c r="AS1" i="34"/>
  <c r="AS13" i="43"/>
  <c r="AS38" i="25"/>
  <c r="AS216" i="45"/>
  <c r="AS215" i="45"/>
  <c r="AS214" i="45"/>
  <c r="AS213" i="45"/>
  <c r="AS212" i="45"/>
  <c r="AS211" i="45"/>
  <c r="AS210" i="45"/>
  <c r="AS209" i="45"/>
  <c r="AS207" i="45"/>
  <c r="AS206" i="45"/>
  <c r="AS205" i="45"/>
  <c r="AS204" i="45"/>
  <c r="AS203" i="45"/>
  <c r="AS202" i="45"/>
  <c r="AS201" i="45"/>
  <c r="AS200" i="45"/>
  <c r="AS198" i="45"/>
  <c r="AS197" i="45"/>
  <c r="AS196" i="45"/>
  <c r="AS195" i="45"/>
  <c r="AS194" i="45"/>
  <c r="AS127" i="45"/>
  <c r="AS33" i="45"/>
  <c r="AS24" i="45"/>
  <c r="AS23" i="45"/>
  <c r="AS10" i="45"/>
  <c r="BY368" i="24"/>
  <c r="BY369" i="24"/>
  <c r="BY370" i="24"/>
  <c r="BY371" i="24"/>
  <c r="BY372" i="24"/>
  <c r="BY373" i="24"/>
  <c r="BY374" i="24"/>
  <c r="BY375" i="24"/>
  <c r="BY376" i="24"/>
  <c r="BY377" i="24"/>
  <c r="BY378" i="24"/>
  <c r="BY379" i="24"/>
  <c r="BY380" i="24"/>
  <c r="BY381" i="24"/>
  <c r="BY382" i="24"/>
  <c r="BY383" i="24"/>
  <c r="BY384" i="24"/>
  <c r="BY385" i="24"/>
  <c r="BY386" i="24"/>
  <c r="BY387" i="24"/>
  <c r="BY388" i="24"/>
  <c r="BY389" i="24"/>
  <c r="BY390" i="24"/>
  <c r="BY391" i="24"/>
  <c r="BY392" i="24"/>
  <c r="BY393" i="24"/>
  <c r="BY394" i="24"/>
  <c r="BY395" i="24"/>
  <c r="BY396" i="24"/>
  <c r="BY397" i="24"/>
  <c r="BY398" i="24"/>
  <c r="BY399" i="24"/>
  <c r="BY400" i="24"/>
  <c r="BY401" i="24"/>
  <c r="BY402" i="24"/>
  <c r="BY403" i="24"/>
  <c r="BY404" i="24"/>
  <c r="BY405" i="24"/>
  <c r="BY406" i="24"/>
  <c r="BY407" i="24"/>
  <c r="BY408" i="24"/>
  <c r="BY409" i="24"/>
  <c r="BY345" i="24"/>
  <c r="BY346" i="24"/>
  <c r="BY347" i="24"/>
  <c r="BY348" i="24"/>
  <c r="BY349" i="24"/>
  <c r="BY350" i="24"/>
  <c r="BY351" i="24"/>
  <c r="BY352" i="24"/>
  <c r="BY353" i="24"/>
  <c r="BY354" i="24"/>
  <c r="BY355" i="24"/>
  <c r="BY356" i="24"/>
  <c r="BY357" i="24"/>
  <c r="BY358" i="24"/>
  <c r="BY359" i="24"/>
  <c r="BY360" i="24"/>
  <c r="BY361" i="24"/>
  <c r="BY362" i="24"/>
  <c r="BY363" i="24"/>
  <c r="BY364" i="24"/>
  <c r="BY365" i="24"/>
  <c r="CA369" i="24"/>
  <c r="BX369" i="24"/>
  <c r="CA368" i="24"/>
  <c r="BX368" i="24"/>
  <c r="CA367" i="24"/>
  <c r="BY367" i="24"/>
  <c r="BX367" i="24"/>
  <c r="CA366" i="24"/>
  <c r="BY366" i="24"/>
  <c r="BX366" i="24"/>
  <c r="CA365" i="24"/>
  <c r="BX365" i="24"/>
  <c r="BY8" i="24"/>
  <c r="BJ8" i="24"/>
  <c r="BY7" i="24"/>
  <c r="BJ7" i="24"/>
  <c r="BJ98" i="24"/>
  <c r="BJ97" i="24"/>
  <c r="CC97" i="24" s="1"/>
  <c r="BY98" i="24"/>
  <c r="BY97" i="24"/>
  <c r="BJ138" i="34"/>
  <c r="BJ137" i="34"/>
  <c r="BJ136" i="34"/>
  <c r="BJ135" i="34"/>
  <c r="BJ134" i="34"/>
  <c r="BJ133" i="34"/>
  <c r="BJ132" i="34"/>
  <c r="BJ131" i="34"/>
  <c r="BJ130" i="34"/>
  <c r="BJ129" i="34"/>
  <c r="BJ128" i="34"/>
  <c r="BJ127" i="34"/>
  <c r="BJ126" i="34"/>
  <c r="BJ125" i="34"/>
  <c r="BJ124" i="34"/>
  <c r="BJ123" i="34"/>
  <c r="BJ122" i="34"/>
  <c r="BJ121" i="34"/>
  <c r="BJ120" i="34"/>
  <c r="BJ119" i="34"/>
  <c r="BJ118" i="34"/>
  <c r="BJ117" i="34"/>
  <c r="BJ116" i="34"/>
  <c r="BJ115" i="34"/>
  <c r="BJ114" i="34"/>
  <c r="BJ113" i="34"/>
  <c r="BJ112" i="34"/>
  <c r="BJ111" i="34"/>
  <c r="BJ110" i="34"/>
  <c r="BJ109" i="34"/>
  <c r="BJ108" i="34"/>
  <c r="BJ107" i="34"/>
  <c r="BJ106" i="34"/>
  <c r="BJ105" i="34"/>
  <c r="BJ104" i="34"/>
  <c r="BJ103" i="34"/>
  <c r="BJ101" i="34"/>
  <c r="BJ100" i="34"/>
  <c r="BJ99" i="34"/>
  <c r="BJ98" i="34"/>
  <c r="BJ97" i="34"/>
  <c r="BJ96" i="34"/>
  <c r="BJ95" i="34"/>
  <c r="BJ94" i="34"/>
  <c r="BJ93" i="34"/>
  <c r="BJ92" i="34"/>
  <c r="BJ91" i="34"/>
  <c r="BJ90" i="34"/>
  <c r="BJ89" i="34"/>
  <c r="BJ88" i="34"/>
  <c r="BJ87" i="34"/>
  <c r="BJ86" i="34"/>
  <c r="BJ85" i="34"/>
  <c r="BJ84" i="34"/>
  <c r="BJ83" i="34"/>
  <c r="BJ82" i="34"/>
  <c r="BJ81" i="34"/>
  <c r="BJ80" i="34"/>
  <c r="BJ79" i="34"/>
  <c r="BJ78" i="34"/>
  <c r="BJ77" i="34"/>
  <c r="BJ75" i="34"/>
  <c r="BJ74" i="34"/>
  <c r="BJ73" i="34"/>
  <c r="BJ72" i="34"/>
  <c r="BJ71" i="34"/>
  <c r="BJ70" i="34"/>
  <c r="BJ69" i="34"/>
  <c r="BJ68" i="34"/>
  <c r="BJ67" i="34"/>
  <c r="BJ66" i="34"/>
  <c r="BJ65" i="34"/>
  <c r="BJ64" i="34"/>
  <c r="BJ63" i="34"/>
  <c r="BJ62" i="34"/>
  <c r="BJ60" i="34"/>
  <c r="BJ59" i="34"/>
  <c r="BJ58" i="34"/>
  <c r="BJ57" i="34"/>
  <c r="BJ56" i="34"/>
  <c r="BJ55" i="34"/>
  <c r="BJ54" i="34"/>
  <c r="BJ53" i="34"/>
  <c r="BJ52" i="34"/>
  <c r="BJ51" i="34"/>
  <c r="BJ50" i="34"/>
  <c r="BJ49" i="34"/>
  <c r="BJ48" i="34"/>
  <c r="BJ47" i="34"/>
  <c r="BJ46" i="34"/>
  <c r="BJ45" i="34"/>
  <c r="BJ44" i="34"/>
  <c r="BJ43" i="34"/>
  <c r="BJ42" i="34"/>
  <c r="BJ41" i="34"/>
  <c r="BJ40" i="34"/>
  <c r="BJ39" i="34"/>
  <c r="BJ38" i="34"/>
  <c r="BJ37" i="34"/>
  <c r="BJ36" i="34"/>
  <c r="BJ35" i="34"/>
  <c r="BJ34" i="34"/>
  <c r="BJ33" i="34"/>
  <c r="BJ32" i="34"/>
  <c r="BJ31" i="34"/>
  <c r="BJ30" i="34"/>
  <c r="BJ29" i="34"/>
  <c r="BJ28" i="34"/>
  <c r="BJ27" i="34"/>
  <c r="BJ26" i="34"/>
  <c r="BJ24" i="34"/>
  <c r="BJ23" i="34"/>
  <c r="BJ22" i="34"/>
  <c r="BJ21" i="34"/>
  <c r="BJ20" i="34"/>
  <c r="BJ19" i="34"/>
  <c r="BJ18" i="34"/>
  <c r="BJ17" i="34"/>
  <c r="BJ16" i="34"/>
  <c r="BJ15" i="34"/>
  <c r="BJ14" i="34"/>
  <c r="BJ13" i="34"/>
  <c r="BJ12" i="34"/>
  <c r="BJ11" i="34"/>
  <c r="BJ10" i="34"/>
  <c r="BJ9" i="34"/>
  <c r="BJ8" i="34"/>
  <c r="BJ7" i="34"/>
  <c r="BJ6" i="34"/>
  <c r="BJ5" i="34"/>
  <c r="BJ4" i="34"/>
  <c r="BY343" i="24"/>
  <c r="BY342" i="24"/>
  <c r="BY341" i="24"/>
  <c r="BY340" i="24"/>
  <c r="BY339" i="24"/>
  <c r="BY338" i="24"/>
  <c r="BY336" i="24"/>
  <c r="BY335" i="24"/>
  <c r="BY334" i="24"/>
  <c r="BY333" i="24"/>
  <c r="BY332" i="24"/>
  <c r="BY331" i="24"/>
  <c r="BH30" i="47"/>
  <c r="BH32" i="47"/>
  <c r="BH31" i="47"/>
  <c r="BH29" i="47"/>
  <c r="BH28" i="47"/>
  <c r="BH27" i="47"/>
  <c r="BH26" i="47"/>
  <c r="BH25" i="47"/>
  <c r="BH24" i="47"/>
  <c r="BH21" i="47"/>
  <c r="BH20" i="47"/>
  <c r="BH19" i="47"/>
  <c r="BH18" i="47"/>
  <c r="BH17" i="47"/>
  <c r="BH16" i="47"/>
  <c r="BH15" i="47"/>
  <c r="BH14" i="47"/>
  <c r="BH13" i="47"/>
  <c r="BH12" i="47"/>
  <c r="BH11" i="47"/>
  <c r="BH10" i="47"/>
  <c r="BH9" i="47"/>
  <c r="BH8" i="47"/>
  <c r="BH7" i="47"/>
  <c r="BH6" i="47"/>
  <c r="BG7" i="47"/>
  <c r="BG8" i="47"/>
  <c r="BG9" i="47"/>
  <c r="BG10" i="47"/>
  <c r="BG11" i="47"/>
  <c r="BG12" i="47"/>
  <c r="BG13" i="47"/>
  <c r="BG14" i="47"/>
  <c r="BG15" i="47"/>
  <c r="BG16" i="47"/>
  <c r="BG17" i="47"/>
  <c r="BG18" i="47"/>
  <c r="BG19" i="47"/>
  <c r="BG20" i="47"/>
  <c r="BG21" i="47"/>
  <c r="BG22" i="47"/>
  <c r="BG23" i="47"/>
  <c r="BG24" i="47"/>
  <c r="BG25" i="47"/>
  <c r="BG26" i="47"/>
  <c r="BG27" i="47"/>
  <c r="BG28" i="47"/>
  <c r="BG29" i="47"/>
  <c r="BG30" i="47"/>
  <c r="BG31" i="47"/>
  <c r="BG32" i="47"/>
  <c r="BG33" i="47"/>
  <c r="BG6" i="47"/>
  <c r="BH35" i="47"/>
  <c r="BG36" i="47"/>
  <c r="BG37" i="47"/>
  <c r="BG38" i="47"/>
  <c r="BG39" i="47"/>
  <c r="BG40" i="47"/>
  <c r="BG41" i="47"/>
  <c r="BG42" i="47"/>
  <c r="BG43" i="47"/>
  <c r="BG44" i="47"/>
  <c r="BG45" i="47"/>
  <c r="BG46" i="47"/>
  <c r="BG35" i="47"/>
  <c r="BI49" i="33"/>
  <c r="BJ49" i="33"/>
  <c r="BM49" i="33" s="1"/>
  <c r="BI50" i="33"/>
  <c r="BJ50" i="33"/>
  <c r="BM50" i="33" s="1"/>
  <c r="BI51" i="33"/>
  <c r="BJ51" i="33"/>
  <c r="BM51" i="33" s="1"/>
  <c r="BI63" i="33"/>
  <c r="BJ63" i="33"/>
  <c r="BI4" i="33"/>
  <c r="BI16" i="32"/>
  <c r="BJ17" i="32"/>
  <c r="X54" i="15" a="1"/>
  <c r="S17" i="17" a="1"/>
  <c r="P20" i="17" a="1"/>
  <c r="E8" i="17" a="1"/>
  <c r="S20" i="17" a="1"/>
  <c r="S8" i="17" a="1"/>
  <c r="X54" i="15" l="1"/>
  <c r="W15" i="15"/>
  <c r="AU38" i="25"/>
  <c r="AT38" i="25"/>
  <c r="S20" i="17"/>
  <c r="S17" i="17"/>
  <c r="E8" i="17"/>
  <c r="S8" i="17"/>
  <c r="P20" i="17"/>
  <c r="CB82" i="22"/>
  <c r="CB131" i="22"/>
  <c r="CB148" i="22"/>
  <c r="CB164" i="22"/>
  <c r="CB180" i="22"/>
  <c r="CB196" i="22"/>
  <c r="CB22" i="22"/>
  <c r="CB132" i="22"/>
  <c r="CB149" i="22"/>
  <c r="CB165" i="22"/>
  <c r="CB181" i="22"/>
  <c r="CB197" i="22"/>
  <c r="CB37" i="22"/>
  <c r="CB15" i="22"/>
  <c r="CB40" i="22"/>
  <c r="CB41" i="22"/>
  <c r="CB92" i="22"/>
  <c r="CB109" i="22"/>
  <c r="CB16" i="22"/>
  <c r="CB91" i="22"/>
  <c r="CB58" i="22"/>
  <c r="CB93" i="22"/>
  <c r="CB110" i="22"/>
  <c r="CB43" i="22"/>
  <c r="CB59" i="22"/>
  <c r="CB111" i="22"/>
  <c r="CB144" i="22"/>
  <c r="CB160" i="22"/>
  <c r="CB176" i="22"/>
  <c r="CB192" i="22"/>
  <c r="CB44" i="22"/>
  <c r="CB60" i="22"/>
  <c r="CB112" i="22"/>
  <c r="CB128" i="22"/>
  <c r="CB145" i="22"/>
  <c r="CB161" i="22"/>
  <c r="CB177" i="22"/>
  <c r="CB193" i="22"/>
  <c r="CB101" i="22"/>
  <c r="CB103" i="22"/>
  <c r="CB18" i="22"/>
  <c r="CB39" i="22"/>
  <c r="CB90" i="22"/>
  <c r="CB14" i="22"/>
  <c r="CB45" i="22"/>
  <c r="CB80" i="22"/>
  <c r="CB113" i="22"/>
  <c r="CB129" i="22"/>
  <c r="CB146" i="22"/>
  <c r="CB162" i="22"/>
  <c r="CB178" i="22"/>
  <c r="CB194" i="22"/>
  <c r="CB102" i="22"/>
  <c r="CB36" i="22"/>
  <c r="CB17" i="22"/>
  <c r="CB38" i="22"/>
  <c r="CB24" i="22"/>
  <c r="CB114" i="22"/>
  <c r="CB130" i="22"/>
  <c r="CB147" i="22"/>
  <c r="CB163" i="22"/>
  <c r="CB179" i="22"/>
  <c r="CB195" i="22"/>
  <c r="BJ76" i="34"/>
  <c r="D42" i="15" a="1"/>
  <c r="E42" i="15" a="1"/>
  <c r="D42" i="15" l="1"/>
  <c r="E42" i="15"/>
  <c r="S13" i="43"/>
  <c r="T13" i="43"/>
  <c r="U13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Q13" i="43"/>
  <c r="AR13" i="43"/>
  <c r="R13" i="43"/>
  <c r="BG5" i="43"/>
  <c r="BP5" i="43" s="1"/>
  <c r="BQ5" i="43" s="1"/>
  <c r="BL5" i="43"/>
  <c r="BZ11" i="54"/>
  <c r="CC33" i="25"/>
  <c r="CC39" i="25"/>
  <c r="CC40" i="25"/>
  <c r="BF31" i="43"/>
  <c r="BL31" i="43" s="1"/>
  <c r="BF30" i="43"/>
  <c r="BL30" i="43" s="1"/>
  <c r="BF29" i="43"/>
  <c r="BL29" i="43" s="1"/>
  <c r="BF28" i="43"/>
  <c r="BL28" i="43" s="1"/>
  <c r="BF27" i="43"/>
  <c r="BL27" i="43" s="1"/>
  <c r="BF26" i="43"/>
  <c r="BL26" i="43" s="1"/>
  <c r="BF25" i="43"/>
  <c r="BL25" i="43" s="1"/>
  <c r="BF24" i="43"/>
  <c r="BL24" i="43" s="1"/>
  <c r="BF23" i="43"/>
  <c r="BL23" i="43" s="1"/>
  <c r="BF22" i="43"/>
  <c r="BL22" i="43" s="1"/>
  <c r="BF21" i="43"/>
  <c r="BL21" i="43" s="1"/>
  <c r="BF20" i="43"/>
  <c r="BL20" i="43" s="1"/>
  <c r="BL19" i="43"/>
  <c r="BX329" i="24" l="1"/>
  <c r="BX328" i="24"/>
  <c r="BX327" i="24"/>
  <c r="BX326" i="24"/>
  <c r="BX325" i="24"/>
  <c r="BX324" i="24"/>
  <c r="BX323" i="24"/>
  <c r="BX322" i="24"/>
  <c r="BX321" i="24"/>
  <c r="BX320" i="24"/>
  <c r="BX319" i="24"/>
  <c r="BX318" i="24"/>
  <c r="BX317" i="24"/>
  <c r="BX316" i="24"/>
  <c r="BX315" i="24"/>
  <c r="BX314" i="24"/>
  <c r="BX313" i="24"/>
  <c r="BX312" i="24"/>
  <c r="BX311" i="24"/>
  <c r="BX310" i="24"/>
  <c r="BX309" i="24"/>
  <c r="BX308" i="24"/>
  <c r="BX307" i="24"/>
  <c r="BX306" i="24"/>
  <c r="BX305" i="24"/>
  <c r="BX304" i="24"/>
  <c r="BX303" i="24"/>
  <c r="BX302" i="24"/>
  <c r="BX301" i="24"/>
  <c r="BX300" i="24"/>
  <c r="BX299" i="24"/>
  <c r="BX298" i="24"/>
  <c r="BX297" i="24"/>
  <c r="BX296" i="24"/>
  <c r="BX295" i="24"/>
  <c r="BX294" i="24"/>
  <c r="BX293" i="24"/>
  <c r="BX292" i="24"/>
  <c r="BX291" i="24"/>
  <c r="BX290" i="24"/>
  <c r="BX289" i="24"/>
  <c r="BY329" i="24"/>
  <c r="BY328" i="24"/>
  <c r="BY327" i="24"/>
  <c r="BY326" i="24"/>
  <c r="BY325" i="24"/>
  <c r="BY324" i="24"/>
  <c r="BY323" i="24"/>
  <c r="BY322" i="24"/>
  <c r="BY321" i="24"/>
  <c r="BY320" i="24"/>
  <c r="BY319" i="24"/>
  <c r="BY318" i="24"/>
  <c r="BY317" i="24"/>
  <c r="BY316" i="24"/>
  <c r="BY315" i="24"/>
  <c r="BY314" i="24"/>
  <c r="BY313" i="24"/>
  <c r="BY312" i="24"/>
  <c r="BY311" i="24"/>
  <c r="BY310" i="24"/>
  <c r="BY309" i="24"/>
  <c r="BY308" i="24"/>
  <c r="BY307" i="24"/>
  <c r="BY306" i="24"/>
  <c r="BY305" i="24"/>
  <c r="BY304" i="24"/>
  <c r="BY303" i="24"/>
  <c r="BY302" i="24"/>
  <c r="BY301" i="24"/>
  <c r="BY300" i="24"/>
  <c r="BY299" i="24"/>
  <c r="BY298" i="24"/>
  <c r="BY296" i="24"/>
  <c r="BY295" i="24"/>
  <c r="BY294" i="24"/>
  <c r="BY293" i="24"/>
  <c r="BY292" i="24"/>
  <c r="BY291" i="24"/>
  <c r="BY290" i="24"/>
  <c r="BY289" i="24"/>
  <c r="BX113" i="24"/>
  <c r="BY108" i="24"/>
  <c r="BY100" i="24"/>
  <c r="BY284" i="24"/>
  <c r="BY283" i="24"/>
  <c r="BY282" i="24"/>
  <c r="BY281" i="24"/>
  <c r="BX281" i="24" s="1"/>
  <c r="BY280" i="24"/>
  <c r="BX280" i="24" s="1"/>
  <c r="BY279" i="24"/>
  <c r="BX279" i="24" s="1"/>
  <c r="BY278" i="24"/>
  <c r="BX278" i="24" s="1"/>
  <c r="BY277" i="24"/>
  <c r="BX277" i="24" s="1"/>
  <c r="BY276" i="24"/>
  <c r="BX276" i="24" s="1"/>
  <c r="BY275" i="24"/>
  <c r="BX275" i="24" s="1"/>
  <c r="BY274" i="24"/>
  <c r="BX274" i="24" s="1"/>
  <c r="BY273" i="24"/>
  <c r="BX273" i="24" s="1"/>
  <c r="BY272" i="24"/>
  <c r="BX272" i="24" s="1"/>
  <c r="BY271" i="24"/>
  <c r="BX271" i="24" s="1"/>
  <c r="BY270" i="24"/>
  <c r="BX270" i="24" s="1"/>
  <c r="BY269" i="24"/>
  <c r="BX269" i="24" s="1"/>
  <c r="BY268" i="24"/>
  <c r="BX268" i="24" s="1"/>
  <c r="BY267" i="24"/>
  <c r="BX267" i="24" s="1"/>
  <c r="BY266" i="24"/>
  <c r="BX266" i="24" s="1"/>
  <c r="BY265" i="24"/>
  <c r="BX265" i="24" s="1"/>
  <c r="BY264" i="24"/>
  <c r="BX264" i="24" s="1"/>
  <c r="BY263" i="24"/>
  <c r="BX263" i="24" s="1"/>
  <c r="BY262" i="24"/>
  <c r="BX262" i="24" s="1"/>
  <c r="BY261" i="24"/>
  <c r="BX261" i="24" s="1"/>
  <c r="BY260" i="24"/>
  <c r="BX260" i="24" s="1"/>
  <c r="BY259" i="24"/>
  <c r="BX259" i="24" s="1"/>
  <c r="BY258" i="24"/>
  <c r="BY257" i="24"/>
  <c r="BY256" i="24"/>
  <c r="BY255" i="24"/>
  <c r="BY254" i="24"/>
  <c r="BY253" i="24"/>
  <c r="BY252" i="24"/>
  <c r="BY251" i="24"/>
  <c r="BY250" i="24"/>
  <c r="BY249" i="24"/>
  <c r="BY248" i="24"/>
  <c r="BY247" i="24"/>
  <c r="BY246" i="24"/>
  <c r="BY245" i="24"/>
  <c r="BY244" i="24"/>
  <c r="BY243" i="24"/>
  <c r="BY242" i="24"/>
  <c r="BY241" i="24"/>
  <c r="BY240" i="24"/>
  <c r="BY239" i="24"/>
  <c r="BY238" i="24"/>
  <c r="BY237" i="24"/>
  <c r="BY236" i="24"/>
  <c r="BY235" i="24"/>
  <c r="BY234" i="24"/>
  <c r="BY233" i="24"/>
  <c r="BY232" i="24"/>
  <c r="BY231" i="24"/>
  <c r="BY230" i="24"/>
  <c r="BY229" i="24"/>
  <c r="BY228" i="24"/>
  <c r="BY227" i="24"/>
  <c r="BY226" i="24"/>
  <c r="BY225" i="24"/>
  <c r="BY224" i="24"/>
  <c r="BY223" i="24"/>
  <c r="BY222" i="24"/>
  <c r="BY221" i="24"/>
  <c r="BY220" i="24"/>
  <c r="BY219" i="24"/>
  <c r="BY218" i="24"/>
  <c r="BY217" i="24"/>
  <c r="BY216" i="24"/>
  <c r="BY215" i="24"/>
  <c r="BY214" i="24"/>
  <c r="BY213" i="24"/>
  <c r="BY212" i="24"/>
  <c r="BY211" i="24"/>
  <c r="BY210" i="24"/>
  <c r="BY209" i="24"/>
  <c r="BY208" i="24"/>
  <c r="BY207" i="24"/>
  <c r="BY206" i="24"/>
  <c r="BY205" i="24"/>
  <c r="BY204" i="24"/>
  <c r="BY203" i="24"/>
  <c r="BY202" i="24"/>
  <c r="BY201" i="24"/>
  <c r="BY200" i="24"/>
  <c r="BY199" i="24"/>
  <c r="BY198" i="24"/>
  <c r="BY197" i="24"/>
  <c r="BY196" i="24"/>
  <c r="BY195" i="24"/>
  <c r="BY194" i="24"/>
  <c r="BY193" i="24"/>
  <c r="BY192" i="24"/>
  <c r="BY191" i="24"/>
  <c r="BY190" i="24"/>
  <c r="BY189" i="24"/>
  <c r="BY188" i="24"/>
  <c r="BY187" i="24"/>
  <c r="BY186" i="24"/>
  <c r="BY185" i="24"/>
  <c r="BY184" i="24"/>
  <c r="BY183" i="24"/>
  <c r="BY182" i="24"/>
  <c r="BY181" i="24"/>
  <c r="BY180" i="24"/>
  <c r="BY179" i="24"/>
  <c r="BY178" i="24"/>
  <c r="BY177" i="24"/>
  <c r="BY176" i="24"/>
  <c r="BY175" i="24"/>
  <c r="BY174" i="24"/>
  <c r="BY173" i="24"/>
  <c r="BY172" i="24"/>
  <c r="BY171" i="24"/>
  <c r="BY170" i="24"/>
  <c r="BY169" i="24"/>
  <c r="BY168" i="24"/>
  <c r="BY167" i="24"/>
  <c r="BY166" i="24"/>
  <c r="BY165" i="24"/>
  <c r="BY164" i="24"/>
  <c r="BY163" i="24"/>
  <c r="BY162" i="24"/>
  <c r="BY161" i="24"/>
  <c r="BY160" i="24"/>
  <c r="BY159" i="24"/>
  <c r="BY158" i="24"/>
  <c r="BY157" i="24"/>
  <c r="BY156" i="24"/>
  <c r="BY155" i="24"/>
  <c r="BY154" i="24"/>
  <c r="BY153" i="24"/>
  <c r="BY152" i="24"/>
  <c r="BY151" i="24"/>
  <c r="BY150" i="24"/>
  <c r="BY149" i="24"/>
  <c r="BY148" i="24"/>
  <c r="BY147" i="24"/>
  <c r="BY146" i="24"/>
  <c r="BY145" i="24"/>
  <c r="BY144" i="24"/>
  <c r="BY143" i="24"/>
  <c r="BY142" i="24"/>
  <c r="BY141" i="24"/>
  <c r="BY140" i="24"/>
  <c r="BY139" i="24"/>
  <c r="BY138" i="24"/>
  <c r="BY137" i="24"/>
  <c r="BY136" i="24"/>
  <c r="BY135" i="24"/>
  <c r="BY134" i="24"/>
  <c r="BY133" i="24"/>
  <c r="BY132" i="24"/>
  <c r="BY131" i="24"/>
  <c r="BY130" i="24"/>
  <c r="BY129" i="24"/>
  <c r="BY128" i="24"/>
  <c r="BY127" i="24"/>
  <c r="BY126" i="24"/>
  <c r="BY125" i="24"/>
  <c r="BY124" i="24"/>
  <c r="BY123" i="24"/>
  <c r="BY122" i="24"/>
  <c r="BY121" i="24"/>
  <c r="BY120" i="24"/>
  <c r="BY119" i="24"/>
  <c r="BY118" i="24"/>
  <c r="BY117" i="24"/>
  <c r="BY116" i="24"/>
  <c r="BY115" i="24"/>
  <c r="BY114" i="24"/>
  <c r="BY113" i="24"/>
  <c r="BY112" i="24"/>
  <c r="BY111" i="24"/>
  <c r="BY110" i="24"/>
  <c r="BY109" i="24"/>
  <c r="BY107" i="24"/>
  <c r="BY106" i="24"/>
  <c r="BY105" i="24"/>
  <c r="BY104" i="24"/>
  <c r="BY103" i="24"/>
  <c r="BY102" i="24"/>
  <c r="BY101" i="24"/>
  <c r="BX80" i="24" l="1"/>
  <c r="BX79" i="24"/>
  <c r="BX72" i="24"/>
  <c r="BX64" i="24"/>
  <c r="BX63" i="24"/>
  <c r="BX62" i="24"/>
  <c r="BX61" i="24"/>
  <c r="BX60" i="24"/>
  <c r="BX59" i="24"/>
  <c r="BX58" i="24"/>
  <c r="BX56" i="24"/>
  <c r="CD335" i="24" s="1"/>
  <c r="BX55" i="24"/>
  <c r="BX53" i="24"/>
  <c r="BX52" i="24"/>
  <c r="BY5" i="24"/>
  <c r="BY4" i="24"/>
  <c r="BY78" i="24"/>
  <c r="BX78" i="24" s="1"/>
  <c r="BY77" i="24"/>
  <c r="BX77" i="24" s="1"/>
  <c r="BY76" i="24"/>
  <c r="BX76" i="24" s="1"/>
  <c r="BY75" i="24"/>
  <c r="BX75" i="24" s="1"/>
  <c r="BY74" i="24"/>
  <c r="BX74" i="24" s="1"/>
  <c r="BY71" i="24"/>
  <c r="BX71" i="24" s="1"/>
  <c r="BY70" i="24"/>
  <c r="BX70" i="24" s="1"/>
  <c r="BY69" i="24"/>
  <c r="BX69" i="24" s="1"/>
  <c r="BY68" i="24"/>
  <c r="BX68" i="24" s="1"/>
  <c r="BY67" i="24"/>
  <c r="BX67" i="24" s="1"/>
  <c r="BY66" i="24"/>
  <c r="BX66" i="24" s="1"/>
  <c r="BY64" i="24"/>
  <c r="BY63" i="24"/>
  <c r="BY62" i="24"/>
  <c r="BY61" i="24"/>
  <c r="BY60" i="24"/>
  <c r="BY59" i="24"/>
  <c r="BY58" i="24"/>
  <c r="BY57" i="24"/>
  <c r="BX57" i="24" s="1"/>
  <c r="BY56" i="24"/>
  <c r="BY55" i="24"/>
  <c r="BY54" i="24"/>
  <c r="BX54" i="24" s="1"/>
  <c r="BY53" i="24"/>
  <c r="BY52" i="24"/>
  <c r="BX15" i="24"/>
  <c r="BY10" i="24"/>
  <c r="BX50" i="24"/>
  <c r="BX49" i="24"/>
  <c r="BX48" i="24"/>
  <c r="CD327" i="24" s="1"/>
  <c r="BX47" i="24"/>
  <c r="BX46" i="24"/>
  <c r="BX45" i="24"/>
  <c r="BX44" i="24"/>
  <c r="BX43" i="24"/>
  <c r="BX42" i="24"/>
  <c r="CD321" i="24" s="1"/>
  <c r="BX41" i="24"/>
  <c r="CD320" i="24" s="1"/>
  <c r="BX40" i="24"/>
  <c r="CD319" i="24" s="1"/>
  <c r="BX39" i="24"/>
  <c r="CD318" i="24" s="1"/>
  <c r="BX38" i="24"/>
  <c r="BX37" i="24"/>
  <c r="BX36" i="24"/>
  <c r="BX35" i="24"/>
  <c r="BX34" i="24"/>
  <c r="BX33" i="24"/>
  <c r="BX32" i="24"/>
  <c r="BX31" i="24"/>
  <c r="BX30" i="24"/>
  <c r="BX29" i="24"/>
  <c r="BX28" i="24"/>
  <c r="BX27" i="24"/>
  <c r="BX26" i="24"/>
  <c r="BX25" i="24"/>
  <c r="BX24" i="24"/>
  <c r="BX23" i="24"/>
  <c r="BX22" i="24"/>
  <c r="BX21" i="24"/>
  <c r="BX20" i="24"/>
  <c r="CD299" i="24" s="1"/>
  <c r="BX19" i="24"/>
  <c r="BX18" i="24"/>
  <c r="BX17" i="24"/>
  <c r="BX16" i="24"/>
  <c r="CD295" i="24" s="1"/>
  <c r="BX14" i="24"/>
  <c r="CD293" i="24" s="1"/>
  <c r="BX13" i="24"/>
  <c r="CD292" i="24" s="1"/>
  <c r="BX12" i="24"/>
  <c r="BX11" i="24"/>
  <c r="BX10" i="24"/>
  <c r="BY50" i="24"/>
  <c r="BY49" i="24"/>
  <c r="BY48" i="24"/>
  <c r="BY47" i="24"/>
  <c r="BY46" i="24"/>
  <c r="BY45" i="24"/>
  <c r="BY44" i="24"/>
  <c r="BY43" i="24"/>
  <c r="BY42" i="24"/>
  <c r="BY41" i="24"/>
  <c r="BY40" i="24"/>
  <c r="BY39" i="24"/>
  <c r="BY38" i="24"/>
  <c r="BY37" i="24"/>
  <c r="BY36" i="24"/>
  <c r="BY35" i="24"/>
  <c r="BY34" i="24"/>
  <c r="BY33" i="24"/>
  <c r="BY32" i="24"/>
  <c r="BY31" i="24"/>
  <c r="BY30" i="24"/>
  <c r="BY29" i="24"/>
  <c r="BY28" i="24"/>
  <c r="BY27" i="24"/>
  <c r="BY26" i="24"/>
  <c r="BY25" i="24"/>
  <c r="BY24" i="24"/>
  <c r="BY23" i="24"/>
  <c r="BY22" i="24"/>
  <c r="BY21" i="24"/>
  <c r="BY20" i="24"/>
  <c r="BY19" i="24"/>
  <c r="BY18" i="24"/>
  <c r="BY17" i="24"/>
  <c r="BY16" i="24"/>
  <c r="BY15" i="24"/>
  <c r="BY14" i="24"/>
  <c r="BY13" i="24"/>
  <c r="BY12" i="24"/>
  <c r="BY11" i="24"/>
  <c r="CD324" i="24" l="1"/>
  <c r="CE305" i="24"/>
  <c r="CD309" i="24"/>
  <c r="CE340" i="24"/>
  <c r="CE308" i="24"/>
  <c r="CD312" i="24"/>
  <c r="CD297" i="24"/>
  <c r="CE294" i="24"/>
  <c r="CD298" i="24"/>
  <c r="CE295" i="24"/>
  <c r="CE342" i="24"/>
  <c r="CD316" i="24"/>
  <c r="CE312" i="24"/>
  <c r="CE297" i="24"/>
  <c r="CD301" i="24"/>
  <c r="CD333" i="24"/>
  <c r="CE336" i="24"/>
  <c r="CD341" i="24"/>
  <c r="CE291" i="24"/>
  <c r="CD291" i="24"/>
  <c r="CD332" i="24"/>
  <c r="CE292" i="24"/>
  <c r="CE293" i="24"/>
  <c r="CD296" i="24"/>
  <c r="CE341" i="24"/>
  <c r="CE343" i="24"/>
  <c r="CE299" i="24"/>
  <c r="CD303" i="24"/>
  <c r="CE337" i="24"/>
  <c r="CD342" i="24"/>
  <c r="CE307" i="24"/>
  <c r="CD311" i="24"/>
  <c r="CD328" i="24"/>
  <c r="CD329" i="24"/>
  <c r="CD314" i="24"/>
  <c r="CE310" i="24"/>
  <c r="CD300" i="24"/>
  <c r="CE296" i="24"/>
  <c r="CE335" i="24"/>
  <c r="CD340" i="24"/>
  <c r="CD304" i="24"/>
  <c r="CE300" i="24"/>
  <c r="CD343" i="24"/>
  <c r="CE338" i="24"/>
  <c r="CD325" i="24"/>
  <c r="CE306" i="24"/>
  <c r="CD310" i="24"/>
  <c r="CE309" i="24"/>
  <c r="CD337" i="24"/>
  <c r="CE332" i="24"/>
  <c r="CD315" i="24"/>
  <c r="CE311" i="24"/>
  <c r="CE344" i="24"/>
  <c r="CD305" i="24"/>
  <c r="CE301" i="24"/>
  <c r="CD336" i="24"/>
  <c r="CE331" i="24"/>
  <c r="CE304" i="24"/>
  <c r="CD308" i="24"/>
  <c r="CD331" i="24"/>
  <c r="CD334" i="24"/>
  <c r="CE334" i="24"/>
  <c r="CD339" i="24"/>
  <c r="CD317" i="24"/>
  <c r="CD289" i="24"/>
  <c r="CE289" i="24"/>
  <c r="CD306" i="24"/>
  <c r="CE302" i="24"/>
  <c r="CD322" i="24"/>
  <c r="CD326" i="24"/>
  <c r="CE333" i="24"/>
  <c r="CD338" i="24"/>
  <c r="CE298" i="24"/>
  <c r="CD302" i="24"/>
  <c r="CD290" i="24"/>
  <c r="CE290" i="24"/>
  <c r="CE303" i="24"/>
  <c r="CD307" i="24"/>
  <c r="CD323" i="24"/>
  <c r="BH46" i="47" l="1"/>
  <c r="BH45" i="47"/>
  <c r="BH44" i="47"/>
  <c r="BH43" i="47"/>
  <c r="BH42" i="47"/>
  <c r="BH41" i="47"/>
  <c r="BH40" i="47"/>
  <c r="BH39" i="47"/>
  <c r="BH38" i="47"/>
  <c r="BH37" i="47"/>
  <c r="BH36" i="47"/>
  <c r="AT46" i="47" l="1"/>
  <c r="AS46" i="47"/>
  <c r="AT45" i="47"/>
  <c r="AS45" i="47"/>
  <c r="AT44" i="47"/>
  <c r="AS44" i="47"/>
  <c r="AT43" i="47"/>
  <c r="AS43" i="47"/>
  <c r="AT42" i="47"/>
  <c r="AS42" i="47"/>
  <c r="AT41" i="47"/>
  <c r="AS41" i="47"/>
  <c r="AT40" i="47"/>
  <c r="AS40" i="47"/>
  <c r="AT39" i="47"/>
  <c r="AS39" i="47"/>
  <c r="AS38" i="47"/>
  <c r="AS37" i="47"/>
  <c r="AS36" i="47"/>
  <c r="AS35" i="47"/>
  <c r="AT32" i="47"/>
  <c r="BL32" i="47" s="1"/>
  <c r="AS32" i="47"/>
  <c r="AT31" i="47"/>
  <c r="BL31" i="47" s="1"/>
  <c r="AS31" i="47"/>
  <c r="AT30" i="47"/>
  <c r="BL30" i="47" s="1"/>
  <c r="AS30" i="47"/>
  <c r="AT29" i="47"/>
  <c r="BL29" i="47" s="1"/>
  <c r="AS29" i="47"/>
  <c r="AT28" i="47"/>
  <c r="BL28" i="47" s="1"/>
  <c r="AS28" i="47"/>
  <c r="AT27" i="47"/>
  <c r="BL27" i="47" s="1"/>
  <c r="AS27" i="47"/>
  <c r="AT26" i="47"/>
  <c r="BL26" i="47" s="1"/>
  <c r="AS26" i="47"/>
  <c r="AT24" i="47"/>
  <c r="BL24" i="47" s="1"/>
  <c r="AS24" i="47"/>
  <c r="AS23" i="47"/>
  <c r="AS22" i="47"/>
  <c r="AT21" i="47"/>
  <c r="BL21" i="47" s="1"/>
  <c r="AS21" i="47"/>
  <c r="AT20" i="47"/>
  <c r="BL20" i="47" s="1"/>
  <c r="AS20" i="47"/>
  <c r="AT19" i="47"/>
  <c r="BL19" i="47" s="1"/>
  <c r="AS19" i="47"/>
  <c r="AT18" i="47"/>
  <c r="BL18" i="47" s="1"/>
  <c r="AS18" i="47"/>
  <c r="AT17" i="47"/>
  <c r="BL17" i="47" s="1"/>
  <c r="AS17" i="47"/>
  <c r="AT15" i="47"/>
  <c r="BL15" i="47" s="1"/>
  <c r="AS15" i="47"/>
  <c r="BJ64" i="33"/>
  <c r="BI64" i="33"/>
  <c r="BJ62" i="33"/>
  <c r="BI62" i="33"/>
  <c r="BJ61" i="33"/>
  <c r="BI61" i="33"/>
  <c r="BJ60" i="33"/>
  <c r="BI60" i="33"/>
  <c r="BJ59" i="33"/>
  <c r="BI59" i="33"/>
  <c r="BJ58" i="33"/>
  <c r="BI58" i="33"/>
  <c r="BJ57" i="33"/>
  <c r="BI57" i="33"/>
  <c r="BJ56" i="33"/>
  <c r="BI56" i="33"/>
  <c r="BJ55" i="33"/>
  <c r="BI55" i="33"/>
  <c r="BJ54" i="33"/>
  <c r="BI54" i="33"/>
  <c r="BJ53" i="33"/>
  <c r="BI53" i="33"/>
  <c r="BJ52" i="33"/>
  <c r="BI52" i="33"/>
  <c r="BJ48" i="33"/>
  <c r="BI48" i="33"/>
  <c r="BJ47" i="33"/>
  <c r="BI47" i="33"/>
  <c r="BJ46" i="33"/>
  <c r="BI46" i="33"/>
  <c r="BJ45" i="33"/>
  <c r="BI45" i="33"/>
  <c r="BJ44" i="33"/>
  <c r="BI44" i="33"/>
  <c r="BJ43" i="33"/>
  <c r="BI43" i="33"/>
  <c r="BJ42" i="33"/>
  <c r="BI42" i="33"/>
  <c r="BJ41" i="33"/>
  <c r="BI41" i="33"/>
  <c r="BJ40" i="33"/>
  <c r="BI40" i="33"/>
  <c r="BJ39" i="33"/>
  <c r="BJ38" i="33"/>
  <c r="BI38" i="33"/>
  <c r="BJ37" i="33"/>
  <c r="BI37" i="33"/>
  <c r="BJ36" i="33"/>
  <c r="BJ35" i="33"/>
  <c r="BI35" i="33"/>
  <c r="BJ34" i="33"/>
  <c r="BI34" i="33"/>
  <c r="BJ33" i="33"/>
  <c r="BI33" i="33"/>
  <c r="BJ32" i="33"/>
  <c r="BI32" i="33"/>
  <c r="BJ31" i="33"/>
  <c r="BI31" i="33"/>
  <c r="BJ30" i="33"/>
  <c r="BI30" i="33"/>
  <c r="BJ28" i="33"/>
  <c r="BI28" i="33"/>
  <c r="BJ27" i="33"/>
  <c r="BI27" i="33"/>
  <c r="BJ26" i="33"/>
  <c r="BI26" i="33"/>
  <c r="BJ25" i="33"/>
  <c r="BI25" i="33"/>
  <c r="BJ23" i="33"/>
  <c r="BI23" i="33"/>
  <c r="BJ22" i="33"/>
  <c r="BI22" i="33"/>
  <c r="BJ21" i="33"/>
  <c r="BI21" i="33"/>
  <c r="BJ19" i="33"/>
  <c r="BI19" i="33"/>
  <c r="BJ18" i="33"/>
  <c r="BI18" i="33"/>
  <c r="BJ17" i="33"/>
  <c r="BI17" i="33"/>
  <c r="BJ16" i="33"/>
  <c r="BI16" i="33"/>
  <c r="BJ15" i="33"/>
  <c r="BI15" i="33"/>
  <c r="BJ14" i="33"/>
  <c r="BI14" i="33"/>
  <c r="BJ13" i="33"/>
  <c r="BI13" i="33"/>
  <c r="BJ12" i="33"/>
  <c r="BI12" i="33"/>
  <c r="BJ11" i="33"/>
  <c r="BI11" i="33"/>
  <c r="BJ10" i="33"/>
  <c r="BI10" i="33"/>
  <c r="BJ9" i="33"/>
  <c r="BI9" i="33"/>
  <c r="BJ8" i="33"/>
  <c r="BI8" i="33"/>
  <c r="BJ7" i="33"/>
  <c r="BI7" i="33"/>
  <c r="BJ6" i="33"/>
  <c r="BI6" i="33"/>
  <c r="BJ5" i="33"/>
  <c r="BI5" i="33"/>
  <c r="BJ4" i="33"/>
  <c r="BJ52" i="32"/>
  <c r="BI52" i="32"/>
  <c r="BJ51" i="32"/>
  <c r="BI51" i="32"/>
  <c r="BJ50" i="32"/>
  <c r="BI50" i="32"/>
  <c r="BJ49" i="32"/>
  <c r="BI49" i="32"/>
  <c r="BJ48" i="32"/>
  <c r="BI48" i="32"/>
  <c r="BJ47" i="32"/>
  <c r="BI47" i="32"/>
  <c r="BJ46" i="32"/>
  <c r="BI46" i="32"/>
  <c r="BJ45" i="32"/>
  <c r="BI45" i="32"/>
  <c r="BJ44" i="32"/>
  <c r="BI44" i="32"/>
  <c r="BJ43" i="32"/>
  <c r="BI43" i="32"/>
  <c r="BJ42" i="32"/>
  <c r="BI42" i="32"/>
  <c r="BJ41" i="32"/>
  <c r="BI41" i="32"/>
  <c r="BJ40" i="32"/>
  <c r="BI40" i="32"/>
  <c r="BJ39" i="32"/>
  <c r="BI39" i="32"/>
  <c r="BJ38" i="32"/>
  <c r="BI38" i="32"/>
  <c r="BJ37" i="32"/>
  <c r="BI37" i="32"/>
  <c r="BJ36" i="32"/>
  <c r="BI36" i="32"/>
  <c r="BJ35" i="32"/>
  <c r="BI35" i="32"/>
  <c r="BJ34" i="32"/>
  <c r="BI34" i="32"/>
  <c r="BJ33" i="32"/>
  <c r="BI33" i="32"/>
  <c r="BJ32" i="32"/>
  <c r="BI32" i="32"/>
  <c r="BJ31" i="32"/>
  <c r="BI31" i="32"/>
  <c r="BJ30" i="32"/>
  <c r="BI30" i="32"/>
  <c r="BJ29" i="32"/>
  <c r="BI29" i="32"/>
  <c r="BJ28" i="32"/>
  <c r="BI28" i="32"/>
  <c r="BJ26" i="32"/>
  <c r="BI26" i="32"/>
  <c r="BJ25" i="32"/>
  <c r="BI25" i="32"/>
  <c r="BJ24" i="32"/>
  <c r="BI24" i="32"/>
  <c r="BJ23" i="32"/>
  <c r="BI23" i="32"/>
  <c r="BJ22" i="32"/>
  <c r="BI22" i="32"/>
  <c r="BJ21" i="32"/>
  <c r="BI21" i="32"/>
  <c r="BJ20" i="32"/>
  <c r="BI20" i="32"/>
  <c r="BJ19" i="32"/>
  <c r="BI19" i="32"/>
  <c r="BJ18" i="32"/>
  <c r="BI18" i="32"/>
  <c r="BI17" i="32"/>
  <c r="BJ16" i="32"/>
  <c r="BJ14" i="32"/>
  <c r="BI14" i="32" s="1"/>
  <c r="BJ13" i="32"/>
  <c r="BJ12" i="32"/>
  <c r="BI12" i="32" s="1"/>
  <c r="BJ11" i="32"/>
  <c r="BJ10" i="32"/>
  <c r="BI10" i="32" s="1"/>
  <c r="BJ9" i="32"/>
  <c r="BJ8" i="32"/>
  <c r="BI8" i="32" s="1"/>
  <c r="BJ7" i="32"/>
  <c r="BJ6" i="32"/>
  <c r="BI6" i="32" s="1"/>
  <c r="BJ5" i="32"/>
  <c r="BY433" i="22"/>
  <c r="BX433" i="22"/>
  <c r="BY432" i="22"/>
  <c r="BX432" i="22"/>
  <c r="BY431" i="22"/>
  <c r="BX431" i="22"/>
  <c r="BY430" i="22"/>
  <c r="BX430" i="22"/>
  <c r="BY429" i="22"/>
  <c r="BX429" i="22"/>
  <c r="BY428" i="22"/>
  <c r="BX428" i="22"/>
  <c r="BY427" i="22"/>
  <c r="BX427" i="22"/>
  <c r="BY426" i="22"/>
  <c r="BX426" i="22"/>
  <c r="BY425" i="22"/>
  <c r="BX425" i="22"/>
  <c r="BY424" i="22"/>
  <c r="BX424" i="22"/>
  <c r="BY423" i="22"/>
  <c r="BX423" i="22"/>
  <c r="BY422" i="22"/>
  <c r="BX422" i="22"/>
  <c r="BY421" i="22"/>
  <c r="BX421" i="22"/>
  <c r="BY420" i="22"/>
  <c r="BX420" i="22"/>
  <c r="BY419" i="22"/>
  <c r="BX419" i="22"/>
  <c r="BY418" i="22"/>
  <c r="BX418" i="22"/>
  <c r="BY417" i="22"/>
  <c r="BX417" i="22"/>
  <c r="BY416" i="22"/>
  <c r="BX416" i="22"/>
  <c r="BY415" i="22"/>
  <c r="BX415" i="22"/>
  <c r="BY414" i="22"/>
  <c r="BX414" i="22"/>
  <c r="BY413" i="22"/>
  <c r="BX413" i="22"/>
  <c r="BY412" i="22"/>
  <c r="BX412" i="22"/>
  <c r="BY411" i="22"/>
  <c r="BX411" i="22"/>
  <c r="BY410" i="22"/>
  <c r="BX410" i="22"/>
  <c r="BY409" i="22"/>
  <c r="BX409" i="22"/>
  <c r="BY408" i="22"/>
  <c r="BX408" i="22"/>
  <c r="BY407" i="22"/>
  <c r="BX407" i="22"/>
  <c r="BY406" i="22"/>
  <c r="BX406" i="22"/>
  <c r="BY405" i="22"/>
  <c r="BX405" i="22"/>
  <c r="BY404" i="22"/>
  <c r="BX404" i="22"/>
  <c r="BY403" i="22"/>
  <c r="BX403" i="22"/>
  <c r="BY402" i="22"/>
  <c r="BX402" i="22"/>
  <c r="BY401" i="22"/>
  <c r="BX401" i="22"/>
  <c r="BY400" i="22"/>
  <c r="BX400" i="22"/>
  <c r="BY399" i="22"/>
  <c r="BX399" i="22"/>
  <c r="BY398" i="22"/>
  <c r="BX398" i="22"/>
  <c r="BY397" i="22"/>
  <c r="BX397" i="22"/>
  <c r="BY396" i="22"/>
  <c r="BX396" i="22"/>
  <c r="BY395" i="22"/>
  <c r="BX395" i="22"/>
  <c r="BY394" i="22"/>
  <c r="BX394" i="22"/>
  <c r="BY393" i="22"/>
  <c r="BX393" i="22"/>
  <c r="BY392" i="22"/>
  <c r="BX392" i="22"/>
  <c r="BY391" i="22"/>
  <c r="BX391" i="22"/>
  <c r="BY390" i="22"/>
  <c r="BX390" i="22"/>
  <c r="BY389" i="22"/>
  <c r="BX389" i="22"/>
  <c r="BY388" i="22"/>
  <c r="BX388" i="22"/>
  <c r="BY387" i="22"/>
  <c r="BX387" i="22"/>
  <c r="BY386" i="22"/>
  <c r="BX386" i="22"/>
  <c r="BY384" i="22"/>
  <c r="BX384" i="22"/>
  <c r="BY383" i="22"/>
  <c r="BX383" i="22"/>
  <c r="BY382" i="22"/>
  <c r="BX382" i="22"/>
  <c r="BY381" i="22"/>
  <c r="BX381" i="22"/>
  <c r="BY380" i="22"/>
  <c r="BX380" i="22"/>
  <c r="BY379" i="22"/>
  <c r="BX379" i="22"/>
  <c r="BY378" i="22"/>
  <c r="BX378" i="22"/>
  <c r="BY377" i="22"/>
  <c r="BX377" i="22"/>
  <c r="BY376" i="22"/>
  <c r="BX376" i="22"/>
  <c r="BY375" i="22"/>
  <c r="BX375" i="22"/>
  <c r="BY374" i="22"/>
  <c r="BX374" i="22"/>
  <c r="BY373" i="22"/>
  <c r="BX373" i="22"/>
  <c r="BY372" i="22"/>
  <c r="BX372" i="22"/>
  <c r="BY371" i="22"/>
  <c r="BX371" i="22"/>
  <c r="BY370" i="22"/>
  <c r="BX370" i="22"/>
  <c r="BY369" i="22"/>
  <c r="BX369" i="22"/>
  <c r="BY368" i="22"/>
  <c r="BX368" i="22"/>
  <c r="BY367" i="22"/>
  <c r="BX367" i="22"/>
  <c r="BY366" i="22"/>
  <c r="BX366" i="22"/>
  <c r="BY365" i="22"/>
  <c r="BX365" i="22"/>
  <c r="BY364" i="22"/>
  <c r="BX364" i="22"/>
  <c r="BY363" i="22"/>
  <c r="BX363" i="22"/>
  <c r="BY362" i="22"/>
  <c r="BX362" i="22"/>
  <c r="BY361" i="22"/>
  <c r="BX361" i="22"/>
  <c r="BY360" i="22"/>
  <c r="BX360" i="22"/>
  <c r="BY359" i="22"/>
  <c r="BX359" i="22"/>
  <c r="BY358" i="22"/>
  <c r="BX358" i="22"/>
  <c r="BY357" i="22"/>
  <c r="BX357" i="22"/>
  <c r="BY356" i="22"/>
  <c r="BX356" i="22"/>
  <c r="BY355" i="22"/>
  <c r="BX355" i="22"/>
  <c r="BY354" i="22"/>
  <c r="BX354" i="22"/>
  <c r="BY353" i="22"/>
  <c r="BX353" i="22"/>
  <c r="BY352" i="22"/>
  <c r="BX352" i="22"/>
  <c r="BY351" i="22"/>
  <c r="BX351" i="22"/>
  <c r="BY350" i="22"/>
  <c r="BX350" i="22"/>
  <c r="BY349" i="22"/>
  <c r="BX349" i="22"/>
  <c r="BY348" i="22"/>
  <c r="BX348" i="22"/>
  <c r="BY347" i="22"/>
  <c r="BX347" i="22"/>
  <c r="BY346" i="22"/>
  <c r="BX346" i="22"/>
  <c r="BY345" i="22"/>
  <c r="BX345" i="22"/>
  <c r="BY344" i="22"/>
  <c r="BX344" i="22"/>
  <c r="BY343" i="22"/>
  <c r="BX343" i="22"/>
  <c r="BY342" i="22"/>
  <c r="BX342" i="22"/>
  <c r="BY341" i="22"/>
  <c r="BX341" i="22"/>
  <c r="BY340" i="22"/>
  <c r="BX340" i="22"/>
  <c r="BY339" i="22"/>
  <c r="BX339" i="22"/>
  <c r="BY338" i="22"/>
  <c r="BX338" i="22"/>
  <c r="BY337" i="22"/>
  <c r="BX337" i="22"/>
  <c r="BY334" i="22"/>
  <c r="BX334" i="22"/>
  <c r="BY333" i="22"/>
  <c r="BX333" i="22"/>
  <c r="BX332" i="22"/>
  <c r="BY330" i="22"/>
  <c r="BX330" i="22"/>
  <c r="BY329" i="22"/>
  <c r="BY314" i="22"/>
  <c r="BX313" i="22"/>
  <c r="BY312" i="22"/>
  <c r="BY309" i="22"/>
  <c r="BX307" i="22"/>
  <c r="BY307" i="22"/>
  <c r="BY306" i="22"/>
  <c r="BX306" i="22"/>
  <c r="BX305" i="22"/>
  <c r="BY303" i="22"/>
  <c r="BX303" i="22"/>
  <c r="BY302" i="22"/>
  <c r="BX302" i="22"/>
  <c r="BY301" i="22"/>
  <c r="BX301" i="22"/>
  <c r="BY300" i="22"/>
  <c r="BX300" i="22"/>
  <c r="BY299" i="22"/>
  <c r="BX299" i="22"/>
  <c r="BY298" i="22"/>
  <c r="BX298" i="22"/>
  <c r="BY297" i="22"/>
  <c r="BX297" i="22"/>
  <c r="BY296" i="22"/>
  <c r="BX296" i="22"/>
  <c r="BY295" i="22"/>
  <c r="BY294" i="22"/>
  <c r="BY292" i="22"/>
  <c r="BX292" i="22"/>
  <c r="BY291" i="22"/>
  <c r="BX291" i="22"/>
  <c r="BY290" i="22"/>
  <c r="BX290" i="22"/>
  <c r="BY289" i="22"/>
  <c r="BX289" i="22"/>
  <c r="BY287" i="22"/>
  <c r="BX287" i="22"/>
  <c r="BY286" i="22"/>
  <c r="BX286" i="22"/>
  <c r="BY285" i="22"/>
  <c r="BX285" i="22"/>
  <c r="BY284" i="22"/>
  <c r="BX284" i="22"/>
  <c r="BY283" i="22"/>
  <c r="BX283" i="22"/>
  <c r="BY282" i="22"/>
  <c r="BX282" i="22"/>
  <c r="BY281" i="22"/>
  <c r="BX281" i="22"/>
  <c r="BX280" i="22"/>
  <c r="BY280" i="22"/>
  <c r="BY279" i="22"/>
  <c r="BY278" i="22"/>
  <c r="BX278" i="22"/>
  <c r="BY277" i="22"/>
  <c r="BY275" i="22"/>
  <c r="BX275" i="22"/>
  <c r="BY274" i="22"/>
  <c r="BX274" i="22"/>
  <c r="BY273" i="22"/>
  <c r="BX273" i="22"/>
  <c r="BY271" i="22"/>
  <c r="BX271" i="22"/>
  <c r="BY270" i="22"/>
  <c r="BX270" i="22"/>
  <c r="BY269" i="22"/>
  <c r="BX269" i="22"/>
  <c r="BY268" i="22"/>
  <c r="BX268" i="22"/>
  <c r="BY267" i="22"/>
  <c r="BX267" i="22"/>
  <c r="BY266" i="22"/>
  <c r="BX266" i="22"/>
  <c r="BY265" i="22"/>
  <c r="BX265" i="22"/>
  <c r="BY263" i="22"/>
  <c r="BX263" i="22"/>
  <c r="BY262" i="22"/>
  <c r="BY261" i="22"/>
  <c r="BY259" i="22"/>
  <c r="BX259" i="22"/>
  <c r="BY258" i="22"/>
  <c r="BX258" i="22"/>
  <c r="BY257" i="22"/>
  <c r="BX257" i="22"/>
  <c r="BY256" i="22"/>
  <c r="BX256" i="22"/>
  <c r="BY255" i="22"/>
  <c r="BX255" i="22"/>
  <c r="BY254" i="22"/>
  <c r="BX254" i="22"/>
  <c r="BY253" i="22"/>
  <c r="BX253" i="22"/>
  <c r="BY252" i="22"/>
  <c r="BX252" i="22"/>
  <c r="BY251" i="22"/>
  <c r="BX251" i="22"/>
  <c r="BY250" i="22"/>
  <c r="BX250" i="22"/>
  <c r="BY249" i="22"/>
  <c r="BX249" i="22"/>
  <c r="BY246" i="22"/>
  <c r="BY245" i="22"/>
  <c r="BX245" i="22"/>
  <c r="BY243" i="22"/>
  <c r="BX243" i="22"/>
  <c r="BY242" i="22"/>
  <c r="BX242" i="22"/>
  <c r="BY241" i="22"/>
  <c r="BX241" i="22"/>
  <c r="BY240" i="22"/>
  <c r="BY239" i="22"/>
  <c r="BX239" i="22"/>
  <c r="BY238" i="22"/>
  <c r="BX238" i="22"/>
  <c r="BY237" i="22"/>
  <c r="BX237" i="22"/>
  <c r="BY236" i="22"/>
  <c r="BX236" i="22"/>
  <c r="BY235" i="22"/>
  <c r="BX235" i="22"/>
  <c r="BY234" i="22"/>
  <c r="BX234" i="22"/>
  <c r="BY233" i="22"/>
  <c r="BX233" i="22"/>
  <c r="BY232" i="22"/>
  <c r="BY230" i="22"/>
  <c r="BX230" i="22"/>
  <c r="BY229" i="22"/>
  <c r="BY228" i="22"/>
  <c r="BY227" i="22"/>
  <c r="BX227" i="22"/>
  <c r="BY226" i="22"/>
  <c r="BX226" i="22"/>
  <c r="BY225" i="22"/>
  <c r="BX225" i="22"/>
  <c r="BY224" i="22"/>
  <c r="BY223" i="22"/>
  <c r="BX223" i="22"/>
  <c r="BY222" i="22"/>
  <c r="BX222" i="22"/>
  <c r="BY221" i="22"/>
  <c r="BX221" i="22"/>
  <c r="BY220" i="22"/>
  <c r="BX220" i="22"/>
  <c r="BY219" i="22"/>
  <c r="BX219" i="22"/>
  <c r="BY218" i="22"/>
  <c r="BX218" i="22"/>
  <c r="BY217" i="22"/>
  <c r="BX217" i="22"/>
  <c r="BY216" i="22"/>
  <c r="BX216" i="22"/>
  <c r="BY215" i="22"/>
  <c r="BY214" i="22"/>
  <c r="BY213" i="22"/>
  <c r="BY212" i="22"/>
  <c r="BX212" i="22"/>
  <c r="BY211" i="22"/>
  <c r="BX211" i="22"/>
  <c r="BY210" i="22"/>
  <c r="BX210" i="22"/>
  <c r="BY209" i="22"/>
  <c r="BX209" i="22"/>
  <c r="BX203" i="22"/>
  <c r="BX202" i="22"/>
  <c r="BX201" i="22"/>
  <c r="BX200" i="22"/>
  <c r="BX199" i="22"/>
  <c r="BX198" i="22"/>
  <c r="BX197" i="22"/>
  <c r="BX196" i="22"/>
  <c r="BX195" i="22"/>
  <c r="BX194" i="22"/>
  <c r="BX193" i="22"/>
  <c r="BX192" i="22"/>
  <c r="BX191" i="22"/>
  <c r="BX190" i="22"/>
  <c r="BX189" i="22"/>
  <c r="BX188" i="22"/>
  <c r="BX187" i="22"/>
  <c r="BX186" i="22"/>
  <c r="BX185" i="22"/>
  <c r="BX184" i="22"/>
  <c r="BX183" i="22"/>
  <c r="BX182" i="22"/>
  <c r="BX181" i="22"/>
  <c r="BX180" i="22"/>
  <c r="BX179" i="22"/>
  <c r="BX178" i="22"/>
  <c r="BX177" i="22"/>
  <c r="BX176" i="22"/>
  <c r="BX175" i="22"/>
  <c r="BX174" i="22"/>
  <c r="BX173" i="22"/>
  <c r="BX172" i="22"/>
  <c r="BX170" i="22"/>
  <c r="BX169" i="22"/>
  <c r="BX168" i="22"/>
  <c r="BX167" i="22"/>
  <c r="BX166" i="22"/>
  <c r="BX165" i="22"/>
  <c r="BX164" i="22"/>
  <c r="BX163" i="22"/>
  <c r="BX162" i="22"/>
  <c r="BX161" i="22"/>
  <c r="BX160" i="22"/>
  <c r="BX159" i="22"/>
  <c r="BX158" i="22"/>
  <c r="BX157" i="22"/>
  <c r="BX156" i="22"/>
  <c r="BX155" i="22"/>
  <c r="BX154" i="22"/>
  <c r="BX153" i="22"/>
  <c r="BX152" i="22"/>
  <c r="BX151" i="22"/>
  <c r="BX150" i="22"/>
  <c r="BX149" i="22"/>
  <c r="BX148" i="22"/>
  <c r="BX147" i="22"/>
  <c r="BX146" i="22"/>
  <c r="BX145" i="22"/>
  <c r="BX144" i="22"/>
  <c r="BX143" i="22"/>
  <c r="BX142" i="22"/>
  <c r="BX141" i="22"/>
  <c r="BX140" i="22"/>
  <c r="BX139" i="22"/>
  <c r="BX137" i="22"/>
  <c r="BX136" i="22"/>
  <c r="BX135" i="22"/>
  <c r="BX134" i="22"/>
  <c r="BX133" i="22"/>
  <c r="BX132" i="22"/>
  <c r="BX131" i="22"/>
  <c r="BX130" i="22"/>
  <c r="BX129" i="22"/>
  <c r="BX128" i="22"/>
  <c r="BX127" i="22"/>
  <c r="BX126" i="22"/>
  <c r="BX125" i="22"/>
  <c r="BX124" i="22"/>
  <c r="BX123" i="22"/>
  <c r="BX122" i="22"/>
  <c r="BX121" i="22"/>
  <c r="BX120" i="22"/>
  <c r="BX119" i="22"/>
  <c r="BX118" i="22"/>
  <c r="BX117" i="22"/>
  <c r="BX116" i="22"/>
  <c r="BX115" i="22"/>
  <c r="BX114" i="22"/>
  <c r="BX113" i="22"/>
  <c r="BX112" i="22"/>
  <c r="BX111" i="22"/>
  <c r="BX110" i="22"/>
  <c r="BX109" i="22"/>
  <c r="BX108" i="22"/>
  <c r="BX107" i="22"/>
  <c r="BX106" i="22"/>
  <c r="BX105" i="22"/>
  <c r="BX104" i="22"/>
  <c r="BX103" i="22"/>
  <c r="BX102" i="22"/>
  <c r="BX101" i="22"/>
  <c r="BX100" i="22"/>
  <c r="BX99" i="22"/>
  <c r="BX98" i="22"/>
  <c r="BX97" i="22"/>
  <c r="BX96" i="22"/>
  <c r="BX95" i="22"/>
  <c r="BX94" i="22"/>
  <c r="BX93" i="22"/>
  <c r="BX92" i="22"/>
  <c r="BX91" i="22"/>
  <c r="BX90" i="22"/>
  <c r="BX89" i="22"/>
  <c r="BX88" i="22"/>
  <c r="BX87" i="22"/>
  <c r="BX86" i="22"/>
  <c r="BX85" i="22"/>
  <c r="BX84" i="22"/>
  <c r="BX83" i="22"/>
  <c r="BX82" i="22"/>
  <c r="BX81" i="22"/>
  <c r="BX60" i="22"/>
  <c r="BX59" i="22"/>
  <c r="BX58" i="22"/>
  <c r="BX57" i="22"/>
  <c r="BX56" i="22"/>
  <c r="BX55" i="22"/>
  <c r="BX54" i="22"/>
  <c r="BX53" i="22"/>
  <c r="BX52" i="22"/>
  <c r="BX51" i="22"/>
  <c r="BX50" i="22"/>
  <c r="BX49" i="22"/>
  <c r="BX48" i="22"/>
  <c r="BX47" i="22"/>
  <c r="BX46" i="22"/>
  <c r="BX45" i="22"/>
  <c r="BX44" i="22"/>
  <c r="BX43" i="22"/>
  <c r="BX42" i="22"/>
  <c r="BX41" i="22"/>
  <c r="BX40" i="22"/>
  <c r="BX39" i="22"/>
  <c r="BX38" i="22"/>
  <c r="BX37" i="22"/>
  <c r="BX36" i="22"/>
  <c r="BX35" i="22"/>
  <c r="BX34" i="22"/>
  <c r="BX33" i="22"/>
  <c r="BX32" i="22"/>
  <c r="BX31" i="22"/>
  <c r="BX30" i="22"/>
  <c r="BX29" i="22"/>
  <c r="BX28" i="22"/>
  <c r="BX27" i="22"/>
  <c r="BX26" i="22"/>
  <c r="BX25" i="22"/>
  <c r="BX24" i="22"/>
  <c r="BX23" i="22"/>
  <c r="BX22" i="22"/>
  <c r="BX21" i="22"/>
  <c r="BX20" i="22"/>
  <c r="BX19" i="22"/>
  <c r="BX18" i="22"/>
  <c r="BX17" i="22"/>
  <c r="BX16" i="22"/>
  <c r="BX15" i="22"/>
  <c r="BX14" i="22"/>
  <c r="BX13" i="22"/>
  <c r="BX12" i="22"/>
  <c r="BX11" i="22"/>
  <c r="BX10" i="22"/>
  <c r="BX9" i="22"/>
  <c r="BX8" i="22"/>
  <c r="BX7" i="22"/>
  <c r="BX6" i="22"/>
  <c r="BX5" i="22"/>
  <c r="BX4" i="22"/>
  <c r="A1" i="36"/>
  <c r="A1" i="22"/>
  <c r="A1" i="53"/>
  <c r="A1" i="56"/>
  <c r="A1" i="34"/>
  <c r="A1" i="47"/>
  <c r="A1" i="33"/>
  <c r="A1" i="32"/>
  <c r="A1" i="43"/>
  <c r="BF12" i="43"/>
  <c r="BL12" i="43" s="1"/>
  <c r="BF11" i="43"/>
  <c r="BL11" i="43" s="1"/>
  <c r="BG10" i="43"/>
  <c r="BP10" i="43" s="1"/>
  <c r="BQ10" i="43" s="1"/>
  <c r="BL10" i="43"/>
  <c r="BG9" i="43"/>
  <c r="BP9" i="43" s="1"/>
  <c r="BQ9" i="43" s="1"/>
  <c r="BF8" i="43"/>
  <c r="BL8" i="43" s="1"/>
  <c r="BG7" i="43"/>
  <c r="BP7" i="43" s="1"/>
  <c r="BQ7" i="43" s="1"/>
  <c r="BF7" i="43"/>
  <c r="BL7" i="43" s="1"/>
  <c r="BG6" i="43"/>
  <c r="BP6" i="43" s="1"/>
  <c r="BQ6" i="43" s="1"/>
  <c r="R19" i="17" a="1"/>
  <c r="R10" i="17" a="1"/>
  <c r="R22" i="17" a="1"/>
  <c r="R13" i="17" a="1"/>
  <c r="R16" i="17" a="1"/>
  <c r="BJ36" i="47" l="1"/>
  <c r="BK15" i="47"/>
  <c r="BK31" i="47"/>
  <c r="BK17" i="47"/>
  <c r="BK6" i="47"/>
  <c r="BJ43" i="47"/>
  <c r="BK7" i="47"/>
  <c r="BK24" i="47"/>
  <c r="BK9" i="47"/>
  <c r="BJ35" i="47"/>
  <c r="BK11" i="47"/>
  <c r="BK12" i="47"/>
  <c r="BJ37" i="47"/>
  <c r="BK16" i="47"/>
  <c r="BK32" i="47"/>
  <c r="BJ38" i="47"/>
  <c r="BK23" i="47"/>
  <c r="BJ45" i="47"/>
  <c r="BJ39" i="47"/>
  <c r="BK18" i="47"/>
  <c r="BJ42" i="47"/>
  <c r="BJ44" i="47"/>
  <c r="BK25" i="47"/>
  <c r="BK10" i="47"/>
  <c r="BI35" i="47"/>
  <c r="BK28" i="47"/>
  <c r="BJ40" i="47"/>
  <c r="BK19" i="47"/>
  <c r="BJ41" i="47"/>
  <c r="BK20" i="47"/>
  <c r="BK21" i="47"/>
  <c r="BK22" i="47"/>
  <c r="BK8" i="47"/>
  <c r="BJ46" i="47"/>
  <c r="BK27" i="47"/>
  <c r="BK13" i="47"/>
  <c r="BK30" i="47"/>
  <c r="BK26" i="47"/>
  <c r="BK29" i="47"/>
  <c r="BK14" i="47"/>
  <c r="BJ13" i="47"/>
  <c r="BJ29" i="47"/>
  <c r="BI22" i="47"/>
  <c r="BJ32" i="47"/>
  <c r="BI46" i="47"/>
  <c r="BJ19" i="47"/>
  <c r="BI45" i="47"/>
  <c r="BI15" i="47"/>
  <c r="BJ7" i="47"/>
  <c r="BI41" i="47"/>
  <c r="BI6" i="47"/>
  <c r="BI39" i="47"/>
  <c r="BJ10" i="47"/>
  <c r="BJ11" i="47"/>
  <c r="BI20" i="47"/>
  <c r="BJ12" i="47"/>
  <c r="BJ14" i="47"/>
  <c r="BJ30" i="47"/>
  <c r="BI7" i="47"/>
  <c r="BI23" i="47"/>
  <c r="BI9" i="47"/>
  <c r="BJ18" i="47"/>
  <c r="BI29" i="47"/>
  <c r="BI31" i="47"/>
  <c r="BI17" i="47"/>
  <c r="BI38" i="47"/>
  <c r="BJ28" i="47"/>
  <c r="BJ15" i="47"/>
  <c r="BJ31" i="47"/>
  <c r="BI8" i="47"/>
  <c r="BI24" i="47"/>
  <c r="BI28" i="47"/>
  <c r="BJ20" i="47"/>
  <c r="BI43" i="47"/>
  <c r="BI42" i="47"/>
  <c r="BJ23" i="47"/>
  <c r="BI16" i="47"/>
  <c r="BJ8" i="47"/>
  <c r="BJ16" i="47"/>
  <c r="BI25" i="47"/>
  <c r="BI12" i="47"/>
  <c r="BI44" i="47"/>
  <c r="BI19" i="47"/>
  <c r="BJ27" i="47"/>
  <c r="BI21" i="47"/>
  <c r="BJ17" i="47"/>
  <c r="BJ6" i="47"/>
  <c r="BI10" i="47"/>
  <c r="BI26" i="47"/>
  <c r="BI27" i="47"/>
  <c r="BI13" i="47"/>
  <c r="BJ21" i="47"/>
  <c r="BI14" i="47"/>
  <c r="BI32" i="47"/>
  <c r="BJ24" i="47"/>
  <c r="BJ9" i="47"/>
  <c r="BI18" i="47"/>
  <c r="BJ26" i="47"/>
  <c r="BI37" i="47"/>
  <c r="BI36" i="47"/>
  <c r="BI11" i="47"/>
  <c r="BI30" i="47"/>
  <c r="BJ22" i="47"/>
  <c r="BI40" i="47"/>
  <c r="BJ25" i="47"/>
  <c r="R5" i="48"/>
  <c r="R10" i="17"/>
  <c r="R19" i="17"/>
  <c r="R22" i="17"/>
  <c r="R16" i="17"/>
  <c r="R13" i="17"/>
  <c r="BI5" i="32"/>
  <c r="BI11" i="32"/>
  <c r="BI13" i="32"/>
  <c r="BI9" i="32"/>
  <c r="BI7" i="32"/>
  <c r="BX73" i="22"/>
  <c r="BI20" i="33"/>
  <c r="BO9" i="33"/>
  <c r="BL15" i="33"/>
  <c r="BO20" i="33"/>
  <c r="BO26" i="33"/>
  <c r="BO31" i="33"/>
  <c r="BL37" i="33"/>
  <c r="BN42" i="33"/>
  <c r="BO47" i="33"/>
  <c r="BL53" i="33"/>
  <c r="BN58" i="33"/>
  <c r="BO63" i="33"/>
  <c r="BN23" i="33"/>
  <c r="BL10" i="33"/>
  <c r="BN15" i="33"/>
  <c r="BL21" i="33"/>
  <c r="BL27" i="33"/>
  <c r="BL32" i="33"/>
  <c r="BN37" i="33"/>
  <c r="BO42" i="33"/>
  <c r="BL48" i="33"/>
  <c r="BN53" i="33"/>
  <c r="BO58" i="33"/>
  <c r="BL64" i="33"/>
  <c r="BL5" i="33"/>
  <c r="BN10" i="33"/>
  <c r="BO15" i="33"/>
  <c r="BN21" i="33"/>
  <c r="BN27" i="33"/>
  <c r="BN32" i="33"/>
  <c r="BO37" i="33"/>
  <c r="BL43" i="33"/>
  <c r="BN48" i="33"/>
  <c r="BO53" i="33"/>
  <c r="BL59" i="33"/>
  <c r="BN64" i="33"/>
  <c r="BN5" i="33"/>
  <c r="BO10" i="33"/>
  <c r="BL16" i="33"/>
  <c r="BO21" i="33"/>
  <c r="BO27" i="33"/>
  <c r="BO32" i="33"/>
  <c r="BL38" i="33"/>
  <c r="BN43" i="33"/>
  <c r="BO48" i="33"/>
  <c r="BL54" i="33"/>
  <c r="BN59" i="33"/>
  <c r="BO64" i="33"/>
  <c r="BO5" i="33"/>
  <c r="BL11" i="33"/>
  <c r="BN16" i="33"/>
  <c r="BL22" i="33"/>
  <c r="BL28" i="33"/>
  <c r="BL33" i="33"/>
  <c r="BN38" i="33"/>
  <c r="BO43" i="33"/>
  <c r="BL49" i="33"/>
  <c r="BN54" i="33"/>
  <c r="BO59" i="33"/>
  <c r="BO4" i="33"/>
  <c r="BL6" i="33"/>
  <c r="BN11" i="33"/>
  <c r="BO16" i="33"/>
  <c r="BN22" i="33"/>
  <c r="BN28" i="33"/>
  <c r="BN33" i="33"/>
  <c r="BO38" i="33"/>
  <c r="BL44" i="33"/>
  <c r="BN49" i="33"/>
  <c r="BO54" i="33"/>
  <c r="BL60" i="33"/>
  <c r="BN4" i="33"/>
  <c r="BN6" i="33"/>
  <c r="BO11" i="33"/>
  <c r="BL17" i="33"/>
  <c r="BO22" i="33"/>
  <c r="BO28" i="33"/>
  <c r="BO33" i="33"/>
  <c r="BL39" i="33"/>
  <c r="BN44" i="33"/>
  <c r="BO49" i="33"/>
  <c r="BL55" i="33"/>
  <c r="BN60" i="33"/>
  <c r="BL4" i="33"/>
  <c r="BO6" i="33"/>
  <c r="BL12" i="33"/>
  <c r="BN17" i="33"/>
  <c r="BL23" i="33"/>
  <c r="BL29" i="33"/>
  <c r="BL34" i="33"/>
  <c r="BN39" i="33"/>
  <c r="BO44" i="33"/>
  <c r="BL50" i="33"/>
  <c r="BN55" i="33"/>
  <c r="BO60" i="33"/>
  <c r="BL7" i="33"/>
  <c r="BN12" i="33"/>
  <c r="BO17" i="33"/>
  <c r="BO23" i="33"/>
  <c r="BN34" i="33"/>
  <c r="BO39" i="33"/>
  <c r="BL45" i="33"/>
  <c r="BN50" i="33"/>
  <c r="BO55" i="33"/>
  <c r="BL61" i="33"/>
  <c r="BN7" i="33"/>
  <c r="BO12" i="33"/>
  <c r="BL18" i="33"/>
  <c r="BL24" i="33"/>
  <c r="BN29" i="33"/>
  <c r="BO34" i="33"/>
  <c r="BL40" i="33"/>
  <c r="BN45" i="33"/>
  <c r="BO50" i="33"/>
  <c r="BL56" i="33"/>
  <c r="BN61" i="33"/>
  <c r="BO7" i="33"/>
  <c r="BL13" i="33"/>
  <c r="BN18" i="33"/>
  <c r="BO24" i="33"/>
  <c r="BO29" i="33"/>
  <c r="BL35" i="33"/>
  <c r="BN40" i="33"/>
  <c r="BO45" i="33"/>
  <c r="BL51" i="33"/>
  <c r="BN56" i="33"/>
  <c r="BO61" i="33"/>
  <c r="BL8" i="33"/>
  <c r="BN13" i="33"/>
  <c r="BO18" i="33"/>
  <c r="BL25" i="33"/>
  <c r="BL30" i="33"/>
  <c r="BN35" i="33"/>
  <c r="BO40" i="33"/>
  <c r="BL46" i="33"/>
  <c r="BN51" i="33"/>
  <c r="BO56" i="33"/>
  <c r="BL62" i="33"/>
  <c r="BN8" i="33"/>
  <c r="BO13" i="33"/>
  <c r="BL19" i="33"/>
  <c r="BN25" i="33"/>
  <c r="BN30" i="33"/>
  <c r="BO35" i="33"/>
  <c r="BL41" i="33"/>
  <c r="BN46" i="33"/>
  <c r="BO51" i="33"/>
  <c r="BL57" i="33"/>
  <c r="BN62" i="33"/>
  <c r="BO8" i="33"/>
  <c r="BL14" i="33"/>
  <c r="BN19" i="33"/>
  <c r="BO25" i="33"/>
  <c r="BO30" i="33"/>
  <c r="BL36" i="33"/>
  <c r="BN41" i="33"/>
  <c r="BO46" i="33"/>
  <c r="BL52" i="33"/>
  <c r="BN57" i="33"/>
  <c r="BO62" i="33"/>
  <c r="BL9" i="33"/>
  <c r="BN14" i="33"/>
  <c r="BO19" i="33"/>
  <c r="BL26" i="33"/>
  <c r="BL31" i="33"/>
  <c r="BN36" i="33"/>
  <c r="BO41" i="33"/>
  <c r="BL47" i="33"/>
  <c r="BN52" i="33"/>
  <c r="BO57" i="33"/>
  <c r="BL63" i="33"/>
  <c r="BN9" i="33"/>
  <c r="BO14" i="33"/>
  <c r="BL20" i="33"/>
  <c r="BN26" i="33"/>
  <c r="BN31" i="33"/>
  <c r="BO36" i="33"/>
  <c r="BL42" i="33"/>
  <c r="BN47" i="33"/>
  <c r="BO52" i="33"/>
  <c r="BL58" i="33"/>
  <c r="BN63" i="33"/>
  <c r="BN5" i="53"/>
  <c r="BO7" i="36"/>
  <c r="BO12" i="36"/>
  <c r="BO17" i="36"/>
  <c r="BO21" i="36"/>
  <c r="BO25" i="36"/>
  <c r="BO29" i="36"/>
  <c r="BO33" i="36"/>
  <c r="BO37" i="36"/>
  <c r="BL42" i="36"/>
  <c r="BN47" i="36"/>
  <c r="BO52" i="36"/>
  <c r="BL58" i="36"/>
  <c r="BN63" i="36"/>
  <c r="BO68" i="36"/>
  <c r="BL74" i="36"/>
  <c r="BL8" i="36"/>
  <c r="BL13" i="36"/>
  <c r="BL18" i="36"/>
  <c r="BL22" i="36"/>
  <c r="BL26" i="36"/>
  <c r="BL30" i="36"/>
  <c r="BL34" i="36"/>
  <c r="BL38" i="36"/>
  <c r="BN42" i="36"/>
  <c r="BO47" i="36"/>
  <c r="BL53" i="36"/>
  <c r="BN58" i="36"/>
  <c r="BO63" i="36"/>
  <c r="BL69" i="36"/>
  <c r="BN74" i="36"/>
  <c r="BN8" i="36"/>
  <c r="BN13" i="36"/>
  <c r="BO42" i="36"/>
  <c r="BL48" i="36"/>
  <c r="BN53" i="36"/>
  <c r="BO58" i="36"/>
  <c r="BL64" i="36"/>
  <c r="BN69" i="36"/>
  <c r="BO74" i="36"/>
  <c r="BO8" i="36"/>
  <c r="BO13" i="36"/>
  <c r="BN18" i="36"/>
  <c r="BN22" i="36"/>
  <c r="BN26" i="36"/>
  <c r="BN30" i="36"/>
  <c r="BN34" i="36"/>
  <c r="BN38" i="36"/>
  <c r="BL43" i="36"/>
  <c r="BN48" i="36"/>
  <c r="BO53" i="36"/>
  <c r="BL59" i="36"/>
  <c r="BN64" i="36"/>
  <c r="BO69" i="36"/>
  <c r="BL9" i="36"/>
  <c r="BL14" i="36"/>
  <c r="BO18" i="36"/>
  <c r="BO22" i="36"/>
  <c r="BO26" i="36"/>
  <c r="BO30" i="36"/>
  <c r="BO34" i="36"/>
  <c r="BO38" i="36"/>
  <c r="BN43" i="36"/>
  <c r="BO48" i="36"/>
  <c r="BL54" i="36"/>
  <c r="BN59" i="36"/>
  <c r="BO64" i="36"/>
  <c r="BL70" i="36"/>
  <c r="BO4" i="36"/>
  <c r="BN9" i="36"/>
  <c r="BN14" i="36"/>
  <c r="BL19" i="36"/>
  <c r="BL23" i="36"/>
  <c r="BL27" i="36"/>
  <c r="BL31" i="36"/>
  <c r="BL35" i="36"/>
  <c r="BL39" i="36"/>
  <c r="BO43" i="36"/>
  <c r="BL49" i="36"/>
  <c r="BN54" i="36"/>
  <c r="BO59" i="36"/>
  <c r="BL65" i="36"/>
  <c r="BN70" i="36"/>
  <c r="BN4" i="36"/>
  <c r="BO9" i="36"/>
  <c r="BO14" i="36"/>
  <c r="BL44" i="36"/>
  <c r="BN49" i="36"/>
  <c r="BO54" i="36"/>
  <c r="BL60" i="36"/>
  <c r="BN65" i="36"/>
  <c r="BO70" i="36"/>
  <c r="BL4" i="36"/>
  <c r="BL10" i="36"/>
  <c r="BL15" i="36"/>
  <c r="BN19" i="36"/>
  <c r="BN23" i="36"/>
  <c r="BN27" i="36"/>
  <c r="BN31" i="36"/>
  <c r="BN35" i="36"/>
  <c r="BN39" i="36"/>
  <c r="BN44" i="36"/>
  <c r="BO49" i="36"/>
  <c r="BL55" i="36"/>
  <c r="BN60" i="36"/>
  <c r="BO65" i="36"/>
  <c r="BL71" i="36"/>
  <c r="BL5" i="36"/>
  <c r="BN10" i="36"/>
  <c r="BN15" i="36"/>
  <c r="BO19" i="36"/>
  <c r="BO23" i="36"/>
  <c r="BO27" i="36"/>
  <c r="BO31" i="36"/>
  <c r="BO35" i="36"/>
  <c r="BO39" i="36"/>
  <c r="BO44" i="36"/>
  <c r="BL50" i="36"/>
  <c r="BN55" i="36"/>
  <c r="BO60" i="36"/>
  <c r="BL66" i="36"/>
  <c r="BN71" i="36"/>
  <c r="BN5" i="36"/>
  <c r="BO10" i="36"/>
  <c r="BO15" i="36"/>
  <c r="BL20" i="36"/>
  <c r="BL24" i="36"/>
  <c r="BL28" i="36"/>
  <c r="BL32" i="36"/>
  <c r="BL36" i="36"/>
  <c r="BL40" i="36"/>
  <c r="BL45" i="36"/>
  <c r="BN50" i="36"/>
  <c r="BO55" i="36"/>
  <c r="BL61" i="36"/>
  <c r="BN66" i="36"/>
  <c r="BO71" i="36"/>
  <c r="BO5" i="36"/>
  <c r="BL11" i="36"/>
  <c r="BL16" i="36"/>
  <c r="BN45" i="36"/>
  <c r="BO50" i="36"/>
  <c r="BL56" i="36"/>
  <c r="BN61" i="36"/>
  <c r="BO66" i="36"/>
  <c r="BL72" i="36"/>
  <c r="BL6" i="36"/>
  <c r="BN11" i="36"/>
  <c r="BN16" i="36"/>
  <c r="BN20" i="36"/>
  <c r="BN24" i="36"/>
  <c r="BN28" i="36"/>
  <c r="BN32" i="36"/>
  <c r="BN36" i="36"/>
  <c r="BN40" i="36"/>
  <c r="BO45" i="36"/>
  <c r="BL51" i="36"/>
  <c r="BN56" i="36"/>
  <c r="BO61" i="36"/>
  <c r="BL67" i="36"/>
  <c r="BN72" i="36"/>
  <c r="BN6" i="36"/>
  <c r="BO11" i="36"/>
  <c r="BO16" i="36"/>
  <c r="BO20" i="36"/>
  <c r="BO24" i="36"/>
  <c r="BO28" i="36"/>
  <c r="BO32" i="36"/>
  <c r="BO36" i="36"/>
  <c r="BO40" i="36"/>
  <c r="BL46" i="36"/>
  <c r="BN51" i="36"/>
  <c r="BO56" i="36"/>
  <c r="BL62" i="36"/>
  <c r="BN67" i="36"/>
  <c r="BO72" i="36"/>
  <c r="BO6" i="36"/>
  <c r="BL12" i="36"/>
  <c r="BL17" i="36"/>
  <c r="BL21" i="36"/>
  <c r="BL25" i="36"/>
  <c r="BL29" i="36"/>
  <c r="BL33" i="36"/>
  <c r="BL37" i="36"/>
  <c r="BL41" i="36"/>
  <c r="BN46" i="36"/>
  <c r="BO51" i="36"/>
  <c r="BL57" i="36"/>
  <c r="BN62" i="36"/>
  <c r="BO67" i="36"/>
  <c r="BL73" i="36"/>
  <c r="BL7" i="36"/>
  <c r="BN41" i="36"/>
  <c r="BO46" i="36"/>
  <c r="BL52" i="36"/>
  <c r="BN57" i="36"/>
  <c r="BO62" i="36"/>
  <c r="BL68" i="36"/>
  <c r="BN73" i="36"/>
  <c r="BN7" i="36"/>
  <c r="BN12" i="36"/>
  <c r="BN17" i="36"/>
  <c r="BN21" i="36"/>
  <c r="BN25" i="36"/>
  <c r="BN29" i="36"/>
  <c r="BN33" i="36"/>
  <c r="BN37" i="36"/>
  <c r="BO41" i="36"/>
  <c r="BL47" i="36"/>
  <c r="BN52" i="36"/>
  <c r="BO57" i="36"/>
  <c r="BL63" i="36"/>
  <c r="BN68" i="36"/>
  <c r="BO73" i="36"/>
  <c r="BL6" i="56"/>
  <c r="BL11" i="56"/>
  <c r="BL16" i="56"/>
  <c r="BL21" i="56"/>
  <c r="BL26" i="56"/>
  <c r="BN31" i="56"/>
  <c r="BN36" i="56"/>
  <c r="BN41" i="56"/>
  <c r="BO46" i="56"/>
  <c r="BL52" i="56"/>
  <c r="BN57" i="56"/>
  <c r="BN11" i="56"/>
  <c r="BN16" i="56"/>
  <c r="BN21" i="56"/>
  <c r="BN26" i="56"/>
  <c r="BO31" i="56"/>
  <c r="BO36" i="56"/>
  <c r="BO41" i="56"/>
  <c r="BL47" i="56"/>
  <c r="BN52" i="56"/>
  <c r="BO57" i="56"/>
  <c r="BN6" i="56"/>
  <c r="BO11" i="56"/>
  <c r="BO16" i="56"/>
  <c r="BO21" i="56"/>
  <c r="BO26" i="56"/>
  <c r="BL32" i="56"/>
  <c r="BL37" i="56"/>
  <c r="BL42" i="56"/>
  <c r="BN47" i="56"/>
  <c r="BO52" i="56"/>
  <c r="BO4" i="56"/>
  <c r="BO6" i="56"/>
  <c r="BL12" i="56"/>
  <c r="BL17" i="56"/>
  <c r="BL22" i="56"/>
  <c r="BL27" i="56"/>
  <c r="BN32" i="56"/>
  <c r="BN37" i="56"/>
  <c r="BN42" i="56"/>
  <c r="BO47" i="56"/>
  <c r="BL53" i="56"/>
  <c r="BN4" i="56"/>
  <c r="BL7" i="56"/>
  <c r="BN17" i="56"/>
  <c r="BN22" i="56"/>
  <c r="BN27" i="56"/>
  <c r="BO32" i="56"/>
  <c r="BO37" i="56"/>
  <c r="BO42" i="56"/>
  <c r="BL48" i="56"/>
  <c r="BN53" i="56"/>
  <c r="BL4" i="56"/>
  <c r="BN7" i="56"/>
  <c r="BN12" i="56"/>
  <c r="BO17" i="56"/>
  <c r="BO22" i="56"/>
  <c r="BO27" i="56"/>
  <c r="BL33" i="56"/>
  <c r="BL38" i="56"/>
  <c r="BL43" i="56"/>
  <c r="BN48" i="56"/>
  <c r="BO53" i="56"/>
  <c r="BO7" i="56"/>
  <c r="BO12" i="56"/>
  <c r="BL18" i="56"/>
  <c r="BL23" i="56"/>
  <c r="BL28" i="56"/>
  <c r="BN33" i="56"/>
  <c r="BN38" i="56"/>
  <c r="BN43" i="56"/>
  <c r="BO48" i="56"/>
  <c r="BL54" i="56"/>
  <c r="BL8" i="56"/>
  <c r="BL13" i="56"/>
  <c r="BN18" i="56"/>
  <c r="BN28" i="56"/>
  <c r="BO33" i="56"/>
  <c r="BO38" i="56"/>
  <c r="BO43" i="56"/>
  <c r="BL49" i="56"/>
  <c r="BN54" i="56"/>
  <c r="BN8" i="56"/>
  <c r="BN13" i="56"/>
  <c r="BO18" i="56"/>
  <c r="BN23" i="56"/>
  <c r="BO28" i="56"/>
  <c r="BL34" i="56"/>
  <c r="BL39" i="56"/>
  <c r="BL44" i="56"/>
  <c r="BN49" i="56"/>
  <c r="BO54" i="56"/>
  <c r="BO8" i="56"/>
  <c r="BO13" i="56"/>
  <c r="BL19" i="56"/>
  <c r="BO23" i="56"/>
  <c r="BL29" i="56"/>
  <c r="BN34" i="56"/>
  <c r="BN44" i="56"/>
  <c r="BO49" i="56"/>
  <c r="BL55" i="56"/>
  <c r="BL9" i="56"/>
  <c r="BL14" i="56"/>
  <c r="BL24" i="56"/>
  <c r="BN29" i="56"/>
  <c r="BO34" i="56"/>
  <c r="BN39" i="56"/>
  <c r="BO44" i="56"/>
  <c r="BL50" i="56"/>
  <c r="BN55" i="56"/>
  <c r="BN9" i="56"/>
  <c r="BN14" i="56"/>
  <c r="BN19" i="56"/>
  <c r="BN24" i="56"/>
  <c r="BO29" i="56"/>
  <c r="BL35" i="56"/>
  <c r="BO39" i="56"/>
  <c r="BL45" i="56"/>
  <c r="BN50" i="56"/>
  <c r="BO55" i="56"/>
  <c r="BO9" i="56"/>
  <c r="BO14" i="56"/>
  <c r="BO19" i="56"/>
  <c r="BO24" i="56"/>
  <c r="BL30" i="56"/>
  <c r="BN35" i="56"/>
  <c r="BL40" i="56"/>
  <c r="BN45" i="56"/>
  <c r="BO50" i="56"/>
  <c r="BL56" i="56"/>
  <c r="BL5" i="56"/>
  <c r="BL10" i="56"/>
  <c r="BL15" i="56"/>
  <c r="BL20" i="56"/>
  <c r="BL25" i="56"/>
  <c r="BN30" i="56"/>
  <c r="BO35" i="56"/>
  <c r="BN40" i="56"/>
  <c r="BO45" i="56"/>
  <c r="BL51" i="56"/>
  <c r="BN56" i="56"/>
  <c r="BN5" i="56"/>
  <c r="BN10" i="56"/>
  <c r="BN15" i="56"/>
  <c r="BN20" i="56"/>
  <c r="BN25" i="56"/>
  <c r="BO30" i="56"/>
  <c r="BL36" i="56"/>
  <c r="BO40" i="56"/>
  <c r="BL46" i="56"/>
  <c r="BN51" i="56"/>
  <c r="BO56" i="56"/>
  <c r="BO5" i="56"/>
  <c r="BO10" i="56"/>
  <c r="BO15" i="56"/>
  <c r="BO20" i="56"/>
  <c r="BO25" i="56"/>
  <c r="BL31" i="56"/>
  <c r="BL41" i="56"/>
  <c r="BN46" i="56"/>
  <c r="BO51" i="56"/>
  <c r="BL57" i="56"/>
  <c r="BM117" i="34"/>
  <c r="BM133" i="34"/>
  <c r="BP65" i="34"/>
  <c r="BM71" i="34"/>
  <c r="BO76" i="34"/>
  <c r="BP81" i="34"/>
  <c r="BM87" i="34"/>
  <c r="BO92" i="34"/>
  <c r="BP97" i="34"/>
  <c r="BM118" i="34"/>
  <c r="BM134" i="34"/>
  <c r="BM66" i="34"/>
  <c r="BO71" i="34"/>
  <c r="BP76" i="34"/>
  <c r="BM82" i="34"/>
  <c r="BO87" i="34"/>
  <c r="BP92" i="34"/>
  <c r="BM98" i="34"/>
  <c r="BM119" i="34"/>
  <c r="BM135" i="34"/>
  <c r="BO66" i="34"/>
  <c r="BP71" i="34"/>
  <c r="BM77" i="34"/>
  <c r="BO82" i="34"/>
  <c r="BP87" i="34"/>
  <c r="BM93" i="34"/>
  <c r="BO98" i="34"/>
  <c r="BM113" i="34"/>
  <c r="BM120" i="34"/>
  <c r="BM136" i="34"/>
  <c r="BP66" i="34"/>
  <c r="BM72" i="34"/>
  <c r="BO77" i="34"/>
  <c r="BP82" i="34"/>
  <c r="BM88" i="34"/>
  <c r="BO93" i="34"/>
  <c r="BP98" i="34"/>
  <c r="BM104" i="34"/>
  <c r="BM121" i="34"/>
  <c r="BM137" i="34"/>
  <c r="BM67" i="34"/>
  <c r="BO72" i="34"/>
  <c r="BP77" i="34"/>
  <c r="BM83" i="34"/>
  <c r="BO88" i="34"/>
  <c r="BP93" i="34"/>
  <c r="BM99" i="34"/>
  <c r="BM105" i="34"/>
  <c r="BM122" i="34"/>
  <c r="BM138" i="34"/>
  <c r="BO67" i="34"/>
  <c r="BP72" i="34"/>
  <c r="BM78" i="34"/>
  <c r="BO83" i="34"/>
  <c r="BP88" i="34"/>
  <c r="BM94" i="34"/>
  <c r="BO99" i="34"/>
  <c r="BM106" i="34"/>
  <c r="BM123" i="34"/>
  <c r="BM103" i="34"/>
  <c r="BP67" i="34"/>
  <c r="BM73" i="34"/>
  <c r="BO78" i="34"/>
  <c r="BP83" i="34"/>
  <c r="BM89" i="34"/>
  <c r="BO94" i="34"/>
  <c r="BP99" i="34"/>
  <c r="BM107" i="34"/>
  <c r="BM124" i="34"/>
  <c r="BM62" i="34"/>
  <c r="BM68" i="34"/>
  <c r="BO73" i="34"/>
  <c r="BP78" i="34"/>
  <c r="BM84" i="34"/>
  <c r="BO89" i="34"/>
  <c r="BP94" i="34"/>
  <c r="BM100" i="34"/>
  <c r="BM108" i="34"/>
  <c r="BM125" i="34"/>
  <c r="BM63" i="34"/>
  <c r="BO68" i="34"/>
  <c r="BP73" i="34"/>
  <c r="BM79" i="34"/>
  <c r="BO84" i="34"/>
  <c r="BP89" i="34"/>
  <c r="BM95" i="34"/>
  <c r="BO100" i="34"/>
  <c r="BM109" i="34"/>
  <c r="BM126" i="34"/>
  <c r="BO63" i="34"/>
  <c r="BP68" i="34"/>
  <c r="BM74" i="34"/>
  <c r="BO79" i="34"/>
  <c r="BP84" i="34"/>
  <c r="BM90" i="34"/>
  <c r="BO95" i="34"/>
  <c r="BP100" i="34"/>
  <c r="BM110" i="34"/>
  <c r="BM127" i="34"/>
  <c r="BP63" i="34"/>
  <c r="BM69" i="34"/>
  <c r="BO74" i="34"/>
  <c r="BP79" i="34"/>
  <c r="BM85" i="34"/>
  <c r="BO90" i="34"/>
  <c r="BP95" i="34"/>
  <c r="BM101" i="34"/>
  <c r="BM111" i="34"/>
  <c r="BM128" i="34"/>
  <c r="BM64" i="34"/>
  <c r="BO69" i="34"/>
  <c r="BP74" i="34"/>
  <c r="BM80" i="34"/>
  <c r="BO85" i="34"/>
  <c r="BP90" i="34"/>
  <c r="BM96" i="34"/>
  <c r="BO101" i="34"/>
  <c r="BM112" i="34"/>
  <c r="BM129" i="34"/>
  <c r="BO64" i="34"/>
  <c r="BP69" i="34"/>
  <c r="BM75" i="34"/>
  <c r="BO80" i="34"/>
  <c r="BP85" i="34"/>
  <c r="BM91" i="34"/>
  <c r="BO96" i="34"/>
  <c r="BP101" i="34"/>
  <c r="BM114" i="34"/>
  <c r="BM130" i="34"/>
  <c r="BP64" i="34"/>
  <c r="BM70" i="34"/>
  <c r="BO75" i="34"/>
  <c r="BP80" i="34"/>
  <c r="BM86" i="34"/>
  <c r="BO91" i="34"/>
  <c r="BP96" i="34"/>
  <c r="BP62" i="34"/>
  <c r="BM115" i="34"/>
  <c r="BM131" i="34"/>
  <c r="BM65" i="34"/>
  <c r="BO70" i="34"/>
  <c r="BP75" i="34"/>
  <c r="BM81" i="34"/>
  <c r="BO86" i="34"/>
  <c r="BP91" i="34"/>
  <c r="BM97" i="34"/>
  <c r="BO62" i="34"/>
  <c r="BM116" i="34"/>
  <c r="BM132" i="34"/>
  <c r="BO65" i="34"/>
  <c r="BP70" i="34"/>
  <c r="BM76" i="34"/>
  <c r="BO81" i="34"/>
  <c r="BP86" i="34"/>
  <c r="BM92" i="34"/>
  <c r="BO97" i="34"/>
  <c r="V5" i="44"/>
  <c r="BH10" i="43"/>
  <c r="BH15" i="43"/>
  <c r="BH5" i="43"/>
  <c r="BH9" i="43"/>
  <c r="BH13" i="43"/>
  <c r="BH16" i="43"/>
  <c r="BH6" i="43"/>
  <c r="BH11" i="43"/>
  <c r="BH12" i="43"/>
  <c r="BH14" i="43"/>
  <c r="BH7" i="43"/>
  <c r="BH8" i="43"/>
  <c r="BJ13" i="43"/>
  <c r="BK13" i="43"/>
  <c r="BI16" i="43"/>
  <c r="BO18" i="43"/>
  <c r="BO13" i="43"/>
  <c r="BJ16" i="43"/>
  <c r="BK16" i="43"/>
  <c r="BI14" i="43"/>
  <c r="BO16" i="43"/>
  <c r="BJ14" i="43"/>
  <c r="BK14" i="43"/>
  <c r="BO14" i="43"/>
  <c r="BJ17" i="43"/>
  <c r="BK17" i="43"/>
  <c r="BO17" i="43"/>
  <c r="BI15" i="43"/>
  <c r="BJ15" i="43"/>
  <c r="BK15" i="43"/>
  <c r="BO15" i="43"/>
  <c r="BJ18" i="43"/>
  <c r="BI13" i="43"/>
  <c r="BK18" i="43"/>
  <c r="BO5" i="43"/>
  <c r="BK8" i="43"/>
  <c r="BO11" i="43"/>
  <c r="BK10" i="43"/>
  <c r="BK11" i="43"/>
  <c r="BK12" i="43"/>
  <c r="BJ10" i="43"/>
  <c r="BK5" i="43"/>
  <c r="BJ9" i="43"/>
  <c r="BI6" i="43"/>
  <c r="BI8" i="43"/>
  <c r="BI7" i="43"/>
  <c r="BK9" i="43"/>
  <c r="BI9" i="43"/>
  <c r="BJ5" i="43"/>
  <c r="BI10" i="43"/>
  <c r="BI5" i="43"/>
  <c r="BI11" i="43"/>
  <c r="BI12" i="43"/>
  <c r="BK6" i="43"/>
  <c r="BK7" i="43"/>
  <c r="BJ6" i="43"/>
  <c r="BO24" i="43"/>
  <c r="BJ7" i="43"/>
  <c r="BO25" i="43"/>
  <c r="BJ8" i="43"/>
  <c r="BO26" i="43"/>
  <c r="BJ11" i="43"/>
  <c r="BO27" i="43"/>
  <c r="BO22" i="43"/>
  <c r="BJ12" i="43"/>
  <c r="BO28" i="43"/>
  <c r="BO23" i="43"/>
  <c r="BO6" i="43"/>
  <c r="BO29" i="43"/>
  <c r="BO7" i="43"/>
  <c r="BO30" i="43"/>
  <c r="BO8" i="43"/>
  <c r="BO31" i="43"/>
  <c r="BO20" i="43"/>
  <c r="BO9" i="43"/>
  <c r="BO10" i="43"/>
  <c r="BO12" i="43"/>
  <c r="BO19" i="43"/>
  <c r="BO21" i="43"/>
  <c r="D5" i="17"/>
  <c r="P5" i="17"/>
  <c r="BL4" i="32"/>
  <c r="BN4" i="32"/>
  <c r="BO4" i="32"/>
  <c r="BL54" i="32"/>
  <c r="BO57" i="32"/>
  <c r="BN57" i="32"/>
  <c r="BN64" i="32"/>
  <c r="BL60" i="32"/>
  <c r="BO55" i="32"/>
  <c r="BN55" i="32"/>
  <c r="BL63" i="32"/>
  <c r="BL59" i="32"/>
  <c r="BL55" i="32"/>
  <c r="BL62" i="32"/>
  <c r="BO61" i="32"/>
  <c r="BN59" i="32"/>
  <c r="BO62" i="32"/>
  <c r="BO58" i="32"/>
  <c r="BO54" i="32"/>
  <c r="BL58" i="32"/>
  <c r="BN56" i="32"/>
  <c r="BO63" i="32"/>
  <c r="BN62" i="32"/>
  <c r="BN58" i="32"/>
  <c r="BN54" i="32"/>
  <c r="BO65" i="32"/>
  <c r="BN65" i="32"/>
  <c r="BN60" i="32"/>
  <c r="BL56" i="32"/>
  <c r="BN61" i="32"/>
  <c r="BO59" i="32"/>
  <c r="BN63" i="32"/>
  <c r="BL65" i="32"/>
  <c r="BL61" i="32"/>
  <c r="BL57" i="32"/>
  <c r="BO64" i="32"/>
  <c r="BO60" i="32"/>
  <c r="BO56" i="32"/>
  <c r="BL64" i="32"/>
  <c r="BO17" i="32"/>
  <c r="BL23" i="32"/>
  <c r="BN28" i="32"/>
  <c r="BO33" i="32"/>
  <c r="BL39" i="32"/>
  <c r="BN44" i="32"/>
  <c r="BO49" i="32"/>
  <c r="BO19" i="32"/>
  <c r="BO35" i="32"/>
  <c r="BN10" i="32"/>
  <c r="BN25" i="32"/>
  <c r="BN41" i="32"/>
  <c r="BL14" i="32"/>
  <c r="BO25" i="32"/>
  <c r="BN36" i="32"/>
  <c r="BL47" i="32"/>
  <c r="BL26" i="32"/>
  <c r="BL42" i="32"/>
  <c r="BO52" i="32"/>
  <c r="BO14" i="32"/>
  <c r="BO31" i="32"/>
  <c r="BN21" i="32"/>
  <c r="BL48" i="32"/>
  <c r="BL27" i="32"/>
  <c r="BL22" i="32"/>
  <c r="BN43" i="32"/>
  <c r="BL17" i="32"/>
  <c r="BN38" i="32"/>
  <c r="BL18" i="32"/>
  <c r="BN23" i="32"/>
  <c r="BO28" i="32"/>
  <c r="BL34" i="32"/>
  <c r="BN39" i="32"/>
  <c r="BO44" i="32"/>
  <c r="BL50" i="32"/>
  <c r="BO6" i="32"/>
  <c r="BN8" i="32"/>
  <c r="BN11" i="32"/>
  <c r="BL13" i="32"/>
  <c r="BL25" i="32"/>
  <c r="BN30" i="32"/>
  <c r="BN46" i="32"/>
  <c r="BO11" i="32"/>
  <c r="BN13" i="32"/>
  <c r="BL20" i="32"/>
  <c r="BL36" i="32"/>
  <c r="BL52" i="32"/>
  <c r="BO10" i="32"/>
  <c r="BN12" i="32"/>
  <c r="BN20" i="32"/>
  <c r="BL31" i="32"/>
  <c r="BO41" i="32"/>
  <c r="BN52" i="32"/>
  <c r="BN14" i="32"/>
  <c r="BO20" i="32"/>
  <c r="BN31" i="32"/>
  <c r="BN47" i="32"/>
  <c r="BO15" i="32"/>
  <c r="BN26" i="32"/>
  <c r="BN42" i="32"/>
  <c r="BL16" i="32"/>
  <c r="BL32" i="32"/>
  <c r="BO42" i="32"/>
  <c r="BN16" i="32"/>
  <c r="BN32" i="32"/>
  <c r="BL43" i="32"/>
  <c r="BO32" i="32"/>
  <c r="BO27" i="32"/>
  <c r="BL5" i="32"/>
  <c r="BN18" i="32"/>
  <c r="BO23" i="32"/>
  <c r="BL29" i="32"/>
  <c r="BN34" i="32"/>
  <c r="BO39" i="32"/>
  <c r="BL45" i="32"/>
  <c r="BN50" i="32"/>
  <c r="BO9" i="32"/>
  <c r="BN5" i="32"/>
  <c r="BL7" i="32"/>
  <c r="BO18" i="32"/>
  <c r="BL24" i="32"/>
  <c r="BN29" i="32"/>
  <c r="BO34" i="32"/>
  <c r="BL40" i="32"/>
  <c r="BN45" i="32"/>
  <c r="BO50" i="32"/>
  <c r="BO51" i="32"/>
  <c r="BO5" i="32"/>
  <c r="BL6" i="32"/>
  <c r="BN7" i="32"/>
  <c r="BL9" i="32"/>
  <c r="BL19" i="32"/>
  <c r="BN24" i="32"/>
  <c r="BO29" i="32"/>
  <c r="BL35" i="32"/>
  <c r="BN40" i="32"/>
  <c r="BO45" i="32"/>
  <c r="BL51" i="32"/>
  <c r="BN6" i="32"/>
  <c r="BO7" i="32"/>
  <c r="BL8" i="32"/>
  <c r="BN9" i="32"/>
  <c r="BL11" i="32"/>
  <c r="BN19" i="32"/>
  <c r="BO24" i="32"/>
  <c r="BL30" i="32"/>
  <c r="BN35" i="32"/>
  <c r="BO40" i="32"/>
  <c r="BL46" i="32"/>
  <c r="BN51" i="32"/>
  <c r="BL10" i="32"/>
  <c r="BL41" i="32"/>
  <c r="BO8" i="32"/>
  <c r="BL12" i="32"/>
  <c r="BL15" i="32"/>
  <c r="BO30" i="32"/>
  <c r="BO46" i="32"/>
  <c r="BO13" i="32"/>
  <c r="BO12" i="32"/>
  <c r="BN15" i="32"/>
  <c r="BO36" i="32"/>
  <c r="BL21" i="32"/>
  <c r="BL37" i="32"/>
  <c r="BO47" i="32"/>
  <c r="BO26" i="32"/>
  <c r="BN37" i="32"/>
  <c r="BO21" i="32"/>
  <c r="BO37" i="32"/>
  <c r="BN48" i="32"/>
  <c r="BO16" i="32"/>
  <c r="BN27" i="32"/>
  <c r="BL38" i="32"/>
  <c r="BO48" i="32"/>
  <c r="BN22" i="32"/>
  <c r="BO43" i="32"/>
  <c r="BL49" i="32"/>
  <c r="BO22" i="32"/>
  <c r="BL28" i="32"/>
  <c r="BL33" i="32"/>
  <c r="BN33" i="32"/>
  <c r="BN49" i="32"/>
  <c r="BN17" i="32"/>
  <c r="BO38" i="32"/>
  <c r="BL44" i="32"/>
  <c r="BO137" i="53"/>
  <c r="BN134" i="53"/>
  <c r="BL129" i="53"/>
  <c r="BO8" i="53"/>
  <c r="BL14" i="53"/>
  <c r="BO19" i="53"/>
  <c r="BL24" i="53"/>
  <c r="BL34" i="53"/>
  <c r="BN65" i="53"/>
  <c r="BO70" i="53"/>
  <c r="BL76" i="53"/>
  <c r="BL80" i="53"/>
  <c r="BL95" i="53"/>
  <c r="BL99" i="53"/>
  <c r="BL103" i="53"/>
  <c r="BO5" i="53"/>
  <c r="BL11" i="53"/>
  <c r="BO31" i="53"/>
  <c r="BL44" i="53"/>
  <c r="BL51" i="53"/>
  <c r="BO67" i="53"/>
  <c r="BL78" i="53"/>
  <c r="BO100" i="53"/>
  <c r="BO16" i="53"/>
  <c r="BL6" i="53"/>
  <c r="BL17" i="53"/>
  <c r="BL32" i="53"/>
  <c r="BL68" i="53"/>
  <c r="BL88" i="53"/>
  <c r="BL97" i="53"/>
  <c r="BL105" i="53"/>
  <c r="BL130" i="53"/>
  <c r="BL7" i="53"/>
  <c r="BO27" i="53"/>
  <c r="BO32" i="53"/>
  <c r="BL37" i="53"/>
  <c r="BL41" i="53"/>
  <c r="BL52" i="53"/>
  <c r="BL60" i="53"/>
  <c r="BL69" i="53"/>
  <c r="BO83" i="53"/>
  <c r="BL89" i="53"/>
  <c r="BO97" i="53"/>
  <c r="BO105" i="53"/>
  <c r="BL113" i="53"/>
  <c r="BL135" i="53"/>
  <c r="BN64" i="53"/>
  <c r="BL98" i="53"/>
  <c r="BL13" i="53"/>
  <c r="BN45" i="53"/>
  <c r="BN60" i="53"/>
  <c r="BN109" i="53"/>
  <c r="BN137" i="53"/>
  <c r="BL134" i="53"/>
  <c r="BO122" i="53"/>
  <c r="BO119" i="53"/>
  <c r="BL9" i="53"/>
  <c r="BO29" i="53"/>
  <c r="BN38" i="53"/>
  <c r="BN42" i="53"/>
  <c r="BN46" i="53"/>
  <c r="BN49" i="53"/>
  <c r="BN53" i="53"/>
  <c r="BN57" i="53"/>
  <c r="BO61" i="53"/>
  <c r="BO65" i="53"/>
  <c r="BL71" i="53"/>
  <c r="BO85" i="53"/>
  <c r="BN90" i="53"/>
  <c r="BN107" i="53"/>
  <c r="BN110" i="53"/>
  <c r="BO114" i="53"/>
  <c r="BO121" i="53"/>
  <c r="BL21" i="53"/>
  <c r="BL40" i="53"/>
  <c r="BL48" i="53"/>
  <c r="BL59" i="53"/>
  <c r="BL73" i="53"/>
  <c r="BO96" i="53"/>
  <c r="BL108" i="53"/>
  <c r="BN63" i="53"/>
  <c r="BO82" i="53"/>
  <c r="BL101" i="53"/>
  <c r="BL18" i="53"/>
  <c r="BL45" i="53"/>
  <c r="BN93" i="53"/>
  <c r="BO12" i="53"/>
  <c r="BO22" i="53"/>
  <c r="BL33" i="53"/>
  <c r="BO74" i="53"/>
  <c r="BO79" i="53"/>
  <c r="BL84" i="53"/>
  <c r="BL102" i="53"/>
  <c r="BL106" i="53"/>
  <c r="BO18" i="53"/>
  <c r="BN41" i="53"/>
  <c r="BN52" i="53"/>
  <c r="BL94" i="53"/>
  <c r="BN113" i="53"/>
  <c r="BO129" i="53"/>
  <c r="BL137" i="53"/>
  <c r="BO125" i="53"/>
  <c r="BN122" i="53"/>
  <c r="BN119" i="53"/>
  <c r="BO14" i="53"/>
  <c r="BO24" i="53"/>
  <c r="BL30" i="53"/>
  <c r="BN34" i="53"/>
  <c r="BO38" i="53"/>
  <c r="BO42" i="53"/>
  <c r="BO46" i="53"/>
  <c r="BO49" i="53"/>
  <c r="BO53" i="53"/>
  <c r="BO57" i="53"/>
  <c r="BL62" i="53"/>
  <c r="BL66" i="53"/>
  <c r="BO76" i="53"/>
  <c r="BO80" i="53"/>
  <c r="BL86" i="53"/>
  <c r="BO90" i="53"/>
  <c r="BN95" i="53"/>
  <c r="BN99" i="53"/>
  <c r="BN103" i="53"/>
  <c r="BO107" i="53"/>
  <c r="BO110" i="53"/>
  <c r="BO124" i="53"/>
  <c r="BO104" i="53"/>
  <c r="BO127" i="53"/>
  <c r="BO126" i="53"/>
  <c r="BO128" i="53"/>
  <c r="BN125" i="53"/>
  <c r="BL119" i="53"/>
  <c r="BO9" i="53"/>
  <c r="BL15" i="53"/>
  <c r="BL25" i="53"/>
  <c r="BO34" i="53"/>
  <c r="BL39" i="53"/>
  <c r="BL43" i="53"/>
  <c r="BL47" i="53"/>
  <c r="BL50" i="53"/>
  <c r="BL54" i="53"/>
  <c r="BL58" i="53"/>
  <c r="BO71" i="53"/>
  <c r="BL77" i="53"/>
  <c r="BL81" i="53"/>
  <c r="BL91" i="53"/>
  <c r="BO95" i="53"/>
  <c r="BO99" i="53"/>
  <c r="BO103" i="53"/>
  <c r="BL111" i="53"/>
  <c r="BL55" i="53"/>
  <c r="BN121" i="53"/>
  <c r="BO64" i="53"/>
  <c r="BO133" i="53"/>
  <c r="BO131" i="53"/>
  <c r="BN128" i="53"/>
  <c r="BL125" i="53"/>
  <c r="BL122" i="53"/>
  <c r="BL5" i="53"/>
  <c r="BL10" i="53"/>
  <c r="BL20" i="53"/>
  <c r="BO30" i="53"/>
  <c r="BL35" i="53"/>
  <c r="BN62" i="53"/>
  <c r="BO66" i="53"/>
  <c r="BL72" i="53"/>
  <c r="BO86" i="53"/>
  <c r="BL96" i="53"/>
  <c r="BL100" i="53"/>
  <c r="BL104" i="53"/>
  <c r="BO115" i="53"/>
  <c r="BN124" i="53"/>
  <c r="BO120" i="53"/>
  <c r="BN56" i="53"/>
  <c r="BO136" i="53"/>
  <c r="BN133" i="53"/>
  <c r="BN131" i="53"/>
  <c r="BL128" i="53"/>
  <c r="BO15" i="53"/>
  <c r="BO25" i="53"/>
  <c r="BL31" i="53"/>
  <c r="BN39" i="53"/>
  <c r="BN43" i="53"/>
  <c r="BN47" i="53"/>
  <c r="BN50" i="53"/>
  <c r="BN54" i="53"/>
  <c r="BN58" i="53"/>
  <c r="BO62" i="53"/>
  <c r="BL67" i="53"/>
  <c r="BN77" i="53"/>
  <c r="BO81" i="53"/>
  <c r="BL87" i="53"/>
  <c r="BO91" i="53"/>
  <c r="BN111" i="53"/>
  <c r="BO87" i="53"/>
  <c r="BO123" i="53"/>
  <c r="BL75" i="53"/>
  <c r="BN136" i="53"/>
  <c r="BL133" i="53"/>
  <c r="BL131" i="53"/>
  <c r="BO10" i="53"/>
  <c r="BL16" i="53"/>
  <c r="BO20" i="53"/>
  <c r="BL26" i="53"/>
  <c r="BO35" i="53"/>
  <c r="BO39" i="53"/>
  <c r="BO43" i="53"/>
  <c r="BO47" i="53"/>
  <c r="BO50" i="53"/>
  <c r="BO54" i="53"/>
  <c r="BO58" i="53"/>
  <c r="BL63" i="53"/>
  <c r="BO72" i="53"/>
  <c r="BO77" i="53"/>
  <c r="BL82" i="53"/>
  <c r="BL92" i="53"/>
  <c r="BN96" i="53"/>
  <c r="BN100" i="53"/>
  <c r="BN104" i="53"/>
  <c r="BO111" i="53"/>
  <c r="BL4" i="53"/>
  <c r="BL136" i="53"/>
  <c r="BL36" i="53"/>
  <c r="BL112" i="53"/>
  <c r="BO26" i="53"/>
  <c r="BO92" i="53"/>
  <c r="BL132" i="53"/>
  <c r="BO101" i="53"/>
  <c r="BL28" i="53"/>
  <c r="BO93" i="53"/>
  <c r="BN120" i="53"/>
  <c r="BL23" i="53"/>
  <c r="BN37" i="53"/>
  <c r="BO69" i="53"/>
  <c r="BN89" i="53"/>
  <c r="BO132" i="53"/>
  <c r="BO130" i="53"/>
  <c r="BN127" i="53"/>
  <c r="BL124" i="53"/>
  <c r="BL121" i="53"/>
  <c r="BO4" i="53"/>
  <c r="BO11" i="53"/>
  <c r="BO21" i="53"/>
  <c r="BL27" i="53"/>
  <c r="BN36" i="53"/>
  <c r="BN40" i="53"/>
  <c r="BN44" i="53"/>
  <c r="BN48" i="53"/>
  <c r="BN51" i="53"/>
  <c r="BN55" i="53"/>
  <c r="BN59" i="53"/>
  <c r="BO63" i="53"/>
  <c r="BO73" i="53"/>
  <c r="BO78" i="53"/>
  <c r="BL83" i="53"/>
  <c r="BL93" i="53"/>
  <c r="BN108" i="53"/>
  <c r="BN112" i="53"/>
  <c r="BO135" i="53"/>
  <c r="BN132" i="53"/>
  <c r="BN130" i="53"/>
  <c r="BL127" i="53"/>
  <c r="BO6" i="53"/>
  <c r="BL12" i="53"/>
  <c r="BO17" i="53"/>
  <c r="BL22" i="53"/>
  <c r="BN32" i="53"/>
  <c r="BO36" i="53"/>
  <c r="BO40" i="53"/>
  <c r="BO44" i="53"/>
  <c r="BO48" i="53"/>
  <c r="BO51" i="53"/>
  <c r="BO55" i="53"/>
  <c r="BO59" i="53"/>
  <c r="BL64" i="53"/>
  <c r="BO68" i="53"/>
  <c r="BL74" i="53"/>
  <c r="BL79" i="53"/>
  <c r="BO88" i="53"/>
  <c r="BN97" i="53"/>
  <c r="BN101" i="53"/>
  <c r="BN105" i="53"/>
  <c r="BO108" i="53"/>
  <c r="BO112" i="53"/>
  <c r="BN135" i="53"/>
  <c r="BL56" i="53"/>
  <c r="BL109" i="53"/>
  <c r="BN123" i="53"/>
  <c r="BL19" i="53"/>
  <c r="BL38" i="53"/>
  <c r="BL57" i="53"/>
  <c r="BO102" i="53"/>
  <c r="BL114" i="53"/>
  <c r="BL49" i="53"/>
  <c r="BO52" i="53"/>
  <c r="BO98" i="53"/>
  <c r="BO106" i="53"/>
  <c r="BO134" i="53"/>
  <c r="BL90" i="53"/>
  <c r="BO113" i="53"/>
  <c r="BL120" i="53"/>
  <c r="BL8" i="53"/>
  <c r="BL126" i="53"/>
  <c r="BL53" i="53"/>
  <c r="BO60" i="53"/>
  <c r="BO84" i="53"/>
  <c r="BL107" i="53"/>
  <c r="BN129" i="53"/>
  <c r="BL46" i="53"/>
  <c r="BL29" i="53"/>
  <c r="BO75" i="53"/>
  <c r="BL123" i="53"/>
  <c r="BO41" i="53"/>
  <c r="BL61" i="53"/>
  <c r="BL85" i="53"/>
  <c r="BL42" i="53"/>
  <c r="BO109" i="53"/>
  <c r="BN126" i="53"/>
  <c r="BN98" i="53"/>
  <c r="BN33" i="53"/>
  <c r="BO23" i="53"/>
  <c r="BO45" i="53"/>
  <c r="BL65" i="53"/>
  <c r="BO89" i="53"/>
  <c r="BL110" i="53"/>
  <c r="BO28" i="53"/>
  <c r="BL70" i="53"/>
  <c r="BO94" i="53"/>
  <c r="BO33" i="53"/>
  <c r="BO13" i="53"/>
  <c r="BO37" i="53"/>
  <c r="BO56" i="53"/>
  <c r="BN102" i="53"/>
  <c r="BX61" i="22"/>
  <c r="BX68" i="22"/>
  <c r="BX69" i="22"/>
  <c r="BX65" i="22"/>
  <c r="BX66" i="22"/>
  <c r="BX67" i="22"/>
  <c r="BX76" i="22"/>
  <c r="BX64" i="22"/>
  <c r="BX78" i="22"/>
  <c r="BX79" i="22"/>
  <c r="BI24" i="33"/>
  <c r="BJ20" i="33"/>
  <c r="BJ24" i="33"/>
  <c r="BL3" i="43"/>
  <c r="BF6" i="43"/>
  <c r="BL6" i="43" s="1"/>
  <c r="BG8" i="43"/>
  <c r="BP8" i="43" s="1"/>
  <c r="BQ8" i="43" s="1"/>
  <c r="BG12" i="43"/>
  <c r="BP12" i="43" s="1"/>
  <c r="BQ12" i="43" s="1"/>
  <c r="BX70" i="22"/>
  <c r="BX71" i="22"/>
  <c r="BX77" i="22"/>
  <c r="BX72" i="22"/>
  <c r="BX62" i="22"/>
  <c r="BX74" i="22"/>
  <c r="BX63" i="22"/>
  <c r="BX75" i="22"/>
  <c r="BI36" i="33"/>
  <c r="BI39" i="33"/>
  <c r="BX260" i="22"/>
  <c r="BY260" i="22"/>
  <c r="BY247" i="22"/>
  <c r="BY276" i="22"/>
  <c r="BX214" i="22"/>
  <c r="BY327" i="22"/>
  <c r="BX327" i="22"/>
  <c r="BY335" i="22"/>
  <c r="BX335" i="22"/>
  <c r="BY264" i="22"/>
  <c r="BX264" i="22"/>
  <c r="BY293" i="22"/>
  <c r="BX293" i="22"/>
  <c r="BX312" i="22"/>
  <c r="BX276" i="22"/>
  <c r="BX247" i="22"/>
  <c r="BX331" i="22"/>
  <c r="BY331" i="22"/>
  <c r="BY231" i="22"/>
  <c r="BX231" i="22"/>
  <c r="BX309" i="22"/>
  <c r="BX215" i="22"/>
  <c r="BX248" i="22"/>
  <c r="BX277" i="22"/>
  <c r="BY313" i="22"/>
  <c r="BX329" i="22"/>
  <c r="BY248" i="22"/>
  <c r="BY332" i="22"/>
  <c r="BX228" i="22"/>
  <c r="BX232" i="22"/>
  <c r="BX261" i="22"/>
  <c r="BX294" i="22"/>
  <c r="BY305" i="22"/>
  <c r="BY310" i="22"/>
  <c r="BX244" i="22"/>
  <c r="BY244" i="22"/>
  <c r="BX229" i="22"/>
  <c r="BX240" i="22"/>
  <c r="BX262" i="22"/>
  <c r="BX295" i="22"/>
  <c r="BX314" i="22"/>
  <c r="BX224" i="22"/>
  <c r="BX246" i="22"/>
  <c r="BX279" i="22"/>
  <c r="BG11" i="43"/>
  <c r="BP11" i="43" s="1"/>
  <c r="BQ11" i="43" s="1"/>
  <c r="BL9" i="43"/>
  <c r="N58" i="17" a="1"/>
  <c r="Q58" i="17" a="1"/>
  <c r="T16" i="48" a="1"/>
  <c r="U7" i="48" a="1"/>
  <c r="S97" i="19" a="1"/>
  <c r="U45" i="13" a="1"/>
  <c r="O12" i="21" a="1"/>
  <c r="T7" i="48" a="1"/>
  <c r="Q46" i="17" a="1"/>
  <c r="S42" i="13" a="1"/>
  <c r="O19" i="17" a="1"/>
  <c r="U16" i="48" a="1"/>
  <c r="Q24" i="17" a="1"/>
  <c r="R13" i="21" a="1"/>
  <c r="S86" i="19" a="1"/>
  <c r="T7" i="44" a="1"/>
  <c r="Q73" i="17" a="1"/>
  <c r="Q71" i="17" a="1"/>
  <c r="Q103" i="20" a="1"/>
  <c r="V11" i="48" a="1"/>
  <c r="S34" i="13" a="1"/>
  <c r="O100" i="20" a="1"/>
  <c r="S98" i="19" a="1"/>
  <c r="R15" i="13" a="1"/>
  <c r="O49" i="20" a="1"/>
  <c r="P45" i="21" a="1"/>
  <c r="N61" i="17" a="1"/>
  <c r="N8" i="20" a="1"/>
  <c r="S72" i="19" a="1"/>
  <c r="Q59" i="20" a="1"/>
  <c r="O66" i="17" a="1"/>
  <c r="O27" i="21" a="1"/>
  <c r="N14" i="17" a="1"/>
  <c r="S16" i="13" a="1"/>
  <c r="R18" i="21" a="1"/>
  <c r="Q35" i="20" a="1"/>
  <c r="N71" i="17" a="1"/>
  <c r="U10" i="44" a="1"/>
  <c r="S93" i="19" a="1"/>
  <c r="U27" i="48" a="1"/>
  <c r="R16" i="44" a="1"/>
  <c r="Q88" i="20" a="1"/>
  <c r="Y30" i="44" a="1"/>
  <c r="Q9" i="17" a="1"/>
  <c r="R99" i="19" a="1"/>
  <c r="N44" i="20" a="1"/>
  <c r="T10" i="44" a="1"/>
  <c r="O28" i="21" a="1"/>
  <c r="R96" i="19" a="1"/>
  <c r="O41" i="17" a="1"/>
  <c r="P13" i="21" a="1"/>
  <c r="P70" i="19" a="1"/>
  <c r="U53" i="13" a="1"/>
  <c r="U32" i="48" a="1"/>
  <c r="Q52" i="17" a="1"/>
  <c r="S7" i="13" a="1"/>
  <c r="O7" i="50" a="1"/>
  <c r="R41" i="21" a="1"/>
  <c r="S15" i="44" a="1"/>
  <c r="P34" i="21" a="1"/>
  <c r="R51" i="13" a="1"/>
  <c r="P22" i="21" a="1"/>
  <c r="T33" i="48" a="1"/>
  <c r="P30" i="21" a="1"/>
  <c r="N73" i="17" a="1"/>
  <c r="Q18" i="17" a="1"/>
  <c r="Q89" i="20" a="1"/>
  <c r="R8" i="13" a="1"/>
  <c r="P28" i="21" a="1"/>
  <c r="O10" i="50" a="1"/>
  <c r="Q19" i="17" a="1"/>
  <c r="N49" i="20" a="1"/>
  <c r="N65" i="17" a="1"/>
  <c r="Q112" i="20" a="1"/>
  <c r="O98" i="20" a="1"/>
  <c r="P15" i="21" a="1"/>
  <c r="R69" i="13" a="1"/>
  <c r="O54" i="20" a="1"/>
  <c r="P35" i="21" a="1"/>
  <c r="O107" i="20" a="1"/>
  <c r="V10" i="48" a="1"/>
  <c r="Q50" i="17" a="1"/>
  <c r="S14" i="13" a="1"/>
  <c r="U33" i="48" a="1"/>
  <c r="Q7" i="50" a="1"/>
  <c r="O37" i="20" a="1"/>
  <c r="O13" i="17" a="1"/>
  <c r="R82" i="19" a="1"/>
  <c r="O16" i="17" a="1"/>
  <c r="Q63" i="20" a="1"/>
  <c r="R15" i="21" a="1"/>
  <c r="Q63" i="17" a="1"/>
  <c r="R65" i="13" a="1"/>
  <c r="R18" i="13" a="1"/>
  <c r="R13" i="44" a="1"/>
  <c r="R52" i="13" a="1"/>
  <c r="S40" i="13" a="1"/>
  <c r="Q19" i="50" a="1"/>
  <c r="U14" i="48" a="1"/>
  <c r="Q12" i="17" a="1"/>
  <c r="U15" i="44" a="1"/>
  <c r="O23" i="17" a="1"/>
  <c r="Y19" i="44" a="1"/>
  <c r="N23" i="17" a="1"/>
  <c r="O38" i="21" a="1"/>
  <c r="S70" i="19" a="1"/>
  <c r="R40" i="13" a="1"/>
  <c r="R33" i="13" a="1"/>
  <c r="O29" i="21" a="1"/>
  <c r="R73" i="19" a="1"/>
  <c r="V29" i="48" a="1"/>
  <c r="S103" i="19" a="1"/>
  <c r="O40" i="20" a="1"/>
  <c r="Q24" i="50" a="1"/>
  <c r="S91" i="19" a="1"/>
  <c r="O51" i="20" a="1"/>
  <c r="P93" i="19" a="1"/>
  <c r="R17" i="21" a="1"/>
  <c r="Q17" i="17" a="1"/>
  <c r="U13" i="13" a="1"/>
  <c r="R34" i="13" a="1"/>
  <c r="R42" i="13" a="1"/>
  <c r="O59" i="20" a="1"/>
  <c r="O41" i="50" a="1"/>
  <c r="T8" i="44" a="1"/>
  <c r="O96" i="20" a="1"/>
  <c r="O41" i="21" a="1"/>
  <c r="S80" i="19" a="1"/>
  <c r="Q34" i="50" a="1"/>
  <c r="N56" i="17" a="1"/>
  <c r="O46" i="21" a="1"/>
  <c r="S20" i="13" a="1"/>
  <c r="S69" i="19" a="1"/>
  <c r="U12" i="13" a="1"/>
  <c r="Q49" i="20" a="1"/>
  <c r="P75" i="19" a="1"/>
  <c r="Y29" i="44" a="1"/>
  <c r="Q17" i="50" a="1"/>
  <c r="U52" i="13" a="1"/>
  <c r="R29" i="21" a="1"/>
  <c r="O94" i="20" a="1"/>
  <c r="Q69" i="17" a="1"/>
  <c r="S12" i="13" a="1"/>
  <c r="Q31" i="50" a="1"/>
  <c r="S15" i="13" a="1"/>
  <c r="R27" i="21" a="1"/>
  <c r="O39" i="20" a="1"/>
  <c r="S84" i="19" a="1"/>
  <c r="P41" i="21" a="1"/>
  <c r="O73" i="17" a="1"/>
  <c r="R10" i="13" a="1"/>
  <c r="T10" i="48" a="1"/>
  <c r="Y8" i="44" a="1"/>
  <c r="Q104" i="20" a="1"/>
  <c r="O22" i="17" a="1"/>
  <c r="Q54" i="17" a="1"/>
  <c r="R50" i="13" a="1"/>
  <c r="N32" i="20" a="1"/>
  <c r="R20" i="13" a="1"/>
  <c r="R84" i="19" a="1"/>
  <c r="O33" i="50" a="1"/>
  <c r="N62" i="17" a="1"/>
  <c r="O109" i="20" a="1"/>
  <c r="S33" i="13" a="1"/>
  <c r="R21" i="13" a="1"/>
  <c r="O37" i="17" a="1"/>
  <c r="Q102" i="20" a="1"/>
  <c r="S66" i="19" a="1"/>
  <c r="Q45" i="17" a="1"/>
  <c r="R23" i="21" a="1"/>
  <c r="U21" i="13" a="1"/>
  <c r="S25" i="13" a="1"/>
  <c r="S73" i="19" a="1"/>
  <c r="U29" i="13" a="1"/>
  <c r="N7" i="20" a="1"/>
  <c r="U31" i="48" a="1"/>
  <c r="O14" i="50" a="1"/>
  <c r="O24" i="50" a="1"/>
  <c r="O11" i="21" a="1"/>
  <c r="R83" i="19" a="1"/>
  <c r="O36" i="20" a="1"/>
  <c r="Q56" i="17" a="1"/>
  <c r="O88" i="20" a="1"/>
  <c r="S71" i="19" a="1"/>
  <c r="Q107" i="20" a="1"/>
  <c r="O41" i="20" a="1"/>
  <c r="N52" i="20" a="1"/>
  <c r="R14" i="13" a="1"/>
  <c r="P69" i="19" a="1"/>
  <c r="O48" i="20" a="1"/>
  <c r="O60" i="17" a="1"/>
  <c r="O10" i="21" a="1"/>
  <c r="R31" i="13" a="1"/>
  <c r="N67" i="17" a="1"/>
  <c r="U30" i="48" a="1"/>
  <c r="S79" i="19" a="1"/>
  <c r="U19" i="48" a="1"/>
  <c r="O89" i="20" a="1"/>
  <c r="R47" i="13" a="1"/>
  <c r="P67" i="19" a="1"/>
  <c r="P18" i="21" a="1"/>
  <c r="Q60" i="17" a="1"/>
  <c r="O12" i="50" a="1"/>
  <c r="O70" i="17" a="1"/>
  <c r="Q37" i="20" a="1"/>
  <c r="Q40" i="50" a="1"/>
  <c r="N37" i="20" a="1"/>
  <c r="T14" i="48" a="1"/>
  <c r="V24" i="48" a="1"/>
  <c r="Q30" i="50" a="1"/>
  <c r="U51" i="13" a="1"/>
  <c r="O18" i="50" a="1"/>
  <c r="Q47" i="17" a="1"/>
  <c r="O47" i="17" a="1"/>
  <c r="S75" i="19" a="1"/>
  <c r="R12" i="13" a="1"/>
  <c r="O76" i="20" a="1"/>
  <c r="O15" i="21" a="1"/>
  <c r="Q23" i="17" a="1"/>
  <c r="Q20" i="17" a="1"/>
  <c r="S44" i="13" a="1"/>
  <c r="Q11" i="50" a="1"/>
  <c r="P19" i="21" a="1"/>
  <c r="O23" i="50" a="1"/>
  <c r="Q10" i="50" a="1"/>
  <c r="Q66" i="17" a="1"/>
  <c r="T14" i="44" a="1"/>
  <c r="S14" i="44" a="1"/>
  <c r="Q55" i="20" a="1"/>
  <c r="P71" i="19" a="1"/>
  <c r="U50" i="13" a="1"/>
  <c r="U15" i="48" a="1"/>
  <c r="U26" i="13" a="1"/>
  <c r="N36" i="20" a="1"/>
  <c r="O106" i="20" a="1"/>
  <c r="T18" i="44" a="1"/>
  <c r="N55" i="20" a="1"/>
  <c r="S74" i="19" a="1"/>
  <c r="Q58" i="20" a="1"/>
  <c r="R100" i="19" a="1"/>
  <c r="O95" i="20" a="1"/>
  <c r="U11" i="44" a="1"/>
  <c r="O38" i="20" a="1"/>
  <c r="P76" i="19" a="1"/>
  <c r="N17" i="17" a="1"/>
  <c r="R54" i="13" a="1"/>
  <c r="O62" i="17" a="1"/>
  <c r="V22" i="48" a="1"/>
  <c r="N39" i="20" a="1"/>
  <c r="Q96" i="20" a="1"/>
  <c r="Y25" i="44" a="1"/>
  <c r="T22" i="48" a="1"/>
  <c r="Q61" i="20" a="1"/>
  <c r="P92" i="19" a="1"/>
  <c r="Y23" i="44" a="1"/>
  <c r="O43" i="17" a="1"/>
  <c r="P33" i="21" a="1"/>
  <c r="O50" i="17" a="1"/>
  <c r="R11" i="44" a="1"/>
  <c r="N10" i="17" a="1"/>
  <c r="S13" i="44" a="1"/>
  <c r="R14" i="44" a="1"/>
  <c r="P65" i="19" a="1"/>
  <c r="O111" i="20" a="1"/>
  <c r="R36" i="21" a="1"/>
  <c r="Q68" i="17" a="1"/>
  <c r="N46" i="20" a="1"/>
  <c r="Y15" i="44" a="1"/>
  <c r="O8" i="50" a="1"/>
  <c r="N13" i="17" a="1"/>
  <c r="O8" i="21" a="1"/>
  <c r="R45" i="21" a="1"/>
  <c r="S47" i="13" a="1"/>
  <c r="R24" i="21" a="1"/>
  <c r="U33" i="13" a="1"/>
  <c r="N60" i="17" a="1"/>
  <c r="Q48" i="20" a="1"/>
  <c r="Q33" i="50" a="1"/>
  <c r="P79" i="19" a="1"/>
  <c r="T27" i="48" a="1"/>
  <c r="O112" i="20" a="1"/>
  <c r="U17" i="13" a="1"/>
  <c r="O14" i="21" a="1"/>
  <c r="S26" i="13" a="1"/>
  <c r="S100" i="19" a="1"/>
  <c r="R25" i="21" a="1"/>
  <c r="N8" i="17" a="1"/>
  <c r="S51" i="13" a="1"/>
  <c r="R39" i="21" a="1"/>
  <c r="S48" i="13" a="1"/>
  <c r="R90" i="19" a="1"/>
  <c r="O40" i="21" a="1"/>
  <c r="P98" i="19" a="1"/>
  <c r="N40" i="20" a="1"/>
  <c r="U46" i="13" a="1"/>
  <c r="R72" i="19" a="1"/>
  <c r="O11" i="17" a="1"/>
  <c r="U10" i="48" a="1"/>
  <c r="P85" i="19" a="1"/>
  <c r="U54" i="13" a="1"/>
  <c r="U9" i="44" a="1"/>
  <c r="O28" i="50" a="1"/>
  <c r="R61" i="13" a="1"/>
  <c r="Y9" i="44" a="1"/>
  <c r="T9" i="44" a="1"/>
  <c r="S35" i="13" a="1"/>
  <c r="R26" i="13" a="1"/>
  <c r="P26" i="21" a="1"/>
  <c r="Q49" i="17" a="1"/>
  <c r="O30" i="50" a="1"/>
  <c r="U24" i="48" a="1"/>
  <c r="O13" i="21" a="1"/>
  <c r="O71" i="17" a="1"/>
  <c r="T19" i="48" a="1"/>
  <c r="U22" i="13" a="1"/>
  <c r="R91" i="19" a="1"/>
  <c r="P13" i="17" a="1"/>
  <c r="Q41" i="17" a="1"/>
  <c r="R67" i="19" a="1"/>
  <c r="O40" i="50" a="1"/>
  <c r="S88" i="19" a="1"/>
  <c r="O45" i="21" a="1"/>
  <c r="U9" i="13" a="1"/>
  <c r="O19" i="21" a="1"/>
  <c r="S76" i="19" a="1"/>
  <c r="Q23" i="50" a="1"/>
  <c r="Q108" i="20" a="1"/>
  <c r="Q47" i="20" a="1"/>
  <c r="T11" i="48" a="1"/>
  <c r="V26" i="48" a="1"/>
  <c r="U41" i="13" a="1"/>
  <c r="S85" i="19" a="1"/>
  <c r="P17" i="21" a="1"/>
  <c r="S68" i="19" a="1"/>
  <c r="O8" i="17" a="1"/>
  <c r="R77" i="19" a="1"/>
  <c r="R22" i="21" a="1"/>
  <c r="P68" i="19" a="1"/>
  <c r="Q70" i="17" a="1"/>
  <c r="O56" i="17" a="1"/>
  <c r="R40" i="21" a="1"/>
  <c r="O22" i="21" a="1"/>
  <c r="Q43" i="17" a="1"/>
  <c r="P102" i="19" a="1"/>
  <c r="R19" i="13" a="1"/>
  <c r="Y26" i="44" a="1"/>
  <c r="O24" i="21" a="1"/>
  <c r="T17" i="48" a="1"/>
  <c r="U48" i="13" a="1"/>
  <c r="O39" i="21" a="1"/>
  <c r="S87" i="19" a="1"/>
  <c r="R97" i="19" a="1"/>
  <c r="P78" i="19" a="1"/>
  <c r="Y22" i="44" a="1"/>
  <c r="O7" i="21" a="1"/>
  <c r="S81" i="19" a="1"/>
  <c r="O99" i="20" a="1"/>
  <c r="S19" i="13" a="1"/>
  <c r="U15" i="13" a="1"/>
  <c r="N47" i="17" a="1"/>
  <c r="S41" i="13" a="1"/>
  <c r="Q29" i="50" a="1"/>
  <c r="O18" i="17" a="1"/>
  <c r="P9" i="21" a="1"/>
  <c r="Q97" i="20" a="1"/>
  <c r="T16" i="44" a="1"/>
  <c r="V7" i="48" a="1"/>
  <c r="R103" i="19" a="1"/>
  <c r="V31" i="48" a="1"/>
  <c r="Q39" i="20" a="1"/>
  <c r="Y13" i="44" a="1"/>
  <c r="V30" i="48" a="1"/>
  <c r="P29" i="21" a="1"/>
  <c r="O55" i="21" a="1"/>
  <c r="N40" i="17" a="1"/>
  <c r="N38" i="20" a="1"/>
  <c r="O30" i="21" a="1"/>
  <c r="U16" i="44" a="1"/>
  <c r="O32" i="50" a="1"/>
  <c r="P87" i="19" a="1"/>
  <c r="V25" i="48" a="1"/>
  <c r="U17" i="48" a="1"/>
  <c r="Q50" i="20" a="1"/>
  <c r="P19" i="17" a="1"/>
  <c r="S22" i="13" a="1"/>
  <c r="O108" i="20" a="1"/>
  <c r="T9" i="48" a="1"/>
  <c r="Y27" i="44" a="1"/>
  <c r="Q33" i="20" a="1"/>
  <c r="U36" i="13" a="1"/>
  <c r="R92" i="19" a="1"/>
  <c r="R67" i="13" a="1"/>
  <c r="U8" i="13" a="1"/>
  <c r="O8" i="20" a="1"/>
  <c r="U25" i="48" a="1"/>
  <c r="P22" i="17" a="1"/>
  <c r="S21" i="13" a="1"/>
  <c r="Q21" i="17" a="1"/>
  <c r="U10" i="13" a="1"/>
  <c r="Y20" i="44" a="1"/>
  <c r="S24" i="13" a="1"/>
  <c r="R44" i="21" a="1"/>
  <c r="R64" i="13" a="1"/>
  <c r="V8" i="48" a="1"/>
  <c r="P94" i="19" a="1"/>
  <c r="T29" i="48" a="1"/>
  <c r="R11" i="13" a="1"/>
  <c r="S43" i="13" a="1"/>
  <c r="R70" i="13" a="1"/>
  <c r="S96" i="19" a="1"/>
  <c r="U47" i="13" a="1"/>
  <c r="O62" i="20" a="1"/>
  <c r="Q22" i="50" a="1"/>
  <c r="N59" i="17" a="1"/>
  <c r="U20" i="13" a="1"/>
  <c r="S52" i="13" a="1"/>
  <c r="P100" i="19" a="1"/>
  <c r="O42" i="20" a="1"/>
  <c r="R37" i="21" a="1"/>
  <c r="Q65" i="17" a="1"/>
  <c r="P32" i="21" a="1"/>
  <c r="U9" i="48" a="1"/>
  <c r="U14" i="13" a="1"/>
  <c r="O17" i="50" a="1"/>
  <c r="O21" i="50" a="1"/>
  <c r="P86" i="19" a="1"/>
  <c r="U18" i="13" a="1"/>
  <c r="P97" i="19" a="1"/>
  <c r="T32" i="48" a="1"/>
  <c r="R74" i="19" a="1"/>
  <c r="S29" i="13" a="1"/>
  <c r="P39" i="21" a="1"/>
  <c r="Q32" i="50" a="1"/>
  <c r="P89" i="19" a="1"/>
  <c r="O50" i="21" a="1"/>
  <c r="U30" i="13" a="1"/>
  <c r="N70" i="17" a="1"/>
  <c r="R81" i="19" a="1"/>
  <c r="R85" i="19" a="1"/>
  <c r="N42" i="17" a="1"/>
  <c r="Q12" i="50" a="1"/>
  <c r="R89" i="19" a="1"/>
  <c r="P14" i="21" a="1"/>
  <c r="R7" i="44" a="1"/>
  <c r="O63" i="20" a="1"/>
  <c r="S99" i="19" a="1"/>
  <c r="N22" i="17" a="1"/>
  <c r="T17" i="44" a="1"/>
  <c r="T30" i="48" a="1"/>
  <c r="Q13" i="17" a="1"/>
  <c r="O101" i="20" a="1"/>
  <c r="N41" i="17" a="1"/>
  <c r="V23" i="48" a="1"/>
  <c r="Q37" i="17" a="1"/>
  <c r="Q32" i="20" a="1"/>
  <c r="S45" i="13" a="1"/>
  <c r="R7" i="21" a="1"/>
  <c r="N66" i="17" a="1"/>
  <c r="U11" i="13" a="1"/>
  <c r="S49" i="13" a="1"/>
  <c r="O13" i="50" a="1"/>
  <c r="O9" i="21" a="1"/>
  <c r="U29" i="48" a="1"/>
  <c r="U21" i="48" a="1"/>
  <c r="O44" i="17" a="1"/>
  <c r="Q92" i="20" a="1"/>
  <c r="S67" i="19" a="1"/>
  <c r="O63" i="17" a="1"/>
  <c r="Q18" i="50" a="1"/>
  <c r="Y18" i="44" a="1"/>
  <c r="N46" i="17" a="1"/>
  <c r="N48" i="20" a="1"/>
  <c r="V20" i="48" a="1"/>
  <c r="T12" i="48" a="1"/>
  <c r="P23" i="21" a="1"/>
  <c r="O31" i="21" a="1"/>
  <c r="S11" i="44" a="1"/>
  <c r="N20" i="17" a="1"/>
  <c r="O52" i="20" a="1"/>
  <c r="Q94" i="20" a="1"/>
  <c r="Q13" i="50" a="1"/>
  <c r="R9" i="21" a="1"/>
  <c r="V28" i="48" a="1"/>
  <c r="R86" i="19" a="1"/>
  <c r="R13" i="13" a="1"/>
  <c r="N52" i="17" a="1"/>
  <c r="O61" i="20" a="1"/>
  <c r="P81" i="19" a="1"/>
  <c r="V17" i="48" a="1"/>
  <c r="R43" i="21" a="1"/>
  <c r="T12" i="44" a="1"/>
  <c r="S31" i="13" a="1"/>
  <c r="N51" i="20" a="1"/>
  <c r="Q53" i="20" a="1"/>
  <c r="U42" i="13" a="1"/>
  <c r="T24" i="48" a="1"/>
  <c r="O49" i="17" a="1"/>
  <c r="N54" i="20" a="1"/>
  <c r="O9" i="17" a="1"/>
  <c r="R45" i="13" a="1"/>
  <c r="N19" i="17" a="1"/>
  <c r="T18" i="48" a="1"/>
  <c r="T31" i="48" a="1"/>
  <c r="Q51" i="17" a="1"/>
  <c r="O102" i="20" a="1"/>
  <c r="Q40" i="20" a="1"/>
  <c r="R94" i="19" a="1"/>
  <c r="O32" i="20" a="1"/>
  <c r="R101" i="19" a="1"/>
  <c r="Q111" i="20" a="1"/>
  <c r="Q106" i="20" a="1"/>
  <c r="Q20" i="50" a="1"/>
  <c r="O35" i="50" a="1"/>
  <c r="O39" i="17" a="1"/>
  <c r="O97" i="20" a="1"/>
  <c r="O47" i="21" a="1"/>
  <c r="P11" i="21" a="1"/>
  <c r="Q61" i="17" a="1"/>
  <c r="U7" i="44" a="1"/>
  <c r="R78" i="19" a="1"/>
  <c r="R95" i="19" a="1"/>
  <c r="Q109" i="20" a="1"/>
  <c r="R53" i="13" a="1"/>
  <c r="N18" i="17" a="1"/>
  <c r="O17" i="21" a="1"/>
  <c r="O16" i="50" a="1"/>
  <c r="O25" i="21" a="1"/>
  <c r="P96" i="19" a="1"/>
  <c r="O18" i="21" a="1"/>
  <c r="Q62" i="20" a="1"/>
  <c r="U28" i="48" a="1"/>
  <c r="U8" i="44" a="1"/>
  <c r="P12" i="21" a="1"/>
  <c r="T11" i="44" a="1"/>
  <c r="U35" i="13" a="1"/>
  <c r="Q64" i="20" a="1"/>
  <c r="S9" i="13" a="1"/>
  <c r="R17" i="13" a="1"/>
  <c r="N35" i="20" a="1"/>
  <c r="U26" i="48" a="1"/>
  <c r="N53" i="17" a="1"/>
  <c r="O65" i="17" a="1"/>
  <c r="O36" i="21" a="1"/>
  <c r="R43" i="13" a="1"/>
  <c r="O55" i="20" a="1"/>
  <c r="U24" i="13" a="1"/>
  <c r="U40" i="13" a="1"/>
  <c r="Y32" i="44" a="1"/>
  <c r="Q62" i="17" a="1"/>
  <c r="Q7" i="17" a="1"/>
  <c r="U13" i="48" a="1"/>
  <c r="U23" i="48" a="1"/>
  <c r="O24" i="17" a="1"/>
  <c r="P31" i="21" a="1"/>
  <c r="N42" i="20" a="1"/>
  <c r="Y7" i="44" a="1"/>
  <c r="R36" i="13" a="1"/>
  <c r="R19" i="21" a="1"/>
  <c r="O104" i="20" a="1"/>
  <c r="R41" i="13" a="1"/>
  <c r="S101" i="19" a="1"/>
  <c r="Q54" i="20" a="1"/>
  <c r="R28" i="21" a="1"/>
  <c r="Q21" i="50" a="1"/>
  <c r="S102" i="19" a="1"/>
  <c r="Y12" i="44" a="1"/>
  <c r="N56" i="20" a="1"/>
  <c r="V16" i="48" a="1"/>
  <c r="O64" i="17" a="1"/>
  <c r="N43" i="17" a="1"/>
  <c r="U13" i="44" a="1"/>
  <c r="V27" i="48" a="1"/>
  <c r="U16" i="13" a="1"/>
  <c r="U22" i="48" a="1"/>
  <c r="P40" i="21" a="1"/>
  <c r="O35" i="21" a="1"/>
  <c r="S78" i="19" a="1"/>
  <c r="O50" i="20" a="1"/>
  <c r="Q95" i="20" a="1"/>
  <c r="O52" i="17" a="1"/>
  <c r="Q46" i="20" a="1"/>
  <c r="Q28" i="50" a="1"/>
  <c r="U49" i="13" a="1"/>
  <c r="S89" i="19" a="1"/>
  <c r="R11" i="21" a="1"/>
  <c r="U19" i="13" a="1"/>
  <c r="N55" i="17" a="1"/>
  <c r="O64" i="20" a="1"/>
  <c r="O53" i="20" a="1"/>
  <c r="Y14" i="44" a="1"/>
  <c r="Y17" i="44" a="1"/>
  <c r="S94" i="19" a="1"/>
  <c r="S65" i="19" a="1"/>
  <c r="U34" i="13" a="1"/>
  <c r="R75" i="19" a="1"/>
  <c r="Q42" i="20" a="1"/>
  <c r="O42" i="21" a="1"/>
  <c r="R35" i="21" a="1"/>
  <c r="Q8" i="17" a="1"/>
  <c r="R66" i="13" a="1"/>
  <c r="O72" i="17" a="1"/>
  <c r="S46" i="13" a="1"/>
  <c r="P8" i="21" a="1"/>
  <c r="N50" i="20" a="1"/>
  <c r="R93" i="19" a="1"/>
  <c r="N21" i="17" a="1"/>
  <c r="S95" i="19" a="1"/>
  <c r="Q72" i="17" a="1"/>
  <c r="S12" i="44" a="1"/>
  <c r="U31" i="13" a="1"/>
  <c r="P24" i="21" a="1"/>
  <c r="O54" i="21" a="1"/>
  <c r="S13" i="13" a="1"/>
  <c r="O7" i="20" a="1"/>
  <c r="N50" i="17" a="1"/>
  <c r="T26" i="48" a="1"/>
  <c r="Y28" i="44" a="1"/>
  <c r="S53" i="13" a="1"/>
  <c r="N12" i="17" a="1"/>
  <c r="O21" i="17" a="1"/>
  <c r="U12" i="48" a="1"/>
  <c r="U7" i="13" a="1"/>
  <c r="U8" i="48" a="1"/>
  <c r="U28" i="13" a="1"/>
  <c r="O51" i="21" a="1"/>
  <c r="R24" i="13" a="1"/>
  <c r="P27" i="21" a="1"/>
  <c r="Q8" i="50" a="1"/>
  <c r="Q99" i="20" a="1"/>
  <c r="O7" i="17" a="1"/>
  <c r="O53" i="21" a="1"/>
  <c r="S36" i="13" a="1"/>
  <c r="V32" i="48" a="1"/>
  <c r="R60" i="13" a="1"/>
  <c r="P84" i="19" a="1"/>
  <c r="P38" i="21" a="1"/>
  <c r="N64" i="17" a="1"/>
  <c r="T21" i="48" a="1"/>
  <c r="U12" i="44" a="1"/>
  <c r="S18" i="13" a="1"/>
  <c r="N41" i="20" a="1"/>
  <c r="R42" i="21" a="1"/>
  <c r="R32" i="21" a="1"/>
  <c r="O44" i="21" a="1"/>
  <c r="P25" i="21" a="1"/>
  <c r="P73" i="19" a="1"/>
  <c r="V13" i="48" a="1"/>
  <c r="T15" i="48" a="1"/>
  <c r="R7" i="13" a="1"/>
  <c r="O40" i="17" a="1"/>
  <c r="V18" i="48" a="1"/>
  <c r="Q76" i="20" a="1"/>
  <c r="Q40" i="17" a="1"/>
  <c r="P95" i="19" a="1"/>
  <c r="N33" i="20" a="1"/>
  <c r="O68" i="17" a="1"/>
  <c r="O54" i="17" a="1"/>
  <c r="N39" i="17" a="1"/>
  <c r="P90" i="19" a="1"/>
  <c r="O27" i="50" a="1"/>
  <c r="P104" i="19" a="1"/>
  <c r="V9" i="48" a="1"/>
  <c r="Y16" i="44" a="1"/>
  <c r="N16" i="17" a="1"/>
  <c r="V15" i="48" a="1"/>
  <c r="S9" i="44" a="1"/>
  <c r="U11" i="48" a="1"/>
  <c r="N49" i="17" a="1"/>
  <c r="Q100" i="20" a="1"/>
  <c r="R10" i="21" a="1"/>
  <c r="P7" i="21" a="1"/>
  <c r="Q51" i="20" a="1"/>
  <c r="Q67" i="17" a="1"/>
  <c r="O53" i="17" a="1"/>
  <c r="O25" i="50" a="1"/>
  <c r="O17" i="17" a="1"/>
  <c r="N68" i="17" a="1"/>
  <c r="R8" i="44" a="1"/>
  <c r="U18" i="44" a="1"/>
  <c r="R59" i="13" a="1"/>
  <c r="O57" i="17" a="1"/>
  <c r="S7" i="44" a="1"/>
  <c r="O35" i="20" a="1"/>
  <c r="U18" i="48" a="1"/>
  <c r="Q56" i="20" a="1"/>
  <c r="R76" i="19" a="1"/>
  <c r="R26" i="21" a="1"/>
  <c r="O19" i="50" a="1"/>
  <c r="T13" i="48" a="1"/>
  <c r="S90" i="19" a="1"/>
  <c r="S82" i="19" a="1"/>
  <c r="O33" i="21" a="1"/>
  <c r="S10" i="13" a="1"/>
  <c r="O31" i="50" a="1"/>
  <c r="T25" i="48" a="1"/>
  <c r="R44" i="13" a="1"/>
  <c r="P44" i="21" a="1"/>
  <c r="O34" i="50" a="1"/>
  <c r="N45" i="20" a="1"/>
  <c r="O69" i="17" a="1"/>
  <c r="S17" i="13" a="1"/>
  <c r="P80" i="19" a="1"/>
  <c r="O92" i="20" a="1"/>
  <c r="N45" i="17" a="1"/>
  <c r="S77" i="19" a="1"/>
  <c r="P72" i="19" a="1"/>
  <c r="R49" i="13" a="1"/>
  <c r="V33" i="48" a="1"/>
  <c r="P83" i="19" a="1"/>
  <c r="N53" i="20" a="1"/>
  <c r="S104" i="19" a="1"/>
  <c r="P82" i="19" a="1"/>
  <c r="N47" i="20" a="1"/>
  <c r="P16" i="17" a="1"/>
  <c r="O45" i="20" a="1"/>
  <c r="R9" i="44" a="1"/>
  <c r="S54" i="13" a="1"/>
  <c r="Q98" i="20" a="1"/>
  <c r="O46" i="17" a="1"/>
  <c r="R68" i="13" a="1"/>
  <c r="O48" i="21" a="1"/>
  <c r="R15" i="44" a="1"/>
  <c r="O58" i="17" a="1"/>
  <c r="T8" i="48" a="1"/>
  <c r="Q9" i="50" a="1"/>
  <c r="N11" i="17" a="1"/>
  <c r="Y33" i="44" a="1"/>
  <c r="O15" i="17" a="1"/>
  <c r="O37" i="21" a="1"/>
  <c r="N37" i="17" a="1"/>
  <c r="R102" i="19" a="1"/>
  <c r="Q57" i="17" a="1"/>
  <c r="N72" i="17" a="1"/>
  <c r="O33" i="20" a="1"/>
  <c r="Q8" i="20" a="1"/>
  <c r="Q14" i="17" a="1"/>
  <c r="T23" i="48" a="1"/>
  <c r="Q45" i="20" a="1"/>
  <c r="U43" i="13" a="1"/>
  <c r="R79" i="19" a="1"/>
  <c r="R16" i="13" a="1"/>
  <c r="R104" i="19" a="1"/>
  <c r="P101" i="19" a="1"/>
  <c r="Q37" i="50" a="1"/>
  <c r="P42" i="21" a="1"/>
  <c r="P10" i="17" a="1"/>
  <c r="N51" i="17" a="1"/>
  <c r="P103" i="19" a="1"/>
  <c r="Q27" i="50" a="1"/>
  <c r="P10" i="21" a="1"/>
  <c r="R25" i="13" a="1"/>
  <c r="U20" i="48" a="1"/>
  <c r="R9" i="13" a="1"/>
  <c r="O46" i="20" a="1"/>
  <c r="O52" i="21" a="1"/>
  <c r="P74" i="19" a="1"/>
  <c r="Q41" i="20" a="1"/>
  <c r="N63" i="17" a="1"/>
  <c r="O14" i="17" a="1"/>
  <c r="V21" i="48" a="1"/>
  <c r="Q52" i="20" a="1"/>
  <c r="S8" i="13" a="1"/>
  <c r="R48" i="13" a="1"/>
  <c r="Q36" i="50" a="1"/>
  <c r="R70" i="19" a="1"/>
  <c r="Q22" i="17" a="1"/>
  <c r="P99" i="19" a="1"/>
  <c r="O44" i="20" a="1"/>
  <c r="R34" i="21" a="1"/>
  <c r="N57" i="17" a="1"/>
  <c r="U17" i="44" a="1"/>
  <c r="N54" i="17" a="1"/>
  <c r="R71" i="19" a="1"/>
  <c r="R10" i="44" a="1"/>
  <c r="N44" i="17" a="1"/>
  <c r="O59" i="17" a="1"/>
  <c r="P77" i="19" a="1"/>
  <c r="R98" i="19" a="1"/>
  <c r="S50" i="13" a="1"/>
  <c r="R80" i="19" a="1"/>
  <c r="Q44" i="20" a="1"/>
  <c r="Q10" i="17" a="1"/>
  <c r="R88" i="19" a="1"/>
  <c r="Q15" i="17" a="1"/>
  <c r="O43" i="21" a="1"/>
  <c r="O110" i="20" a="1"/>
  <c r="Q38" i="20" a="1"/>
  <c r="R30" i="21" a="1"/>
  <c r="R16" i="21" a="1"/>
  <c r="Q110" i="20" a="1"/>
  <c r="P43" i="21" a="1"/>
  <c r="S30" i="13" a="1"/>
  <c r="O11" i="50" a="1"/>
  <c r="O10" i="17" a="1"/>
  <c r="N7" i="17" a="1"/>
  <c r="O29" i="50" a="1"/>
  <c r="Q14" i="50" a="1"/>
  <c r="N38" i="17" a="1"/>
  <c r="O32" i="21" a="1"/>
  <c r="R68" i="19" a="1"/>
  <c r="S10" i="44" a="1"/>
  <c r="S8" i="44" a="1"/>
  <c r="T28" i="48" a="1"/>
  <c r="R46" i="21" a="1"/>
  <c r="O9" i="50" a="1"/>
  <c r="S28" i="13" a="1"/>
  <c r="O26" i="21" a="1"/>
  <c r="O56" i="20" a="1"/>
  <c r="O67" i="17" a="1"/>
  <c r="R62" i="13" a="1"/>
  <c r="Q59" i="17" a="1"/>
  <c r="Q39" i="17" a="1"/>
  <c r="P66" i="19" a="1"/>
  <c r="R8" i="21" a="1"/>
  <c r="Q53" i="17" a="1"/>
  <c r="Q16" i="17" a="1"/>
  <c r="P37" i="21" a="1"/>
  <c r="O34" i="21" a="1"/>
  <c r="Q36" i="20" a="1"/>
  <c r="R65" i="19" a="1"/>
  <c r="R35" i="13" a="1"/>
  <c r="V14" i="48" a="1"/>
  <c r="O38" i="17" a="1"/>
  <c r="P91" i="19" a="1"/>
  <c r="R38" i="21" a="1"/>
  <c r="N9" i="17" a="1"/>
  <c r="Y10" i="44" a="1"/>
  <c r="T13" i="44" a="1"/>
  <c r="Q64" i="17" a="1"/>
  <c r="O22" i="50" a="1"/>
  <c r="O16" i="21" a="1"/>
  <c r="Q42" i="17" a="1"/>
  <c r="O42" i="17" a="1"/>
  <c r="P88" i="19" a="1"/>
  <c r="N15" i="17" a="1"/>
  <c r="O36" i="50" a="1"/>
  <c r="R14" i="21" a="1"/>
  <c r="R30" i="13" a="1"/>
  <c r="R63" i="13" a="1"/>
  <c r="V19" i="48" a="1"/>
  <c r="Q44" i="17" a="1"/>
  <c r="S16" i="44" a="1"/>
  <c r="R66" i="19" a="1"/>
  <c r="O103" i="20" a="1"/>
  <c r="R12" i="21" a="1"/>
  <c r="U44" i="13" a="1"/>
  <c r="O47" i="20" a="1"/>
  <c r="Q38" i="17" a="1"/>
  <c r="O43" i="20" a="1"/>
  <c r="P46" i="21" a="1"/>
  <c r="S92" i="19" a="1"/>
  <c r="N43" i="20" a="1"/>
  <c r="T20" i="48" a="1"/>
  <c r="O49" i="21" a="1"/>
  <c r="T15" i="44" a="1"/>
  <c r="R12" i="44" a="1"/>
  <c r="S11" i="13" a="1"/>
  <c r="O51" i="17" a="1"/>
  <c r="R69" i="19" a="1"/>
  <c r="O58" i="20" a="1"/>
  <c r="S83" i="19" a="1"/>
  <c r="Q35" i="50" a="1"/>
  <c r="O55" i="17" a="1"/>
  <c r="Q55" i="17" a="1"/>
  <c r="O12" i="17" a="1"/>
  <c r="O23" i="21" a="1"/>
  <c r="O20" i="17" a="1"/>
  <c r="Q101" i="20" a="1"/>
  <c r="P36" i="21" a="1"/>
  <c r="U14" i="44" a="1"/>
  <c r="R87" i="19" a="1"/>
  <c r="R29" i="13" a="1"/>
  <c r="O61" i="17" a="1"/>
  <c r="O45" i="17" a="1"/>
  <c r="O20" i="50" a="1"/>
  <c r="Y31" i="44" a="1"/>
  <c r="V12" i="48" a="1"/>
  <c r="R22" i="13" a="1"/>
  <c r="R58" i="13" a="1"/>
  <c r="R28" i="13" a="1"/>
  <c r="Q43" i="20" a="1"/>
  <c r="U25" i="13" a="1"/>
  <c r="Y11" i="44" a="1"/>
  <c r="P16" i="21" a="1"/>
  <c r="Q16" i="50" a="1"/>
  <c r="O37" i="50" a="1"/>
  <c r="Q25" i="50" a="1"/>
  <c r="Q41" i="50" a="1"/>
  <c r="R31" i="21" a="1"/>
  <c r="R46" i="13" a="1"/>
  <c r="Q11" i="17" a="1"/>
  <c r="R33" i="21" a="1"/>
  <c r="N24" i="17" a="1"/>
  <c r="N69" i="17" a="1"/>
  <c r="Y23" i="44" l="1"/>
  <c r="R82" i="19"/>
  <c r="Q13" i="50"/>
  <c r="Q29" i="50"/>
  <c r="R31" i="21"/>
  <c r="O12" i="21"/>
  <c r="S42" i="13"/>
  <c r="R15" i="13"/>
  <c r="R65" i="13"/>
  <c r="T32" i="48"/>
  <c r="O54" i="20"/>
  <c r="N44" i="17"/>
  <c r="U11" i="44"/>
  <c r="P68" i="19"/>
  <c r="P86" i="19"/>
  <c r="O34" i="50"/>
  <c r="R38" i="21"/>
  <c r="R7" i="21"/>
  <c r="R33" i="13"/>
  <c r="S40" i="13"/>
  <c r="R35" i="13"/>
  <c r="U17" i="48"/>
  <c r="Q39" i="20"/>
  <c r="Q92" i="20"/>
  <c r="N71" i="17"/>
  <c r="U15" i="44"/>
  <c r="P104" i="19"/>
  <c r="S80" i="19"/>
  <c r="Q31" i="50"/>
  <c r="O38" i="21"/>
  <c r="O14" i="21"/>
  <c r="O45" i="21"/>
  <c r="V21" i="48"/>
  <c r="O45" i="20"/>
  <c r="Q66" i="17"/>
  <c r="S10" i="44"/>
  <c r="R75" i="19"/>
  <c r="O41" i="50"/>
  <c r="R9" i="21"/>
  <c r="O23" i="21"/>
  <c r="O10" i="21"/>
  <c r="U7" i="13"/>
  <c r="O36" i="20"/>
  <c r="Y12" i="44"/>
  <c r="R10" i="44"/>
  <c r="S72" i="19"/>
  <c r="P70" i="19"/>
  <c r="P24" i="21"/>
  <c r="R47" i="13"/>
  <c r="U20" i="13"/>
  <c r="R64" i="13"/>
  <c r="T24" i="48"/>
  <c r="O64" i="20"/>
  <c r="O100" i="20"/>
  <c r="O52" i="17"/>
  <c r="Y27" i="44"/>
  <c r="R67" i="19"/>
  <c r="P97" i="19"/>
  <c r="P10" i="21"/>
  <c r="R35" i="21"/>
  <c r="S16" i="13"/>
  <c r="S36" i="13"/>
  <c r="T8" i="48"/>
  <c r="N44" i="20"/>
  <c r="Q44" i="20"/>
  <c r="O72" i="17"/>
  <c r="U7" i="44"/>
  <c r="S82" i="19"/>
  <c r="Q32" i="50"/>
  <c r="R10" i="13"/>
  <c r="S31" i="13"/>
  <c r="R29" i="13"/>
  <c r="N52" i="20"/>
  <c r="Q60" i="17"/>
  <c r="T12" i="44"/>
  <c r="R86" i="19"/>
  <c r="P43" i="21"/>
  <c r="U40" i="13"/>
  <c r="S25" i="13"/>
  <c r="V10" i="48"/>
  <c r="N48" i="20"/>
  <c r="O97" i="20"/>
  <c r="Q37" i="17"/>
  <c r="R13" i="44"/>
  <c r="P81" i="19"/>
  <c r="R43" i="21"/>
  <c r="O18" i="21"/>
  <c r="U53" i="13"/>
  <c r="R26" i="13"/>
  <c r="U43" i="13"/>
  <c r="V15" i="48"/>
  <c r="O108" i="20"/>
  <c r="N45" i="20"/>
  <c r="O104" i="20"/>
  <c r="O56" i="17"/>
  <c r="N49" i="17"/>
  <c r="U13" i="44"/>
  <c r="R96" i="19"/>
  <c r="O23" i="50"/>
  <c r="Q35" i="50"/>
  <c r="R32" i="21"/>
  <c r="O51" i="21"/>
  <c r="U17" i="13"/>
  <c r="U52" i="13"/>
  <c r="R21" i="13"/>
  <c r="R20" i="13"/>
  <c r="U36" i="13"/>
  <c r="S14" i="13"/>
  <c r="R59" i="13"/>
  <c r="S35" i="13"/>
  <c r="R12" i="13"/>
  <c r="U23" i="48"/>
  <c r="U7" i="48"/>
  <c r="T25" i="48"/>
  <c r="T21" i="48"/>
  <c r="V30" i="48"/>
  <c r="V26" i="48"/>
  <c r="V8" i="48"/>
  <c r="O55" i="20"/>
  <c r="N43" i="20"/>
  <c r="N38" i="20"/>
  <c r="Q76" i="20"/>
  <c r="Q55" i="20"/>
  <c r="N41" i="20"/>
  <c r="Q48" i="20"/>
  <c r="O96" i="20"/>
  <c r="O98" i="20"/>
  <c r="Q38" i="17"/>
  <c r="Q58" i="17"/>
  <c r="Q72" i="17"/>
  <c r="N50" i="17"/>
  <c r="O53" i="17"/>
  <c r="O57" i="17"/>
  <c r="Q44" i="17"/>
  <c r="N46" i="17"/>
  <c r="Y9" i="44"/>
  <c r="U8" i="44"/>
  <c r="U12" i="44"/>
  <c r="R16" i="44"/>
  <c r="R65" i="19"/>
  <c r="P73" i="19"/>
  <c r="S93" i="19"/>
  <c r="P82" i="19"/>
  <c r="S102" i="19"/>
  <c r="R70" i="19"/>
  <c r="P91" i="19"/>
  <c r="S68" i="19"/>
  <c r="O18" i="50"/>
  <c r="Q36" i="50"/>
  <c r="O7" i="50"/>
  <c r="O30" i="50"/>
  <c r="O29" i="50"/>
  <c r="O32" i="21"/>
  <c r="P27" i="21"/>
  <c r="P14" i="21"/>
  <c r="R8" i="21"/>
  <c r="R46" i="21"/>
  <c r="P34" i="21"/>
  <c r="R28" i="21"/>
  <c r="R42" i="13"/>
  <c r="S12" i="13"/>
  <c r="S47" i="13"/>
  <c r="U16" i="13"/>
  <c r="U51" i="13"/>
  <c r="U15" i="13"/>
  <c r="U31" i="13"/>
  <c r="R8" i="13"/>
  <c r="U54" i="13"/>
  <c r="S30" i="13"/>
  <c r="T31" i="48"/>
  <c r="U18" i="48"/>
  <c r="T9" i="48"/>
  <c r="U12" i="48"/>
  <c r="V27" i="48"/>
  <c r="N40" i="17"/>
  <c r="R74" i="19"/>
  <c r="T26" i="48"/>
  <c r="Q109" i="20"/>
  <c r="Y15" i="44"/>
  <c r="P69" i="19"/>
  <c r="O19" i="21"/>
  <c r="S41" i="13"/>
  <c r="T30" i="48"/>
  <c r="R83" i="19"/>
  <c r="Q20" i="50"/>
  <c r="T33" i="48"/>
  <c r="Q35" i="20"/>
  <c r="N67" i="17"/>
  <c r="O60" i="17"/>
  <c r="S89" i="19"/>
  <c r="O40" i="50"/>
  <c r="R24" i="13"/>
  <c r="O50" i="20"/>
  <c r="S65" i="19"/>
  <c r="S100" i="19"/>
  <c r="O36" i="50"/>
  <c r="O47" i="21"/>
  <c r="U33" i="48"/>
  <c r="O61" i="20"/>
  <c r="O22" i="21"/>
  <c r="R60" i="13"/>
  <c r="N53" i="20"/>
  <c r="R94" i="19"/>
  <c r="P30" i="21"/>
  <c r="N7" i="20"/>
  <c r="N66" i="17"/>
  <c r="R68" i="19"/>
  <c r="S29" i="13"/>
  <c r="U15" i="48"/>
  <c r="Y10" i="44"/>
  <c r="S92" i="19"/>
  <c r="O17" i="50"/>
  <c r="R13" i="21"/>
  <c r="R22" i="13"/>
  <c r="U13" i="48"/>
  <c r="N42" i="17"/>
  <c r="R78" i="19"/>
  <c r="Q10" i="50"/>
  <c r="N39" i="20"/>
  <c r="O94" i="20"/>
  <c r="Y16" i="44"/>
  <c r="P100" i="19"/>
  <c r="S67" i="19"/>
  <c r="R88" i="19"/>
  <c r="S76" i="19"/>
  <c r="R97" i="19"/>
  <c r="S85" i="19"/>
  <c r="P101" i="19"/>
  <c r="O13" i="50"/>
  <c r="Q16" i="50"/>
  <c r="O31" i="50"/>
  <c r="O25" i="50"/>
  <c r="O24" i="50"/>
  <c r="R27" i="21"/>
  <c r="O8" i="21"/>
  <c r="O46" i="21"/>
  <c r="P41" i="21"/>
  <c r="O16" i="21"/>
  <c r="O28" i="21"/>
  <c r="P23" i="21"/>
  <c r="U34" i="13"/>
  <c r="R68" i="13"/>
  <c r="R41" i="13"/>
  <c r="S11" i="13"/>
  <c r="S46" i="13"/>
  <c r="S10" i="13"/>
  <c r="U50" i="13"/>
  <c r="U25" i="13"/>
  <c r="R70" i="13"/>
  <c r="S49" i="13"/>
  <c r="S24" i="13"/>
  <c r="T12" i="48"/>
  <c r="T22" i="48"/>
  <c r="U32" i="48"/>
  <c r="U11" i="48"/>
  <c r="V31" i="48"/>
  <c r="V7" i="48"/>
  <c r="P94" i="19"/>
  <c r="Q30" i="50"/>
  <c r="O25" i="21"/>
  <c r="S44" i="13"/>
  <c r="Q43" i="20"/>
  <c r="R100" i="19"/>
  <c r="R34" i="21"/>
  <c r="U25" i="48"/>
  <c r="Q38" i="20"/>
  <c r="Q65" i="17"/>
  <c r="R28" i="13"/>
  <c r="U9" i="48"/>
  <c r="O40" i="20"/>
  <c r="N52" i="17"/>
  <c r="T15" i="44"/>
  <c r="T17" i="48"/>
  <c r="Q61" i="20"/>
  <c r="O61" i="17"/>
  <c r="S8" i="44"/>
  <c r="P28" i="21"/>
  <c r="O40" i="21"/>
  <c r="S17" i="13"/>
  <c r="U22" i="48"/>
  <c r="O43" i="20"/>
  <c r="N73" i="17"/>
  <c r="R76" i="19"/>
  <c r="O11" i="50"/>
  <c r="O29" i="21"/>
  <c r="T14" i="48"/>
  <c r="O63" i="17"/>
  <c r="R24" i="21"/>
  <c r="S34" i="13"/>
  <c r="T28" i="48"/>
  <c r="Q69" i="17"/>
  <c r="O47" i="17"/>
  <c r="T17" i="44"/>
  <c r="S74" i="19"/>
  <c r="R44" i="21"/>
  <c r="U21" i="48"/>
  <c r="O52" i="20"/>
  <c r="O65" i="17"/>
  <c r="O55" i="17"/>
  <c r="U14" i="44"/>
  <c r="S101" i="19"/>
  <c r="P7" i="21"/>
  <c r="S28" i="13"/>
  <c r="T11" i="48"/>
  <c r="S66" i="19"/>
  <c r="O12" i="50"/>
  <c r="R39" i="21"/>
  <c r="O112" i="20"/>
  <c r="O37" i="17"/>
  <c r="O47" i="20"/>
  <c r="Q62" i="17"/>
  <c r="R11" i="44"/>
  <c r="S103" i="19"/>
  <c r="S95" i="19"/>
  <c r="O8" i="50"/>
  <c r="Q11" i="50"/>
  <c r="O20" i="50"/>
  <c r="O19" i="50"/>
  <c r="R15" i="21"/>
  <c r="P22" i="21"/>
  <c r="O52" i="21"/>
  <c r="R41" i="21"/>
  <c r="O35" i="21"/>
  <c r="O11" i="21"/>
  <c r="R23" i="21"/>
  <c r="U29" i="13"/>
  <c r="U33" i="13"/>
  <c r="R67" i="13"/>
  <c r="R40" i="13"/>
  <c r="R66" i="13"/>
  <c r="S45" i="13"/>
  <c r="R19" i="13"/>
  <c r="R43" i="13"/>
  <c r="U18" i="13"/>
  <c r="U28" i="48"/>
  <c r="U16" i="48"/>
  <c r="V14" i="48"/>
  <c r="V19" i="48"/>
  <c r="V18" i="48"/>
  <c r="Q47" i="20"/>
  <c r="O95" i="20"/>
  <c r="O70" i="17"/>
  <c r="O50" i="17"/>
  <c r="Y18" i="44"/>
  <c r="P103" i="19"/>
  <c r="Q12" i="50"/>
  <c r="R45" i="21"/>
  <c r="U11" i="13"/>
  <c r="S20" i="13"/>
  <c r="V23" i="48"/>
  <c r="N51" i="20"/>
  <c r="O59" i="20"/>
  <c r="N72" i="17"/>
  <c r="O69" i="17"/>
  <c r="Y29" i="44"/>
  <c r="P77" i="19"/>
  <c r="Q25" i="50"/>
  <c r="P44" i="21"/>
  <c r="R63" i="13"/>
  <c r="V33" i="48"/>
  <c r="Q106" i="20"/>
  <c r="Q42" i="17"/>
  <c r="S9" i="44"/>
  <c r="R101" i="19"/>
  <c r="P33" i="21"/>
  <c r="R30" i="13"/>
  <c r="V17" i="48"/>
  <c r="Q89" i="20"/>
  <c r="Q73" i="17"/>
  <c r="Y28" i="44"/>
  <c r="P78" i="19"/>
  <c r="P87" i="19"/>
  <c r="Q14" i="50"/>
  <c r="P15" i="21"/>
  <c r="R29" i="21"/>
  <c r="U48" i="13"/>
  <c r="N51" i="17"/>
  <c r="N62" i="17"/>
  <c r="N54" i="17"/>
  <c r="T10" i="44"/>
  <c r="R93" i="19"/>
  <c r="S90" i="19"/>
  <c r="O16" i="50"/>
  <c r="O35" i="50"/>
  <c r="O9" i="21"/>
  <c r="P35" i="21"/>
  <c r="P11" i="21"/>
  <c r="S52" i="13"/>
  <c r="V20" i="48"/>
  <c r="O56" i="20"/>
  <c r="Q49" i="17"/>
  <c r="Y17" i="44"/>
  <c r="S99" i="19"/>
  <c r="P88" i="19"/>
  <c r="R42" i="21"/>
  <c r="R11" i="13"/>
  <c r="T23" i="48"/>
  <c r="Q111" i="20"/>
  <c r="Q50" i="17"/>
  <c r="N65" i="17"/>
  <c r="R103" i="19"/>
  <c r="P80" i="19"/>
  <c r="P37" i="21"/>
  <c r="P18" i="21"/>
  <c r="R9" i="13"/>
  <c r="S54" i="13"/>
  <c r="U31" i="48"/>
  <c r="Q107" i="20"/>
  <c r="O45" i="17"/>
  <c r="R77" i="19"/>
  <c r="Q33" i="50"/>
  <c r="R18" i="21"/>
  <c r="S50" i="13"/>
  <c r="R48" i="13"/>
  <c r="U26" i="48"/>
  <c r="N50" i="20"/>
  <c r="O111" i="20"/>
  <c r="O76" i="20"/>
  <c r="O107" i="20"/>
  <c r="N58" i="17"/>
  <c r="N39" i="17"/>
  <c r="O68" i="17"/>
  <c r="P72" i="19"/>
  <c r="O37" i="21"/>
  <c r="U19" i="13"/>
  <c r="V11" i="48"/>
  <c r="N47" i="20"/>
  <c r="O8" i="20"/>
  <c r="O102" i="20"/>
  <c r="N63" i="17"/>
  <c r="P99" i="19"/>
  <c r="P74" i="19"/>
  <c r="Q41" i="50"/>
  <c r="P19" i="21"/>
  <c r="Q101" i="20"/>
  <c r="O7" i="20"/>
  <c r="O53" i="20"/>
  <c r="O101" i="20"/>
  <c r="O58" i="20"/>
  <c r="N47" i="17"/>
  <c r="Y31" i="44"/>
  <c r="O41" i="20"/>
  <c r="N35" i="20"/>
  <c r="Q33" i="20"/>
  <c r="N61" i="17"/>
  <c r="Q63" i="17"/>
  <c r="P83" i="19"/>
  <c r="R80" i="19"/>
  <c r="N36" i="20"/>
  <c r="Q88" i="20"/>
  <c r="O46" i="20"/>
  <c r="Q102" i="20"/>
  <c r="O39" i="20"/>
  <c r="Q37" i="20"/>
  <c r="O54" i="17"/>
  <c r="O58" i="17"/>
  <c r="Q56" i="17"/>
  <c r="O66" i="17"/>
  <c r="Q47" i="17"/>
  <c r="O38" i="17"/>
  <c r="Q46" i="17"/>
  <c r="Y25" i="44"/>
  <c r="S7" i="44"/>
  <c r="Y7" i="44"/>
  <c r="U16" i="44"/>
  <c r="R7" i="44"/>
  <c r="R89" i="19"/>
  <c r="S77" i="19"/>
  <c r="R98" i="19"/>
  <c r="P66" i="19"/>
  <c r="S86" i="19"/>
  <c r="P75" i="19"/>
  <c r="R90" i="19"/>
  <c r="Q28" i="50"/>
  <c r="Q27" i="50"/>
  <c r="Q37" i="50"/>
  <c r="O21" i="50"/>
  <c r="O14" i="50"/>
  <c r="R10" i="21"/>
  <c r="O41" i="21"/>
  <c r="P36" i="21"/>
  <c r="R30" i="21"/>
  <c r="P17" i="21"/>
  <c r="O55" i="21"/>
  <c r="U28" i="13"/>
  <c r="R36" i="13"/>
  <c r="U14" i="13"/>
  <c r="U35" i="13"/>
  <c r="S13" i="13"/>
  <c r="T20" i="48"/>
  <c r="U29" i="48"/>
  <c r="T7" i="48"/>
  <c r="V28" i="48"/>
  <c r="V32" i="48"/>
  <c r="Q96" i="20"/>
  <c r="O33" i="20"/>
  <c r="Q52" i="17"/>
  <c r="R73" i="19"/>
  <c r="S70" i="19"/>
  <c r="O22" i="50"/>
  <c r="R19" i="21"/>
  <c r="O7" i="21"/>
  <c r="U45" i="13"/>
  <c r="R18" i="13"/>
  <c r="T16" i="48"/>
  <c r="Q42" i="20"/>
  <c r="Y22" i="44"/>
  <c r="S88" i="19"/>
  <c r="Q8" i="50"/>
  <c r="R14" i="21"/>
  <c r="R14" i="13"/>
  <c r="V22" i="48"/>
  <c r="O51" i="20"/>
  <c r="Q39" i="17"/>
  <c r="Y19" i="44"/>
  <c r="R92" i="19"/>
  <c r="O33" i="50"/>
  <c r="Q19" i="50"/>
  <c r="P29" i="21"/>
  <c r="R62" i="13"/>
  <c r="S8" i="13"/>
  <c r="U19" i="48"/>
  <c r="O44" i="20"/>
  <c r="N69" i="17"/>
  <c r="R66" i="19"/>
  <c r="Q21" i="50"/>
  <c r="R33" i="21"/>
  <c r="P46" i="21"/>
  <c r="P16" i="21"/>
  <c r="S53" i="13"/>
  <c r="R61" i="13"/>
  <c r="R49" i="13"/>
  <c r="T15" i="48"/>
  <c r="O62" i="20"/>
  <c r="O59" i="17"/>
  <c r="R84" i="19"/>
  <c r="S81" i="19"/>
  <c r="Q7" i="50"/>
  <c r="R16" i="21"/>
  <c r="U21" i="13"/>
  <c r="S19" i="13"/>
  <c r="S43" i="13"/>
  <c r="U24" i="48"/>
  <c r="O106" i="20"/>
  <c r="Q59" i="20"/>
  <c r="N53" i="17"/>
  <c r="Y11" i="44"/>
  <c r="R9" i="44"/>
  <c r="R95" i="19"/>
  <c r="U42" i="13"/>
  <c r="S15" i="13"/>
  <c r="V12" i="48"/>
  <c r="O37" i="20"/>
  <c r="Q41" i="17"/>
  <c r="O44" i="17"/>
  <c r="T9" i="44"/>
  <c r="S73" i="19"/>
  <c r="P71" i="19"/>
  <c r="P90" i="19"/>
  <c r="O42" i="21"/>
  <c r="O49" i="21"/>
  <c r="R45" i="13"/>
  <c r="V29" i="48"/>
  <c r="N54" i="20"/>
  <c r="Q62" i="20"/>
  <c r="Q53" i="17"/>
  <c r="N38" i="17"/>
  <c r="Y26" i="44"/>
  <c r="P89" i="19"/>
  <c r="P65" i="19"/>
  <c r="O37" i="50"/>
  <c r="O48" i="21"/>
  <c r="O31" i="21"/>
  <c r="O24" i="21"/>
  <c r="R58" i="13"/>
  <c r="S33" i="13"/>
  <c r="S7" i="13"/>
  <c r="T27" i="48"/>
  <c r="Q32" i="20"/>
  <c r="O92" i="20"/>
  <c r="Q40" i="20"/>
  <c r="N8" i="20"/>
  <c r="O62" i="17"/>
  <c r="T8" i="44"/>
  <c r="S83" i="19"/>
  <c r="R69" i="19"/>
  <c r="O28" i="50"/>
  <c r="Q40" i="50"/>
  <c r="R26" i="21"/>
  <c r="P39" i="21"/>
  <c r="R44" i="13"/>
  <c r="S18" i="13"/>
  <c r="V25" i="48"/>
  <c r="N42" i="20"/>
  <c r="Q63" i="20"/>
  <c r="Q57" i="17"/>
  <c r="U9" i="44"/>
  <c r="R87" i="19"/>
  <c r="Q9" i="50"/>
  <c r="P38" i="21"/>
  <c r="O13" i="21"/>
  <c r="O33" i="21"/>
  <c r="N37" i="20"/>
  <c r="Q70" i="17"/>
  <c r="O67" i="17"/>
  <c r="O41" i="17"/>
  <c r="S14" i="44"/>
  <c r="N55" i="20"/>
  <c r="Q54" i="17"/>
  <c r="Q71" i="17"/>
  <c r="Q59" i="17"/>
  <c r="S13" i="44"/>
  <c r="S94" i="19"/>
  <c r="R71" i="19"/>
  <c r="P92" i="19"/>
  <c r="O89" i="20"/>
  <c r="Q58" i="20"/>
  <c r="Q103" i="20"/>
  <c r="Q104" i="20"/>
  <c r="Q54" i="20"/>
  <c r="Q99" i="20"/>
  <c r="Q53" i="20"/>
  <c r="O103" i="20"/>
  <c r="O42" i="20"/>
  <c r="Q98" i="20"/>
  <c r="O88" i="20"/>
  <c r="O49" i="17"/>
  <c r="O42" i="17"/>
  <c r="O51" i="17"/>
  <c r="N60" i="17"/>
  <c r="Q67" i="17"/>
  <c r="Q64" i="17"/>
  <c r="Y30" i="44"/>
  <c r="S12" i="44"/>
  <c r="U18" i="44"/>
  <c r="T16" i="44"/>
  <c r="R15" i="44"/>
  <c r="P84" i="19"/>
  <c r="S104" i="19"/>
  <c r="R72" i="19"/>
  <c r="P93" i="19"/>
  <c r="R81" i="19"/>
  <c r="P102" i="19"/>
  <c r="S69" i="19"/>
  <c r="P85" i="19"/>
  <c r="Q23" i="50"/>
  <c r="Q22" i="50"/>
  <c r="O32" i="50"/>
  <c r="O9" i="50"/>
  <c r="P42" i="21"/>
  <c r="R36" i="21"/>
  <c r="O30" i="21"/>
  <c r="P25" i="21"/>
  <c r="R17" i="21"/>
  <c r="P12" i="21"/>
  <c r="R17" i="13"/>
  <c r="R52" i="13"/>
  <c r="S22" i="13"/>
  <c r="R31" i="13"/>
  <c r="S9" i="13"/>
  <c r="R54" i="13"/>
  <c r="U30" i="13"/>
  <c r="U26" i="13"/>
  <c r="U27" i="48"/>
  <c r="V16" i="48"/>
  <c r="Q46" i="20"/>
  <c r="N33" i="20"/>
  <c r="Q40" i="17"/>
  <c r="O46" i="17"/>
  <c r="S11" i="44"/>
  <c r="T18" i="44"/>
  <c r="R91" i="19"/>
  <c r="O43" i="21"/>
  <c r="O39" i="21"/>
  <c r="U46" i="13"/>
  <c r="U10" i="48"/>
  <c r="N64" i="17"/>
  <c r="N41" i="17"/>
  <c r="N70" i="17"/>
  <c r="S16" i="44"/>
  <c r="S97" i="19"/>
  <c r="Q24" i="50"/>
  <c r="P26" i="21"/>
  <c r="P40" i="21"/>
  <c r="U10" i="13"/>
  <c r="U13" i="13"/>
  <c r="O48" i="20"/>
  <c r="O110" i="20"/>
  <c r="Q43" i="17"/>
  <c r="T13" i="44"/>
  <c r="P95" i="19"/>
  <c r="S71" i="19"/>
  <c r="P9" i="21"/>
  <c r="O34" i="21"/>
  <c r="O15" i="21"/>
  <c r="U9" i="13"/>
  <c r="R53" i="13"/>
  <c r="U20" i="48"/>
  <c r="O109" i="20"/>
  <c r="Y14" i="44"/>
  <c r="S98" i="19"/>
  <c r="P96" i="19"/>
  <c r="O10" i="50"/>
  <c r="O27" i="21"/>
  <c r="R40" i="21"/>
  <c r="U22" i="13"/>
  <c r="S26" i="13"/>
  <c r="T10" i="48"/>
  <c r="Q108" i="20"/>
  <c r="S15" i="44"/>
  <c r="R102" i="19"/>
  <c r="R22" i="21"/>
  <c r="Q8" i="20"/>
  <c r="U44" i="13"/>
  <c r="V13" i="48"/>
  <c r="O63" i="20"/>
  <c r="Q112" i="20"/>
  <c r="N55" i="17"/>
  <c r="O71" i="17"/>
  <c r="T11" i="44"/>
  <c r="P79" i="19"/>
  <c r="R85" i="19"/>
  <c r="O53" i="21"/>
  <c r="R11" i="21"/>
  <c r="R46" i="13"/>
  <c r="S51" i="13"/>
  <c r="R13" i="13"/>
  <c r="R34" i="13"/>
  <c r="Q110" i="20"/>
  <c r="N56" i="20"/>
  <c r="N37" i="17"/>
  <c r="O64" i="17"/>
  <c r="Y20" i="44"/>
  <c r="U17" i="44"/>
  <c r="S91" i="19"/>
  <c r="U41" i="13"/>
  <c r="U8" i="13"/>
  <c r="U30" i="48"/>
  <c r="N49" i="20"/>
  <c r="Q51" i="20"/>
  <c r="Y33" i="44"/>
  <c r="R14" i="44"/>
  <c r="P98" i="19"/>
  <c r="S84" i="19"/>
  <c r="O27" i="50"/>
  <c r="R37" i="21"/>
  <c r="P13" i="21"/>
  <c r="U14" i="48"/>
  <c r="N46" i="20"/>
  <c r="Q56" i="20"/>
  <c r="Q61" i="17"/>
  <c r="R104" i="19"/>
  <c r="R79" i="19"/>
  <c r="P32" i="21"/>
  <c r="O44" i="21"/>
  <c r="T29" i="48"/>
  <c r="Q97" i="20"/>
  <c r="O35" i="20"/>
  <c r="Q52" i="20"/>
  <c r="N59" i="17"/>
  <c r="O73" i="17"/>
  <c r="Y32" i="44"/>
  <c r="R8" i="44"/>
  <c r="S75" i="19"/>
  <c r="Q34" i="50"/>
  <c r="O26" i="21"/>
  <c r="P8" i="21"/>
  <c r="S48" i="13"/>
  <c r="Q45" i="20"/>
  <c r="Q45" i="17"/>
  <c r="O39" i="17"/>
  <c r="Y13" i="44"/>
  <c r="O49" i="20"/>
  <c r="Q41" i="20"/>
  <c r="N68" i="17"/>
  <c r="O40" i="17"/>
  <c r="Y8" i="44"/>
  <c r="U10" i="44"/>
  <c r="N32" i="20"/>
  <c r="N40" i="20"/>
  <c r="Q100" i="20"/>
  <c r="Q50" i="20"/>
  <c r="Q36" i="20"/>
  <c r="Q95" i="20"/>
  <c r="Q49" i="20"/>
  <c r="O99" i="20"/>
  <c r="O38" i="20"/>
  <c r="Q94" i="20"/>
  <c r="O32" i="20"/>
  <c r="Q64" i="20"/>
  <c r="N43" i="17"/>
  <c r="N57" i="17"/>
  <c r="N45" i="17"/>
  <c r="Q55" i="17"/>
  <c r="Q68" i="17"/>
  <c r="Q51" i="17"/>
  <c r="O43" i="17"/>
  <c r="N56" i="17"/>
  <c r="T14" i="44"/>
  <c r="T7" i="44"/>
  <c r="R12" i="44"/>
  <c r="S78" i="19"/>
  <c r="R99" i="19"/>
  <c r="P67" i="19"/>
  <c r="S87" i="19"/>
  <c r="P76" i="19"/>
  <c r="S96" i="19"/>
  <c r="S79" i="19"/>
  <c r="Q18" i="50"/>
  <c r="Q17" i="50"/>
  <c r="O54" i="21"/>
  <c r="O36" i="21"/>
  <c r="P31" i="21"/>
  <c r="R25" i="21"/>
  <c r="O17" i="21"/>
  <c r="R12" i="21"/>
  <c r="O50" i="21"/>
  <c r="P45" i="21"/>
  <c r="U12" i="13"/>
  <c r="U47" i="13"/>
  <c r="R16" i="13"/>
  <c r="R51" i="13"/>
  <c r="S21" i="13"/>
  <c r="R50" i="13"/>
  <c r="R25" i="13"/>
  <c r="R7" i="13"/>
  <c r="U49" i="13"/>
  <c r="U24" i="13"/>
  <c r="R69" i="13"/>
  <c r="T19" i="48"/>
  <c r="T13" i="48"/>
  <c r="T18" i="48"/>
  <c r="U8" i="48"/>
  <c r="V9" i="48"/>
  <c r="V24" i="48"/>
  <c r="P13" i="17"/>
  <c r="P22" i="17"/>
  <c r="P16" i="17"/>
  <c r="P19" i="17"/>
  <c r="P10" i="17"/>
  <c r="N7" i="17"/>
  <c r="O7" i="17"/>
  <c r="Q7" i="17"/>
  <c r="Q22" i="17"/>
  <c r="N10" i="17"/>
  <c r="O22" i="17"/>
  <c r="N22" i="17"/>
  <c r="O16" i="17"/>
  <c r="O13" i="17"/>
  <c r="N19" i="17"/>
  <c r="O19" i="17"/>
  <c r="Q19" i="17"/>
  <c r="N13" i="17"/>
  <c r="Q10" i="17"/>
  <c r="Q13" i="17"/>
  <c r="Q16" i="17"/>
  <c r="O10" i="17"/>
  <c r="N16" i="17"/>
  <c r="N24" i="17"/>
  <c r="Q24" i="17"/>
  <c r="O24" i="17"/>
  <c r="N20" i="17"/>
  <c r="Q18" i="17"/>
  <c r="N12" i="17"/>
  <c r="O11" i="17"/>
  <c r="O18" i="17"/>
  <c r="Q11" i="17"/>
  <c r="O12" i="17"/>
  <c r="Q23" i="17"/>
  <c r="O15" i="17"/>
  <c r="Q9" i="17"/>
  <c r="N11" i="17"/>
  <c r="Q20" i="17"/>
  <c r="O9" i="17"/>
  <c r="N15" i="17"/>
  <c r="Q15" i="17"/>
  <c r="Q21" i="17"/>
  <c r="O23" i="17"/>
  <c r="O21" i="17"/>
  <c r="N14" i="17"/>
  <c r="N18" i="17"/>
  <c r="Q17" i="17"/>
  <c r="O17" i="17"/>
  <c r="N23" i="17"/>
  <c r="O14" i="17"/>
  <c r="N9" i="17"/>
  <c r="Q14" i="17"/>
  <c r="N17" i="17"/>
  <c r="Q12" i="17"/>
  <c r="N21" i="17"/>
  <c r="O20" i="17"/>
  <c r="N8" i="17"/>
  <c r="Q8" i="17"/>
  <c r="O8" i="17"/>
  <c r="BX328" i="22"/>
  <c r="BY328" i="22"/>
  <c r="BY272" i="22"/>
  <c r="BX272" i="22"/>
  <c r="BY288" i="22"/>
  <c r="BX288" i="22"/>
  <c r="BY324" i="22"/>
  <c r="BX324" i="22"/>
  <c r="BY311" i="22"/>
  <c r="BX311" i="22"/>
  <c r="BY326" i="22"/>
  <c r="BX326" i="22"/>
  <c r="BX325" i="22"/>
  <c r="BY325" i="22"/>
  <c r="BX308" i="22"/>
  <c r="BY308" i="22"/>
  <c r="BX310" i="22"/>
  <c r="BY304" i="22" l="1"/>
  <c r="BX304" i="22"/>
  <c r="CA171" i="24" l="1"/>
  <c r="BX171" i="24"/>
  <c r="BJ171" i="24"/>
  <c r="BI171" i="24"/>
  <c r="AT171" i="24"/>
  <c r="AU171" i="24" s="1"/>
  <c r="AE171" i="24"/>
  <c r="AF171" i="24" s="1"/>
  <c r="O171" i="24"/>
  <c r="N171" i="24"/>
  <c r="M171" i="24"/>
  <c r="L171" i="24"/>
  <c r="K171" i="24"/>
  <c r="J171" i="24"/>
  <c r="I171" i="24"/>
  <c r="H171" i="24"/>
  <c r="G171" i="24"/>
  <c r="F171" i="24"/>
  <c r="E171" i="24"/>
  <c r="D171" i="24"/>
  <c r="P171" i="24" s="1"/>
  <c r="Q171" i="24" s="1"/>
  <c r="CA170" i="24"/>
  <c r="BX170" i="24"/>
  <c r="BJ170" i="24"/>
  <c r="CC170" i="24" s="1"/>
  <c r="BI170" i="24"/>
  <c r="AT170" i="24"/>
  <c r="AU170" i="24" s="1"/>
  <c r="AE170" i="24"/>
  <c r="AF170" i="24" s="1"/>
  <c r="P170" i="24"/>
  <c r="Q170" i="24" s="1"/>
  <c r="O170" i="24"/>
  <c r="N170" i="24"/>
  <c r="M170" i="24"/>
  <c r="L170" i="24"/>
  <c r="K170" i="24"/>
  <c r="J170" i="24"/>
  <c r="I170" i="24"/>
  <c r="H170" i="24"/>
  <c r="G170" i="24"/>
  <c r="F170" i="24"/>
  <c r="E170" i="24"/>
  <c r="D170" i="24"/>
  <c r="CA169" i="24"/>
  <c r="BX169" i="24"/>
  <c r="BJ169" i="24"/>
  <c r="BI169" i="24"/>
  <c r="AT169" i="24"/>
  <c r="AU169" i="24" s="1"/>
  <c r="AE169" i="24"/>
  <c r="AF169" i="24" s="1"/>
  <c r="O169" i="24"/>
  <c r="N169" i="24"/>
  <c r="M169" i="24"/>
  <c r="L169" i="24"/>
  <c r="K169" i="24"/>
  <c r="J169" i="24"/>
  <c r="I169" i="24"/>
  <c r="H169" i="24"/>
  <c r="G169" i="24"/>
  <c r="F169" i="24"/>
  <c r="E169" i="24"/>
  <c r="D169" i="24"/>
  <c r="P169" i="24" s="1"/>
  <c r="Q169" i="24" s="1"/>
  <c r="CA168" i="24"/>
  <c r="BX168" i="24"/>
  <c r="BJ168" i="24"/>
  <c r="BI168" i="24"/>
  <c r="AT168" i="24"/>
  <c r="AU168" i="24" s="1"/>
  <c r="AE168" i="24"/>
  <c r="AF168" i="24" s="1"/>
  <c r="O168" i="24"/>
  <c r="N168" i="24"/>
  <c r="M168" i="24"/>
  <c r="L168" i="24"/>
  <c r="K168" i="24"/>
  <c r="J168" i="24"/>
  <c r="I168" i="24"/>
  <c r="H168" i="24"/>
  <c r="G168" i="24"/>
  <c r="F168" i="24"/>
  <c r="E168" i="24"/>
  <c r="D168" i="24"/>
  <c r="P168" i="24" s="1"/>
  <c r="Q168" i="24" s="1"/>
  <c r="CA167" i="24"/>
  <c r="BX167" i="24"/>
  <c r="BJ167" i="24"/>
  <c r="BI167" i="24"/>
  <c r="AT167" i="24"/>
  <c r="AU167" i="24" s="1"/>
  <c r="AE167" i="24"/>
  <c r="AF167" i="24" s="1"/>
  <c r="O167" i="24"/>
  <c r="N167" i="24"/>
  <c r="M167" i="24"/>
  <c r="L167" i="24"/>
  <c r="K167" i="24"/>
  <c r="J167" i="24"/>
  <c r="I167" i="24"/>
  <c r="H167" i="24"/>
  <c r="G167" i="24"/>
  <c r="F167" i="24"/>
  <c r="E167" i="24"/>
  <c r="D167" i="24"/>
  <c r="P167" i="24" s="1"/>
  <c r="Q167" i="24" s="1"/>
  <c r="BJ344" i="24"/>
  <c r="BJ343" i="24"/>
  <c r="BJ342" i="24"/>
  <c r="BJ341" i="24"/>
  <c r="BJ340" i="24"/>
  <c r="BJ339" i="24"/>
  <c r="BJ338" i="24"/>
  <c r="BJ337" i="24"/>
  <c r="BJ336" i="24"/>
  <c r="BJ335" i="24"/>
  <c r="BJ334" i="24"/>
  <c r="BJ333" i="24"/>
  <c r="BJ332" i="24"/>
  <c r="BJ331" i="24"/>
  <c r="BJ330" i="24"/>
  <c r="BJ329" i="24"/>
  <c r="BJ328" i="24"/>
  <c r="BJ327" i="24"/>
  <c r="BJ326" i="24"/>
  <c r="BJ325" i="24"/>
  <c r="BJ324" i="24"/>
  <c r="BJ323" i="24"/>
  <c r="BJ322" i="24"/>
  <c r="BJ321" i="24"/>
  <c r="BJ320" i="24"/>
  <c r="BJ319" i="24"/>
  <c r="BJ318" i="24"/>
  <c r="BJ317" i="24"/>
  <c r="BJ316" i="24"/>
  <c r="BJ315" i="24"/>
  <c r="BJ314" i="24"/>
  <c r="BJ313" i="24"/>
  <c r="BJ312" i="24"/>
  <c r="BJ311" i="24"/>
  <c r="BJ310" i="24"/>
  <c r="BJ309" i="24"/>
  <c r="BJ308" i="24"/>
  <c r="BJ307" i="24"/>
  <c r="BJ306" i="24"/>
  <c r="BJ305" i="24"/>
  <c r="BJ304" i="24"/>
  <c r="BJ303" i="24"/>
  <c r="BJ302" i="24"/>
  <c r="BJ301" i="24"/>
  <c r="BJ300" i="24"/>
  <c r="BJ299" i="24"/>
  <c r="BJ298" i="24"/>
  <c r="BJ296" i="24"/>
  <c r="BJ295" i="24"/>
  <c r="BJ294" i="24"/>
  <c r="BJ293" i="24"/>
  <c r="BJ292" i="24"/>
  <c r="BJ290" i="24"/>
  <c r="BJ289" i="24"/>
  <c r="BJ284" i="24"/>
  <c r="BJ283" i="24"/>
  <c r="BJ282" i="24"/>
  <c r="BJ281" i="24"/>
  <c r="BJ280" i="24"/>
  <c r="BJ279" i="24"/>
  <c r="BJ278" i="24"/>
  <c r="BJ277" i="24"/>
  <c r="BJ276" i="24"/>
  <c r="BJ275" i="24"/>
  <c r="BJ274" i="24"/>
  <c r="BJ273" i="24"/>
  <c r="BJ272" i="24"/>
  <c r="BJ271" i="24"/>
  <c r="BJ270" i="24"/>
  <c r="BJ269" i="24"/>
  <c r="BJ268" i="24"/>
  <c r="BJ267" i="24"/>
  <c r="BJ266" i="24"/>
  <c r="BJ265" i="24"/>
  <c r="BJ264" i="24"/>
  <c r="BJ263" i="24"/>
  <c r="BJ262" i="24"/>
  <c r="BJ261" i="24"/>
  <c r="BJ260" i="24"/>
  <c r="BJ259" i="24"/>
  <c r="BJ258" i="24"/>
  <c r="CC258" i="24" s="1"/>
  <c r="BJ257" i="24"/>
  <c r="CC257" i="24" s="1"/>
  <c r="BJ256" i="24"/>
  <c r="CC256" i="24" s="1"/>
  <c r="BJ255" i="24"/>
  <c r="CC255" i="24" s="1"/>
  <c r="BJ254" i="24"/>
  <c r="CC254" i="24" s="1"/>
  <c r="BJ253" i="24"/>
  <c r="CC253" i="24" s="1"/>
  <c r="BJ252" i="24"/>
  <c r="CC252" i="24" s="1"/>
  <c r="BJ251" i="24"/>
  <c r="CC251" i="24" s="1"/>
  <c r="BJ250" i="24"/>
  <c r="CC250" i="24" s="1"/>
  <c r="BJ249" i="24"/>
  <c r="CC249" i="24" s="1"/>
  <c r="BJ248" i="24"/>
  <c r="CC248" i="24" s="1"/>
  <c r="BJ247" i="24"/>
  <c r="CC247" i="24" s="1"/>
  <c r="BJ246" i="24"/>
  <c r="CC246" i="24" s="1"/>
  <c r="BJ245" i="24"/>
  <c r="CC245" i="24" s="1"/>
  <c r="BJ244" i="24"/>
  <c r="CC244" i="24" s="1"/>
  <c r="BJ243" i="24"/>
  <c r="CC243" i="24" s="1"/>
  <c r="BJ242" i="24"/>
  <c r="CC242" i="24" s="1"/>
  <c r="BJ241" i="24"/>
  <c r="CC241" i="24" s="1"/>
  <c r="BJ240" i="24"/>
  <c r="CC240" i="24" s="1"/>
  <c r="BJ239" i="24"/>
  <c r="CC239" i="24" s="1"/>
  <c r="BJ238" i="24"/>
  <c r="CC238" i="24" s="1"/>
  <c r="BJ237" i="24"/>
  <c r="CC237" i="24" s="1"/>
  <c r="BJ236" i="24"/>
  <c r="CC236" i="24" s="1"/>
  <c r="BJ235" i="24"/>
  <c r="CC235" i="24" s="1"/>
  <c r="BJ234" i="24"/>
  <c r="CC234" i="24" s="1"/>
  <c r="BJ233" i="24"/>
  <c r="CC233" i="24" s="1"/>
  <c r="BJ232" i="24"/>
  <c r="CC232" i="24" s="1"/>
  <c r="BJ231" i="24"/>
  <c r="CC231" i="24" s="1"/>
  <c r="BJ230" i="24"/>
  <c r="CC230" i="24" s="1"/>
  <c r="BJ229" i="24"/>
  <c r="CC229" i="24" s="1"/>
  <c r="BJ228" i="24"/>
  <c r="CC228" i="24" s="1"/>
  <c r="BJ227" i="24"/>
  <c r="CC227" i="24" s="1"/>
  <c r="BJ226" i="24"/>
  <c r="CC226" i="24" s="1"/>
  <c r="BJ224" i="24"/>
  <c r="BJ223" i="24"/>
  <c r="BJ222" i="24"/>
  <c r="BJ221" i="24"/>
  <c r="BJ220" i="24"/>
  <c r="CC220" i="24" s="1"/>
  <c r="BJ219" i="24"/>
  <c r="CC219" i="24" s="1"/>
  <c r="BJ218" i="24"/>
  <c r="CC218" i="24" s="1"/>
  <c r="BJ217" i="24"/>
  <c r="CC217" i="24" s="1"/>
  <c r="BJ216" i="24"/>
  <c r="CC216" i="24" s="1"/>
  <c r="BJ215" i="24"/>
  <c r="CC215" i="24" s="1"/>
  <c r="BJ214" i="24"/>
  <c r="CC214" i="24" s="1"/>
  <c r="BJ213" i="24"/>
  <c r="CC213" i="24" s="1"/>
  <c r="BJ212" i="24"/>
  <c r="CC212" i="24" s="1"/>
  <c r="BJ211" i="24"/>
  <c r="CC211" i="24" s="1"/>
  <c r="BJ210" i="24"/>
  <c r="CC210" i="24" s="1"/>
  <c r="BJ209" i="24"/>
  <c r="CC209" i="24" s="1"/>
  <c r="BJ208" i="24"/>
  <c r="CC208" i="24" s="1"/>
  <c r="BJ207" i="24"/>
  <c r="CC207" i="24" s="1"/>
  <c r="BJ206" i="24"/>
  <c r="CC206" i="24" s="1"/>
  <c r="BJ205" i="24"/>
  <c r="CC205" i="24" s="1"/>
  <c r="BJ204" i="24"/>
  <c r="CC204" i="24" s="1"/>
  <c r="BJ203" i="24"/>
  <c r="CC203" i="24" s="1"/>
  <c r="BJ202" i="24"/>
  <c r="CC202" i="24" s="1"/>
  <c r="BJ201" i="24"/>
  <c r="CC201" i="24" s="1"/>
  <c r="BJ200" i="24"/>
  <c r="CC200" i="24" s="1"/>
  <c r="BJ199" i="24"/>
  <c r="CC199" i="24" s="1"/>
  <c r="BJ198" i="24"/>
  <c r="CC198" i="24" s="1"/>
  <c r="BJ197" i="24"/>
  <c r="CC197" i="24" s="1"/>
  <c r="BJ196" i="24"/>
  <c r="CC196" i="24" s="1"/>
  <c r="BJ195" i="24"/>
  <c r="CC195" i="24" s="1"/>
  <c r="BJ194" i="24"/>
  <c r="CC194" i="24" s="1"/>
  <c r="BJ193" i="24"/>
  <c r="CC193" i="24" s="1"/>
  <c r="BJ192" i="24"/>
  <c r="CC192" i="24" s="1"/>
  <c r="BJ191" i="24"/>
  <c r="CC191" i="24" s="1"/>
  <c r="BJ190" i="24"/>
  <c r="CC190" i="24" s="1"/>
  <c r="BJ189" i="24"/>
  <c r="CC189" i="24" s="1"/>
  <c r="BJ188" i="24"/>
  <c r="CC188" i="24" s="1"/>
  <c r="BJ187" i="24"/>
  <c r="BJ186" i="24"/>
  <c r="BJ185" i="24"/>
  <c r="BJ184" i="24"/>
  <c r="BJ183" i="24"/>
  <c r="BJ182" i="24"/>
  <c r="BJ181" i="24"/>
  <c r="BJ180" i="24"/>
  <c r="BJ179" i="24"/>
  <c r="BJ178" i="24"/>
  <c r="BJ177" i="24"/>
  <c r="BJ176" i="24"/>
  <c r="BJ175" i="24"/>
  <c r="BJ174" i="24"/>
  <c r="BJ173" i="24"/>
  <c r="BJ172" i="24"/>
  <c r="BJ166" i="24"/>
  <c r="BJ165" i="24"/>
  <c r="BJ164" i="24"/>
  <c r="BJ163" i="24"/>
  <c r="BJ162" i="24"/>
  <c r="BJ161" i="24"/>
  <c r="BJ160" i="24"/>
  <c r="BJ159" i="24"/>
  <c r="BJ158" i="24"/>
  <c r="BJ157" i="24"/>
  <c r="BJ156" i="24"/>
  <c r="BJ155" i="24"/>
  <c r="BJ154" i="24"/>
  <c r="BJ153" i="24"/>
  <c r="BJ152" i="24"/>
  <c r="BJ151" i="24"/>
  <c r="CC151" i="24" s="1"/>
  <c r="BJ150" i="24"/>
  <c r="CC150" i="24" s="1"/>
  <c r="BJ149" i="24"/>
  <c r="BJ148" i="24"/>
  <c r="CC148" i="24" s="1"/>
  <c r="BJ147" i="24"/>
  <c r="BJ146" i="24"/>
  <c r="BJ145" i="24"/>
  <c r="BJ143" i="24"/>
  <c r="BJ142" i="24"/>
  <c r="CC142" i="24" s="1"/>
  <c r="BJ141" i="24"/>
  <c r="CC141" i="24" s="1"/>
  <c r="BJ139" i="24"/>
  <c r="CC139" i="24" s="1"/>
  <c r="BJ138" i="24"/>
  <c r="CC138" i="24" s="1"/>
  <c r="BJ137" i="24"/>
  <c r="CC137" i="24" s="1"/>
  <c r="BJ136" i="24"/>
  <c r="CC136" i="24" s="1"/>
  <c r="BJ135" i="24"/>
  <c r="CC135" i="24" s="1"/>
  <c r="BJ134" i="24"/>
  <c r="CC134" i="24" s="1"/>
  <c r="BJ133" i="24"/>
  <c r="CC133" i="24" s="1"/>
  <c r="BJ132" i="24"/>
  <c r="CC132" i="24" s="1"/>
  <c r="BJ131" i="24"/>
  <c r="CC131" i="24" s="1"/>
  <c r="BJ130" i="24"/>
  <c r="CC130" i="24" s="1"/>
  <c r="BJ129" i="24"/>
  <c r="CC129" i="24" s="1"/>
  <c r="BJ128" i="24"/>
  <c r="CC128" i="24" s="1"/>
  <c r="BJ127" i="24"/>
  <c r="CC127" i="24" s="1"/>
  <c r="BJ126" i="24"/>
  <c r="CC126" i="24" s="1"/>
  <c r="BJ125" i="24"/>
  <c r="CC125" i="24" s="1"/>
  <c r="BJ124" i="24"/>
  <c r="CC124" i="24" s="1"/>
  <c r="BJ123" i="24"/>
  <c r="CC123" i="24" s="1"/>
  <c r="BJ122" i="24"/>
  <c r="CC122" i="24" s="1"/>
  <c r="BJ121" i="24"/>
  <c r="CC121" i="24" s="1"/>
  <c r="BJ120" i="24"/>
  <c r="CC120" i="24" s="1"/>
  <c r="BJ119" i="24"/>
  <c r="CC119" i="24" s="1"/>
  <c r="BJ118" i="24"/>
  <c r="CC118" i="24" s="1"/>
  <c r="BJ117" i="24"/>
  <c r="CC117" i="24" s="1"/>
  <c r="BJ116" i="24"/>
  <c r="CC116" i="24" s="1"/>
  <c r="BJ115" i="24"/>
  <c r="BJ114" i="24"/>
  <c r="CC114" i="24" s="1"/>
  <c r="BJ113" i="24"/>
  <c r="CC113" i="24" s="1"/>
  <c r="BJ112" i="24"/>
  <c r="CC112" i="24" s="1"/>
  <c r="BJ111" i="24"/>
  <c r="CC111" i="24" s="1"/>
  <c r="BJ110" i="24"/>
  <c r="CC110" i="24" s="1"/>
  <c r="BJ109" i="24"/>
  <c r="CC109" i="24" s="1"/>
  <c r="BJ108" i="24"/>
  <c r="CC108" i="24" s="1"/>
  <c r="BJ107" i="24"/>
  <c r="CC107" i="24" s="1"/>
  <c r="BJ106" i="24"/>
  <c r="CC106" i="24" s="1"/>
  <c r="BJ105" i="24"/>
  <c r="CC105" i="24" s="1"/>
  <c r="BJ104" i="24"/>
  <c r="CC104" i="24" s="1"/>
  <c r="BJ103" i="24"/>
  <c r="CC103" i="24" s="1"/>
  <c r="BJ102" i="24"/>
  <c r="CC102" i="24" s="1"/>
  <c r="BJ101" i="24"/>
  <c r="CC101" i="24" s="1"/>
  <c r="BJ78" i="24"/>
  <c r="BJ77" i="24"/>
  <c r="BJ76" i="24"/>
  <c r="BJ75" i="24"/>
  <c r="BJ74" i="24"/>
  <c r="BJ71" i="24"/>
  <c r="BJ70" i="24"/>
  <c r="BJ69" i="24"/>
  <c r="BJ68" i="24"/>
  <c r="BJ67" i="24"/>
  <c r="BJ66" i="24"/>
  <c r="BJ64" i="24"/>
  <c r="CC64" i="24" s="1"/>
  <c r="BJ63" i="24"/>
  <c r="CC63" i="24" s="1"/>
  <c r="BJ62" i="24"/>
  <c r="CC62" i="24" s="1"/>
  <c r="BJ61" i="24"/>
  <c r="CC61" i="24" s="1"/>
  <c r="BJ60" i="24"/>
  <c r="CC60" i="24" s="1"/>
  <c r="BJ59" i="24"/>
  <c r="CC59" i="24" s="1"/>
  <c r="BJ56" i="24"/>
  <c r="BJ55" i="24"/>
  <c r="BJ53" i="24"/>
  <c r="CC53" i="24" s="1"/>
  <c r="BJ52" i="24"/>
  <c r="CC52" i="24" s="1"/>
  <c r="BJ50" i="24"/>
  <c r="BJ49" i="24"/>
  <c r="BJ48" i="24"/>
  <c r="BJ47" i="24"/>
  <c r="BJ46" i="24"/>
  <c r="BJ45" i="24"/>
  <c r="BJ44" i="24"/>
  <c r="BJ43" i="24"/>
  <c r="BJ42" i="24"/>
  <c r="BJ41" i="24"/>
  <c r="BJ40" i="24"/>
  <c r="BJ39" i="24"/>
  <c r="BJ38" i="24"/>
  <c r="CC38" i="24" s="1"/>
  <c r="BJ37" i="24"/>
  <c r="CC37" i="24" s="1"/>
  <c r="BJ36" i="24"/>
  <c r="CC36" i="24" s="1"/>
  <c r="BJ35" i="24"/>
  <c r="CC35" i="24" s="1"/>
  <c r="BJ34" i="24"/>
  <c r="CC34" i="24" s="1"/>
  <c r="BJ33" i="24"/>
  <c r="BJ32" i="24"/>
  <c r="BJ31" i="24"/>
  <c r="BJ30" i="24"/>
  <c r="BJ29" i="24"/>
  <c r="BJ28" i="24"/>
  <c r="BJ27" i="24"/>
  <c r="BJ26" i="24"/>
  <c r="BJ25" i="24"/>
  <c r="BJ24" i="24"/>
  <c r="BJ23" i="24"/>
  <c r="BJ22" i="24"/>
  <c r="BJ21" i="24"/>
  <c r="BJ20" i="24"/>
  <c r="BJ19" i="24"/>
  <c r="BJ18" i="24"/>
  <c r="BJ17" i="24"/>
  <c r="BJ16" i="24"/>
  <c r="BJ15" i="24"/>
  <c r="BJ14" i="24"/>
  <c r="CC14" i="24" s="1"/>
  <c r="BJ13" i="24"/>
  <c r="BJ11" i="24"/>
  <c r="BJ10" i="24"/>
  <c r="A1" i="24"/>
  <c r="A1" i="55"/>
  <c r="BA225" i="24"/>
  <c r="BJ225" i="24" s="1"/>
  <c r="CC225" i="24" s="1"/>
  <c r="C2" i="16"/>
  <c r="S5" i="16" s="1"/>
  <c r="C2" i="15"/>
  <c r="O6" i="15" s="1"/>
  <c r="AE2" i="57"/>
  <c r="A1" i="25"/>
  <c r="BL111" i="54"/>
  <c r="BX108" i="54"/>
  <c r="BW108" i="54"/>
  <c r="BX107" i="54"/>
  <c r="BW107" i="54"/>
  <c r="BX106" i="54"/>
  <c r="BW106" i="54"/>
  <c r="BX103" i="54"/>
  <c r="BW103" i="54"/>
  <c r="BX102" i="54"/>
  <c r="BW102" i="54"/>
  <c r="BX100" i="54"/>
  <c r="BW100" i="54"/>
  <c r="BX99" i="54"/>
  <c r="BW99" i="54"/>
  <c r="BX98" i="54"/>
  <c r="BW98" i="54"/>
  <c r="BX97" i="54"/>
  <c r="BW97" i="54"/>
  <c r="BX96" i="54"/>
  <c r="BX95" i="54"/>
  <c r="BW95" i="54"/>
  <c r="BX92" i="54"/>
  <c r="BW92" i="54"/>
  <c r="BX90" i="54"/>
  <c r="BW90" i="54"/>
  <c r="BX89" i="54"/>
  <c r="BW89" i="54"/>
  <c r="BX88" i="54"/>
  <c r="BW88" i="54"/>
  <c r="BX87" i="54"/>
  <c r="BW87" i="54"/>
  <c r="BX85" i="54"/>
  <c r="BW85" i="54"/>
  <c r="BW83" i="54"/>
  <c r="BX82" i="54"/>
  <c r="BW82" i="54"/>
  <c r="BX80" i="54"/>
  <c r="BW80" i="54"/>
  <c r="BX79" i="54"/>
  <c r="BW79" i="54"/>
  <c r="BX78" i="54"/>
  <c r="BW78" i="54"/>
  <c r="BX77" i="54"/>
  <c r="BW77" i="54"/>
  <c r="BX76" i="54"/>
  <c r="BW76" i="54"/>
  <c r="BX75" i="54"/>
  <c r="BW75" i="54"/>
  <c r="BX72" i="54"/>
  <c r="BW72" i="54"/>
  <c r="BX70" i="54"/>
  <c r="BW70" i="54"/>
  <c r="BX69" i="54"/>
  <c r="BW69" i="54"/>
  <c r="BW68" i="54"/>
  <c r="BW67" i="54"/>
  <c r="BW66" i="54"/>
  <c r="BX65" i="54"/>
  <c r="BW65" i="54"/>
  <c r="BX62" i="54"/>
  <c r="BW62" i="54"/>
  <c r="BX60" i="54"/>
  <c r="BW60" i="54"/>
  <c r="BX59" i="54"/>
  <c r="BW59" i="54"/>
  <c r="BW30" i="54" s="1"/>
  <c r="BX58" i="54"/>
  <c r="BW58" i="54"/>
  <c r="BX57" i="54"/>
  <c r="BW57" i="54"/>
  <c r="BX56" i="54"/>
  <c r="BX55" i="54"/>
  <c r="BW55" i="54"/>
  <c r="BX53" i="54"/>
  <c r="BW53" i="54"/>
  <c r="BX51" i="54"/>
  <c r="BW51" i="54"/>
  <c r="BX50" i="54"/>
  <c r="BW50" i="54"/>
  <c r="BX49" i="54"/>
  <c r="BW49" i="54"/>
  <c r="BX48" i="54"/>
  <c r="BW48" i="54"/>
  <c r="BX47" i="54"/>
  <c r="BX46" i="54"/>
  <c r="BW46" i="54"/>
  <c r="BX44" i="54"/>
  <c r="BW44" i="54"/>
  <c r="BX43" i="54"/>
  <c r="BW43" i="54"/>
  <c r="BX41" i="54"/>
  <c r="BW41" i="54"/>
  <c r="BX40" i="54"/>
  <c r="BW40" i="54"/>
  <c r="BX39" i="54"/>
  <c r="BW39" i="54"/>
  <c r="BX38" i="54"/>
  <c r="BW38" i="54"/>
  <c r="BX34" i="54"/>
  <c r="BX18" i="54"/>
  <c r="BX381" i="24"/>
  <c r="BX380" i="24"/>
  <c r="BX379" i="24"/>
  <c r="BX378" i="24"/>
  <c r="BX377" i="24"/>
  <c r="BX376" i="24"/>
  <c r="BX375" i="24"/>
  <c r="BX374" i="24"/>
  <c r="BX373" i="24"/>
  <c r="BX372" i="24"/>
  <c r="BX371" i="24"/>
  <c r="BX370" i="24"/>
  <c r="BX364" i="24"/>
  <c r="BX363" i="24"/>
  <c r="BX362" i="24"/>
  <c r="BX361" i="24"/>
  <c r="BX360" i="24"/>
  <c r="BX359" i="24"/>
  <c r="BX358" i="24"/>
  <c r="BX357" i="24"/>
  <c r="BX356" i="24"/>
  <c r="BX355" i="24"/>
  <c r="BX354" i="24"/>
  <c r="BX353" i="24"/>
  <c r="BX352" i="24"/>
  <c r="BX351" i="24"/>
  <c r="BX350" i="24"/>
  <c r="BX349" i="24"/>
  <c r="BX348" i="24"/>
  <c r="BX347" i="24"/>
  <c r="BX346" i="24"/>
  <c r="BX345" i="24"/>
  <c r="BX284" i="24"/>
  <c r="BX283" i="24"/>
  <c r="BX282" i="24"/>
  <c r="BX257" i="24"/>
  <c r="BX256" i="24"/>
  <c r="BX255" i="24"/>
  <c r="BX254" i="24"/>
  <c r="BX253" i="24"/>
  <c r="BX252" i="24"/>
  <c r="BX251" i="24"/>
  <c r="BX250" i="24"/>
  <c r="BX249" i="24"/>
  <c r="BX248" i="24"/>
  <c r="BX247" i="24"/>
  <c r="BX246" i="24"/>
  <c r="BX245" i="24"/>
  <c r="BX244" i="24"/>
  <c r="BX243" i="24"/>
  <c r="BX242" i="24"/>
  <c r="BX241" i="24"/>
  <c r="BX240" i="24"/>
  <c r="BX239" i="24"/>
  <c r="BX238" i="24"/>
  <c r="BX237" i="24"/>
  <c r="BX236" i="24"/>
  <c r="BX235" i="24"/>
  <c r="BX234" i="24"/>
  <c r="BX233" i="24"/>
  <c r="BX232" i="24"/>
  <c r="BX231" i="24"/>
  <c r="BX230" i="24"/>
  <c r="BX229" i="24"/>
  <c r="BX228" i="24"/>
  <c r="BX227" i="24"/>
  <c r="BX226" i="24"/>
  <c r="BX224" i="24"/>
  <c r="BX223" i="24"/>
  <c r="BX222" i="24"/>
  <c r="BX221" i="24"/>
  <c r="BX220" i="24"/>
  <c r="BX219" i="24"/>
  <c r="BX218" i="24"/>
  <c r="BX217" i="24"/>
  <c r="BX216" i="24"/>
  <c r="BX215" i="24"/>
  <c r="BX214" i="24"/>
  <c r="BX213" i="24"/>
  <c r="BX212" i="24"/>
  <c r="BX211" i="24"/>
  <c r="BX210" i="24"/>
  <c r="BX209" i="24"/>
  <c r="BX208" i="24"/>
  <c r="BX207" i="24"/>
  <c r="BX206" i="24"/>
  <c r="BX205" i="24"/>
  <c r="BX204" i="24"/>
  <c r="BX203" i="24"/>
  <c r="BX202" i="24"/>
  <c r="BX201" i="24"/>
  <c r="BX200" i="24"/>
  <c r="BX199" i="24"/>
  <c r="BX198" i="24"/>
  <c r="BX197" i="24"/>
  <c r="BX196" i="24"/>
  <c r="BX195" i="24"/>
  <c r="BX194" i="24"/>
  <c r="BX193" i="24"/>
  <c r="BX192" i="24"/>
  <c r="BX191" i="24"/>
  <c r="BX190" i="24"/>
  <c r="BX189" i="24"/>
  <c r="BX187" i="24"/>
  <c r="BX186" i="24"/>
  <c r="BX185" i="24"/>
  <c r="BX184" i="24"/>
  <c r="BX183" i="24"/>
  <c r="BX182" i="24"/>
  <c r="BX181" i="24"/>
  <c r="BX180" i="24"/>
  <c r="BX179" i="24"/>
  <c r="BX178" i="24"/>
  <c r="BX177" i="24"/>
  <c r="BX176" i="24"/>
  <c r="BX175" i="24"/>
  <c r="BX174" i="24"/>
  <c r="BX173" i="24"/>
  <c r="BX172" i="24"/>
  <c r="BX166" i="24"/>
  <c r="BX165" i="24"/>
  <c r="BX164" i="24"/>
  <c r="BX163" i="24"/>
  <c r="BX162" i="24"/>
  <c r="BX161" i="24"/>
  <c r="BX160" i="24"/>
  <c r="BX159" i="24"/>
  <c r="BX158" i="24"/>
  <c r="BX157" i="24"/>
  <c r="BX156" i="24"/>
  <c r="BX155" i="24"/>
  <c r="BX154" i="24"/>
  <c r="BX153" i="24"/>
  <c r="BX152" i="24"/>
  <c r="BX150" i="24"/>
  <c r="BX149" i="24"/>
  <c r="BX148" i="24"/>
  <c r="BX147" i="24"/>
  <c r="BX146" i="24"/>
  <c r="BX145" i="24"/>
  <c r="BX144" i="24"/>
  <c r="BX143" i="24"/>
  <c r="BX142" i="24"/>
  <c r="BX141" i="24"/>
  <c r="BX140" i="24"/>
  <c r="BX139" i="24"/>
  <c r="BX138" i="24"/>
  <c r="BX137" i="24"/>
  <c r="BX136" i="24"/>
  <c r="BX135" i="24"/>
  <c r="BX134" i="24"/>
  <c r="BX133" i="24"/>
  <c r="BX132" i="24"/>
  <c r="BX131" i="24"/>
  <c r="BX130" i="24"/>
  <c r="BX129" i="24"/>
  <c r="BX128" i="24"/>
  <c r="BX127" i="24"/>
  <c r="BX126" i="24"/>
  <c r="BX125" i="24"/>
  <c r="BX124" i="24"/>
  <c r="BX123" i="24"/>
  <c r="BX122" i="24"/>
  <c r="BX121" i="24"/>
  <c r="BX120" i="24"/>
  <c r="BX119" i="24"/>
  <c r="BX118" i="24"/>
  <c r="BX117" i="24"/>
  <c r="BX116" i="24"/>
  <c r="BX115" i="24"/>
  <c r="BX114" i="24"/>
  <c r="BX112" i="24"/>
  <c r="BX111" i="24"/>
  <c r="BX110" i="24"/>
  <c r="BX109" i="24"/>
  <c r="BX108" i="24"/>
  <c r="BX107" i="24"/>
  <c r="BX106" i="24"/>
  <c r="BX105" i="24"/>
  <c r="BX104" i="24"/>
  <c r="BX103" i="24"/>
  <c r="BX102" i="24"/>
  <c r="BX101" i="24"/>
  <c r="BX100" i="24"/>
  <c r="BX90" i="24"/>
  <c r="BY90" i="24" s="1"/>
  <c r="BX89" i="24"/>
  <c r="BY89" i="24" s="1"/>
  <c r="BX88" i="24"/>
  <c r="BY88" i="24" s="1"/>
  <c r="BX87" i="24"/>
  <c r="BY87" i="24" s="1"/>
  <c r="BX86" i="24"/>
  <c r="BY86" i="24" s="1"/>
  <c r="BX85" i="24"/>
  <c r="BY85" i="24" s="1"/>
  <c r="BX84" i="24"/>
  <c r="BY84" i="24" s="1"/>
  <c r="BX83" i="24"/>
  <c r="BY83" i="24" s="1"/>
  <c r="W70" i="16" a="1"/>
  <c r="X77" i="15" a="1"/>
  <c r="X64" i="15" a="1"/>
  <c r="X45" i="15" a="1"/>
  <c r="W48" i="16" a="1"/>
  <c r="W103" i="16" a="1"/>
  <c r="W92" i="16" a="1"/>
  <c r="W39" i="16" a="1"/>
  <c r="W67" i="16" a="1"/>
  <c r="X76" i="15" a="1"/>
  <c r="X63" i="15" a="1"/>
  <c r="W77" i="16" a="1"/>
  <c r="X84" i="15" a="1"/>
  <c r="X51" i="15" a="1"/>
  <c r="W101" i="16" a="1"/>
  <c r="W91" i="16" a="1"/>
  <c r="W38" i="16" a="1"/>
  <c r="W66" i="16" a="1"/>
  <c r="W69" i="16" a="1"/>
  <c r="X93" i="15" a="1"/>
  <c r="X47" i="15" a="1"/>
  <c r="X62" i="15" a="1"/>
  <c r="W95" i="16" a="1"/>
  <c r="W55" i="16" a="1"/>
  <c r="W99" i="16" a="1"/>
  <c r="W90" i="16" a="1"/>
  <c r="W37" i="16" a="1"/>
  <c r="W65" i="16" a="1"/>
  <c r="X49" i="15" a="1"/>
  <c r="X61" i="15" a="1"/>
  <c r="X82" i="15" a="1"/>
  <c r="X67" i="15" a="1"/>
  <c r="W102" i="16" a="1"/>
  <c r="W89" i="16" a="1"/>
  <c r="W36" i="16" a="1"/>
  <c r="W64" i="16" a="1"/>
  <c r="W52" i="16" a="1"/>
  <c r="X60" i="15" a="1"/>
  <c r="W83" i="16" a="1"/>
  <c r="W100" i="16" a="1"/>
  <c r="W88" i="16" a="1"/>
  <c r="W81" i="16" a="1"/>
  <c r="W63" i="16" a="1"/>
  <c r="W45" i="16" a="1"/>
  <c r="X59" i="15" a="1"/>
  <c r="W93" i="16" a="1"/>
  <c r="W56" i="16" a="1"/>
  <c r="W98" i="16" a="1"/>
  <c r="W87" i="16" a="1"/>
  <c r="W80" i="16" a="1"/>
  <c r="W62" i="16" a="1"/>
  <c r="W44" i="16" a="1"/>
  <c r="X94" i="15" a="1"/>
  <c r="X87" i="15" a="1"/>
  <c r="X56" i="15" a="1"/>
  <c r="W58" i="16" a="1"/>
  <c r="W57" i="16" a="1"/>
  <c r="X81" i="15" a="1"/>
  <c r="W97" i="16" a="1"/>
  <c r="W86" i="16" a="1"/>
  <c r="W79" i="16" a="1"/>
  <c r="W61" i="16" a="1"/>
  <c r="W42" i="16" a="1"/>
  <c r="X92" i="15" a="1"/>
  <c r="X86" i="15" a="1"/>
  <c r="X73" i="15" a="1"/>
  <c r="X55" i="15" a="1"/>
  <c r="W76" i="16" a="1"/>
  <c r="X69" i="15" a="1"/>
  <c r="W74" i="16" a="1"/>
  <c r="X68" i="15" a="1"/>
  <c r="W96" i="16" a="1"/>
  <c r="W85" i="16" a="1"/>
  <c r="W78" i="16" a="1"/>
  <c r="W60" i="16" a="1"/>
  <c r="X91" i="15" a="1"/>
  <c r="X85" i="15" a="1"/>
  <c r="X72" i="15" a="1"/>
  <c r="X53" i="15" a="1"/>
  <c r="W59" i="16" a="1"/>
  <c r="X71" i="15" a="1"/>
  <c r="X70" i="15" a="1"/>
  <c r="W75" i="16" a="1"/>
  <c r="W49" i="16" a="1"/>
  <c r="W73" i="16" a="1"/>
  <c r="W47" i="16" a="1"/>
  <c r="W72" i="16" a="1"/>
  <c r="W54" i="16" a="1"/>
  <c r="X79" i="15" a="1"/>
  <c r="X66" i="15" a="1"/>
  <c r="W84" i="16" a="1"/>
  <c r="X83" i="15" a="1"/>
  <c r="X89" i="15" a="1"/>
  <c r="X80" i="15" a="1"/>
  <c r="W46" i="16" a="1"/>
  <c r="W71" i="16" a="1"/>
  <c r="W53" i="16" a="1"/>
  <c r="X78" i="15" a="1"/>
  <c r="X65" i="15" a="1"/>
  <c r="X52" i="15" a="1"/>
  <c r="W94" i="16" a="1"/>
  <c r="X90" i="15" a="1"/>
  <c r="X44" i="15" a="1"/>
  <c r="X44" i="15" l="1"/>
  <c r="X90" i="15"/>
  <c r="W94" i="16"/>
  <c r="X52" i="15"/>
  <c r="X65" i="15"/>
  <c r="X78" i="15"/>
  <c r="W53" i="16"/>
  <c r="W71" i="16"/>
  <c r="W46" i="16"/>
  <c r="X80" i="15"/>
  <c r="X89" i="15"/>
  <c r="X83" i="15"/>
  <c r="W84" i="16"/>
  <c r="X66" i="15"/>
  <c r="X79" i="15"/>
  <c r="W54" i="16"/>
  <c r="W72" i="16"/>
  <c r="W47" i="16"/>
  <c r="W73" i="16"/>
  <c r="W49" i="16"/>
  <c r="W75" i="16"/>
  <c r="X70" i="15"/>
  <c r="X71" i="15"/>
  <c r="W59" i="16"/>
  <c r="X53" i="15"/>
  <c r="X72" i="15"/>
  <c r="X85" i="15"/>
  <c r="X91" i="15"/>
  <c r="W60" i="16"/>
  <c r="W78" i="16"/>
  <c r="W85" i="16"/>
  <c r="W96" i="16"/>
  <c r="X68" i="15"/>
  <c r="W74" i="16"/>
  <c r="X69" i="15"/>
  <c r="W76" i="16"/>
  <c r="X55" i="15"/>
  <c r="X73" i="15"/>
  <c r="X86" i="15"/>
  <c r="X92" i="15"/>
  <c r="W42" i="16"/>
  <c r="W61" i="16"/>
  <c r="W79" i="16"/>
  <c r="W86" i="16"/>
  <c r="W97" i="16"/>
  <c r="X81" i="15"/>
  <c r="W57" i="16"/>
  <c r="W58" i="16"/>
  <c r="X56" i="15"/>
  <c r="X87" i="15"/>
  <c r="X94" i="15"/>
  <c r="W44" i="16"/>
  <c r="W62" i="16"/>
  <c r="W80" i="16"/>
  <c r="W87" i="16"/>
  <c r="W98" i="16"/>
  <c r="W56" i="16"/>
  <c r="W93" i="16"/>
  <c r="X59" i="15"/>
  <c r="W45" i="16"/>
  <c r="W63" i="16"/>
  <c r="W81" i="16"/>
  <c r="W88" i="16"/>
  <c r="W100" i="16"/>
  <c r="W83" i="16"/>
  <c r="X60" i="15"/>
  <c r="W52" i="16"/>
  <c r="W64" i="16"/>
  <c r="W36" i="16"/>
  <c r="W89" i="16"/>
  <c r="W102" i="16"/>
  <c r="X67" i="15"/>
  <c r="X82" i="15"/>
  <c r="X61" i="15"/>
  <c r="X49" i="15"/>
  <c r="W65" i="16"/>
  <c r="W37" i="16"/>
  <c r="W90" i="16"/>
  <c r="W99" i="16"/>
  <c r="W55" i="16"/>
  <c r="W95" i="16"/>
  <c r="X62" i="15"/>
  <c r="X47" i="15"/>
  <c r="X93" i="15"/>
  <c r="W69" i="16"/>
  <c r="W66" i="16"/>
  <c r="W38" i="16"/>
  <c r="W91" i="16"/>
  <c r="W101" i="16"/>
  <c r="X51" i="15"/>
  <c r="X84" i="15"/>
  <c r="W77" i="16"/>
  <c r="X63" i="15"/>
  <c r="X76" i="15"/>
  <c r="W67" i="16"/>
  <c r="W39" i="16"/>
  <c r="W33" i="16" s="1"/>
  <c r="W92" i="16"/>
  <c r="W103" i="16"/>
  <c r="W48" i="16"/>
  <c r="X45" i="15"/>
  <c r="X64" i="15"/>
  <c r="X77" i="15"/>
  <c r="W70" i="16"/>
  <c r="CC10" i="24"/>
  <c r="CC167" i="24"/>
  <c r="BI67" i="24"/>
  <c r="CC67" i="24"/>
  <c r="CC275" i="24"/>
  <c r="CC15" i="24"/>
  <c r="CC25" i="24"/>
  <c r="CC41" i="24"/>
  <c r="CC152" i="24"/>
  <c r="CC173" i="24"/>
  <c r="CC221" i="24"/>
  <c r="CC270" i="24"/>
  <c r="CC43" i="24"/>
  <c r="BI66" i="24"/>
  <c r="CC66" i="24"/>
  <c r="CC46" i="24"/>
  <c r="CC260" i="24"/>
  <c r="CE88" i="24"/>
  <c r="CE83" i="24"/>
  <c r="CE84" i="24"/>
  <c r="CE87" i="24"/>
  <c r="CE89" i="24"/>
  <c r="CE90" i="24"/>
  <c r="CE85" i="24"/>
  <c r="CE86" i="24"/>
  <c r="CE82" i="24"/>
  <c r="CC26" i="24"/>
  <c r="CC42" i="24"/>
  <c r="CC153" i="24"/>
  <c r="CC174" i="24"/>
  <c r="CC222" i="24"/>
  <c r="CC271" i="24"/>
  <c r="CC175" i="24"/>
  <c r="CC224" i="24"/>
  <c r="CC177" i="24"/>
  <c r="CC30" i="24"/>
  <c r="CC31" i="24"/>
  <c r="CC158" i="24"/>
  <c r="CC16" i="24"/>
  <c r="CC32" i="24"/>
  <c r="CC48" i="24"/>
  <c r="BI69" i="24"/>
  <c r="CC69" i="24"/>
  <c r="CC159" i="24"/>
  <c r="CC180" i="24"/>
  <c r="CC261" i="24"/>
  <c r="CC277" i="24"/>
  <c r="CC28" i="24"/>
  <c r="CC176" i="24"/>
  <c r="CC29" i="24"/>
  <c r="CC178" i="24"/>
  <c r="CC17" i="24"/>
  <c r="CC33" i="24"/>
  <c r="CC49" i="24"/>
  <c r="BI70" i="24"/>
  <c r="CC70" i="24"/>
  <c r="CC143" i="24"/>
  <c r="CC160" i="24"/>
  <c r="CC181" i="24"/>
  <c r="CC262" i="24"/>
  <c r="CC278" i="24"/>
  <c r="CC169" i="24"/>
  <c r="CC44" i="24"/>
  <c r="CC156" i="24"/>
  <c r="CC157" i="24"/>
  <c r="CC18" i="24"/>
  <c r="CC50" i="24"/>
  <c r="BI71" i="24"/>
  <c r="CC71" i="24"/>
  <c r="CC145" i="24"/>
  <c r="CC161" i="24"/>
  <c r="CC182" i="24"/>
  <c r="CC263" i="24"/>
  <c r="CC279" i="24"/>
  <c r="CC155" i="24"/>
  <c r="CC274" i="24"/>
  <c r="CC19" i="24"/>
  <c r="CC74" i="24"/>
  <c r="BI74" i="24"/>
  <c r="CC146" i="24"/>
  <c r="CC162" i="24"/>
  <c r="CC183" i="24"/>
  <c r="CC264" i="24"/>
  <c r="CC280" i="24"/>
  <c r="CC273" i="24"/>
  <c r="CC259" i="24"/>
  <c r="CC168" i="24"/>
  <c r="CC20" i="24"/>
  <c r="CC75" i="24"/>
  <c r="BI75" i="24"/>
  <c r="CC147" i="24"/>
  <c r="CC163" i="24"/>
  <c r="CC184" i="24"/>
  <c r="CC265" i="24"/>
  <c r="CC281" i="24"/>
  <c r="CC27" i="24"/>
  <c r="CC45" i="24"/>
  <c r="CC21" i="24"/>
  <c r="CC55" i="24"/>
  <c r="CC76" i="24"/>
  <c r="BI76" i="24"/>
  <c r="CC164" i="24"/>
  <c r="CC185" i="24"/>
  <c r="CC266" i="24"/>
  <c r="CC282" i="24"/>
  <c r="CC154" i="24"/>
  <c r="CC272" i="24"/>
  <c r="CC276" i="24"/>
  <c r="CC22" i="24"/>
  <c r="CC56" i="24"/>
  <c r="CC77" i="24"/>
  <c r="BI77" i="24"/>
  <c r="CC115" i="24"/>
  <c r="CC149" i="24"/>
  <c r="CC165" i="24"/>
  <c r="CC186" i="24"/>
  <c r="CC267" i="24"/>
  <c r="CC283" i="24"/>
  <c r="CC171" i="24"/>
  <c r="CC13" i="24"/>
  <c r="CC47" i="24"/>
  <c r="CC179" i="24"/>
  <c r="CC23" i="24"/>
  <c r="CC39" i="24"/>
  <c r="BI78" i="24"/>
  <c r="CC78" i="24"/>
  <c r="CC166" i="24"/>
  <c r="CC187" i="24"/>
  <c r="CC268" i="24"/>
  <c r="CC284" i="24"/>
  <c r="CC223" i="24"/>
  <c r="CC11" i="24"/>
  <c r="BI68" i="24"/>
  <c r="CC68" i="24"/>
  <c r="CC24" i="24"/>
  <c r="CC40" i="24"/>
  <c r="CC172" i="24"/>
  <c r="CC269" i="24"/>
  <c r="BX31" i="54"/>
  <c r="BX30" i="54"/>
  <c r="BX26" i="54"/>
  <c r="BW31" i="54"/>
  <c r="BX23" i="54"/>
  <c r="CD259" i="24"/>
  <c r="CD275" i="24"/>
  <c r="CD279" i="24"/>
  <c r="CD264" i="24"/>
  <c r="CD268" i="24"/>
  <c r="CD270" i="24"/>
  <c r="CD273" i="24"/>
  <c r="CD260" i="24"/>
  <c r="CD276" i="24"/>
  <c r="CD278" i="24"/>
  <c r="CD280" i="24"/>
  <c r="CD281" i="24"/>
  <c r="CD267" i="24"/>
  <c r="CD272" i="24"/>
  <c r="CD261" i="24"/>
  <c r="CD277" i="24"/>
  <c r="CD262" i="24"/>
  <c r="CD265" i="24"/>
  <c r="CD266" i="24"/>
  <c r="CD269" i="24"/>
  <c r="CD271" i="24"/>
  <c r="CD274" i="24"/>
  <c r="CD263" i="24"/>
  <c r="CE260" i="24"/>
  <c r="CB266" i="24"/>
  <c r="CE276" i="24"/>
  <c r="CB282" i="24"/>
  <c r="CE4" i="24"/>
  <c r="CD15" i="24"/>
  <c r="CD31" i="24"/>
  <c r="CD47" i="24"/>
  <c r="CD63" i="24"/>
  <c r="CD79" i="24"/>
  <c r="CB86" i="24"/>
  <c r="CB17" i="24"/>
  <c r="CB33" i="24"/>
  <c r="CB49" i="24"/>
  <c r="CB65" i="24"/>
  <c r="CB81" i="24"/>
  <c r="CD96" i="24"/>
  <c r="CD100" i="24"/>
  <c r="CD104" i="24"/>
  <c r="CD108" i="24"/>
  <c r="CD112" i="24"/>
  <c r="CD116" i="24"/>
  <c r="CD120" i="24"/>
  <c r="CD124" i="24"/>
  <c r="CD128" i="24"/>
  <c r="CD132" i="24"/>
  <c r="CD136" i="24"/>
  <c r="CD140" i="24"/>
  <c r="CD144" i="24"/>
  <c r="CD148" i="24"/>
  <c r="CD152" i="24"/>
  <c r="CD156" i="24"/>
  <c r="CD160" i="24"/>
  <c r="CD164" i="24"/>
  <c r="CD168" i="24"/>
  <c r="CD172" i="24"/>
  <c r="CD176" i="24"/>
  <c r="CD180" i="24"/>
  <c r="CD184" i="24"/>
  <c r="CD188" i="24"/>
  <c r="CD192" i="24"/>
  <c r="CD196" i="24"/>
  <c r="CD200" i="24"/>
  <c r="CD204" i="24"/>
  <c r="CD208" i="24"/>
  <c r="CD212" i="24"/>
  <c r="CD216" i="24"/>
  <c r="CD220" i="24"/>
  <c r="CD224" i="24"/>
  <c r="CD228" i="24"/>
  <c r="CD232" i="24"/>
  <c r="CD236" i="24"/>
  <c r="CD240" i="24"/>
  <c r="CD244" i="24"/>
  <c r="CD248" i="24"/>
  <c r="CD252" i="24"/>
  <c r="CD256" i="24"/>
  <c r="CB261" i="24"/>
  <c r="CE271" i="24"/>
  <c r="CB277" i="24"/>
  <c r="CE5" i="24"/>
  <c r="CD16" i="24"/>
  <c r="CD32" i="24"/>
  <c r="CD48" i="24"/>
  <c r="CD64" i="24"/>
  <c r="CD80" i="24"/>
  <c r="CB34" i="24"/>
  <c r="CE96" i="24"/>
  <c r="CE100" i="24"/>
  <c r="CE104" i="24"/>
  <c r="CE108" i="24"/>
  <c r="CE112" i="24"/>
  <c r="CE116" i="24"/>
  <c r="CE120" i="24"/>
  <c r="CE124" i="24"/>
  <c r="CE128" i="24"/>
  <c r="CE132" i="24"/>
  <c r="CE136" i="24"/>
  <c r="CE140" i="24"/>
  <c r="CE144" i="24"/>
  <c r="CE148" i="24"/>
  <c r="CE152" i="24"/>
  <c r="CE156" i="24"/>
  <c r="CE160" i="24"/>
  <c r="CE164" i="24"/>
  <c r="CE168" i="24"/>
  <c r="CE172" i="24"/>
  <c r="CE176" i="24"/>
  <c r="CE180" i="24"/>
  <c r="CE184" i="24"/>
  <c r="CE188" i="24"/>
  <c r="CE192" i="24"/>
  <c r="CE196" i="24"/>
  <c r="CE200" i="24"/>
  <c r="CE204" i="24"/>
  <c r="CE208" i="24"/>
  <c r="CE212" i="24"/>
  <c r="CE216" i="24"/>
  <c r="CE220" i="24"/>
  <c r="CE224" i="24"/>
  <c r="CE228" i="24"/>
  <c r="CE232" i="24"/>
  <c r="CE236" i="24"/>
  <c r="CE240" i="24"/>
  <c r="CE244" i="24"/>
  <c r="CE248" i="24"/>
  <c r="CE252" i="24"/>
  <c r="CE256" i="24"/>
  <c r="CE266" i="24"/>
  <c r="CB272" i="24"/>
  <c r="CD282" i="24"/>
  <c r="CE6" i="24"/>
  <c r="CD17" i="24"/>
  <c r="CD33" i="24"/>
  <c r="CD49" i="24"/>
  <c r="CD65" i="24"/>
  <c r="CD81" i="24"/>
  <c r="CB88" i="24"/>
  <c r="CB19" i="24"/>
  <c r="CB35" i="24"/>
  <c r="CB51" i="24"/>
  <c r="CB67" i="24"/>
  <c r="CB193" i="24"/>
  <c r="CB233" i="24"/>
  <c r="CB241" i="24"/>
  <c r="CB249" i="24"/>
  <c r="CB253" i="24"/>
  <c r="CB257" i="24"/>
  <c r="CE261" i="24"/>
  <c r="CB267" i="24"/>
  <c r="CE277" i="24"/>
  <c r="CE282" i="24"/>
  <c r="CE7" i="24"/>
  <c r="CD18" i="24"/>
  <c r="CD34" i="24"/>
  <c r="CD50" i="24"/>
  <c r="CD66" i="24"/>
  <c r="CD4" i="24"/>
  <c r="CB89" i="24"/>
  <c r="CB36" i="24"/>
  <c r="CB52" i="24"/>
  <c r="CB68" i="24"/>
  <c r="CD191" i="24"/>
  <c r="CB97" i="24"/>
  <c r="CB101" i="24"/>
  <c r="CB105" i="24"/>
  <c r="CB109" i="24"/>
  <c r="CB113" i="24"/>
  <c r="CB117" i="24"/>
  <c r="CB121" i="24"/>
  <c r="CB125" i="24"/>
  <c r="CB129" i="24"/>
  <c r="CB133" i="24"/>
  <c r="CB137" i="24"/>
  <c r="CB141" i="24"/>
  <c r="CB145" i="24"/>
  <c r="CB149" i="24"/>
  <c r="CB153" i="24"/>
  <c r="CB157" i="24"/>
  <c r="CB161" i="24"/>
  <c r="CB165" i="24"/>
  <c r="CB169" i="24"/>
  <c r="CB173" i="24"/>
  <c r="CB177" i="24"/>
  <c r="CB181" i="24"/>
  <c r="CB185" i="24"/>
  <c r="CB189" i="24"/>
  <c r="CB197" i="24"/>
  <c r="CB201" i="24"/>
  <c r="CB205" i="24"/>
  <c r="CB209" i="24"/>
  <c r="CB213" i="24"/>
  <c r="CB217" i="24"/>
  <c r="CB221" i="24"/>
  <c r="CB225" i="24"/>
  <c r="CB229" i="24"/>
  <c r="CB237" i="24"/>
  <c r="CB245" i="24"/>
  <c r="CB20" i="24"/>
  <c r="CB262" i="24"/>
  <c r="CE272" i="24"/>
  <c r="CB278" i="24"/>
  <c r="CB283" i="24"/>
  <c r="CE8" i="24"/>
  <c r="CD19" i="24"/>
  <c r="CD35" i="24"/>
  <c r="CD51" i="24"/>
  <c r="CD67" i="24"/>
  <c r="CB90" i="24"/>
  <c r="CB21" i="24"/>
  <c r="CB37" i="24"/>
  <c r="CB53" i="24"/>
  <c r="CB69" i="24"/>
  <c r="CB218" i="24"/>
  <c r="CB279" i="24"/>
  <c r="CD6" i="24"/>
  <c r="CD54" i="24"/>
  <c r="CB7" i="24"/>
  <c r="CB40" i="24"/>
  <c r="CB72" i="24"/>
  <c r="CD207" i="24"/>
  <c r="CD97" i="24"/>
  <c r="CD101" i="24"/>
  <c r="CD105" i="24"/>
  <c r="CD109" i="24"/>
  <c r="CD113" i="24"/>
  <c r="CD117" i="24"/>
  <c r="CD121" i="24"/>
  <c r="CD125" i="24"/>
  <c r="CD129" i="24"/>
  <c r="CD133" i="24"/>
  <c r="CD137" i="24"/>
  <c r="CD141" i="24"/>
  <c r="CD145" i="24"/>
  <c r="CD149" i="24"/>
  <c r="CD153" i="24"/>
  <c r="CD157" i="24"/>
  <c r="CD161" i="24"/>
  <c r="CD165" i="24"/>
  <c r="CD169" i="24"/>
  <c r="CD173" i="24"/>
  <c r="CD177" i="24"/>
  <c r="CD181" i="24"/>
  <c r="CD185" i="24"/>
  <c r="CD189" i="24"/>
  <c r="CD193" i="24"/>
  <c r="CD197" i="24"/>
  <c r="CD201" i="24"/>
  <c r="CD205" i="24"/>
  <c r="CD209" i="24"/>
  <c r="CD213" i="24"/>
  <c r="CD217" i="24"/>
  <c r="CD221" i="24"/>
  <c r="CD225" i="24"/>
  <c r="CD229" i="24"/>
  <c r="CD233" i="24"/>
  <c r="CD237" i="24"/>
  <c r="CD241" i="24"/>
  <c r="CD245" i="24"/>
  <c r="CD249" i="24"/>
  <c r="CD253" i="24"/>
  <c r="CD257" i="24"/>
  <c r="CE267" i="24"/>
  <c r="CB273" i="24"/>
  <c r="CE9" i="24"/>
  <c r="CD20" i="24"/>
  <c r="CD36" i="24"/>
  <c r="CD52" i="24"/>
  <c r="CD68" i="24"/>
  <c r="CB91" i="24"/>
  <c r="CB22" i="24"/>
  <c r="CB38" i="24"/>
  <c r="CB54" i="24"/>
  <c r="CB70" i="24"/>
  <c r="CB222" i="24"/>
  <c r="CB263" i="24"/>
  <c r="CE283" i="24"/>
  <c r="CD38" i="24"/>
  <c r="CD70" i="24"/>
  <c r="CB24" i="24"/>
  <c r="CB56" i="24"/>
  <c r="CD211" i="24"/>
  <c r="CE97" i="24"/>
  <c r="CE101" i="24"/>
  <c r="CE105" i="24"/>
  <c r="CE109" i="24"/>
  <c r="CE113" i="24"/>
  <c r="CE117" i="24"/>
  <c r="CE121" i="24"/>
  <c r="CE125" i="24"/>
  <c r="CE129" i="24"/>
  <c r="CE133" i="24"/>
  <c r="CE137" i="24"/>
  <c r="CE141" i="24"/>
  <c r="CE145" i="24"/>
  <c r="CE149" i="24"/>
  <c r="CE153" i="24"/>
  <c r="CE157" i="24"/>
  <c r="CE161" i="24"/>
  <c r="CE165" i="24"/>
  <c r="CE169" i="24"/>
  <c r="CE173" i="24"/>
  <c r="CE177" i="24"/>
  <c r="CE181" i="24"/>
  <c r="CE185" i="24"/>
  <c r="CE189" i="24"/>
  <c r="CE193" i="24"/>
  <c r="CE197" i="24"/>
  <c r="CE201" i="24"/>
  <c r="CE205" i="24"/>
  <c r="CE209" i="24"/>
  <c r="CE213" i="24"/>
  <c r="CE217" i="24"/>
  <c r="CE221" i="24"/>
  <c r="CE225" i="24"/>
  <c r="CE229" i="24"/>
  <c r="CE233" i="24"/>
  <c r="CE237" i="24"/>
  <c r="CE241" i="24"/>
  <c r="CE245" i="24"/>
  <c r="CE249" i="24"/>
  <c r="CE253" i="24"/>
  <c r="CE257" i="24"/>
  <c r="CE262" i="24"/>
  <c r="CB268" i="24"/>
  <c r="CE278" i="24"/>
  <c r="CD283" i="24"/>
  <c r="CD5" i="24"/>
  <c r="CD21" i="24"/>
  <c r="CD37" i="24"/>
  <c r="CD53" i="24"/>
  <c r="CD69" i="24"/>
  <c r="CB5" i="24"/>
  <c r="CB23" i="24"/>
  <c r="CB39" i="24"/>
  <c r="CB55" i="24"/>
  <c r="CB71" i="24"/>
  <c r="CB98" i="24"/>
  <c r="CB102" i="24"/>
  <c r="CB106" i="24"/>
  <c r="CB110" i="24"/>
  <c r="CB114" i="24"/>
  <c r="CB118" i="24"/>
  <c r="CB122" i="24"/>
  <c r="CB126" i="24"/>
  <c r="CB130" i="24"/>
  <c r="CB134" i="24"/>
  <c r="CB138" i="24"/>
  <c r="CB142" i="24"/>
  <c r="CB146" i="24"/>
  <c r="CB150" i="24"/>
  <c r="CB154" i="24"/>
  <c r="CB158" i="24"/>
  <c r="CB162" i="24"/>
  <c r="CB166" i="24"/>
  <c r="CB170" i="24"/>
  <c r="CB174" i="24"/>
  <c r="CB178" i="24"/>
  <c r="CB182" i="24"/>
  <c r="CB186" i="24"/>
  <c r="CB190" i="24"/>
  <c r="CB194" i="24"/>
  <c r="CB198" i="24"/>
  <c r="CB202" i="24"/>
  <c r="CB206" i="24"/>
  <c r="CB210" i="24"/>
  <c r="CB214" i="24"/>
  <c r="CB226" i="24"/>
  <c r="CB230" i="24"/>
  <c r="CB234" i="24"/>
  <c r="CB238" i="24"/>
  <c r="CB242" i="24"/>
  <c r="CB246" i="24"/>
  <c r="CB250" i="24"/>
  <c r="CB254" i="24"/>
  <c r="CB258" i="24"/>
  <c r="CE273" i="24"/>
  <c r="CD22" i="24"/>
  <c r="CE268" i="24"/>
  <c r="CB274" i="24"/>
  <c r="CB284" i="24"/>
  <c r="CD7" i="24"/>
  <c r="CD23" i="24"/>
  <c r="CD39" i="24"/>
  <c r="CD55" i="24"/>
  <c r="CD71" i="24"/>
  <c r="CB8" i="24"/>
  <c r="CB25" i="24"/>
  <c r="CB41" i="24"/>
  <c r="CB57" i="24"/>
  <c r="CB73" i="24"/>
  <c r="CD111" i="24"/>
  <c r="CD127" i="24"/>
  <c r="CD147" i="24"/>
  <c r="CD167" i="24"/>
  <c r="CD187" i="24"/>
  <c r="CD215" i="24"/>
  <c r="CD239" i="24"/>
  <c r="CB265" i="24"/>
  <c r="CD60" i="24"/>
  <c r="CD98" i="24"/>
  <c r="CD102" i="24"/>
  <c r="CD106" i="24"/>
  <c r="CD110" i="24"/>
  <c r="CD114" i="24"/>
  <c r="CD118" i="24"/>
  <c r="CD122" i="24"/>
  <c r="CD126" i="24"/>
  <c r="CD130" i="24"/>
  <c r="CD134" i="24"/>
  <c r="CD138" i="24"/>
  <c r="CD142" i="24"/>
  <c r="CD146" i="24"/>
  <c r="CD150" i="24"/>
  <c r="CD154" i="24"/>
  <c r="CD158" i="24"/>
  <c r="CD162" i="24"/>
  <c r="CD166" i="24"/>
  <c r="CD170" i="24"/>
  <c r="CD174" i="24"/>
  <c r="CD178" i="24"/>
  <c r="CD182" i="24"/>
  <c r="CD186" i="24"/>
  <c r="CD190" i="24"/>
  <c r="CD194" i="24"/>
  <c r="CD198" i="24"/>
  <c r="CD202" i="24"/>
  <c r="CD206" i="24"/>
  <c r="CD210" i="24"/>
  <c r="CD214" i="24"/>
  <c r="CD218" i="24"/>
  <c r="CD222" i="24"/>
  <c r="CD226" i="24"/>
  <c r="CD230" i="24"/>
  <c r="CD234" i="24"/>
  <c r="CD238" i="24"/>
  <c r="CD242" i="24"/>
  <c r="CD246" i="24"/>
  <c r="CD250" i="24"/>
  <c r="CD254" i="24"/>
  <c r="CD258" i="24"/>
  <c r="CE263" i="24"/>
  <c r="CB269" i="24"/>
  <c r="CE279" i="24"/>
  <c r="CD8" i="24"/>
  <c r="CD24" i="24"/>
  <c r="CD40" i="24"/>
  <c r="CD56" i="24"/>
  <c r="CD72" i="24"/>
  <c r="CB9" i="24"/>
  <c r="CB26" i="24"/>
  <c r="CB42" i="24"/>
  <c r="CB58" i="24"/>
  <c r="CB74" i="24"/>
  <c r="CD107" i="24"/>
  <c r="CD123" i="24"/>
  <c r="CD143" i="24"/>
  <c r="CD163" i="24"/>
  <c r="CD183" i="24"/>
  <c r="CD219" i="24"/>
  <c r="CD247" i="24"/>
  <c r="CD94" i="24"/>
  <c r="CB83" i="24"/>
  <c r="CB62" i="24"/>
  <c r="CB50" i="24"/>
  <c r="CE98" i="24"/>
  <c r="CE102" i="24"/>
  <c r="CE106" i="24"/>
  <c r="CE110" i="24"/>
  <c r="CE114" i="24"/>
  <c r="CE118" i="24"/>
  <c r="CE122" i="24"/>
  <c r="CE126" i="24"/>
  <c r="CE130" i="24"/>
  <c r="CE134" i="24"/>
  <c r="CE138" i="24"/>
  <c r="CE142" i="24"/>
  <c r="CE146" i="24"/>
  <c r="CE150" i="24"/>
  <c r="CE154" i="24"/>
  <c r="CE158" i="24"/>
  <c r="CE162" i="24"/>
  <c r="CE166" i="24"/>
  <c r="CE170" i="24"/>
  <c r="CE174" i="24"/>
  <c r="CE178" i="24"/>
  <c r="CE182" i="24"/>
  <c r="CE186" i="24"/>
  <c r="CE190" i="24"/>
  <c r="CE194" i="24"/>
  <c r="CE198" i="24"/>
  <c r="CE202" i="24"/>
  <c r="CE206" i="24"/>
  <c r="CE210" i="24"/>
  <c r="CE214" i="24"/>
  <c r="CE218" i="24"/>
  <c r="CE222" i="24"/>
  <c r="CE226" i="24"/>
  <c r="CE230" i="24"/>
  <c r="CE234" i="24"/>
  <c r="CE238" i="24"/>
  <c r="CE242" i="24"/>
  <c r="CE246" i="24"/>
  <c r="CE250" i="24"/>
  <c r="CE254" i="24"/>
  <c r="CE258" i="24"/>
  <c r="CB264" i="24"/>
  <c r="CE274" i="24"/>
  <c r="CB280" i="24"/>
  <c r="CD284" i="24"/>
  <c r="CD9" i="24"/>
  <c r="CD25" i="24"/>
  <c r="CD41" i="24"/>
  <c r="CD57" i="24"/>
  <c r="CD73" i="24"/>
  <c r="CB12" i="24"/>
  <c r="CB10" i="24"/>
  <c r="CB27" i="24"/>
  <c r="CB43" i="24"/>
  <c r="CB59" i="24"/>
  <c r="CB75" i="24"/>
  <c r="CD99" i="24"/>
  <c r="CD131" i="24"/>
  <c r="CD151" i="24"/>
  <c r="CD171" i="24"/>
  <c r="CD199" i="24"/>
  <c r="CD231" i="24"/>
  <c r="CE259" i="24"/>
  <c r="CD44" i="24"/>
  <c r="CB95" i="24"/>
  <c r="CB99" i="24"/>
  <c r="CB103" i="24"/>
  <c r="CB107" i="24"/>
  <c r="CB111" i="24"/>
  <c r="CB115" i="24"/>
  <c r="CB119" i="24"/>
  <c r="CB123" i="24"/>
  <c r="CB127" i="24"/>
  <c r="CB131" i="24"/>
  <c r="CB135" i="24"/>
  <c r="CB139" i="24"/>
  <c r="CB143" i="24"/>
  <c r="CB147" i="24"/>
  <c r="CB151" i="24"/>
  <c r="CB155" i="24"/>
  <c r="CB159" i="24"/>
  <c r="CB163" i="24"/>
  <c r="CB167" i="24"/>
  <c r="CB171" i="24"/>
  <c r="CB175" i="24"/>
  <c r="CB179" i="24"/>
  <c r="CB183" i="24"/>
  <c r="CB187" i="24"/>
  <c r="CB191" i="24"/>
  <c r="CB195" i="24"/>
  <c r="CB199" i="24"/>
  <c r="CB203" i="24"/>
  <c r="CB207" i="24"/>
  <c r="CB211" i="24"/>
  <c r="CB215" i="24"/>
  <c r="CB219" i="24"/>
  <c r="CB223" i="24"/>
  <c r="CB227" i="24"/>
  <c r="CB231" i="24"/>
  <c r="CB235" i="24"/>
  <c r="CB239" i="24"/>
  <c r="CB243" i="24"/>
  <c r="CB247" i="24"/>
  <c r="CB251" i="24"/>
  <c r="CB255" i="24"/>
  <c r="CB259" i="24"/>
  <c r="CE269" i="24"/>
  <c r="CB275" i="24"/>
  <c r="CE284" i="24"/>
  <c r="CD10" i="24"/>
  <c r="CD26" i="24"/>
  <c r="CD42" i="24"/>
  <c r="CD58" i="24"/>
  <c r="CD74" i="24"/>
  <c r="CB6" i="24"/>
  <c r="CB11" i="24"/>
  <c r="CB28" i="24"/>
  <c r="CB44" i="24"/>
  <c r="CB60" i="24"/>
  <c r="CB76" i="24"/>
  <c r="CD95" i="24"/>
  <c r="CD119" i="24"/>
  <c r="CD139" i="24"/>
  <c r="CD159" i="24"/>
  <c r="CD179" i="24"/>
  <c r="CD203" i="24"/>
  <c r="CD223" i="24"/>
  <c r="CD235" i="24"/>
  <c r="CD251" i="24"/>
  <c r="CB281" i="24"/>
  <c r="CD28" i="24"/>
  <c r="CB14" i="24"/>
  <c r="CB46" i="24"/>
  <c r="CB18" i="24"/>
  <c r="CE264" i="24"/>
  <c r="CB270" i="24"/>
  <c r="CE280" i="24"/>
  <c r="CE94" i="24"/>
  <c r="CD11" i="24"/>
  <c r="CD27" i="24"/>
  <c r="CD43" i="24"/>
  <c r="CD59" i="24"/>
  <c r="CD75" i="24"/>
  <c r="CB82" i="24"/>
  <c r="CB13" i="24"/>
  <c r="CB29" i="24"/>
  <c r="CB45" i="24"/>
  <c r="CB61" i="24"/>
  <c r="CB77" i="24"/>
  <c r="CD103" i="24"/>
  <c r="CD115" i="24"/>
  <c r="CD135" i="24"/>
  <c r="CD155" i="24"/>
  <c r="CD175" i="24"/>
  <c r="CD195" i="24"/>
  <c r="CD227" i="24"/>
  <c r="CD243" i="24"/>
  <c r="CD255" i="24"/>
  <c r="CE275" i="24"/>
  <c r="CD12" i="24"/>
  <c r="CD76" i="24"/>
  <c r="CB30" i="24"/>
  <c r="CB78" i="24"/>
  <c r="CB87" i="24"/>
  <c r="CE95" i="24"/>
  <c r="CE99" i="24"/>
  <c r="CE103" i="24"/>
  <c r="CE107" i="24"/>
  <c r="CE111" i="24"/>
  <c r="CE115" i="24"/>
  <c r="CE119" i="24"/>
  <c r="CE123" i="24"/>
  <c r="CE127" i="24"/>
  <c r="CE131" i="24"/>
  <c r="CE135" i="24"/>
  <c r="CE139" i="24"/>
  <c r="CE143" i="24"/>
  <c r="CE147" i="24"/>
  <c r="CE151" i="24"/>
  <c r="CE155" i="24"/>
  <c r="CE159" i="24"/>
  <c r="CE163" i="24"/>
  <c r="CE167" i="24"/>
  <c r="CE171" i="24"/>
  <c r="CE175" i="24"/>
  <c r="CE179" i="24"/>
  <c r="CE183" i="24"/>
  <c r="CE187" i="24"/>
  <c r="CE191" i="24"/>
  <c r="CE195" i="24"/>
  <c r="CE199" i="24"/>
  <c r="CE203" i="24"/>
  <c r="CE207" i="24"/>
  <c r="CE211" i="24"/>
  <c r="CE215" i="24"/>
  <c r="CE219" i="24"/>
  <c r="CE223" i="24"/>
  <c r="CE227" i="24"/>
  <c r="CE231" i="24"/>
  <c r="CE235" i="24"/>
  <c r="CE239" i="24"/>
  <c r="CE243" i="24"/>
  <c r="CE247" i="24"/>
  <c r="CE251" i="24"/>
  <c r="CE255" i="24"/>
  <c r="CB260" i="24"/>
  <c r="CE270" i="24"/>
  <c r="CB276" i="24"/>
  <c r="CD13" i="24"/>
  <c r="CD29" i="24"/>
  <c r="CD45" i="24"/>
  <c r="CD61" i="24"/>
  <c r="CD77" i="24"/>
  <c r="CB84" i="24"/>
  <c r="CB15" i="24"/>
  <c r="CB31" i="24"/>
  <c r="CB47" i="24"/>
  <c r="CB63" i="24"/>
  <c r="CB79" i="24"/>
  <c r="CB4" i="24"/>
  <c r="CB96" i="24"/>
  <c r="CB100" i="24"/>
  <c r="CB104" i="24"/>
  <c r="CB108" i="24"/>
  <c r="CB112" i="24"/>
  <c r="CB116" i="24"/>
  <c r="CB120" i="24"/>
  <c r="CB124" i="24"/>
  <c r="CB128" i="24"/>
  <c r="CB132" i="24"/>
  <c r="CB136" i="24"/>
  <c r="CB140" i="24"/>
  <c r="CB144" i="24"/>
  <c r="CB148" i="24"/>
  <c r="CB152" i="24"/>
  <c r="CB156" i="24"/>
  <c r="CB160" i="24"/>
  <c r="CB164" i="24"/>
  <c r="CB168" i="24"/>
  <c r="CB172" i="24"/>
  <c r="CB176" i="24"/>
  <c r="CB180" i="24"/>
  <c r="CB184" i="24"/>
  <c r="CB188" i="24"/>
  <c r="CB192" i="24"/>
  <c r="CB196" i="24"/>
  <c r="CB200" i="24"/>
  <c r="CB204" i="24"/>
  <c r="CB208" i="24"/>
  <c r="CB212" i="24"/>
  <c r="CB216" i="24"/>
  <c r="CB220" i="24"/>
  <c r="CB224" i="24"/>
  <c r="CB228" i="24"/>
  <c r="CB232" i="24"/>
  <c r="CB236" i="24"/>
  <c r="CB240" i="24"/>
  <c r="CB244" i="24"/>
  <c r="CB248" i="24"/>
  <c r="CB252" i="24"/>
  <c r="CB256" i="24"/>
  <c r="CE265" i="24"/>
  <c r="CB271" i="24"/>
  <c r="CE281" i="24"/>
  <c r="CB94" i="24"/>
  <c r="CD14" i="24"/>
  <c r="CD30" i="24"/>
  <c r="CD46" i="24"/>
  <c r="CD62" i="24"/>
  <c r="CD78" i="24"/>
  <c r="CB85" i="24"/>
  <c r="CB16" i="24"/>
  <c r="CB32" i="24"/>
  <c r="CB48" i="24"/>
  <c r="CB64" i="24"/>
  <c r="CB80" i="24"/>
  <c r="CB66" i="24"/>
  <c r="CD29" i="25"/>
  <c r="CD18" i="25"/>
  <c r="CD28" i="25"/>
  <c r="CD15" i="25"/>
  <c r="CD27" i="25"/>
  <c r="CD17" i="25"/>
  <c r="CD26" i="25"/>
  <c r="CD36" i="25"/>
  <c r="CD16" i="25"/>
  <c r="CD25" i="25"/>
  <c r="CD24" i="25"/>
  <c r="CD32" i="25"/>
  <c r="CD30" i="25"/>
  <c r="CD22" i="25"/>
  <c r="CD37" i="25"/>
  <c r="CD21" i="25"/>
  <c r="CD20" i="25"/>
  <c r="CD38" i="25"/>
  <c r="CD19" i="25"/>
  <c r="CD31" i="25"/>
  <c r="T5" i="15"/>
  <c r="N6" i="16"/>
  <c r="BW18" i="54"/>
  <c r="BW28" i="54"/>
  <c r="BX28" i="54"/>
  <c r="BX9" i="54" s="1"/>
  <c r="BX33" i="54"/>
  <c r="BX14" i="54" s="1"/>
  <c r="BX21" i="54"/>
  <c r="BX12" i="54" s="1"/>
  <c r="BW21" i="54"/>
  <c r="BW101" i="54"/>
  <c r="BW23" i="54"/>
  <c r="BW33" i="54"/>
  <c r="BX27" i="54"/>
  <c r="BW29" i="54"/>
  <c r="BX29" i="54"/>
  <c r="BX24" i="54"/>
  <c r="BX52" i="54"/>
  <c r="BU4" i="54"/>
  <c r="BX45" i="54"/>
  <c r="BW81" i="54"/>
  <c r="BS4" i="54"/>
  <c r="BX101" i="54"/>
  <c r="BX82" i="24"/>
  <c r="CE33" i="24"/>
  <c r="CE10" i="24"/>
  <c r="CE11" i="24"/>
  <c r="CE14" i="24"/>
  <c r="CE55" i="24"/>
  <c r="CE31" i="24"/>
  <c r="CE56" i="24"/>
  <c r="CE71" i="24"/>
  <c r="CE72" i="24"/>
  <c r="CE30" i="24"/>
  <c r="CE15" i="24"/>
  <c r="CE57" i="24"/>
  <c r="CE12" i="24"/>
  <c r="CE27" i="24"/>
  <c r="CE59" i="24"/>
  <c r="CE42" i="24"/>
  <c r="CE76" i="24"/>
  <c r="CE41" i="24"/>
  <c r="CE45" i="24"/>
  <c r="CE23" i="24"/>
  <c r="CE79" i="24"/>
  <c r="CE47" i="24"/>
  <c r="CE37" i="24"/>
  <c r="CE65" i="24"/>
  <c r="CE20" i="24"/>
  <c r="CE66" i="24"/>
  <c r="CE35" i="24"/>
  <c r="CE19" i="24"/>
  <c r="CE50" i="24"/>
  <c r="CE67" i="24"/>
  <c r="CE34" i="24"/>
  <c r="CE18" i="24"/>
  <c r="CE52" i="24"/>
  <c r="CE68" i="24"/>
  <c r="CE29" i="24"/>
  <c r="CE73" i="24"/>
  <c r="CE58" i="24"/>
  <c r="CE43" i="24"/>
  <c r="CE75" i="24"/>
  <c r="CE60" i="24"/>
  <c r="CE25" i="24"/>
  <c r="CE77" i="24"/>
  <c r="CE78" i="24"/>
  <c r="CE39" i="24"/>
  <c r="CE63" i="24"/>
  <c r="CE38" i="24"/>
  <c r="CE64" i="24"/>
  <c r="CE21" i="24"/>
  <c r="CE36" i="24"/>
  <c r="CE49" i="24"/>
  <c r="CE17" i="24"/>
  <c r="CE53" i="24"/>
  <c r="CE69" i="24"/>
  <c r="CE13" i="24"/>
  <c r="CE28" i="24"/>
  <c r="CE74" i="24"/>
  <c r="CE26" i="24"/>
  <c r="CE44" i="24"/>
  <c r="CE61" i="24"/>
  <c r="CE40" i="24"/>
  <c r="CE24" i="24"/>
  <c r="CE62" i="24"/>
  <c r="CE46" i="24"/>
  <c r="CE22" i="24"/>
  <c r="CE80" i="24"/>
  <c r="CE48" i="24"/>
  <c r="CE81" i="24"/>
  <c r="CE32" i="24"/>
  <c r="CE16" i="24"/>
  <c r="CE54" i="24"/>
  <c r="CE70" i="24"/>
  <c r="BX94" i="54"/>
  <c r="BX35" i="54" s="1"/>
  <c r="BX19" i="54"/>
  <c r="BX37" i="54"/>
  <c r="BX104" i="54"/>
  <c r="BW94" i="54"/>
  <c r="BW35" i="54" s="1"/>
  <c r="BX81" i="54"/>
  <c r="BX110" i="54"/>
  <c r="BW110" i="54"/>
  <c r="BW19" i="54"/>
  <c r="BW104" i="54"/>
  <c r="BW20" i="54"/>
  <c r="BW11" i="54" s="1"/>
  <c r="BT4" i="54"/>
  <c r="BX20" i="54"/>
  <c r="BW84" i="54"/>
  <c r="BX54" i="54"/>
  <c r="BW54" i="54"/>
  <c r="BW24" i="54" s="1"/>
  <c r="BW56" i="54"/>
  <c r="BW37" i="54"/>
  <c r="BR4" i="54"/>
  <c r="BW47" i="54"/>
  <c r="BX84" i="54"/>
  <c r="BX36" i="54"/>
  <c r="BX16" i="54" s="1"/>
  <c r="BX7" i="54" s="1"/>
  <c r="BW93" i="54"/>
  <c r="BW34" i="54" s="1"/>
  <c r="BW86" i="54"/>
  <c r="BX86" i="54"/>
  <c r="BW96" i="54"/>
  <c r="BX63" i="25"/>
  <c r="BY63" i="25" s="1"/>
  <c r="CC63" i="25" s="1"/>
  <c r="BX62" i="25"/>
  <c r="BY62" i="25" s="1"/>
  <c r="CC62" i="25" s="1"/>
  <c r="BX60" i="25"/>
  <c r="BY60" i="25" s="1"/>
  <c r="CC60" i="25" s="1"/>
  <c r="BX59" i="25"/>
  <c r="BY59" i="25" s="1"/>
  <c r="CC59" i="25" s="1"/>
  <c r="BX58" i="25"/>
  <c r="BY58" i="25" s="1"/>
  <c r="CC58" i="25" s="1"/>
  <c r="BY57" i="25"/>
  <c r="CC57" i="25" s="1"/>
  <c r="BX57" i="25"/>
  <c r="BX56" i="25"/>
  <c r="BY56" i="25" s="1"/>
  <c r="CC56" i="25" s="1"/>
  <c r="BX55" i="25"/>
  <c r="BY55" i="25" s="1"/>
  <c r="CC55" i="25" s="1"/>
  <c r="BX53" i="25"/>
  <c r="BY53" i="25" s="1"/>
  <c r="CC53" i="25" s="1"/>
  <c r="BX52" i="25"/>
  <c r="BY52" i="25" s="1"/>
  <c r="CC52" i="25" s="1"/>
  <c r="BX51" i="25"/>
  <c r="BY51" i="25" s="1"/>
  <c r="CC51" i="25" s="1"/>
  <c r="BY50" i="25"/>
  <c r="CC50" i="25" s="1"/>
  <c r="BX50" i="25"/>
  <c r="BX49" i="25"/>
  <c r="BY49" i="25" s="1"/>
  <c r="CC49" i="25" s="1"/>
  <c r="BX48" i="25"/>
  <c r="BY48" i="25" s="1"/>
  <c r="CC48" i="25" s="1"/>
  <c r="BX46" i="25"/>
  <c r="BY46" i="25" s="1"/>
  <c r="CC46" i="25" s="1"/>
  <c r="BX45" i="25"/>
  <c r="BY45" i="25" s="1"/>
  <c r="CC45" i="25" s="1"/>
  <c r="BX44" i="25"/>
  <c r="BY44" i="25" s="1"/>
  <c r="CC44" i="25" s="1"/>
  <c r="BY43" i="25"/>
  <c r="CC43" i="25" s="1"/>
  <c r="BX43" i="25"/>
  <c r="BY38" i="25"/>
  <c r="CC38" i="25" s="1"/>
  <c r="BX38" i="25"/>
  <c r="BY37" i="25"/>
  <c r="CC37" i="25" s="1"/>
  <c r="BX37" i="25"/>
  <c r="BY36" i="25"/>
  <c r="CC36" i="25" s="1"/>
  <c r="BX36" i="25"/>
  <c r="BY35" i="25"/>
  <c r="CC35" i="25" s="1"/>
  <c r="BX35" i="25"/>
  <c r="BY34" i="25"/>
  <c r="CC34" i="25" s="1"/>
  <c r="BY32" i="25"/>
  <c r="CC32" i="25" s="1"/>
  <c r="BX32" i="25"/>
  <c r="BY31" i="25"/>
  <c r="CC31" i="25" s="1"/>
  <c r="BX31" i="25"/>
  <c r="BY30" i="25"/>
  <c r="CC30" i="25" s="1"/>
  <c r="BX30" i="25"/>
  <c r="BY29" i="25"/>
  <c r="CC29" i="25" s="1"/>
  <c r="BX29" i="25"/>
  <c r="BY28" i="25"/>
  <c r="CC28" i="25" s="1"/>
  <c r="BX28" i="25"/>
  <c r="BY27" i="25"/>
  <c r="CC27" i="25" s="1"/>
  <c r="BX27" i="25"/>
  <c r="BY26" i="25"/>
  <c r="CC26" i="25" s="1"/>
  <c r="BX26" i="25"/>
  <c r="BY25" i="25"/>
  <c r="CC25" i="25" s="1"/>
  <c r="BX25" i="25"/>
  <c r="BY24" i="25"/>
  <c r="CC24" i="25" s="1"/>
  <c r="BX24" i="25"/>
  <c r="BY23" i="25"/>
  <c r="CC23" i="25" s="1"/>
  <c r="BY22" i="25"/>
  <c r="BX22" i="25"/>
  <c r="BY21" i="25"/>
  <c r="BX21" i="25"/>
  <c r="BY20" i="25"/>
  <c r="BX20" i="25"/>
  <c r="BY19" i="25"/>
  <c r="BX19" i="25"/>
  <c r="BY18" i="25"/>
  <c r="BX18" i="25"/>
  <c r="BY17" i="25"/>
  <c r="BX17" i="25"/>
  <c r="BY16" i="25"/>
  <c r="CC16" i="25" s="1"/>
  <c r="BX16" i="25"/>
  <c r="BY15" i="25"/>
  <c r="CC15" i="25" s="1"/>
  <c r="BX15" i="25"/>
  <c r="BY14" i="25"/>
  <c r="BX14" i="25"/>
  <c r="BY13" i="25"/>
  <c r="BY12" i="25"/>
  <c r="BX12" i="25"/>
  <c r="BY11" i="25"/>
  <c r="BX11" i="25"/>
  <c r="BY10" i="25"/>
  <c r="BX10" i="25"/>
  <c r="BY9" i="25"/>
  <c r="BX9" i="25"/>
  <c r="BY8" i="25"/>
  <c r="BX8" i="25"/>
  <c r="BY7" i="25"/>
  <c r="BX7" i="25"/>
  <c r="BY6" i="25"/>
  <c r="BX6" i="25"/>
  <c r="BY5" i="25"/>
  <c r="BX5" i="25"/>
  <c r="CD33" i="25"/>
  <c r="X21" i="15" a="1"/>
  <c r="X12" i="15" a="1"/>
  <c r="T21" i="15" a="1"/>
  <c r="T12" i="15" a="1"/>
  <c r="X11" i="15" a="1"/>
  <c r="T11" i="15" a="1"/>
  <c r="X18" i="15" a="1"/>
  <c r="T9" i="15" a="1"/>
  <c r="X25" i="15" a="1"/>
  <c r="X17" i="15" a="1"/>
  <c r="X14" i="15" a="1"/>
  <c r="T23" i="15" a="1"/>
  <c r="X10" i="15" a="1"/>
  <c r="T26" i="15" a="1"/>
  <c r="T18" i="15" a="1"/>
  <c r="X8" i="15" a="1"/>
  <c r="T14" i="15" a="1"/>
  <c r="T22" i="15" a="1"/>
  <c r="T13" i="15" a="1"/>
  <c r="X26" i="15" a="1"/>
  <c r="X9" i="15" a="1"/>
  <c r="T10" i="15" a="1"/>
  <c r="T24" i="15" a="1"/>
  <c r="T16" i="15" a="1"/>
  <c r="X23" i="15" a="1"/>
  <c r="X22" i="15" a="1"/>
  <c r="X13" i="15" a="1"/>
  <c r="T25" i="15" a="1"/>
  <c r="T8" i="15" a="1"/>
  <c r="X24" i="15" a="1"/>
  <c r="X16" i="15" a="1"/>
  <c r="X7" i="15" a="1"/>
  <c r="W40" i="15" a="1"/>
  <c r="R16" i="16" a="1"/>
  <c r="W35" i="15" a="1"/>
  <c r="W13" i="15" a="1"/>
  <c r="W25" i="15" a="1"/>
  <c r="W12" i="15" a="1"/>
  <c r="S17" i="15" a="1"/>
  <c r="Q17" i="16" a="1"/>
  <c r="W22" i="15" a="1"/>
  <c r="Q13" i="16" a="1"/>
  <c r="R13" i="16" a="1"/>
  <c r="V7" i="16" a="1"/>
  <c r="R17" i="16" a="1"/>
  <c r="Q20" i="16" a="1"/>
  <c r="Q15" i="16" a="1"/>
  <c r="R25" i="16" a="1"/>
  <c r="W18" i="15" a="1"/>
  <c r="S13" i="15" a="1"/>
  <c r="Q27" i="16" a="1"/>
  <c r="Q23" i="16" a="1"/>
  <c r="Q12" i="16" a="1"/>
  <c r="Q7" i="16" a="1"/>
  <c r="S32" i="15" a="1"/>
  <c r="R27" i="16" a="1"/>
  <c r="W38" i="15" a="1"/>
  <c r="W39" i="15" a="1"/>
  <c r="W11" i="15" a="1"/>
  <c r="R14" i="16" a="1"/>
  <c r="W31" i="15" a="1"/>
  <c r="V14" i="16" a="1"/>
  <c r="W21" i="15" a="1"/>
  <c r="V21" i="16" a="1"/>
  <c r="R19" i="16" a="1"/>
  <c r="R11" i="16" a="1"/>
  <c r="Q16" i="16" a="1"/>
  <c r="S23" i="15" a="1"/>
  <c r="W41" i="15" a="1"/>
  <c r="S31" i="15" a="1"/>
  <c r="S14" i="15" a="1"/>
  <c r="S28" i="15" a="1"/>
  <c r="R15" i="16" a="1"/>
  <c r="S30" i="15" a="1"/>
  <c r="W27" i="15" a="1"/>
  <c r="W23" i="15" a="1"/>
  <c r="R9" i="16" a="1"/>
  <c r="R20" i="16" a="1"/>
  <c r="S34" i="15" a="1"/>
  <c r="S27" i="15" a="1"/>
  <c r="R12" i="16" a="1"/>
  <c r="S20" i="15" a="1"/>
  <c r="R26" i="16" a="1"/>
  <c r="Q24" i="16" a="1"/>
  <c r="R23" i="16" a="1"/>
  <c r="R22" i="16" a="1"/>
  <c r="R21" i="16" a="1"/>
  <c r="S33" i="15" a="1"/>
  <c r="S12" i="15" a="1"/>
  <c r="W9" i="15" a="1"/>
  <c r="S40" i="15" a="1"/>
  <c r="Q11" i="16" a="1"/>
  <c r="R24" i="16" a="1"/>
  <c r="W28" i="15" a="1"/>
  <c r="Q18" i="16" a="1"/>
  <c r="R8" i="16" a="1"/>
  <c r="S29" i="15" a="1"/>
  <c r="S11" i="15" a="1"/>
  <c r="R18" i="16" a="1"/>
  <c r="Q9" i="16" a="1"/>
  <c r="Q25" i="16" a="1"/>
  <c r="W42" i="15" a="1"/>
  <c r="W14" i="15" a="1"/>
  <c r="W17" i="15" a="1"/>
  <c r="S18" i="15" a="1"/>
  <c r="S22" i="15" a="1"/>
  <c r="S8" i="15" a="1"/>
  <c r="S38" i="15" a="1"/>
  <c r="Q21" i="16" a="1"/>
  <c r="Q10" i="16" a="1"/>
  <c r="S19" i="15" a="1"/>
  <c r="S36" i="15" a="1"/>
  <c r="R10" i="16" a="1"/>
  <c r="Q8" i="16" a="1"/>
  <c r="R7" i="16" a="1"/>
  <c r="S42" i="15" a="1"/>
  <c r="S9" i="15" a="1"/>
  <c r="S41" i="15" a="1"/>
  <c r="S39" i="15" a="1"/>
  <c r="S16" i="15" a="1"/>
  <c r="W36" i="15" a="1"/>
  <c r="S10" i="15" a="1"/>
  <c r="Q22" i="16" a="1"/>
  <c r="W24" i="15" a="1"/>
  <c r="S35" i="15" a="1"/>
  <c r="W32" i="15" a="1"/>
  <c r="S21" i="15" a="1"/>
  <c r="S24" i="15" a="1"/>
  <c r="S25" i="15" a="1"/>
  <c r="S26" i="15" a="1"/>
  <c r="Q19" i="16" a="1"/>
  <c r="W33" i="15" a="1"/>
  <c r="W10" i="15" a="1"/>
  <c r="W26" i="15" a="1"/>
  <c r="W16" i="15" a="1"/>
  <c r="Q14" i="16" a="1"/>
  <c r="W34" i="15" a="1"/>
  <c r="Q26" i="16" a="1"/>
  <c r="W7" i="15" a="1"/>
  <c r="S7" i="15" a="1"/>
  <c r="T92" i="15" a="1"/>
  <c r="T91" i="15" a="1"/>
  <c r="T89" i="15" a="1"/>
  <c r="T90" i="15" a="1"/>
  <c r="T94" i="15" a="1"/>
  <c r="X7" i="15" l="1"/>
  <c r="X16" i="15"/>
  <c r="X24" i="15"/>
  <c r="T8" i="15"/>
  <c r="T25" i="15"/>
  <c r="X13" i="15"/>
  <c r="X22" i="15"/>
  <c r="X23" i="15"/>
  <c r="T16" i="15"/>
  <c r="T24" i="15"/>
  <c r="T10" i="15"/>
  <c r="X9" i="15"/>
  <c r="X26" i="15"/>
  <c r="T13" i="15"/>
  <c r="T22" i="15"/>
  <c r="T14" i="15"/>
  <c r="X8" i="15"/>
  <c r="T18" i="15"/>
  <c r="T26" i="15"/>
  <c r="X10" i="15"/>
  <c r="T23" i="15"/>
  <c r="X14" i="15"/>
  <c r="X17" i="15"/>
  <c r="X25" i="15"/>
  <c r="T9" i="15"/>
  <c r="X18" i="15"/>
  <c r="T11" i="15"/>
  <c r="X11" i="15"/>
  <c r="T12" i="15"/>
  <c r="T21" i="15"/>
  <c r="X12" i="15"/>
  <c r="X21" i="15"/>
  <c r="CC12" i="25"/>
  <c r="CC20" i="25"/>
  <c r="CC10" i="25"/>
  <c r="CC18" i="25"/>
  <c r="CC19" i="25"/>
  <c r="CC6" i="25"/>
  <c r="CC22" i="25"/>
  <c r="CC5" i="25"/>
  <c r="CC7" i="25"/>
  <c r="CC11" i="25"/>
  <c r="CC13" i="25"/>
  <c r="CC21" i="25"/>
  <c r="CC14" i="25"/>
  <c r="CC8" i="25"/>
  <c r="CC9" i="25"/>
  <c r="CC17" i="25"/>
  <c r="Q26" i="16"/>
  <c r="W34" i="15"/>
  <c r="Q14" i="16"/>
  <c r="W16" i="15"/>
  <c r="W26" i="15"/>
  <c r="W10" i="15"/>
  <c r="W33" i="15"/>
  <c r="Q19" i="16"/>
  <c r="S26" i="15"/>
  <c r="S25" i="15"/>
  <c r="S24" i="15"/>
  <c r="S21" i="15"/>
  <c r="W32" i="15"/>
  <c r="S35" i="15"/>
  <c r="W24" i="15"/>
  <c r="Q22" i="16"/>
  <c r="S10" i="15"/>
  <c r="W36" i="15"/>
  <c r="S16" i="15"/>
  <c r="S39" i="15"/>
  <c r="S41" i="15"/>
  <c r="S9" i="15"/>
  <c r="S42" i="15"/>
  <c r="R7" i="16"/>
  <c r="Q8" i="16"/>
  <c r="R10" i="16"/>
  <c r="S36" i="15"/>
  <c r="S19" i="15"/>
  <c r="Q10" i="16"/>
  <c r="Q21" i="16"/>
  <c r="S38" i="15"/>
  <c r="S8" i="15"/>
  <c r="S22" i="15"/>
  <c r="S18" i="15"/>
  <c r="W17" i="15"/>
  <c r="W14" i="15"/>
  <c r="W42" i="15"/>
  <c r="Q25" i="16"/>
  <c r="Q9" i="16"/>
  <c r="R18" i="16"/>
  <c r="S11" i="15"/>
  <c r="S29" i="15"/>
  <c r="R8" i="16"/>
  <c r="Q18" i="16"/>
  <c r="W28" i="15"/>
  <c r="R24" i="16"/>
  <c r="Q11" i="16"/>
  <c r="S40" i="15"/>
  <c r="W9" i="15"/>
  <c r="S12" i="15"/>
  <c r="S33" i="15"/>
  <c r="R21" i="16"/>
  <c r="R22" i="16"/>
  <c r="R23" i="16"/>
  <c r="Q24" i="16"/>
  <c r="R26" i="16"/>
  <c r="S20" i="15"/>
  <c r="R12" i="16"/>
  <c r="S27" i="15"/>
  <c r="S34" i="15"/>
  <c r="R20" i="16"/>
  <c r="R9" i="16"/>
  <c r="W23" i="15"/>
  <c r="W27" i="15"/>
  <c r="S30" i="15"/>
  <c r="R15" i="16"/>
  <c r="S28" i="15"/>
  <c r="S14" i="15"/>
  <c r="S31" i="15"/>
  <c r="W41" i="15"/>
  <c r="S23" i="15"/>
  <c r="Q16" i="16"/>
  <c r="R11" i="16"/>
  <c r="R19" i="16"/>
  <c r="V21" i="16"/>
  <c r="W21" i="15"/>
  <c r="V14" i="16"/>
  <c r="W31" i="15"/>
  <c r="R14" i="16"/>
  <c r="W11" i="15"/>
  <c r="W39" i="15"/>
  <c r="W38" i="15"/>
  <c r="R27" i="16"/>
  <c r="S32" i="15"/>
  <c r="Q7" i="16"/>
  <c r="Q12" i="16"/>
  <c r="Q23" i="16"/>
  <c r="Q27" i="16"/>
  <c r="S13" i="15"/>
  <c r="W18" i="15"/>
  <c r="R25" i="16"/>
  <c r="Q15" i="16"/>
  <c r="Q20" i="16"/>
  <c r="R17" i="16"/>
  <c r="V7" i="16"/>
  <c r="R13" i="16"/>
  <c r="Q13" i="16"/>
  <c r="W22" i="15"/>
  <c r="Q17" i="16"/>
  <c r="S17" i="15"/>
  <c r="W12" i="15"/>
  <c r="W25" i="15"/>
  <c r="W13" i="15"/>
  <c r="W35" i="15"/>
  <c r="R16" i="16"/>
  <c r="W40" i="15"/>
  <c r="S7" i="15"/>
  <c r="W7" i="15"/>
  <c r="W31" i="16"/>
  <c r="W32" i="16"/>
  <c r="X58" i="15"/>
  <c r="W41" i="16"/>
  <c r="T94" i="15"/>
  <c r="T90" i="15"/>
  <c r="T89" i="15"/>
  <c r="T91" i="15"/>
  <c r="T92" i="15"/>
  <c r="W35" i="16"/>
  <c r="W30" i="16"/>
  <c r="X75" i="15"/>
  <c r="BW12" i="54"/>
  <c r="BX25" i="54"/>
  <c r="BX15" i="54" s="1"/>
  <c r="BX11" i="54"/>
  <c r="BY82" i="24"/>
  <c r="BW27" i="54"/>
  <c r="BW9" i="54"/>
  <c r="BW14" i="54"/>
  <c r="BV4" i="54"/>
  <c r="BW45" i="54"/>
  <c r="BW25" i="54" s="1"/>
  <c r="BW15" i="54" s="1"/>
  <c r="BX42" i="54"/>
  <c r="BX22" i="54" s="1"/>
  <c r="BX13" i="54" s="1"/>
  <c r="BW52" i="54"/>
  <c r="BX10" i="54"/>
  <c r="BW10" i="54"/>
  <c r="BW17" i="54"/>
  <c r="BK111" i="54"/>
  <c r="BX109" i="54"/>
  <c r="BW109" i="54"/>
  <c r="BX91" i="54"/>
  <c r="BX32" i="54" s="1"/>
  <c r="BW91" i="54"/>
  <c r="BW32" i="54" s="1"/>
  <c r="BX17" i="54"/>
  <c r="Y7" i="15" a="1"/>
  <c r="Y21" i="15" a="1"/>
  <c r="Y22" i="15" a="1"/>
  <c r="Y26" i="15" a="1"/>
  <c r="Y14" i="15" a="1"/>
  <c r="Y17" i="15" a="1"/>
  <c r="Y16" i="15" a="1"/>
  <c r="Y13" i="15" a="1"/>
  <c r="Y23" i="15" a="1"/>
  <c r="Y9" i="15" a="1"/>
  <c r="Y8" i="15" a="1"/>
  <c r="Y10" i="15" a="1"/>
  <c r="Y25" i="15" a="1"/>
  <c r="Y11" i="15" a="1"/>
  <c r="Y12" i="15" a="1"/>
  <c r="Y24" i="15" a="1"/>
  <c r="Y18" i="15" a="1"/>
  <c r="Y18" i="15" l="1"/>
  <c r="Y24" i="15"/>
  <c r="Y12" i="15"/>
  <c r="Y11" i="15"/>
  <c r="Y25" i="15"/>
  <c r="Y10" i="15"/>
  <c r="Y8" i="15"/>
  <c r="Y9" i="15"/>
  <c r="Y23" i="15"/>
  <c r="Y13" i="15"/>
  <c r="Y16" i="15"/>
  <c r="Y17" i="15"/>
  <c r="Y14" i="15"/>
  <c r="Y26" i="15"/>
  <c r="Y22" i="15"/>
  <c r="Y21" i="15"/>
  <c r="Y7" i="15"/>
  <c r="U89" i="15"/>
  <c r="V89" i="15"/>
  <c r="U90" i="15"/>
  <c r="V90" i="15"/>
  <c r="V92" i="15"/>
  <c r="U92" i="15"/>
  <c r="U91" i="15"/>
  <c r="V91" i="15"/>
  <c r="V94" i="15"/>
  <c r="U94" i="15"/>
  <c r="BW42" i="54"/>
  <c r="BW22" i="54" s="1"/>
  <c r="BW13" i="54" s="1"/>
  <c r="BW8" i="54"/>
  <c r="BX8" i="54"/>
  <c r="BX4" i="54" s="1"/>
  <c r="BW4" i="54" l="1"/>
  <c r="U4" i="59"/>
  <c r="U3" i="59"/>
  <c r="CS1" i="45" l="1"/>
  <c r="CT1" i="45"/>
  <c r="CU1" i="45"/>
  <c r="CV1" i="45"/>
  <c r="CW1" i="45"/>
  <c r="CX1" i="45"/>
  <c r="CR1" i="45"/>
  <c r="E2" i="45"/>
  <c r="R21" i="46" a="1"/>
  <c r="R45" i="46" a="1"/>
  <c r="R37" i="46" a="1"/>
  <c r="M62" i="46" a="1"/>
  <c r="R16" i="46" a="1"/>
  <c r="M13" i="46" a="1"/>
  <c r="M37" i="46" a="1"/>
  <c r="M36" i="46" a="1"/>
  <c r="M21" i="46" a="1"/>
  <c r="M10" i="46" a="1"/>
  <c r="R10" i="46" a="1"/>
  <c r="M15" i="46" a="1"/>
  <c r="R63" i="46" a="1"/>
  <c r="M7" i="46" a="1"/>
  <c r="M16" i="46" a="1"/>
  <c r="R19" i="46" a="1"/>
  <c r="M67" i="46" a="1"/>
  <c r="R67" i="46" a="1"/>
  <c r="M65" i="46" a="1"/>
  <c r="M11" i="46" a="1"/>
  <c r="R17" i="46" a="1"/>
  <c r="M14" i="46" a="1"/>
  <c r="M56" i="46" a="1"/>
  <c r="M64" i="46" a="1"/>
  <c r="M63" i="46" a="1"/>
  <c r="R66" i="46" a="1"/>
  <c r="R77" i="46" a="1"/>
  <c r="R14" i="46" a="1"/>
  <c r="R35" i="46" a="1"/>
  <c r="M20" i="46" a="1"/>
  <c r="R36" i="46" a="1"/>
  <c r="R59" i="46" a="1"/>
  <c r="R64" i="46" a="1"/>
  <c r="M34" i="46" a="1"/>
  <c r="M44" i="46" a="1"/>
  <c r="R69" i="46" a="1"/>
  <c r="R56" i="46" a="1"/>
  <c r="M66" i="46" a="1"/>
  <c r="R34" i="46" a="1"/>
  <c r="R62" i="46" a="1"/>
  <c r="M58" i="46" a="1"/>
  <c r="R44" i="46" a="1"/>
  <c r="R18" i="46" a="1"/>
  <c r="M68" i="46" a="1"/>
  <c r="M50" i="46" a="1"/>
  <c r="M55" i="46" a="1"/>
  <c r="R11" i="46" a="1"/>
  <c r="R57" i="46" a="1"/>
  <c r="M69" i="46" a="1"/>
  <c r="R20" i="46" a="1"/>
  <c r="R68" i="46" a="1"/>
  <c r="R65" i="46" a="1"/>
  <c r="M19" i="46" a="1"/>
  <c r="R15" i="46" a="1"/>
  <c r="R50" i="46" a="1"/>
  <c r="R60" i="46" a="1"/>
  <c r="M77" i="46" a="1"/>
  <c r="M59" i="46" a="1"/>
  <c r="R58" i="46" a="1"/>
  <c r="M45" i="46" a="1"/>
  <c r="M57" i="46" a="1"/>
  <c r="M35" i="46" a="1"/>
  <c r="M60" i="46" a="1"/>
  <c r="R7" i="46" a="1"/>
  <c r="M18" i="46" a="1"/>
  <c r="R13" i="46" a="1"/>
  <c r="R55" i="46" a="1"/>
  <c r="M17" i="46" a="1"/>
  <c r="R69" i="46" l="1"/>
  <c r="M69" i="46"/>
  <c r="CV68" i="45"/>
  <c r="CW68" i="45"/>
  <c r="R68" i="46"/>
  <c r="M68" i="46"/>
  <c r="R67" i="46"/>
  <c r="M67" i="46"/>
  <c r="CW67" i="45"/>
  <c r="CV67" i="45"/>
  <c r="CV66" i="45"/>
  <c r="CW66" i="45"/>
  <c r="R63" i="46"/>
  <c r="M63" i="46"/>
  <c r="R64" i="46"/>
  <c r="M64" i="46"/>
  <c r="CV62" i="45"/>
  <c r="CW62" i="45"/>
  <c r="CV63" i="45"/>
  <c r="CW63" i="45"/>
  <c r="R60" i="46"/>
  <c r="M60" i="46"/>
  <c r="R58" i="46"/>
  <c r="M58" i="46"/>
  <c r="R59" i="46"/>
  <c r="M59" i="46"/>
  <c r="CV59" i="45"/>
  <c r="CW59" i="45"/>
  <c r="CV57" i="45"/>
  <c r="CW57" i="45"/>
  <c r="CV58" i="45"/>
  <c r="CW58" i="45"/>
  <c r="R57" i="46"/>
  <c r="M57" i="46"/>
  <c r="CW56" i="45"/>
  <c r="CV56" i="45"/>
  <c r="R77" i="46"/>
  <c r="M77" i="46"/>
  <c r="CV76" i="45"/>
  <c r="CW76" i="45"/>
  <c r="R66" i="46"/>
  <c r="M66" i="46"/>
  <c r="CV65" i="45"/>
  <c r="CW65" i="45"/>
  <c r="R62" i="46"/>
  <c r="M62" i="46"/>
  <c r="CW61" i="45"/>
  <c r="CV61" i="45"/>
  <c r="R56" i="46"/>
  <c r="M56" i="46"/>
  <c r="CW55" i="45"/>
  <c r="CV55" i="45"/>
  <c r="R55" i="46"/>
  <c r="M55" i="46"/>
  <c r="CV54" i="45"/>
  <c r="CW54" i="45"/>
  <c r="R65" i="46"/>
  <c r="M65" i="46"/>
  <c r="CV64" i="45"/>
  <c r="CW64" i="45"/>
  <c r="R20" i="46"/>
  <c r="M20" i="46"/>
  <c r="R19" i="46"/>
  <c r="M19" i="46"/>
  <c r="R18" i="46"/>
  <c r="M18" i="46"/>
  <c r="R17" i="46"/>
  <c r="M17" i="46"/>
  <c r="R21" i="46"/>
  <c r="M21" i="46"/>
  <c r="R44" i="46"/>
  <c r="M44" i="46"/>
  <c r="CV43" i="45"/>
  <c r="CW43" i="45"/>
  <c r="R7" i="46"/>
  <c r="M7" i="46"/>
  <c r="CV6" i="45"/>
  <c r="CW6" i="45"/>
  <c r="R37" i="46"/>
  <c r="M37" i="46"/>
  <c r="R36" i="46"/>
  <c r="M36" i="46"/>
  <c r="R35" i="46"/>
  <c r="M35" i="46"/>
  <c r="R34" i="46"/>
  <c r="M34" i="46"/>
  <c r="R45" i="46"/>
  <c r="M45" i="46"/>
  <c r="CW44" i="45"/>
  <c r="CV44" i="45"/>
  <c r="R50" i="46"/>
  <c r="M50" i="46"/>
  <c r="CW49" i="45"/>
  <c r="CV49" i="45"/>
  <c r="R16" i="46"/>
  <c r="M16" i="46"/>
  <c r="CW15" i="45"/>
  <c r="CV15" i="45"/>
  <c r="R15" i="46"/>
  <c r="M15" i="46"/>
  <c r="CV14" i="45"/>
  <c r="CW14" i="45"/>
  <c r="R14" i="46"/>
  <c r="M14" i="46"/>
  <c r="CW13" i="45"/>
  <c r="CV13" i="45"/>
  <c r="R13" i="46"/>
  <c r="M13" i="46"/>
  <c r="CW12" i="45"/>
  <c r="CV12" i="45"/>
  <c r="R11" i="46"/>
  <c r="M11" i="46"/>
  <c r="CW10" i="45"/>
  <c r="CV10" i="45"/>
  <c r="R10" i="46"/>
  <c r="M10" i="46"/>
  <c r="CV9" i="45"/>
  <c r="CW9" i="45"/>
  <c r="CP5" i="45"/>
  <c r="CQ13" i="45"/>
  <c r="CQ41" i="45"/>
  <c r="CQ49" i="45"/>
  <c r="CP59" i="45"/>
  <c r="CP67" i="45"/>
  <c r="CP75" i="45"/>
  <c r="CQ42" i="45"/>
  <c r="CP51" i="45"/>
  <c r="CP60" i="45"/>
  <c r="CP68" i="45"/>
  <c r="CP76" i="45"/>
  <c r="CQ6" i="45"/>
  <c r="CP15" i="45"/>
  <c r="CP43" i="45"/>
  <c r="CQ51" i="45"/>
  <c r="CQ68" i="45"/>
  <c r="CQ76" i="45"/>
  <c r="CP7" i="45"/>
  <c r="CQ15" i="45"/>
  <c r="CQ43" i="45"/>
  <c r="CP52" i="45"/>
  <c r="CP61" i="45"/>
  <c r="CP69" i="45"/>
  <c r="CP78" i="45"/>
  <c r="CQ7" i="45"/>
  <c r="CP44" i="45"/>
  <c r="CQ52" i="45"/>
  <c r="CQ61" i="45"/>
  <c r="CQ69" i="45"/>
  <c r="CP8" i="45"/>
  <c r="CQ21" i="45"/>
  <c r="CQ44" i="45"/>
  <c r="CP62" i="45"/>
  <c r="CP70" i="45"/>
  <c r="CP9" i="45"/>
  <c r="CP37" i="45"/>
  <c r="CP45" i="45"/>
  <c r="CQ62" i="45"/>
  <c r="CQ70" i="45"/>
  <c r="CQ9" i="45"/>
  <c r="CQ45" i="45"/>
  <c r="CP55" i="45"/>
  <c r="CP63" i="45"/>
  <c r="CP71" i="45"/>
  <c r="CP10" i="45"/>
  <c r="CP38" i="45"/>
  <c r="CP46" i="45"/>
  <c r="CQ55" i="45"/>
  <c r="CQ63" i="45"/>
  <c r="CQ71" i="45"/>
  <c r="CQ10" i="45"/>
  <c r="CQ46" i="45"/>
  <c r="CP56" i="45"/>
  <c r="CP64" i="45"/>
  <c r="CP72" i="45"/>
  <c r="CP11" i="45"/>
  <c r="CP39" i="45"/>
  <c r="CP47" i="45"/>
  <c r="CQ56" i="45"/>
  <c r="CQ64" i="45"/>
  <c r="CQ72" i="45"/>
  <c r="CQ11" i="45"/>
  <c r="CQ47" i="45"/>
  <c r="CP57" i="45"/>
  <c r="CP65" i="45"/>
  <c r="CP73" i="45"/>
  <c r="CQ5" i="45"/>
  <c r="CP14" i="45"/>
  <c r="CP42" i="45"/>
  <c r="CP50" i="45"/>
  <c r="CQ59" i="45"/>
  <c r="CQ67" i="45"/>
  <c r="CQ75" i="45"/>
  <c r="CQ14" i="45"/>
  <c r="CQ60" i="45"/>
  <c r="CP21" i="45"/>
  <c r="CQ37" i="45"/>
  <c r="CQ38" i="45"/>
  <c r="CP12" i="45"/>
  <c r="CQ73" i="45"/>
  <c r="CQ12" i="45"/>
  <c r="CP74" i="45"/>
  <c r="CP13" i="45"/>
  <c r="CQ74" i="45"/>
  <c r="CQ39" i="45"/>
  <c r="CP40" i="45"/>
  <c r="CQ40" i="45"/>
  <c r="CQ57" i="45"/>
  <c r="CP58" i="45"/>
  <c r="CQ58" i="45"/>
  <c r="CQ65" i="45"/>
  <c r="CP66" i="45"/>
  <c r="CQ66" i="45"/>
  <c r="CP41" i="45"/>
  <c r="CP48" i="45"/>
  <c r="CQ48" i="45"/>
  <c r="CP49" i="45"/>
  <c r="CR211" i="45"/>
  <c r="CR210" i="45"/>
  <c r="P113" i="46" a="1"/>
  <c r="P87" i="46" a="1"/>
  <c r="P36" i="46" a="1"/>
  <c r="P21" i="46" a="1"/>
  <c r="P95" i="46" a="1"/>
  <c r="Q103" i="46" a="1"/>
  <c r="P134" i="46" a="1"/>
  <c r="P108" i="46" a="1"/>
  <c r="Q67" i="46" a="1"/>
  <c r="Q94" i="46" a="1"/>
  <c r="Q102" i="46" a="1"/>
  <c r="T62" i="46" a="1"/>
  <c r="P119" i="46" a="1"/>
  <c r="T64" i="46" a="1"/>
  <c r="T57" i="46" a="1"/>
  <c r="P37" i="46" a="1"/>
  <c r="P117" i="46" a="1"/>
  <c r="T59" i="46" a="1"/>
  <c r="S16" i="46" a="1"/>
  <c r="T68" i="46" a="1"/>
  <c r="T65" i="46" a="1"/>
  <c r="T60" i="46" a="1"/>
  <c r="Q104" i="46" a="1"/>
  <c r="S63" i="46" a="1"/>
  <c r="Q99" i="46" a="1"/>
  <c r="U99" i="46" a="1"/>
  <c r="T45" i="46" a="1"/>
  <c r="Q111" i="46" a="1"/>
  <c r="Q107" i="46" a="1"/>
  <c r="P133" i="46" a="1"/>
  <c r="U96" i="46" a="1"/>
  <c r="P131" i="46" a="1"/>
  <c r="P91" i="46" a="1"/>
  <c r="T58" i="46" a="1"/>
  <c r="U134" i="46" a="1"/>
  <c r="U113" i="46" a="1"/>
  <c r="S55" i="46" a="1"/>
  <c r="P51" i="46" a="1"/>
  <c r="Q115" i="46" a="1"/>
  <c r="T16" i="46" a="1"/>
  <c r="P139" i="46" a="1"/>
  <c r="T50" i="46" a="1"/>
  <c r="Q109" i="46" a="1"/>
  <c r="T56" i="46" a="1"/>
  <c r="P93" i="46" a="1"/>
  <c r="P58" i="46" a="1"/>
  <c r="P99" i="46" a="1"/>
  <c r="Q95" i="46" a="1"/>
  <c r="Q98" i="46" a="1"/>
  <c r="P98" i="46" a="1"/>
  <c r="Q93" i="46" a="1"/>
  <c r="U110" i="46" a="1"/>
  <c r="S67" i="46" a="1"/>
  <c r="P110" i="46" a="1"/>
  <c r="T13" i="46" a="1"/>
  <c r="Q101" i="46" a="1"/>
  <c r="U104" i="46" a="1"/>
  <c r="T44" i="46" a="1"/>
  <c r="U109" i="46" a="1"/>
  <c r="T77" i="46" a="1"/>
  <c r="Q114" i="46" a="1"/>
  <c r="U95" i="46" a="1"/>
  <c r="U100" i="46" a="1"/>
  <c r="S59" i="46" a="1"/>
  <c r="U114" i="46" a="1"/>
  <c r="Q105" i="46" a="1"/>
  <c r="S58" i="46" a="1"/>
  <c r="P106" i="46" a="1"/>
  <c r="Q92" i="46" a="1"/>
  <c r="P92" i="46" a="1"/>
  <c r="Q110" i="46" a="1"/>
  <c r="S77" i="46" a="1"/>
  <c r="U97" i="46" a="1"/>
  <c r="T7" i="46" a="1"/>
  <c r="S64" i="46" a="1"/>
  <c r="Q112" i="46" a="1"/>
  <c r="Q96" i="46" a="1"/>
  <c r="T69" i="46" a="1"/>
  <c r="U115" i="46" a="1"/>
  <c r="T67" i="46" a="1"/>
  <c r="P112" i="46" a="1"/>
  <c r="P20" i="46" a="1"/>
  <c r="S15" i="46" a="1"/>
  <c r="P109" i="46" a="1"/>
  <c r="P64" i="46" a="1"/>
  <c r="P107" i="46" a="1"/>
  <c r="U111" i="46" a="1"/>
  <c r="Q116" i="46" a="1"/>
  <c r="P103" i="46" a="1"/>
  <c r="P41" i="46" a="1"/>
  <c r="Q97" i="46" a="1"/>
  <c r="P96" i="46" a="1"/>
  <c r="P52" i="46" a="1"/>
  <c r="S45" i="46" a="1"/>
  <c r="T11" i="46" a="1"/>
  <c r="P114" i="46" a="1"/>
  <c r="Q108" i="46" a="1"/>
  <c r="P100" i="46" a="1"/>
  <c r="S7" i="46" a="1"/>
  <c r="S69" i="46" a="1"/>
  <c r="P69" i="46" a="1"/>
  <c r="S44" i="46" a="1"/>
  <c r="S56" i="46" a="1"/>
  <c r="S10" i="46" a="1"/>
  <c r="S60" i="46" a="1"/>
  <c r="T14" i="46" a="1"/>
  <c r="P105" i="46" a="1"/>
  <c r="P111" i="46" a="1"/>
  <c r="P101" i="46" a="1"/>
  <c r="U108" i="46" a="1"/>
  <c r="S66" i="46" a="1"/>
  <c r="U101" i="46" a="1"/>
  <c r="S11" i="46" a="1"/>
  <c r="U102" i="46" a="1"/>
  <c r="U103" i="46" a="1"/>
  <c r="Q113" i="46" a="1"/>
  <c r="P68" i="46" a="1"/>
  <c r="U93" i="46" a="1"/>
  <c r="Q91" i="46" a="1"/>
  <c r="Q106" i="46" a="1"/>
  <c r="P115" i="46" a="1"/>
  <c r="P116" i="46" a="1"/>
  <c r="T15" i="46" a="1"/>
  <c r="U70" i="46" a="1"/>
  <c r="T10" i="46" a="1"/>
  <c r="P22" i="46" a="1"/>
  <c r="U118" i="46" a="1"/>
  <c r="Q100" i="46" a="1"/>
  <c r="P97" i="46" a="1"/>
  <c r="U94" i="46" a="1"/>
  <c r="S62" i="46" a="1"/>
  <c r="P53" i="46" a="1"/>
  <c r="P70" i="46" a="1"/>
  <c r="T66" i="46" a="1"/>
  <c r="S13" i="46" a="1"/>
  <c r="P104" i="46" a="1"/>
  <c r="S65" i="46" a="1"/>
  <c r="S14" i="46" a="1"/>
  <c r="U92" i="46" a="1"/>
  <c r="P102" i="46" a="1"/>
  <c r="S57" i="46" a="1"/>
  <c r="U105" i="46" a="1"/>
  <c r="P118" i="46" a="1"/>
  <c r="P94" i="46" a="1"/>
  <c r="P48" i="46" a="1"/>
  <c r="U107" i="46" a="1"/>
  <c r="U98" i="46" a="1"/>
  <c r="U116" i="46" a="1"/>
  <c r="S68" i="46" a="1"/>
  <c r="S50" i="46" a="1"/>
  <c r="T63" i="46" a="1"/>
  <c r="P35" i="46" a="1"/>
  <c r="U106" i="46" a="1"/>
  <c r="T55" i="46" a="1"/>
  <c r="U112" i="46" a="1"/>
  <c r="U91" i="46" a="1"/>
  <c r="T69" i="46" l="1"/>
  <c r="S69" i="46"/>
  <c r="T67" i="46"/>
  <c r="S67" i="46"/>
  <c r="T68" i="46"/>
  <c r="S68" i="46"/>
  <c r="S64" i="46"/>
  <c r="T63" i="46"/>
  <c r="T64" i="46"/>
  <c r="S63" i="46"/>
  <c r="T59" i="46"/>
  <c r="S58" i="46"/>
  <c r="S60" i="46"/>
  <c r="S59" i="46"/>
  <c r="T58" i="46"/>
  <c r="T60" i="46"/>
  <c r="S57" i="46"/>
  <c r="T57" i="46"/>
  <c r="T77" i="46"/>
  <c r="S77" i="46"/>
  <c r="T66" i="46"/>
  <c r="S66" i="46"/>
  <c r="S62" i="46"/>
  <c r="T62" i="46"/>
  <c r="S56" i="46"/>
  <c r="T56" i="46"/>
  <c r="T55" i="46"/>
  <c r="S55" i="46"/>
  <c r="T65" i="46"/>
  <c r="S65" i="46"/>
  <c r="T44" i="46"/>
  <c r="S44" i="46"/>
  <c r="T7" i="46"/>
  <c r="S7" i="46"/>
  <c r="S45" i="46"/>
  <c r="T45" i="46"/>
  <c r="CP204" i="45"/>
  <c r="S50" i="46"/>
  <c r="T50" i="46"/>
  <c r="S16" i="46"/>
  <c r="T16" i="46"/>
  <c r="T15" i="46"/>
  <c r="S15" i="46"/>
  <c r="T14" i="46"/>
  <c r="S14" i="46"/>
  <c r="S13" i="46"/>
  <c r="T13" i="46"/>
  <c r="CP201" i="45"/>
  <c r="CP195" i="45"/>
  <c r="S11" i="46"/>
  <c r="T11" i="46"/>
  <c r="CP200" i="45"/>
  <c r="CP196" i="45"/>
  <c r="CP54" i="45"/>
  <c r="CP203" i="45" s="1"/>
  <c r="CR209" i="45"/>
  <c r="T10" i="46"/>
  <c r="S10" i="46"/>
  <c r="CQ54" i="45"/>
  <c r="CP194" i="45"/>
  <c r="CP197" i="45"/>
  <c r="CP198" i="45"/>
  <c r="CP202" i="45"/>
  <c r="Q93" i="46"/>
  <c r="P117" i="46"/>
  <c r="P58" i="46"/>
  <c r="Q95" i="46"/>
  <c r="P134" i="46"/>
  <c r="Q109" i="46"/>
  <c r="U93" i="46"/>
  <c r="P68" i="46"/>
  <c r="P101" i="46"/>
  <c r="P51" i="46"/>
  <c r="U101" i="46"/>
  <c r="P119" i="46"/>
  <c r="P99" i="46"/>
  <c r="P52" i="46"/>
  <c r="U134" i="46"/>
  <c r="U110" i="46"/>
  <c r="U91" i="46"/>
  <c r="U106" i="46"/>
  <c r="Q103" i="46"/>
  <c r="U118" i="46"/>
  <c r="P133" i="46"/>
  <c r="Q102" i="46"/>
  <c r="P96" i="46"/>
  <c r="U98" i="46"/>
  <c r="U109" i="46"/>
  <c r="P97" i="46"/>
  <c r="U97" i="46"/>
  <c r="P107" i="46"/>
  <c r="U70" i="46"/>
  <c r="Q96" i="46"/>
  <c r="Q104" i="46"/>
  <c r="P102" i="46"/>
  <c r="P114" i="46"/>
  <c r="Q101" i="46"/>
  <c r="Q114" i="46"/>
  <c r="Q91" i="46"/>
  <c r="Q99" i="46"/>
  <c r="Q106" i="46"/>
  <c r="P87" i="46"/>
  <c r="U92" i="46"/>
  <c r="Q67" i="46"/>
  <c r="P98" i="46"/>
  <c r="U108" i="46"/>
  <c r="U113" i="46"/>
  <c r="P115" i="46"/>
  <c r="P118" i="46"/>
  <c r="P92" i="46"/>
  <c r="U102" i="46"/>
  <c r="Q105" i="46"/>
  <c r="P110" i="46"/>
  <c r="P20" i="46"/>
  <c r="P106" i="46"/>
  <c r="P103" i="46"/>
  <c r="P36" i="46"/>
  <c r="Q100" i="46"/>
  <c r="Q111" i="46"/>
  <c r="P131" i="46"/>
  <c r="Q97" i="46"/>
  <c r="U112" i="46"/>
  <c r="Q92" i="46"/>
  <c r="U99" i="46"/>
  <c r="P112" i="46"/>
  <c r="P104" i="46"/>
  <c r="U103" i="46"/>
  <c r="U100" i="46"/>
  <c r="U96" i="46"/>
  <c r="P109" i="46"/>
  <c r="U95" i="46"/>
  <c r="U104" i="46"/>
  <c r="Q107" i="46"/>
  <c r="P35" i="46"/>
  <c r="P69" i="46"/>
  <c r="Q94" i="46"/>
  <c r="P21" i="46"/>
  <c r="P94" i="46"/>
  <c r="U115" i="46"/>
  <c r="P53" i="46"/>
  <c r="P37" i="46"/>
  <c r="P139" i="46"/>
  <c r="P93" i="46"/>
  <c r="P100" i="46"/>
  <c r="P111" i="46"/>
  <c r="U107" i="46"/>
  <c r="P113" i="46"/>
  <c r="Q98" i="46"/>
  <c r="P64" i="46"/>
  <c r="P95" i="46"/>
  <c r="P105" i="46"/>
  <c r="P91" i="46"/>
  <c r="U94" i="46"/>
  <c r="Q110" i="46"/>
  <c r="U111" i="46"/>
  <c r="U116" i="46"/>
  <c r="U105" i="46"/>
  <c r="U114" i="46"/>
  <c r="P70" i="46"/>
  <c r="P108" i="46"/>
  <c r="Q116" i="46"/>
  <c r="P48" i="46"/>
  <c r="P22" i="46"/>
  <c r="P41" i="46"/>
  <c r="Q115" i="46"/>
  <c r="Q112" i="46"/>
  <c r="P116" i="46"/>
  <c r="Q108" i="46"/>
  <c r="Q113" i="46"/>
  <c r="CR215" i="45"/>
  <c r="CR202" i="45"/>
  <c r="CR205" i="45"/>
  <c r="CR203" i="45"/>
  <c r="CR213" i="45"/>
  <c r="CR212" i="45"/>
  <c r="CR214" i="45"/>
  <c r="CR194" i="45"/>
  <c r="CR195" i="45"/>
  <c r="CR204" i="45"/>
  <c r="CR199" i="45"/>
  <c r="CR197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R30" authorId="0" shapeId="0" xr:uid="{3263169F-38EF-45C9-82FE-00900B35393E}">
      <text>
        <r>
          <rPr>
            <b/>
            <sz val="9"/>
            <color indexed="81"/>
            <rFont val="돋움"/>
            <family val="3"/>
            <charset val="129"/>
          </rPr>
          <t>장기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미접속자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가입점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69" authorId="0" shapeId="0" xr:uid="{C20FBAE4-00F1-474F-BB89-EE8DAF0D12FB}">
      <text>
        <r>
          <rPr>
            <sz val="9"/>
            <color indexed="81"/>
            <rFont val="KT서체 Medium"/>
            <family val="3"/>
            <charset val="129"/>
          </rPr>
          <t>센터장 포함 도매센터
전원 기준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8" authorId="0" shapeId="0" xr:uid="{C2A45B32-9B52-4111-8B9D-D86DD6D981B3}">
      <text>
        <r>
          <rPr>
            <b/>
            <sz val="9"/>
            <color indexed="81"/>
            <rFont val="KT서체 Medium"/>
            <family val="3"/>
            <charset val="129"/>
          </rPr>
          <t>센터장 포함 도매센터
전원 기준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C87" authorId="0" shapeId="0" xr:uid="{E354ED4D-14F9-43F9-9671-6974DB7F6247}">
      <text>
        <r>
          <rPr>
            <b/>
            <sz val="9"/>
            <color indexed="81"/>
            <rFont val="Tahoma"/>
            <family val="2"/>
          </rPr>
          <t>'24.11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<sst xmlns="http://schemas.openxmlformats.org/spreadsheetml/2006/main" count="5239" uniqueCount="1239">
  <si>
    <t>관리수수료</t>
    <phoneticPr fontId="1" type="noConversion"/>
  </si>
  <si>
    <t>월간 실적</t>
    <phoneticPr fontId="1" type="noConversion"/>
  </si>
  <si>
    <t>'24.1월</t>
    <phoneticPr fontId="1" type="noConversion"/>
  </si>
  <si>
    <t>'24.2월</t>
  </si>
  <si>
    <t>(단위 : 억원)</t>
    <phoneticPr fontId="1" type="noConversion"/>
  </si>
  <si>
    <t>신사업매출</t>
    <phoneticPr fontId="1" type="noConversion"/>
  </si>
  <si>
    <t>정책수수료</t>
    <phoneticPr fontId="1" type="noConversion"/>
  </si>
  <si>
    <t>기타수수료</t>
    <phoneticPr fontId="1" type="noConversion"/>
  </si>
  <si>
    <t>목표대비</t>
    <phoneticPr fontId="1" type="noConversion"/>
  </si>
  <si>
    <t>달성률</t>
    <phoneticPr fontId="1" type="noConversion"/>
  </si>
  <si>
    <t>상품매출</t>
    <phoneticPr fontId="1" type="noConversion"/>
  </si>
  <si>
    <t>전년대비</t>
    <phoneticPr fontId="1" type="noConversion"/>
  </si>
  <si>
    <t xml:space="preserve">   * 프리할부</t>
    <phoneticPr fontId="1" type="noConversion"/>
  </si>
  <si>
    <t>인건비</t>
    <phoneticPr fontId="1" type="noConversion"/>
  </si>
  <si>
    <t>임차관리비</t>
    <phoneticPr fontId="1" type="noConversion"/>
  </si>
  <si>
    <t>감가상각비</t>
    <phoneticPr fontId="1" type="noConversion"/>
  </si>
  <si>
    <t>기타운영비</t>
    <phoneticPr fontId="1" type="noConversion"/>
  </si>
  <si>
    <t>영업이익</t>
    <phoneticPr fontId="1" type="noConversion"/>
  </si>
  <si>
    <t>□ 재무실적</t>
    <phoneticPr fontId="1" type="noConversion"/>
  </si>
  <si>
    <t>소매</t>
    <phoneticPr fontId="1" type="noConversion"/>
  </si>
  <si>
    <t>도매</t>
    <phoneticPr fontId="1" type="noConversion"/>
  </si>
  <si>
    <t>온라인</t>
    <phoneticPr fontId="1" type="noConversion"/>
  </si>
  <si>
    <t>B2B</t>
    <phoneticPr fontId="1" type="noConversion"/>
  </si>
  <si>
    <t>정책비용계</t>
    <phoneticPr fontId="1" type="noConversion"/>
  </si>
  <si>
    <t xml:space="preserve">   판촉비</t>
    <phoneticPr fontId="1" type="noConversion"/>
  </si>
  <si>
    <t xml:space="preserve">   회의비</t>
    <phoneticPr fontId="1" type="noConversion"/>
  </si>
  <si>
    <t xml:space="preserve">   프로모션</t>
    <phoneticPr fontId="1" type="noConversion"/>
  </si>
  <si>
    <t xml:space="preserve">   프리할부</t>
    <phoneticPr fontId="1" type="noConversion"/>
  </si>
  <si>
    <t xml:space="preserve">   매장성수수료</t>
    <phoneticPr fontId="1" type="noConversion"/>
  </si>
  <si>
    <t xml:space="preserve">   P.3.0수수료</t>
    <phoneticPr fontId="1" type="noConversion"/>
  </si>
  <si>
    <t xml:space="preserve">   인건비</t>
    <phoneticPr fontId="1" type="noConversion"/>
  </si>
  <si>
    <t xml:space="preserve">   임차관리비</t>
    <phoneticPr fontId="1" type="noConversion"/>
  </si>
  <si>
    <t xml:space="preserve">   기타운영비</t>
    <phoneticPr fontId="1" type="noConversion"/>
  </si>
  <si>
    <t>공통비</t>
    <phoneticPr fontId="1" type="noConversion"/>
  </si>
  <si>
    <t>판매수수료</t>
    <phoneticPr fontId="1" type="noConversion"/>
  </si>
  <si>
    <t>도급매출</t>
    <phoneticPr fontId="1" type="noConversion"/>
  </si>
  <si>
    <t xml:space="preserve">   위탁수수료</t>
    <phoneticPr fontId="1" type="noConversion"/>
  </si>
  <si>
    <t>도급비용</t>
    <phoneticPr fontId="1" type="noConversion"/>
  </si>
  <si>
    <t xml:space="preserve">   물류비</t>
    <phoneticPr fontId="1" type="noConversion"/>
  </si>
  <si>
    <t xml:space="preserve">   유류비</t>
    <phoneticPr fontId="1" type="noConversion"/>
  </si>
  <si>
    <t xml:space="preserve">   계약공통비</t>
    <phoneticPr fontId="1" type="noConversion"/>
  </si>
  <si>
    <t>매출원가</t>
    <phoneticPr fontId="1" type="noConversion"/>
  </si>
  <si>
    <t>마케팅비</t>
    <phoneticPr fontId="1" type="noConversion"/>
  </si>
  <si>
    <t>유지</t>
    <phoneticPr fontId="1" type="noConversion"/>
  </si>
  <si>
    <t>누적</t>
    <phoneticPr fontId="1" type="noConversion"/>
  </si>
  <si>
    <t>월평균</t>
    <phoneticPr fontId="1" type="noConversion"/>
  </si>
  <si>
    <t>신규</t>
    <phoneticPr fontId="1" type="noConversion"/>
  </si>
  <si>
    <t>해지</t>
    <phoneticPr fontId="1" type="noConversion"/>
  </si>
  <si>
    <t>기변OUT</t>
    <phoneticPr fontId="1" type="noConversion"/>
  </si>
  <si>
    <t>만기환수</t>
    <phoneticPr fontId="1" type="noConversion"/>
  </si>
  <si>
    <t>순증</t>
    <phoneticPr fontId="1" type="noConversion"/>
  </si>
  <si>
    <t>가입자이관(KT닷컴)</t>
    <phoneticPr fontId="1" type="noConversion"/>
  </si>
  <si>
    <t>IoT</t>
    <phoneticPr fontId="1" type="noConversion"/>
  </si>
  <si>
    <t>MNP</t>
    <phoneticPr fontId="1" type="noConversion"/>
  </si>
  <si>
    <t>010</t>
    <phoneticPr fontId="1" type="noConversion"/>
  </si>
  <si>
    <t>기변</t>
    <phoneticPr fontId="1" type="noConversion"/>
  </si>
  <si>
    <t>CAPA(신규+기변)</t>
    <phoneticPr fontId="1" type="noConversion"/>
  </si>
  <si>
    <t>신규</t>
    <phoneticPr fontId="1" type="noConversion"/>
  </si>
  <si>
    <t xml:space="preserve">   * 직권해지</t>
    <phoneticPr fontId="1" type="noConversion"/>
  </si>
  <si>
    <t xml:space="preserve">관리수수료
대상
8.5%
</t>
    <phoneticPr fontId="1" type="noConversion"/>
  </si>
  <si>
    <t>H/C대상
(도매,KT닷컴)
2%</t>
    <phoneticPr fontId="1" type="noConversion"/>
  </si>
  <si>
    <t>운영후불
(중고제외)</t>
    <phoneticPr fontId="1" type="noConversion"/>
  </si>
  <si>
    <t>CAPA(신규+기변)</t>
    <phoneticPr fontId="1" type="noConversion"/>
  </si>
  <si>
    <t xml:space="preserve">   *MNP비중</t>
    <phoneticPr fontId="1" type="noConversion"/>
  </si>
  <si>
    <t>소매</t>
    <phoneticPr fontId="1" type="noConversion"/>
  </si>
  <si>
    <t>프론티어</t>
    <phoneticPr fontId="1" type="noConversion"/>
  </si>
  <si>
    <t>기타</t>
    <phoneticPr fontId="1" type="noConversion"/>
  </si>
  <si>
    <t>강북</t>
    <phoneticPr fontId="1" type="noConversion"/>
  </si>
  <si>
    <t>강남</t>
    <phoneticPr fontId="1" type="noConversion"/>
  </si>
  <si>
    <t>강서</t>
    <phoneticPr fontId="1" type="noConversion"/>
  </si>
  <si>
    <t>강동</t>
    <phoneticPr fontId="1" type="noConversion"/>
  </si>
  <si>
    <t>인천</t>
    <phoneticPr fontId="1" type="noConversion"/>
  </si>
  <si>
    <t>부산</t>
    <phoneticPr fontId="1" type="noConversion"/>
  </si>
  <si>
    <t>대구</t>
    <phoneticPr fontId="1" type="noConversion"/>
  </si>
  <si>
    <t>충청</t>
    <phoneticPr fontId="1" type="noConversion"/>
  </si>
  <si>
    <t>호남</t>
    <phoneticPr fontId="1" type="noConversion"/>
  </si>
  <si>
    <t>강북본부</t>
    <phoneticPr fontId="1" type="noConversion"/>
  </si>
  <si>
    <t>강남본부</t>
    <phoneticPr fontId="1" type="noConversion"/>
  </si>
  <si>
    <t>강서본부</t>
    <phoneticPr fontId="1" type="noConversion"/>
  </si>
  <si>
    <t>서부본부</t>
    <phoneticPr fontId="1" type="noConversion"/>
  </si>
  <si>
    <t>도매
조직별</t>
    <phoneticPr fontId="1" type="noConversion"/>
  </si>
  <si>
    <t>판매ARPU</t>
    <phoneticPr fontId="1" type="noConversion"/>
  </si>
  <si>
    <t>전사</t>
    <phoneticPr fontId="1" type="noConversion"/>
  </si>
  <si>
    <t>□ 유선가입자</t>
    <phoneticPr fontId="1" type="noConversion"/>
  </si>
  <si>
    <t>유선전체
(I+TV)</t>
    <phoneticPr fontId="1" type="noConversion"/>
  </si>
  <si>
    <t>영업순증</t>
    <phoneticPr fontId="1" type="noConversion"/>
  </si>
  <si>
    <t>인터넷</t>
    <phoneticPr fontId="1" type="noConversion"/>
  </si>
  <si>
    <t>TV</t>
    <phoneticPr fontId="1" type="noConversion"/>
  </si>
  <si>
    <t>유선
순신규</t>
    <phoneticPr fontId="1" type="noConversion"/>
  </si>
  <si>
    <t>인터넷</t>
    <phoneticPr fontId="1" type="noConversion"/>
  </si>
  <si>
    <t>Mass</t>
    <phoneticPr fontId="1" type="noConversion"/>
  </si>
  <si>
    <t>Biz</t>
    <phoneticPr fontId="1" type="noConversion"/>
  </si>
  <si>
    <t>상품</t>
    <phoneticPr fontId="1" type="noConversion"/>
  </si>
  <si>
    <t>소매
조직별</t>
    <phoneticPr fontId="1" type="noConversion"/>
  </si>
  <si>
    <t>유선
Quality</t>
    <phoneticPr fontId="1" type="noConversion"/>
  </si>
  <si>
    <t>인터넷 1G비중</t>
    <phoneticPr fontId="1" type="noConversion"/>
  </si>
  <si>
    <t>무선증분매출</t>
    <phoneticPr fontId="1" type="noConversion"/>
  </si>
  <si>
    <t>TV 에센스↑ 비중</t>
    <phoneticPr fontId="1" type="noConversion"/>
  </si>
  <si>
    <t xml:space="preserve">  *신동건수</t>
    <phoneticPr fontId="1" type="noConversion"/>
  </si>
  <si>
    <t xml:space="preserve">   * 신동건수</t>
    <phoneticPr fontId="1" type="noConversion"/>
  </si>
  <si>
    <t>무선</t>
    <phoneticPr fontId="1" type="noConversion"/>
  </si>
  <si>
    <t>유선</t>
    <phoneticPr fontId="1" type="noConversion"/>
  </si>
  <si>
    <t>무선후불</t>
    <phoneticPr fontId="1" type="noConversion"/>
  </si>
  <si>
    <t>유선기타</t>
    <phoneticPr fontId="1" type="noConversion"/>
  </si>
  <si>
    <t>시연폰</t>
    <phoneticPr fontId="1" type="noConversion"/>
  </si>
  <si>
    <t>굿바이</t>
    <phoneticPr fontId="1" type="noConversion"/>
  </si>
  <si>
    <t>코코넛</t>
    <phoneticPr fontId="1" type="noConversion"/>
  </si>
  <si>
    <t>매장성수수료</t>
    <phoneticPr fontId="1" type="noConversion"/>
  </si>
  <si>
    <t>프라자3.0</t>
    <phoneticPr fontId="1" type="noConversion"/>
  </si>
  <si>
    <t>도매위탁</t>
    <phoneticPr fontId="1" type="noConversion"/>
  </si>
  <si>
    <t>2nd 등 기타단말</t>
    <phoneticPr fontId="1" type="noConversion"/>
  </si>
  <si>
    <t>KTAC 위탁</t>
    <phoneticPr fontId="1" type="noConversion"/>
  </si>
  <si>
    <t>KT SHOP 위탁</t>
    <phoneticPr fontId="1" type="noConversion"/>
  </si>
  <si>
    <t>무선 판매관련 수수료</t>
    <phoneticPr fontId="1" type="noConversion"/>
  </si>
  <si>
    <t>유선 판매관련 수수료</t>
    <phoneticPr fontId="1" type="noConversion"/>
  </si>
  <si>
    <t xml:space="preserve">SOIP, 기가아이즈, PSTN 등 </t>
    <phoneticPr fontId="1" type="noConversion"/>
  </si>
  <si>
    <t>KT SHOP 도급수수료</t>
    <phoneticPr fontId="1" type="noConversion"/>
  </si>
  <si>
    <t>기타도급 및 지원</t>
    <phoneticPr fontId="1" type="noConversion"/>
  </si>
  <si>
    <t>PAD, wearable 등</t>
    <phoneticPr fontId="1" type="noConversion"/>
  </si>
  <si>
    <t xml:space="preserve">M2M 가입자 </t>
    <phoneticPr fontId="1" type="noConversion"/>
  </si>
  <si>
    <t>지급수수료</t>
    <phoneticPr fontId="1" type="noConversion"/>
  </si>
  <si>
    <t>운반비</t>
    <phoneticPr fontId="1" type="noConversion"/>
  </si>
  <si>
    <t>회의비</t>
    <phoneticPr fontId="1" type="noConversion"/>
  </si>
  <si>
    <t>통신비</t>
    <phoneticPr fontId="1" type="noConversion"/>
  </si>
  <si>
    <t>구분</t>
    <phoneticPr fontId="1" type="noConversion"/>
  </si>
  <si>
    <t>설명</t>
    <phoneticPr fontId="1" type="noConversion"/>
  </si>
  <si>
    <t>소매</t>
    <phoneticPr fontId="1" type="noConversion"/>
  </si>
  <si>
    <t>전사</t>
    <phoneticPr fontId="1" type="noConversion"/>
  </si>
  <si>
    <t>소매</t>
    <phoneticPr fontId="1" type="noConversion"/>
  </si>
  <si>
    <t>도매</t>
    <phoneticPr fontId="1" type="noConversion"/>
  </si>
  <si>
    <t>전월대비</t>
    <phoneticPr fontId="1" type="noConversion"/>
  </si>
  <si>
    <t>도매 도급수수료</t>
    <phoneticPr fontId="1" type="noConversion"/>
  </si>
  <si>
    <t>R-VOC</t>
    <phoneticPr fontId="1" type="noConversion"/>
  </si>
  <si>
    <t>대외민원</t>
    <phoneticPr fontId="1" type="noConversion"/>
  </si>
  <si>
    <t>도매</t>
    <phoneticPr fontId="1" type="noConversion"/>
  </si>
  <si>
    <t>불완전판매</t>
    <phoneticPr fontId="1" type="noConversion"/>
  </si>
  <si>
    <t>음성적재가입</t>
    <phoneticPr fontId="1" type="noConversion"/>
  </si>
  <si>
    <t xml:space="preserve">   * 발생률</t>
    <phoneticPr fontId="1" type="noConversion"/>
  </si>
  <si>
    <t>소매</t>
    <phoneticPr fontId="1" type="noConversion"/>
  </si>
  <si>
    <t>도매</t>
    <phoneticPr fontId="1" type="noConversion"/>
  </si>
  <si>
    <t>강북</t>
    <phoneticPr fontId="1" type="noConversion"/>
  </si>
  <si>
    <t>강동</t>
    <phoneticPr fontId="1" type="noConversion"/>
  </si>
  <si>
    <t>강남</t>
    <phoneticPr fontId="1" type="noConversion"/>
  </si>
  <si>
    <t>남부</t>
    <phoneticPr fontId="1" type="noConversion"/>
  </si>
  <si>
    <t>강서</t>
    <phoneticPr fontId="1" type="noConversion"/>
  </si>
  <si>
    <t>인천</t>
    <phoneticPr fontId="1" type="noConversion"/>
  </si>
  <si>
    <t>부산</t>
    <phoneticPr fontId="1" type="noConversion"/>
  </si>
  <si>
    <t>대구</t>
    <phoneticPr fontId="1" type="noConversion"/>
  </si>
  <si>
    <t>충청</t>
    <phoneticPr fontId="1" type="noConversion"/>
  </si>
  <si>
    <t>호남</t>
    <phoneticPr fontId="1" type="noConversion"/>
  </si>
  <si>
    <t>강서</t>
    <phoneticPr fontId="1" type="noConversion"/>
  </si>
  <si>
    <t>대구</t>
    <phoneticPr fontId="1" type="noConversion"/>
  </si>
  <si>
    <t>(단위 : 회선)</t>
    <phoneticPr fontId="1" type="noConversion"/>
  </si>
  <si>
    <t>(단위 : 회선, 원)</t>
    <phoneticPr fontId="1" type="noConversion"/>
  </si>
  <si>
    <t>'24.3월</t>
    <phoneticPr fontId="1" type="noConversion"/>
  </si>
  <si>
    <t>24.3월</t>
    <phoneticPr fontId="1" type="noConversion"/>
  </si>
  <si>
    <t>관리수수료(6.5%)+H/C(2%)</t>
    <phoneticPr fontId="1" type="noConversion"/>
  </si>
  <si>
    <t>인터넷순신규</t>
    <phoneticPr fontId="1" type="noConversion"/>
  </si>
  <si>
    <t>TV순신규</t>
    <phoneticPr fontId="1" type="noConversion"/>
  </si>
  <si>
    <t>동시판매</t>
    <phoneticPr fontId="1" type="noConversion"/>
  </si>
  <si>
    <t>로봇</t>
    <phoneticPr fontId="1" type="noConversion"/>
  </si>
  <si>
    <t>기타상품</t>
    <phoneticPr fontId="1" type="noConversion"/>
  </si>
  <si>
    <t>상품</t>
    <phoneticPr fontId="1" type="noConversion"/>
  </si>
  <si>
    <t>동부</t>
    <phoneticPr fontId="1" type="noConversion"/>
  </si>
  <si>
    <t>서부</t>
    <phoneticPr fontId="1" type="noConversion"/>
  </si>
  <si>
    <t>본부별
인터넷
순신규</t>
    <phoneticPr fontId="1" type="noConversion"/>
  </si>
  <si>
    <t>본부별
TV순신규</t>
    <phoneticPr fontId="1" type="noConversion"/>
  </si>
  <si>
    <t>서부</t>
    <phoneticPr fontId="1" type="noConversion"/>
  </si>
  <si>
    <t xml:space="preserve"> *BIZ실적</t>
    <phoneticPr fontId="1" type="noConversion"/>
  </si>
  <si>
    <t>서부</t>
    <phoneticPr fontId="1" type="noConversion"/>
  </si>
  <si>
    <t>강북</t>
    <phoneticPr fontId="1" type="noConversion"/>
  </si>
  <si>
    <t>부장</t>
    <phoneticPr fontId="1" type="noConversion"/>
  </si>
  <si>
    <t>임원(상무이상)</t>
    <phoneticPr fontId="1" type="noConversion"/>
  </si>
  <si>
    <t>차장</t>
    <phoneticPr fontId="1" type="noConversion"/>
  </si>
  <si>
    <t>과장</t>
    <phoneticPr fontId="1" type="noConversion"/>
  </si>
  <si>
    <t>대리</t>
    <phoneticPr fontId="1" type="noConversion"/>
  </si>
  <si>
    <t>사원</t>
    <phoneticPr fontId="1" type="noConversion"/>
  </si>
  <si>
    <t>일반직</t>
    <phoneticPr fontId="1" type="noConversion"/>
  </si>
  <si>
    <t>영업직</t>
    <phoneticPr fontId="1" type="noConversion"/>
  </si>
  <si>
    <t>SC직</t>
    <phoneticPr fontId="1" type="noConversion"/>
  </si>
  <si>
    <t>직급별</t>
    <phoneticPr fontId="1" type="noConversion"/>
  </si>
  <si>
    <t>전사계</t>
    <phoneticPr fontId="1" type="noConversion"/>
  </si>
  <si>
    <t>조직별</t>
    <phoneticPr fontId="1" type="noConversion"/>
  </si>
  <si>
    <t>본사계</t>
    <phoneticPr fontId="1" type="noConversion"/>
  </si>
  <si>
    <t>CEO</t>
    <phoneticPr fontId="1" type="noConversion"/>
  </si>
  <si>
    <t>경영기획총괄</t>
    <phoneticPr fontId="1" type="noConversion"/>
  </si>
  <si>
    <t>영업총괄</t>
    <phoneticPr fontId="1" type="noConversion"/>
  </si>
  <si>
    <t>현장계</t>
    <phoneticPr fontId="1" type="noConversion"/>
  </si>
  <si>
    <t>강북영업본부</t>
    <phoneticPr fontId="1" type="noConversion"/>
  </si>
  <si>
    <t>강남영업본부</t>
    <phoneticPr fontId="1" type="noConversion"/>
  </si>
  <si>
    <t>강서영업본부</t>
    <phoneticPr fontId="1" type="noConversion"/>
  </si>
  <si>
    <t>동부영업본부</t>
    <phoneticPr fontId="1" type="noConversion"/>
  </si>
  <si>
    <t>서부영업본부</t>
    <phoneticPr fontId="1" type="noConversion"/>
  </si>
  <si>
    <t>재적전출</t>
    <phoneticPr fontId="1" type="noConversion"/>
  </si>
  <si>
    <t>휴직</t>
    <phoneticPr fontId="1" type="noConversion"/>
  </si>
  <si>
    <t>수석</t>
    <phoneticPr fontId="1" type="noConversion"/>
  </si>
  <si>
    <t>인턴</t>
    <phoneticPr fontId="1" type="noConversion"/>
  </si>
  <si>
    <t>경영지원실</t>
    <phoneticPr fontId="1" type="noConversion"/>
  </si>
  <si>
    <t>감사실</t>
    <phoneticPr fontId="1" type="noConversion"/>
  </si>
  <si>
    <t>항목비중</t>
    <phoneticPr fontId="1" type="noConversion"/>
  </si>
  <si>
    <t>여성</t>
    <phoneticPr fontId="1" type="noConversion"/>
  </si>
  <si>
    <t>비중</t>
    <phoneticPr fontId="1" type="noConversion"/>
  </si>
  <si>
    <t>평균연령</t>
    <phoneticPr fontId="1" type="noConversion"/>
  </si>
  <si>
    <t>평균근속</t>
    <phoneticPr fontId="1" type="noConversion"/>
  </si>
  <si>
    <t>본부Staff</t>
    <phoneticPr fontId="1" type="noConversion"/>
  </si>
  <si>
    <t>소매채널</t>
    <phoneticPr fontId="1" type="noConversion"/>
  </si>
  <si>
    <t>강북본부</t>
    <phoneticPr fontId="8" type="noConversion"/>
  </si>
  <si>
    <t>강남본부</t>
    <phoneticPr fontId="8" type="noConversion"/>
  </si>
  <si>
    <t>강서본부</t>
    <phoneticPr fontId="8" type="noConversion"/>
  </si>
  <si>
    <t>동부본부</t>
    <phoneticPr fontId="8" type="noConversion"/>
  </si>
  <si>
    <t>서부본부</t>
    <phoneticPr fontId="8" type="noConversion"/>
  </si>
  <si>
    <t>강북소매</t>
    <phoneticPr fontId="8" type="noConversion"/>
  </si>
  <si>
    <t>강동소매</t>
    <phoneticPr fontId="8" type="noConversion"/>
  </si>
  <si>
    <t>강남소매</t>
    <phoneticPr fontId="8" type="noConversion"/>
  </si>
  <si>
    <t>남부소매</t>
    <phoneticPr fontId="8" type="noConversion"/>
  </si>
  <si>
    <t>강서소매</t>
    <phoneticPr fontId="8" type="noConversion"/>
  </si>
  <si>
    <t>인천소매</t>
    <phoneticPr fontId="8" type="noConversion"/>
  </si>
  <si>
    <t>부산소매</t>
    <phoneticPr fontId="8" type="noConversion"/>
  </si>
  <si>
    <t>대구소매</t>
    <phoneticPr fontId="8" type="noConversion"/>
  </si>
  <si>
    <t>충청소매</t>
    <phoneticPr fontId="8" type="noConversion"/>
  </si>
  <si>
    <t>호남소매</t>
    <phoneticPr fontId="8" type="noConversion"/>
  </si>
  <si>
    <t>TO</t>
    <phoneticPr fontId="1" type="noConversion"/>
  </si>
  <si>
    <t>과부족</t>
    <phoneticPr fontId="1" type="noConversion"/>
  </si>
  <si>
    <t>충원율</t>
    <phoneticPr fontId="1" type="noConversion"/>
  </si>
  <si>
    <t>매장당인원</t>
    <phoneticPr fontId="1" type="noConversion"/>
  </si>
  <si>
    <t>도매채널</t>
    <phoneticPr fontId="1" type="noConversion"/>
  </si>
  <si>
    <t>강북도매</t>
  </si>
  <si>
    <t>강남도매</t>
  </si>
  <si>
    <t>강서도매</t>
  </si>
  <si>
    <t>부산도매</t>
  </si>
  <si>
    <t>대구도매</t>
  </si>
  <si>
    <t>충청도매</t>
  </si>
  <si>
    <t>호남도매</t>
  </si>
  <si>
    <t>매장수/센터수</t>
    <phoneticPr fontId="1" type="noConversion"/>
  </si>
  <si>
    <t>출점</t>
    <phoneticPr fontId="1" type="noConversion"/>
  </si>
  <si>
    <t>퇴점</t>
    <phoneticPr fontId="1" type="noConversion"/>
  </si>
  <si>
    <t>소매
매장</t>
    <phoneticPr fontId="1" type="noConversion"/>
  </si>
  <si>
    <t>*개통센터</t>
    <phoneticPr fontId="1" type="noConversion"/>
  </si>
  <si>
    <t>기타(파견,시니어,계약,외국인 등)</t>
    <phoneticPr fontId="1" type="noConversion"/>
  </si>
  <si>
    <t>소매계</t>
    <phoneticPr fontId="1" type="noConversion"/>
  </si>
  <si>
    <t>도매계</t>
    <phoneticPr fontId="1" type="noConversion"/>
  </si>
  <si>
    <t>연간누적</t>
    <phoneticPr fontId="1" type="noConversion"/>
  </si>
  <si>
    <t>매장 Infra 계</t>
    <phoneticPr fontId="1" type="noConversion"/>
  </si>
  <si>
    <t>에비뉴</t>
    <phoneticPr fontId="1" type="noConversion"/>
  </si>
  <si>
    <t>자가</t>
    <phoneticPr fontId="1" type="noConversion"/>
  </si>
  <si>
    <t>투자매장</t>
    <phoneticPr fontId="1" type="noConversion"/>
  </si>
  <si>
    <t>후불</t>
    <phoneticPr fontId="1" type="noConversion"/>
  </si>
  <si>
    <t>순신규</t>
    <phoneticPr fontId="1" type="noConversion"/>
  </si>
  <si>
    <t>인당</t>
    <phoneticPr fontId="1" type="noConversion"/>
  </si>
  <si>
    <t>무선취급점</t>
    <phoneticPr fontId="1" type="noConversion"/>
  </si>
  <si>
    <t>5건이상</t>
    <phoneticPr fontId="1" type="noConversion"/>
  </si>
  <si>
    <t>유선취급점</t>
    <phoneticPr fontId="1" type="noConversion"/>
  </si>
  <si>
    <t>도매
Infra</t>
    <phoneticPr fontId="1" type="noConversion"/>
  </si>
  <si>
    <t>Out</t>
    <phoneticPr fontId="1" type="noConversion"/>
  </si>
  <si>
    <t>부족</t>
    <phoneticPr fontId="1" type="noConversion"/>
  </si>
  <si>
    <t>초과</t>
    <phoneticPr fontId="1" type="noConversion"/>
  </si>
  <si>
    <t>TO 과부족 매장수</t>
    <phoneticPr fontId="1" type="noConversion"/>
  </si>
  <si>
    <t>삼성</t>
    <phoneticPr fontId="1" type="noConversion"/>
  </si>
  <si>
    <t>애플</t>
    <phoneticPr fontId="1" type="noConversion"/>
  </si>
  <si>
    <t>1~3건</t>
    <phoneticPr fontId="1" type="noConversion"/>
  </si>
  <si>
    <t>4~6건</t>
    <phoneticPr fontId="1" type="noConversion"/>
  </si>
  <si>
    <t>7건이상</t>
    <phoneticPr fontId="1" type="noConversion"/>
  </si>
  <si>
    <t>1~2건</t>
    <phoneticPr fontId="1" type="noConversion"/>
  </si>
  <si>
    <t>3~4건</t>
    <phoneticPr fontId="1" type="noConversion"/>
  </si>
  <si>
    <t>기초재고</t>
    <phoneticPr fontId="1" type="noConversion"/>
  </si>
  <si>
    <t>매입</t>
    <phoneticPr fontId="1" type="noConversion"/>
  </si>
  <si>
    <t>KT</t>
    <phoneticPr fontId="1" type="noConversion"/>
  </si>
  <si>
    <t>삼성(직)</t>
    <phoneticPr fontId="1" type="noConversion"/>
  </si>
  <si>
    <t>애플(직)</t>
    <phoneticPr fontId="1" type="noConversion"/>
  </si>
  <si>
    <t>기말재고</t>
    <phoneticPr fontId="1" type="noConversion"/>
  </si>
  <si>
    <t>재고회전일</t>
    <phoneticPr fontId="1" type="noConversion"/>
  </si>
  <si>
    <t>재고</t>
    <phoneticPr fontId="1" type="noConversion"/>
  </si>
  <si>
    <t>직매입
마진</t>
    <phoneticPr fontId="1" type="noConversion"/>
  </si>
  <si>
    <t>마진 총액</t>
    <phoneticPr fontId="1" type="noConversion"/>
  </si>
  <si>
    <t>TCSI점수</t>
    <phoneticPr fontId="1" type="noConversion"/>
  </si>
  <si>
    <t>TCSI</t>
    <phoneticPr fontId="1" type="noConversion"/>
  </si>
  <si>
    <t>기말재고금액</t>
    <phoneticPr fontId="1" type="noConversion"/>
  </si>
  <si>
    <t>강북소매</t>
    <phoneticPr fontId="1" type="noConversion"/>
  </si>
  <si>
    <t>강동소매</t>
    <phoneticPr fontId="1" type="noConversion"/>
  </si>
  <si>
    <t>강남소매</t>
    <phoneticPr fontId="1" type="noConversion"/>
  </si>
  <si>
    <t>남부소매</t>
    <phoneticPr fontId="1" type="noConversion"/>
  </si>
  <si>
    <t>강서소매</t>
    <phoneticPr fontId="1" type="noConversion"/>
  </si>
  <si>
    <t>인천소매</t>
    <phoneticPr fontId="1" type="noConversion"/>
  </si>
  <si>
    <t>부산소매</t>
    <phoneticPr fontId="1" type="noConversion"/>
  </si>
  <si>
    <t>대구소매</t>
    <phoneticPr fontId="1" type="noConversion"/>
  </si>
  <si>
    <t>충청소매</t>
    <phoneticPr fontId="1" type="noConversion"/>
  </si>
  <si>
    <t>호남소매</t>
    <phoneticPr fontId="1" type="noConversion"/>
  </si>
  <si>
    <t>도매출고</t>
    <phoneticPr fontId="1" type="noConversion"/>
  </si>
  <si>
    <t>소매출고</t>
    <phoneticPr fontId="1" type="noConversion"/>
  </si>
  <si>
    <t>시연폰</t>
    <phoneticPr fontId="1" type="noConversion"/>
  </si>
  <si>
    <t>매입</t>
    <phoneticPr fontId="1" type="noConversion"/>
  </si>
  <si>
    <t>매각</t>
    <phoneticPr fontId="1" type="noConversion"/>
  </si>
  <si>
    <t>건수</t>
    <phoneticPr fontId="1" type="noConversion"/>
  </si>
  <si>
    <t>대당</t>
    <phoneticPr fontId="1" type="noConversion"/>
  </si>
  <si>
    <t>중고폰</t>
    <phoneticPr fontId="1" type="noConversion"/>
  </si>
  <si>
    <t>키오스크</t>
    <phoneticPr fontId="1" type="noConversion"/>
  </si>
  <si>
    <t>앱</t>
    <phoneticPr fontId="1" type="noConversion"/>
  </si>
  <si>
    <t>KT닷컴</t>
    <phoneticPr fontId="1" type="noConversion"/>
  </si>
  <si>
    <t>일반</t>
    <phoneticPr fontId="1" type="noConversion"/>
  </si>
  <si>
    <t>특별</t>
    <phoneticPr fontId="1" type="noConversion"/>
  </si>
  <si>
    <t xml:space="preserve">  *특별비중</t>
    <phoneticPr fontId="1" type="noConversion"/>
  </si>
  <si>
    <t>~30만원</t>
    <phoneticPr fontId="1" type="noConversion"/>
  </si>
  <si>
    <t>30~70만원</t>
    <phoneticPr fontId="1" type="noConversion"/>
  </si>
  <si>
    <t>70만원이상</t>
    <phoneticPr fontId="1" type="noConversion"/>
  </si>
  <si>
    <t xml:space="preserve">   매입채널별</t>
    <phoneticPr fontId="1" type="noConversion"/>
  </si>
  <si>
    <t xml:space="preserve">   매입형태별</t>
    <phoneticPr fontId="1" type="noConversion"/>
  </si>
  <si>
    <t xml:space="preserve">   금액대별</t>
    <phoneticPr fontId="1" type="noConversion"/>
  </si>
  <si>
    <t xml:space="preserve">  *70만원이상 비중</t>
    <phoneticPr fontId="1" type="noConversion"/>
  </si>
  <si>
    <t>하이오더</t>
    <phoneticPr fontId="1" type="noConversion"/>
  </si>
  <si>
    <t>테블릿수</t>
    <phoneticPr fontId="1" type="noConversion"/>
  </si>
  <si>
    <t>매장</t>
    <phoneticPr fontId="1" type="noConversion"/>
  </si>
  <si>
    <t>로봇</t>
    <phoneticPr fontId="1" type="noConversion"/>
  </si>
  <si>
    <t>전략상품</t>
    <phoneticPr fontId="1" type="noConversion"/>
  </si>
  <si>
    <t>KT.COM</t>
    <phoneticPr fontId="1" type="noConversion"/>
  </si>
  <si>
    <t>KT</t>
    <phoneticPr fontId="1" type="noConversion"/>
  </si>
  <si>
    <t>월1회</t>
    <phoneticPr fontId="1" type="noConversion"/>
  </si>
  <si>
    <t>월2회</t>
    <phoneticPr fontId="1" type="noConversion"/>
  </si>
  <si>
    <t>허브재고량</t>
    <phoneticPr fontId="1" type="noConversion"/>
  </si>
  <si>
    <t>코코넛</t>
    <phoneticPr fontId="1" type="noConversion"/>
  </si>
  <si>
    <t>허브출고량</t>
    <phoneticPr fontId="1" type="noConversion"/>
  </si>
  <si>
    <t>M&amp;S</t>
    <phoneticPr fontId="1" type="noConversion"/>
  </si>
  <si>
    <t xml:space="preserve">  *점평균 이용건수</t>
    <phoneticPr fontId="1" type="noConversion"/>
  </si>
  <si>
    <t>월3회 이상</t>
    <phoneticPr fontId="1" type="noConversion"/>
  </si>
  <si>
    <t>허브이용 매장수</t>
    <phoneticPr fontId="1" type="noConversion"/>
  </si>
  <si>
    <t>허브가입점수</t>
    <phoneticPr fontId="1" type="noConversion"/>
  </si>
  <si>
    <t>컨설팅 이용자수</t>
    <phoneticPr fontId="1" type="noConversion"/>
  </si>
  <si>
    <t>KT</t>
    <phoneticPr fontId="1" type="noConversion"/>
  </si>
  <si>
    <t xml:space="preserve">  * KT서식지 연동</t>
    <phoneticPr fontId="1" type="noConversion"/>
  </si>
  <si>
    <t>SKT</t>
    <phoneticPr fontId="1" type="noConversion"/>
  </si>
  <si>
    <t xml:space="preserve">LGU+ </t>
    <phoneticPr fontId="1" type="noConversion"/>
  </si>
  <si>
    <t>상담내용 저장</t>
    <phoneticPr fontId="1" type="noConversion"/>
  </si>
  <si>
    <t>재고조회</t>
    <phoneticPr fontId="1" type="noConversion"/>
  </si>
  <si>
    <t>퀵접수</t>
    <phoneticPr fontId="1" type="noConversion"/>
  </si>
  <si>
    <t>중고폰시세조회</t>
    <phoneticPr fontId="1" type="noConversion"/>
  </si>
  <si>
    <t>데이터삭제</t>
    <phoneticPr fontId="1" type="noConversion"/>
  </si>
  <si>
    <t>퀵 이용자수</t>
    <phoneticPr fontId="1" type="noConversion"/>
  </si>
  <si>
    <t>O2O</t>
    <phoneticPr fontId="1" type="noConversion"/>
  </si>
  <si>
    <t>온라인유통</t>
    <phoneticPr fontId="1" type="noConversion"/>
  </si>
  <si>
    <t>2nd 연계</t>
    <phoneticPr fontId="1" type="noConversion"/>
  </si>
  <si>
    <t>요고요금</t>
    <phoneticPr fontId="1" type="noConversion"/>
  </si>
  <si>
    <t>유심단독</t>
    <phoneticPr fontId="1" type="noConversion"/>
  </si>
  <si>
    <t>'24.4월</t>
  </si>
  <si>
    <t>'24.5월</t>
  </si>
  <si>
    <t>'24.6월</t>
  </si>
  <si>
    <t>'24.7월</t>
  </si>
  <si>
    <t>'24.8월</t>
  </si>
  <si>
    <t>'24.9월</t>
  </si>
  <si>
    <t>'24.10월</t>
  </si>
  <si>
    <t>'24.11월</t>
  </si>
  <si>
    <t>'24.12월</t>
  </si>
  <si>
    <t>연평균</t>
    <phoneticPr fontId="1" type="noConversion"/>
  </si>
  <si>
    <t>'23.1월</t>
  </si>
  <si>
    <t>'23.2월</t>
  </si>
  <si>
    <t>'23.3월</t>
  </si>
  <si>
    <t>'23.4월</t>
  </si>
  <si>
    <t>'23.5월</t>
  </si>
  <si>
    <t>'23.6월</t>
  </si>
  <si>
    <t>'23.7월</t>
  </si>
  <si>
    <t>'23.8월</t>
  </si>
  <si>
    <t>'23.9월</t>
  </si>
  <si>
    <t>'23.10월</t>
  </si>
  <si>
    <t>'23.11월</t>
  </si>
  <si>
    <t>'23.12월</t>
  </si>
  <si>
    <t>'22.1월</t>
  </si>
  <si>
    <t>'22.2월</t>
  </si>
  <si>
    <t>'22.3월</t>
  </si>
  <si>
    <t>'22.4월</t>
  </si>
  <si>
    <t>'22.5월</t>
  </si>
  <si>
    <t>'22.6월</t>
  </si>
  <si>
    <t>'22.7월</t>
  </si>
  <si>
    <t>'22.8월</t>
  </si>
  <si>
    <t>'22.9월</t>
  </si>
  <si>
    <t>'22.10월</t>
  </si>
  <si>
    <t>'22.11월</t>
  </si>
  <si>
    <t>'22.12월</t>
  </si>
  <si>
    <t>소매
매장수</t>
    <phoneticPr fontId="1" type="noConversion"/>
  </si>
  <si>
    <t>퇴점</t>
    <phoneticPr fontId="1" type="noConversion"/>
  </si>
  <si>
    <t>순증</t>
    <phoneticPr fontId="1" type="noConversion"/>
  </si>
  <si>
    <t>인력TO</t>
    <phoneticPr fontId="1" type="noConversion"/>
  </si>
  <si>
    <t>후불
인당
생산성</t>
    <phoneticPr fontId="1" type="noConversion"/>
  </si>
  <si>
    <t>신규</t>
    <phoneticPr fontId="1" type="noConversion"/>
  </si>
  <si>
    <t>OUT</t>
    <phoneticPr fontId="1" type="noConversion"/>
  </si>
  <si>
    <t>후불
점당
생산성</t>
    <phoneticPr fontId="1" type="noConversion"/>
  </si>
  <si>
    <t>일반후불
(전체)</t>
    <phoneticPr fontId="1" type="noConversion"/>
  </si>
  <si>
    <t>Mall 이용자수</t>
    <phoneticPr fontId="1" type="noConversion"/>
  </si>
  <si>
    <t>유선
순신규
점당
생산성</t>
    <phoneticPr fontId="1" type="noConversion"/>
  </si>
  <si>
    <t>유선
순신규
인당
생산성</t>
    <phoneticPr fontId="1" type="noConversion"/>
  </si>
  <si>
    <t>후불
센터당
생산성</t>
    <phoneticPr fontId="1" type="noConversion"/>
  </si>
  <si>
    <t xml:space="preserve">
유선
순신규
센터당
생산성</t>
    <phoneticPr fontId="1" type="noConversion"/>
  </si>
  <si>
    <t>후불
판매점당
생산성</t>
    <phoneticPr fontId="1" type="noConversion"/>
  </si>
  <si>
    <t>유선
순신규
판매점당
생산성</t>
    <phoneticPr fontId="1" type="noConversion"/>
  </si>
  <si>
    <t>도매
Infra 수</t>
    <phoneticPr fontId="1" type="noConversion"/>
  </si>
  <si>
    <t>22년.누적</t>
    <phoneticPr fontId="1" type="noConversion"/>
  </si>
  <si>
    <t>23년.누적</t>
    <phoneticPr fontId="1" type="noConversion"/>
  </si>
  <si>
    <t>24년.누적</t>
    <phoneticPr fontId="1" type="noConversion"/>
  </si>
  <si>
    <t>신동(MIT동판)률</t>
    <phoneticPr fontId="1" type="noConversion"/>
  </si>
  <si>
    <t>도매신동률</t>
    <phoneticPr fontId="1" type="noConversion"/>
  </si>
  <si>
    <t>소매신동률</t>
    <phoneticPr fontId="1" type="noConversion"/>
  </si>
  <si>
    <t>일반후불 계</t>
    <phoneticPr fontId="1" type="noConversion"/>
  </si>
  <si>
    <t>운영후불 계</t>
    <phoneticPr fontId="1" type="noConversion"/>
  </si>
  <si>
    <t>강북본부</t>
  </si>
  <si>
    <t>강남본부</t>
  </si>
  <si>
    <t>강서본부</t>
  </si>
  <si>
    <t>동부본부</t>
  </si>
  <si>
    <t>서부본부</t>
  </si>
  <si>
    <t>소매</t>
  </si>
  <si>
    <t>동부본부</t>
    <phoneticPr fontId="1" type="noConversion"/>
  </si>
  <si>
    <t>도매</t>
  </si>
  <si>
    <t>B2B</t>
  </si>
  <si>
    <t>기타</t>
  </si>
  <si>
    <t>신규+기변</t>
    <phoneticPr fontId="1" type="noConversion"/>
  </si>
  <si>
    <t>(소매)
본부별</t>
    <phoneticPr fontId="1" type="noConversion"/>
  </si>
  <si>
    <t>(소매)
지사별</t>
    <phoneticPr fontId="1" type="noConversion"/>
  </si>
  <si>
    <t>(도매)
본부별</t>
    <phoneticPr fontId="1" type="noConversion"/>
  </si>
  <si>
    <t>(도매)
지사별</t>
    <phoneticPr fontId="1" type="noConversion"/>
  </si>
  <si>
    <t>전사 계</t>
    <phoneticPr fontId="1" type="noConversion"/>
  </si>
  <si>
    <t>증분비 계</t>
    <phoneticPr fontId="1" type="noConversion"/>
  </si>
  <si>
    <t>증가</t>
    <phoneticPr fontId="1" type="noConversion"/>
  </si>
  <si>
    <t>감소</t>
    <phoneticPr fontId="1" type="noConversion"/>
  </si>
  <si>
    <t>증가 계</t>
    <phoneticPr fontId="8" type="noConversion"/>
  </si>
  <si>
    <t>감소 계</t>
    <phoneticPr fontId="8" type="noConversion"/>
  </si>
  <si>
    <t>유선 전체 계</t>
    <phoneticPr fontId="1" type="noConversion"/>
  </si>
  <si>
    <t>약갱</t>
    <phoneticPr fontId="1" type="noConversion"/>
  </si>
  <si>
    <t>유선 순신규</t>
    <phoneticPr fontId="1" type="noConversion"/>
  </si>
  <si>
    <t>유선 순신규 계</t>
    <phoneticPr fontId="1" type="noConversion"/>
  </si>
  <si>
    <t>순신규+약갱</t>
    <phoneticPr fontId="1" type="noConversion"/>
  </si>
  <si>
    <t>유선 전체
(순신규+약갱)</t>
    <phoneticPr fontId="1" type="noConversion"/>
  </si>
  <si>
    <t>인터넷
순신규</t>
    <phoneticPr fontId="1" type="noConversion"/>
  </si>
  <si>
    <t>기본단말</t>
  </si>
  <si>
    <t>추가단말</t>
  </si>
  <si>
    <t xml:space="preserve">   - Biz</t>
    <phoneticPr fontId="1" type="noConversion"/>
  </si>
  <si>
    <t>1G 비중 계</t>
    <phoneticPr fontId="1" type="noConversion"/>
  </si>
  <si>
    <t>500M 비중 계</t>
    <phoneticPr fontId="1" type="noConversion"/>
  </si>
  <si>
    <t>인터넷 
Quality</t>
    <phoneticPr fontId="1" type="noConversion"/>
  </si>
  <si>
    <t>TV
Quality</t>
    <phoneticPr fontId="1" type="noConversion"/>
  </si>
  <si>
    <t>에센스 이상 계</t>
    <phoneticPr fontId="1" type="noConversion"/>
  </si>
  <si>
    <t>신규동판</t>
    <phoneticPr fontId="1" type="noConversion"/>
  </si>
  <si>
    <t>신동 유치율</t>
    <phoneticPr fontId="8" type="noConversion"/>
  </si>
  <si>
    <t>*신동 건수 계</t>
    <phoneticPr fontId="8" type="noConversion"/>
  </si>
  <si>
    <t>AI</t>
    <phoneticPr fontId="1" type="noConversion"/>
  </si>
  <si>
    <t>AH</t>
    <phoneticPr fontId="1" type="noConversion"/>
  </si>
  <si>
    <t>AJ</t>
    <phoneticPr fontId="1" type="noConversion"/>
  </si>
  <si>
    <t>AT</t>
    <phoneticPr fontId="1" type="noConversion"/>
  </si>
  <si>
    <t>전년 동월대비</t>
  </si>
  <si>
    <t>전년 동월대비</t>
    <phoneticPr fontId="1" type="noConversion"/>
  </si>
  <si>
    <t>전년대비(월평균)</t>
    <phoneticPr fontId="1" type="noConversion"/>
  </si>
  <si>
    <t>AX</t>
    <phoneticPr fontId="1" type="noConversion"/>
  </si>
  <si>
    <t>AY</t>
    <phoneticPr fontId="1" type="noConversion"/>
  </si>
  <si>
    <t>AZ</t>
    <phoneticPr fontId="1" type="noConversion"/>
  </si>
  <si>
    <t>AU</t>
    <phoneticPr fontId="1" type="noConversion"/>
  </si>
  <si>
    <t>전년 동기 대비</t>
    <phoneticPr fontId="1" type="noConversion"/>
  </si>
  <si>
    <t>BA</t>
    <phoneticPr fontId="1" type="noConversion"/>
  </si>
  <si>
    <t>전년 동기로 수식 변경 해주기</t>
    <phoneticPr fontId="1" type="noConversion"/>
  </si>
  <si>
    <t>실적</t>
    <phoneticPr fontId="1" type="noConversion"/>
  </si>
  <si>
    <t>목표</t>
    <phoneticPr fontId="1" type="noConversion"/>
  </si>
  <si>
    <t>동월 목표대비</t>
    <phoneticPr fontId="1" type="noConversion"/>
  </si>
  <si>
    <t>누적 목표대비</t>
    <phoneticPr fontId="1" type="noConversion"/>
  </si>
  <si>
    <t>판매ARPU
목표</t>
    <phoneticPr fontId="1" type="noConversion"/>
  </si>
  <si>
    <t xml:space="preserve">  *신규비중</t>
    <phoneticPr fontId="1" type="noConversion"/>
  </si>
  <si>
    <t xml:space="preserve">  - 010</t>
    <phoneticPr fontId="1" type="noConversion"/>
  </si>
  <si>
    <t xml:space="preserve">  - MNP</t>
    <phoneticPr fontId="1" type="noConversion"/>
  </si>
  <si>
    <t>-</t>
  </si>
  <si>
    <t>-</t>
    <phoneticPr fontId="1" type="noConversion"/>
  </si>
  <si>
    <t xml:space="preserve"> - 기본단말</t>
    <phoneticPr fontId="1" type="noConversion"/>
  </si>
  <si>
    <t xml:space="preserve"> - 추가단말</t>
    <phoneticPr fontId="1" type="noConversion"/>
  </si>
  <si>
    <t>남부</t>
  </si>
  <si>
    <t>강북</t>
  </si>
  <si>
    <t>강동</t>
  </si>
  <si>
    <t>강남</t>
  </si>
  <si>
    <t>강서</t>
  </si>
  <si>
    <t>인천</t>
  </si>
  <si>
    <t>부산</t>
  </si>
  <si>
    <t>대구</t>
  </si>
  <si>
    <t>충청</t>
  </si>
  <si>
    <t>호남</t>
  </si>
  <si>
    <t>*신규비중</t>
    <phoneticPr fontId="1" type="noConversion"/>
  </si>
  <si>
    <t>*MNP비중</t>
    <phoneticPr fontId="1" type="noConversion"/>
  </si>
  <si>
    <t>21.12월</t>
    <phoneticPr fontId="1" type="noConversion"/>
  </si>
  <si>
    <t>'22.1월</t>
    <phoneticPr fontId="1" type="noConversion"/>
  </si>
  <si>
    <t>'22.2월</t>
    <phoneticPr fontId="1" type="noConversion"/>
  </si>
  <si>
    <t>'22.3월</t>
    <phoneticPr fontId="1" type="noConversion"/>
  </si>
  <si>
    <t>'22.4월</t>
    <phoneticPr fontId="1" type="noConversion"/>
  </si>
  <si>
    <t>'22.5월</t>
    <phoneticPr fontId="1" type="noConversion"/>
  </si>
  <si>
    <t>'22.6월</t>
    <phoneticPr fontId="1" type="noConversion"/>
  </si>
  <si>
    <t>'22.7월</t>
    <phoneticPr fontId="1" type="noConversion"/>
  </si>
  <si>
    <t>'22.8월</t>
    <phoneticPr fontId="1" type="noConversion"/>
  </si>
  <si>
    <t>'22.9월</t>
    <phoneticPr fontId="1" type="noConversion"/>
  </si>
  <si>
    <t>'22.10월</t>
    <phoneticPr fontId="1" type="noConversion"/>
  </si>
  <si>
    <t>'22.11월</t>
    <phoneticPr fontId="1" type="noConversion"/>
  </si>
  <si>
    <t>'22.12월</t>
    <phoneticPr fontId="1" type="noConversion"/>
  </si>
  <si>
    <t>'23.1월</t>
    <phoneticPr fontId="1" type="noConversion"/>
  </si>
  <si>
    <t>'23.2월</t>
    <phoneticPr fontId="1" type="noConversion"/>
  </si>
  <si>
    <t>'23.3월</t>
    <phoneticPr fontId="1" type="noConversion"/>
  </si>
  <si>
    <t>'23.4월</t>
    <phoneticPr fontId="1" type="noConversion"/>
  </si>
  <si>
    <t>'23.5월</t>
    <phoneticPr fontId="1" type="noConversion"/>
  </si>
  <si>
    <t>'23.6월</t>
    <phoneticPr fontId="1" type="noConversion"/>
  </si>
  <si>
    <t>'23.7월</t>
    <phoneticPr fontId="1" type="noConversion"/>
  </si>
  <si>
    <t>'23.8월</t>
    <phoneticPr fontId="1" type="noConversion"/>
  </si>
  <si>
    <t>'23.9월</t>
    <phoneticPr fontId="1" type="noConversion"/>
  </si>
  <si>
    <t>'23.10월</t>
    <phoneticPr fontId="1" type="noConversion"/>
  </si>
  <si>
    <t>'23.11월</t>
    <phoneticPr fontId="1" type="noConversion"/>
  </si>
  <si>
    <t>'23.12월</t>
    <phoneticPr fontId="1" type="noConversion"/>
  </si>
  <si>
    <t>'24.1월</t>
  </si>
  <si>
    <t>'24.3월</t>
  </si>
  <si>
    <t>'22.누적</t>
    <phoneticPr fontId="1" type="noConversion"/>
  </si>
  <si>
    <t>'22.연평균</t>
    <phoneticPr fontId="1" type="noConversion"/>
  </si>
  <si>
    <t>'24.누적</t>
    <phoneticPr fontId="1" type="noConversion"/>
  </si>
  <si>
    <t>'24.연평균</t>
    <phoneticPr fontId="1" type="noConversion"/>
  </si>
  <si>
    <t>'23.누적</t>
    <phoneticPr fontId="1" type="noConversion"/>
  </si>
  <si>
    <t>'23.연평균</t>
    <phoneticPr fontId="1" type="noConversion"/>
  </si>
  <si>
    <t>I+TV 계</t>
    <phoneticPr fontId="1" type="noConversion"/>
  </si>
  <si>
    <t>유선 순신규
목표</t>
    <phoneticPr fontId="1" type="noConversion"/>
  </si>
  <si>
    <t>월간실적</t>
    <phoneticPr fontId="1" type="noConversion"/>
  </si>
  <si>
    <t>(월별)</t>
    <phoneticPr fontId="1" type="noConversion"/>
  </si>
  <si>
    <t>(출점)</t>
    <phoneticPr fontId="1" type="noConversion"/>
  </si>
  <si>
    <t>(퇴점</t>
    <phoneticPr fontId="1" type="noConversion"/>
  </si>
  <si>
    <t>- Mass</t>
    <phoneticPr fontId="1" type="noConversion"/>
  </si>
  <si>
    <t>- Biz</t>
    <phoneticPr fontId="1" type="noConversion"/>
  </si>
  <si>
    <t>- 테블릿수</t>
    <phoneticPr fontId="1" type="noConversion"/>
  </si>
  <si>
    <t>도+소매</t>
  </si>
  <si>
    <t>원천인입건</t>
  </si>
  <si>
    <t>6개월평균실적</t>
  </si>
  <si>
    <t>접수건수</t>
  </si>
  <si>
    <t>귀책건수</t>
  </si>
  <si>
    <t xml:space="preserve">    * 귀책률</t>
  </si>
  <si>
    <t>* 발생률(%,a)</t>
    <phoneticPr fontId="1" type="noConversion"/>
  </si>
  <si>
    <t>불완전판매건</t>
  </si>
  <si>
    <t>후불평균실적</t>
  </si>
  <si>
    <t>전체발생률(%)</t>
  </si>
  <si>
    <t xml:space="preserve">   - 단말깡</t>
    <phoneticPr fontId="1" type="noConversion"/>
  </si>
  <si>
    <t xml:space="preserve">   - 가개통</t>
    <phoneticPr fontId="1" type="noConversion"/>
  </si>
  <si>
    <t xml:space="preserve">   - 소액깡</t>
    <phoneticPr fontId="1" type="noConversion"/>
  </si>
  <si>
    <t>불완전판매건</t>
    <phoneticPr fontId="1" type="noConversion"/>
  </si>
  <si>
    <t xml:space="preserve">   * 발생률</t>
  </si>
  <si>
    <t>비정형</t>
    <phoneticPr fontId="1" type="noConversion"/>
  </si>
  <si>
    <t>음성적재가입</t>
  </si>
  <si>
    <t>유선순신규실적</t>
  </si>
  <si>
    <t xml:space="preserve">   * 발생률(%,a)</t>
  </si>
  <si>
    <t xml:space="preserve">   * KT내 비중</t>
  </si>
  <si>
    <t>도+소매</t>
    <phoneticPr fontId="1" type="noConversion"/>
  </si>
  <si>
    <t>대리점 발생률(%,b)</t>
    <phoneticPr fontId="1" type="noConversion"/>
  </si>
  <si>
    <t>gap(a-b)</t>
    <phoneticPr fontId="1" type="noConversion"/>
  </si>
  <si>
    <t xml:space="preserve"> * 대리점 발생률(%,b)</t>
    <phoneticPr fontId="1" type="noConversion"/>
  </si>
  <si>
    <t>매장 인력 계</t>
    <phoneticPr fontId="1" type="noConversion"/>
  </si>
  <si>
    <t>- i형</t>
    <phoneticPr fontId="1" type="noConversion"/>
  </si>
  <si>
    <t>- L형</t>
    <phoneticPr fontId="1" type="noConversion"/>
  </si>
  <si>
    <t>GiGAeyes(i+L)</t>
    <phoneticPr fontId="1" type="noConversion"/>
  </si>
  <si>
    <t>i형</t>
  </si>
  <si>
    <t>i형</t>
    <phoneticPr fontId="1" type="noConversion"/>
  </si>
  <si>
    <t>L형</t>
  </si>
  <si>
    <t>L형</t>
    <phoneticPr fontId="1" type="noConversion"/>
  </si>
  <si>
    <t>AI링고전화</t>
    <phoneticPr fontId="1" type="noConversion"/>
  </si>
  <si>
    <t>AI전화</t>
    <phoneticPr fontId="1" type="noConversion"/>
  </si>
  <si>
    <t>23.1월</t>
    <phoneticPr fontId="1" type="noConversion"/>
  </si>
  <si>
    <t>23.2월</t>
  </si>
  <si>
    <t>23.3월</t>
  </si>
  <si>
    <t>23.4월</t>
  </si>
  <si>
    <t>23.5월</t>
  </si>
  <si>
    <t>23.6월</t>
  </si>
  <si>
    <t>23.7월</t>
  </si>
  <si>
    <t>23.8월</t>
  </si>
  <si>
    <t>23.9월</t>
  </si>
  <si>
    <t>23.10월</t>
  </si>
  <si>
    <t>23.11월</t>
  </si>
  <si>
    <t>23.12월</t>
  </si>
  <si>
    <t>계</t>
    <phoneticPr fontId="1" type="noConversion"/>
  </si>
  <si>
    <t>교육훈련비</t>
  </si>
  <si>
    <t>차량유지비</t>
  </si>
  <si>
    <t>전년 동기대비</t>
  </si>
  <si>
    <t>전년 동기대비</t>
    <phoneticPr fontId="1" type="noConversion"/>
  </si>
  <si>
    <t>당월실적</t>
    <phoneticPr fontId="1" type="noConversion"/>
  </si>
  <si>
    <t>(신규)</t>
    <phoneticPr fontId="1" type="noConversion"/>
  </si>
  <si>
    <t>(OUT)</t>
    <phoneticPr fontId="1" type="noConversion"/>
  </si>
  <si>
    <t>인당</t>
  </si>
  <si>
    <t>23.2월</t>
    <phoneticPr fontId="1" type="noConversion"/>
  </si>
  <si>
    <t>'23.월평균</t>
    <phoneticPr fontId="1" type="noConversion"/>
  </si>
  <si>
    <t xml:space="preserve">  *대리점 점수</t>
    <phoneticPr fontId="1" type="noConversion"/>
  </si>
  <si>
    <t xml:space="preserve">  *KT점수(m&amp;s포함)</t>
    <phoneticPr fontId="1" type="noConversion"/>
  </si>
  <si>
    <t>GiGA 비중 계</t>
    <phoneticPr fontId="1" type="noConversion"/>
  </si>
  <si>
    <t>인터넷 GIGA 비중</t>
    <phoneticPr fontId="1" type="noConversion"/>
  </si>
  <si>
    <r>
      <t>판매</t>
    </r>
    <r>
      <rPr>
        <sz val="11"/>
        <color theme="1"/>
        <rFont val="맑은 고딕"/>
        <family val="3"/>
        <charset val="129"/>
        <scheme val="minor"/>
      </rPr>
      <t>(win-win 제외)</t>
    </r>
    <phoneticPr fontId="1" type="noConversion"/>
  </si>
  <si>
    <t xml:space="preserve">    상품원가</t>
    <phoneticPr fontId="1" type="noConversion"/>
  </si>
  <si>
    <t>수수료매출 ⓒ</t>
    <phoneticPr fontId="1" type="noConversion"/>
  </si>
  <si>
    <t>상품매출 ⓓ</t>
    <phoneticPr fontId="1" type="noConversion"/>
  </si>
  <si>
    <t>판매비와 일반관리비</t>
    <phoneticPr fontId="1" type="noConversion"/>
  </si>
  <si>
    <t xml:space="preserve">    상품매출 (ⓐ+ⓓ)</t>
    <phoneticPr fontId="1" type="noConversion"/>
  </si>
  <si>
    <t>기타비용</t>
    <phoneticPr fontId="1" type="noConversion"/>
  </si>
  <si>
    <t xml:space="preserve">정책이익 </t>
    <phoneticPr fontId="1" type="noConversion"/>
  </si>
  <si>
    <t xml:space="preserve">매장이익 </t>
    <phoneticPr fontId="1" type="noConversion"/>
  </si>
  <si>
    <t>매장수익 ⓑ</t>
    <phoneticPr fontId="1" type="noConversion"/>
  </si>
  <si>
    <t xml:space="preserve">   기타수수료</t>
    <phoneticPr fontId="1" type="noConversion"/>
  </si>
  <si>
    <t>매장비용 ⓒ</t>
    <phoneticPr fontId="1" type="noConversion"/>
  </si>
  <si>
    <t xml:space="preserve">   기타 </t>
    <phoneticPr fontId="1" type="noConversion"/>
  </si>
  <si>
    <t>상여 평활화/정책발생주의 차이 등</t>
    <phoneticPr fontId="1" type="noConversion"/>
  </si>
  <si>
    <t xml:space="preserve">관리수수료 </t>
    <phoneticPr fontId="1" type="noConversion"/>
  </si>
  <si>
    <t xml:space="preserve">상품이익/지사비용직과 등 </t>
    <phoneticPr fontId="1" type="noConversion"/>
  </si>
  <si>
    <t xml:space="preserve">도급이익 </t>
    <phoneticPr fontId="1" type="noConversion"/>
  </si>
  <si>
    <t>상여평활화/상품이익/정책발생주의/지사비용직과 등</t>
    <phoneticPr fontId="1" type="noConversion"/>
  </si>
  <si>
    <t xml:space="preserve">매출계 </t>
    <phoneticPr fontId="1" type="noConversion"/>
  </si>
  <si>
    <t xml:space="preserve">비용계 </t>
    <phoneticPr fontId="1" type="noConversion"/>
  </si>
  <si>
    <t xml:space="preserve">공통비 </t>
    <phoneticPr fontId="1" type="noConversion"/>
  </si>
  <si>
    <t>AL</t>
    <phoneticPr fontId="1" type="noConversion"/>
  </si>
  <si>
    <t xml:space="preserve">※ 내부 도전목표 </t>
    <phoneticPr fontId="1" type="noConversion"/>
  </si>
  <si>
    <t>※ 대외민원/음성적재가입 데이터는 익익월 산출</t>
    <phoneticPr fontId="1" type="noConversion"/>
  </si>
  <si>
    <t>'24.6월</t>
    <phoneticPr fontId="1" type="noConversion"/>
  </si>
  <si>
    <t>AM</t>
    <phoneticPr fontId="1" type="noConversion"/>
  </si>
  <si>
    <t>TV(*Mass 기준)</t>
    <phoneticPr fontId="1" type="noConversion"/>
  </si>
  <si>
    <t>I+TV(*Mass 기준)</t>
    <phoneticPr fontId="1" type="noConversion"/>
  </si>
  <si>
    <t>'24.2월</t>
    <phoneticPr fontId="1" type="noConversion"/>
  </si>
  <si>
    <t>24년.누적</t>
  </si>
  <si>
    <t>연평균</t>
  </si>
  <si>
    <t>U</t>
    <phoneticPr fontId="1" type="noConversion"/>
  </si>
  <si>
    <t>V</t>
    <phoneticPr fontId="1" type="noConversion"/>
  </si>
  <si>
    <t>Z</t>
    <phoneticPr fontId="1" type="noConversion"/>
  </si>
  <si>
    <t>AA</t>
    <phoneticPr fontId="1" type="noConversion"/>
  </si>
  <si>
    <t>AB</t>
    <phoneticPr fontId="1" type="noConversion"/>
  </si>
  <si>
    <t>AC</t>
    <phoneticPr fontId="1" type="noConversion"/>
  </si>
  <si>
    <t>AD</t>
    <phoneticPr fontId="1" type="noConversion"/>
  </si>
  <si>
    <t>AE</t>
    <phoneticPr fontId="1" type="noConversion"/>
  </si>
  <si>
    <t>AF</t>
    <phoneticPr fontId="1" type="noConversion"/>
  </si>
  <si>
    <t>AK</t>
    <phoneticPr fontId="1" type="noConversion"/>
  </si>
  <si>
    <t>'23년 1월</t>
    <phoneticPr fontId="1" type="noConversion"/>
  </si>
  <si>
    <t>'23년 2월</t>
  </si>
  <si>
    <t>'23년 3월</t>
  </si>
  <si>
    <t>'23년 4월</t>
  </si>
  <si>
    <t>'23년 5월</t>
  </si>
  <si>
    <t>'23년 6월</t>
  </si>
  <si>
    <t>'23년 7월</t>
  </si>
  <si>
    <t>'23년 8월</t>
  </si>
  <si>
    <t>'23년 9월</t>
  </si>
  <si>
    <t>'23년 10월</t>
  </si>
  <si>
    <t>'23년 11월</t>
  </si>
  <si>
    <t>'23년 12월</t>
  </si>
  <si>
    <t>*개통센터</t>
  </si>
  <si>
    <t>MRI</t>
    <phoneticPr fontId="1" type="noConversion"/>
  </si>
  <si>
    <t>상품권</t>
    <phoneticPr fontId="1" type="noConversion"/>
  </si>
  <si>
    <t>유심</t>
    <phoneticPr fontId="1" type="noConversion"/>
  </si>
  <si>
    <t>목업폰</t>
    <phoneticPr fontId="1" type="noConversion"/>
  </si>
  <si>
    <t>E</t>
    <phoneticPr fontId="1" type="noConversion"/>
  </si>
  <si>
    <t>2020년</t>
    <phoneticPr fontId="1" type="noConversion"/>
  </si>
  <si>
    <t>2021년</t>
    <phoneticPr fontId="1" type="noConversion"/>
  </si>
  <si>
    <t>2022년</t>
    <phoneticPr fontId="1" type="noConversion"/>
  </si>
  <si>
    <t>'20.1월</t>
    <phoneticPr fontId="1" type="noConversion"/>
  </si>
  <si>
    <t>'20.2월</t>
    <phoneticPr fontId="1" type="noConversion"/>
  </si>
  <si>
    <t>'20.3월</t>
    <phoneticPr fontId="1" type="noConversion"/>
  </si>
  <si>
    <t>'20.4월</t>
    <phoneticPr fontId="1" type="noConversion"/>
  </si>
  <si>
    <t>'20.5월</t>
    <phoneticPr fontId="1" type="noConversion"/>
  </si>
  <si>
    <t>'20.6월</t>
    <phoneticPr fontId="1" type="noConversion"/>
  </si>
  <si>
    <t>'20.7월</t>
    <phoneticPr fontId="1" type="noConversion"/>
  </si>
  <si>
    <t>'20.8월</t>
    <phoneticPr fontId="1" type="noConversion"/>
  </si>
  <si>
    <t>'20.9월</t>
    <phoneticPr fontId="1" type="noConversion"/>
  </si>
  <si>
    <t>'20.10월</t>
    <phoneticPr fontId="1" type="noConversion"/>
  </si>
  <si>
    <t>'20.11월</t>
    <phoneticPr fontId="1" type="noConversion"/>
  </si>
  <si>
    <t>'20.12월</t>
    <phoneticPr fontId="1" type="noConversion"/>
  </si>
  <si>
    <t>'21.1월</t>
    <phoneticPr fontId="1" type="noConversion"/>
  </si>
  <si>
    <t>'21.2월</t>
  </si>
  <si>
    <t>'21.3월</t>
  </si>
  <si>
    <t>'21.4월</t>
  </si>
  <si>
    <t>'21.5월</t>
  </si>
  <si>
    <t>'21.6월</t>
  </si>
  <si>
    <t>'21.7월</t>
  </si>
  <si>
    <t>'21.8월</t>
  </si>
  <si>
    <t>'21.9월</t>
  </si>
  <si>
    <t>'21.10월</t>
  </si>
  <si>
    <t>'21.11월</t>
  </si>
  <si>
    <t>'21.12월</t>
  </si>
  <si>
    <t>'24.7월</t>
    <phoneticPr fontId="1" type="noConversion"/>
  </si>
  <si>
    <t>'24.8월</t>
    <phoneticPr fontId="1" type="noConversion"/>
  </si>
  <si>
    <t>법인영업</t>
    <phoneticPr fontId="1" type="noConversion"/>
  </si>
  <si>
    <t>(Biz)</t>
  </si>
  <si>
    <t>(법인유통영업)</t>
  </si>
  <si>
    <t>기업영업</t>
    <phoneticPr fontId="1" type="noConversion"/>
  </si>
  <si>
    <t>실적</t>
  </si>
  <si>
    <t>(Biz)</t>
    <phoneticPr fontId="1" type="noConversion"/>
  </si>
  <si>
    <t>(법인유통영업)</t>
    <phoneticPr fontId="1" type="noConversion"/>
  </si>
  <si>
    <t>금</t>
    <phoneticPr fontId="1" type="noConversion"/>
  </si>
  <si>
    <t>악세서리</t>
    <phoneticPr fontId="1" type="noConversion"/>
  </si>
  <si>
    <t>매장운영</t>
    <phoneticPr fontId="1" type="noConversion"/>
  </si>
  <si>
    <t>코코넛퀵(포인트 사용)</t>
    <phoneticPr fontId="1" type="noConversion"/>
  </si>
  <si>
    <t>누적 조정</t>
    <phoneticPr fontId="1" type="noConversion"/>
  </si>
  <si>
    <t>복리후생비</t>
    <phoneticPr fontId="1" type="noConversion"/>
  </si>
  <si>
    <t xml:space="preserve"> 상품매출 (ⓐ+ⓓ)</t>
    <phoneticPr fontId="1" type="noConversion"/>
  </si>
  <si>
    <t xml:space="preserve"> 상품원가</t>
    <phoneticPr fontId="1" type="noConversion"/>
  </si>
  <si>
    <t xml:space="preserve"> 상품이익</t>
    <phoneticPr fontId="1" type="noConversion"/>
  </si>
  <si>
    <t>AQ</t>
    <phoneticPr fontId="1" type="noConversion"/>
  </si>
  <si>
    <t>AW</t>
    <phoneticPr fontId="1" type="noConversion"/>
  </si>
  <si>
    <t>BC</t>
    <phoneticPr fontId="1" type="noConversion"/>
  </si>
  <si>
    <t xml:space="preserve">  판매비와 일반관리비</t>
    <phoneticPr fontId="1" type="noConversion"/>
  </si>
  <si>
    <t>유무선</t>
    <phoneticPr fontId="1" type="noConversion"/>
  </si>
  <si>
    <t>채널</t>
    <phoneticPr fontId="1" type="noConversion"/>
  </si>
  <si>
    <t xml:space="preserve">  영업이익</t>
    <phoneticPr fontId="1" type="noConversion"/>
  </si>
  <si>
    <t xml:space="preserve">  소매</t>
    <phoneticPr fontId="1" type="noConversion"/>
  </si>
  <si>
    <t xml:space="preserve">  도매</t>
    <phoneticPr fontId="1" type="noConversion"/>
  </si>
  <si>
    <t xml:space="preserve">  법인영업</t>
    <phoneticPr fontId="1" type="noConversion"/>
  </si>
  <si>
    <t xml:space="preserve">  기업영업</t>
    <phoneticPr fontId="1" type="noConversion"/>
  </si>
  <si>
    <t>임직원 급여</t>
    <phoneticPr fontId="1" type="noConversion"/>
  </si>
  <si>
    <t>광고선전비</t>
    <phoneticPr fontId="1" type="noConversion"/>
  </si>
  <si>
    <t>지급임차료</t>
    <phoneticPr fontId="1" type="noConversion"/>
  </si>
  <si>
    <t>수도광열비</t>
    <phoneticPr fontId="1" type="noConversion"/>
  </si>
  <si>
    <t>전작 출시대비</t>
    <phoneticPr fontId="1" type="noConversion"/>
  </si>
  <si>
    <t>순액처리</t>
    <phoneticPr fontId="1" type="noConversion"/>
  </si>
  <si>
    <t>포상비</t>
    <phoneticPr fontId="1" type="noConversion"/>
  </si>
  <si>
    <t>B2B 도급 수수료</t>
    <phoneticPr fontId="1" type="noConversion"/>
  </si>
  <si>
    <t xml:space="preserve">  └ 복리포인트</t>
    <phoneticPr fontId="1" type="noConversion"/>
  </si>
  <si>
    <t>퇴직급여충당금</t>
    <phoneticPr fontId="1" type="noConversion"/>
  </si>
  <si>
    <t>판매촉진비</t>
    <phoneticPr fontId="1" type="noConversion"/>
  </si>
  <si>
    <t>대형마트, KTAC  등</t>
    <phoneticPr fontId="1" type="noConversion"/>
  </si>
  <si>
    <t xml:space="preserve">  기타</t>
    <phoneticPr fontId="1" type="noConversion"/>
  </si>
  <si>
    <t xml:space="preserve"> 유무선</t>
    <phoneticPr fontId="1" type="noConversion"/>
  </si>
  <si>
    <t xml:space="preserve"> 채널</t>
    <phoneticPr fontId="1" type="noConversion"/>
  </si>
  <si>
    <t xml:space="preserve"> 수수료 항목</t>
    <phoneticPr fontId="1" type="noConversion"/>
  </si>
  <si>
    <t xml:space="preserve">  점프업</t>
    <phoneticPr fontId="1" type="noConversion"/>
  </si>
  <si>
    <t xml:space="preserve">  유선 관리수수료</t>
    <phoneticPr fontId="1" type="noConversion"/>
  </si>
  <si>
    <t xml:space="preserve">  H/C</t>
    <phoneticPr fontId="1" type="noConversion"/>
  </si>
  <si>
    <t>가입자이관</t>
    <phoneticPr fontId="1" type="noConversion"/>
  </si>
  <si>
    <t>소매
8.5%</t>
    <phoneticPr fontId="1" type="noConversion"/>
  </si>
  <si>
    <t>B2B
8.5%</t>
    <phoneticPr fontId="1" type="noConversion"/>
  </si>
  <si>
    <t>유통플랫폼사업단</t>
    <phoneticPr fontId="1" type="noConversion"/>
  </si>
  <si>
    <t>* 10월 엣지 수익 쉐어 반영본</t>
    <phoneticPr fontId="1" type="noConversion"/>
  </si>
  <si>
    <t>23년 실적</t>
    <phoneticPr fontId="1" type="noConversion"/>
  </si>
  <si>
    <t>목표대비</t>
  </si>
  <si>
    <t>달성률</t>
  </si>
  <si>
    <t>전월대비</t>
  </si>
  <si>
    <t>운영후불</t>
    <phoneticPr fontId="1" type="noConversion"/>
  </si>
  <si>
    <t>KT닷컴</t>
  </si>
  <si>
    <t>영업센터
인력</t>
    <phoneticPr fontId="1" type="noConversion"/>
  </si>
  <si>
    <t>인력</t>
    <phoneticPr fontId="1" type="noConversion"/>
  </si>
  <si>
    <t>O2O파트</t>
  </si>
  <si>
    <t>영업관리파트</t>
  </si>
  <si>
    <t>KT닷컴CRM1파트</t>
  </si>
  <si>
    <t>KT닷컴CRM2파트</t>
  </si>
  <si>
    <t>KT닷컴상담2파트</t>
  </si>
  <si>
    <t>KT닷컴상담1파트</t>
  </si>
  <si>
    <t>통신매출</t>
    <phoneticPr fontId="1" type="noConversion"/>
  </si>
  <si>
    <t>프라자3.0</t>
  </si>
  <si>
    <t>플라자 인건비 지원</t>
  </si>
  <si>
    <t xml:space="preserve"> 채널</t>
  </si>
  <si>
    <t>바로배송 위탁, 바로유심 용역 수수료</t>
  </si>
  <si>
    <t>B2B 도급 수수료</t>
  </si>
  <si>
    <t>KT 업무지원센터, 기업무선센터</t>
  </si>
  <si>
    <t>기타도급 및 지원</t>
  </si>
  <si>
    <t>유통플랫폼사업 매출</t>
    <phoneticPr fontId="1" type="noConversion"/>
  </si>
  <si>
    <t>유통플랫폼사업</t>
    <phoneticPr fontId="1" type="noConversion"/>
  </si>
  <si>
    <t>BL</t>
    <phoneticPr fontId="1" type="noConversion"/>
  </si>
  <si>
    <t>BS</t>
    <phoneticPr fontId="1" type="noConversion"/>
  </si>
  <si>
    <t>□ B2B</t>
    <phoneticPr fontId="1" type="noConversion"/>
  </si>
  <si>
    <t>B2B
전체</t>
    <phoneticPr fontId="1" type="noConversion"/>
  </si>
  <si>
    <t>중고개통</t>
  </si>
  <si>
    <t>운영후불</t>
  </si>
  <si>
    <t>2nd (pad)</t>
  </si>
  <si>
    <t>iot</t>
  </si>
  <si>
    <t>후불신규</t>
    <phoneticPr fontId="1" type="noConversion"/>
  </si>
  <si>
    <t>무선순증</t>
    <phoneticPr fontId="1" type="noConversion"/>
  </si>
  <si>
    <t>전략상품</t>
  </si>
  <si>
    <t>기업</t>
    <phoneticPr fontId="1" type="noConversion"/>
  </si>
  <si>
    <t>법인</t>
    <phoneticPr fontId="1" type="noConversion"/>
  </si>
  <si>
    <t>전년말 대비</t>
    <phoneticPr fontId="1" type="noConversion"/>
  </si>
  <si>
    <t>유지가입자</t>
  </si>
  <si>
    <t>무선</t>
  </si>
  <si>
    <t>IoT</t>
  </si>
  <si>
    <t>수수료가입자</t>
  </si>
  <si>
    <t>유지가입자</t>
    <phoneticPr fontId="1" type="noConversion"/>
  </si>
  <si>
    <t xml:space="preserve">* 기업채널 우정사업본부(약 7,300회선) 수수료가입자 누락(LTE → LTE기변)으로 별도 보존 예정  </t>
    <phoneticPr fontId="1" type="noConversion"/>
  </si>
  <si>
    <t>가입자</t>
    <phoneticPr fontId="1" type="noConversion"/>
  </si>
  <si>
    <t>신규점 생산성</t>
    <phoneticPr fontId="1" type="noConversion"/>
  </si>
  <si>
    <t>기존점</t>
    <phoneticPr fontId="1" type="noConversion"/>
  </si>
  <si>
    <t>전매장</t>
    <phoneticPr fontId="1" type="noConversion"/>
  </si>
  <si>
    <t>강북소매</t>
  </si>
  <si>
    <t>강동소매</t>
  </si>
  <si>
    <t>강남소매</t>
  </si>
  <si>
    <t>남부소매</t>
  </si>
  <si>
    <t>강서소매</t>
  </si>
  <si>
    <t>인천소매</t>
  </si>
  <si>
    <t>부산소매</t>
  </si>
  <si>
    <t>대구소매</t>
  </si>
  <si>
    <t>충청소매</t>
  </si>
  <si>
    <t>호남소매</t>
  </si>
  <si>
    <t/>
  </si>
  <si>
    <t>※ 입점월 모수 제외.</t>
    <phoneticPr fontId="1" type="noConversion"/>
  </si>
  <si>
    <t>유심재고</t>
    <phoneticPr fontId="1" type="noConversion"/>
  </si>
  <si>
    <t>유심재고금액</t>
    <phoneticPr fontId="1" type="noConversion"/>
  </si>
  <si>
    <t>직매입
현황</t>
    <phoneticPr fontId="1" type="noConversion"/>
  </si>
  <si>
    <t>직매입 계</t>
    <phoneticPr fontId="1" type="noConversion"/>
  </si>
  <si>
    <t>매입금액</t>
    <phoneticPr fontId="1" type="noConversion"/>
  </si>
  <si>
    <t>마진</t>
  </si>
  <si>
    <t>주문수량</t>
    <phoneticPr fontId="1" type="noConversion"/>
  </si>
  <si>
    <t>입고수량</t>
  </si>
  <si>
    <t>주문수량</t>
  </si>
  <si>
    <t>제조사별
판매현황</t>
    <phoneticPr fontId="1" type="noConversion"/>
  </si>
  <si>
    <t>m&amp;s</t>
  </si>
  <si>
    <t>합계</t>
  </si>
  <si>
    <t>삼성</t>
  </si>
  <si>
    <t>애플</t>
  </si>
  <si>
    <t>KT 실적</t>
  </si>
  <si>
    <t>KT 내 비중</t>
  </si>
  <si>
    <t>엣지 현황</t>
    <phoneticPr fontId="1" type="noConversion"/>
  </si>
  <si>
    <t>엣지프로젝트</t>
    <phoneticPr fontId="1" type="noConversion"/>
  </si>
  <si>
    <t>수량</t>
    <phoneticPr fontId="1" type="noConversion"/>
  </si>
  <si>
    <t>마진</t>
    <phoneticPr fontId="1" type="noConversion"/>
  </si>
  <si>
    <t>* 4차 아이폰13 엣지 마진 0원</t>
    <phoneticPr fontId="1" type="noConversion"/>
  </si>
  <si>
    <t>*기본 단위 : 대</t>
    <phoneticPr fontId="1" type="noConversion"/>
  </si>
  <si>
    <t>항목별</t>
    <phoneticPr fontId="1" type="noConversion"/>
  </si>
  <si>
    <t>도매 도급수수료</t>
  </si>
  <si>
    <t>KT SHOP 도급수수료</t>
  </si>
  <si>
    <t>관리수수료(6.5%)+H/C(2%)</t>
  </si>
  <si>
    <t>PAD, wearable 등</t>
  </si>
  <si>
    <t xml:space="preserve">M2M 가입자 </t>
  </si>
  <si>
    <t xml:space="preserve">SOIP, 기가아이즈, PSTN 등 </t>
  </si>
  <si>
    <t>CS업무처리 수수료</t>
  </si>
  <si>
    <t>도매(점프업 포함)
8.5%</t>
    <phoneticPr fontId="1" type="noConversion"/>
  </si>
  <si>
    <t>HC 포함</t>
    <phoneticPr fontId="1" type="noConversion"/>
  </si>
  <si>
    <t>BG</t>
    <phoneticPr fontId="1" type="noConversion"/>
  </si>
  <si>
    <t>BH</t>
    <phoneticPr fontId="1" type="noConversion"/>
  </si>
  <si>
    <t>BI</t>
    <phoneticPr fontId="1" type="noConversion"/>
  </si>
  <si>
    <t>BJ</t>
    <phoneticPr fontId="1" type="noConversion"/>
  </si>
  <si>
    <t>BM</t>
    <phoneticPr fontId="1" type="noConversion"/>
  </si>
  <si>
    <t>BP</t>
    <phoneticPr fontId="1" type="noConversion"/>
  </si>
  <si>
    <t>BQ</t>
    <phoneticPr fontId="1" type="noConversion"/>
  </si>
  <si>
    <t>BR</t>
    <phoneticPr fontId="1" type="noConversion"/>
  </si>
  <si>
    <t>BT</t>
    <phoneticPr fontId="1" type="noConversion"/>
  </si>
  <si>
    <t>BU</t>
    <phoneticPr fontId="1" type="noConversion"/>
  </si>
  <si>
    <t>BV</t>
    <phoneticPr fontId="1" type="noConversion"/>
  </si>
  <si>
    <t>'23년 계</t>
    <phoneticPr fontId="1" type="noConversion"/>
  </si>
  <si>
    <t>'24년 계</t>
    <phoneticPr fontId="1" type="noConversion"/>
  </si>
  <si>
    <t xml:space="preserve">  └ (복리포인트)</t>
    <phoneticPr fontId="1" type="noConversion"/>
  </si>
  <si>
    <t>도매 HC 포함</t>
    <phoneticPr fontId="1" type="noConversion"/>
  </si>
  <si>
    <t>후불</t>
  </si>
  <si>
    <t>순신규</t>
  </si>
  <si>
    <t>합</t>
  </si>
  <si>
    <t>'24년 평균</t>
    <phoneticPr fontId="1" type="noConversion"/>
  </si>
  <si>
    <t>'23년 평균</t>
    <phoneticPr fontId="1" type="noConversion"/>
  </si>
  <si>
    <t xml:space="preserve"> (약정갱신 및 도매 Win-Win 가입자는 제외)</t>
    <phoneticPr fontId="1" type="noConversion"/>
  </si>
  <si>
    <t xml:space="preserve"> (단위 : 회선)</t>
    <phoneticPr fontId="1" type="noConversion"/>
  </si>
  <si>
    <t xml:space="preserve">  유통플랫폼사업</t>
    <phoneticPr fontId="1" type="noConversion"/>
  </si>
  <si>
    <t>2. 무선 가입자</t>
    <phoneticPr fontId="1" type="noConversion"/>
  </si>
  <si>
    <t xml:space="preserve">2-1. 무선가입자 상세 </t>
    <phoneticPr fontId="1" type="noConversion"/>
  </si>
  <si>
    <t xml:space="preserve">3. 유선가입자 </t>
    <phoneticPr fontId="1" type="noConversion"/>
  </si>
  <si>
    <t xml:space="preserve">3-1. 유선가입자 상세 </t>
    <phoneticPr fontId="1" type="noConversion"/>
  </si>
  <si>
    <t>6. B2B</t>
    <phoneticPr fontId="1" type="noConversion"/>
  </si>
  <si>
    <t>7. 유통플랫폼사업</t>
    <phoneticPr fontId="1" type="noConversion"/>
  </si>
  <si>
    <t>8. 인프라</t>
    <phoneticPr fontId="1" type="noConversion"/>
  </si>
  <si>
    <t>9. 인력</t>
    <phoneticPr fontId="1" type="noConversion"/>
  </si>
  <si>
    <t>10. 영업품질</t>
    <phoneticPr fontId="1" type="noConversion"/>
  </si>
  <si>
    <t>11. 재고</t>
    <phoneticPr fontId="1" type="noConversion"/>
  </si>
  <si>
    <t>12. 기타지표</t>
    <phoneticPr fontId="1" type="noConversion"/>
  </si>
  <si>
    <t>전년 동기간대비</t>
  </si>
  <si>
    <t>동기간 신규점 매장수</t>
  </si>
  <si>
    <t>23년</t>
  </si>
  <si>
    <t>24년</t>
  </si>
  <si>
    <t>GAP</t>
  </si>
  <si>
    <t>24년 누적</t>
    <phoneticPr fontId="1" type="noConversion"/>
  </si>
  <si>
    <t>BB</t>
    <phoneticPr fontId="1" type="noConversion"/>
  </si>
  <si>
    <t>전년동월대비</t>
    <phoneticPr fontId="1" type="noConversion"/>
  </si>
  <si>
    <t>AR</t>
    <phoneticPr fontId="1" type="noConversion"/>
  </si>
  <si>
    <t>목표 누적</t>
    <phoneticPr fontId="1" type="noConversion"/>
  </si>
  <si>
    <t>목표 평균</t>
    <phoneticPr fontId="1" type="noConversion"/>
  </si>
  <si>
    <t>감사드림</t>
    <phoneticPr fontId="1" type="noConversion"/>
  </si>
  <si>
    <t>상품매출 (ⓐ+ⓓ)</t>
    <phoneticPr fontId="1" type="noConversion"/>
  </si>
  <si>
    <t>상품원가</t>
    <phoneticPr fontId="1" type="noConversion"/>
  </si>
  <si>
    <t>상품이익</t>
    <phoneticPr fontId="1" type="noConversion"/>
  </si>
  <si>
    <t>* 프리할부</t>
    <phoneticPr fontId="1" type="noConversion"/>
  </si>
  <si>
    <t>BN</t>
    <phoneticPr fontId="1" type="noConversion"/>
  </si>
  <si>
    <t xml:space="preserve">   KT코웍 및 기타수수료</t>
    <phoneticPr fontId="1" type="noConversion"/>
  </si>
  <si>
    <t>4. 디지털</t>
    <phoneticPr fontId="1" type="noConversion"/>
  </si>
  <si>
    <t>5. 소상공인</t>
    <phoneticPr fontId="1" type="noConversion"/>
  </si>
  <si>
    <t>누적 함수</t>
    <phoneticPr fontId="1" type="noConversion"/>
  </si>
  <si>
    <t xml:space="preserve"> </t>
    <phoneticPr fontId="1" type="noConversion"/>
  </si>
  <si>
    <t xml:space="preserve">  디지털</t>
    <phoneticPr fontId="1" type="noConversion"/>
  </si>
  <si>
    <t>BO</t>
    <phoneticPr fontId="1" type="noConversion"/>
  </si>
  <si>
    <t>디지털</t>
    <phoneticPr fontId="1" type="noConversion"/>
  </si>
  <si>
    <t>재고 현황</t>
    <phoneticPr fontId="1" type="noConversion"/>
  </si>
  <si>
    <t>단말재고</t>
    <phoneticPr fontId="1" type="noConversion"/>
  </si>
  <si>
    <t>입고</t>
    <phoneticPr fontId="1" type="noConversion"/>
  </si>
  <si>
    <t>판매(win-win 제외)</t>
    <phoneticPr fontId="1" type="noConversion"/>
  </si>
  <si>
    <t>엣지
현황</t>
    <phoneticPr fontId="1" type="noConversion"/>
  </si>
  <si>
    <t>디지털</t>
  </si>
  <si>
    <t>디지털 바로배송/유심</t>
  </si>
  <si>
    <t>1. 재무</t>
    <phoneticPr fontId="1" type="noConversion"/>
  </si>
  <si>
    <t>하이오더 점포수</t>
    <phoneticPr fontId="1" type="noConversion"/>
  </si>
  <si>
    <t>점포수</t>
  </si>
  <si>
    <t>순번</t>
    <phoneticPr fontId="1" type="noConversion"/>
  </si>
  <si>
    <t>상세 내용</t>
    <phoneticPr fontId="1" type="noConversion"/>
  </si>
  <si>
    <t>마감일시</t>
  </si>
  <si>
    <t>페이지</t>
    <phoneticPr fontId="1" type="noConversion"/>
  </si>
  <si>
    <t>재무</t>
    <phoneticPr fontId="1" type="noConversion"/>
  </si>
  <si>
    <t>② 판매비와 일반관리비</t>
    <phoneticPr fontId="1" type="noConversion"/>
  </si>
  <si>
    <t>• • • • • • • • • • • • • • • • • • • • • • • • • • • • • • • • • •</t>
    <phoneticPr fontId="1" type="noConversion"/>
  </si>
  <si>
    <t>③ 채널별 영업이익</t>
    <phoneticPr fontId="1" type="noConversion"/>
  </si>
  <si>
    <t>④ 주요 채널 상세 재무지표 요약</t>
    <phoneticPr fontId="1" type="noConversion"/>
  </si>
  <si>
    <t>무선가입자</t>
    <phoneticPr fontId="1" type="noConversion"/>
  </si>
  <si>
    <t>① 일반 후불 (전체) 가입자(CAPA)</t>
    <phoneticPr fontId="1" type="noConversion"/>
  </si>
  <si>
    <t>~ 16일</t>
    <phoneticPr fontId="1" type="noConversion"/>
  </si>
  <si>
    <t>③ 도소매 조직별 가입자(CAPA)</t>
    <phoneticPr fontId="1" type="noConversion"/>
  </si>
  <si>
    <t>④ 채널별 판매 ARPU / 무선 증분 매출</t>
    <phoneticPr fontId="1" type="noConversion"/>
  </si>
  <si>
    <t>무선가입자 (상세)</t>
    <phoneticPr fontId="1" type="noConversion"/>
  </si>
  <si>
    <t>① 관리수수료 8.5% 대상 가입자(CAPA)</t>
    <phoneticPr fontId="1" type="noConversion"/>
  </si>
  <si>
    <t>② 위탁 H/C 2.2% 대상 가입자(CAPA)</t>
    <phoneticPr fontId="1" type="noConversion"/>
  </si>
  <si>
    <t>③ 채널별 일반 후불 (전체) 가입자(CAPA)</t>
    <phoneticPr fontId="1" type="noConversion"/>
  </si>
  <si>
    <t>④ 채널별 무선 관리수수료</t>
    <phoneticPr fontId="1" type="noConversion"/>
  </si>
  <si>
    <t>유선가입자</t>
    <phoneticPr fontId="1" type="noConversion"/>
  </si>
  <si>
    <t>① 유선 전체 (I+TV) 가입자</t>
    <phoneticPr fontId="1" type="noConversion"/>
  </si>
  <si>
    <t>② 유선 순신규 (I+TV) 가입자</t>
    <phoneticPr fontId="1" type="noConversion"/>
  </si>
  <si>
    <t>③ 도소매 조직별 (I+TV) 가입자</t>
    <phoneticPr fontId="1" type="noConversion"/>
  </si>
  <si>
    <t>④ 유선 Quality 채널별 비중</t>
    <phoneticPr fontId="1" type="noConversion"/>
  </si>
  <si>
    <t>유선가입자(상세)</t>
    <phoneticPr fontId="1" type="noConversion"/>
  </si>
  <si>
    <t>① 채널별 인터넷 (I) 가입자 상세</t>
    <phoneticPr fontId="1" type="noConversion"/>
  </si>
  <si>
    <t>② 채널별 TV 가입자 상세</t>
    <phoneticPr fontId="1" type="noConversion"/>
  </si>
  <si>
    <t>③ 채널별 유선 관리수수료</t>
    <phoneticPr fontId="1" type="noConversion"/>
  </si>
  <si>
    <t>① KT닷컴 운영 후불/ 유선 순신규 가입자</t>
    <phoneticPr fontId="1" type="noConversion"/>
  </si>
  <si>
    <t>② KT닷컴 전용 요고 요금제 실적</t>
    <phoneticPr fontId="1" type="noConversion"/>
  </si>
  <si>
    <t>③ 라이브 방송 실적</t>
    <phoneticPr fontId="1" type="noConversion"/>
  </si>
  <si>
    <t>④ 영업센터 파트별 인력 현황</t>
    <phoneticPr fontId="1" type="noConversion"/>
  </si>
  <si>
    <t xml:space="preserve">① 전체 무선 후불 / 유선 순신규 가입자 </t>
    <phoneticPr fontId="1" type="noConversion"/>
  </si>
  <si>
    <t>② 본부별 무선 후불 / 유선 순신규 가입자</t>
    <phoneticPr fontId="1" type="noConversion"/>
  </si>
  <si>
    <t>④ 본부별 인력 충원 / 등급 / 포인트</t>
    <phoneticPr fontId="1" type="noConversion"/>
  </si>
  <si>
    <t>① B2B 전체 유무선 가입자 실적</t>
    <phoneticPr fontId="1" type="noConversion"/>
  </si>
  <si>
    <t>② 기업영업 / 법인 영업 유무선 가입자 실적</t>
    <phoneticPr fontId="1" type="noConversion"/>
  </si>
  <si>
    <t>~ 13일</t>
    <phoneticPr fontId="1" type="noConversion"/>
  </si>
  <si>
    <t>① 시연폰 사업 매입 / 매각 현황</t>
    <phoneticPr fontId="1" type="noConversion"/>
  </si>
  <si>
    <t>② 중고폰 사업 매입 / 매각 현황</t>
    <phoneticPr fontId="1" type="noConversion"/>
  </si>
  <si>
    <t>③ 코코넛 허브 가입 및 출고 현황</t>
    <phoneticPr fontId="1" type="noConversion"/>
  </si>
  <si>
    <t>④ 코코넛 Mall 이용자 및 매출액</t>
    <phoneticPr fontId="1" type="noConversion"/>
  </si>
  <si>
    <t>인프라</t>
    <phoneticPr fontId="1" type="noConversion"/>
  </si>
  <si>
    <t>① 소매 매장 조직별 인프라 현황</t>
    <phoneticPr fontId="1" type="noConversion"/>
  </si>
  <si>
    <t>③ 도매센터 조직별 인프라 현황</t>
    <phoneticPr fontId="1" type="noConversion"/>
  </si>
  <si>
    <t>① 전사 인력 현황</t>
    <phoneticPr fontId="1" type="noConversion"/>
  </si>
  <si>
    <t>② 직급별 인력 현황</t>
    <phoneticPr fontId="1" type="noConversion"/>
  </si>
  <si>
    <t>③ 도소매 조직별 인력 현황</t>
    <phoneticPr fontId="1" type="noConversion"/>
  </si>
  <si>
    <t>영업품질</t>
    <phoneticPr fontId="1" type="noConversion"/>
  </si>
  <si>
    <t>① 도소매 R-VOC 인입 현황</t>
    <phoneticPr fontId="1" type="noConversion"/>
  </si>
  <si>
    <t>② 도소매 대외 민원 접수 / 귀책 건수</t>
    <phoneticPr fontId="1" type="noConversion"/>
  </si>
  <si>
    <t>③ 도소매 불완전 판매 현황</t>
    <phoneticPr fontId="1" type="noConversion"/>
  </si>
  <si>
    <t>④ 도소매 음성적 재가입 현황</t>
    <phoneticPr fontId="1" type="noConversion"/>
  </si>
  <si>
    <t>① 단말 / 유선 재고 현황</t>
    <phoneticPr fontId="1" type="noConversion"/>
  </si>
  <si>
    <t>② 제조사별 직매입 현황</t>
    <phoneticPr fontId="1" type="noConversion"/>
  </si>
  <si>
    <t>④ 엣지프로젝트 수량 및 마진 현황</t>
    <phoneticPr fontId="1" type="noConversion"/>
  </si>
  <si>
    <t>기타지표</t>
    <phoneticPr fontId="1" type="noConversion"/>
  </si>
  <si>
    <t xml:space="preserve">① 지사별 TCSI 점수 현황 </t>
    <phoneticPr fontId="1" type="noConversion"/>
  </si>
  <si>
    <t>② 전략 상품 판매 현황</t>
    <phoneticPr fontId="1" type="noConversion"/>
  </si>
  <si>
    <t>소상공인</t>
    <phoneticPr fontId="1" type="noConversion"/>
  </si>
  <si>
    <t>'25.1월</t>
  </si>
  <si>
    <t>'25.1월</t>
    <phoneticPr fontId="1" type="noConversion"/>
  </si>
  <si>
    <t>'25.2월</t>
  </si>
  <si>
    <t>'25.2월</t>
    <phoneticPr fontId="1" type="noConversion"/>
  </si>
  <si>
    <t>'25.3월</t>
  </si>
  <si>
    <t>'25.4월</t>
  </si>
  <si>
    <t>'25.5월</t>
  </si>
  <si>
    <t>'25.6월</t>
  </si>
  <si>
    <t>'25.7월</t>
  </si>
  <si>
    <t>'25.8월</t>
  </si>
  <si>
    <t>'25.9월</t>
  </si>
  <si>
    <t>'25.10월</t>
  </si>
  <si>
    <t>'25.11월</t>
  </si>
  <si>
    <t>'25.12월</t>
  </si>
  <si>
    <t>'25.누적</t>
    <phoneticPr fontId="1" type="noConversion"/>
  </si>
  <si>
    <t>'25.연평균</t>
    <phoneticPr fontId="1" type="noConversion"/>
  </si>
  <si>
    <t>25년.누적</t>
    <phoneticPr fontId="1" type="noConversion"/>
  </si>
  <si>
    <t>일반후불
(전체)
목표</t>
    <phoneticPr fontId="1" type="noConversion"/>
  </si>
  <si>
    <t>인터넷 
Quality
목표</t>
    <phoneticPr fontId="1" type="noConversion"/>
  </si>
  <si>
    <t>TV
Quality
목표</t>
    <phoneticPr fontId="1" type="noConversion"/>
  </si>
  <si>
    <t>신규동판
목표</t>
    <phoneticPr fontId="1" type="noConversion"/>
  </si>
  <si>
    <t>24년 월평균</t>
    <phoneticPr fontId="1" type="noConversion"/>
  </si>
  <si>
    <t>일반후불</t>
    <phoneticPr fontId="1" type="noConversion"/>
  </si>
  <si>
    <t>24년 실적</t>
    <phoneticPr fontId="1" type="noConversion"/>
  </si>
  <si>
    <t>디지털영업센터</t>
    <phoneticPr fontId="1" type="noConversion"/>
  </si>
  <si>
    <t>센터장</t>
    <phoneticPr fontId="1" type="noConversion"/>
  </si>
  <si>
    <t>KT닷컴CRM3파트</t>
  </si>
  <si>
    <t>영업지원파트</t>
    <phoneticPr fontId="1" type="noConversion"/>
  </si>
  <si>
    <t>25년 누적</t>
  </si>
  <si>
    <t>25년 누적</t>
    <phoneticPr fontId="1" type="noConversion"/>
  </si>
  <si>
    <t>일반후불</t>
  </si>
  <si>
    <t>25년.누적</t>
  </si>
  <si>
    <t>계</t>
    <phoneticPr fontId="8" type="noConversion"/>
  </si>
  <si>
    <t>일반직</t>
    <phoneticPr fontId="8" type="noConversion"/>
  </si>
  <si>
    <t>영업직</t>
    <phoneticPr fontId="8" type="noConversion"/>
  </si>
  <si>
    <t>SC직</t>
    <phoneticPr fontId="8" type="noConversion"/>
  </si>
  <si>
    <t>도+소+디지털</t>
    <phoneticPr fontId="1" type="noConversion"/>
  </si>
  <si>
    <t>본부별
일반후불</t>
    <phoneticPr fontId="1" type="noConversion"/>
  </si>
  <si>
    <t>소매</t>
    <phoneticPr fontId="8" type="noConversion"/>
  </si>
  <si>
    <t>도매</t>
    <phoneticPr fontId="8" type="noConversion"/>
  </si>
  <si>
    <t>기타</t>
    <phoneticPr fontId="8" type="noConversion"/>
  </si>
  <si>
    <t>3개월 미만</t>
  </si>
  <si>
    <t>3개월 미만</t>
    <phoneticPr fontId="8" type="noConversion"/>
  </si>
  <si>
    <t>(채용률)</t>
  </si>
  <si>
    <t>(채용률)</t>
    <phoneticPr fontId="8" type="noConversion"/>
  </si>
  <si>
    <t>채용계</t>
    <phoneticPr fontId="8" type="noConversion"/>
  </si>
  <si>
    <t>퇴직계</t>
    <phoneticPr fontId="8" type="noConversion"/>
  </si>
  <si>
    <t>(퇴직률)</t>
  </si>
  <si>
    <t>(퇴직률)</t>
    <phoneticPr fontId="8" type="noConversion"/>
  </si>
  <si>
    <t>(비중)</t>
  </si>
  <si>
    <t>(비중)</t>
    <phoneticPr fontId="8" type="noConversion"/>
  </si>
  <si>
    <t>본부별
운영후불</t>
    <phoneticPr fontId="1" type="noConversion"/>
  </si>
  <si>
    <t>AG</t>
    <phoneticPr fontId="1" type="noConversion"/>
  </si>
  <si>
    <t>C</t>
    <phoneticPr fontId="1" type="noConversion"/>
  </si>
  <si>
    <t>AV</t>
    <phoneticPr fontId="1" type="noConversion"/>
  </si>
  <si>
    <t>검증용</t>
    <phoneticPr fontId="1" type="noConversion"/>
  </si>
  <si>
    <t>2023년</t>
    <phoneticPr fontId="1" type="noConversion"/>
  </si>
  <si>
    <t>2024년</t>
    <phoneticPr fontId="1" type="noConversion"/>
  </si>
  <si>
    <t>2025년</t>
    <phoneticPr fontId="1" type="noConversion"/>
  </si>
  <si>
    <t>'25.11월</t>
    <phoneticPr fontId="1" type="noConversion"/>
  </si>
  <si>
    <t>□ 디지털</t>
    <phoneticPr fontId="1" type="noConversion"/>
  </si>
  <si>
    <t>유선순신규</t>
    <phoneticPr fontId="1" type="noConversion"/>
  </si>
  <si>
    <t>신규+기변+중고</t>
    <phoneticPr fontId="1" type="noConversion"/>
  </si>
  <si>
    <t>O2O</t>
  </si>
  <si>
    <t>기타, 미정산건, 계상처리 등</t>
    <phoneticPr fontId="1" type="noConversion"/>
  </si>
  <si>
    <t>소상공인
8.5%</t>
    <phoneticPr fontId="1" type="noConversion"/>
  </si>
  <si>
    <t>일반후불
(중고포함)</t>
    <phoneticPr fontId="1" type="noConversion"/>
  </si>
  <si>
    <t>전년대비(월평균)</t>
  </si>
  <si>
    <t>전년 동기 대비</t>
  </si>
  <si>
    <t>'23년 실적</t>
    <phoneticPr fontId="1" type="noConversion"/>
  </si>
  <si>
    <t>B2B, 대형마트, 지원성 관리수수료, P3.0 등</t>
    <phoneticPr fontId="1" type="noConversion"/>
  </si>
  <si>
    <t>CC</t>
    <phoneticPr fontId="1" type="noConversion"/>
  </si>
  <si>
    <t>전년평균대비</t>
    <phoneticPr fontId="1" type="noConversion"/>
  </si>
  <si>
    <t>과부족</t>
    <phoneticPr fontId="8" type="noConversion"/>
  </si>
  <si>
    <t>점포수</t>
    <phoneticPr fontId="1" type="noConversion"/>
  </si>
  <si>
    <t>(소상공인 포함)</t>
    <phoneticPr fontId="1" type="noConversion"/>
  </si>
  <si>
    <t>소상공인</t>
  </si>
  <si>
    <t>유통영업혁신단</t>
    <phoneticPr fontId="1" type="noConversion"/>
  </si>
  <si>
    <t>법인영업혁신단</t>
    <phoneticPr fontId="1" type="noConversion"/>
  </si>
  <si>
    <t>소상공인</t>
    <phoneticPr fontId="8" type="noConversion"/>
  </si>
  <si>
    <t>TV
(mass+biz)</t>
    <phoneticPr fontId="1" type="noConversion"/>
  </si>
  <si>
    <t>③ 소상공인 전체 인력 현황</t>
  </si>
  <si>
    <t>소상공인 인건비, 미정산건, 계상처리 등</t>
  </si>
  <si>
    <t>(소상공인)
본부별</t>
  </si>
  <si>
    <t>(소상공인 포함)</t>
  </si>
  <si>
    <t>관리수수료(점프업 제외), 매장성 수수료</t>
    <phoneticPr fontId="1" type="noConversion"/>
  </si>
  <si>
    <t>B2B, 대형마트, 지원성 관리수수료, P3.0 등</t>
  </si>
  <si>
    <t>기타(A/S, 임대, 물류, 중고폰 전문매장 등)</t>
    <phoneticPr fontId="1" type="noConversion"/>
  </si>
  <si>
    <t xml:space="preserve">  소상공인</t>
    <phoneticPr fontId="1" type="noConversion"/>
  </si>
  <si>
    <t>보험료, 접대비, 여비교통비, 세금과공과 등</t>
  </si>
  <si>
    <t>보험료, 접대비, 여비교통비, 세금과공과 등</t>
    <phoneticPr fontId="1" type="noConversion"/>
  </si>
  <si>
    <t>IT유지보수대행, 서비스이용료, 전문가자문료 등</t>
    <phoneticPr fontId="1" type="noConversion"/>
  </si>
  <si>
    <t>유선
순신규
(I+TV mass)</t>
    <phoneticPr fontId="1" type="noConversion"/>
  </si>
  <si>
    <t>I+TV (유통채널)</t>
    <phoneticPr fontId="1" type="noConversion"/>
  </si>
  <si>
    <t>스마트로VAN</t>
    <phoneticPr fontId="1" type="noConversion"/>
  </si>
  <si>
    <t>KT닷컴상담3파트</t>
  </si>
  <si>
    <t>신사업 제외</t>
    <phoneticPr fontId="1" type="noConversion"/>
  </si>
  <si>
    <t>전월</t>
    <phoneticPr fontId="1" type="noConversion"/>
  </si>
  <si>
    <t>부근무</t>
    <phoneticPr fontId="1" type="noConversion"/>
  </si>
  <si>
    <t>온라인 제휴
8.5%</t>
    <phoneticPr fontId="1" type="noConversion"/>
  </si>
  <si>
    <t>$A$1-1</t>
  </si>
  <si>
    <t>판매유지ARPU
목표</t>
    <phoneticPr fontId="1" type="noConversion"/>
  </si>
  <si>
    <t>1 ~ 3</t>
    <phoneticPr fontId="1" type="noConversion"/>
  </si>
  <si>
    <t>4 ~ 5</t>
    <phoneticPr fontId="1" type="noConversion"/>
  </si>
  <si>
    <t>6 ~ 7</t>
    <phoneticPr fontId="1" type="noConversion"/>
  </si>
  <si>
    <t>8 ~ 9</t>
    <phoneticPr fontId="1" type="noConversion"/>
  </si>
  <si>
    <t>10 ~ 11</t>
    <phoneticPr fontId="1" type="noConversion"/>
  </si>
  <si>
    <t>13 ~ 14</t>
    <phoneticPr fontId="1" type="noConversion"/>
  </si>
  <si>
    <t xml:space="preserve">  * 컨설팅 프린트</t>
    <phoneticPr fontId="1" type="noConversion"/>
  </si>
  <si>
    <t>KT닷컴유선파트</t>
    <phoneticPr fontId="1" type="noConversion"/>
  </si>
  <si>
    <t>'25년 실적</t>
    <phoneticPr fontId="1" type="noConversion"/>
  </si>
  <si>
    <t>'24년 실적</t>
    <phoneticPr fontId="1" type="noConversion"/>
  </si>
  <si>
    <t>AO</t>
    <phoneticPr fontId="1" type="noConversion"/>
  </si>
  <si>
    <t>전년동기비</t>
    <phoneticPr fontId="1" type="noConversion"/>
  </si>
  <si>
    <t>KT닷컴개통1파트</t>
    <phoneticPr fontId="1" type="noConversion"/>
  </si>
  <si>
    <t>KT닷컴개통2파트</t>
  </si>
  <si>
    <t>부근무</t>
  </si>
  <si>
    <t>신입사원(대졸 일반직)</t>
    <phoneticPr fontId="8" type="noConversion"/>
  </si>
  <si>
    <t>18 ~ 20</t>
    <phoneticPr fontId="1" type="noConversion"/>
  </si>
  <si>
    <t>21 ~ 22</t>
    <phoneticPr fontId="1" type="noConversion"/>
  </si>
  <si>
    <t>KT닷컴 위탁</t>
    <phoneticPr fontId="1" type="noConversion"/>
  </si>
  <si>
    <t>AP</t>
    <phoneticPr fontId="1" type="noConversion"/>
  </si>
  <si>
    <t>유무선 관리 수수료(매장성 수수료/점프업 제외)</t>
    <phoneticPr fontId="1" type="noConversion"/>
  </si>
  <si>
    <t>관리수수료(점프업 제외)+매장성 수수료</t>
    <phoneticPr fontId="1" type="noConversion"/>
  </si>
  <si>
    <t>합계</t>
    <phoneticPr fontId="1" type="noConversion"/>
  </si>
  <si>
    <t>유심판매
현황</t>
    <phoneticPr fontId="1" type="noConversion"/>
  </si>
  <si>
    <t>매출(억원)</t>
  </si>
  <si>
    <t>매출(억원)</t>
    <phoneticPr fontId="1" type="noConversion"/>
  </si>
  <si>
    <t>이익(억원)</t>
  </si>
  <si>
    <t>이익(억원)</t>
    <phoneticPr fontId="1" type="noConversion"/>
  </si>
  <si>
    <t>BH</t>
  </si>
  <si>
    <t>'26.1월</t>
    <phoneticPr fontId="1" type="noConversion"/>
  </si>
  <si>
    <t>'26.2월</t>
  </si>
  <si>
    <t>'26.3월</t>
  </si>
  <si>
    <t>'26.4월</t>
  </si>
  <si>
    <t>'26.5월</t>
  </si>
  <si>
    <t>'26.6월</t>
  </si>
  <si>
    <t>'26.7월</t>
  </si>
  <si>
    <t>'26.8월</t>
  </si>
  <si>
    <t>'26.9월</t>
  </si>
  <si>
    <t>'26.10월</t>
  </si>
  <si>
    <t>'26.11월</t>
  </si>
  <si>
    <t>'26.12월</t>
  </si>
  <si>
    <t>AS</t>
    <phoneticPr fontId="1" type="noConversion"/>
  </si>
  <si>
    <t>26년 목표</t>
    <phoneticPr fontId="1" type="noConversion"/>
  </si>
  <si>
    <t>26년 목표(내부 도전목표)</t>
    <phoneticPr fontId="1" type="noConversion"/>
  </si>
  <si>
    <t>CX</t>
    <phoneticPr fontId="1" type="noConversion"/>
  </si>
  <si>
    <t>익월반영</t>
    <phoneticPr fontId="1" type="noConversion"/>
  </si>
  <si>
    <r>
      <t xml:space="preserve">  총매출 </t>
    </r>
    <r>
      <rPr>
        <sz val="11"/>
        <color theme="1"/>
        <rFont val="KT Flow Thin"/>
        <family val="3"/>
        <charset val="129"/>
      </rPr>
      <t>(ⓐ+ⓑ+ⓒ+ⓓ)</t>
    </r>
    <phoneticPr fontId="1" type="noConversion"/>
  </si>
  <si>
    <r>
      <t>상품매출</t>
    </r>
    <r>
      <rPr>
        <sz val="9"/>
        <color theme="1"/>
        <rFont val="KT Flow Thin"/>
        <family val="3"/>
        <charset val="129"/>
      </rPr>
      <t>(통신)</t>
    </r>
    <r>
      <rPr>
        <b/>
        <sz val="9"/>
        <color theme="1"/>
        <rFont val="KT Flow Thin"/>
        <family val="3"/>
        <charset val="129"/>
      </rPr>
      <t xml:space="preserve"> </t>
    </r>
    <r>
      <rPr>
        <sz val="11"/>
        <color theme="1"/>
        <rFont val="KT Flow Thin"/>
        <family val="3"/>
        <charset val="129"/>
      </rPr>
      <t>ⓐ</t>
    </r>
    <phoneticPr fontId="1" type="noConversion"/>
  </si>
  <si>
    <r>
      <t>수수료매출</t>
    </r>
    <r>
      <rPr>
        <sz val="9"/>
        <color theme="1"/>
        <rFont val="KT Flow Thin"/>
        <family val="3"/>
        <charset val="129"/>
      </rPr>
      <t>(통신)</t>
    </r>
    <r>
      <rPr>
        <sz val="11"/>
        <color theme="1"/>
        <rFont val="KT Flow Thin"/>
        <family val="3"/>
        <charset val="129"/>
      </rPr>
      <t xml:space="preserve"> ⓑ</t>
    </r>
    <phoneticPr fontId="1" type="noConversion"/>
  </si>
  <si>
    <r>
      <t>B2B, 대형마트, 소상공인</t>
    </r>
    <r>
      <rPr>
        <sz val="8.5"/>
        <color theme="1"/>
        <rFont val="KT Flow Thin"/>
        <family val="3"/>
        <charset val="129"/>
      </rPr>
      <t>(25년~)</t>
    </r>
    <r>
      <rPr>
        <sz val="11"/>
        <color theme="1"/>
        <rFont val="KT Flow Thin"/>
        <family val="3"/>
        <charset val="129"/>
      </rPr>
      <t xml:space="preserve"> 등</t>
    </r>
    <phoneticPr fontId="1" type="noConversion"/>
  </si>
  <si>
    <r>
      <t>기타</t>
    </r>
    <r>
      <rPr>
        <b/>
        <sz val="9"/>
        <color theme="1"/>
        <rFont val="KT Flow Thin"/>
        <family val="3"/>
        <charset val="129"/>
      </rPr>
      <t xml:space="preserve"> (파견,시니어,계약,외국인 등)</t>
    </r>
    <phoneticPr fontId="1" type="noConversion"/>
  </si>
  <si>
    <r>
      <t xml:space="preserve">인력변동
총합
</t>
    </r>
    <r>
      <rPr>
        <sz val="9"/>
        <color indexed="8"/>
        <rFont val="KT Flow Thin"/>
        <family val="3"/>
        <charset val="129"/>
      </rPr>
      <t>(IN-OUT)</t>
    </r>
    <phoneticPr fontId="8" type="noConversion"/>
  </si>
  <si>
    <r>
      <t xml:space="preserve">채용
</t>
    </r>
    <r>
      <rPr>
        <sz val="9"/>
        <color indexed="8"/>
        <rFont val="KT Flow Thin"/>
        <family val="3"/>
        <charset val="129"/>
      </rPr>
      <t>(IN)</t>
    </r>
    <phoneticPr fontId="8" type="noConversion"/>
  </si>
  <si>
    <r>
      <t xml:space="preserve">퇴직
</t>
    </r>
    <r>
      <rPr>
        <sz val="9"/>
        <color indexed="8"/>
        <rFont val="KT Flow Thin"/>
        <family val="3"/>
        <charset val="129"/>
      </rPr>
      <t>(OUT)</t>
    </r>
    <phoneticPr fontId="8" type="noConversion"/>
  </si>
  <si>
    <r>
      <t xml:space="preserve">신규점
매장
생산성
</t>
    </r>
    <r>
      <rPr>
        <b/>
        <sz val="11"/>
        <color theme="1"/>
        <rFont val="KT Flow Thin"/>
        <family val="3"/>
        <charset val="129"/>
      </rPr>
      <t>(후불+순신규)</t>
    </r>
    <phoneticPr fontId="1" type="noConversion"/>
  </si>
  <si>
    <r>
      <t xml:space="preserve">금액 </t>
    </r>
    <r>
      <rPr>
        <sz val="10"/>
        <color theme="1"/>
        <rFont val="KT Flow Thin"/>
        <family val="3"/>
        <charset val="129"/>
      </rPr>
      <t>(단위 : 억원)</t>
    </r>
    <phoneticPr fontId="1" type="noConversion"/>
  </si>
  <si>
    <r>
      <t>금액</t>
    </r>
    <r>
      <rPr>
        <sz val="10"/>
        <color theme="1"/>
        <rFont val="KT Flow Thin"/>
        <family val="3"/>
        <charset val="129"/>
      </rPr>
      <t xml:space="preserve"> (단위 : 억원)</t>
    </r>
    <phoneticPr fontId="1" type="noConversion"/>
  </si>
  <si>
    <r>
      <t xml:space="preserve">매각이익 </t>
    </r>
    <r>
      <rPr>
        <sz val="10"/>
        <color theme="1"/>
        <rFont val="KT Flow Thin"/>
        <family val="3"/>
        <charset val="129"/>
      </rPr>
      <t>(단위 : 억원)</t>
    </r>
    <phoneticPr fontId="1" type="noConversion"/>
  </si>
  <si>
    <t>Mall 매출액(천원)</t>
    <phoneticPr fontId="1" type="noConversion"/>
  </si>
  <si>
    <r>
      <t xml:space="preserve">총매출 </t>
    </r>
    <r>
      <rPr>
        <sz val="11"/>
        <color theme="1"/>
        <rFont val="KT Flow Thin"/>
        <family val="3"/>
        <charset val="129"/>
      </rPr>
      <t>(ⓐ+ⓑ+ⓒ+ⓓ)</t>
    </r>
    <phoneticPr fontId="1" type="noConversion"/>
  </si>
  <si>
    <r>
      <t>B2B, 대형마트, 소상공인</t>
    </r>
    <r>
      <rPr>
        <sz val="8.5"/>
        <color theme="1"/>
        <rFont val="KT Flow Thin"/>
        <family val="3"/>
        <charset val="129"/>
      </rPr>
      <t>(25년~)</t>
    </r>
    <phoneticPr fontId="1" type="noConversion"/>
  </si>
  <si>
    <r>
      <t xml:space="preserve">CS업무처리 수수료 </t>
    </r>
    <r>
      <rPr>
        <sz val="9.5"/>
        <color theme="0" tint="-4.9989318521683403E-2"/>
        <rFont val="KT Flow Thin"/>
        <family val="3"/>
        <charset val="129"/>
      </rPr>
      <t>(전사)</t>
    </r>
    <phoneticPr fontId="1" type="noConversion"/>
  </si>
  <si>
    <r>
      <t xml:space="preserve">기타 </t>
    </r>
    <r>
      <rPr>
        <sz val="9.5"/>
        <color theme="0" tint="-0.499984740745262"/>
        <rFont val="KT Flow Thin"/>
        <family val="3"/>
        <charset val="129"/>
      </rPr>
      <t>(대형마트, ktac 등)</t>
    </r>
    <phoneticPr fontId="1" type="noConversion"/>
  </si>
  <si>
    <t>도매 H/C
2%</t>
    <phoneticPr fontId="1" type="noConversion"/>
  </si>
  <si>
    <t>KT닷컴 H/C
2%</t>
    <phoneticPr fontId="1" type="noConversion"/>
  </si>
  <si>
    <t>매장성 수수료 포함</t>
    <phoneticPr fontId="1" type="noConversion"/>
  </si>
  <si>
    <t>휴직자x</t>
    <phoneticPr fontId="8" type="noConversion"/>
  </si>
  <si>
    <r>
      <t>① 매출</t>
    </r>
    <r>
      <rPr>
        <sz val="12"/>
        <color theme="1" tint="0.499984740745262"/>
        <rFont val="KT Flow Thin"/>
        <family val="3"/>
        <charset val="129"/>
      </rPr>
      <t xml:space="preserve"> (통신매출, 유통플랫폼사업매출)   </t>
    </r>
    <phoneticPr fontId="1" type="noConversion"/>
  </si>
  <si>
    <r>
      <rPr>
        <b/>
        <sz val="14"/>
        <color rgb="FFFF0000"/>
        <rFont val="KT Flow Thin"/>
        <family val="3"/>
        <charset val="129"/>
      </rPr>
      <t>21일 ~ 26일</t>
    </r>
    <r>
      <rPr>
        <sz val="14"/>
        <color theme="1"/>
        <rFont val="KT Flow Thin"/>
        <family val="3"/>
        <charset val="129"/>
      </rPr>
      <t xml:space="preserve">
</t>
    </r>
    <r>
      <rPr>
        <sz val="12"/>
        <color theme="1"/>
        <rFont val="KT Flow Thin"/>
        <family val="3"/>
        <charset val="129"/>
      </rPr>
      <t>(회계 결산 마감 이후 반영)</t>
    </r>
    <phoneticPr fontId="1" type="noConversion"/>
  </si>
  <si>
    <r>
      <t>2</t>
    </r>
    <r>
      <rPr>
        <sz val="18"/>
        <color theme="1" tint="0.499984740745262"/>
        <rFont val="KT Flow Thin"/>
        <family val="3"/>
        <charset val="129"/>
      </rPr>
      <t>-(1)</t>
    </r>
    <phoneticPr fontId="1" type="noConversion"/>
  </si>
  <si>
    <r>
      <t>3</t>
    </r>
    <r>
      <rPr>
        <sz val="18"/>
        <color theme="1" tint="0.499984740745262"/>
        <rFont val="KT Flow Thin"/>
        <family val="3"/>
        <charset val="129"/>
      </rPr>
      <t>-(1)</t>
    </r>
    <phoneticPr fontId="1" type="noConversion"/>
  </si>
  <si>
    <r>
      <t xml:space="preserve">~ 13일
</t>
    </r>
    <r>
      <rPr>
        <sz val="12"/>
        <color theme="1"/>
        <rFont val="KT Flow Thin"/>
        <family val="3"/>
        <charset val="129"/>
      </rPr>
      <t>(전월 가입자 / 인력 마감 이후)</t>
    </r>
    <phoneticPr fontId="1" type="noConversion"/>
  </si>
  <si>
    <r>
      <rPr>
        <b/>
        <sz val="14"/>
        <color rgb="FFFF0000"/>
        <rFont val="KT Flow Thin"/>
        <family val="3"/>
        <charset val="129"/>
      </rPr>
      <t>13일 ~ 18일</t>
    </r>
    <r>
      <rPr>
        <sz val="14"/>
        <color theme="1"/>
        <rFont val="KT Flow Thin"/>
        <family val="3"/>
        <charset val="129"/>
      </rPr>
      <t xml:space="preserve">
</t>
    </r>
    <r>
      <rPr>
        <sz val="12"/>
        <color theme="1"/>
        <rFont val="KT Flow Thin"/>
        <family val="3"/>
        <charset val="129"/>
      </rPr>
      <t>(전월 가입자 / 매출액 마감 이후)</t>
    </r>
    <phoneticPr fontId="1" type="noConversion"/>
  </si>
  <si>
    <r>
      <t>② 매장 생산성</t>
    </r>
    <r>
      <rPr>
        <sz val="12"/>
        <color theme="1" tint="0.499984740745262"/>
        <rFont val="KT Flow Thin"/>
        <family val="3"/>
        <charset val="129"/>
      </rPr>
      <t xml:space="preserve"> (후불 + 유선 순신규)</t>
    </r>
    <phoneticPr fontId="1" type="noConversion"/>
  </si>
  <si>
    <r>
      <rPr>
        <sz val="14"/>
        <color theme="1"/>
        <rFont val="KT Flow Thin"/>
        <family val="3"/>
        <charset val="129"/>
      </rPr>
      <t>~ 16일</t>
    </r>
    <r>
      <rPr>
        <sz val="11"/>
        <color theme="1"/>
        <rFont val="KT Flow Thin"/>
        <family val="3"/>
        <charset val="129"/>
      </rPr>
      <t xml:space="preserve">
</t>
    </r>
    <r>
      <rPr>
        <sz val="11"/>
        <color rgb="FFFF0000"/>
        <rFont val="KT Flow Thin"/>
        <family val="3"/>
        <charset val="129"/>
      </rPr>
      <t>(대외 민원 / 음성적 재가입은
익익월 산출)</t>
    </r>
    <phoneticPr fontId="1" type="noConversion"/>
  </si>
  <si>
    <r>
      <t xml:space="preserve">③ 제조사별 판매 현황 </t>
    </r>
    <r>
      <rPr>
        <sz val="12"/>
        <color theme="1" tint="0.499984740745262"/>
        <rFont val="KT Flow Thin"/>
        <family val="3"/>
        <charset val="129"/>
      </rPr>
      <t>(KT 내 비중)</t>
    </r>
    <phoneticPr fontId="1" type="noConversion"/>
  </si>
  <si>
    <t xml:space="preserve">기준월 : </t>
    <phoneticPr fontId="1" type="noConversion"/>
  </si>
  <si>
    <t>② 일반 후불 (IoT) 가입자(CAPA)</t>
    <phoneticPr fontId="1" type="noConversion"/>
  </si>
  <si>
    <t>0. 목차</t>
    <phoneticPr fontId="1" type="noConversion"/>
  </si>
  <si>
    <t>2026년</t>
    <phoneticPr fontId="1" type="noConversion"/>
  </si>
  <si>
    <t>'26.1월</t>
  </si>
  <si>
    <t>'25년 계</t>
    <phoneticPr fontId="1" type="noConversion"/>
  </si>
  <si>
    <t>CR</t>
  </si>
  <si>
    <t>CS</t>
    <phoneticPr fontId="1" type="noConversion"/>
  </si>
  <si>
    <t>CU</t>
    <phoneticPr fontId="1" type="noConversion"/>
  </si>
  <si>
    <t>CV</t>
    <phoneticPr fontId="1" type="noConversion"/>
  </si>
  <si>
    <t>CW</t>
    <phoneticPr fontId="1" type="noConversion"/>
  </si>
  <si>
    <t>전사 경영성과 Factbook 개요</t>
    <phoneticPr fontId="1" type="noConversion"/>
  </si>
  <si>
    <t>유지ARPU</t>
    <phoneticPr fontId="1" type="noConversion"/>
  </si>
  <si>
    <t>TV (biz 포함)
순신규</t>
    <phoneticPr fontId="1" type="noConversion"/>
  </si>
  <si>
    <t>25년 실적</t>
    <phoneticPr fontId="1" type="noConversion"/>
  </si>
  <si>
    <t>26년 누적</t>
    <phoneticPr fontId="1" type="noConversion"/>
  </si>
  <si>
    <t>'25.3월</t>
    <phoneticPr fontId="1" type="noConversion"/>
  </si>
  <si>
    <t>'25.4월</t>
    <phoneticPr fontId="1" type="noConversion"/>
  </si>
  <si>
    <t>'25.5월</t>
    <phoneticPr fontId="1" type="noConversion"/>
  </si>
  <si>
    <t>'25.6월</t>
    <phoneticPr fontId="1" type="noConversion"/>
  </si>
  <si>
    <t>'25.7월</t>
    <phoneticPr fontId="1" type="noConversion"/>
  </si>
  <si>
    <t>'25.8월</t>
    <phoneticPr fontId="1" type="noConversion"/>
  </si>
  <si>
    <t>'25.9월</t>
    <phoneticPr fontId="1" type="noConversion"/>
  </si>
  <si>
    <t>'25.10월</t>
    <phoneticPr fontId="1" type="noConversion"/>
  </si>
  <si>
    <t>'25.12월</t>
    <phoneticPr fontId="1" type="noConversion"/>
  </si>
  <si>
    <t>'26.2월</t>
    <phoneticPr fontId="1" type="noConversion"/>
  </si>
  <si>
    <t>'26.3월</t>
    <phoneticPr fontId="1" type="noConversion"/>
  </si>
  <si>
    <t>'26.4월</t>
    <phoneticPr fontId="1" type="noConversion"/>
  </si>
  <si>
    <t>'26.5월</t>
    <phoneticPr fontId="1" type="noConversion"/>
  </si>
  <si>
    <t>'26.6월</t>
    <phoneticPr fontId="1" type="noConversion"/>
  </si>
  <si>
    <t>'26.7월</t>
    <phoneticPr fontId="1" type="noConversion"/>
  </si>
  <si>
    <t>'26.8월</t>
    <phoneticPr fontId="1" type="noConversion"/>
  </si>
  <si>
    <t>'26.9월</t>
    <phoneticPr fontId="1" type="noConversion"/>
  </si>
  <si>
    <t>'26.10월</t>
    <phoneticPr fontId="1" type="noConversion"/>
  </si>
  <si>
    <t>'26.11월</t>
    <phoneticPr fontId="1" type="noConversion"/>
  </si>
  <si>
    <t>'26.12월</t>
    <phoneticPr fontId="1" type="noConversion"/>
  </si>
  <si>
    <t>26년.누적</t>
    <phoneticPr fontId="1" type="noConversion"/>
  </si>
  <si>
    <r>
      <t>Mall 매출액</t>
    </r>
    <r>
      <rPr>
        <sz val="10"/>
        <color theme="1"/>
        <rFont val="KT Flow Thin"/>
        <family val="3"/>
        <charset val="129"/>
      </rPr>
      <t>(천원)</t>
    </r>
    <phoneticPr fontId="1" type="noConversion"/>
  </si>
  <si>
    <t>일반후불 비중</t>
    <phoneticPr fontId="1" type="noConversion"/>
  </si>
  <si>
    <t>유통</t>
    <phoneticPr fontId="1" type="noConversion"/>
  </si>
  <si>
    <t>유선전체 비중</t>
    <phoneticPr fontId="1" type="noConversion"/>
  </si>
  <si>
    <t>26년 실적</t>
    <phoneticPr fontId="1" type="noConversion"/>
  </si>
  <si>
    <t>'26.누적</t>
    <phoneticPr fontId="1" type="noConversion"/>
  </si>
  <si>
    <t>제휴채널</t>
    <phoneticPr fontId="1" type="noConversion"/>
  </si>
  <si>
    <t>내재화 (API 연동)</t>
    <phoneticPr fontId="1" type="noConversion"/>
  </si>
  <si>
    <t>상품별</t>
    <phoneticPr fontId="1" type="noConversion"/>
  </si>
  <si>
    <t>채널별</t>
    <phoneticPr fontId="1" type="noConversion"/>
  </si>
  <si>
    <t>26년.누적</t>
  </si>
  <si>
    <r>
      <t xml:space="preserve">부족
매장수
</t>
    </r>
    <r>
      <rPr>
        <b/>
        <sz val="11"/>
        <color theme="1"/>
        <rFont val="KT Flow Thin"/>
        <family val="3"/>
        <charset val="129"/>
      </rPr>
      <t>(인력TO대비)</t>
    </r>
    <phoneticPr fontId="1" type="noConversion"/>
  </si>
  <si>
    <r>
      <t xml:space="preserve">초과
매장수
</t>
    </r>
    <r>
      <rPr>
        <b/>
        <sz val="11"/>
        <color theme="1"/>
        <rFont val="KT Flow Thin"/>
        <family val="3"/>
        <charset val="129"/>
      </rPr>
      <t>(인력TO대비)</t>
    </r>
    <phoneticPr fontId="1" type="noConversion"/>
  </si>
  <si>
    <t>유선 순증</t>
    <phoneticPr fontId="1" type="noConversion"/>
  </si>
  <si>
    <t>유선 순해지</t>
    <phoneticPr fontId="1" type="noConversion"/>
  </si>
  <si>
    <t>후불 순증</t>
    <phoneticPr fontId="1" type="noConversion"/>
  </si>
  <si>
    <t>후불 순해지</t>
    <phoneticPr fontId="1" type="noConversion"/>
  </si>
  <si>
    <t>유선 순신규 비중</t>
    <phoneticPr fontId="1" type="noConversion"/>
  </si>
  <si>
    <t>아이폰 AW 업무위탁</t>
  </si>
  <si>
    <t xml:space="preserve">   - MAWs</t>
  </si>
  <si>
    <t>- MAWs</t>
  </si>
  <si>
    <t>영업품질등급제</t>
    <phoneticPr fontId="1" type="noConversion"/>
  </si>
  <si>
    <t>영업품질등급</t>
    <phoneticPr fontId="1" type="noConversion"/>
  </si>
  <si>
    <t>일반후불 생산성</t>
    <phoneticPr fontId="1" type="noConversion"/>
  </si>
  <si>
    <t>순신규 생산성</t>
    <phoneticPr fontId="1" type="noConversion"/>
  </si>
  <si>
    <t>직접영업</t>
    <phoneticPr fontId="1" type="noConversion"/>
  </si>
  <si>
    <t>전체</t>
    <phoneticPr fontId="1" type="noConversion"/>
  </si>
  <si>
    <t>유선 순신규+약갱</t>
    <phoneticPr fontId="1" type="noConversion"/>
  </si>
  <si>
    <t>영업 판로
확대</t>
    <phoneticPr fontId="1" type="noConversion"/>
  </si>
  <si>
    <t>임직원 영업</t>
    <phoneticPr fontId="1" type="noConversion"/>
  </si>
  <si>
    <t>고객사</t>
    <phoneticPr fontId="1" type="noConversion"/>
  </si>
  <si>
    <t>그룹사</t>
    <phoneticPr fontId="1" type="noConversion"/>
  </si>
  <si>
    <t>총원</t>
  </si>
  <si>
    <t>포인트</t>
  </si>
  <si>
    <t>마스터</t>
  </si>
  <si>
    <t>인당
생산성</t>
  </si>
  <si>
    <t>인당
생산성</t>
    <phoneticPr fontId="1" type="noConversion"/>
  </si>
  <si>
    <t>무선 후불</t>
    <phoneticPr fontId="1" type="noConversion"/>
  </si>
  <si>
    <t>'25년 상반기 실적</t>
    <phoneticPr fontId="1" type="noConversion"/>
  </si>
  <si>
    <t>'26년 상반기  실적</t>
    <phoneticPr fontId="1" type="noConversion"/>
  </si>
  <si>
    <t>26년 상반기 실적</t>
    <phoneticPr fontId="1" type="noConversion"/>
  </si>
  <si>
    <t>'26년 실적</t>
  </si>
  <si>
    <t>'26.누적</t>
  </si>
  <si>
    <t>'26.연평균</t>
  </si>
  <si>
    <t>'26년 실적</t>
    <phoneticPr fontId="1" type="noConversion"/>
  </si>
  <si>
    <t>8.1%</t>
    <phoneticPr fontId="1" type="noConversion"/>
  </si>
  <si>
    <t>730213</t>
    <phoneticPr fontId="1" type="noConversion"/>
  </si>
  <si>
    <t>매장성 수수료 포함, 점프업 제외</t>
    <phoneticPr fontId="1" type="noConversion"/>
  </si>
  <si>
    <t>감가상각비 포함</t>
    <phoneticPr fontId="1" type="noConversion"/>
  </si>
  <si>
    <t>cd</t>
    <phoneticPr fontId="1" type="noConversion"/>
  </si>
  <si>
    <t>ce</t>
    <phoneticPr fontId="1" type="noConversion"/>
  </si>
  <si>
    <t>'26년 계</t>
    <phoneticPr fontId="1" type="noConversion"/>
  </si>
  <si>
    <t>At</t>
    <phoneticPr fontId="1" type="noConversion"/>
  </si>
  <si>
    <t>BI</t>
  </si>
  <si>
    <t>'26년 평균</t>
  </si>
  <si>
    <t>'26년 평균</t>
    <phoneticPr fontId="1" type="noConversion"/>
  </si>
  <si>
    <t>'24년 평균</t>
  </si>
  <si>
    <t>'25년 평균</t>
  </si>
  <si>
    <t>'25년 평균</t>
    <phoneticPr fontId="1" type="noConversion"/>
  </si>
  <si>
    <t>BO</t>
  </si>
  <si>
    <t>BL</t>
  </si>
  <si>
    <t>BN</t>
  </si>
  <si>
    <t>BJ</t>
  </si>
  <si>
    <t>BM</t>
  </si>
  <si>
    <t>'25년 실적</t>
  </si>
  <si>
    <t>aE</t>
    <phoneticPr fontId="1" type="noConversion"/>
  </si>
  <si>
    <t>BK</t>
    <phoneticPr fontId="1" type="noConversion"/>
  </si>
  <si>
    <t>무선 판매 수수료</t>
    <phoneticPr fontId="1" type="noConversion"/>
  </si>
  <si>
    <t>유선 판매 수수료</t>
    <phoneticPr fontId="1" type="noConversion"/>
  </si>
  <si>
    <t>24년 계</t>
    <phoneticPr fontId="1" type="noConversion"/>
  </si>
  <si>
    <t>'25년 상반기</t>
    <phoneticPr fontId="1" type="noConversion"/>
  </si>
  <si>
    <t>매출</t>
  </si>
  <si>
    <t>매출</t>
    <phoneticPr fontId="1" type="noConversion"/>
  </si>
  <si>
    <t xml:space="preserve">비용 </t>
  </si>
  <si>
    <t xml:space="preserve">비용 </t>
    <phoneticPr fontId="1" type="noConversion"/>
  </si>
  <si>
    <t xml:space="preserve">  통신 매출 (ⓐ+ⓑ)</t>
    <phoneticPr fontId="1" type="noConversion"/>
  </si>
  <si>
    <t xml:space="preserve">  유통플랫폼사업 매출 (ⓒ+ⓓ)</t>
    <phoneticPr fontId="1" type="noConversion"/>
  </si>
  <si>
    <t xml:space="preserve"> 항목</t>
    <phoneticPr fontId="1" type="noConversion"/>
  </si>
  <si>
    <t>'26년 상반기</t>
    <phoneticPr fontId="1" type="noConversion"/>
  </si>
  <si>
    <t>CB</t>
    <phoneticPr fontId="1" type="noConversion"/>
  </si>
  <si>
    <t>CE</t>
    <phoneticPr fontId="1" type="noConversion"/>
  </si>
  <si>
    <t>BX</t>
    <phoneticPr fontId="1" type="noConversion"/>
  </si>
  <si>
    <t>CD</t>
    <phoneticPr fontId="1" type="noConversion"/>
  </si>
  <si>
    <t>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</si>
</sst>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6">
    <numFmt numFmtId="41" formatCode="_-* #,##0_-;\-* #,##0_-;_-* &quot;-&quot;_-;_-@_-"/>
    <numFmt numFmtId="43" formatCode="_-* #,##0.00_-;\-* #,##0.00_-;_-* &quot;-&quot;??_-;_-@_-"/>
    <numFmt numFmtId="176" formatCode="0.0%"/>
    <numFmt numFmtId="177" formatCode="0.0&quot;세&quot;"/>
    <numFmt numFmtId="178" formatCode="#,##0&quot;명&quot;"/>
    <numFmt numFmtId="179" formatCode="0.0&quot;년&quot;"/>
    <numFmt numFmtId="180" formatCode="#,##0&quot;명&quot;;[Red]\-#,##0&quot;명&quot;"/>
    <numFmt numFmtId="181" formatCode="0.0&quot;명&quot;"/>
    <numFmt numFmtId="182" formatCode="#,##0&quot;점&quot;"/>
    <numFmt numFmtId="183" formatCode="#,##0&quot;센터&quot;"/>
    <numFmt numFmtId="184" formatCode="#,##0&quot;점&quot;;[Red]\-#,##0&quot;점&quot;"/>
    <numFmt numFmtId="185" formatCode="0\ &quot;월&quot;"/>
    <numFmt numFmtId="186" formatCode="#,##0\ ;[Red]\△#,##0\ "/>
    <numFmt numFmtId="187" formatCode="0.0%\ "/>
    <numFmt numFmtId="188" formatCode="0.0%\p\ ;[Red]\△0.0%\p\ "/>
    <numFmt numFmtId="189" formatCode="#,##0.0\ ;[Red]\△#,##0.0\ "/>
    <numFmt numFmtId="190" formatCode="0.00\ "/>
    <numFmt numFmtId="191" formatCode="#,##0.00\ ;[Red]\△#,##0.00\ "/>
    <numFmt numFmtId="192" formatCode="#,##0_ ;[Red]\-#,##0\ "/>
    <numFmt numFmtId="193" formatCode="#,##0_ ;[Red]\△#,##0\ "/>
    <numFmt numFmtId="194" formatCode="0_);[Red]\(0\)"/>
    <numFmt numFmtId="195" formatCode="_-* #,##0.0_-;\-* #,##0.0_-;_-* &quot;-&quot;_-;_-@_-"/>
    <numFmt numFmtId="196" formatCode="#,##0&quot;점&quot;\ ;[Red]\-#,##0&quot;점&quot;\ "/>
    <numFmt numFmtId="197" formatCode="#,##0&quot;점&quot;\ ;[Red]\△#,##0&quot;점&quot;\ "/>
    <numFmt numFmtId="198" formatCode="#,##0.0_ ;[Red]\△#,##0.0\ "/>
    <numFmt numFmtId="199" formatCode="#,##0&quot;명&quot;;[Red]\△#,##0&quot;명&quot;"/>
    <numFmt numFmtId="200" formatCode="[Red]0.0%\p\ ;\△0.0%\p\ "/>
    <numFmt numFmtId="201" formatCode="0.0\ "/>
    <numFmt numFmtId="202" formatCode="#,##0_ "/>
    <numFmt numFmtId="203" formatCode="#,##0_);[Red]\(#,##0\)"/>
    <numFmt numFmtId="204" formatCode="#,##0\ "/>
    <numFmt numFmtId="205" formatCode="0.0\ ;[Red]\△0.0\ "/>
    <numFmt numFmtId="206" formatCode="#,##0&quot;억&quot;\ "/>
    <numFmt numFmtId="207" formatCode="#,##0.0&quot;억&quot;\ "/>
    <numFmt numFmtId="208" formatCode="#,##0.0\ "/>
    <numFmt numFmtId="209" formatCode="#,##0.0_ "/>
    <numFmt numFmtId="210" formatCode="0.0"/>
    <numFmt numFmtId="211" formatCode="#,##0.0_ ;\-#,##0.0\ "/>
    <numFmt numFmtId="212" formatCode="#,##0.0_ ;[Red]\-#,##0.0\ "/>
    <numFmt numFmtId="213" formatCode="0.0_ "/>
    <numFmt numFmtId="214" formatCode="#,##0.0_);[Red]\(#,##0.0\)"/>
    <numFmt numFmtId="215" formatCode="_-* #,##0.0_-;\-* #,##0.0_-;_-* &quot;-&quot;?_-;_-@_-"/>
    <numFmt numFmtId="216" formatCode="0.0%\p\ ;\△0.0%\p\ "/>
    <numFmt numFmtId="217" formatCode="0_ ;[Red]\-0\ "/>
    <numFmt numFmtId="218" formatCode="0_ "/>
    <numFmt numFmtId="219" formatCode="0.000000_ "/>
    <numFmt numFmtId="220" formatCode="0.00000000000000_ "/>
    <numFmt numFmtId="221" formatCode="0.0_);[Red]\(0.0\)"/>
    <numFmt numFmtId="222" formatCode="0.0&quot;일&quot;\ "/>
    <numFmt numFmtId="223" formatCode="#,###\ ;[Red]\△#,###\ "/>
    <numFmt numFmtId="224" formatCode="0.0&quot;억&quot;\ ;[Red]\△0.0&quot;억&quot;\ "/>
    <numFmt numFmtId="225" formatCode="0.0%\ ;[Red]\△0.0%\ "/>
    <numFmt numFmtId="226" formatCode="#,##0.0"/>
    <numFmt numFmtId="227" formatCode="\+#,##0.0\ ;[Red]\△#,##0.0"/>
    <numFmt numFmtId="228" formatCode="\+#,##0&quot;점&quot;\ ;[Red]\△#,##0&quot;점&quot;\ "/>
    <numFmt numFmtId="229" formatCode="#&quot;명&quot;"/>
    <numFmt numFmtId="230" formatCode="#&quot;건&quot;"/>
    <numFmt numFmtId="231" formatCode="0&quot;건&quot;"/>
    <numFmt numFmtId="232" formatCode="#,##0.00_ "/>
    <numFmt numFmtId="233" formatCode="#,###&quot;명&quot;"/>
    <numFmt numFmtId="234" formatCode="\(#,##0.0%\)"/>
    <numFmt numFmtId="235" formatCode="#,##0.0&quot;명&quot;"/>
    <numFmt numFmtId="236" formatCode="#,###"/>
    <numFmt numFmtId="237" formatCode="#,###.0&quot;명&quot;"/>
    <numFmt numFmtId="238" formatCode="[Blue]\+#,##0&quot;명&quot;;[Red]\-#,##0&quot;명&quot;"/>
    <numFmt numFmtId="239" formatCode="[Blue]\+#,##0;[Red]\-#,##0"/>
    <numFmt numFmtId="240" formatCode="[Blue]\+#,##0.0&quot;명&quot;;[Red]\-#,##0.0&quot;명&quot;"/>
    <numFmt numFmtId="241" formatCode="#,##0\ ;[Red]\△#,##0"/>
    <numFmt numFmtId="242" formatCode="_-* #,##0.0_-;\-* #,##0.0_-;_-* &quot;-&quot;??_-;_-@_-"/>
    <numFmt numFmtId="243" formatCode="#,##0.0\ ;[Red]\△#,##0.0"/>
    <numFmt numFmtId="244" formatCode="\(#,##0%\)"/>
    <numFmt numFmtId="245" formatCode="0.000%"/>
    <numFmt numFmtId="246" formatCode="#,##0;[Red]&quot;▲&quot;#,##0;\-"/>
    <numFmt numFmtId="247" formatCode="#,##0;[Red]\(#,##0\);\-"/>
    <numFmt numFmtId="248" formatCode="0.0&quot;억&quot;"/>
    <numFmt numFmtId="249" formatCode="#,##0.00\ "/>
  </numFmts>
  <fonts count="14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T서체 Light"/>
      <family val="3"/>
      <charset val="129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KT서체 Medium"/>
      <family val="3"/>
      <charset val="129"/>
    </font>
    <font>
      <sz val="9"/>
      <color indexed="81"/>
      <name val="KT서체 Medium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28"/>
      <color theme="1"/>
      <name val="KT서체 Medium"/>
      <family val="3"/>
      <charset val="129"/>
    </font>
    <font>
      <sz val="28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8"/>
      <color theme="1"/>
      <name val="KT서체 Medium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Calibri"/>
      <family val="2"/>
    </font>
    <font>
      <sz val="10"/>
      <color theme="1"/>
      <name val="Calibri"/>
      <family val="2"/>
    </font>
    <font>
      <sz val="11"/>
      <color theme="1"/>
      <name val="KT Flow Thin"/>
      <family val="3"/>
      <charset val="129"/>
    </font>
    <font>
      <sz val="12"/>
      <color theme="1"/>
      <name val="KT Flow Thin"/>
      <family val="3"/>
      <charset val="129"/>
    </font>
    <font>
      <b/>
      <sz val="12"/>
      <color rgb="FFFFFF00"/>
      <name val="KT Flow Thin"/>
      <family val="3"/>
      <charset val="129"/>
    </font>
    <font>
      <sz val="28"/>
      <color theme="1"/>
      <name val="KT Flow Thin"/>
      <family val="3"/>
      <charset val="129"/>
    </font>
    <font>
      <b/>
      <sz val="28"/>
      <color theme="1"/>
      <name val="KT Flow Thin"/>
      <family val="3"/>
      <charset val="129"/>
    </font>
    <font>
      <i/>
      <sz val="11"/>
      <color theme="0"/>
      <name val="KT Flow Thin"/>
      <family val="3"/>
      <charset val="129"/>
    </font>
    <font>
      <i/>
      <sz val="12"/>
      <color theme="0" tint="-0.34998626667073579"/>
      <name val="KT Flow Thin"/>
      <family val="3"/>
      <charset val="129"/>
    </font>
    <font>
      <b/>
      <sz val="11"/>
      <color theme="1"/>
      <name val="KT Flow Thin"/>
      <family val="3"/>
      <charset val="129"/>
    </font>
    <font>
      <b/>
      <sz val="12"/>
      <color theme="1"/>
      <name val="KT Flow Thin"/>
      <family val="3"/>
      <charset val="129"/>
    </font>
    <font>
      <sz val="11"/>
      <color theme="0" tint="-0.34998626667073579"/>
      <name val="KT Flow Thin"/>
      <family val="3"/>
      <charset val="129"/>
    </font>
    <font>
      <sz val="11"/>
      <color rgb="FF0000FF"/>
      <name val="KT Flow Thin"/>
      <family val="3"/>
      <charset val="129"/>
    </font>
    <font>
      <i/>
      <sz val="11"/>
      <color theme="1"/>
      <name val="KT Flow Thin"/>
      <family val="3"/>
      <charset val="129"/>
    </font>
    <font>
      <i/>
      <sz val="11"/>
      <color theme="0" tint="-0.34998626667073579"/>
      <name val="KT Flow Thin"/>
      <family val="3"/>
      <charset val="129"/>
    </font>
    <font>
      <sz val="9"/>
      <color theme="1"/>
      <name val="KT Flow Thin"/>
      <family val="3"/>
      <charset val="129"/>
    </font>
    <font>
      <b/>
      <sz val="9"/>
      <color theme="1"/>
      <name val="KT Flow Thin"/>
      <family val="3"/>
      <charset val="129"/>
    </font>
    <font>
      <sz val="11"/>
      <name val="KT Flow Thin"/>
      <family val="3"/>
      <charset val="129"/>
    </font>
    <font>
      <sz val="11"/>
      <color theme="0"/>
      <name val="KT Flow Thin"/>
      <family val="3"/>
      <charset val="129"/>
    </font>
    <font>
      <sz val="8.5"/>
      <color theme="1"/>
      <name val="KT Flow Thin"/>
      <family val="3"/>
      <charset val="129"/>
    </font>
    <font>
      <sz val="11"/>
      <color theme="0" tint="-0.499984740745262"/>
      <name val="KT Flow Thin"/>
      <family val="3"/>
      <charset val="129"/>
    </font>
    <font>
      <sz val="10"/>
      <color theme="1"/>
      <name val="KT Flow Thin"/>
      <family val="3"/>
      <charset val="129"/>
    </font>
    <font>
      <sz val="10"/>
      <name val="KT Flow Thin"/>
      <family val="3"/>
      <charset val="129"/>
    </font>
    <font>
      <b/>
      <sz val="10"/>
      <color theme="1"/>
      <name val="KT Flow Thin"/>
      <family val="3"/>
      <charset val="129"/>
    </font>
    <font>
      <i/>
      <sz val="10"/>
      <name val="KT Flow Thin"/>
      <family val="3"/>
      <charset val="129"/>
    </font>
    <font>
      <i/>
      <sz val="11"/>
      <color theme="0" tint="-0.14999847407452621"/>
      <name val="KT Flow Thin"/>
      <family val="3"/>
      <charset val="129"/>
    </font>
    <font>
      <i/>
      <sz val="10"/>
      <color theme="1"/>
      <name val="KT Flow Thin"/>
      <family val="3"/>
      <charset val="129"/>
    </font>
    <font>
      <sz val="10"/>
      <color theme="0" tint="-0.499984740745262"/>
      <name val="KT Flow Thin"/>
      <family val="3"/>
      <charset val="129"/>
    </font>
    <font>
      <sz val="8.4"/>
      <color theme="0" tint="-0.499984740745262"/>
      <name val="KT Flow Thin"/>
      <family val="3"/>
      <charset val="129"/>
    </font>
    <font>
      <b/>
      <sz val="9"/>
      <color theme="0"/>
      <name val="KT Flow Thin"/>
      <family val="3"/>
      <charset val="129"/>
    </font>
    <font>
      <sz val="20"/>
      <color theme="1"/>
      <name val="KT Flow Thin"/>
      <family val="3"/>
      <charset val="129"/>
    </font>
    <font>
      <sz val="9"/>
      <color theme="0"/>
      <name val="KT Flow Thin"/>
      <family val="3"/>
      <charset val="129"/>
    </font>
    <font>
      <sz val="10"/>
      <color theme="0"/>
      <name val="KT Flow Thin"/>
      <family val="3"/>
      <charset val="129"/>
    </font>
    <font>
      <b/>
      <sz val="11"/>
      <color indexed="8"/>
      <name val="KT Flow Thin"/>
      <family val="3"/>
      <charset val="129"/>
    </font>
    <font>
      <sz val="9"/>
      <color indexed="8"/>
      <name val="KT Flow Thin"/>
      <family val="3"/>
      <charset val="129"/>
    </font>
    <font>
      <b/>
      <sz val="10"/>
      <name val="KT Flow Thin"/>
      <family val="3"/>
      <charset val="129"/>
    </font>
    <font>
      <sz val="10"/>
      <color indexed="8"/>
      <name val="KT Flow Thin"/>
      <family val="3"/>
      <charset val="129"/>
    </font>
    <font>
      <i/>
      <sz val="10"/>
      <color theme="2" tint="-0.499984740745262"/>
      <name val="KT Flow Thin"/>
      <family val="3"/>
      <charset val="129"/>
    </font>
    <font>
      <b/>
      <sz val="10"/>
      <color theme="2" tint="-0.499984740745262"/>
      <name val="KT Flow Thin"/>
      <family val="3"/>
      <charset val="129"/>
    </font>
    <font>
      <sz val="10"/>
      <color theme="2" tint="-0.499984740745262"/>
      <name val="KT Flow Thin"/>
      <family val="3"/>
      <charset val="129"/>
    </font>
    <font>
      <b/>
      <sz val="10"/>
      <color indexed="8"/>
      <name val="KT Flow Thin"/>
      <family val="3"/>
      <charset val="129"/>
    </font>
    <font>
      <b/>
      <sz val="10"/>
      <color theme="0" tint="-0.499984740745262"/>
      <name val="KT Flow Thin"/>
      <family val="3"/>
      <charset val="129"/>
    </font>
    <font>
      <b/>
      <sz val="10"/>
      <color rgb="FFFF0000"/>
      <name val="KT Flow Thin"/>
      <family val="3"/>
      <charset val="129"/>
    </font>
    <font>
      <b/>
      <sz val="10"/>
      <color theme="0"/>
      <name val="KT Flow Thin"/>
      <family val="3"/>
      <charset val="129"/>
    </font>
    <font>
      <sz val="12"/>
      <color theme="0"/>
      <name val="KT Flow Thin"/>
      <family val="3"/>
      <charset val="129"/>
    </font>
    <font>
      <sz val="12"/>
      <name val="KT Flow Thin"/>
      <family val="3"/>
      <charset val="129"/>
    </font>
    <font>
      <sz val="12"/>
      <color rgb="FF000000"/>
      <name val="KT Flow Thin"/>
      <family val="3"/>
      <charset val="129"/>
    </font>
    <font>
      <b/>
      <sz val="11"/>
      <color rgb="FF000000"/>
      <name val="KT Flow Thin"/>
      <family val="3"/>
      <charset val="129"/>
    </font>
    <font>
      <b/>
      <sz val="11"/>
      <name val="KT Flow Thin"/>
      <family val="3"/>
      <charset val="129"/>
    </font>
    <font>
      <sz val="11"/>
      <color rgb="FFFF0000"/>
      <name val="KT Flow Thin"/>
      <family val="3"/>
      <charset val="129"/>
    </font>
    <font>
      <sz val="28"/>
      <color theme="0"/>
      <name val="KT Flow Thin"/>
      <family val="3"/>
      <charset val="129"/>
    </font>
    <font>
      <sz val="12"/>
      <color rgb="FFFF0000"/>
      <name val="KT Flow Thin"/>
      <family val="3"/>
      <charset val="129"/>
    </font>
    <font>
      <b/>
      <sz val="28"/>
      <color theme="0"/>
      <name val="KT Flow Thin"/>
      <family val="3"/>
      <charset val="129"/>
    </font>
    <font>
      <b/>
      <sz val="12"/>
      <color theme="0"/>
      <name val="KT Flow Thin"/>
      <family val="3"/>
      <charset val="129"/>
    </font>
    <font>
      <sz val="9"/>
      <name val="KT Flow Thin"/>
      <family val="3"/>
      <charset val="129"/>
    </font>
    <font>
      <i/>
      <sz val="9"/>
      <color theme="0"/>
      <name val="KT Flow Thin"/>
      <family val="3"/>
      <charset val="129"/>
    </font>
    <font>
      <i/>
      <sz val="9"/>
      <name val="KT Flow Thin"/>
      <family val="3"/>
      <charset val="129"/>
    </font>
    <font>
      <sz val="24"/>
      <color theme="0"/>
      <name val="KT Flow Thin"/>
      <family val="3"/>
      <charset val="129"/>
    </font>
    <font>
      <sz val="10"/>
      <color rgb="FFFF0000"/>
      <name val="KT Flow Thin"/>
      <family val="3"/>
      <charset val="129"/>
    </font>
    <font>
      <b/>
      <sz val="11"/>
      <color theme="1" tint="0.34998626667073579"/>
      <name val="KT Flow Thin"/>
      <family val="3"/>
      <charset val="129"/>
    </font>
    <font>
      <sz val="11"/>
      <color theme="1" tint="0.34998626667073579"/>
      <name val="KT Flow Thin"/>
      <family val="3"/>
      <charset val="129"/>
    </font>
    <font>
      <i/>
      <sz val="11"/>
      <color theme="1" tint="0.249977111117893"/>
      <name val="KT Flow Thin"/>
      <family val="3"/>
      <charset val="129"/>
    </font>
    <font>
      <b/>
      <sz val="16"/>
      <name val="KT Flow Thin"/>
      <family val="3"/>
      <charset val="129"/>
    </font>
    <font>
      <i/>
      <sz val="11"/>
      <color theme="4" tint="0.79998168889431442"/>
      <name val="KT Flow Thin"/>
      <family val="3"/>
      <charset val="129"/>
    </font>
    <font>
      <i/>
      <sz val="11"/>
      <color theme="4" tint="0.59999389629810485"/>
      <name val="KT Flow Thin"/>
      <family val="3"/>
      <charset val="129"/>
    </font>
    <font>
      <i/>
      <sz val="11"/>
      <color theme="4" tint="0.39997558519241921"/>
      <name val="KT Flow Thin"/>
      <family val="3"/>
      <charset val="129"/>
    </font>
    <font>
      <b/>
      <sz val="16"/>
      <color theme="1"/>
      <name val="KT Flow Thin"/>
      <family val="3"/>
      <charset val="129"/>
    </font>
    <font>
      <b/>
      <i/>
      <sz val="11"/>
      <color theme="0"/>
      <name val="KT Flow Thin"/>
      <family val="3"/>
      <charset val="129"/>
    </font>
    <font>
      <sz val="9.5"/>
      <color theme="0" tint="-4.9989318521683403E-2"/>
      <name val="KT Flow Thin"/>
      <family val="3"/>
      <charset val="129"/>
    </font>
    <font>
      <sz val="11"/>
      <color indexed="8"/>
      <name val="KT Flow Thin"/>
      <family val="3"/>
      <charset val="129"/>
    </font>
    <font>
      <sz val="10.5"/>
      <color theme="1"/>
      <name val="KT Flow Thin"/>
      <family val="3"/>
      <charset val="129"/>
    </font>
    <font>
      <sz val="9.5"/>
      <color theme="0" tint="-0.499984740745262"/>
      <name val="KT Flow Thin"/>
      <family val="3"/>
      <charset val="129"/>
    </font>
    <font>
      <sz val="9.5"/>
      <color theme="1"/>
      <name val="KT Flow Thin"/>
      <family val="3"/>
      <charset val="129"/>
    </font>
    <font>
      <i/>
      <sz val="10"/>
      <color rgb="FF000000"/>
      <name val="KT Flow Thin"/>
      <family val="3"/>
      <charset val="129"/>
    </font>
    <font>
      <sz val="11"/>
      <color rgb="FF000000"/>
      <name val="KT Flow Thin"/>
      <family val="3"/>
      <charset val="129"/>
    </font>
    <font>
      <sz val="8.5"/>
      <color theme="0" tint="-0.499984740745262"/>
      <name val="KT Flow Thin"/>
      <family val="3"/>
      <charset val="129"/>
    </font>
    <font>
      <sz val="24"/>
      <color theme="1"/>
      <name val="KT Flow Bold"/>
      <family val="3"/>
      <charset val="129"/>
    </font>
    <font>
      <b/>
      <sz val="11"/>
      <color theme="1"/>
      <name val="KT Flow Bold"/>
      <family val="3"/>
      <charset val="129"/>
    </font>
    <font>
      <sz val="11"/>
      <color theme="1"/>
      <name val="KT Flow Bold"/>
      <family val="3"/>
      <charset val="129"/>
    </font>
    <font>
      <sz val="11"/>
      <color rgb="FFFF0000"/>
      <name val="KT Flow Bold"/>
      <family val="3"/>
      <charset val="129"/>
    </font>
    <font>
      <sz val="28"/>
      <color theme="1"/>
      <name val="KT Flow Bold"/>
      <family val="3"/>
      <charset val="129"/>
    </font>
    <font>
      <sz val="26"/>
      <color theme="1"/>
      <name val="KT Flow Bold"/>
      <family val="3"/>
      <charset val="129"/>
    </font>
    <font>
      <sz val="11"/>
      <color theme="0"/>
      <name val="KT Flow Bold"/>
      <family val="3"/>
      <charset val="129"/>
    </font>
    <font>
      <sz val="8"/>
      <color theme="1" tint="0.499984740745262"/>
      <name val="KT Flow Thin"/>
      <family val="3"/>
      <charset val="129"/>
    </font>
    <font>
      <sz val="28"/>
      <color theme="1"/>
      <name val="KT Flow Medium"/>
      <family val="3"/>
      <charset val="129"/>
    </font>
    <font>
      <b/>
      <sz val="28"/>
      <color theme="1"/>
      <name val="KT Flow Medium"/>
      <family val="3"/>
      <charset val="129"/>
    </font>
    <font>
      <sz val="18"/>
      <color theme="1"/>
      <name val="KT Flow Thin"/>
      <family val="3"/>
      <charset val="129"/>
    </font>
    <font>
      <sz val="18"/>
      <name val="KT Flow Thin"/>
      <family val="3"/>
      <charset val="129"/>
    </font>
    <font>
      <sz val="14"/>
      <color theme="1"/>
      <name val="KT Flow Thin"/>
      <family val="3"/>
      <charset val="129"/>
    </font>
    <font>
      <sz val="12"/>
      <color theme="1" tint="0.499984740745262"/>
      <name val="KT Flow Thin"/>
      <family val="3"/>
      <charset val="129"/>
    </font>
    <font>
      <b/>
      <sz val="14"/>
      <color rgb="FFFF0000"/>
      <name val="KT Flow Thin"/>
      <family val="3"/>
      <charset val="129"/>
    </font>
    <font>
      <sz val="16"/>
      <name val="KT Flow Thin"/>
      <family val="3"/>
      <charset val="129"/>
    </font>
    <font>
      <sz val="18"/>
      <color theme="1" tint="0.499984740745262"/>
      <name val="KT Flow Thin"/>
      <family val="3"/>
      <charset val="129"/>
    </font>
    <font>
      <sz val="26"/>
      <color theme="1"/>
      <name val="KT Flow Medium"/>
      <family val="3"/>
      <charset val="129"/>
    </font>
    <font>
      <sz val="18"/>
      <color theme="1"/>
      <name val="KT Flow Medium"/>
      <family val="3"/>
      <charset val="129"/>
    </font>
    <font>
      <sz val="18"/>
      <name val="KT Flow Medium"/>
      <family val="3"/>
      <charset val="129"/>
    </font>
    <font>
      <b/>
      <sz val="20"/>
      <color theme="1"/>
      <name val="KT Flow Thin"/>
      <family val="3"/>
      <charset val="129"/>
    </font>
    <font>
      <sz val="24"/>
      <color theme="1"/>
      <name val="KT Flow Medium"/>
      <family val="3"/>
      <charset val="129"/>
    </font>
    <font>
      <sz val="11"/>
      <color theme="1"/>
      <name val="나눔스퀘어OTF Bold"/>
      <family val="2"/>
      <charset val="129"/>
    </font>
    <font>
      <b/>
      <sz val="14"/>
      <color rgb="FF0D37D1"/>
      <name val="KT Flow Medium"/>
      <family val="3"/>
      <charset val="129"/>
    </font>
    <font>
      <i/>
      <sz val="11"/>
      <color theme="2" tint="-0.499984740745262"/>
      <name val="KT Flow Thin"/>
      <family val="3"/>
      <charset val="129"/>
    </font>
    <font>
      <b/>
      <sz val="11"/>
      <color theme="2" tint="-0.499984740745262"/>
      <name val="KT Flow Thin"/>
      <family val="3"/>
      <charset val="129"/>
    </font>
    <font>
      <sz val="10"/>
      <color rgb="FF808080"/>
      <name val="KT Flow Thin"/>
      <family val="3"/>
      <charset val="129"/>
    </font>
    <font>
      <sz val="11"/>
      <color theme="2" tint="-0.499984740745262"/>
      <name val="KT Flow Thin"/>
      <family val="3"/>
      <charset val="129"/>
    </font>
    <font>
      <sz val="10"/>
      <color rgb="FF757171"/>
      <name val="KT Flow Thin"/>
      <family val="3"/>
      <charset val="129"/>
    </font>
    <font>
      <sz val="11"/>
      <color rgb="FFA6A6A6"/>
      <name val="KT Flow Thin"/>
      <family val="3"/>
      <charset val="129"/>
    </font>
    <font>
      <i/>
      <sz val="11"/>
      <color rgb="FF000000"/>
      <name val="KT Flow Thin"/>
      <family val="3"/>
      <charset val="129"/>
    </font>
    <font>
      <sz val="9"/>
      <color theme="0" tint="-0.34998626667073579"/>
      <name val="KT Flow Thin"/>
      <family val="3"/>
      <charset val="129"/>
    </font>
    <font>
      <i/>
      <sz val="11"/>
      <color rgb="FF0000FF"/>
      <name val="KT Flow Thin"/>
      <family val="3"/>
      <charset val="129"/>
    </font>
  </fonts>
  <fills count="8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theme="1" tint="0.499984740745262"/>
      </patternFill>
    </fill>
    <fill>
      <patternFill patternType="gray0625">
        <bgColor theme="5" tint="0.79998168889431442"/>
      </patternFill>
    </fill>
    <fill>
      <patternFill patternType="solid">
        <fgColor rgb="FFEBFFEB"/>
        <bgColor indexed="64"/>
      </patternFill>
    </fill>
    <fill>
      <patternFill patternType="gray0625">
        <bgColor theme="1"/>
      </patternFill>
    </fill>
    <fill>
      <patternFill patternType="gray0625">
        <bgColor theme="1" tint="0.249977111117893"/>
      </patternFill>
    </fill>
    <fill>
      <patternFill patternType="gray0625">
        <bgColor theme="6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Up">
        <fgColor theme="0" tint="-0.34998626667073579"/>
        <bgColor theme="1" tint="0.499984740745262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D966"/>
        <bgColor rgb="FF000000"/>
      </patternFill>
    </fill>
    <fill>
      <patternFill patternType="lightUp">
        <fgColor theme="0" tint="-0.34998626667073579"/>
        <bgColor theme="0" tint="-0.499984740745262"/>
      </patternFill>
    </fill>
    <fill>
      <patternFill patternType="solid">
        <fgColor rgb="FFD6DCE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rgb="FFB4C6E7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1F7E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1F7ED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2F8E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lightUp">
        <fgColor theme="0" tint="-0.34998626667073579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darkUp">
        <fgColor theme="0" tint="-0.34998626667073579"/>
        <bgColor theme="0"/>
      </patternFill>
    </fill>
    <fill>
      <patternFill patternType="solid">
        <fgColor theme="9" tint="0.79992065187536243"/>
        <bgColor theme="0" tint="-0.34998626667073579"/>
      </patternFill>
    </fill>
    <fill>
      <patternFill patternType="darkUp">
        <fgColor theme="0" tint="-0.2499465926084170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lightUp">
        <fgColor theme="0" tint="-0.24994659260841701"/>
        <bgColor theme="9" tint="0.79998168889431442"/>
      </patternFill>
    </fill>
    <fill>
      <patternFill patternType="lightUp">
        <fgColor theme="0" tint="-0.24994659260841701"/>
        <bgColor indexed="65"/>
      </patternFill>
    </fill>
  </fills>
  <borders count="1327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theme="8" tint="-0.249977111117893"/>
      </top>
      <bottom/>
      <diagonal/>
    </border>
    <border>
      <left style="medium">
        <color rgb="FFFF0000"/>
      </left>
      <right style="medium">
        <color rgb="FFFF0000"/>
      </right>
      <top style="medium">
        <color theme="8" tint="-0.249977111117893"/>
      </top>
      <bottom/>
      <diagonal/>
    </border>
    <border>
      <left/>
      <right/>
      <top/>
      <bottom style="medium">
        <color theme="8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 style="medium">
        <color theme="8" tint="-0.249977111117893"/>
      </top>
      <bottom/>
      <diagonal/>
    </border>
    <border>
      <left/>
      <right style="medium">
        <color theme="2" tint="-0.249977111117893"/>
      </right>
      <top style="medium">
        <color theme="8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/>
      <right style="medium">
        <color theme="2" tint="-0.249977111117893"/>
      </right>
      <top/>
      <bottom style="medium">
        <color theme="8" tint="-0.249977111117893"/>
      </bottom>
      <diagonal/>
    </border>
    <border>
      <left/>
      <right/>
      <top style="medium">
        <color theme="2" tint="-0.249977111117893"/>
      </top>
      <bottom/>
      <diagonal/>
    </border>
    <border>
      <left/>
      <right/>
      <top/>
      <bottom style="medium">
        <color theme="2" tint="-0.249977111117893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/>
      <right/>
      <top/>
      <bottom style="medium">
        <color theme="8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8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theme="8" tint="-0.24994659260841701"/>
      </top>
      <bottom/>
      <diagonal/>
    </border>
    <border>
      <left/>
      <right/>
      <top style="thin">
        <color theme="2" tint="-0.249977111117893"/>
      </top>
      <bottom/>
      <diagonal/>
    </border>
    <border>
      <left style="medium">
        <color rgb="FFFF0000"/>
      </left>
      <right style="medium">
        <color rgb="FFFF0000"/>
      </right>
      <top style="thin">
        <color theme="2" tint="-0.249977111117893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theme="2" tint="-0.249977111117893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theme="2" tint="-0.249977111117893"/>
      </bottom>
      <diagonal/>
    </border>
    <border>
      <left/>
      <right/>
      <top style="thin">
        <color theme="9" tint="-0.24994659260841701"/>
      </top>
      <bottom/>
      <diagonal/>
    </border>
    <border>
      <left/>
      <right/>
      <top/>
      <bottom style="thin">
        <color theme="9" tint="-0.24994659260841701"/>
      </bottom>
      <diagonal/>
    </border>
    <border>
      <left style="medium">
        <color rgb="FFFF0000"/>
      </left>
      <right style="medium">
        <color rgb="FFFF0000"/>
      </right>
      <top/>
      <bottom style="thin">
        <color theme="9" tint="-0.24994659260841701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rgb="FFFF0000"/>
      </left>
      <right style="medium">
        <color rgb="FFFF0000"/>
      </right>
      <top style="medium">
        <color theme="9" tint="-0.24994659260841701"/>
      </top>
      <bottom/>
      <diagonal/>
    </border>
    <border>
      <left/>
      <right/>
      <top/>
      <bottom style="medium">
        <color theme="9" tint="-0.24994659260841701"/>
      </bottom>
      <diagonal/>
    </border>
    <border>
      <left/>
      <right/>
      <top/>
      <bottom style="thin">
        <color theme="8" tint="-0.249977111117893"/>
      </bottom>
      <diagonal/>
    </border>
    <border>
      <left style="medium">
        <color theme="2" tint="-0.249977111117893"/>
      </left>
      <right/>
      <top/>
      <bottom style="thin">
        <color theme="8" tint="-0.249977111117893"/>
      </bottom>
      <diagonal/>
    </border>
    <border>
      <left style="medium">
        <color rgb="FFFF0000"/>
      </left>
      <right style="medium">
        <color rgb="FFFF0000"/>
      </right>
      <top/>
      <bottom style="thin">
        <color theme="8" tint="-0.249977111117893"/>
      </bottom>
      <diagonal/>
    </border>
    <border>
      <left/>
      <right style="thin">
        <color theme="2" tint="-0.24994659260841701"/>
      </right>
      <top/>
      <bottom/>
      <diagonal/>
    </border>
    <border>
      <left/>
      <right style="thin">
        <color theme="2" tint="-0.24994659260841701"/>
      </right>
      <top/>
      <bottom style="medium">
        <color theme="8" tint="-0.249977111117893"/>
      </bottom>
      <diagonal/>
    </border>
    <border>
      <left/>
      <right style="thin">
        <color theme="2" tint="-0.24994659260841701"/>
      </right>
      <top style="medium">
        <color theme="8" tint="-0.249977111117893"/>
      </top>
      <bottom/>
      <diagonal/>
    </border>
    <border>
      <left style="thin">
        <color theme="2" tint="-0.24994659260841701"/>
      </left>
      <right/>
      <top/>
      <bottom style="medium">
        <color theme="8" tint="-0.249977111117893"/>
      </bottom>
      <diagonal/>
    </border>
    <border>
      <left/>
      <right style="medium">
        <color theme="2" tint="-0.24994659260841701"/>
      </right>
      <top/>
      <bottom style="medium">
        <color theme="8" tint="-0.249977111117893"/>
      </bottom>
      <diagonal/>
    </border>
    <border>
      <left style="thin">
        <color theme="2" tint="-0.24994659260841701"/>
      </left>
      <right/>
      <top style="medium">
        <color theme="8" tint="-0.249977111117893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medium">
        <color theme="2" tint="-0.24994659260841701"/>
      </right>
      <top/>
      <bottom/>
      <diagonal/>
    </border>
    <border>
      <left style="medium">
        <color theme="2" tint="-0.249977111117893"/>
      </left>
      <right/>
      <top/>
      <bottom style="medium">
        <color theme="8" tint="-0.249977111117893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8" tint="-0.249977111117893"/>
      </bottom>
      <diagonal/>
    </border>
    <border>
      <left style="medium">
        <color theme="2" tint="-0.249977111117893"/>
      </left>
      <right/>
      <top style="medium">
        <color theme="9" tint="-0.24994659260841701"/>
      </top>
      <bottom/>
      <diagonal/>
    </border>
    <border>
      <left style="thin">
        <color theme="2" tint="-0.24994659260841701"/>
      </left>
      <right/>
      <top style="medium">
        <color theme="9" tint="-0.24994659260841701"/>
      </top>
      <bottom/>
      <diagonal/>
    </border>
    <border>
      <left style="medium">
        <color theme="2" tint="-0.249977111117893"/>
      </left>
      <right/>
      <top/>
      <bottom style="medium">
        <color theme="9" tint="-0.24994659260841701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9" tint="-0.24994659260841701"/>
      </bottom>
      <diagonal/>
    </border>
    <border>
      <left style="thin">
        <color theme="2" tint="-0.24994659260841701"/>
      </left>
      <right/>
      <top/>
      <bottom style="medium">
        <color theme="9" tint="-0.24994659260841701"/>
      </bottom>
      <diagonal/>
    </border>
    <border>
      <left style="thin">
        <color theme="8" tint="-0.249977111117893"/>
      </left>
      <right/>
      <top/>
      <bottom style="thin">
        <color theme="9" tint="-0.24994659260841701"/>
      </bottom>
      <diagonal/>
    </border>
    <border>
      <left style="medium">
        <color theme="2" tint="-0.249977111117893"/>
      </left>
      <right/>
      <top/>
      <bottom style="thin">
        <color theme="9" tint="-0.24994659260841701"/>
      </bottom>
      <diagonal/>
    </border>
    <border>
      <left style="thin">
        <color theme="2" tint="-0.24994659260841701"/>
      </left>
      <right/>
      <top/>
      <bottom style="thin">
        <color theme="9" tint="-0.24994659260841701"/>
      </bottom>
      <diagonal/>
    </border>
    <border>
      <left/>
      <right/>
      <top style="medium">
        <color theme="7" tint="-0.24994659260841701"/>
      </top>
      <bottom/>
      <diagonal/>
    </border>
    <border>
      <left style="medium">
        <color theme="2" tint="-0.249977111117893"/>
      </left>
      <right/>
      <top style="medium">
        <color theme="7" tint="-0.24994659260841701"/>
      </top>
      <bottom/>
      <diagonal/>
    </border>
    <border>
      <left style="medium">
        <color rgb="FFFF0000"/>
      </left>
      <right style="medium">
        <color rgb="FFFF0000"/>
      </right>
      <top style="medium">
        <color theme="7" tint="-0.24994659260841701"/>
      </top>
      <bottom/>
      <diagonal/>
    </border>
    <border>
      <left style="thin">
        <color theme="2" tint="-0.24994659260841701"/>
      </left>
      <right/>
      <top style="medium">
        <color theme="7" tint="-0.24994659260841701"/>
      </top>
      <bottom/>
      <diagonal/>
    </border>
    <border>
      <left/>
      <right style="medium">
        <color theme="2" tint="-0.249977111117893"/>
      </right>
      <top style="medium">
        <color theme="7" tint="-0.24994659260841701"/>
      </top>
      <bottom/>
      <diagonal/>
    </border>
    <border>
      <left/>
      <right/>
      <top/>
      <bottom style="medium">
        <color theme="7" tint="-0.24994659260841701"/>
      </bottom>
      <diagonal/>
    </border>
    <border>
      <left style="medium">
        <color theme="2" tint="-0.249977111117893"/>
      </left>
      <right/>
      <top/>
      <bottom style="medium">
        <color theme="7" tint="-0.24994659260841701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7" tint="-0.24994659260841701"/>
      </bottom>
      <diagonal/>
    </border>
    <border>
      <left style="thin">
        <color theme="2" tint="-0.24994659260841701"/>
      </left>
      <right/>
      <top/>
      <bottom style="medium">
        <color theme="7" tint="-0.24994659260841701"/>
      </bottom>
      <diagonal/>
    </border>
    <border>
      <left/>
      <right style="medium">
        <color theme="2" tint="-0.249977111117893"/>
      </right>
      <top/>
      <bottom style="medium">
        <color theme="7" tint="-0.24994659260841701"/>
      </bottom>
      <diagonal/>
    </border>
    <border>
      <left/>
      <right/>
      <top style="thin">
        <color theme="8" tint="-0.249977111117893"/>
      </top>
      <bottom/>
      <diagonal/>
    </border>
    <border>
      <left style="medium">
        <color theme="2" tint="-0.249977111117893"/>
      </left>
      <right/>
      <top style="thin">
        <color theme="8" tint="-0.249977111117893"/>
      </top>
      <bottom/>
      <diagonal/>
    </border>
    <border>
      <left style="medium">
        <color rgb="FFFF0000"/>
      </left>
      <right style="medium">
        <color rgb="FFFF0000"/>
      </right>
      <top style="thin">
        <color theme="8" tint="-0.249977111117893"/>
      </top>
      <bottom/>
      <diagonal/>
    </border>
    <border>
      <left style="thin">
        <color theme="2" tint="-0.24994659260841701"/>
      </left>
      <right/>
      <top style="thin">
        <color theme="8" tint="-0.249977111117893"/>
      </top>
      <bottom/>
      <diagonal/>
    </border>
    <border>
      <left style="thin">
        <color theme="2" tint="-0.24994659260841701"/>
      </left>
      <right/>
      <top/>
      <bottom style="thin">
        <color theme="8" tint="-0.249977111117893"/>
      </bottom>
      <diagonal/>
    </border>
    <border>
      <left style="thin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 style="thin">
        <color theme="9" tint="-0.24994659260841701"/>
      </left>
      <right/>
      <top/>
      <bottom style="medium">
        <color theme="9" tint="-0.24994659260841701"/>
      </bottom>
      <diagonal/>
    </border>
    <border>
      <left/>
      <right/>
      <top style="thin">
        <color theme="7" tint="-0.24994659260841701"/>
      </top>
      <bottom/>
      <diagonal/>
    </border>
    <border>
      <left style="medium">
        <color theme="2" tint="-0.249977111117893"/>
      </left>
      <right/>
      <top style="thin">
        <color theme="7" tint="-0.24994659260841701"/>
      </top>
      <bottom/>
      <diagonal/>
    </border>
    <border>
      <left style="medium">
        <color rgb="FFFF0000"/>
      </left>
      <right style="medium">
        <color rgb="FFFF0000"/>
      </right>
      <top style="thin">
        <color theme="7" tint="-0.24994659260841701"/>
      </top>
      <bottom/>
      <diagonal/>
    </border>
    <border>
      <left style="thin">
        <color theme="2" tint="-0.24994659260841701"/>
      </left>
      <right/>
      <top style="thin">
        <color theme="7" tint="-0.24994659260841701"/>
      </top>
      <bottom/>
      <diagonal/>
    </border>
    <border>
      <left/>
      <right style="medium">
        <color theme="2" tint="-0.249977111117893"/>
      </right>
      <top style="thin">
        <color theme="7" tint="-0.24994659260841701"/>
      </top>
      <bottom/>
      <diagonal/>
    </border>
    <border>
      <left/>
      <right/>
      <top style="hair">
        <color theme="7" tint="-0.24994659260841701"/>
      </top>
      <bottom/>
      <diagonal/>
    </border>
    <border>
      <left style="medium">
        <color theme="2" tint="-0.249977111117893"/>
      </left>
      <right/>
      <top style="hair">
        <color theme="7" tint="-0.24994659260841701"/>
      </top>
      <bottom/>
      <diagonal/>
    </border>
    <border>
      <left style="medium">
        <color rgb="FFFF0000"/>
      </left>
      <right style="medium">
        <color rgb="FFFF0000"/>
      </right>
      <top style="hair">
        <color theme="7" tint="-0.24994659260841701"/>
      </top>
      <bottom/>
      <diagonal/>
    </border>
    <border>
      <left style="thin">
        <color theme="2" tint="-0.24994659260841701"/>
      </left>
      <right/>
      <top style="hair">
        <color theme="7" tint="-0.24994659260841701"/>
      </top>
      <bottom/>
      <diagonal/>
    </border>
    <border>
      <left style="thin">
        <color theme="8" tint="-0.249977111117893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 style="medium">
        <color theme="8" tint="-0.249977111117893"/>
      </top>
      <bottom/>
      <diagonal/>
    </border>
    <border>
      <left/>
      <right style="medium">
        <color rgb="FFFF0000"/>
      </right>
      <top style="thin">
        <color theme="8" tint="-0.249977111117893"/>
      </top>
      <bottom/>
      <diagonal/>
    </border>
    <border>
      <left/>
      <right style="medium">
        <color rgb="FFFF0000"/>
      </right>
      <top/>
      <bottom style="thin">
        <color theme="8" tint="-0.249977111117893"/>
      </bottom>
      <diagonal/>
    </border>
    <border>
      <left/>
      <right style="medium">
        <color rgb="FFFF0000"/>
      </right>
      <top/>
      <bottom style="medium">
        <color theme="8" tint="-0.249977111117893"/>
      </bottom>
      <diagonal/>
    </border>
    <border>
      <left/>
      <right style="medium">
        <color rgb="FFFF0000"/>
      </right>
      <top style="medium">
        <color theme="9" tint="-0.24994659260841701"/>
      </top>
      <bottom/>
      <diagonal/>
    </border>
    <border>
      <left/>
      <right style="medium">
        <color rgb="FFFF0000"/>
      </right>
      <top/>
      <bottom style="medium">
        <color theme="9" tint="-0.24994659260841701"/>
      </bottom>
      <diagonal/>
    </border>
    <border>
      <left/>
      <right style="medium">
        <color rgb="FFFF0000"/>
      </right>
      <top/>
      <bottom style="thin">
        <color theme="9" tint="-0.24994659260841701"/>
      </bottom>
      <diagonal/>
    </border>
    <border>
      <left/>
      <right style="medium">
        <color rgb="FFFF0000"/>
      </right>
      <top style="medium">
        <color theme="7" tint="-0.24994659260841701"/>
      </top>
      <bottom/>
      <diagonal/>
    </border>
    <border>
      <left/>
      <right style="medium">
        <color rgb="FFFF0000"/>
      </right>
      <top style="hair">
        <color theme="7" tint="-0.24994659260841701"/>
      </top>
      <bottom/>
      <diagonal/>
    </border>
    <border>
      <left/>
      <right style="medium">
        <color rgb="FFFF0000"/>
      </right>
      <top/>
      <bottom style="medium">
        <color theme="7" tint="-0.24994659260841701"/>
      </bottom>
      <diagonal/>
    </border>
    <border>
      <left style="thin">
        <color theme="2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thin">
        <color theme="2" tint="-0.24994659260841701"/>
      </left>
      <right/>
      <top/>
      <bottom style="medium">
        <color theme="8" tint="-0.24994659260841701"/>
      </bottom>
      <diagonal/>
    </border>
    <border>
      <left style="thin">
        <color theme="2" tint="-0.24994659260841701"/>
      </left>
      <right/>
      <top style="thin">
        <color theme="2" tint="-0.249977111117893"/>
      </top>
      <bottom/>
      <diagonal/>
    </border>
    <border>
      <left style="thin">
        <color theme="2" tint="-0.24994659260841701"/>
      </left>
      <right/>
      <top/>
      <bottom style="thin">
        <color theme="0" tint="-0.24994659260841701"/>
      </bottom>
      <diagonal/>
    </border>
    <border>
      <left style="thin">
        <color theme="2" tint="-0.24994659260841701"/>
      </left>
      <right/>
      <top style="thin">
        <color theme="9" tint="-0.24994659260841701"/>
      </top>
      <bottom/>
      <diagonal/>
    </border>
    <border>
      <left style="thin">
        <color theme="2" tint="-0.24994659260841701"/>
      </left>
      <right/>
      <top style="medium">
        <color theme="2" tint="-0.249977111117893"/>
      </top>
      <bottom/>
      <diagonal/>
    </border>
    <border>
      <left style="thin">
        <color theme="2" tint="-0.24994659260841701"/>
      </left>
      <right/>
      <top/>
      <bottom style="medium">
        <color theme="2" tint="-0.249977111117893"/>
      </bottom>
      <diagonal/>
    </border>
    <border>
      <left/>
      <right/>
      <top/>
      <bottom style="thin">
        <color theme="8" tint="-0.24994659260841701"/>
      </bottom>
      <diagonal/>
    </border>
    <border>
      <left style="medium">
        <color theme="2" tint="-0.249977111117893"/>
      </left>
      <right/>
      <top/>
      <bottom style="thin">
        <color theme="8" tint="-0.24994659260841701"/>
      </bottom>
      <diagonal/>
    </border>
    <border>
      <left style="medium">
        <color rgb="FFFF0000"/>
      </left>
      <right style="medium">
        <color rgb="FFFF0000"/>
      </right>
      <top/>
      <bottom style="thin">
        <color theme="8" tint="-0.24994659260841701"/>
      </bottom>
      <diagonal/>
    </border>
    <border>
      <left style="thin">
        <color theme="2" tint="-0.24994659260841701"/>
      </left>
      <right/>
      <top/>
      <bottom style="thin">
        <color theme="8" tint="-0.24994659260841701"/>
      </bottom>
      <diagonal/>
    </border>
    <border>
      <left/>
      <right style="medium">
        <color rgb="FFFF0000"/>
      </right>
      <top/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/>
      <diagonal/>
    </border>
    <border>
      <left/>
      <right style="medium">
        <color theme="2" tint="-0.249977111117893"/>
      </right>
      <top style="thin">
        <color theme="8" tint="-0.24994659260841701"/>
      </top>
      <bottom/>
      <diagonal/>
    </border>
    <border>
      <left style="medium">
        <color theme="2" tint="-0.249977111117893"/>
      </left>
      <right/>
      <top style="thin">
        <color theme="8" tint="-0.24994659260841701"/>
      </top>
      <bottom/>
      <diagonal/>
    </border>
    <border>
      <left style="medium">
        <color rgb="FFFF0000"/>
      </left>
      <right style="medium">
        <color rgb="FFFF0000"/>
      </right>
      <top style="thin">
        <color theme="8" tint="-0.24994659260841701"/>
      </top>
      <bottom/>
      <diagonal/>
    </border>
    <border>
      <left style="thin">
        <color theme="2" tint="-0.24994659260841701"/>
      </left>
      <right/>
      <top style="thin">
        <color theme="8" tint="-0.24994659260841701"/>
      </top>
      <bottom/>
      <diagonal/>
    </border>
    <border>
      <left/>
      <right style="medium">
        <color rgb="FFFF0000"/>
      </right>
      <top style="thin">
        <color theme="8" tint="-0.24994659260841701"/>
      </top>
      <bottom/>
      <diagonal/>
    </border>
    <border>
      <left style="medium">
        <color theme="2" tint="-0.249977111117893"/>
      </left>
      <right/>
      <top/>
      <bottom style="medium">
        <color theme="8" tint="-0.24994659260841701"/>
      </bottom>
      <diagonal/>
    </border>
    <border>
      <left/>
      <right/>
      <top/>
      <bottom style="thin">
        <color theme="7" tint="-0.24994659260841701"/>
      </bottom>
      <diagonal/>
    </border>
    <border>
      <left/>
      <right style="medium">
        <color theme="2" tint="-0.249977111117893"/>
      </right>
      <top/>
      <bottom style="thin">
        <color theme="7" tint="-0.24994659260841701"/>
      </bottom>
      <diagonal/>
    </border>
    <border>
      <left style="medium">
        <color theme="2" tint="-0.249977111117893"/>
      </left>
      <right/>
      <top/>
      <bottom style="thin">
        <color theme="7" tint="-0.24994659260841701"/>
      </bottom>
      <diagonal/>
    </border>
    <border>
      <left style="medium">
        <color rgb="FFFF0000"/>
      </left>
      <right style="medium">
        <color rgb="FFFF0000"/>
      </right>
      <top/>
      <bottom style="thin">
        <color theme="7" tint="-0.24994659260841701"/>
      </bottom>
      <diagonal/>
    </border>
    <border>
      <left style="thin">
        <color theme="2" tint="-0.24994659260841701"/>
      </left>
      <right/>
      <top/>
      <bottom style="thin">
        <color theme="7" tint="-0.24994659260841701"/>
      </bottom>
      <diagonal/>
    </border>
    <border>
      <left/>
      <right style="medium">
        <color rgb="FFFF0000"/>
      </right>
      <top/>
      <bottom style="thin">
        <color theme="7" tint="-0.24994659260841701"/>
      </bottom>
      <diagonal/>
    </border>
    <border>
      <left/>
      <right style="medium">
        <color rgb="FFFF0000"/>
      </right>
      <top style="thin">
        <color theme="7" tint="-0.24994659260841701"/>
      </top>
      <bottom/>
      <diagonal/>
    </border>
    <border>
      <left/>
      <right/>
      <top style="dotted">
        <color theme="7" tint="-0.24994659260841701"/>
      </top>
      <bottom/>
      <diagonal/>
    </border>
    <border>
      <left/>
      <right style="medium">
        <color theme="2" tint="-0.249977111117893"/>
      </right>
      <top style="dotted">
        <color theme="7" tint="-0.24994659260841701"/>
      </top>
      <bottom/>
      <diagonal/>
    </border>
    <border>
      <left style="medium">
        <color theme="2" tint="-0.249977111117893"/>
      </left>
      <right/>
      <top style="dotted">
        <color theme="7" tint="-0.24994659260841701"/>
      </top>
      <bottom/>
      <diagonal/>
    </border>
    <border>
      <left style="medium">
        <color rgb="FFFF0000"/>
      </left>
      <right style="medium">
        <color rgb="FFFF0000"/>
      </right>
      <top style="dotted">
        <color theme="7" tint="-0.24994659260841701"/>
      </top>
      <bottom/>
      <diagonal/>
    </border>
    <border>
      <left style="thin">
        <color theme="2" tint="-0.24994659260841701"/>
      </left>
      <right/>
      <top style="dotted">
        <color theme="7" tint="-0.24994659260841701"/>
      </top>
      <bottom/>
      <diagonal/>
    </border>
    <border>
      <left/>
      <right style="medium">
        <color rgb="FFFF0000"/>
      </right>
      <top style="dotted">
        <color theme="7" tint="-0.24994659260841701"/>
      </top>
      <bottom/>
      <diagonal/>
    </border>
    <border>
      <left/>
      <right/>
      <top/>
      <bottom style="dotted">
        <color theme="7" tint="-0.24994659260841701"/>
      </bottom>
      <diagonal/>
    </border>
    <border>
      <left/>
      <right style="medium">
        <color theme="2" tint="-0.249977111117893"/>
      </right>
      <top/>
      <bottom style="dotted">
        <color theme="7" tint="-0.24994659260841701"/>
      </bottom>
      <diagonal/>
    </border>
    <border>
      <left style="medium">
        <color theme="2" tint="-0.249977111117893"/>
      </left>
      <right/>
      <top/>
      <bottom style="dotted">
        <color theme="7" tint="-0.24994659260841701"/>
      </bottom>
      <diagonal/>
    </border>
    <border>
      <left style="medium">
        <color rgb="FFFF0000"/>
      </left>
      <right style="medium">
        <color rgb="FFFF0000"/>
      </right>
      <top/>
      <bottom style="dotted">
        <color theme="7" tint="-0.24994659260841701"/>
      </bottom>
      <diagonal/>
    </border>
    <border>
      <left style="thin">
        <color theme="2" tint="-0.24994659260841701"/>
      </left>
      <right/>
      <top/>
      <bottom style="dotted">
        <color theme="7" tint="-0.24994659260841701"/>
      </bottom>
      <diagonal/>
    </border>
    <border>
      <left/>
      <right style="medium">
        <color rgb="FFFF0000"/>
      </right>
      <top/>
      <bottom style="dotted">
        <color theme="7" tint="-0.24994659260841701"/>
      </bottom>
      <diagonal/>
    </border>
    <border>
      <left/>
      <right/>
      <top style="medium">
        <color theme="8" tint="-0.249977111117893"/>
      </top>
      <bottom style="thin">
        <color theme="8" tint="-0.249977111117893"/>
      </bottom>
      <diagonal/>
    </border>
    <border>
      <left/>
      <right/>
      <top style="dotted">
        <color theme="8" tint="-0.24994659260841701"/>
      </top>
      <bottom/>
      <diagonal/>
    </border>
    <border>
      <left style="medium">
        <color theme="2" tint="-0.249977111117893"/>
      </left>
      <right/>
      <top style="dotted">
        <color theme="8" tint="-0.24994659260841701"/>
      </top>
      <bottom/>
      <diagonal/>
    </border>
    <border>
      <left style="medium">
        <color rgb="FFFF0000"/>
      </left>
      <right style="medium">
        <color rgb="FFFF0000"/>
      </right>
      <top style="dotted">
        <color theme="8" tint="-0.24994659260841701"/>
      </top>
      <bottom/>
      <diagonal/>
    </border>
    <border>
      <left style="thin">
        <color theme="2" tint="-0.24994659260841701"/>
      </left>
      <right/>
      <top style="dotted">
        <color theme="8" tint="-0.24994659260841701"/>
      </top>
      <bottom/>
      <diagonal/>
    </border>
    <border>
      <left/>
      <right style="medium">
        <color rgb="FFFF0000"/>
      </right>
      <top style="dotted">
        <color theme="8" tint="-0.24994659260841701"/>
      </top>
      <bottom/>
      <diagonal/>
    </border>
    <border>
      <left style="thin">
        <color theme="7" tint="-0.24994659260841701"/>
      </left>
      <right/>
      <top style="medium">
        <color theme="7" tint="-0.24994659260841701"/>
      </top>
      <bottom/>
      <diagonal/>
    </border>
    <border>
      <left style="thin">
        <color theme="7" tint="-0.24994659260841701"/>
      </left>
      <right/>
      <top/>
      <bottom/>
      <diagonal/>
    </border>
    <border>
      <left style="thin">
        <color theme="7" tint="-0.24994659260841701"/>
      </left>
      <right/>
      <top/>
      <bottom style="dotted">
        <color theme="7" tint="-0.24994659260841701"/>
      </bottom>
      <diagonal/>
    </border>
    <border>
      <left style="thin">
        <color theme="7" tint="-0.24994659260841701"/>
      </left>
      <right/>
      <top/>
      <bottom style="thin">
        <color theme="7" tint="-0.24994659260841701"/>
      </bottom>
      <diagonal/>
    </border>
    <border>
      <left style="thin">
        <color theme="7" tint="-0.24994659260841701"/>
      </left>
      <right/>
      <top style="thin">
        <color theme="7" tint="-0.24994659260841701"/>
      </top>
      <bottom/>
      <diagonal/>
    </border>
    <border>
      <left style="thin">
        <color theme="7" tint="-0.24994659260841701"/>
      </left>
      <right/>
      <top/>
      <bottom style="medium">
        <color theme="7" tint="-0.24994659260841701"/>
      </bottom>
      <diagonal/>
    </border>
    <border>
      <left style="thin">
        <color theme="7" tint="-0.24994659260841701"/>
      </left>
      <right/>
      <top style="dotted">
        <color theme="7" tint="-0.24994659260841701"/>
      </top>
      <bottom/>
      <diagonal/>
    </border>
    <border>
      <left style="thin">
        <color theme="8" tint="-0.249977111117893"/>
      </left>
      <right/>
      <top style="dotted">
        <color theme="8" tint="-0.249977111117893"/>
      </top>
      <bottom/>
      <diagonal/>
    </border>
    <border>
      <left/>
      <right/>
      <top style="dotted">
        <color theme="8" tint="-0.249977111117893"/>
      </top>
      <bottom/>
      <diagonal/>
    </border>
    <border>
      <left style="medium">
        <color theme="2" tint="-0.249977111117893"/>
      </left>
      <right/>
      <top style="dotted">
        <color theme="8" tint="-0.249977111117893"/>
      </top>
      <bottom/>
      <diagonal/>
    </border>
    <border>
      <left style="medium">
        <color rgb="FFFF0000"/>
      </left>
      <right style="medium">
        <color rgb="FFFF0000"/>
      </right>
      <top style="dotted">
        <color theme="8" tint="-0.249977111117893"/>
      </top>
      <bottom/>
      <diagonal/>
    </border>
    <border>
      <left style="thin">
        <color theme="2" tint="-0.24994659260841701"/>
      </left>
      <right/>
      <top style="dotted">
        <color theme="8" tint="-0.249977111117893"/>
      </top>
      <bottom/>
      <diagonal/>
    </border>
    <border>
      <left/>
      <right style="medium">
        <color rgb="FFFF0000"/>
      </right>
      <top style="dotted">
        <color theme="8" tint="-0.249977111117893"/>
      </top>
      <bottom/>
      <diagonal/>
    </border>
    <border>
      <left style="thin">
        <color theme="8" tint="-0.249977111117893"/>
      </left>
      <right/>
      <top/>
      <bottom style="dotted">
        <color theme="8" tint="-0.249977111117893"/>
      </bottom>
      <diagonal/>
    </border>
    <border>
      <left/>
      <right/>
      <top/>
      <bottom style="dotted">
        <color theme="8" tint="-0.249977111117893"/>
      </bottom>
      <diagonal/>
    </border>
    <border>
      <left style="medium">
        <color theme="2" tint="-0.249977111117893"/>
      </left>
      <right/>
      <top/>
      <bottom style="dotted">
        <color theme="8" tint="-0.249977111117893"/>
      </bottom>
      <diagonal/>
    </border>
    <border>
      <left style="medium">
        <color rgb="FFFF0000"/>
      </left>
      <right style="medium">
        <color rgb="FFFF0000"/>
      </right>
      <top/>
      <bottom style="dotted">
        <color theme="8" tint="-0.249977111117893"/>
      </bottom>
      <diagonal/>
    </border>
    <border>
      <left style="thin">
        <color theme="2" tint="-0.24994659260841701"/>
      </left>
      <right/>
      <top/>
      <bottom style="dotted">
        <color theme="8" tint="-0.249977111117893"/>
      </bottom>
      <diagonal/>
    </border>
    <border>
      <left/>
      <right style="medium">
        <color rgb="FFFF0000"/>
      </right>
      <top/>
      <bottom style="dotted">
        <color theme="8" tint="-0.249977111117893"/>
      </bottom>
      <diagonal/>
    </border>
    <border>
      <left/>
      <right/>
      <top style="dotted">
        <color theme="9" tint="-0.24994659260841701"/>
      </top>
      <bottom/>
      <diagonal/>
    </border>
    <border>
      <left style="medium">
        <color theme="2" tint="-0.249977111117893"/>
      </left>
      <right/>
      <top style="dotted">
        <color theme="9" tint="-0.24994659260841701"/>
      </top>
      <bottom/>
      <diagonal/>
    </border>
    <border>
      <left style="medium">
        <color rgb="FFFF0000"/>
      </left>
      <right style="medium">
        <color rgb="FFFF0000"/>
      </right>
      <top style="dotted">
        <color theme="9" tint="-0.24994659260841701"/>
      </top>
      <bottom/>
      <diagonal/>
    </border>
    <border>
      <left style="thin">
        <color theme="2" tint="-0.24994659260841701"/>
      </left>
      <right/>
      <top style="dotted">
        <color theme="9" tint="-0.24994659260841701"/>
      </top>
      <bottom/>
      <diagonal/>
    </border>
    <border>
      <left/>
      <right style="medium">
        <color rgb="FFFF0000"/>
      </right>
      <top style="dotted">
        <color theme="9" tint="-0.24994659260841701"/>
      </top>
      <bottom/>
      <diagonal/>
    </border>
    <border>
      <left/>
      <right/>
      <top/>
      <bottom style="dotted">
        <color theme="9" tint="-0.24994659260841701"/>
      </bottom>
      <diagonal/>
    </border>
    <border>
      <left style="medium">
        <color theme="2" tint="-0.249977111117893"/>
      </left>
      <right/>
      <top/>
      <bottom style="dotted">
        <color theme="9" tint="-0.24994659260841701"/>
      </bottom>
      <diagonal/>
    </border>
    <border>
      <left style="medium">
        <color rgb="FFFF0000"/>
      </left>
      <right style="medium">
        <color rgb="FFFF0000"/>
      </right>
      <top/>
      <bottom style="dotted">
        <color theme="9" tint="-0.24994659260841701"/>
      </bottom>
      <diagonal/>
    </border>
    <border>
      <left style="thin">
        <color theme="2" tint="-0.24994659260841701"/>
      </left>
      <right/>
      <top/>
      <bottom style="dotted">
        <color theme="9" tint="-0.24994659260841701"/>
      </bottom>
      <diagonal/>
    </border>
    <border>
      <left/>
      <right style="medium">
        <color rgb="FFFF0000"/>
      </right>
      <top/>
      <bottom style="dotted">
        <color theme="9" tint="-0.24994659260841701"/>
      </bottom>
      <diagonal/>
    </border>
    <border>
      <left style="thin">
        <color theme="9" tint="-0.24994659260841701"/>
      </left>
      <right/>
      <top style="dotted">
        <color theme="9" tint="-0.24994659260841701"/>
      </top>
      <bottom/>
      <diagonal/>
    </border>
    <border>
      <left style="thin">
        <color theme="9" tint="-0.24994659260841701"/>
      </left>
      <right/>
      <top/>
      <bottom style="dotted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rgb="FFFF0000"/>
      </left>
      <right/>
      <top style="medium">
        <color theme="8" tint="-0.249977111117893"/>
      </top>
      <bottom/>
      <diagonal/>
    </border>
    <border>
      <left style="medium">
        <color rgb="FFFF0000"/>
      </left>
      <right/>
      <top style="thin">
        <color theme="8" tint="-0.249977111117893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theme="7" tint="-0.24994659260841701"/>
      </left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 style="thin">
        <color theme="0" tint="-0.24994659260841701"/>
      </left>
      <right/>
      <top/>
      <bottom style="medium">
        <color theme="7" tint="-0.24994659260841701"/>
      </bottom>
      <diagonal/>
    </border>
    <border>
      <left style="medium">
        <color theme="7" tint="-0.24994659260841701"/>
      </left>
      <right style="thin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 style="thin">
        <color theme="7" tint="-0.24994659260841701"/>
      </right>
      <top/>
      <bottom/>
      <diagonal/>
    </border>
    <border>
      <left style="medium">
        <color theme="7" tint="-0.24994659260841701"/>
      </left>
      <right style="thin">
        <color theme="7" tint="-0.24994659260841701"/>
      </right>
      <top/>
      <bottom style="medium">
        <color theme="7" tint="-0.2499465926084170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theme="2" tint="-0.24994659260841701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theme="2" tint="-0.24994659260841701"/>
      </left>
      <right style="medium">
        <color rgb="FFFF0000"/>
      </right>
      <top/>
      <bottom style="medium">
        <color rgb="FFFF0000"/>
      </bottom>
      <diagonal/>
    </border>
    <border>
      <left style="thin">
        <color theme="2" tint="-0.24994659260841701"/>
      </left>
      <right style="medium">
        <color rgb="FFFF0000"/>
      </right>
      <top style="medium">
        <color theme="7" tint="-0.24994659260841701"/>
      </top>
      <bottom/>
      <diagonal/>
    </border>
    <border>
      <left style="thin">
        <color theme="2" tint="-0.24994659260841701"/>
      </left>
      <right style="medium">
        <color rgb="FFFF0000"/>
      </right>
      <top style="thin">
        <color theme="7" tint="-0.24994659260841701"/>
      </top>
      <bottom/>
      <diagonal/>
    </border>
    <border>
      <left style="thin">
        <color theme="2" tint="-0.24994659260841701"/>
      </left>
      <right style="medium">
        <color rgb="FFFF0000"/>
      </right>
      <top/>
      <bottom style="thin">
        <color theme="7" tint="-0.24994659260841701"/>
      </bottom>
      <diagonal/>
    </border>
    <border>
      <left style="thin">
        <color theme="2" tint="-0.24994659260841701"/>
      </left>
      <right style="medium">
        <color rgb="FFFF0000"/>
      </right>
      <top/>
      <bottom style="medium">
        <color theme="7" tint="-0.24994659260841701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 style="medium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theme="8" tint="-0.249977111117893"/>
      </left>
      <right style="thin">
        <color theme="8" tint="-0.249977111117893"/>
      </right>
      <top/>
      <bottom/>
      <diagonal/>
    </border>
    <border>
      <left style="medium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/>
      <bottom style="medium">
        <color theme="8" tint="-0.249977111117893"/>
      </bottom>
      <diagonal/>
    </border>
    <border>
      <left style="medium">
        <color rgb="FFFF0000"/>
      </left>
      <right/>
      <top/>
      <bottom style="medium">
        <color theme="8" tint="-0.249977111117893"/>
      </bottom>
      <diagonal/>
    </border>
    <border>
      <left/>
      <right/>
      <top/>
      <bottom style="medium">
        <color rgb="FFFF0000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thin">
        <color theme="8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medium">
        <color theme="8" tint="-0.249977111117893"/>
      </top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 style="thin">
        <color theme="2" tint="-0.24994659260841701"/>
      </right>
      <top style="thin">
        <color theme="8" tint="-0.249977111117893"/>
      </top>
      <bottom/>
      <diagonal/>
    </border>
    <border>
      <left/>
      <right style="thin">
        <color theme="2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2" tint="-0.24994659260841701"/>
      </right>
      <top/>
      <bottom style="thin">
        <color theme="8" tint="-0.249977111117893"/>
      </bottom>
      <diagonal/>
    </border>
    <border>
      <left/>
      <right style="thin">
        <color theme="2" tint="-0.249977111117893"/>
      </right>
      <top/>
      <bottom style="thin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/>
      <right style="medium">
        <color theme="8" tint="-0.249977111117893"/>
      </right>
      <top/>
      <bottom/>
      <diagonal/>
    </border>
    <border>
      <left/>
      <right style="medium">
        <color theme="8" tint="-0.249977111117893"/>
      </right>
      <top style="thin">
        <color theme="8" tint="-0.249977111117893"/>
      </top>
      <bottom/>
      <diagonal/>
    </border>
    <border>
      <left/>
      <right style="medium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 style="medium">
        <color theme="8" tint="-0.249977111117893"/>
      </bottom>
      <diagonal/>
    </border>
    <border>
      <left/>
      <right style="thin">
        <color theme="2" tint="-0.249977111117893"/>
      </right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/>
      <right/>
      <top style="medium">
        <color rgb="FFFF0000"/>
      </top>
      <bottom style="medium">
        <color theme="8" tint="-0.249977111117893"/>
      </bottom>
      <diagonal/>
    </border>
    <border>
      <left/>
      <right style="medium">
        <color rgb="FFFF0000"/>
      </right>
      <top style="medium">
        <color rgb="FFFF0000"/>
      </top>
      <bottom style="medium">
        <color theme="8" tint="-0.249977111117893"/>
      </bottom>
      <diagonal/>
    </border>
    <border>
      <left style="thin">
        <color theme="2" tint="-0.249977111117893"/>
      </left>
      <right/>
      <top/>
      <bottom style="medium">
        <color theme="8" tint="-0.249977111117893"/>
      </bottom>
      <diagonal/>
    </border>
    <border>
      <left style="thin">
        <color theme="2" tint="-0.249977111117893"/>
      </left>
      <right/>
      <top style="medium">
        <color theme="8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 style="thin">
        <color theme="8" tint="-0.249977111117893"/>
      </top>
      <bottom/>
      <diagonal/>
    </border>
    <border>
      <left style="thin">
        <color theme="2" tint="-0.249977111117893"/>
      </left>
      <right/>
      <top/>
      <bottom style="thin">
        <color theme="8" tint="-0.249977111117893"/>
      </bottom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/>
      <bottom/>
      <diagonal/>
    </border>
    <border>
      <left/>
      <right style="medium">
        <color theme="7" tint="-0.24994659260841701"/>
      </right>
      <top style="dotted">
        <color theme="7" tint="-0.24994659260841701"/>
      </top>
      <bottom/>
      <diagonal/>
    </border>
    <border>
      <left style="medium">
        <color theme="7" tint="-0.24994659260841701"/>
      </left>
      <right/>
      <top/>
      <bottom style="thin">
        <color theme="7" tint="-0.24994659260841701"/>
      </bottom>
      <diagonal/>
    </border>
    <border>
      <left/>
      <right style="medium">
        <color theme="7" tint="-0.24994659260841701"/>
      </right>
      <top/>
      <bottom style="thin">
        <color theme="7" tint="-0.24994659260841701"/>
      </bottom>
      <diagonal/>
    </border>
    <border>
      <left style="medium">
        <color theme="7" tint="-0.24994659260841701"/>
      </left>
      <right/>
      <top style="thin">
        <color theme="7" tint="-0.24994659260841701"/>
      </top>
      <bottom/>
      <diagonal/>
    </border>
    <border>
      <left/>
      <right style="medium">
        <color theme="7" tint="-0.24994659260841701"/>
      </right>
      <top style="thin">
        <color theme="7" tint="-0.24994659260841701"/>
      </top>
      <bottom/>
      <diagonal/>
    </border>
    <border>
      <left style="medium">
        <color theme="7" tint="-0.24994659260841701"/>
      </left>
      <right/>
      <top style="dotted">
        <color theme="7" tint="-0.24994659260841701"/>
      </top>
      <bottom/>
      <diagonal/>
    </border>
    <border>
      <left style="medium">
        <color theme="7" tint="-0.24994659260841701"/>
      </left>
      <right/>
      <top/>
      <bottom style="dotted">
        <color theme="7" tint="-0.24994659260841701"/>
      </bottom>
      <diagonal/>
    </border>
    <border>
      <left/>
      <right style="medium">
        <color theme="7" tint="-0.24994659260841701"/>
      </right>
      <top/>
      <bottom style="dotted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 style="medium">
        <color theme="2" tint="-0.249977111117893"/>
      </left>
      <right/>
      <top style="medium">
        <color theme="8" tint="-0.24994659260841701"/>
      </top>
      <bottom/>
      <diagonal/>
    </border>
    <border>
      <left style="thin">
        <color theme="2" tint="-0.24994659260841701"/>
      </left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/>
      <top style="thin">
        <color theme="8" tint="-0.24994659260841701"/>
      </top>
      <bottom/>
      <diagonal/>
    </border>
    <border>
      <left/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 style="dotted">
        <color theme="8" tint="-0.24994659260841701"/>
      </top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theme="8" tint="-0.249977111117893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thin">
        <color theme="9" tint="-0.24994659260841701"/>
      </bottom>
      <diagonal/>
    </border>
    <border>
      <left style="medium">
        <color theme="9" tint="-0.24994659260841701"/>
      </left>
      <right style="thin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 style="thin">
        <color theme="9" tint="-0.24994659260841701"/>
      </right>
      <top/>
      <bottom/>
      <diagonal/>
    </border>
    <border>
      <left style="medium">
        <color theme="9" tint="-0.24994659260841701"/>
      </left>
      <right style="thin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7" tint="-0.24994659260841701"/>
      </right>
      <top style="hair">
        <color theme="7" tint="-0.24994659260841701"/>
      </top>
      <bottom/>
      <diagonal/>
    </border>
    <border>
      <left style="medium">
        <color theme="8" tint="-0.249977111117893"/>
      </left>
      <right/>
      <top/>
      <bottom style="thin">
        <color theme="8" tint="-0.249977111117893"/>
      </bottom>
      <diagonal/>
    </border>
    <border>
      <left/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/>
      <right style="medium">
        <color theme="9" tint="-0.24994659260841701"/>
      </right>
      <top style="thin">
        <color theme="2" tint="-0.249977111117893"/>
      </top>
      <bottom/>
      <diagonal/>
    </border>
    <border>
      <left/>
      <right style="medium">
        <color theme="9" tint="-0.24994659260841701"/>
      </right>
      <top/>
      <bottom style="thin">
        <color theme="0" tint="-0.24994659260841701"/>
      </bottom>
      <diagonal/>
    </border>
    <border>
      <left/>
      <right style="medium">
        <color theme="9" tint="-0.24994659260841701"/>
      </right>
      <top style="medium">
        <color theme="2" tint="-0.249977111117893"/>
      </top>
      <bottom/>
      <diagonal/>
    </border>
    <border>
      <left/>
      <right style="medium">
        <color theme="9" tint="-0.24994659260841701"/>
      </right>
      <top/>
      <bottom style="medium">
        <color theme="2" tint="-0.249977111117893"/>
      </bottom>
      <diagonal/>
    </border>
    <border>
      <left/>
      <right style="thin">
        <color theme="2" tint="-0.24994659260841701"/>
      </right>
      <top style="medium">
        <color theme="7" tint="-0.24994659260841701"/>
      </top>
      <bottom/>
      <diagonal/>
    </border>
    <border>
      <left/>
      <right style="thin">
        <color theme="2" tint="-0.24994659260841701"/>
      </right>
      <top/>
      <bottom style="thin">
        <color theme="7" tint="-0.24994659260841701"/>
      </bottom>
      <diagonal/>
    </border>
    <border>
      <left style="thin">
        <color theme="2" tint="-0.249977111117893"/>
      </left>
      <right/>
      <top style="thin">
        <color theme="7" tint="-0.24994659260841701"/>
      </top>
      <bottom/>
      <diagonal/>
    </border>
    <border>
      <left/>
      <right style="thin">
        <color theme="2" tint="-0.24994659260841701"/>
      </right>
      <top style="thin">
        <color theme="7" tint="-0.24994659260841701"/>
      </top>
      <bottom/>
      <diagonal/>
    </border>
    <border>
      <left style="thin">
        <color theme="2" tint="-0.249977111117893"/>
      </left>
      <right/>
      <top/>
      <bottom style="thin">
        <color theme="7" tint="-0.24994659260841701"/>
      </bottom>
      <diagonal/>
    </border>
    <border>
      <left/>
      <right style="medium">
        <color theme="8" tint="-0.249977111117893"/>
      </right>
      <top style="dotted">
        <color theme="8" tint="-0.249977111117893"/>
      </top>
      <bottom/>
      <diagonal/>
    </border>
    <border>
      <left/>
      <right style="medium">
        <color theme="8" tint="-0.249977111117893"/>
      </right>
      <top/>
      <bottom style="dotted">
        <color theme="8" tint="-0.249977111117893"/>
      </bottom>
      <diagonal/>
    </border>
    <border>
      <left/>
      <right style="medium">
        <color theme="9" tint="-0.24994659260841701"/>
      </right>
      <top style="dotted">
        <color theme="9" tint="-0.24994659260841701"/>
      </top>
      <bottom/>
      <diagonal/>
    </border>
    <border>
      <left/>
      <right style="medium">
        <color theme="9" tint="-0.24994659260841701"/>
      </right>
      <top/>
      <bottom style="dotted">
        <color theme="9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thin">
        <color theme="8" tint="-0.24994659260841701"/>
      </left>
      <right/>
      <top style="hair">
        <color theme="8" tint="-0.24994659260841701"/>
      </top>
      <bottom/>
      <diagonal/>
    </border>
    <border>
      <left/>
      <right/>
      <top style="hair">
        <color theme="8" tint="-0.24994659260841701"/>
      </top>
      <bottom/>
      <diagonal/>
    </border>
    <border>
      <left style="medium">
        <color theme="2" tint="-0.249977111117893"/>
      </left>
      <right/>
      <top style="hair">
        <color theme="8" tint="-0.24994659260841701"/>
      </top>
      <bottom/>
      <diagonal/>
    </border>
    <border>
      <left style="medium">
        <color rgb="FFFF0000"/>
      </left>
      <right style="medium">
        <color rgb="FFFF0000"/>
      </right>
      <top style="hair">
        <color theme="8" tint="-0.24994659260841701"/>
      </top>
      <bottom/>
      <diagonal/>
    </border>
    <border>
      <left style="thin">
        <color theme="2" tint="-0.24994659260841701"/>
      </left>
      <right/>
      <top style="hair">
        <color theme="8" tint="-0.24994659260841701"/>
      </top>
      <bottom/>
      <diagonal/>
    </border>
    <border>
      <left style="thin">
        <color theme="8" tint="-0.24994659260841701"/>
      </left>
      <right/>
      <top/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 style="medium">
        <color theme="8" tint="-0.24994659260841701"/>
      </bottom>
      <diagonal/>
    </border>
    <border>
      <left style="thin">
        <color theme="9" tint="-0.24994659260841701"/>
      </left>
      <right/>
      <top/>
      <bottom style="hair">
        <color theme="9" tint="-0.24994659260841701"/>
      </bottom>
      <diagonal/>
    </border>
    <border>
      <left/>
      <right/>
      <top/>
      <bottom style="hair">
        <color theme="9" tint="-0.24994659260841701"/>
      </bottom>
      <diagonal/>
    </border>
    <border>
      <left style="medium">
        <color theme="2" tint="-0.249977111117893"/>
      </left>
      <right/>
      <top/>
      <bottom style="hair">
        <color theme="9" tint="-0.24994659260841701"/>
      </bottom>
      <diagonal/>
    </border>
    <border>
      <left style="medium">
        <color rgb="FFFF0000"/>
      </left>
      <right style="medium">
        <color rgb="FFFF0000"/>
      </right>
      <top/>
      <bottom style="hair">
        <color theme="9" tint="-0.24994659260841701"/>
      </bottom>
      <diagonal/>
    </border>
    <border>
      <left style="thin">
        <color theme="2" tint="-0.24994659260841701"/>
      </left>
      <right/>
      <top/>
      <bottom style="hair">
        <color theme="9" tint="-0.24994659260841701"/>
      </bottom>
      <diagonal/>
    </border>
    <border>
      <left/>
      <right style="medium">
        <color rgb="FFFF0000"/>
      </right>
      <top/>
      <bottom style="hair">
        <color theme="9" tint="-0.24994659260841701"/>
      </bottom>
      <diagonal/>
    </border>
    <border>
      <left style="thin">
        <color theme="8" tint="-0.24994659260841701"/>
      </left>
      <right/>
      <top/>
      <bottom style="hair">
        <color theme="8" tint="-0.24994659260841701"/>
      </bottom>
      <diagonal/>
    </border>
    <border>
      <left style="thin">
        <color theme="8" tint="-0.24994659260841701"/>
      </left>
      <right/>
      <top style="medium">
        <color theme="8" tint="-0.24994659260841701"/>
      </top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 style="medium">
        <color theme="7" tint="-0.24994659260841701"/>
      </left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9" tint="-0.24994659260841701"/>
      </left>
      <right/>
      <top style="hair">
        <color theme="9" tint="-0.24994659260841701"/>
      </top>
      <bottom/>
      <diagonal/>
    </border>
    <border>
      <left/>
      <right/>
      <top style="hair">
        <color theme="9" tint="-0.24994659260841701"/>
      </top>
      <bottom/>
      <diagonal/>
    </border>
    <border>
      <left style="medium">
        <color theme="2" tint="-0.249977111117893"/>
      </left>
      <right/>
      <top style="hair">
        <color theme="9" tint="-0.24994659260841701"/>
      </top>
      <bottom/>
      <diagonal/>
    </border>
    <border>
      <left style="medium">
        <color rgb="FFFF0000"/>
      </left>
      <right style="medium">
        <color rgb="FFFF0000"/>
      </right>
      <top style="hair">
        <color theme="9" tint="-0.24994659260841701"/>
      </top>
      <bottom/>
      <diagonal/>
    </border>
    <border>
      <left style="thin">
        <color theme="2" tint="-0.24994659260841701"/>
      </left>
      <right/>
      <top style="hair">
        <color theme="9" tint="-0.24994659260841701"/>
      </top>
      <bottom/>
      <diagonal/>
    </border>
    <border>
      <left/>
      <right style="medium">
        <color rgb="FFFF0000"/>
      </right>
      <top style="hair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2" tint="-0.249977111117893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2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medium">
        <color rgb="FFFF0000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1" tint="0.499984740745262"/>
      </left>
      <right/>
      <top style="medium">
        <color theme="8" tint="-0.249977111117893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 style="thin">
        <color theme="8" tint="-0.249977111117893"/>
      </top>
      <bottom/>
      <diagonal/>
    </border>
    <border>
      <left style="medium">
        <color theme="1" tint="0.499984740745262"/>
      </left>
      <right/>
      <top/>
      <bottom style="thin">
        <color theme="8" tint="-0.249977111117893"/>
      </bottom>
      <diagonal/>
    </border>
    <border>
      <left style="medium">
        <color theme="1" tint="0.499984740745262"/>
      </left>
      <right/>
      <top/>
      <bottom style="medium">
        <color theme="8" tint="-0.249977111117893"/>
      </bottom>
      <diagonal/>
    </border>
    <border>
      <left style="medium">
        <color theme="8" tint="-0.24994659260841701"/>
      </left>
      <right/>
      <top style="medium">
        <color theme="8" tint="-0.249977111117893"/>
      </top>
      <bottom/>
      <diagonal/>
    </border>
    <border>
      <left style="medium">
        <color theme="8" tint="-0.24994659260841701"/>
      </left>
      <right/>
      <top style="thin">
        <color theme="8" tint="-0.249977111117893"/>
      </top>
      <bottom/>
      <diagonal/>
    </border>
    <border>
      <left style="medium">
        <color theme="8" tint="-0.24994659260841701"/>
      </left>
      <right/>
      <top/>
      <bottom style="thin">
        <color theme="8" tint="-0.249977111117893"/>
      </bottom>
      <diagonal/>
    </border>
    <border>
      <left style="medium">
        <color theme="8" tint="-0.24994659260841701"/>
      </left>
      <right/>
      <top/>
      <bottom style="medium">
        <color theme="8" tint="-0.249977111117893"/>
      </bottom>
      <diagonal/>
    </border>
    <border>
      <left/>
      <right style="medium">
        <color theme="1" tint="0.499984740745262"/>
      </right>
      <top style="thin">
        <color theme="8" tint="-0.249977111117893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medium">
        <color theme="8" tint="-0.249977111117893"/>
      </bottom>
      <diagonal/>
    </border>
    <border>
      <left/>
      <right style="medium">
        <color theme="2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 style="medium">
        <color theme="8" tint="-0.249977111117893"/>
      </top>
      <bottom/>
      <diagonal/>
    </border>
    <border>
      <left/>
      <right style="thin">
        <color theme="2" tint="-0.24994659260841701"/>
      </right>
      <top style="medium">
        <color theme="9" tint="-0.24994659260841701"/>
      </top>
      <bottom/>
      <diagonal/>
    </border>
    <border>
      <left/>
      <right style="thin">
        <color theme="2" tint="-0.24994659260841701"/>
      </right>
      <top/>
      <bottom style="medium">
        <color theme="9" tint="-0.24994659260841701"/>
      </bottom>
      <diagonal/>
    </border>
    <border>
      <left/>
      <right style="medium">
        <color theme="2" tint="-0.249977111117893"/>
      </right>
      <top style="thin">
        <color theme="8" tint="-0.499984740745262"/>
      </top>
      <bottom/>
      <diagonal/>
    </border>
    <border>
      <left/>
      <right/>
      <top style="thin">
        <color theme="8" tint="-0.499984740745262"/>
      </top>
      <bottom/>
      <diagonal/>
    </border>
    <border>
      <left style="medium">
        <color theme="2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theme="0" tint="-0.24994659260841701"/>
      </left>
      <right/>
      <top/>
      <bottom style="medium">
        <color theme="8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7" tint="-0.24994659260841701"/>
      </top>
      <bottom/>
      <diagonal/>
    </border>
    <border>
      <left/>
      <right style="medium">
        <color theme="2" tint="-0.249977111117893"/>
      </right>
      <top style="dotted">
        <color theme="9" tint="-0.24994659260841701"/>
      </top>
      <bottom/>
      <diagonal/>
    </border>
    <border>
      <left/>
      <right style="medium">
        <color theme="2" tint="-0.249977111117893"/>
      </right>
      <top/>
      <bottom style="medium">
        <color theme="9" tint="-0.24994659260841701"/>
      </bottom>
      <diagonal/>
    </border>
    <border>
      <left style="thin">
        <color theme="8" tint="-0.249977111117893"/>
      </left>
      <right/>
      <top style="dotted">
        <color theme="8" tint="-0.24994659260841701"/>
      </top>
      <bottom/>
      <diagonal/>
    </border>
    <border>
      <left/>
      <right style="medium">
        <color theme="2" tint="-0.249977111117893"/>
      </right>
      <top style="dotted">
        <color theme="8" tint="-0.24994659260841701"/>
      </top>
      <bottom/>
      <diagonal/>
    </border>
    <border>
      <left/>
      <right style="thin">
        <color theme="8" tint="-0.24994659260841701"/>
      </right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medium">
        <color theme="2" tint="-0.249977111117893"/>
      </left>
      <right/>
      <top style="hair">
        <color theme="0" tint="-0.24994659260841701"/>
      </top>
      <bottom/>
      <diagonal/>
    </border>
    <border>
      <left style="medium">
        <color rgb="FFFF0000"/>
      </left>
      <right style="medium">
        <color rgb="FFFF0000"/>
      </right>
      <top style="hair">
        <color theme="0" tint="-0.24994659260841701"/>
      </top>
      <bottom/>
      <diagonal/>
    </border>
    <border>
      <left style="thin">
        <color theme="2" tint="-0.24994659260841701"/>
      </left>
      <right/>
      <top style="hair">
        <color theme="0" tint="-0.24994659260841701"/>
      </top>
      <bottom/>
      <diagonal/>
    </border>
    <border>
      <left/>
      <right style="medium">
        <color rgb="FFFF0000"/>
      </right>
      <top style="hair">
        <color theme="0" tint="-0.24994659260841701"/>
      </top>
      <bottom/>
      <diagonal/>
    </border>
    <border>
      <left style="thin">
        <color theme="8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 style="medium">
        <color theme="2" tint="-0.249977111117893"/>
      </left>
      <right/>
      <top/>
      <bottom style="hair">
        <color theme="0" tint="-0.24994659260841701"/>
      </bottom>
      <diagonal/>
    </border>
    <border>
      <left style="medium">
        <color rgb="FFFF0000"/>
      </left>
      <right style="medium">
        <color rgb="FFFF0000"/>
      </right>
      <top/>
      <bottom style="hair">
        <color theme="0" tint="-0.24994659260841701"/>
      </bottom>
      <diagonal/>
    </border>
    <border>
      <left style="thin">
        <color theme="2" tint="-0.24994659260841701"/>
      </left>
      <right/>
      <top/>
      <bottom style="hair">
        <color theme="0" tint="-0.24994659260841701"/>
      </bottom>
      <diagonal/>
    </border>
    <border>
      <left/>
      <right style="medium">
        <color rgb="FFFF0000"/>
      </right>
      <top/>
      <bottom style="hair">
        <color theme="0" tint="-0.24994659260841701"/>
      </bottom>
      <diagonal/>
    </border>
    <border>
      <left style="thin">
        <color theme="8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2" tint="-0.249977111117893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2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rgb="FFFF0000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2" tint="-0.249977111117893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2" tint="-0.24994659260841701"/>
      </top>
      <bottom/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medium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/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/>
      <top/>
      <bottom style="medium">
        <color theme="2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theme="2" tint="-0.24994659260841701"/>
      </bottom>
      <diagonal/>
    </border>
    <border>
      <left style="thin">
        <color theme="2" tint="-0.24994659260841701"/>
      </left>
      <right/>
      <top/>
      <bottom style="medium">
        <color theme="2" tint="-0.24994659260841701"/>
      </bottom>
      <diagonal/>
    </border>
    <border>
      <left/>
      <right style="medium">
        <color theme="2" tint="-0.249977111117893"/>
      </right>
      <top/>
      <bottom style="medium">
        <color theme="2" tint="-0.24994659260841701"/>
      </bottom>
      <diagonal/>
    </border>
    <border>
      <left style="thin">
        <color theme="2" tint="-0.249977111117893"/>
      </left>
      <right/>
      <top style="medium">
        <color theme="7" tint="-0.24994659260841701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0" tint="-0.499984740745262"/>
      </left>
      <right/>
      <top style="medium">
        <color rgb="FFFF0000"/>
      </top>
      <bottom/>
      <diagonal/>
    </border>
    <border>
      <left/>
      <right style="thin">
        <color theme="0" tint="-0.499984740745262"/>
      </right>
      <top style="medium">
        <color rgb="FFFF0000"/>
      </top>
      <bottom/>
      <diagonal/>
    </border>
    <border>
      <left style="thin">
        <color theme="2" tint="-0.24994659260841701"/>
      </left>
      <right style="thin">
        <color theme="0" tint="-0.499984740745262"/>
      </right>
      <top style="medium">
        <color theme="8" tint="-0.249977111117893"/>
      </top>
      <bottom/>
      <diagonal/>
    </border>
    <border>
      <left style="thin">
        <color theme="0" tint="-0.499984740745262"/>
      </left>
      <right/>
      <top style="thin">
        <color theme="8" tint="-0.249977111117893"/>
      </top>
      <bottom/>
      <diagonal/>
    </border>
    <border>
      <left style="thin">
        <color theme="2" tint="-0.24994659260841701"/>
      </left>
      <right style="thin">
        <color theme="0" tint="-0.499984740745262"/>
      </right>
      <top style="thin">
        <color theme="8" tint="-0.249977111117893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2" tint="-0.2499465926084170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medium">
        <color theme="8" tint="-0.249977111117893"/>
      </bottom>
      <diagonal/>
    </border>
    <border>
      <left style="thin">
        <color theme="2" tint="-0.24994659260841701"/>
      </left>
      <right style="thin">
        <color theme="0" tint="-0.499984740745262"/>
      </right>
      <top/>
      <bottom style="medium">
        <color theme="8" tint="-0.249977111117893"/>
      </bottom>
      <diagonal/>
    </border>
    <border>
      <left style="thin">
        <color theme="2" tint="-0.24994659260841701"/>
      </left>
      <right style="thin">
        <color theme="0" tint="-0.499984740745262"/>
      </right>
      <top/>
      <bottom style="medium">
        <color rgb="FFFF0000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rgb="FFFF0000"/>
      </right>
      <top style="thin">
        <color theme="9" tint="-0.24994659260841701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medium">
        <color theme="8" tint="-0.249977111117893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8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medium">
        <color theme="7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dotted">
        <color theme="7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n">
        <color theme="7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7" tint="-0.24994659260841701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dotted">
        <color theme="7" tint="-0.24994659260841701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medium">
        <color theme="7" tint="-0.24994659260841701"/>
      </bottom>
      <diagonal/>
    </border>
    <border>
      <left/>
      <right style="thick">
        <color theme="0" tint="-0.499984740745262"/>
      </right>
      <top/>
      <bottom style="medium">
        <color theme="7" tint="-0.24994659260841701"/>
      </bottom>
      <diagonal/>
    </border>
    <border>
      <left/>
      <right style="thick">
        <color theme="0" tint="-0.499984740745262"/>
      </right>
      <top style="dotted">
        <color theme="7" tint="-0.24994659260841701"/>
      </top>
      <bottom/>
      <diagonal/>
    </border>
    <border>
      <left/>
      <right style="thick">
        <color theme="0" tint="-0.499984740745262"/>
      </right>
      <top/>
      <bottom/>
      <diagonal/>
    </border>
    <border>
      <left/>
      <right style="thick">
        <color theme="0" tint="-0.499984740745262"/>
      </right>
      <top/>
      <bottom style="dotted">
        <color theme="7" tint="-0.24994659260841701"/>
      </bottom>
      <diagonal/>
    </border>
    <border>
      <left/>
      <right style="thick">
        <color theme="0" tint="-0.499984740745262"/>
      </right>
      <top/>
      <bottom style="thin">
        <color theme="7" tint="-0.24994659260841701"/>
      </bottom>
      <diagonal/>
    </border>
    <border>
      <left/>
      <right style="thick">
        <color theme="0" tint="-0.499984740745262"/>
      </right>
      <top style="thin">
        <color theme="7" tint="-0.24994659260841701"/>
      </top>
      <bottom/>
      <diagonal/>
    </border>
    <border>
      <left style="medium">
        <color theme="2" tint="-0.249977111117893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/>
      <top style="dotted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ck">
        <color theme="0" tint="-0.499984740745262"/>
      </right>
      <top style="medium">
        <color theme="7" tint="-0.24994659260841701"/>
      </top>
      <bottom/>
      <diagonal/>
    </border>
    <border>
      <left style="thick">
        <color theme="0" tint="-0.499984740745262"/>
      </left>
      <right/>
      <top/>
      <bottom/>
      <diagonal/>
    </border>
    <border>
      <left style="thick">
        <color theme="0" tint="-0.499984740745262"/>
      </left>
      <right/>
      <top style="thin">
        <color theme="8"/>
      </top>
      <bottom/>
      <diagonal/>
    </border>
    <border>
      <left style="thick">
        <color theme="0" tint="-0.499984740745262"/>
      </left>
      <right/>
      <top style="medium">
        <color theme="7" tint="-0.24994659260841701"/>
      </top>
      <bottom/>
      <diagonal/>
    </border>
    <border>
      <left style="thick">
        <color theme="0" tint="-0.499984740745262"/>
      </left>
      <right/>
      <top style="dotted">
        <color theme="7" tint="-0.24994659260841701"/>
      </top>
      <bottom/>
      <diagonal/>
    </border>
    <border>
      <left style="thick">
        <color theme="0" tint="-0.499984740745262"/>
      </left>
      <right/>
      <top/>
      <bottom style="thin">
        <color theme="7" tint="-0.24994659260841701"/>
      </bottom>
      <diagonal/>
    </border>
    <border>
      <left style="thick">
        <color theme="0" tint="-0.499984740745262"/>
      </left>
      <right/>
      <top style="thin">
        <color theme="7" tint="-0.24994659260841701"/>
      </top>
      <bottom/>
      <diagonal/>
    </border>
    <border>
      <left style="thick">
        <color theme="0" tint="-0.499984740745262"/>
      </left>
      <right/>
      <top/>
      <bottom style="dotted">
        <color theme="7" tint="-0.24994659260841701"/>
      </bottom>
      <diagonal/>
    </border>
    <border>
      <left style="thick">
        <color theme="0" tint="-0.499984740745262"/>
      </left>
      <right/>
      <top/>
      <bottom style="medium">
        <color theme="7" tint="-0.24994659260841701"/>
      </bottom>
      <diagonal/>
    </border>
    <border>
      <left/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/>
      <top/>
      <bottom style="thick">
        <color theme="0" tint="-0.499984740745262"/>
      </bottom>
      <diagonal/>
    </border>
    <border>
      <left style="thin">
        <color theme="0" tint="-0.34998626667073579"/>
      </left>
      <right/>
      <top/>
      <bottom style="medium">
        <color theme="8" tint="-0.249977111117893"/>
      </bottom>
      <diagonal/>
    </border>
    <border>
      <left style="thin">
        <color theme="0" tint="-0.34998626667073579"/>
      </left>
      <right/>
      <top style="medium">
        <color theme="8" tint="-0.249977111117893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/>
      <top style="medium">
        <color theme="0" tint="-0.34998626667073579"/>
      </top>
      <bottom style="medium">
        <color theme="8" tint="-0.249977111117893"/>
      </bottom>
      <diagonal/>
    </border>
    <border>
      <left style="medium">
        <color rgb="FFFF0000"/>
      </left>
      <right/>
      <top style="medium">
        <color theme="7" tint="-0.24994659260841701"/>
      </top>
      <bottom/>
      <diagonal/>
    </border>
    <border>
      <left style="medium">
        <color rgb="FFFF0000"/>
      </left>
      <right/>
      <top style="thin">
        <color theme="7" tint="-0.24994659260841701"/>
      </top>
      <bottom/>
      <diagonal/>
    </border>
    <border>
      <left style="medium">
        <color rgb="FFFF0000"/>
      </left>
      <right/>
      <top/>
      <bottom style="thin">
        <color theme="7" tint="-0.24994659260841701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 style="medium">
        <color theme="7" tint="-0.24994659260841701"/>
      </top>
      <bottom style="thin">
        <color theme="7" tint="-0.24994659260841701"/>
      </bottom>
      <diagonal/>
    </border>
    <border>
      <left style="medium">
        <color rgb="FFFF0000"/>
      </left>
      <right/>
      <top style="medium">
        <color rgb="FFFF0000"/>
      </top>
      <bottom style="medium">
        <color theme="7" tint="-0.2499465926084170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/>
      <top style="thin">
        <color theme="7" tint="-0.24994659260841701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theme="8" tint="-0.249977111117893"/>
      </bottom>
      <diagonal/>
    </border>
    <border>
      <left style="medium">
        <color rgb="FFFF0000"/>
      </left>
      <right/>
      <top/>
      <bottom style="thin">
        <color theme="8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2" tint="-0.2499465926084170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2" tint="-0.24994659260841701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8" tint="-0.249977111117893"/>
      </bottom>
      <diagonal/>
    </border>
    <border>
      <left/>
      <right style="medium">
        <color theme="0" tint="-0.34998626667073579"/>
      </right>
      <top/>
      <bottom style="thin">
        <color theme="8" tint="-0.249977111117893"/>
      </bottom>
      <diagonal/>
    </border>
    <border>
      <left style="medium">
        <color theme="0" tint="-0.34998626667073579"/>
      </left>
      <right/>
      <top/>
      <bottom style="thin">
        <color theme="8" tint="-0.24994659260841701"/>
      </bottom>
      <diagonal/>
    </border>
    <border>
      <left/>
      <right style="medium">
        <color theme="0" tint="-0.34998626667073579"/>
      </right>
      <top/>
      <bottom style="thin">
        <color theme="8" tint="-0.24994659260841701"/>
      </bottom>
      <diagonal/>
    </border>
    <border>
      <left style="medium">
        <color theme="0" tint="-0.34998626667073579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theme="0" tint="-0.34998626667073579"/>
      </left>
      <right/>
      <top/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64"/>
      </bottom>
      <diagonal/>
    </border>
    <border>
      <left style="thin">
        <color theme="2" tint="-0.24994659260841701"/>
      </left>
      <right/>
      <top/>
      <bottom style="medium">
        <color indexed="64"/>
      </bottom>
      <diagonal/>
    </border>
    <border>
      <left/>
      <right style="medium">
        <color theme="0" tint="-0.34998626667073579"/>
      </right>
      <top style="thin">
        <color theme="8" tint="-0.249977111117893"/>
      </top>
      <bottom/>
      <diagonal/>
    </border>
    <border>
      <left style="medium">
        <color theme="0" tint="-0.34998626667073579"/>
      </left>
      <right/>
      <top/>
      <bottom style="thin">
        <color theme="4"/>
      </bottom>
      <diagonal/>
    </border>
    <border>
      <left/>
      <right style="medium">
        <color theme="0" tint="-0.34998626667073579"/>
      </right>
      <top/>
      <bottom style="thin">
        <color theme="4"/>
      </bottom>
      <diagonal/>
    </border>
    <border>
      <left/>
      <right style="medium">
        <color theme="0" tint="-0.34998626667073579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0" tint="-0.34998626667073579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0" tint="-0.34998626667073579"/>
      </left>
      <right/>
      <top style="medium">
        <color theme="8" tint="-0.24994659260841701"/>
      </top>
      <bottom/>
      <diagonal/>
    </border>
    <border>
      <left/>
      <right style="medium">
        <color theme="0" tint="-0.34998626667073579"/>
      </right>
      <top style="medium">
        <color theme="8" tint="-0.24994659260841701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0" tint="-0.499984740745262"/>
      </top>
      <bottom style="medium">
        <color theme="4" tint="-0.499984740745262"/>
      </bottom>
      <diagonal/>
    </border>
    <border>
      <left/>
      <right style="medium">
        <color theme="0" tint="-0.34998626667073579"/>
      </right>
      <top style="thin">
        <color theme="0" tint="-0.499984740745262"/>
      </top>
      <bottom style="medium">
        <color theme="4" tint="-0.499984740745262"/>
      </bottom>
      <diagonal/>
    </border>
    <border>
      <left style="medium">
        <color theme="0" tint="-0.34998626667073579"/>
      </left>
      <right/>
      <top/>
      <bottom style="medium">
        <color theme="4" tint="-0.499984740745262"/>
      </bottom>
      <diagonal/>
    </border>
    <border>
      <left/>
      <right style="medium">
        <color theme="0" tint="-0.34998626667073579"/>
      </right>
      <top/>
      <bottom style="medium">
        <color theme="4" tint="-0.499984740745262"/>
      </bottom>
      <diagonal/>
    </border>
    <border>
      <left style="medium">
        <color theme="0" tint="-0.34998626667073579"/>
      </left>
      <right/>
      <top/>
      <bottom style="medium">
        <color theme="8" tint="-0.249977111117893"/>
      </bottom>
      <diagonal/>
    </border>
    <border>
      <left/>
      <right style="medium">
        <color theme="0" tint="-0.34998626667073579"/>
      </right>
      <top/>
      <bottom style="medium">
        <color theme="8" tint="-0.249977111117893"/>
      </bottom>
      <diagonal/>
    </border>
    <border>
      <left/>
      <right style="medium">
        <color theme="8" tint="-0.24994659260841701"/>
      </right>
      <top/>
      <bottom style="medium">
        <color theme="4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9" tint="-0.24994659260841701"/>
      </top>
      <bottom/>
      <diagonal/>
    </border>
    <border>
      <left/>
      <right style="thin">
        <color theme="0" tint="-0.34998626667073579"/>
      </right>
      <top style="thin">
        <color theme="2" tint="-0.249977111117893"/>
      </top>
      <bottom/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medium">
        <color theme="9" tint="-0.24994659260841701"/>
      </bottom>
      <diagonal/>
    </border>
    <border>
      <left/>
      <right/>
      <top/>
      <bottom style="medium">
        <color rgb="FF548235"/>
      </bottom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theme="2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2" tint="-0.24994659260841701"/>
      </bottom>
      <diagonal/>
    </border>
    <border>
      <left style="thin">
        <color theme="2" tint="-0.24994659260841701"/>
      </left>
      <right/>
      <top style="medium">
        <color theme="0" tint="-0.34998626667073579"/>
      </top>
      <bottom style="medium">
        <color theme="2" tint="-0.24994659260841701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2" tint="-0.2499465926084170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8" tint="-0.249977111117893"/>
      </bottom>
      <diagonal/>
    </border>
    <border>
      <left/>
      <right/>
      <top style="medium">
        <color theme="0" tint="-0.34998626667073579"/>
      </top>
      <bottom style="thin">
        <color theme="8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8" tint="-0.24997711111789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/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/>
      <top style="medium">
        <color theme="9" tint="-0.24994659260841701"/>
      </top>
      <bottom/>
      <diagonal/>
    </border>
    <border>
      <left/>
      <right style="medium">
        <color theme="0" tint="-0.34998626667073579"/>
      </right>
      <top style="medium">
        <color theme="9" tint="-0.24994659260841701"/>
      </top>
      <bottom/>
      <diagonal/>
    </border>
    <border>
      <left/>
      <right style="medium">
        <color theme="0" tint="-0.34998626667073579"/>
      </right>
      <top style="thin">
        <color theme="2" tint="-0.249977111117893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theme="0" tint="-0.34998626667073579"/>
      </bottom>
      <diagonal/>
    </border>
    <border>
      <left/>
      <right style="thin">
        <color theme="2" tint="-0.24994659260841701"/>
      </right>
      <top/>
      <bottom style="medium">
        <color theme="0" tint="-0.34998626667073579"/>
      </bottom>
      <diagonal/>
    </border>
    <border>
      <left style="thin">
        <color theme="2" tint="-0.24994659260841701"/>
      </left>
      <right/>
      <top/>
      <bottom style="medium">
        <color theme="0" tint="-0.34998626667073579"/>
      </bottom>
      <diagonal/>
    </border>
    <border>
      <left/>
      <right style="thin">
        <color theme="9" tint="-0.24994659260841701"/>
      </right>
      <top style="medium">
        <color theme="9" tint="-0.24994659260841701"/>
      </top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8" tint="-0.249977111117893"/>
      </top>
      <bottom/>
      <diagonal/>
    </border>
    <border>
      <left/>
      <right style="thin">
        <color theme="9" tint="-0.24994659260841701"/>
      </right>
      <top/>
      <bottom style="medium">
        <color theme="9" tint="-0.24994659260841701"/>
      </bottom>
      <diagonal/>
    </border>
    <border>
      <left style="thin">
        <color theme="0" tint="-0.34998626667073579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theme="2" tint="-0.24994659260841701"/>
      </top>
      <bottom/>
      <diagonal/>
    </border>
    <border>
      <left/>
      <right/>
      <top style="thin">
        <color theme="9" tint="0.59999389629810485"/>
      </top>
      <bottom/>
      <diagonal/>
    </border>
    <border>
      <left style="medium">
        <color rgb="FFFF0000"/>
      </left>
      <right style="medium">
        <color rgb="FFFF0000"/>
      </right>
      <top style="thin">
        <color theme="9" tint="0.59999389629810485"/>
      </top>
      <bottom/>
      <diagonal/>
    </border>
    <border>
      <left/>
      <right/>
      <top/>
      <bottom style="thin">
        <color theme="9" tint="0.59999389629810485"/>
      </bottom>
      <diagonal/>
    </border>
    <border>
      <left style="medium">
        <color rgb="FFFF0000"/>
      </left>
      <right style="medium">
        <color rgb="FFFF0000"/>
      </right>
      <top/>
      <bottom style="thin">
        <color theme="9" tint="0.59999389629810485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rgb="FFFF0000"/>
      </left>
      <right style="medium">
        <color rgb="FFFF0000"/>
      </right>
      <top style="thin">
        <color theme="0" tint="-0.1499984740745262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14999847407452621"/>
      </left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0" tint="-0.24994659260841701"/>
      </left>
      <right/>
      <top/>
      <bottom style="thin">
        <color theme="8" tint="-0.249977111117893"/>
      </bottom>
      <diagonal/>
    </border>
    <border>
      <left style="medium">
        <color theme="9" tint="-0.249977111117893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thin">
        <color theme="2" tint="-9.9978637043366805E-2"/>
      </bottom>
      <diagonal/>
    </border>
    <border>
      <left style="medium">
        <color theme="9" tint="-0.249977111117893"/>
      </left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medium">
        <color theme="2" tint="-0.249977111117893"/>
      </right>
      <top/>
      <bottom style="medium">
        <color theme="4" tint="-0.499984740745262"/>
      </bottom>
      <diagonal/>
    </border>
    <border>
      <left/>
      <right/>
      <top/>
      <bottom style="medium">
        <color theme="0" tint="-0.14999847407452621"/>
      </bottom>
      <diagonal/>
    </border>
    <border>
      <left style="medium">
        <color theme="0" tint="-0.34998626667073579"/>
      </left>
      <right/>
      <top/>
      <bottom style="medium">
        <color theme="0" tint="-0.14999847407452621"/>
      </bottom>
      <diagonal/>
    </border>
    <border>
      <left/>
      <right style="medium">
        <color theme="0" tint="-0.34998626667073579"/>
      </right>
      <top/>
      <bottom style="medium">
        <color theme="0" tint="-0.14999847407452621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0" tint="-0.14999847407452621"/>
      </bottom>
      <diagonal/>
    </border>
    <border>
      <left style="thin">
        <color theme="0" tint="-0.34998626667073579"/>
      </left>
      <right/>
      <top/>
      <bottom style="medium">
        <color theme="0" tint="-0.14999847407452621"/>
      </bottom>
      <diagonal/>
    </border>
    <border>
      <left style="thin">
        <color theme="2" tint="-0.24994659260841701"/>
      </left>
      <right/>
      <top/>
      <bottom style="medium">
        <color theme="0" tint="-0.14999847407452621"/>
      </bottom>
      <diagonal/>
    </border>
    <border>
      <left/>
      <right style="medium">
        <color theme="8" tint="-0.24994659260841701"/>
      </right>
      <top/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34998626667073579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34998626667073579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34998626667073579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2" tint="-0.2499465926084170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8" tint="-0.2499465926084170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thin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hair">
        <color theme="0" tint="-0.34998626667073579"/>
      </top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medium">
        <color theme="0" tint="-0.34998626667073579"/>
      </bottom>
      <diagonal/>
    </border>
    <border>
      <left style="medium">
        <color theme="2" tint="-0.249977111117893"/>
      </left>
      <right/>
      <top/>
      <bottom style="medium">
        <color theme="9" tint="-0.249977111117893"/>
      </bottom>
      <diagonal/>
    </border>
    <border>
      <left style="thin">
        <color theme="2" tint="-0.24994659260841701"/>
      </left>
      <right/>
      <top/>
      <bottom style="medium">
        <color theme="9" tint="-0.249977111117893"/>
      </bottom>
      <diagonal/>
    </border>
    <border>
      <left/>
      <right style="medium">
        <color theme="8" tint="-0.249977111117893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theme="2" tint="-0.24994659260841701"/>
      </left>
      <right/>
      <top/>
      <bottom style="thin">
        <color rgb="FF0070C0"/>
      </bottom>
      <diagonal/>
    </border>
    <border>
      <left style="medium">
        <color rgb="FFFF0000"/>
      </left>
      <right style="medium">
        <color rgb="FFFF0000"/>
      </right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theme="2" tint="-0.24994659260841701"/>
      </left>
      <right/>
      <top style="thin">
        <color rgb="FF0070C0"/>
      </top>
      <bottom/>
      <diagonal/>
    </border>
    <border>
      <left style="medium">
        <color rgb="FFFF0000"/>
      </left>
      <right style="medium">
        <color rgb="FFFF0000"/>
      </right>
      <top style="thin">
        <color rgb="FF0070C0"/>
      </top>
      <bottom/>
      <diagonal/>
    </border>
    <border>
      <left/>
      <right style="medium">
        <color theme="8" tint="-0.249977111117893"/>
      </right>
      <top style="thin">
        <color rgb="FF0070C0"/>
      </top>
      <bottom/>
      <diagonal/>
    </border>
    <border>
      <left/>
      <right/>
      <top/>
      <bottom style="thin">
        <color theme="9" tint="-0.249977111117893"/>
      </bottom>
      <diagonal/>
    </border>
    <border>
      <left style="medium">
        <color rgb="FFFF0000"/>
      </left>
      <right style="medium">
        <color rgb="FFFF0000"/>
      </right>
      <top/>
      <bottom style="medium">
        <color theme="7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medium">
        <color rgb="FFFF0000"/>
      </left>
      <right style="medium">
        <color rgb="FFFF0000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2" tint="-0.24994659260841701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2" tint="-0.24994659260841701"/>
      </left>
      <right/>
      <top style="thin">
        <color theme="0" tint="-0.34998626667073579"/>
      </top>
      <bottom/>
      <diagonal/>
    </border>
    <border>
      <left/>
      <right style="medium">
        <color theme="8" tint="-0.249977111117893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2" tint="-0.24994659260841701"/>
      </left>
      <right/>
      <top/>
      <bottom style="thin">
        <color theme="0" tint="-0.34998626667073579"/>
      </bottom>
      <diagonal/>
    </border>
    <border>
      <left/>
      <right style="medium">
        <color theme="8" tint="-0.249977111117893"/>
      </right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2" tint="-0.24994659260841701"/>
      </top>
      <bottom/>
      <diagonal/>
    </border>
    <border>
      <left/>
      <right/>
      <top style="thick">
        <color theme="2" tint="-0.24994659260841701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8" tint="-0.249977111117893"/>
      </bottom>
      <diagonal/>
    </border>
    <border>
      <left/>
      <right/>
      <top style="medium">
        <color theme="0" tint="-0.34998626667073579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0" tint="-0.34998626667073579"/>
      </left>
      <right/>
      <top/>
      <bottom style="medium">
        <color theme="9" tint="-0.249977111117893"/>
      </bottom>
      <diagonal/>
    </border>
    <border>
      <left style="thin">
        <color theme="2" tint="-0.24994659260841701"/>
      </left>
      <right/>
      <top style="thin">
        <color theme="7" tint="-0.249977111117893"/>
      </top>
      <bottom/>
      <diagonal/>
    </border>
    <border>
      <left/>
      <right style="medium">
        <color theme="0" tint="-0.34998626667073579"/>
      </right>
      <top style="medium">
        <color theme="2" tint="-0.24994659260841701"/>
      </top>
      <bottom style="medium">
        <color theme="9" tint="-0.249977111117893"/>
      </bottom>
      <diagonal/>
    </border>
    <border>
      <left/>
      <right style="medium">
        <color theme="0" tint="-0.34998626667073579"/>
      </right>
      <top style="thin">
        <color theme="8" tint="-0.24994659260841701"/>
      </top>
      <bottom/>
      <diagonal/>
    </border>
    <border>
      <left/>
      <right style="medium">
        <color theme="0" tint="-0.34998626667073579"/>
      </right>
      <top/>
      <bottom style="medium">
        <color theme="8" tint="-0.24994659260841701"/>
      </bottom>
      <diagonal/>
    </border>
    <border>
      <left/>
      <right style="medium">
        <color theme="0" tint="-0.34998626667073579"/>
      </right>
      <top style="medium">
        <color theme="7" tint="-0.24994659260841701"/>
      </top>
      <bottom/>
      <diagonal/>
    </border>
    <border>
      <left/>
      <right style="medium">
        <color theme="0" tint="-0.34998626667073579"/>
      </right>
      <top/>
      <bottom style="thin">
        <color theme="7" tint="-0.24994659260841701"/>
      </bottom>
      <diagonal/>
    </border>
    <border>
      <left/>
      <right style="medium">
        <color theme="0" tint="-0.34998626667073579"/>
      </right>
      <top style="thin">
        <color theme="7" tint="-0.24994659260841701"/>
      </top>
      <bottom/>
      <diagonal/>
    </border>
    <border>
      <left/>
      <right style="medium">
        <color theme="0" tint="-0.34998626667073579"/>
      </right>
      <top/>
      <bottom style="medium">
        <color theme="7" tint="-0.24994659260841701"/>
      </bottom>
      <diagonal/>
    </border>
    <border>
      <left/>
      <right style="thin">
        <color theme="2" tint="-0.249977111117893"/>
      </right>
      <top style="medium">
        <color theme="0" tint="-0.34998626667073579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2" tint="-0.24994659260841701"/>
      </left>
      <right/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8" tint="-0.249977111117893"/>
      </bottom>
      <diagonal/>
    </border>
    <border>
      <left/>
      <right/>
      <top style="medium">
        <color theme="0" tint="-0.34998626667073579"/>
      </top>
      <bottom style="medium">
        <color theme="9" tint="-0.24994659260841701"/>
      </bottom>
      <diagonal/>
    </border>
    <border>
      <left style="medium">
        <color theme="0" tint="-0.34998626667073579"/>
      </left>
      <right/>
      <top style="medium">
        <color theme="8" tint="-0.249977111117893"/>
      </top>
      <bottom/>
      <diagonal/>
    </border>
    <border>
      <left style="medium">
        <color theme="0" tint="-0.34998626667073579"/>
      </left>
      <right/>
      <top/>
      <bottom style="thin">
        <color rgb="FF0070C0"/>
      </bottom>
      <diagonal/>
    </border>
    <border>
      <left style="medium">
        <color theme="0" tint="-0.34998626667073579"/>
      </left>
      <right/>
      <top style="thin">
        <color rgb="FF0070C0"/>
      </top>
      <bottom/>
      <diagonal/>
    </border>
    <border>
      <left style="medium">
        <color theme="0" tint="-0.34998626667073579"/>
      </left>
      <right/>
      <top style="medium">
        <color theme="9" tint="-0.249977111117893"/>
      </top>
      <bottom/>
      <diagonal/>
    </border>
    <border>
      <left style="medium">
        <color theme="0" tint="-0.34998626667073579"/>
      </left>
      <right/>
      <top/>
      <bottom style="medium">
        <color theme="8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2" tint="-0.24994659260841701"/>
      </top>
      <bottom/>
      <diagonal/>
    </border>
    <border>
      <left style="medium">
        <color theme="0" tint="-0.34998626667073579"/>
      </left>
      <right/>
      <top style="medium">
        <color theme="2" tint="-0.2499465926084170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7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7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7" tint="-0.2499465926084170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7" tint="-0.24994659260841701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 style="medium">
        <color theme="0" tint="-0.34998626667073579"/>
      </bottom>
      <diagonal/>
    </border>
    <border>
      <left style="medium">
        <color theme="2" tint="-0.249977111117893"/>
      </left>
      <right/>
      <top/>
      <bottom style="medium">
        <color theme="0" tint="-0.34998626667073579"/>
      </bottom>
      <diagonal/>
    </border>
    <border>
      <left/>
      <right style="thin">
        <color theme="8" tint="-0.249977111117893"/>
      </right>
      <top style="medium">
        <color theme="0" tint="-0.34998626667073579"/>
      </top>
      <bottom style="thin">
        <color theme="8" tint="-0.249977111117893"/>
      </bottom>
      <diagonal/>
    </border>
    <border>
      <left style="medium">
        <color theme="0" tint="-0.34998626667073579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0" tint="-0.34998626667073579"/>
      </left>
      <right/>
      <top style="thin">
        <color theme="8" tint="-0.249977111117893"/>
      </top>
      <bottom style="medium">
        <color theme="0" tint="-0.34998626667073579"/>
      </bottom>
      <diagonal/>
    </border>
    <border>
      <left style="medium">
        <color theme="2" tint="-0.249977111117893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8" tint="-0.249977111117893"/>
      </top>
      <bottom/>
      <diagonal/>
    </border>
    <border>
      <left/>
      <right style="medium">
        <color theme="0" tint="-0.34998626667073579"/>
      </right>
      <top style="thin">
        <color theme="8" tint="-0.499984740745262"/>
      </top>
      <bottom/>
      <diagonal/>
    </border>
    <border>
      <left style="medium">
        <color theme="0" tint="-0.24994659260841701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2" tint="-0.249977111117893"/>
      </top>
      <bottom/>
      <diagonal/>
    </border>
    <border>
      <left/>
      <right/>
      <top style="medium">
        <color theme="0" tint="-0.34998626667073579"/>
      </top>
      <bottom style="medium">
        <color theme="8" tint="-0.24994659260841701"/>
      </bottom>
      <diagonal/>
    </border>
    <border>
      <left/>
      <right style="medium">
        <color theme="8" tint="-0.249977111117893"/>
      </right>
      <top/>
      <bottom style="thin">
        <color theme="8" tint="-0.24994659260841701"/>
      </bottom>
      <diagonal/>
    </border>
    <border>
      <left/>
      <right style="medium">
        <color theme="9" tint="-0.249977111117893"/>
      </right>
      <top style="medium">
        <color theme="9" tint="-0.24994659260841701"/>
      </top>
      <bottom/>
      <diagonal/>
    </border>
    <border>
      <left/>
      <right style="medium">
        <color theme="9" tint="-0.249977111117893"/>
      </right>
      <top/>
      <bottom style="hair">
        <color theme="9" tint="-0.24994659260841701"/>
      </bottom>
      <diagonal/>
    </border>
    <border>
      <left/>
      <right style="medium">
        <color theme="9" tint="-0.249977111117893"/>
      </right>
      <top style="hair">
        <color theme="9" tint="-0.24994659260841701"/>
      </top>
      <bottom/>
      <diagonal/>
    </border>
    <border>
      <left/>
      <right style="medium">
        <color theme="9" tint="-0.249977111117893"/>
      </right>
      <top/>
      <bottom style="thin">
        <color theme="9" tint="-0.24994659260841701"/>
      </bottom>
      <diagonal/>
    </border>
    <border>
      <left/>
      <right style="medium">
        <color theme="9" tint="-0.249977111117893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 style="medium">
        <color theme="9" tint="-0.249977111117893"/>
      </right>
      <top/>
      <bottom style="medium">
        <color theme="9" tint="-0.24994659260841701"/>
      </bottom>
      <diagonal/>
    </border>
    <border>
      <left style="medium">
        <color theme="9" tint="-0.249977111117893"/>
      </left>
      <right style="thin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77111117893"/>
      </left>
      <right style="thin">
        <color theme="9" tint="-0.24994659260841701"/>
      </right>
      <top/>
      <bottom/>
      <diagonal/>
    </border>
    <border>
      <left style="medium">
        <color theme="9" tint="-0.249977111117893"/>
      </left>
      <right style="thin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8" tint="-0.249977111117893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77111117893"/>
      </left>
      <right style="thin">
        <color theme="8" tint="-0.24994659260841701"/>
      </right>
      <top/>
      <bottom/>
      <diagonal/>
    </border>
    <border>
      <left style="medium">
        <color theme="8" tint="-0.249977111117893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7" tint="-0.249977111117893"/>
      </left>
      <right style="thin">
        <color theme="7" tint="-0.24994659260841701"/>
      </right>
      <top style="medium">
        <color theme="7" tint="-0.249977111117893"/>
      </top>
      <bottom/>
      <diagonal/>
    </border>
    <border>
      <left style="thin">
        <color theme="7" tint="-0.24994659260841701"/>
      </left>
      <right/>
      <top style="medium">
        <color theme="7" tint="-0.249977111117893"/>
      </top>
      <bottom/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2" tint="-0.249977111117893"/>
      </left>
      <right/>
      <top style="medium">
        <color theme="7" tint="-0.249977111117893"/>
      </top>
      <bottom/>
      <diagonal/>
    </border>
    <border>
      <left style="medium">
        <color rgb="FFFF0000"/>
      </left>
      <right/>
      <top style="medium">
        <color theme="7" tint="-0.249977111117893"/>
      </top>
      <bottom/>
      <diagonal/>
    </border>
    <border>
      <left/>
      <right style="medium">
        <color rgb="FFFF0000"/>
      </right>
      <top style="medium">
        <color theme="7" tint="-0.249977111117893"/>
      </top>
      <bottom/>
      <diagonal/>
    </border>
    <border>
      <left/>
      <right style="thin">
        <color theme="2" tint="-0.24994659260841701"/>
      </right>
      <top style="medium">
        <color theme="7" tint="-0.249977111117893"/>
      </top>
      <bottom/>
      <diagonal/>
    </border>
    <border>
      <left/>
      <right style="thin">
        <color theme="2" tint="-0.249977111117893"/>
      </right>
      <top style="medium">
        <color theme="7" tint="-0.249977111117893"/>
      </top>
      <bottom/>
      <diagonal/>
    </border>
    <border>
      <left style="thin">
        <color theme="2" tint="-0.24994659260841701"/>
      </left>
      <right/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 style="thin">
        <color theme="7" tint="-0.24994659260841701"/>
      </right>
      <top/>
      <bottom/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4659260841701"/>
      </bottom>
      <diagonal/>
    </border>
    <border>
      <left/>
      <right style="medium">
        <color theme="7" tint="-0.249977111117893"/>
      </right>
      <top style="medium">
        <color theme="7" tint="-0.24994659260841701"/>
      </top>
      <bottom/>
      <diagonal/>
    </border>
    <border>
      <left/>
      <right style="medium">
        <color theme="7" tint="-0.249977111117893"/>
      </right>
      <top style="thin">
        <color theme="7" tint="-0.24994659260841701"/>
      </top>
      <bottom/>
      <diagonal/>
    </border>
    <border>
      <left/>
      <right style="medium">
        <color theme="7" tint="-0.249977111117893"/>
      </right>
      <top/>
      <bottom style="thin">
        <color theme="7" tint="-0.24994659260841701"/>
      </bottom>
      <diagonal/>
    </border>
    <border>
      <left style="medium">
        <color theme="7" tint="-0.249977111117893"/>
      </left>
      <right style="thin">
        <color theme="7" tint="-0.24994659260841701"/>
      </right>
      <top/>
      <bottom style="medium">
        <color theme="7" tint="-0.249977111117893"/>
      </bottom>
      <diagonal/>
    </border>
    <border>
      <left style="thin">
        <color theme="7" tint="-0.24994659260841701"/>
      </left>
      <right/>
      <top/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 style="medium">
        <color theme="2" tint="-0.249977111117893"/>
      </left>
      <right/>
      <top/>
      <bottom style="medium">
        <color theme="7" tint="-0.249977111117893"/>
      </bottom>
      <diagonal/>
    </border>
    <border>
      <left style="medium">
        <color rgb="FFFF0000"/>
      </left>
      <right/>
      <top/>
      <bottom style="medium">
        <color theme="7" tint="-0.249977111117893"/>
      </bottom>
      <diagonal/>
    </border>
    <border>
      <left/>
      <right style="medium">
        <color rgb="FFFF0000"/>
      </right>
      <top/>
      <bottom style="medium">
        <color theme="7" tint="-0.249977111117893"/>
      </bottom>
      <diagonal/>
    </border>
    <border>
      <left/>
      <right style="thin">
        <color theme="2" tint="-0.24994659260841701"/>
      </right>
      <top/>
      <bottom style="medium">
        <color theme="7" tint="-0.249977111117893"/>
      </bottom>
      <diagonal/>
    </border>
    <border>
      <left/>
      <right style="thin">
        <color theme="2" tint="-0.249977111117893"/>
      </right>
      <top/>
      <bottom style="medium">
        <color theme="7" tint="-0.249977111117893"/>
      </bottom>
      <diagonal/>
    </border>
    <border>
      <left style="thin">
        <color theme="2" tint="-0.249977111117893"/>
      </left>
      <right/>
      <top/>
      <bottom style="medium">
        <color theme="7" tint="-0.249977111117893"/>
      </bottom>
      <diagonal/>
    </border>
    <border>
      <left style="thin">
        <color theme="2" tint="-0.24994659260841701"/>
      </left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thick">
        <color theme="0" tint="-0.34998626667073579"/>
      </right>
      <top/>
      <bottom style="medium">
        <color theme="7" tint="-0.249977111117893"/>
      </bottom>
      <diagonal/>
    </border>
    <border>
      <left style="thick">
        <color theme="0" tint="-0.34998626667073579"/>
      </left>
      <right/>
      <top style="medium">
        <color theme="0" tint="-0.34998626667073579"/>
      </top>
      <bottom style="medium">
        <color theme="7" tint="-0.249977111117893"/>
      </bottom>
      <diagonal/>
    </border>
    <border>
      <left/>
      <right/>
      <top style="medium">
        <color theme="0" tint="-0.34998626667073579"/>
      </top>
      <bottom style="medium">
        <color theme="7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7" tint="-0.249977111117893"/>
      </bottom>
      <diagonal/>
    </border>
    <border>
      <left/>
      <right style="thick">
        <color theme="0" tint="-0.34998626667073579"/>
      </right>
      <top/>
      <bottom style="medium">
        <color theme="8" tint="-0.249977111117893"/>
      </bottom>
      <diagonal/>
    </border>
    <border>
      <left style="thick">
        <color theme="0" tint="-0.34998626667073579"/>
      </left>
      <right/>
      <top style="medium">
        <color theme="0" tint="-0.34998626667073579"/>
      </top>
      <bottom style="medium">
        <color theme="8" tint="-0.249977111117893"/>
      </bottom>
      <diagonal/>
    </border>
    <border>
      <left style="medium">
        <color theme="2" tint="-0.249977111117893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n">
        <color theme="2" tint="-0.249977111117893"/>
      </right>
      <top style="thick">
        <color theme="0" tint="-0.34998626667073579"/>
      </top>
      <bottom/>
      <diagonal/>
    </border>
    <border>
      <left style="thin">
        <color theme="2" tint="-0.249977111117893"/>
      </left>
      <right/>
      <top style="thick">
        <color theme="0" tint="-0.34998626667073579"/>
      </top>
      <bottom/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 style="medium">
        <color theme="8" tint="-0.249977111117893"/>
      </bottom>
      <diagonal/>
    </border>
    <border>
      <left/>
      <right/>
      <top style="thick">
        <color theme="0" tint="-0.34998626667073579"/>
      </top>
      <bottom style="medium">
        <color theme="8" tint="-0.249977111117893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medium">
        <color theme="8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medium">
        <color theme="8" tint="-0.249977111117893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medium">
        <color theme="7" tint="-0.249977111117893"/>
      </bottom>
      <diagonal/>
    </border>
    <border>
      <left/>
      <right/>
      <top style="thick">
        <color theme="0" tint="-0.34998626667073579"/>
      </top>
      <bottom style="medium">
        <color theme="7" tint="-0.249977111117893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medium">
        <color theme="7" tint="-0.249977111117893"/>
      </bottom>
      <diagonal/>
    </border>
    <border>
      <left style="thin">
        <color theme="2" tint="-0.24994659260841701"/>
      </left>
      <right/>
      <top/>
      <bottom style="medium">
        <color rgb="FFFF0000"/>
      </bottom>
      <diagonal/>
    </border>
    <border>
      <left style="thin">
        <color theme="0" tint="-0.34998626667073579"/>
      </left>
      <right/>
      <top/>
      <bottom style="medium">
        <color theme="7" tint="-0.249977111117893"/>
      </bottom>
      <diagonal/>
    </border>
    <border>
      <left style="medium">
        <color theme="2" tint="-0.24994659260841701"/>
      </left>
      <right/>
      <top/>
      <bottom style="medium">
        <color theme="7" tint="-0.249977111117893"/>
      </bottom>
      <diagonal/>
    </border>
    <border>
      <left style="thin">
        <color theme="2" tint="-0.24994659260841701"/>
      </left>
      <right style="medium">
        <color rgb="FFFF0000"/>
      </right>
      <top style="medium">
        <color theme="7" tint="-0.249977111117893"/>
      </top>
      <bottom/>
      <diagonal/>
    </border>
    <border>
      <left style="medium">
        <color theme="8" tint="-0.249977111117893"/>
      </left>
      <right style="thin">
        <color theme="8" tint="-0.24994659260841701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 style="thin">
        <color theme="8" tint="-0.24994659260841701"/>
      </right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 style="hair">
        <color theme="0" tint="-0.24994659260841701"/>
      </top>
      <bottom/>
      <diagonal/>
    </border>
    <border>
      <left/>
      <right style="medium">
        <color theme="8" tint="-0.249977111117893"/>
      </right>
      <top/>
      <bottom style="hair">
        <color theme="0" tint="-0.24994659260841701"/>
      </bottom>
      <diagonal/>
    </border>
    <border>
      <left/>
      <right style="medium">
        <color theme="8" tint="-0.249977111117893"/>
      </right>
      <top style="thin">
        <color theme="8" tint="-0.24994659260841701"/>
      </top>
      <bottom/>
      <diagonal/>
    </border>
    <border>
      <left/>
      <right style="medium">
        <color theme="8" tint="-0.249977111117893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8" tint="-0.24994659260841701"/>
      </left>
      <right/>
      <top/>
      <bottom style="medium">
        <color theme="8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7" tint="-0.249977111117893"/>
      </top>
      <bottom/>
      <diagonal/>
    </border>
    <border>
      <left/>
      <right style="medium">
        <color theme="0" tint="-0.34998626667073579"/>
      </right>
      <top style="medium">
        <color theme="7" tint="-0.249977111117893"/>
      </top>
      <bottom/>
      <diagonal/>
    </border>
    <border>
      <left style="medium">
        <color rgb="FFFF0000"/>
      </left>
      <right style="medium">
        <color rgb="FFFF0000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 style="thin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77111117893"/>
      </left>
      <right/>
      <top/>
      <bottom/>
      <diagonal/>
    </border>
    <border>
      <left style="medium">
        <color theme="7" tint="-0.249977111117893"/>
      </left>
      <right/>
      <top style="medium">
        <color theme="7" tint="-0.24994659260841701"/>
      </top>
      <bottom/>
      <diagonal/>
    </border>
    <border>
      <left style="medium">
        <color theme="7" tint="-0.249977111117893"/>
      </left>
      <right/>
      <top/>
      <bottom style="medium">
        <color theme="7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7" tint="-0.249977111117893"/>
      </bottom>
      <diagonal/>
    </border>
    <border>
      <left/>
      <right style="medium">
        <color theme="0" tint="-0.34998626667073579"/>
      </right>
      <top/>
      <bottom style="medium">
        <color theme="7" tint="-0.249977111117893"/>
      </bottom>
      <diagonal/>
    </border>
    <border>
      <left style="thick">
        <color theme="0" tint="-0.34998626667073579"/>
      </left>
      <right/>
      <top style="medium">
        <color theme="0" tint="-0.34998626667073579"/>
      </top>
      <bottom style="medium">
        <color theme="8" tint="-0.24994659260841701"/>
      </bottom>
      <diagonal/>
    </border>
    <border>
      <left style="thick">
        <color theme="0" tint="-0.34998626667073579"/>
      </left>
      <right style="medium">
        <color theme="0" tint="-0.34998626667073579"/>
      </right>
      <top style="medium">
        <color theme="2" tint="-0.24994659260841701"/>
      </top>
      <bottom style="medium">
        <color theme="8" tint="-0.24994659260841701"/>
      </bottom>
      <diagonal/>
    </border>
    <border>
      <left style="thick">
        <color theme="0" tint="-0.34998626667073579"/>
      </left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 style="thin">
        <color theme="0" tint="-0.14999847407452621"/>
      </right>
      <top style="medium">
        <color theme="2" tint="-0.24994659260841701"/>
      </top>
      <bottom style="medium">
        <color theme="2" tint="-0.24994659260841701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/>
      <right style="thick">
        <color theme="9" tint="-0.249977111117893"/>
      </right>
      <top style="medium">
        <color theme="2" tint="-0.24994659260841701"/>
      </top>
      <bottom/>
      <diagonal/>
    </border>
    <border>
      <left/>
      <right style="thick">
        <color theme="9" tint="-0.249977111117893"/>
      </right>
      <top/>
      <bottom/>
      <diagonal/>
    </border>
    <border>
      <left/>
      <right style="thick">
        <color theme="9" tint="-0.249977111117893"/>
      </right>
      <top/>
      <bottom style="thin">
        <color theme="8" tint="-0.249977111117893"/>
      </bottom>
      <diagonal/>
    </border>
    <border>
      <left/>
      <right style="thick">
        <color theme="9" tint="-0.249977111117893"/>
      </right>
      <top style="thin">
        <color theme="9" tint="0.59999389629810485"/>
      </top>
      <bottom/>
      <diagonal/>
    </border>
    <border>
      <left/>
      <right style="thick">
        <color theme="9" tint="-0.249977111117893"/>
      </right>
      <top/>
      <bottom style="thin">
        <color theme="9" tint="0.59999389629810485"/>
      </bottom>
      <diagonal/>
    </border>
    <border>
      <left/>
      <right style="thick">
        <color theme="9" tint="-0.249977111117893"/>
      </right>
      <top style="thin">
        <color theme="8" tint="-0.249977111117893"/>
      </top>
      <bottom/>
      <diagonal/>
    </border>
    <border>
      <left style="thick">
        <color theme="9" tint="-0.249977111117893"/>
      </left>
      <right/>
      <top style="medium">
        <color theme="2" tint="-0.24994659260841701"/>
      </top>
      <bottom/>
      <diagonal/>
    </border>
    <border>
      <left style="thick">
        <color theme="9" tint="-0.249977111117893"/>
      </left>
      <right/>
      <top/>
      <bottom/>
      <diagonal/>
    </border>
    <border>
      <left style="thick">
        <color theme="9" tint="-0.249977111117893"/>
      </left>
      <right/>
      <top/>
      <bottom style="thick">
        <color theme="9" tint="-0.249977111117893"/>
      </bottom>
      <diagonal/>
    </border>
    <border>
      <left/>
      <right/>
      <top/>
      <bottom style="thick">
        <color theme="9" tint="-0.249977111117893"/>
      </bottom>
      <diagonal/>
    </border>
    <border>
      <left style="medium">
        <color theme="2" tint="-0.249977111117893"/>
      </left>
      <right/>
      <top/>
      <bottom style="thick">
        <color theme="9" tint="-0.249977111117893"/>
      </bottom>
      <diagonal/>
    </border>
    <border>
      <left style="medium">
        <color rgb="FFFF0000"/>
      </left>
      <right style="medium">
        <color rgb="FFFF0000"/>
      </right>
      <top/>
      <bottom style="thick">
        <color theme="9" tint="-0.249977111117893"/>
      </bottom>
      <diagonal/>
    </border>
    <border>
      <left style="thin">
        <color theme="2" tint="-0.24994659260841701"/>
      </left>
      <right/>
      <top/>
      <bottom style="thick">
        <color theme="9" tint="-0.249977111117893"/>
      </bottom>
      <diagonal/>
    </border>
    <border>
      <left/>
      <right style="thick">
        <color theme="9" tint="-0.249977111117893"/>
      </right>
      <top/>
      <bottom style="thick">
        <color theme="9" tint="-0.249977111117893"/>
      </bottom>
      <diagonal/>
    </border>
    <border>
      <left style="medium">
        <color rgb="FFFF0000"/>
      </left>
      <right style="medium">
        <color rgb="FFFF0000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/>
      <right style="thick">
        <color theme="0" tint="-0.34998626667073579"/>
      </right>
      <top/>
      <bottom style="thin">
        <color theme="0" tint="-0.14999847407452621"/>
      </bottom>
      <diagonal/>
    </border>
    <border>
      <left/>
      <right style="thick">
        <color theme="0" tint="-0.34998626667073579"/>
      </right>
      <top style="thin">
        <color theme="0" tint="-0.14999847407452621"/>
      </top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 style="medium">
        <color rgb="FFFF0000"/>
      </left>
      <right style="medium">
        <color rgb="FFFF0000"/>
      </right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7" tint="-0.249977111117893"/>
      </left>
      <right/>
      <top style="thick">
        <color theme="7" tint="-0.249977111117893"/>
      </top>
      <bottom/>
      <diagonal/>
    </border>
    <border>
      <left/>
      <right/>
      <top style="thick">
        <color theme="7" tint="-0.249977111117893"/>
      </top>
      <bottom/>
      <diagonal/>
    </border>
    <border>
      <left style="medium">
        <color rgb="FFFF0000"/>
      </left>
      <right style="medium">
        <color rgb="FFFF0000"/>
      </right>
      <top style="thick">
        <color theme="7" tint="-0.249977111117893"/>
      </top>
      <bottom/>
      <diagonal/>
    </border>
    <border>
      <left/>
      <right style="thick">
        <color theme="7" tint="-0.249977111117893"/>
      </right>
      <top style="thick">
        <color theme="7" tint="-0.249977111117893"/>
      </top>
      <bottom/>
      <diagonal/>
    </border>
    <border>
      <left style="thick">
        <color theme="7" tint="-0.249977111117893"/>
      </left>
      <right/>
      <top/>
      <bottom/>
      <diagonal/>
    </border>
    <border>
      <left/>
      <right style="thick">
        <color theme="7" tint="-0.249977111117893"/>
      </right>
      <top/>
      <bottom/>
      <diagonal/>
    </border>
    <border>
      <left style="thick">
        <color theme="7" tint="-0.249977111117893"/>
      </left>
      <right/>
      <top/>
      <bottom style="thick">
        <color theme="7" tint="-0.249977111117893"/>
      </bottom>
      <diagonal/>
    </border>
    <border>
      <left/>
      <right/>
      <top/>
      <bottom style="thick">
        <color theme="7" tint="-0.249977111117893"/>
      </bottom>
      <diagonal/>
    </border>
    <border>
      <left style="medium">
        <color theme="2" tint="-0.249977111117893"/>
      </left>
      <right/>
      <top/>
      <bottom style="thick">
        <color theme="7" tint="-0.249977111117893"/>
      </bottom>
      <diagonal/>
    </border>
    <border>
      <left style="medium">
        <color rgb="FFFF0000"/>
      </left>
      <right style="medium">
        <color rgb="FFFF0000"/>
      </right>
      <top/>
      <bottom style="thick">
        <color theme="7" tint="-0.249977111117893"/>
      </bottom>
      <diagonal/>
    </border>
    <border>
      <left style="thin">
        <color theme="2" tint="-0.24994659260841701"/>
      </left>
      <right/>
      <top/>
      <bottom style="thick">
        <color theme="7" tint="-0.249977111117893"/>
      </bottom>
      <diagonal/>
    </border>
    <border>
      <left/>
      <right style="thick">
        <color theme="7" tint="-0.249977111117893"/>
      </right>
      <top/>
      <bottom style="thick">
        <color theme="7" tint="-0.249977111117893"/>
      </bottom>
      <diagonal/>
    </border>
    <border>
      <left style="medium">
        <color rgb="FFFF0000"/>
      </left>
      <right/>
      <top/>
      <bottom style="thick">
        <color theme="7" tint="-0.249977111117893"/>
      </bottom>
      <diagonal/>
    </border>
    <border>
      <left/>
      <right style="thick">
        <color theme="0" tint="-0.34998626667073579"/>
      </right>
      <top/>
      <bottom style="medium">
        <color theme="2" tint="-0.24994659260841701"/>
      </bottom>
      <diagonal/>
    </border>
    <border>
      <left style="thick">
        <color theme="8" tint="-0.249977111117893"/>
      </left>
      <right style="thin">
        <color theme="8" tint="-0.249977111117893"/>
      </right>
      <top style="thick">
        <color theme="8" tint="-0.249977111117893"/>
      </top>
      <bottom/>
      <diagonal/>
    </border>
    <border>
      <left/>
      <right/>
      <top style="thick">
        <color theme="8" tint="-0.249977111117893"/>
      </top>
      <bottom/>
      <diagonal/>
    </border>
    <border>
      <left style="medium">
        <color theme="2" tint="-0.249977111117893"/>
      </left>
      <right/>
      <top style="thick">
        <color theme="8" tint="-0.249977111117893"/>
      </top>
      <bottom/>
      <diagonal/>
    </border>
    <border>
      <left style="thin">
        <color theme="2" tint="-0.24994659260841701"/>
      </left>
      <right/>
      <top style="thick">
        <color theme="8" tint="-0.249977111117893"/>
      </top>
      <bottom/>
      <diagonal/>
    </border>
    <border>
      <left/>
      <right style="thick">
        <color theme="8" tint="-0.249977111117893"/>
      </right>
      <top style="thick">
        <color theme="8" tint="-0.249977111117893"/>
      </top>
      <bottom/>
      <diagonal/>
    </border>
    <border>
      <left style="thick">
        <color theme="8" tint="-0.249977111117893"/>
      </left>
      <right style="thin">
        <color theme="8" tint="-0.249977111117893"/>
      </right>
      <top/>
      <bottom/>
      <diagonal/>
    </border>
    <border>
      <left/>
      <right style="thick">
        <color theme="8" tint="-0.249977111117893"/>
      </right>
      <top/>
      <bottom/>
      <diagonal/>
    </border>
    <border>
      <left style="thick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/>
      <right style="thick">
        <color theme="8" tint="-0.249977111117893"/>
      </right>
      <top style="thin">
        <color theme="8" tint="-0.249977111117893"/>
      </top>
      <bottom/>
      <diagonal/>
    </border>
    <border>
      <left style="thick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/>
      <right style="thick">
        <color theme="8" tint="-0.249977111117893"/>
      </right>
      <top/>
      <bottom style="thin">
        <color theme="8" tint="-0.249977111117893"/>
      </bottom>
      <diagonal/>
    </border>
    <border>
      <left style="thick">
        <color theme="8" tint="-0.249977111117893"/>
      </left>
      <right style="thin">
        <color theme="8" tint="-0.249977111117893"/>
      </right>
      <top/>
      <bottom style="thick">
        <color theme="8" tint="-0.249977111117893"/>
      </bottom>
      <diagonal/>
    </border>
    <border>
      <left/>
      <right/>
      <top/>
      <bottom style="thick">
        <color theme="8" tint="-0.249977111117893"/>
      </bottom>
      <diagonal/>
    </border>
    <border>
      <left style="medium">
        <color theme="2" tint="-0.249977111117893"/>
      </left>
      <right/>
      <top/>
      <bottom style="thick">
        <color theme="8" tint="-0.249977111117893"/>
      </bottom>
      <diagonal/>
    </border>
    <border>
      <left style="thin">
        <color theme="2" tint="-0.24994659260841701"/>
      </left>
      <right/>
      <top/>
      <bottom style="thick">
        <color theme="8" tint="-0.249977111117893"/>
      </bottom>
      <diagonal/>
    </border>
    <border>
      <left/>
      <right style="thick">
        <color theme="8" tint="-0.249977111117893"/>
      </right>
      <top/>
      <bottom style="thick">
        <color theme="8" tint="-0.249977111117893"/>
      </bottom>
      <diagonal/>
    </border>
    <border>
      <left style="thick">
        <color theme="9" tint="-0.249977111117893"/>
      </left>
      <right style="thin">
        <color theme="8" tint="-0.249977111117893"/>
      </right>
      <top style="thick">
        <color theme="9" tint="-0.249977111117893"/>
      </top>
      <bottom/>
      <diagonal/>
    </border>
    <border>
      <left/>
      <right/>
      <top style="thick">
        <color theme="9" tint="-0.249977111117893"/>
      </top>
      <bottom/>
      <diagonal/>
    </border>
    <border>
      <left style="medium">
        <color theme="2" tint="-0.249977111117893"/>
      </left>
      <right/>
      <top style="thick">
        <color theme="9" tint="-0.249977111117893"/>
      </top>
      <bottom/>
      <diagonal/>
    </border>
    <border>
      <left style="thin">
        <color theme="2" tint="-0.24994659260841701"/>
      </left>
      <right/>
      <top style="thick">
        <color theme="9" tint="-0.249977111117893"/>
      </top>
      <bottom/>
      <diagonal/>
    </border>
    <border>
      <left/>
      <right style="thick">
        <color theme="9" tint="-0.249977111117893"/>
      </right>
      <top style="thick">
        <color theme="9" tint="-0.249977111117893"/>
      </top>
      <bottom/>
      <diagonal/>
    </border>
    <border>
      <left style="thick">
        <color theme="9" tint="-0.249977111117893"/>
      </left>
      <right style="thin">
        <color theme="8" tint="-0.249977111117893"/>
      </right>
      <top/>
      <bottom/>
      <diagonal/>
    </border>
    <border>
      <left/>
      <right style="thick">
        <color theme="9" tint="-0.249977111117893"/>
      </right>
      <top/>
      <bottom style="thin">
        <color theme="9" tint="-0.24994659260841701"/>
      </bottom>
      <diagonal/>
    </border>
    <border>
      <left style="thick">
        <color theme="9" tint="-0.249977111117893"/>
      </left>
      <right style="thin">
        <color theme="8" tint="-0.249977111117893"/>
      </right>
      <top/>
      <bottom style="thick">
        <color theme="9" tint="-0.249977111117893"/>
      </bottom>
      <diagonal/>
    </border>
    <border>
      <left style="thick">
        <color theme="9" tint="-0.249977111117893"/>
      </left>
      <right style="thin">
        <color theme="8" tint="-0.249977111117893"/>
      </right>
      <top/>
      <bottom style="thin">
        <color theme="9" tint="-0.24994659260841701"/>
      </bottom>
      <diagonal/>
    </border>
    <border>
      <left style="thick">
        <color theme="9" tint="-0.249977111117893"/>
      </left>
      <right style="thin">
        <color theme="8" tint="-0.249977111117893"/>
      </right>
      <top style="thin">
        <color theme="9" tint="-0.24994659260841701"/>
      </top>
      <bottom/>
      <diagonal/>
    </border>
    <border>
      <left/>
      <right style="thick">
        <color theme="9" tint="-0.249977111117893"/>
      </right>
      <top style="thin">
        <color theme="9" tint="-0.24994659260841701"/>
      </top>
      <bottom/>
      <diagonal/>
    </border>
    <border>
      <left style="thick">
        <color theme="7" tint="-0.249977111117893"/>
      </left>
      <right style="thin">
        <color theme="8" tint="-0.249977111117893"/>
      </right>
      <top/>
      <bottom/>
      <diagonal/>
    </border>
    <border>
      <left style="thick">
        <color theme="7" tint="-0.249977111117893"/>
      </left>
      <right style="thin">
        <color theme="8" tint="-0.249977111117893"/>
      </right>
      <top/>
      <bottom style="thick">
        <color theme="7" tint="-0.249977111117893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 style="medium">
        <color theme="8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 style="thin">
        <color theme="2" tint="-0.24994659260841701"/>
      </left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 style="medium">
        <color theme="0" tint="-0.34998626667073579"/>
      </right>
      <top/>
      <bottom style="medium">
        <color theme="9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9" tint="-0.24994659260841701"/>
      </bottom>
      <diagonal/>
    </border>
    <border>
      <left style="medium">
        <color theme="0" tint="-0.34998626667073579"/>
      </left>
      <right/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theme="0" tint="-0.34998626667073579"/>
      </left>
      <right/>
      <top style="thin">
        <color theme="9" tint="0.59999389629810485"/>
      </top>
      <bottom/>
      <diagonal/>
    </border>
    <border>
      <left style="medium">
        <color theme="0" tint="-0.34998626667073579"/>
      </left>
      <right/>
      <top/>
      <bottom style="thin">
        <color theme="9" tint="0.59999389629810485"/>
      </bottom>
      <diagonal/>
    </border>
    <border>
      <left style="medium">
        <color theme="0" tint="-0.34998626667073579"/>
      </left>
      <right/>
      <top/>
      <bottom style="thick">
        <color theme="9" tint="-0.249977111117893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0" tint="-0.14999847407452621"/>
      </top>
      <bottom/>
      <diagonal/>
    </border>
    <border>
      <left style="medium">
        <color theme="0" tint="-0.34998626667073579"/>
      </left>
      <right/>
      <top/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7" tint="-0.249977111117893"/>
      </top>
      <bottom/>
      <diagonal/>
    </border>
    <border>
      <left style="medium">
        <color theme="0" tint="-0.34998626667073579"/>
      </left>
      <right/>
      <top/>
      <bottom style="thick">
        <color theme="7" tint="-0.249977111117893"/>
      </bottom>
      <diagonal/>
    </border>
    <border>
      <left/>
      <right style="medium">
        <color theme="2" tint="-0.249977111117893"/>
      </right>
      <top style="medium">
        <color theme="2" tint="-0.24994659260841701"/>
      </top>
      <bottom/>
      <diagonal/>
    </border>
    <border>
      <left style="medium">
        <color theme="7" tint="-0.24994659260841701"/>
      </left>
      <right/>
      <top style="medium">
        <color theme="7" tint="-0.249977111117893"/>
      </top>
      <bottom/>
      <diagonal/>
    </border>
    <border>
      <left/>
      <right style="medium">
        <color theme="2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4659260841701"/>
      </right>
      <top style="medium">
        <color theme="7" tint="-0.249977111117893"/>
      </top>
      <bottom/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8" tint="-0.249977111117893"/>
      </left>
      <right/>
      <top/>
      <bottom style="medium">
        <color theme="7" tint="-0.249977111117893"/>
      </bottom>
      <diagonal/>
    </border>
    <border>
      <left/>
      <right style="medium">
        <color theme="2" tint="-0.249977111117893"/>
      </right>
      <top/>
      <bottom style="medium">
        <color theme="7" tint="-0.249977111117893"/>
      </bottom>
      <diagonal/>
    </border>
    <border>
      <left/>
      <right/>
      <top/>
      <bottom style="medium">
        <color rgb="FF2F75B5"/>
      </bottom>
      <diagonal/>
    </border>
    <border>
      <left/>
      <right style="thin">
        <color rgb="FFAEAAAA"/>
      </right>
      <top/>
      <bottom style="medium">
        <color rgb="FF2F75B5"/>
      </bottom>
      <diagonal/>
    </border>
    <border>
      <left/>
      <right/>
      <top style="medium">
        <color rgb="FF2F75B5"/>
      </top>
      <bottom/>
      <diagonal/>
    </border>
    <border>
      <left/>
      <right style="thin">
        <color rgb="FFBFBFBF"/>
      </right>
      <top style="medium">
        <color rgb="FF2F75B5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2F75B5"/>
      </top>
      <bottom/>
      <diagonal/>
    </border>
    <border>
      <left/>
      <right style="thin">
        <color rgb="FFBFBFBF"/>
      </right>
      <top style="thin">
        <color rgb="FF2F75B5"/>
      </top>
      <bottom/>
      <diagonal/>
    </border>
    <border>
      <left/>
      <right/>
      <top/>
      <bottom style="thin">
        <color rgb="FF2F75B5"/>
      </bottom>
      <diagonal/>
    </border>
    <border>
      <left/>
      <right style="thin">
        <color rgb="FFBFBFBF"/>
      </right>
      <top/>
      <bottom style="thin">
        <color rgb="FF2F75B5"/>
      </bottom>
      <diagonal/>
    </border>
    <border>
      <left style="medium">
        <color theme="8" tint="-0.249977111117893"/>
      </left>
      <right style="thin">
        <color theme="8" tint="-0.249977111117893"/>
      </right>
      <top/>
      <bottom style="medium">
        <color theme="4" tint="-0.499984740745262"/>
      </bottom>
      <diagonal/>
    </border>
    <border>
      <left style="thin">
        <color theme="8" tint="-0.249977111117893"/>
      </left>
      <right/>
      <top/>
      <bottom style="medium">
        <color theme="4" tint="-0.499984740745262"/>
      </bottom>
      <diagonal/>
    </border>
    <border>
      <left/>
      <right style="thin">
        <color rgb="FFBFBFBF"/>
      </right>
      <top/>
      <bottom style="medium">
        <color theme="4" tint="-0.499984740745262"/>
      </bottom>
      <diagonal/>
    </border>
    <border>
      <left style="medium">
        <color theme="0" tint="-0.34998626667073579"/>
      </left>
      <right/>
      <top style="thin">
        <color rgb="FF2F75B5"/>
      </top>
      <bottom/>
      <diagonal/>
    </border>
    <border>
      <left style="medium">
        <color theme="0" tint="-0.34998626667073579"/>
      </left>
      <right/>
      <top/>
      <bottom style="thin">
        <color rgb="FF2F75B5"/>
      </bottom>
      <diagonal/>
    </border>
    <border>
      <left/>
      <right/>
      <top style="thin">
        <color rgb="FFAEAAAA"/>
      </top>
      <bottom/>
      <diagonal/>
    </border>
    <border>
      <left/>
      <right/>
      <top/>
      <bottom style="thick">
        <color rgb="FF808080"/>
      </bottom>
      <diagonal/>
    </border>
    <border>
      <left/>
      <right/>
      <top style="medium">
        <color rgb="FFBF8F00"/>
      </top>
      <bottom style="thin">
        <color rgb="FFBF8F00"/>
      </bottom>
      <diagonal/>
    </border>
    <border>
      <left/>
      <right/>
      <top/>
      <bottom style="thin">
        <color rgb="FFBF8F00"/>
      </bottom>
      <diagonal/>
    </border>
    <border>
      <left/>
      <right/>
      <top/>
      <bottom style="medium">
        <color rgb="FFBF8F00"/>
      </bottom>
      <diagonal/>
    </border>
    <border>
      <left style="medium">
        <color theme="0" tint="-0.34998626667073579"/>
      </left>
      <right/>
      <top style="medium">
        <color theme="2" tint="-0.249977111117893"/>
      </top>
      <bottom/>
      <diagonal/>
    </border>
    <border>
      <left style="thin">
        <color theme="0" tint="-0.34998626667073579"/>
      </left>
      <right/>
      <top/>
      <bottom style="medium">
        <color theme="8" tint="-0.24994659260841701"/>
      </bottom>
      <diagonal/>
    </border>
    <border diagonalUp="1">
      <left/>
      <right style="thin">
        <color theme="2" tint="-0.24994659260841701"/>
      </right>
      <top style="medium">
        <color theme="8" tint="-0.24994659260841701"/>
      </top>
      <bottom style="medium">
        <color theme="8" tint="-0.24994659260841701"/>
      </bottom>
      <diagonal style="medium">
        <color theme="8" tint="-0.24994659260841701"/>
      </diagonal>
    </border>
    <border>
      <left style="medium">
        <color theme="0" tint="-0.34998626667073579"/>
      </left>
      <right/>
      <top style="thin">
        <color indexed="64"/>
      </top>
      <bottom/>
      <diagonal/>
    </border>
    <border>
      <left/>
      <right style="medium">
        <color theme="7" tint="-0.249977111117893"/>
      </right>
      <top/>
      <bottom style="thin">
        <color theme="7" tint="-0.249977111117893"/>
      </bottom>
      <diagonal/>
    </border>
    <border>
      <left/>
      <right/>
      <top/>
      <bottom style="thin">
        <color theme="7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7" tint="-0.249977111117893"/>
      </bottom>
      <diagonal/>
    </border>
    <border>
      <left/>
      <right style="medium">
        <color theme="0" tint="-0.34998626667073579"/>
      </right>
      <top/>
      <bottom style="thin">
        <color theme="7" tint="-0.249977111117893"/>
      </bottom>
      <diagonal/>
    </border>
    <border>
      <left style="medium">
        <color rgb="FFFF0000"/>
      </left>
      <right style="medium">
        <color rgb="FFFF0000"/>
      </right>
      <top/>
      <bottom style="thin">
        <color theme="7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9" tint="-0.24994659260841701"/>
      </bottom>
      <diagonal/>
    </border>
    <border>
      <left/>
      <right style="medium">
        <color theme="0" tint="-0.34998626667073579"/>
      </right>
      <top style="medium">
        <color theme="9" tint="-0.24994659260841701"/>
      </top>
      <bottom style="thin">
        <color theme="2" tint="-9.9978637043366805E-2"/>
      </bottom>
      <diagonal/>
    </border>
    <border>
      <left/>
      <right style="medium">
        <color theme="0" tint="-0.34998626667073579"/>
      </right>
      <top/>
      <bottom style="thin">
        <color theme="2" tint="-9.9978637043366805E-2"/>
      </bottom>
      <diagonal/>
    </border>
    <border>
      <left style="thin">
        <color theme="9" tint="-0.24994659260841701"/>
      </left>
      <right/>
      <top style="thin">
        <color theme="9" tint="-0.249977111117893"/>
      </top>
      <bottom/>
      <diagonal/>
    </border>
    <border>
      <left/>
      <right/>
      <top style="thin">
        <color theme="9" tint="-0.249977111117893"/>
      </top>
      <bottom/>
      <diagonal/>
    </border>
    <border>
      <left style="medium">
        <color theme="0" tint="-0.34998626667073579"/>
      </left>
      <right/>
      <top style="thin">
        <color theme="9" tint="-0.249977111117893"/>
      </top>
      <bottom/>
      <diagonal/>
    </border>
    <border>
      <left style="thin">
        <color theme="2" tint="-0.24994659260841701"/>
      </left>
      <right/>
      <top style="thin">
        <color theme="9" tint="-0.249977111117893"/>
      </top>
      <bottom/>
      <diagonal/>
    </border>
    <border>
      <left/>
      <right style="medium">
        <color rgb="FFFF0000"/>
      </right>
      <top style="thin">
        <color theme="9" tint="-0.249977111117893"/>
      </top>
      <bottom/>
      <diagonal/>
    </border>
    <border>
      <left style="medium">
        <color rgb="FFFF0000"/>
      </left>
      <right style="medium">
        <color rgb="FFFF0000"/>
      </right>
      <top style="thin">
        <color theme="9" tint="-0.249977111117893"/>
      </top>
      <bottom/>
      <diagonal/>
    </border>
    <border>
      <left/>
      <right style="medium">
        <color theme="9" tint="-0.249977111117893"/>
      </right>
      <top style="thin">
        <color theme="9" tint="-0.249977111117893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thin">
        <color theme="0" tint="-0.249977111117893"/>
      </right>
      <top style="medium">
        <color theme="1" tint="0.499984740745262"/>
      </top>
      <bottom/>
      <diagonal/>
    </border>
    <border>
      <left style="thin">
        <color theme="0" tint="-0.249977111117893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0" tint="-0.249977111117893"/>
      </right>
      <top/>
      <bottom style="thin">
        <color theme="1" tint="0.499984740745262"/>
      </bottom>
      <diagonal/>
    </border>
    <border>
      <left style="thin">
        <color theme="0" tint="-0.249977111117893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0" tint="-0.249977111117893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7711111789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0" tint="-0.249977111117893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0" tint="-0.249977111117893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8" tint="-0.249977111117893"/>
      </left>
      <right/>
      <top/>
      <bottom style="thin">
        <color indexed="64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8" tint="-0.249977111117893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8" tint="-0.249977111117893"/>
      </top>
      <bottom style="thin">
        <color theme="2" tint="-9.9978637043366805E-2"/>
      </bottom>
      <diagonal/>
    </border>
    <border>
      <left style="medium">
        <color theme="0" tint="-0.34998626667073579"/>
      </left>
      <right/>
      <top/>
      <bottom style="hair">
        <color theme="9" tint="-0.24994659260841701"/>
      </bottom>
      <diagonal/>
    </border>
    <border>
      <left/>
      <right style="medium">
        <color theme="0" tint="-0.34998626667073579"/>
      </right>
      <top/>
      <bottom style="hair">
        <color theme="9" tint="-0.24994659260841701"/>
      </bottom>
      <diagonal/>
    </border>
    <border>
      <left style="medium">
        <color theme="0" tint="-0.34998626667073579"/>
      </left>
      <right/>
      <top style="hair">
        <color theme="9" tint="-0.24994659260841701"/>
      </top>
      <bottom/>
      <diagonal/>
    </border>
    <border>
      <left/>
      <right style="medium">
        <color theme="0" tint="-0.34998626667073579"/>
      </right>
      <top style="hair">
        <color theme="9" tint="-0.24994659260841701"/>
      </top>
      <bottom/>
      <diagonal/>
    </border>
    <border>
      <left style="medium">
        <color theme="0" tint="-0.34998626667073579"/>
      </left>
      <right/>
      <top/>
      <bottom style="thin">
        <color theme="9" tint="-0.24994659260841701"/>
      </bottom>
      <diagonal/>
    </border>
    <border>
      <left/>
      <right style="medium">
        <color theme="0" tint="-0.34998626667073579"/>
      </right>
      <top/>
      <bottom style="thin">
        <color theme="9" tint="-0.24994659260841701"/>
      </bottom>
      <diagonal/>
    </border>
    <border>
      <left style="medium">
        <color theme="0" tint="-0.34998626667073579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medium">
        <color theme="0" tint="-0.34998626667073579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0" tint="-0.34998626667073579"/>
      </left>
      <right/>
      <top style="thin">
        <color theme="9" tint="-0.24994659260841701"/>
      </top>
      <bottom/>
      <diagonal/>
    </border>
    <border>
      <left/>
      <right style="medium">
        <color theme="0" tint="-0.34998626667073579"/>
      </right>
      <top style="thin">
        <color theme="9" tint="-0.24994659260841701"/>
      </top>
      <bottom/>
      <diagonal/>
    </border>
    <border>
      <left/>
      <right/>
      <top style="medium">
        <color theme="0" tint="-0.34998626667073579"/>
      </top>
      <bottom style="thick">
        <color theme="0" tint="-0.499984740745262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499984740745262"/>
      </bottom>
      <diagonal/>
    </border>
    <border>
      <left style="medium">
        <color theme="0" tint="-0.34998626667073579"/>
      </left>
      <right/>
      <top style="hair">
        <color theme="8" tint="-0.24994659260841701"/>
      </top>
      <bottom/>
      <diagonal/>
    </border>
    <border>
      <left/>
      <right style="medium">
        <color theme="0" tint="-0.34998626667073579"/>
      </right>
      <top style="hair">
        <color theme="8" tint="-0.24994659260841701"/>
      </top>
      <bottom/>
      <diagonal/>
    </border>
    <border>
      <left style="medium">
        <color theme="0" tint="-0.34998626667073579"/>
      </left>
      <right/>
      <top style="thin">
        <color theme="8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indexed="64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indexed="64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medium">
        <color theme="0" tint="-0.34998626667073579"/>
      </right>
      <top style="thin">
        <color rgb="FF0070C0"/>
      </top>
      <bottom/>
      <diagonal/>
    </border>
    <border>
      <left/>
      <right style="medium">
        <color theme="0" tint="-0.34998626667073579"/>
      </right>
      <top/>
      <bottom style="thin">
        <color rgb="FF0070C0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rgb="FF0070C0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rgb="FF0070C0"/>
      </top>
      <bottom/>
      <diagonal/>
    </border>
    <border>
      <left style="medium">
        <color rgb="FFFF0000"/>
      </left>
      <right style="dotted">
        <color theme="0" tint="-0.24994659260841701"/>
      </right>
      <top style="medium">
        <color rgb="FFFF0000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medium">
        <color rgb="FFFF0000"/>
      </top>
      <bottom style="thin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medium">
        <color rgb="FFFF0000"/>
      </top>
      <bottom style="thin">
        <color theme="0" tint="-0.24994659260841701"/>
      </bottom>
      <diagonal/>
    </border>
    <border>
      <left/>
      <right style="medium">
        <color rgb="FFFF0000"/>
      </right>
      <top style="medium">
        <color rgb="FFFF0000"/>
      </top>
      <bottom style="thin">
        <color theme="0" tint="-0.24994659260841701"/>
      </bottom>
      <diagonal/>
    </border>
    <border>
      <left style="medium">
        <color rgb="FFFF0000"/>
      </left>
      <right style="dotted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dotted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medium">
        <color rgb="FFFF0000"/>
      </right>
      <top style="thin">
        <color theme="0" tint="-0.24994659260841701"/>
      </top>
      <bottom style="thin">
        <color indexed="64"/>
      </bottom>
      <diagonal/>
    </border>
    <border>
      <left style="medium">
        <color rgb="FFFF0000"/>
      </left>
      <right style="dotted">
        <color theme="0" tint="-0.24994659260841701"/>
      </right>
      <top style="thin">
        <color indexed="64"/>
      </top>
      <bottom style="dotted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thin">
        <color indexed="64"/>
      </top>
      <bottom style="dotted">
        <color theme="0" tint="-0.24994659260841701"/>
      </bottom>
      <diagonal/>
    </border>
    <border>
      <left style="medium">
        <color rgb="FFFF0000"/>
      </left>
      <right style="dotted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dotted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dotted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thin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rgb="FFFF0000"/>
      </left>
      <right style="dotted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rgb="FFFF0000"/>
      </right>
      <top/>
      <bottom/>
      <diagonal/>
    </border>
    <border>
      <left/>
      <right/>
      <top style="medium">
        <color theme="9" tint="-0.249977111117893"/>
      </top>
      <bottom style="thin">
        <color theme="0" tint="-0.24994659260841701"/>
      </bottom>
      <diagonal/>
    </border>
    <border>
      <left/>
      <right style="dotted">
        <color theme="0" tint="-0.24994659260841701"/>
      </right>
      <top style="medium">
        <color theme="9" tint="-0.249977111117893"/>
      </top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/>
      <diagonal/>
    </border>
    <border>
      <left style="dotted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dotted">
        <color theme="0" tint="-0.24994659260841701"/>
      </left>
      <right/>
      <top style="medium">
        <color theme="9" tint="-0.249977111117893"/>
      </top>
      <bottom/>
      <diagonal/>
    </border>
    <border>
      <left/>
      <right style="dotted">
        <color theme="0" tint="-0.24994659260841701"/>
      </right>
      <top style="medium">
        <color theme="9" tint="-0.249977111117893"/>
      </top>
      <bottom/>
      <diagonal/>
    </border>
    <border>
      <left style="double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medium">
        <color theme="9" tint="-0.249977111117893"/>
      </top>
      <bottom/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/>
      <top style="medium">
        <color theme="9" tint="-0.249977111117893"/>
      </top>
      <bottom/>
      <diagonal/>
    </border>
    <border>
      <left style="double">
        <color theme="0" tint="-0.24994659260841701"/>
      </left>
      <right/>
      <top/>
      <bottom style="medium">
        <color theme="9" tint="-0.249977111117893"/>
      </bottom>
      <diagonal/>
    </border>
    <border>
      <left style="thin">
        <color theme="0" tint="-0.24994659260841701"/>
      </left>
      <right style="thin">
        <color theme="9" tint="-0.249977111117893"/>
      </right>
      <top style="medium">
        <color theme="9" tint="-0.249977111117893"/>
      </top>
      <bottom/>
      <diagonal/>
    </border>
    <border>
      <left style="thin">
        <color theme="0" tint="-0.24994659260841701"/>
      </left>
      <right style="thin">
        <color theme="9" tint="-0.249977111117893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/>
      <top/>
      <bottom style="thin">
        <color theme="9" tint="0.39997558519241921"/>
      </bottom>
      <diagonal/>
    </border>
    <border>
      <left/>
      <right style="double">
        <color theme="0" tint="-0.24994659260841701"/>
      </right>
      <top/>
      <bottom style="thin">
        <color theme="9" tint="0.39997558519241921"/>
      </bottom>
      <diagonal/>
    </border>
    <border>
      <left style="double">
        <color theme="0" tint="-0.2499465926084170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 tint="-0.24994659260841701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 style="double">
        <color theme="0" tint="-0.24994659260841701"/>
      </right>
      <top style="thin">
        <color theme="9" tint="-0.249977111117893"/>
      </top>
      <bottom/>
      <diagonal/>
    </border>
    <border>
      <left style="double">
        <color theme="0" tint="-0.24994659260841701"/>
      </left>
      <right/>
      <top style="thin">
        <color theme="9" tint="-0.249977111117893"/>
      </top>
      <bottom/>
      <diagonal/>
    </border>
    <border>
      <left/>
      <right style="double">
        <color theme="0" tint="-0.24994659260841701"/>
      </right>
      <top/>
      <bottom style="dotted">
        <color theme="9" tint="-0.249977111117893"/>
      </bottom>
      <diagonal/>
    </border>
    <border>
      <left style="double">
        <color theme="0" tint="-0.24994659260841701"/>
      </left>
      <right/>
      <top/>
      <bottom style="dotted">
        <color theme="9" tint="-0.249977111117893"/>
      </bottom>
      <diagonal/>
    </border>
    <border>
      <left/>
      <right/>
      <top/>
      <bottom style="dotted">
        <color theme="9" tint="-0.249977111117893"/>
      </bottom>
      <diagonal/>
    </border>
    <border>
      <left style="medium">
        <color rgb="FFFF0000"/>
      </left>
      <right style="dotted">
        <color theme="0" tint="-0.24994659260841701"/>
      </right>
      <top/>
      <bottom style="dotted">
        <color theme="9" tint="-0.249977111117893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 style="dotted">
        <color theme="9" tint="-0.249977111117893"/>
      </bottom>
      <diagonal/>
    </border>
    <border>
      <left style="dotted">
        <color theme="0" tint="-0.24994659260841701"/>
      </left>
      <right style="thin">
        <color theme="0" tint="-0.24994659260841701"/>
      </right>
      <top/>
      <bottom style="dotted">
        <color theme="9" tint="-0.249977111117893"/>
      </bottom>
      <diagonal/>
    </border>
    <border>
      <left style="medium">
        <color rgb="FFFF0000"/>
      </left>
      <right style="dotted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medium">
        <color rgb="FFFF0000"/>
      </right>
      <top style="dotted">
        <color theme="0" tint="-0.24994659260841701"/>
      </top>
      <bottom/>
      <diagonal/>
    </border>
    <border>
      <left/>
      <right style="double">
        <color theme="0" tint="-0.24994659260841701"/>
      </right>
      <top style="dotted">
        <color theme="9" tint="-0.249977111117893"/>
      </top>
      <bottom/>
      <diagonal/>
    </border>
    <border>
      <left style="double">
        <color theme="0" tint="-0.24994659260841701"/>
      </left>
      <right/>
      <top style="dotted">
        <color theme="9" tint="-0.249977111117893"/>
      </top>
      <bottom/>
      <diagonal/>
    </border>
    <border>
      <left/>
      <right/>
      <top style="dotted">
        <color theme="9" tint="-0.249977111117893"/>
      </top>
      <bottom/>
      <diagonal/>
    </border>
    <border>
      <left style="medium">
        <color rgb="FFFF0000"/>
      </left>
      <right style="dotted">
        <color theme="0" tint="-0.24994659260841701"/>
      </right>
      <top style="dotted">
        <color theme="9" tint="-0.249977111117893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9" tint="-0.249977111117893"/>
      </top>
      <bottom/>
      <diagonal/>
    </border>
    <border>
      <left style="dotted">
        <color theme="0" tint="-0.24994659260841701"/>
      </left>
      <right style="thin">
        <color theme="0" tint="-0.24994659260841701"/>
      </right>
      <top style="dotted">
        <color theme="9" tint="-0.249977111117893"/>
      </top>
      <bottom/>
      <diagonal/>
    </border>
    <border>
      <left style="thin">
        <color theme="0" tint="-0.24994659260841701"/>
      </left>
      <right style="medium">
        <color rgb="FFFF0000"/>
      </right>
      <top style="dotted">
        <color theme="9" tint="-0.249977111117893"/>
      </top>
      <bottom/>
      <diagonal/>
    </border>
    <border>
      <left style="medium">
        <color rgb="FFFF0000"/>
      </left>
      <right style="dotted">
        <color theme="0" tint="-0.24994659260841701"/>
      </right>
      <top style="thin">
        <color theme="9" tint="-0.249977111117893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9" tint="-0.249977111117893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0" tint="-0.24994659260841701"/>
      </right>
      <top style="thin">
        <color theme="9" tint="-0.249977111117893"/>
      </top>
      <bottom style="dotted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thin">
        <color theme="9" tint="-0.249977111117893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9" tint="-0.249977111117893"/>
      </right>
      <top/>
      <bottom style="medium">
        <color theme="9" tint="-0.249977111117893"/>
      </bottom>
      <diagonal/>
    </border>
    <border>
      <left style="thin">
        <color theme="9" tint="-0.249977111117893"/>
      </left>
      <right/>
      <top/>
      <bottom style="medium">
        <color theme="9" tint="-0.249977111117893"/>
      </bottom>
      <diagonal/>
    </border>
    <border>
      <left/>
      <right style="double">
        <color theme="0" tint="-0.24994659260841701"/>
      </right>
      <top/>
      <bottom style="medium">
        <color theme="9" tint="-0.249977111117893"/>
      </bottom>
      <diagonal/>
    </border>
    <border>
      <left/>
      <right style="medium">
        <color theme="0" tint="-0.34998626667073579"/>
      </right>
      <top/>
      <bottom style="medium">
        <color theme="2" tint="-0.24994659260841701"/>
      </bottom>
      <diagonal/>
    </border>
    <border>
      <left/>
      <right style="medium">
        <color theme="0" tint="-0.34998626667073579"/>
      </right>
      <top/>
      <bottom style="medium">
        <color rgb="FF548235"/>
      </bottom>
      <diagonal/>
    </border>
    <border>
      <left/>
      <right style="medium">
        <color theme="0" tint="-0.34998626667073579"/>
      </right>
      <top/>
      <bottom style="medium">
        <color theme="2" tint="-0.249977111117893"/>
      </bottom>
      <diagonal/>
    </border>
    <border>
      <left/>
      <right style="medium">
        <color theme="0" tint="-0.34998626667073579"/>
      </right>
      <top/>
      <bottom style="medium">
        <color theme="9" tint="-0.24994659260841701"/>
      </bottom>
      <diagonal/>
    </border>
    <border>
      <left/>
      <right/>
      <top style="thin">
        <color rgb="FF305496"/>
      </top>
      <bottom/>
      <diagonal/>
    </border>
    <border>
      <left/>
      <right/>
      <top/>
      <bottom style="medium">
        <color rgb="FF305496"/>
      </bottom>
      <diagonal/>
    </border>
    <border>
      <left style="double">
        <color rgb="FFBFBFBF"/>
      </left>
      <right/>
      <top style="medium">
        <color rgb="FF548235"/>
      </top>
      <bottom/>
      <diagonal/>
    </border>
    <border>
      <left style="double">
        <color rgb="FFBFBFBF"/>
      </left>
      <right/>
      <top/>
      <bottom/>
      <diagonal/>
    </border>
    <border>
      <left style="double">
        <color rgb="FFBFBFBF"/>
      </left>
      <right/>
      <top style="thin">
        <color rgb="FF548235"/>
      </top>
      <bottom/>
      <diagonal/>
    </border>
    <border>
      <left style="double">
        <color rgb="FFBFBFBF"/>
      </left>
      <right/>
      <top/>
      <bottom style="thin">
        <color rgb="FFA9D08E"/>
      </bottom>
      <diagonal/>
    </border>
    <border>
      <left style="double">
        <color rgb="FFBFBFBF"/>
      </left>
      <right/>
      <top style="dotted">
        <color rgb="FF548235"/>
      </top>
      <bottom/>
      <diagonal/>
    </border>
    <border>
      <left style="double">
        <color rgb="FFBFBFBF"/>
      </left>
      <right/>
      <top/>
      <bottom style="dotted">
        <color rgb="FF548235"/>
      </bottom>
      <diagonal/>
    </border>
    <border>
      <left style="double">
        <color rgb="FFBFBFBF"/>
      </left>
      <right/>
      <top/>
      <bottom style="medium">
        <color rgb="FF548235"/>
      </bottom>
      <diagonal/>
    </border>
    <border>
      <left/>
      <right/>
      <top style="medium">
        <color rgb="FFBF8F00"/>
      </top>
      <bottom/>
      <diagonal/>
    </border>
    <border>
      <left/>
      <right/>
      <top style="thin">
        <color rgb="FFBF8F00"/>
      </top>
      <bottom/>
      <diagonal/>
    </border>
    <border>
      <left style="thin">
        <color rgb="FF808080"/>
      </left>
      <right/>
      <top style="medium">
        <color rgb="FF305496"/>
      </top>
      <bottom/>
      <diagonal/>
    </border>
    <border>
      <left style="thin">
        <color rgb="FF808080"/>
      </left>
      <right/>
      <top style="thin">
        <color rgb="FF305496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medium">
        <color rgb="FF305496"/>
      </bottom>
      <diagonal/>
    </border>
    <border>
      <left style="thin">
        <color rgb="FF808080"/>
      </left>
      <right/>
      <top/>
      <bottom style="medium">
        <color rgb="FFFF0000"/>
      </bottom>
      <diagonal/>
    </border>
    <border>
      <left/>
      <right/>
      <top style="medium">
        <color rgb="FF305496"/>
      </top>
      <bottom/>
      <diagonal/>
    </border>
    <border>
      <left style="thin">
        <color rgb="FFAEAAAA"/>
      </left>
      <right style="medium">
        <color rgb="FFFF0000"/>
      </right>
      <top style="medium">
        <color rgb="FF305496"/>
      </top>
      <bottom/>
      <diagonal/>
    </border>
    <border>
      <left style="thin">
        <color rgb="FFAEAAAA"/>
      </left>
      <right style="medium">
        <color rgb="FFFF0000"/>
      </right>
      <top style="thin">
        <color rgb="FF305496"/>
      </top>
      <bottom/>
      <diagonal/>
    </border>
    <border>
      <left style="thin">
        <color rgb="FFAEAAAA"/>
      </left>
      <right style="medium">
        <color rgb="FFFF0000"/>
      </right>
      <top/>
      <bottom/>
      <diagonal/>
    </border>
    <border>
      <left style="thin">
        <color rgb="FFAEAAAA"/>
      </left>
      <right style="medium">
        <color rgb="FFFF0000"/>
      </right>
      <top/>
      <bottom style="medium">
        <color rgb="FF305496"/>
      </bottom>
      <diagonal/>
    </border>
    <border>
      <left/>
      <right/>
      <top style="thin">
        <color rgb="FF9BC2E6"/>
      </top>
      <bottom/>
      <diagonal/>
    </border>
    <border>
      <left style="thin">
        <color rgb="FFAEAAAA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BF8F00"/>
      </top>
      <bottom/>
      <diagonal/>
    </border>
    <border>
      <left style="medium">
        <color rgb="FFFF0000"/>
      </left>
      <right/>
      <top style="thin">
        <color rgb="FFBF8F00"/>
      </top>
      <bottom/>
      <diagonal/>
    </border>
    <border>
      <left style="medium">
        <color rgb="FFFF0000"/>
      </left>
      <right/>
      <top/>
      <bottom style="thin">
        <color rgb="FFBF8F00"/>
      </bottom>
      <diagonal/>
    </border>
    <border>
      <left style="medium">
        <color rgb="FFFF0000"/>
      </left>
      <right/>
      <top/>
      <bottom style="medium">
        <color rgb="FFBF8F00"/>
      </bottom>
      <diagonal/>
    </border>
    <border>
      <left style="medium">
        <color rgb="FF808080"/>
      </left>
      <right/>
      <top style="medium">
        <color rgb="FF305496"/>
      </top>
      <bottom/>
      <diagonal/>
    </border>
    <border>
      <left style="medium">
        <color rgb="FF808080"/>
      </left>
      <right/>
      <top/>
      <bottom/>
      <diagonal/>
    </border>
    <border>
      <left style="medium">
        <color rgb="FF808080"/>
      </left>
      <right/>
      <top style="thin">
        <color rgb="FF305496"/>
      </top>
      <bottom/>
      <diagonal/>
    </border>
    <border>
      <left style="medium">
        <color rgb="FF808080"/>
      </left>
      <right/>
      <top/>
      <bottom style="thin">
        <color rgb="FF305496"/>
      </bottom>
      <diagonal/>
    </border>
    <border>
      <left style="medium">
        <color rgb="FF808080"/>
      </left>
      <right/>
      <top/>
      <bottom style="medium">
        <color rgb="FF305496"/>
      </bottom>
      <diagonal/>
    </border>
    <border>
      <left/>
      <right/>
      <top style="dotted">
        <color rgb="FF305496"/>
      </top>
      <bottom/>
      <diagonal/>
    </border>
    <border>
      <left/>
      <right/>
      <top/>
      <bottom style="dotted">
        <color rgb="FF305496"/>
      </bottom>
      <diagonal/>
    </border>
    <border>
      <left/>
      <right/>
      <top style="medium">
        <color rgb="FF548235"/>
      </top>
      <bottom/>
      <diagonal/>
    </border>
    <border>
      <left/>
      <right/>
      <top style="dotted">
        <color rgb="FF548235"/>
      </top>
      <bottom/>
      <diagonal/>
    </border>
    <border>
      <left/>
      <right/>
      <top/>
      <bottom style="dotted">
        <color rgb="FF548235"/>
      </bottom>
      <diagonal/>
    </border>
    <border>
      <left/>
      <right/>
      <top/>
      <bottom style="dotted">
        <color rgb="FFBF8F00"/>
      </bottom>
      <diagonal/>
    </border>
    <border>
      <left/>
      <right/>
      <top style="dotted">
        <color rgb="FFBF8F00"/>
      </top>
      <bottom/>
      <diagonal/>
    </border>
    <border>
      <left style="medium">
        <color theme="2" tint="-0.249977111117893"/>
      </left>
      <right style="medium">
        <color theme="0" tint="-0.34998626667073579"/>
      </right>
      <top style="medium">
        <color theme="8" tint="-0.249977111117893"/>
      </top>
      <bottom/>
      <diagonal/>
    </border>
    <border>
      <left style="medium">
        <color theme="2" tint="-0.249977111117893"/>
      </left>
      <right style="medium">
        <color theme="0" tint="-0.34998626667073579"/>
      </right>
      <top style="thin">
        <color theme="8" tint="-0.249977111117893"/>
      </top>
      <bottom/>
      <diagonal/>
    </border>
    <border>
      <left style="medium">
        <color theme="2" tint="-0.249977111117893"/>
      </left>
      <right style="medium">
        <color theme="0" tint="-0.34998626667073579"/>
      </right>
      <top/>
      <bottom/>
      <diagonal/>
    </border>
    <border>
      <left style="medium">
        <color theme="2" tint="-0.249977111117893"/>
      </left>
      <right style="medium">
        <color theme="0" tint="-0.34998626667073579"/>
      </right>
      <top/>
      <bottom style="medium">
        <color theme="8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thin">
        <color theme="0" tint="-0.499984740745262"/>
      </left>
      <right/>
      <top/>
      <bottom style="medium">
        <color theme="4" tint="-0.249977111117893"/>
      </bottom>
      <diagonal/>
    </border>
    <border>
      <left style="thin">
        <color theme="2" tint="-0.24994659260841701"/>
      </left>
      <right style="thin">
        <color theme="0" tint="-0.499984740745262"/>
      </right>
      <top/>
      <bottom style="medium">
        <color theme="4" tint="-0.249977111117893"/>
      </bottom>
      <diagonal/>
    </border>
    <border>
      <left style="thin">
        <color theme="2" tint="-0.24994659260841701"/>
      </left>
      <right/>
      <top/>
      <bottom style="medium">
        <color theme="4" tint="-0.249977111117893"/>
      </bottom>
      <diagonal/>
    </border>
    <border>
      <left style="thin">
        <color theme="0" tint="-0.499984740745262"/>
      </left>
      <right/>
      <top style="medium">
        <color theme="8" tint="-0.249977111117893"/>
      </top>
      <bottom/>
      <diagonal/>
    </border>
    <border>
      <left style="medium">
        <color theme="8" tint="-0.249977111117893"/>
      </left>
      <right style="thin">
        <color theme="8" tint="-0.249977111117893"/>
      </right>
      <top/>
      <bottom style="medium">
        <color theme="4" tint="-0.249977111117893"/>
      </bottom>
      <diagonal/>
    </border>
    <border>
      <left style="medium">
        <color theme="0" tint="-0.34998626667073579"/>
      </left>
      <right/>
      <top/>
      <bottom style="medium">
        <color theme="4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4" tint="-0.249977111117893"/>
      </bottom>
      <diagonal/>
    </border>
    <border>
      <left/>
      <right/>
      <top style="double">
        <color theme="0" tint="-0.34998626667073579"/>
      </top>
      <bottom/>
      <diagonal/>
    </border>
    <border>
      <left/>
      <right style="medium">
        <color theme="2" tint="-0.249977111117893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9" tint="-0.249977111117893"/>
      </top>
      <bottom/>
      <diagonal/>
    </border>
    <border>
      <left/>
      <right style="medium">
        <color theme="0" tint="-0.34998626667073579"/>
      </right>
      <top/>
      <bottom style="thin">
        <color theme="9" tint="0.39997558519241921"/>
      </bottom>
      <diagonal/>
    </border>
    <border>
      <left style="double">
        <color theme="0" tint="-0.24994659260841701"/>
      </left>
      <right style="medium">
        <color theme="0" tint="-0.34998626667073579"/>
      </right>
      <top/>
      <bottom/>
      <diagonal/>
    </border>
    <border>
      <left style="double">
        <color theme="0" tint="-0.24994659260841701"/>
      </left>
      <right style="medium">
        <color theme="0" tint="-0.34998626667073579"/>
      </right>
      <top style="thin">
        <color theme="9" tint="-0.249977111117893"/>
      </top>
      <bottom/>
      <diagonal/>
    </border>
    <border>
      <left style="double">
        <color theme="0" tint="-0.24994659260841701"/>
      </left>
      <right style="medium">
        <color theme="0" tint="-0.34998626667073579"/>
      </right>
      <top/>
      <bottom style="thin">
        <color theme="9" tint="0.39997558519241921"/>
      </bottom>
      <diagonal/>
    </border>
    <border>
      <left style="double">
        <color theme="0" tint="-0.24994659260841701"/>
      </left>
      <right style="medium">
        <color theme="0" tint="-0.34998626667073579"/>
      </right>
      <top style="dotted">
        <color theme="9" tint="-0.249977111117893"/>
      </top>
      <bottom/>
      <diagonal/>
    </border>
    <border>
      <left style="double">
        <color theme="0" tint="-0.24994659260841701"/>
      </left>
      <right style="medium">
        <color theme="0" tint="-0.34998626667073579"/>
      </right>
      <top/>
      <bottom style="medium">
        <color theme="9" tint="-0.249977111117893"/>
      </bottom>
      <diagonal/>
    </border>
    <border>
      <left style="thin">
        <color theme="2" tint="-0.24994659260841701"/>
      </left>
      <right style="medium">
        <color rgb="FFFF0000"/>
      </right>
      <top/>
      <bottom style="medium">
        <color theme="7" tint="-0.249977111117893"/>
      </bottom>
      <diagonal/>
    </border>
    <border>
      <left style="thick">
        <color theme="7" tint="-0.249977111117893"/>
      </left>
      <right style="thin">
        <color theme="8" tint="-0.249977111117893"/>
      </right>
      <top/>
      <bottom style="medium">
        <color theme="7" tint="-0.249977111117893"/>
      </bottom>
      <diagonal/>
    </border>
    <border>
      <left/>
      <right style="thick">
        <color theme="7" tint="-0.249977111117893"/>
      </right>
      <top/>
      <bottom style="medium">
        <color theme="7" tint="-0.249977111117893"/>
      </bottom>
      <diagonal/>
    </border>
    <border>
      <left style="thick">
        <color theme="7" tint="-0.249977111117893"/>
      </left>
      <right style="thin">
        <color theme="8" tint="-0.249977111117893"/>
      </right>
      <top style="medium">
        <color theme="7" tint="-0.249977111117893"/>
      </top>
      <bottom/>
      <diagonal/>
    </border>
    <border>
      <left/>
      <right style="thick">
        <color theme="7" tint="-0.249977111117893"/>
      </right>
      <top style="medium">
        <color theme="7" tint="-0.249977111117893"/>
      </top>
      <bottom/>
      <diagonal/>
    </border>
    <border>
      <left/>
      <right/>
      <top style="thick">
        <color theme="9" tint="-0.249977111117893"/>
      </top>
      <bottom style="medium">
        <color theme="7" tint="-0.249977111117893"/>
      </bottom>
      <diagonal/>
    </border>
    <border>
      <left style="thin">
        <color theme="0" tint="-0.499984740745262"/>
      </left>
      <right/>
      <top style="medium">
        <color theme="0" tint="-0.34998626667073579"/>
      </top>
      <bottom/>
      <diagonal/>
    </border>
    <border>
      <left style="thin">
        <color theme="0" tint="-0.499984740745262"/>
      </left>
      <right/>
      <top/>
      <bottom style="thin">
        <color theme="8" tint="-0.249977111117893"/>
      </bottom>
      <diagonal/>
    </border>
    <border>
      <left style="medium">
        <color theme="0" tint="-0.34998626667073579"/>
      </left>
      <right/>
      <top/>
      <bottom style="medium">
        <color theme="9" tint="-0.24994659260841701"/>
      </bottom>
      <diagonal/>
    </border>
    <border>
      <left style="medium">
        <color theme="0" tint="-0.34998626667073579"/>
      </left>
      <right/>
      <top style="thick">
        <color theme="8" tint="-0.249977111117893"/>
      </top>
      <bottom/>
      <diagonal/>
    </border>
    <border>
      <left style="medium">
        <color theme="0" tint="-0.34998626667073579"/>
      </left>
      <right/>
      <top/>
      <bottom style="thick">
        <color theme="8" tint="-0.249977111117893"/>
      </bottom>
      <diagonal/>
    </border>
    <border>
      <left style="medium">
        <color theme="0" tint="-0.34998626667073579"/>
      </left>
      <right/>
      <top style="thick">
        <color theme="9" tint="-0.249977111117893"/>
      </top>
      <bottom/>
      <diagonal/>
    </border>
    <border>
      <left style="medium">
        <color theme="0" tint="-0.34998626667073579"/>
      </left>
      <right/>
      <top style="thick">
        <color theme="9" tint="-0.249977111117893"/>
      </top>
      <bottom style="medium">
        <color theme="7" tint="-0.249977111117893"/>
      </bottom>
      <diagonal/>
    </border>
    <border>
      <left style="medium">
        <color theme="0" tint="-0.34998626667073579"/>
      </left>
      <right/>
      <top style="medium">
        <color theme="7" tint="-0.249977111117893"/>
      </top>
      <bottom/>
      <diagonal/>
    </border>
    <border>
      <left style="medium">
        <color theme="0" tint="-0.34998626667073579"/>
      </left>
      <right/>
      <top/>
      <bottom style="medium">
        <color theme="7" tint="-0.249977111117893"/>
      </bottom>
      <diagonal/>
    </border>
    <border>
      <left style="medium">
        <color theme="0" tint="-0.34998626667073579"/>
      </left>
      <right/>
      <top style="medium">
        <color theme="7" tint="-0.24994659260841701"/>
      </top>
      <bottom/>
      <diagonal/>
    </border>
    <border>
      <left style="medium">
        <color theme="0" tint="-0.34998626667073579"/>
      </left>
      <right/>
      <top style="hair">
        <color theme="7" tint="-0.24994659260841701"/>
      </top>
      <bottom/>
      <diagonal/>
    </border>
    <border>
      <left style="medium">
        <color theme="0" tint="-0.34998626667073579"/>
      </left>
      <right/>
      <top/>
      <bottom style="medium">
        <color theme="7" tint="-0.24994659260841701"/>
      </bottom>
      <diagonal/>
    </border>
    <border>
      <left style="medium">
        <color theme="0" tint="-0.34998626667073579"/>
      </left>
      <right/>
      <top style="thin">
        <color theme="7" tint="-0.24994659260841701"/>
      </top>
      <bottom/>
      <diagonal/>
    </border>
    <border>
      <left style="medium">
        <color theme="0" tint="-0.34998626667073579"/>
      </left>
      <right/>
      <top/>
      <bottom style="thin">
        <color theme="7" tint="-0.24994659260841701"/>
      </bottom>
      <diagonal/>
    </border>
    <border>
      <left style="medium">
        <color theme="0" tint="-0.34998626667073579"/>
      </left>
      <right/>
      <top style="dotted">
        <color theme="8" tint="-0.249977111117893"/>
      </top>
      <bottom/>
      <diagonal/>
    </border>
    <border>
      <left style="medium">
        <color theme="0" tint="-0.34998626667073579"/>
      </left>
      <right/>
      <top/>
      <bottom style="dotted">
        <color theme="8" tint="-0.249977111117893"/>
      </bottom>
      <diagonal/>
    </border>
    <border>
      <left style="medium">
        <color theme="0" tint="-0.34998626667073579"/>
      </left>
      <right/>
      <top style="dotted">
        <color theme="8" tint="-0.24994659260841701"/>
      </top>
      <bottom/>
      <diagonal/>
    </border>
    <border>
      <left style="medium">
        <color theme="0" tint="-0.34998626667073579"/>
      </left>
      <right/>
      <top style="dotted">
        <color theme="9" tint="-0.24994659260841701"/>
      </top>
      <bottom/>
      <diagonal/>
    </border>
    <border>
      <left style="medium">
        <color theme="0" tint="-0.34998626667073579"/>
      </left>
      <right/>
      <top/>
      <bottom style="dotted">
        <color theme="9" tint="-0.24994659260841701"/>
      </bottom>
      <diagonal/>
    </border>
    <border>
      <left style="medium">
        <color theme="0" tint="-0.34998626667073579"/>
      </left>
      <right/>
      <top style="hair">
        <color theme="0" tint="-0.24994659260841701"/>
      </top>
      <bottom/>
      <diagonal/>
    </border>
    <border>
      <left style="medium">
        <color theme="0" tint="-0.34998626667073579"/>
      </left>
      <right/>
      <top/>
      <bottom style="hair">
        <color theme="0" tint="-0.24994659260841701"/>
      </bottom>
      <diagonal/>
    </border>
    <border>
      <left style="medium">
        <color theme="0" tint="-0.34998626667073579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34998626667073579"/>
      </left>
      <right style="thin">
        <color theme="0" tint="-0.499984740745262"/>
      </right>
      <top/>
      <bottom style="thin">
        <color theme="8" tint="-0.249977111117893"/>
      </bottom>
      <diagonal/>
    </border>
    <border>
      <left style="medium">
        <color theme="0" tint="-0.34998626667073579"/>
      </left>
      <right/>
      <top/>
      <bottom style="thin">
        <color theme="9" tint="0.39997558519241921"/>
      </bottom>
      <diagonal/>
    </border>
    <border>
      <left style="medium">
        <color theme="0" tint="-0.34998626667073579"/>
      </left>
      <right/>
      <top style="dotted">
        <color theme="9" tint="-0.249977111117893"/>
      </top>
      <bottom/>
      <diagonal/>
    </border>
    <border>
      <left/>
      <right style="dotted">
        <color theme="0" tint="-0.24994659260841701"/>
      </right>
      <top/>
      <bottom style="thin">
        <color theme="0" tint="-0.24994659260841701"/>
      </bottom>
      <diagonal/>
    </border>
    <border>
      <left style="dotted">
        <color theme="0" tint="-0.24994659260841701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double">
        <color theme="0" tint="-0.34998626667073579"/>
      </top>
      <bottom/>
      <diagonal/>
    </border>
    <border>
      <left/>
      <right style="medium">
        <color theme="0" tint="-0.34998626667073579"/>
      </right>
      <top style="double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double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7" tint="-0.24994659260841701"/>
      </top>
      <bottom style="thin">
        <color theme="7" tint="-0.24994659260841701"/>
      </bottom>
      <diagonal/>
    </border>
    <border>
      <left/>
      <right style="medium">
        <color rgb="FFFF0000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7" tint="-0.24994659260841701"/>
      </bottom>
      <diagonal/>
    </border>
    <border>
      <left style="thin">
        <color theme="8" tint="-0.24994659260841701"/>
      </left>
      <right/>
      <top/>
      <bottom style="hair">
        <color theme="2" tint="-9.9978637043366805E-2"/>
      </bottom>
      <diagonal/>
    </border>
    <border>
      <left/>
      <right/>
      <top/>
      <bottom style="hair">
        <color theme="2" tint="-9.9978637043366805E-2"/>
      </bottom>
      <diagonal/>
    </border>
    <border>
      <left/>
      <right/>
      <top style="hair">
        <color theme="0" tint="-0.24994659260841701"/>
      </top>
      <bottom style="hair">
        <color theme="2" tint="-9.9978637043366805E-2"/>
      </bottom>
      <diagonal/>
    </border>
    <border>
      <left style="thin">
        <color theme="8" tint="-0.24994659260841701"/>
      </left>
      <right/>
      <top style="hair">
        <color theme="2" tint="-9.9978637043366805E-2"/>
      </top>
      <bottom/>
      <diagonal/>
    </border>
    <border>
      <left/>
      <right/>
      <top style="hair">
        <color theme="2" tint="-9.9978637043366805E-2"/>
      </top>
      <bottom/>
      <diagonal/>
    </border>
    <border>
      <left style="thin">
        <color theme="0" tint="-0.34998626667073579"/>
      </left>
      <right/>
      <top style="medium">
        <color theme="2" tint="-0.249977111117893"/>
      </top>
      <bottom/>
      <diagonal/>
    </border>
    <border>
      <left style="thin">
        <color theme="0" tint="-0.34998626667073579"/>
      </left>
      <right/>
      <top style="medium">
        <color theme="9" tint="-0.249977111117893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2" tint="-0.24994659260841701"/>
      </top>
      <bottom style="medium">
        <color theme="9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9" tint="-0.249977111117893"/>
      </top>
      <bottom/>
      <diagonal/>
    </border>
    <border>
      <left style="thin">
        <color theme="0" tint="-0.34998626667073579"/>
      </left>
      <right/>
      <top style="medium">
        <color theme="7" tint="-0.249977111117893"/>
      </top>
      <bottom/>
      <diagonal/>
    </border>
    <border>
      <left style="thin">
        <color theme="0" tint="-0.34998626667073579"/>
      </left>
      <right/>
      <top/>
      <bottom style="thin">
        <color theme="7" tint="-0.24994659260841701"/>
      </bottom>
      <diagonal/>
    </border>
    <border>
      <left style="thin">
        <color theme="0" tint="-0.34998626667073579"/>
      </left>
      <right/>
      <top/>
      <bottom style="medium">
        <color theme="7" tint="-0.24994659260841701"/>
      </bottom>
      <diagonal/>
    </border>
    <border>
      <left style="thin">
        <color theme="0" tint="-0.34998626667073579"/>
      </left>
      <right/>
      <top style="medium">
        <color theme="8" tint="-0.24994659260841701"/>
      </top>
      <bottom/>
      <diagonal/>
    </border>
    <border>
      <left style="thin">
        <color theme="0" tint="-0.34998626667073579"/>
      </left>
      <right/>
      <top style="thin">
        <color theme="8" tint="-0.24994659260841701"/>
      </top>
      <bottom/>
      <diagonal/>
    </border>
    <border>
      <left style="thin">
        <color theme="0" tint="-0.34998626667073579"/>
      </left>
      <right/>
      <top/>
      <bottom style="thin">
        <color rgb="FF0070C0"/>
      </bottom>
      <diagonal/>
    </border>
    <border>
      <left style="thin">
        <color theme="0" tint="-0.34998626667073579"/>
      </left>
      <right/>
      <top style="thin">
        <color rgb="FF0070C0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9" tint="-0.249977111117893"/>
      </bottom>
      <diagonal/>
    </border>
    <border>
      <left style="thin">
        <color theme="0" tint="-0.34998626667073579"/>
      </left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0" tint="-0.34998626667073579"/>
      </top>
      <bottom style="medium">
        <color theme="9" tint="-0.249977111117893"/>
      </bottom>
      <diagonal/>
    </border>
    <border>
      <left style="thin">
        <color theme="0" tint="-0.34998626667073579"/>
      </left>
      <right/>
      <top/>
      <bottom style="thin">
        <color theme="8" tint="-0.24994659260841701"/>
      </bottom>
      <diagonal/>
    </border>
    <border>
      <left style="thin">
        <color theme="0" tint="-0.34998626667073579"/>
      </left>
      <right/>
      <top style="hair">
        <color theme="8" tint="-0.24994659260841701"/>
      </top>
      <bottom/>
      <diagonal/>
    </border>
    <border>
      <left style="thin">
        <color theme="0" tint="-0.34998626667073579"/>
      </left>
      <right/>
      <top style="medium">
        <color theme="9" tint="-0.24994659260841701"/>
      </top>
      <bottom/>
      <diagonal/>
    </border>
    <border>
      <left style="thin">
        <color theme="0" tint="-0.34998626667073579"/>
      </left>
      <right/>
      <top/>
      <bottom style="hair">
        <color theme="9" tint="-0.24994659260841701"/>
      </bottom>
      <diagonal/>
    </border>
    <border>
      <left style="thin">
        <color theme="0" tint="-0.34998626667073579"/>
      </left>
      <right/>
      <top style="hair">
        <color theme="9" tint="-0.24994659260841701"/>
      </top>
      <bottom/>
      <diagonal/>
    </border>
    <border>
      <left style="thin">
        <color theme="0" tint="-0.34998626667073579"/>
      </left>
      <right/>
      <top/>
      <bottom style="thin">
        <color theme="9" tint="-0.24994659260841701"/>
      </bottom>
      <diagonal/>
    </border>
    <border>
      <left style="thin">
        <color theme="0" tint="-0.34998626667073579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0" tint="-0.34998626667073579"/>
      </left>
      <right/>
      <top style="thin">
        <color theme="9" tint="-0.249977111117893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dotted">
        <color auto="1"/>
      </bottom>
      <diagonal/>
    </border>
    <border>
      <left style="double">
        <color theme="0" tint="-0.2499465926084170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/>
      <top style="dotted">
        <color auto="1"/>
      </top>
      <bottom/>
      <diagonal/>
    </border>
    <border>
      <left style="thin">
        <color theme="0" tint="-0.34998626667073579"/>
      </left>
      <right/>
      <top/>
      <bottom style="thin">
        <color theme="7" tint="-0.249977111117893"/>
      </bottom>
      <diagonal/>
    </border>
    <border>
      <left style="thin">
        <color theme="0" tint="-0.34998626667073579"/>
      </left>
      <right/>
      <top style="medium">
        <color theme="7" tint="-0.24994659260841701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0" tint="-0.34998626667073579"/>
      </top>
      <bottom style="thin">
        <color theme="8" tint="-0.249977111117893"/>
      </bottom>
      <diagonal/>
    </border>
    <border>
      <left style="medium">
        <color theme="2" tint="-0.249977111117893"/>
      </left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8" tint="-0.249977111117893"/>
      </top>
      <bottom style="thin">
        <color theme="0" tint="-0.34998626667073579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0" tint="-0.34998626667073579"/>
      </bottom>
      <diagonal/>
    </border>
    <border>
      <left style="medium">
        <color theme="2" tint="-0.249977111117893"/>
      </left>
      <right/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9" tint="-0.249977111117893"/>
      </bottom>
      <diagonal/>
    </border>
    <border>
      <left style="medium">
        <color rgb="FFFF0000"/>
      </left>
      <right style="medium">
        <color rgb="FFFF0000"/>
      </right>
      <top style="thick">
        <color theme="8" tint="-0.249977111117893"/>
      </top>
      <bottom/>
      <diagonal/>
    </border>
    <border>
      <left style="medium">
        <color rgb="FFFF0000"/>
      </left>
      <right style="medium">
        <color rgb="FFFF0000"/>
      </right>
      <top/>
      <bottom style="thick">
        <color theme="8" tint="-0.249977111117893"/>
      </bottom>
      <diagonal/>
    </border>
    <border>
      <left style="medium">
        <color rgb="FFFF0000"/>
      </left>
      <right style="medium">
        <color rgb="FFFF0000"/>
      </right>
      <top style="thick">
        <color theme="9" tint="-0.249977111117893"/>
      </top>
      <bottom/>
      <diagonal/>
    </border>
    <border>
      <left style="medium">
        <color rgb="FFFF0000"/>
      </left>
      <right style="medium">
        <color rgb="FFFF0000"/>
      </right>
      <top style="thin">
        <color theme="9" tint="-0.24994659260841701"/>
      </top>
      <bottom/>
      <diagonal/>
    </border>
    <border>
      <left style="medium">
        <color rgb="FFFF0000"/>
      </left>
      <right style="medium">
        <color rgb="FFFF0000"/>
      </right>
      <top style="thick">
        <color theme="9" tint="-0.249977111117893"/>
      </top>
      <bottom style="medium">
        <color theme="7" tint="-0.249977111117893"/>
      </bottom>
      <diagonal/>
    </border>
    <border>
      <left/>
      <right style="thick">
        <color theme="0" tint="-0.34998626667073579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theme="0" tint="-0.34998626667073579"/>
      </left>
      <right/>
      <top/>
      <bottom style="thin">
        <color theme="0" tint="-0.14996795556505021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14996795556505021"/>
      </bottom>
      <diagonal/>
    </border>
    <border>
      <left/>
      <right style="thin">
        <color theme="8" tint="-0.24994659260841701"/>
      </right>
      <top style="medium">
        <color theme="8" tint="-0.249977111117893"/>
      </top>
      <bottom/>
      <diagonal/>
    </border>
    <border>
      <left/>
      <right style="thin">
        <color theme="8" tint="-0.24994659260841701"/>
      </right>
      <top/>
      <bottom style="medium">
        <color theme="8" tint="-0.249977111117893"/>
      </bottom>
      <diagonal/>
    </border>
    <border>
      <left style="medium">
        <color theme="8" tint="-0.249977111117893"/>
      </left>
      <right/>
      <top style="thin">
        <color theme="8" tint="-0.249977111117893"/>
      </top>
      <bottom/>
      <diagonal/>
    </border>
    <border>
      <left style="medium">
        <color rgb="FFFF0000"/>
      </left>
      <right style="thin">
        <color theme="0" tint="-0.499984740745262"/>
      </right>
      <top/>
      <bottom/>
      <diagonal/>
    </border>
    <border>
      <left style="medium">
        <color theme="0" tint="-0.34998626667073579"/>
      </left>
      <right style="medium">
        <color theme="2" tint="-0.249977111117893"/>
      </right>
      <top/>
      <bottom/>
      <diagonal/>
    </border>
    <border>
      <left style="medium">
        <color theme="2" tint="-0.24994659260841701"/>
      </left>
      <right/>
      <top/>
      <bottom style="medium">
        <color theme="8" tint="-0.249977111117893"/>
      </bottom>
      <diagonal/>
    </border>
    <border>
      <left style="thin">
        <color theme="8" tint="-0.249977111117893"/>
      </left>
      <right/>
      <top/>
      <bottom style="thin">
        <color rgb="FF0070C0"/>
      </bottom>
      <diagonal/>
    </border>
    <border>
      <left/>
      <right style="thin">
        <color theme="8" tint="-0.249977111117893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ck">
        <color theme="7" tint="-0.249977111117893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medium">
        <color theme="0" tint="-0.34998626667073579"/>
      </left>
      <right/>
      <top style="thin">
        <color rgb="FFFFC000"/>
      </top>
      <bottom/>
      <diagonal/>
    </border>
    <border>
      <left style="medium">
        <color rgb="FFFF0000"/>
      </left>
      <right style="medium">
        <color rgb="FFFF0000"/>
      </right>
      <top style="thin">
        <color rgb="FFFFC000"/>
      </top>
      <bottom/>
      <diagonal/>
    </border>
    <border>
      <left style="medium">
        <color rgb="FFFF0000"/>
      </left>
      <right/>
      <top style="thin">
        <color rgb="FFFFC000"/>
      </top>
      <bottom/>
      <diagonal/>
    </border>
    <border>
      <left/>
      <right style="thick">
        <color theme="7" tint="-0.249977111117893"/>
      </right>
      <top style="thin">
        <color rgb="FFFFC000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9" tint="-0.24994659260841701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7" tint="-0.249977111117893"/>
      </top>
      <bottom/>
      <diagonal/>
    </border>
    <border>
      <left/>
      <right/>
      <top/>
      <bottom style="thin">
        <color theme="8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2" tint="-0.249977111117893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medium">
        <color theme="0" tint="-0.34998626667073579"/>
      </right>
      <top style="medium">
        <color theme="0" tint="-0.249977111117893"/>
      </top>
      <bottom/>
      <diagonal/>
    </border>
    <border>
      <left/>
      <right style="medium">
        <color theme="0" tint="-0.34998626667073579"/>
      </right>
      <top style="thin">
        <color theme="2" tint="-9.9978637043366805E-2"/>
      </top>
      <bottom/>
      <diagonal/>
    </border>
    <border>
      <left/>
      <right style="thin">
        <color theme="8" tint="-0.249977111117893"/>
      </right>
      <top/>
      <bottom style="thin">
        <color theme="0" tint="-0.34998626667073579"/>
      </bottom>
      <diagonal/>
    </border>
    <border>
      <left style="medium">
        <color rgb="FF305496"/>
      </left>
      <right/>
      <top style="medium">
        <color rgb="FF305496"/>
      </top>
      <bottom/>
      <diagonal/>
    </border>
    <border>
      <left style="medium">
        <color rgb="FF305496"/>
      </left>
      <right/>
      <top/>
      <bottom/>
      <diagonal/>
    </border>
    <border>
      <left style="medium">
        <color rgb="FF305496"/>
      </left>
      <right/>
      <top/>
      <bottom style="medium">
        <color rgb="FF305496"/>
      </bottom>
      <diagonal/>
    </border>
    <border>
      <left/>
      <right style="medium">
        <color rgb="FF305496"/>
      </right>
      <top style="medium">
        <color rgb="FF305496"/>
      </top>
      <bottom/>
      <diagonal/>
    </border>
    <border>
      <left/>
      <right style="medium">
        <color rgb="FF305496"/>
      </right>
      <top/>
      <bottom style="medium">
        <color rgb="FF305496"/>
      </bottom>
      <diagonal/>
    </border>
    <border>
      <left/>
      <right style="medium">
        <color rgb="FF305496"/>
      </right>
      <top style="dotted">
        <color theme="7" tint="-0.24994659260841701"/>
      </top>
      <bottom/>
      <diagonal/>
    </border>
    <border>
      <left/>
      <right style="medium">
        <color rgb="FF305496"/>
      </right>
      <top/>
      <bottom/>
      <diagonal/>
    </border>
    <border>
      <left/>
      <right style="medium">
        <color rgb="FF305496"/>
      </right>
      <top/>
      <bottom style="dotted">
        <color theme="7" tint="-0.24994659260841701"/>
      </bottom>
      <diagonal/>
    </border>
    <border>
      <left style="thin">
        <color theme="7" tint="-0.24994659260841701"/>
      </left>
      <right/>
      <top/>
      <bottom style="medium">
        <color rgb="FF305496"/>
      </bottom>
      <diagonal/>
    </border>
    <border>
      <left style="medium">
        <color rgb="FF305496"/>
      </left>
      <right/>
      <top style="dotted">
        <color theme="7" tint="-0.24994659260841701"/>
      </top>
      <bottom/>
      <diagonal/>
    </border>
    <border>
      <left style="medium">
        <color rgb="FF305496"/>
      </left>
      <right/>
      <top/>
      <bottom style="dotted">
        <color theme="7" tint="-0.24994659260841701"/>
      </bottom>
      <diagonal/>
    </border>
    <border>
      <left style="medium">
        <color rgb="FF305496"/>
      </left>
      <right/>
      <top style="medium">
        <color rgb="FF305496"/>
      </top>
      <bottom style="medium">
        <color rgb="FF305496"/>
      </bottom>
      <diagonal/>
    </border>
    <border>
      <left/>
      <right style="medium">
        <color rgb="FF305496"/>
      </right>
      <top style="medium">
        <color rgb="FF305496"/>
      </top>
      <bottom style="medium">
        <color rgb="FF305496"/>
      </bottom>
      <diagonal/>
    </border>
    <border>
      <left/>
      <right/>
      <top style="medium">
        <color rgb="FF305496"/>
      </top>
      <bottom style="medium">
        <color rgb="FF305496"/>
      </bottom>
      <diagonal/>
    </border>
    <border>
      <left style="medium">
        <color rgb="FF305496"/>
      </left>
      <right/>
      <top style="medium">
        <color rgb="FF305496"/>
      </top>
      <bottom style="thin">
        <color auto="1"/>
      </bottom>
      <diagonal/>
    </border>
    <border>
      <left/>
      <right/>
      <top style="medium">
        <color rgb="FF305496"/>
      </top>
      <bottom style="thin">
        <color auto="1"/>
      </bottom>
      <diagonal/>
    </border>
    <border>
      <left/>
      <right style="medium">
        <color rgb="FF305496"/>
      </right>
      <top style="medium">
        <color rgb="FF305496"/>
      </top>
      <bottom style="thin">
        <color auto="1"/>
      </bottom>
      <diagonal/>
    </border>
    <border>
      <left style="medium">
        <color theme="2" tint="-0.249977111117893"/>
      </left>
      <right style="thin">
        <color indexed="64"/>
      </right>
      <top style="thin">
        <color indexed="64"/>
      </top>
      <bottom/>
      <diagonal/>
    </border>
    <border>
      <left style="medium">
        <color theme="2" tint="-0.249977111117893"/>
      </left>
      <right style="medium">
        <color rgb="FF305496"/>
      </right>
      <top style="thin">
        <color indexed="64"/>
      </top>
      <bottom/>
      <diagonal/>
    </border>
    <border>
      <left style="medium">
        <color rgb="FF305496"/>
      </left>
      <right/>
      <top style="medium">
        <color rgb="FF305496"/>
      </top>
      <bottom style="thin">
        <color theme="2" tint="-9.9978637043366805E-2"/>
      </bottom>
      <diagonal/>
    </border>
    <border>
      <left/>
      <right/>
      <top style="medium">
        <color rgb="FF305496"/>
      </top>
      <bottom style="thin">
        <color theme="2" tint="-9.9978637043366805E-2"/>
      </bottom>
      <diagonal/>
    </border>
    <border>
      <left style="medium">
        <color rgb="FF305496"/>
      </left>
      <right/>
      <top/>
      <bottom style="thin">
        <color theme="2" tint="-9.9978637043366805E-2"/>
      </bottom>
      <diagonal/>
    </border>
    <border>
      <left style="medium">
        <color theme="2" tint="-0.249977111117893"/>
      </left>
      <right/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0" tint="-0.34998626667073579"/>
      </top>
      <bottom style="medium">
        <color theme="7" tint="-0.249977111117893"/>
      </bottom>
      <diagonal/>
    </border>
    <border>
      <left/>
      <right style="medium">
        <color theme="9" tint="-0.249977111117893"/>
      </right>
      <top/>
      <bottom style="thin">
        <color theme="9" tint="-0.249977111117893"/>
      </bottom>
      <diagonal/>
    </border>
    <border>
      <left style="medium">
        <color theme="7" tint="-0.24994659260841701"/>
      </left>
      <right style="thin">
        <color theme="7" tint="-0.24994659260841701"/>
      </right>
      <top/>
      <bottom style="medium">
        <color theme="7" tint="-0.249977111117893"/>
      </bottom>
      <diagonal/>
    </border>
    <border>
      <left style="thick">
        <color rgb="FF808080"/>
      </left>
      <right/>
      <top style="thick">
        <color rgb="FF808080"/>
      </top>
      <bottom/>
      <diagonal/>
    </border>
    <border>
      <left/>
      <right style="medium">
        <color rgb="FFAEAAAA"/>
      </right>
      <top style="medium">
        <color theme="8" tint="-0.249977111117893"/>
      </top>
      <bottom/>
      <diagonal/>
    </border>
    <border>
      <left style="thick">
        <color rgb="FF808080"/>
      </left>
      <right style="thick">
        <color rgb="FF808080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 style="thin">
        <color theme="8"/>
      </top>
      <bottom/>
      <diagonal/>
    </border>
    <border>
      <left style="thick">
        <color theme="0" tint="-0.499984740745262"/>
      </left>
      <right style="medium">
        <color theme="8" tint="-0.249977111117893"/>
      </right>
      <top/>
      <bottom/>
      <diagonal/>
    </border>
    <border>
      <left style="thick">
        <color theme="0" tint="-0.499984740745262"/>
      </left>
      <right style="medium">
        <color theme="8" tint="-0.249977111117893"/>
      </right>
      <top style="thin">
        <color theme="8" tint="-0.24994659260841701"/>
      </top>
      <bottom/>
      <diagonal/>
    </border>
    <border>
      <left style="thick">
        <color theme="0" tint="-0.499984740745262"/>
      </left>
      <right style="medium">
        <color theme="8" tint="-0.249977111117893"/>
      </right>
      <top/>
      <bottom style="medium">
        <color theme="8" tint="-0.249977111117893"/>
      </bottom>
      <diagonal/>
    </border>
    <border>
      <left/>
      <right/>
      <top/>
      <bottom style="hair">
        <color theme="8" tint="-0.249977111117893"/>
      </bottom>
      <diagonal/>
    </border>
    <border>
      <left style="medium">
        <color theme="8" tint="-0.24994659260841701"/>
      </left>
      <right/>
      <top style="hair">
        <color theme="8" tint="-0.249977111117893"/>
      </top>
      <bottom/>
      <diagonal/>
    </border>
    <border>
      <left/>
      <right/>
      <top style="hair">
        <color theme="8" tint="-0.249977111117893"/>
      </top>
      <bottom/>
      <diagonal/>
    </border>
    <border>
      <left style="medium">
        <color theme="8" tint="-0.24994659260841701"/>
      </left>
      <right/>
      <top/>
      <bottom style="hair">
        <color theme="8" tint="-0.249977111117893"/>
      </bottom>
      <diagonal/>
    </border>
    <border>
      <left style="medium">
        <color theme="0" tint="-0.34998626667073579"/>
      </left>
      <right/>
      <top style="dotted">
        <color theme="7" tint="-0.24994659260841701"/>
      </top>
      <bottom/>
      <diagonal/>
    </border>
    <border>
      <left style="medium">
        <color theme="0" tint="-0.34998626667073579"/>
      </left>
      <right/>
      <top/>
      <bottom style="dotted">
        <color theme="7" tint="-0.24994659260841701"/>
      </bottom>
      <diagonal/>
    </border>
    <border>
      <left style="medium">
        <color theme="0" tint="-0.34998626667073579"/>
      </left>
      <right/>
      <top/>
      <bottom style="hair">
        <color theme="8" tint="-0.249977111117893"/>
      </bottom>
      <diagonal/>
    </border>
    <border>
      <left style="medium">
        <color theme="0" tint="-0.34998626667073579"/>
      </left>
      <right style="dashed">
        <color theme="0" tint="-0.34998626667073579"/>
      </right>
      <top style="medium">
        <color theme="7" tint="-0.249977111117893"/>
      </top>
      <bottom/>
      <diagonal/>
    </border>
    <border>
      <left style="medium">
        <color theme="0" tint="-0.34998626667073579"/>
      </left>
      <right style="dashed">
        <color theme="0" tint="-0.34998626667073579"/>
      </right>
      <top/>
      <bottom/>
      <diagonal/>
    </border>
    <border>
      <left style="medium">
        <color theme="0" tint="-0.34998626667073579"/>
      </left>
      <right style="dashed">
        <color theme="0" tint="-0.34998626667073579"/>
      </right>
      <top style="dotted">
        <color theme="7" tint="-0.24994659260841701"/>
      </top>
      <bottom/>
      <diagonal/>
    </border>
    <border>
      <left style="medium">
        <color theme="0" tint="-0.34998626667073579"/>
      </left>
      <right style="dashed">
        <color theme="0" tint="-0.34998626667073579"/>
      </right>
      <top/>
      <bottom style="thin">
        <color theme="7" tint="-0.24994659260841701"/>
      </bottom>
      <diagonal/>
    </border>
    <border>
      <left style="medium">
        <color theme="0" tint="-0.34998626667073579"/>
      </left>
      <right style="dashed">
        <color theme="0" tint="-0.34998626667073579"/>
      </right>
      <top style="thin">
        <color theme="7" tint="-0.24994659260841701"/>
      </top>
      <bottom/>
      <diagonal/>
    </border>
    <border>
      <left style="medium">
        <color theme="0" tint="-0.34998626667073579"/>
      </left>
      <right style="dashed">
        <color theme="0" tint="-0.34998626667073579"/>
      </right>
      <top/>
      <bottom style="dotted">
        <color theme="7" tint="-0.24994659260841701"/>
      </bottom>
      <diagonal/>
    </border>
    <border>
      <left style="medium">
        <color theme="0" tint="-0.34998626667073579"/>
      </left>
      <right style="dashed">
        <color theme="0" tint="-0.34998626667073579"/>
      </right>
      <top/>
      <bottom style="medium">
        <color theme="7" tint="-0.24994659260841701"/>
      </bottom>
      <diagonal/>
    </border>
    <border>
      <left style="medium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medium">
        <color theme="7" tint="-0.249977111117893"/>
      </bottom>
      <diagonal/>
    </border>
    <border>
      <left style="medium">
        <color theme="0" tint="-0.34998626667073579"/>
      </left>
      <right style="dashed">
        <color theme="0" tint="-0.34998626667073579"/>
      </right>
      <top style="medium">
        <color theme="8" tint="-0.249977111117893"/>
      </top>
      <bottom/>
      <diagonal/>
    </border>
    <border>
      <left style="medium">
        <color theme="0" tint="-0.34998626667073579"/>
      </left>
      <right style="dashed">
        <color theme="0" tint="-0.34998626667073579"/>
      </right>
      <top/>
      <bottom style="hair">
        <color theme="8" tint="-0.249977111117893"/>
      </bottom>
      <diagonal/>
    </border>
    <border>
      <left style="medium">
        <color rgb="FFFF0000"/>
      </left>
      <right style="medium">
        <color rgb="FFFF0000"/>
      </right>
      <top/>
      <bottom style="hair">
        <color theme="8" tint="-0.249977111117893"/>
      </bottom>
      <diagonal/>
    </border>
    <border>
      <left style="medium">
        <color theme="0" tint="-0.34998626667073579"/>
      </left>
      <right style="dashed">
        <color theme="0" tint="-0.34998626667073579"/>
      </right>
      <top/>
      <bottom style="medium">
        <color theme="4" tint="-0.499984740745262"/>
      </bottom>
      <diagonal/>
    </border>
    <border>
      <left/>
      <right style="medium">
        <color theme="0" tint="-0.249977111117893"/>
      </right>
      <top style="medium">
        <color theme="2" tint="-0.249977111117893"/>
      </top>
      <bottom/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theme="0" tint="-0.249977111117893"/>
      </right>
      <top style="medium">
        <color theme="9" tint="-0.249977111117893"/>
      </top>
      <bottom/>
      <diagonal/>
    </border>
    <border>
      <left/>
      <right style="medium">
        <color theme="0" tint="-0.249977111117893"/>
      </right>
      <top style="thin">
        <color rgb="FF0070C0"/>
      </top>
      <bottom/>
      <diagonal/>
    </border>
    <border>
      <left/>
      <right style="medium">
        <color theme="0" tint="-0.249977111117893"/>
      </right>
      <top/>
      <bottom style="thin">
        <color rgb="FF0070C0"/>
      </bottom>
      <diagonal/>
    </border>
    <border>
      <left style="medium">
        <color indexed="64"/>
      </left>
      <right/>
      <top style="medium">
        <color theme="8" tint="-0.499984740745262"/>
      </top>
      <bottom/>
      <diagonal/>
    </border>
    <border>
      <left style="medium">
        <color indexed="64"/>
      </left>
      <right/>
      <top/>
      <bottom style="medium">
        <color theme="8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8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8" tint="-0.249977111117893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9" tint="0.59999389629810485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9" tint="0.59999389629810485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ck">
        <color theme="9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679555650502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ck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7" tint="-0.249977111117893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ck">
        <color theme="7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rgb="FFFFC000"/>
      </top>
      <bottom/>
      <diagonal/>
    </border>
    <border>
      <left/>
      <right style="medium">
        <color theme="0" tint="-0.249977111117893"/>
      </right>
      <top style="medium">
        <color theme="0" tint="-0.34998626667073579"/>
      </top>
      <bottom/>
      <diagonal/>
    </border>
    <border>
      <left style="medium">
        <color theme="0" tint="-0.249977111117893"/>
      </left>
      <right/>
      <top style="medium">
        <color theme="0" tint="-0.34998626667073579"/>
      </top>
      <bottom/>
      <diagonal/>
    </border>
    <border>
      <left/>
      <right style="medium">
        <color theme="0" tint="-0.249977111117893"/>
      </right>
      <top/>
      <bottom style="medium">
        <color theme="8" tint="-0.249977111117893"/>
      </bottom>
      <diagonal/>
    </border>
    <border>
      <left/>
      <right style="medium">
        <color theme="0" tint="-0.249977111117893"/>
      </right>
      <top style="medium">
        <color theme="2" tint="-0.24994659260841701"/>
      </top>
      <bottom style="medium">
        <color theme="9" tint="-0.249977111117893"/>
      </bottom>
      <diagonal/>
    </border>
    <border>
      <left style="medium">
        <color theme="2" tint="-0.249977111117893"/>
      </left>
      <right style="medium">
        <color theme="0" tint="-0.249977111117893"/>
      </right>
      <top style="medium">
        <color theme="8" tint="-0.249977111117893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/>
      <diagonal/>
    </border>
    <border>
      <left style="medium">
        <color theme="2" tint="-0.249977111117893"/>
      </left>
      <right style="medium">
        <color theme="0" tint="-0.249977111117893"/>
      </right>
      <top style="dotted">
        <color theme="8" tint="-0.249977111117893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 style="dotted">
        <color theme="8" tint="-0.249977111117893"/>
      </bottom>
      <diagonal/>
    </border>
    <border>
      <left style="medium">
        <color theme="2" tint="-0.249977111117893"/>
      </left>
      <right style="medium">
        <color theme="0" tint="-0.249977111117893"/>
      </right>
      <top style="dotted">
        <color theme="8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 style="medium">
        <color theme="8" tint="-0.249977111117893"/>
      </bottom>
      <diagonal/>
    </border>
    <border>
      <left/>
      <right style="medium">
        <color theme="0" tint="-0.249977111117893"/>
      </right>
      <top/>
      <bottom style="medium">
        <color theme="9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 style="medium">
        <color theme="9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 style="dotted">
        <color theme="9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 style="dotted">
        <color theme="9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/>
      <bottom style="medium">
        <color theme="9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 style="medium">
        <color theme="7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 style="dotted">
        <color theme="7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/>
      <bottom style="thin">
        <color theme="7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 style="thin">
        <color theme="7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 style="dotted">
        <color theme="7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 style="medium">
        <color theme="7" tint="-0.24994659260841701"/>
      </bottom>
      <diagonal/>
    </border>
    <border>
      <left style="medium">
        <color theme="0" tint="-0.249977111117893"/>
      </left>
      <right/>
      <top style="medium">
        <color theme="2" tint="-0.249977111117893"/>
      </top>
      <bottom/>
      <diagonal/>
    </border>
    <border>
      <left style="medium">
        <color theme="0" tint="-0.249977111117893"/>
      </left>
      <right/>
      <top/>
      <bottom style="medium">
        <color theme="8" tint="-0.249977111117893"/>
      </bottom>
      <diagonal/>
    </border>
    <border>
      <left/>
      <right style="medium">
        <color theme="0" tint="-0.249977111117893"/>
      </right>
      <top style="medium">
        <color theme="2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 style="hair">
        <color theme="0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 style="hair">
        <color theme="0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 style="thin">
        <color theme="8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/>
      <bottom style="thin">
        <color theme="8" tint="-0.24994659260841701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2" tint="-0.24994659260841701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7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7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7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7" tint="-0.24994659260841701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7" tint="-0.24994659260841701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7" tint="-0.24994659260841701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7" tint="-0.24994659260841701"/>
      </bottom>
      <diagonal/>
    </border>
    <border>
      <left/>
      <right/>
      <top style="medium">
        <color theme="2" tint="-0.24994659260841701"/>
      </top>
      <bottom style="medium">
        <color theme="9" tint="-0.249977111117893"/>
      </bottom>
      <diagonal/>
    </border>
    <border>
      <left style="medium">
        <color theme="0" tint="-0.249977111117893"/>
      </left>
      <right/>
      <top style="medium">
        <color theme="8" tint="-0.249977111117893"/>
      </top>
      <bottom/>
      <diagonal/>
    </border>
    <border>
      <left style="medium">
        <color theme="0" tint="-0.249977111117893"/>
      </left>
      <right/>
      <top/>
      <bottom style="thin">
        <color rgb="FF0070C0"/>
      </bottom>
      <diagonal/>
    </border>
    <border>
      <left style="medium">
        <color theme="0" tint="-0.249977111117893"/>
      </left>
      <right/>
      <top style="thin">
        <color rgb="FF0070C0"/>
      </top>
      <bottom/>
      <diagonal/>
    </border>
    <border>
      <left/>
      <right style="medium">
        <color theme="0" tint="-0.249977111117893"/>
      </right>
      <top style="medium">
        <color theme="8" tint="-0.249977111117893"/>
      </top>
      <bottom/>
      <diagonal/>
    </border>
    <border>
      <left/>
      <right style="medium">
        <color theme="0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0" tint="-0.249977111117893"/>
      </right>
      <top/>
      <bottom style="medium">
        <color theme="9" tint="-0.249977111117893"/>
      </bottom>
      <diagonal/>
    </border>
    <border>
      <left style="medium">
        <color theme="0" tint="-0.249977111117893"/>
      </left>
      <right/>
      <top style="medium">
        <color theme="9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double">
        <color theme="0" tint="-0.34998626667073579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9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9" tint="0.39997558519241921"/>
      </bottom>
      <diagonal/>
    </border>
    <border>
      <left style="medium">
        <color theme="0" tint="-0.249977111117893"/>
      </left>
      <right style="medium">
        <color theme="0" tint="-0.249977111117893"/>
      </right>
      <top style="dotted">
        <color theme="9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9" tint="-0.249977111117893"/>
      </bottom>
      <diagonal/>
    </border>
    <border>
      <left style="medium">
        <color theme="2" tint="-0.249977111117893"/>
      </left>
      <right style="medium">
        <color theme="0" tint="-0.249977111117893"/>
      </right>
      <top style="medium">
        <color theme="0" tint="-0.34998626667073579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 style="medium">
        <color theme="7" tint="-0.249977111117893"/>
      </top>
      <bottom/>
      <diagonal/>
    </border>
    <border>
      <left style="medium">
        <color theme="2" tint="-0.24994659260841701"/>
      </left>
      <right style="medium">
        <color theme="0" tint="-0.249977111117893"/>
      </right>
      <top/>
      <bottom style="medium">
        <color theme="7" tint="-0.249977111117893"/>
      </bottom>
      <diagonal/>
    </border>
    <border>
      <left style="medium">
        <color theme="0" tint="-0.249977111117893"/>
      </left>
      <right/>
      <top style="thin">
        <color theme="8" tint="-0.249977111117893"/>
      </top>
      <bottom/>
      <diagonal/>
    </border>
    <border>
      <left style="medium">
        <color theme="0" tint="-0.249977111117893"/>
      </left>
      <right/>
      <top/>
      <bottom style="thin">
        <color theme="8" tint="-0.249977111117893"/>
      </bottom>
      <diagonal/>
    </border>
    <border>
      <left style="medium">
        <color theme="0" tint="-0.249977111117893"/>
      </left>
      <right/>
      <top/>
      <bottom style="medium">
        <color theme="7" tint="-0.249977111117893"/>
      </bottom>
      <diagonal/>
    </border>
    <border>
      <left style="medium">
        <color theme="0" tint="-0.249977111117893"/>
      </left>
      <right/>
      <top style="thick">
        <color theme="0" tint="-0.34998626667073579"/>
      </top>
      <bottom style="medium">
        <color theme="7" tint="-0.249977111117893"/>
      </bottom>
      <diagonal/>
    </border>
    <border>
      <left style="medium">
        <color theme="0" tint="-0.249977111117893"/>
      </left>
      <right/>
      <top style="medium">
        <color theme="7" tint="-0.249977111117893"/>
      </top>
      <bottom/>
      <diagonal/>
    </border>
    <border>
      <left style="medium">
        <color theme="0" tint="-0.249977111117893"/>
      </left>
      <right/>
      <top style="thin">
        <color theme="7" tint="-0.24994659260841701"/>
      </top>
      <bottom/>
      <diagonal/>
    </border>
    <border>
      <left style="medium">
        <color theme="0" tint="-0.249977111117893"/>
      </left>
      <right/>
      <top/>
      <bottom style="thin">
        <color theme="7" tint="-0.24994659260841701"/>
      </bottom>
      <diagonal/>
    </border>
    <border>
      <left style="medium">
        <color theme="0" tint="-0.249977111117893"/>
      </left>
      <right/>
      <top style="medium">
        <color theme="7" tint="-0.24994659260841701"/>
      </top>
      <bottom/>
      <diagonal/>
    </border>
    <border>
      <left style="thick">
        <color theme="0" tint="-0.34998626667073579"/>
      </left>
      <right style="medium">
        <color theme="0" tint="-0.249977111117893"/>
      </right>
      <top style="medium">
        <color theme="2" tint="-0.24994659260841701"/>
      </top>
      <bottom style="medium">
        <color theme="8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 style="medium">
        <color theme="8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 style="hair">
        <color theme="8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 style="medium">
        <color theme="8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/>
      <bottom style="hair">
        <color theme="9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 style="hair">
        <color theme="9" tint="-0.24994659260841701"/>
      </top>
      <bottom/>
      <diagonal/>
    </border>
    <border>
      <left style="medium">
        <color theme="2" tint="-0.249977111117893"/>
      </left>
      <right style="medium">
        <color theme="0" tint="-0.249977111117893"/>
      </right>
      <top/>
      <bottom style="thin">
        <color theme="9" tint="-0.24994659260841701"/>
      </bottom>
      <diagonal/>
    </border>
    <border>
      <left style="medium">
        <color theme="2" tint="-0.249977111117893"/>
      </left>
      <right style="medium">
        <color theme="0" tint="-0.249977111117893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0" tint="-0.34998626667073579"/>
      </left>
      <right style="medium">
        <color theme="0" tint="-0.249977111117893"/>
      </right>
      <top style="thin">
        <color theme="9" tint="-0.249977111117893"/>
      </top>
      <bottom/>
      <diagonal/>
    </border>
    <border>
      <left style="medium">
        <color theme="0" tint="-0.34998626667073579"/>
      </left>
      <right style="medium">
        <color theme="0" tint="-0.249977111117893"/>
      </right>
      <top/>
      <bottom/>
      <diagonal/>
    </border>
    <border>
      <left style="medium">
        <color theme="0" tint="-0.34998626667073579"/>
      </left>
      <right style="medium">
        <color theme="0" tint="-0.249977111117893"/>
      </right>
      <top/>
      <bottom style="medium">
        <color theme="9" tint="-0.24994659260841701"/>
      </bottom>
      <diagonal/>
    </border>
    <border>
      <left style="medium">
        <color theme="2" tint="-0.24994659260841701"/>
      </left>
      <right/>
      <top style="medium">
        <color theme="2" tint="-0.24994659260841701"/>
      </top>
      <bottom style="thin">
        <color theme="8" tint="-0.249977111117893"/>
      </bottom>
      <diagonal/>
    </border>
    <border>
      <left/>
      <right/>
      <top style="medium">
        <color theme="2" tint="-0.24994659260841701"/>
      </top>
      <bottom style="thin">
        <color theme="8" tint="-0.249977111117893"/>
      </bottom>
      <diagonal/>
    </border>
    <border>
      <left/>
      <right style="medium">
        <color theme="2" tint="-0.24994659260841701"/>
      </right>
      <top style="medium">
        <color theme="2" tint="-0.24994659260841701"/>
      </top>
      <bottom style="thin">
        <color theme="8" tint="-0.249977111117893"/>
      </bottom>
      <diagonal/>
    </border>
    <border>
      <left style="medium">
        <color theme="2" tint="-0.24994659260841701"/>
      </left>
      <right/>
      <top/>
      <bottom/>
      <diagonal/>
    </border>
    <border>
      <left style="medium">
        <color theme="2" tint="-0.24994659260841701"/>
      </left>
      <right/>
      <top style="thin">
        <color theme="8" tint="-0.249977111117893"/>
      </top>
      <bottom/>
      <diagonal/>
    </border>
    <border>
      <left/>
      <right style="medium">
        <color theme="2" tint="-0.24994659260841701"/>
      </right>
      <top style="thin">
        <color theme="8" tint="-0.249977111117893"/>
      </top>
      <bottom/>
      <diagonal/>
    </border>
    <border>
      <left style="medium">
        <color theme="2" tint="-0.24994659260841701"/>
      </left>
      <right/>
      <top style="thin">
        <color theme="0" tint="-0.34998626667073579"/>
      </top>
      <bottom/>
      <diagonal/>
    </border>
    <border>
      <left/>
      <right style="medium">
        <color theme="2" tint="-0.24994659260841701"/>
      </right>
      <top style="thin">
        <color theme="0" tint="-0.34998626667073579"/>
      </top>
      <bottom/>
      <diagonal/>
    </border>
    <border>
      <left style="medium">
        <color theme="2" tint="-0.24994659260841701"/>
      </left>
      <right/>
      <top/>
      <bottom style="thin">
        <color theme="0" tint="-0.34998626667073579"/>
      </bottom>
      <diagonal/>
    </border>
    <border>
      <left/>
      <right style="medium">
        <color theme="2" tint="-0.24994659260841701"/>
      </right>
      <top/>
      <bottom style="thin">
        <color theme="0" tint="-0.34998626667073579"/>
      </bottom>
      <diagonal/>
    </border>
    <border>
      <left style="medium">
        <color theme="2" tint="-0.2499465926084170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2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theme="2" tint="-0.24994659260841701"/>
      </left>
      <right/>
      <top style="medium">
        <color theme="0" tint="-0.34998626667073579"/>
      </top>
      <bottom/>
      <diagonal/>
    </border>
    <border>
      <left/>
      <right style="medium">
        <color theme="2" tint="-0.24994659260841701"/>
      </right>
      <top style="medium">
        <color theme="0" tint="-0.34998626667073579"/>
      </top>
      <bottom/>
      <diagonal/>
    </border>
    <border>
      <left style="medium">
        <color theme="2" tint="-0.24994659260841701"/>
      </left>
      <right/>
      <top/>
      <bottom style="medium">
        <color theme="0" tint="-0.34998626667073579"/>
      </bottom>
      <diagonal/>
    </border>
    <border>
      <left/>
      <right style="medium">
        <color theme="2" tint="-0.24994659260841701"/>
      </right>
      <top/>
      <bottom style="medium">
        <color theme="0" tint="-0.34998626667073579"/>
      </bottom>
      <diagonal/>
    </border>
    <border>
      <left style="medium">
        <color theme="2" tint="-0.24994659260841701"/>
      </left>
      <right/>
      <top/>
      <bottom style="medium">
        <color indexed="64"/>
      </bottom>
      <diagonal/>
    </border>
    <border>
      <left/>
      <right style="medium">
        <color theme="2" tint="-0.24994659260841701"/>
      </right>
      <top/>
      <bottom style="medium">
        <color indexed="64"/>
      </bottom>
      <diagonal/>
    </border>
    <border>
      <left style="medium">
        <color theme="2" tint="-0.2499465926084170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2" tint="-0.24994659260841701"/>
      </right>
      <top style="medium">
        <color indexed="64"/>
      </top>
      <bottom/>
      <diagonal/>
    </border>
    <border>
      <left style="medium">
        <color theme="9" tint="-0.249977111117893"/>
      </left>
      <right style="medium">
        <color theme="0" tint="-0.34998626667073579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0" tint="-0.34998626667073579"/>
      </right>
      <top/>
      <bottom/>
      <diagonal/>
    </border>
    <border>
      <left style="medium">
        <color theme="9" tint="-0.249977111117893"/>
      </left>
      <right style="medium">
        <color theme="0" tint="-0.34998626667073579"/>
      </right>
      <top/>
      <bottom style="medium">
        <color theme="9" tint="-0.249977111117893"/>
      </bottom>
      <diagonal/>
    </border>
    <border>
      <left/>
      <right style="medium">
        <color theme="0" tint="-0.34998626667073579"/>
      </right>
      <top style="thin">
        <color rgb="FFFFC000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8" tint="-0.249977111117893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ck">
        <color theme="8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9" tint="-0.249977111117893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9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9" tint="-0.2499465926084170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9" tint="-0.249977111117893"/>
      </top>
      <bottom style="medium">
        <color theme="7" tint="-0.249977111117893"/>
      </bottom>
      <diagonal/>
    </border>
    <border>
      <left/>
      <right/>
      <top style="thin">
        <color theme="1" tint="0.34998626667073579"/>
      </top>
      <bottom style="double">
        <color theme="1" tint="0.34998626667073579"/>
      </bottom>
      <diagonal/>
    </border>
  </borders>
  <cellStyleXfs count="1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/>
    <xf numFmtId="0" fontId="21" fillId="0" borderId="0"/>
    <xf numFmtId="41" fontId="2" fillId="0" borderId="0" applyFont="0" applyFill="0" applyBorder="0" applyAlignment="0" applyProtection="0">
      <alignment vertical="center"/>
    </xf>
    <xf numFmtId="0" fontId="27" fillId="0" borderId="0"/>
    <xf numFmtId="0" fontId="28" fillId="0" borderId="0"/>
    <xf numFmtId="0" fontId="30" fillId="0" borderId="0" applyNumberForma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4" fillId="0" borderId="0"/>
  </cellStyleXfs>
  <cellXfs count="758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9" xfId="0" applyBorder="1">
      <alignment vertical="center"/>
    </xf>
    <xf numFmtId="0" fontId="0" fillId="0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8" borderId="0" xfId="0" applyFill="1" applyBorder="1">
      <alignment vertical="center"/>
    </xf>
    <xf numFmtId="0" fontId="0" fillId="11" borderId="4" xfId="0" applyFill="1" applyBorder="1">
      <alignment vertical="center"/>
    </xf>
    <xf numFmtId="0" fontId="0" fillId="11" borderId="0" xfId="0" applyFill="1" applyBorder="1">
      <alignment vertical="center"/>
    </xf>
    <xf numFmtId="0" fontId="0" fillId="9" borderId="0" xfId="0" applyFill="1" applyBorder="1">
      <alignment vertical="center"/>
    </xf>
    <xf numFmtId="0" fontId="0" fillId="8" borderId="6" xfId="0" applyFill="1" applyBorder="1">
      <alignment vertical="center"/>
    </xf>
    <xf numFmtId="0" fontId="0" fillId="0" borderId="34" xfId="0" applyFill="1" applyBorder="1">
      <alignment vertical="center"/>
    </xf>
    <xf numFmtId="0" fontId="0" fillId="11" borderId="66" xfId="0" applyFill="1" applyBorder="1">
      <alignment vertical="center"/>
    </xf>
    <xf numFmtId="0" fontId="0" fillId="8" borderId="35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5" fillId="11" borderId="4" xfId="0" applyFont="1" applyFill="1" applyBorder="1">
      <alignment vertical="center"/>
    </xf>
    <xf numFmtId="0" fontId="5" fillId="11" borderId="0" xfId="0" applyFont="1" applyFill="1" applyBorder="1">
      <alignment vertical="center"/>
    </xf>
    <xf numFmtId="0" fontId="6" fillId="0" borderId="0" xfId="0" applyFont="1" applyBorder="1">
      <alignment vertical="center"/>
    </xf>
    <xf numFmtId="0" fontId="5" fillId="11" borderId="66" xfId="0" applyFont="1" applyFill="1" applyBorder="1">
      <alignment vertical="center"/>
    </xf>
    <xf numFmtId="0" fontId="5" fillId="8" borderId="0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0" borderId="0" xfId="0" applyFont="1" applyBorder="1">
      <alignment vertical="center"/>
    </xf>
    <xf numFmtId="0" fontId="5" fillId="9" borderId="0" xfId="0" applyFont="1" applyFill="1" applyBorder="1">
      <alignment vertical="center"/>
    </xf>
    <xf numFmtId="0" fontId="5" fillId="0" borderId="0" xfId="0" applyFont="1">
      <alignment vertical="center"/>
    </xf>
    <xf numFmtId="0" fontId="0" fillId="11" borderId="107" xfId="0" applyFill="1" applyBorder="1">
      <alignment vertical="center"/>
    </xf>
    <xf numFmtId="0" fontId="0" fillId="8" borderId="32" xfId="0" applyFill="1" applyBorder="1">
      <alignment vertical="center"/>
    </xf>
    <xf numFmtId="0" fontId="5" fillId="8" borderId="71" xfId="0" applyFont="1" applyFill="1" applyBorder="1">
      <alignment vertical="center"/>
    </xf>
    <xf numFmtId="0" fontId="5" fillId="8" borderId="72" xfId="0" applyFont="1" applyFill="1" applyBorder="1">
      <alignment vertical="center"/>
    </xf>
    <xf numFmtId="0" fontId="6" fillId="0" borderId="72" xfId="0" applyFont="1" applyBorder="1">
      <alignment vertical="center"/>
    </xf>
    <xf numFmtId="0" fontId="5" fillId="8" borderId="35" xfId="0" applyFont="1" applyFill="1" applyBorder="1">
      <alignment vertical="center"/>
    </xf>
    <xf numFmtId="0" fontId="0" fillId="12" borderId="0" xfId="0" applyFill="1" applyBorder="1">
      <alignment vertical="center"/>
    </xf>
    <xf numFmtId="0" fontId="0" fillId="11" borderId="18" xfId="0" applyFill="1" applyBorder="1">
      <alignment vertical="center"/>
    </xf>
    <xf numFmtId="0" fontId="0" fillId="0" borderId="61" xfId="0" applyBorder="1">
      <alignment vertical="center"/>
    </xf>
    <xf numFmtId="0" fontId="5" fillId="11" borderId="72" xfId="0" applyFont="1" applyFill="1" applyBorder="1">
      <alignment vertical="center"/>
    </xf>
    <xf numFmtId="0" fontId="6" fillId="0" borderId="73" xfId="0" applyFont="1" applyBorder="1">
      <alignment vertical="center"/>
    </xf>
    <xf numFmtId="0" fontId="0" fillId="0" borderId="19" xfId="0" applyFill="1" applyBorder="1">
      <alignment vertical="center"/>
    </xf>
    <xf numFmtId="0" fontId="6" fillId="0" borderId="19" xfId="0" applyFont="1" applyBorder="1">
      <alignment vertical="center"/>
    </xf>
    <xf numFmtId="0" fontId="5" fillId="11" borderId="18" xfId="0" applyFont="1" applyFill="1" applyBorder="1">
      <alignment vertical="center"/>
    </xf>
    <xf numFmtId="0" fontId="4" fillId="11" borderId="0" xfId="0" applyFont="1" applyFill="1" applyBorder="1">
      <alignment vertical="center"/>
    </xf>
    <xf numFmtId="0" fontId="0" fillId="0" borderId="56" xfId="0" applyBorder="1">
      <alignment vertical="center"/>
    </xf>
    <xf numFmtId="0" fontId="0" fillId="12" borderId="114" xfId="0" applyFill="1" applyBorder="1">
      <alignment vertical="center"/>
    </xf>
    <xf numFmtId="0" fontId="0" fillId="16" borderId="0" xfId="0" applyFill="1" applyBorder="1">
      <alignment vertical="center"/>
    </xf>
    <xf numFmtId="0" fontId="0" fillId="16" borderId="114" xfId="0" applyFill="1" applyBorder="1">
      <alignment vertical="center"/>
    </xf>
    <xf numFmtId="0" fontId="0" fillId="3" borderId="61" xfId="0" applyFill="1" applyBorder="1">
      <alignment vertical="center"/>
    </xf>
    <xf numFmtId="0" fontId="6" fillId="0" borderId="279" xfId="0" applyFont="1" applyBorder="1">
      <alignment vertical="center"/>
    </xf>
    <xf numFmtId="0" fontId="0" fillId="0" borderId="275" xfId="0" applyFill="1" applyBorder="1">
      <alignment vertical="center"/>
    </xf>
    <xf numFmtId="0" fontId="0" fillId="0" borderId="102" xfId="0" applyFill="1" applyBorder="1">
      <alignment vertical="center"/>
    </xf>
    <xf numFmtId="0" fontId="0" fillId="5" borderId="0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5" fillId="8" borderId="291" xfId="0" applyFont="1" applyFill="1" applyBorder="1">
      <alignment vertical="center"/>
    </xf>
    <xf numFmtId="0" fontId="0" fillId="8" borderId="30" xfId="0" applyFill="1" applyBorder="1">
      <alignment vertical="center"/>
    </xf>
    <xf numFmtId="0" fontId="5" fillId="0" borderId="56" xfId="0" applyFont="1" applyBorder="1">
      <alignment vertical="center"/>
    </xf>
    <xf numFmtId="0" fontId="5" fillId="12" borderId="0" xfId="0" applyFont="1" applyFill="1" applyBorder="1">
      <alignment vertical="center"/>
    </xf>
    <xf numFmtId="0" fontId="5" fillId="11" borderId="28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0" xfId="0" applyFo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17" borderId="0" xfId="0" applyFont="1" applyFill="1" applyBorder="1" applyAlignment="1">
      <alignment horizontal="center" vertical="center" wrapText="1"/>
    </xf>
    <xf numFmtId="0" fontId="0" fillId="17" borderId="0" xfId="0" applyFill="1">
      <alignment vertical="center"/>
    </xf>
    <xf numFmtId="0" fontId="0" fillId="0" borderId="0" xfId="0" applyFill="1">
      <alignment vertical="center"/>
    </xf>
    <xf numFmtId="0" fontId="10" fillId="8" borderId="314" xfId="0" applyFont="1" applyFill="1" applyBorder="1" applyAlignment="1">
      <alignment horizontal="left" vertical="center"/>
    </xf>
    <xf numFmtId="0" fontId="10" fillId="8" borderId="0" xfId="0" applyFont="1" applyFill="1" applyBorder="1" applyAlignment="1">
      <alignment horizontal="left" vertical="center"/>
    </xf>
    <xf numFmtId="0" fontId="10" fillId="3" borderId="66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35" xfId="0" applyFont="1" applyFill="1" applyBorder="1" applyAlignment="1">
      <alignment horizontal="left" vertical="center"/>
    </xf>
    <xf numFmtId="0" fontId="7" fillId="0" borderId="315" xfId="0" applyFont="1" applyBorder="1" applyAlignment="1">
      <alignment horizontal="left" vertical="center"/>
    </xf>
    <xf numFmtId="0" fontId="7" fillId="2" borderId="315" xfId="0" applyFont="1" applyFill="1" applyBorder="1" applyAlignment="1">
      <alignment horizontal="left" vertical="center"/>
    </xf>
    <xf numFmtId="0" fontId="7" fillId="0" borderId="31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13" borderId="0" xfId="0" applyFill="1" applyBorder="1" applyAlignment="1">
      <alignment horizontal="left" vertical="center"/>
    </xf>
    <xf numFmtId="0" fontId="10" fillId="8" borderId="35" xfId="0" applyFont="1" applyFill="1" applyBorder="1" applyAlignment="1">
      <alignment horizontal="left" vertical="center"/>
    </xf>
    <xf numFmtId="0" fontId="0" fillId="8" borderId="66" xfId="0" applyFill="1" applyBorder="1" applyAlignment="1">
      <alignment horizontal="left" vertical="center"/>
    </xf>
    <xf numFmtId="0" fontId="0" fillId="8" borderId="0" xfId="0" applyFill="1" applyBorder="1" applyAlignment="1">
      <alignment horizontal="left" vertical="center"/>
    </xf>
    <xf numFmtId="0" fontId="7" fillId="0" borderId="315" xfId="0" applyFont="1" applyFill="1" applyBorder="1" applyAlignment="1">
      <alignment horizontal="left" vertical="center"/>
    </xf>
    <xf numFmtId="0" fontId="7" fillId="2" borderId="316" xfId="0" applyFont="1" applyFill="1" applyBorder="1" applyAlignment="1">
      <alignment horizontal="left" vertical="center"/>
    </xf>
    <xf numFmtId="0" fontId="11" fillId="13" borderId="0" xfId="0" applyFont="1" applyFill="1" applyBorder="1" applyAlignment="1">
      <alignment horizontal="left" vertical="center"/>
    </xf>
    <xf numFmtId="0" fontId="10" fillId="13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10" fillId="8" borderId="66" xfId="0" applyFont="1" applyFill="1" applyBorder="1" applyAlignment="1">
      <alignment horizontal="left" vertical="center"/>
    </xf>
    <xf numFmtId="0" fontId="10" fillId="19" borderId="66" xfId="0" applyFont="1" applyFill="1" applyBorder="1" applyAlignment="1">
      <alignment horizontal="left" vertical="center"/>
    </xf>
    <xf numFmtId="0" fontId="10" fillId="19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17" borderId="0" xfId="0" applyFont="1" applyFill="1" applyBorder="1" applyAlignment="1">
      <alignment horizontal="left" vertical="center"/>
    </xf>
    <xf numFmtId="0" fontId="0" fillId="17" borderId="0" xfId="0" applyFill="1" applyBorder="1" applyAlignment="1">
      <alignment horizontal="center" vertical="center"/>
    </xf>
    <xf numFmtId="0" fontId="0" fillId="17" borderId="0" xfId="0" applyFill="1" applyBorder="1">
      <alignment vertical="center"/>
    </xf>
    <xf numFmtId="0" fontId="10" fillId="19" borderId="6" xfId="0" applyFont="1" applyFill="1" applyBorder="1" applyAlignment="1">
      <alignment horizontal="left" vertical="center"/>
    </xf>
    <xf numFmtId="0" fontId="9" fillId="0" borderId="24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/>
    </xf>
    <xf numFmtId="0" fontId="0" fillId="0" borderId="6" xfId="0" applyFill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2" fillId="11" borderId="83" xfId="0" applyFont="1" applyFill="1" applyBorder="1" applyAlignment="1">
      <alignment horizontal="center" vertical="center"/>
    </xf>
    <xf numFmtId="0" fontId="12" fillId="11" borderId="213" xfId="0" applyFont="1" applyFill="1" applyBorder="1" applyAlignment="1">
      <alignment horizontal="center" vertical="center"/>
    </xf>
    <xf numFmtId="0" fontId="12" fillId="8" borderId="202" xfId="0" applyFont="1" applyFill="1" applyBorder="1" applyAlignment="1">
      <alignment horizontal="left" vertical="center"/>
    </xf>
    <xf numFmtId="0" fontId="12" fillId="8" borderId="83" xfId="0" applyFont="1" applyFill="1" applyBorder="1" applyAlignment="1">
      <alignment horizontal="center" vertical="center"/>
    </xf>
    <xf numFmtId="0" fontId="12" fillId="8" borderId="205" xfId="0" applyFont="1" applyFill="1" applyBorder="1" applyAlignment="1">
      <alignment horizontal="center" vertical="center"/>
    </xf>
    <xf numFmtId="0" fontId="12" fillId="19" borderId="202" xfId="0" applyFont="1" applyFill="1" applyBorder="1" applyAlignment="1">
      <alignment horizontal="left" vertical="center"/>
    </xf>
    <xf numFmtId="0" fontId="12" fillId="19" borderId="83" xfId="0" applyFont="1" applyFill="1" applyBorder="1" applyAlignment="1">
      <alignment horizontal="center" vertical="center"/>
    </xf>
    <xf numFmtId="0" fontId="12" fillId="19" borderId="21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17" borderId="0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8" borderId="202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0" fontId="14" fillId="8" borderId="202" xfId="0" applyFont="1" applyFill="1" applyBorder="1" applyAlignment="1">
      <alignment horizontal="center" vertical="center"/>
    </xf>
    <xf numFmtId="0" fontId="6" fillId="8" borderId="66" xfId="0" applyFont="1" applyFill="1" applyBorder="1" applyAlignment="1">
      <alignment horizontal="left" vertical="center"/>
    </xf>
    <xf numFmtId="0" fontId="14" fillId="8" borderId="83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left" vertical="center"/>
    </xf>
    <xf numFmtId="0" fontId="14" fillId="8" borderId="205" xfId="0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0" fontId="0" fillId="13" borderId="6" xfId="0" applyFill="1" applyBorder="1" applyAlignment="1">
      <alignment horizontal="left" vertical="center"/>
    </xf>
    <xf numFmtId="0" fontId="6" fillId="20" borderId="0" xfId="0" applyFont="1" applyFill="1" applyBorder="1" applyAlignment="1">
      <alignment horizontal="left" vertical="center"/>
    </xf>
    <xf numFmtId="0" fontId="6" fillId="20" borderId="35" xfId="0" applyFont="1" applyFill="1" applyBorder="1" applyAlignment="1">
      <alignment horizontal="left" vertical="center"/>
    </xf>
    <xf numFmtId="0" fontId="14" fillId="8" borderId="318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0" fontId="12" fillId="8" borderId="213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41" fontId="0" fillId="11" borderId="305" xfId="2" applyFont="1" applyFill="1" applyBorder="1" applyAlignment="1">
      <alignment horizontal="center" vertical="center"/>
    </xf>
    <xf numFmtId="41" fontId="0" fillId="11" borderId="4" xfId="2" applyFont="1" applyFill="1" applyBorder="1" applyAlignment="1">
      <alignment horizontal="center" vertical="center"/>
    </xf>
    <xf numFmtId="41" fontId="0" fillId="11" borderId="209" xfId="2" applyFont="1" applyFill="1" applyBorder="1" applyAlignment="1">
      <alignment horizontal="center" vertical="center"/>
    </xf>
    <xf numFmtId="41" fontId="0" fillId="13" borderId="306" xfId="2" applyFont="1" applyFill="1" applyBorder="1" applyAlignment="1">
      <alignment horizontal="center" vertical="center"/>
    </xf>
    <xf numFmtId="41" fontId="0" fillId="13" borderId="0" xfId="2" applyFont="1" applyFill="1" applyBorder="1" applyAlignment="1">
      <alignment horizontal="center" vertical="center"/>
    </xf>
    <xf numFmtId="41" fontId="0" fillId="13" borderId="210" xfId="2" applyFont="1" applyFill="1" applyBorder="1" applyAlignment="1">
      <alignment horizontal="center" vertical="center"/>
    </xf>
    <xf numFmtId="41" fontId="0" fillId="8" borderId="307" xfId="2" applyFont="1" applyFill="1" applyBorder="1" applyAlignment="1">
      <alignment horizontal="center" vertical="center"/>
    </xf>
    <xf numFmtId="41" fontId="0" fillId="8" borderId="66" xfId="2" applyFont="1" applyFill="1" applyBorder="1" applyAlignment="1">
      <alignment horizontal="center" vertical="center"/>
    </xf>
    <xf numFmtId="41" fontId="0" fillId="8" borderId="211" xfId="2" applyFont="1" applyFill="1" applyBorder="1" applyAlignment="1">
      <alignment horizontal="center" vertical="center"/>
    </xf>
    <xf numFmtId="41" fontId="0" fillId="8" borderId="306" xfId="2" applyFont="1" applyFill="1" applyBorder="1" applyAlignment="1">
      <alignment horizontal="center" vertical="center"/>
    </xf>
    <xf numFmtId="41" fontId="0" fillId="8" borderId="0" xfId="2" applyFont="1" applyFill="1" applyBorder="1" applyAlignment="1">
      <alignment horizontal="center" vertical="center"/>
    </xf>
    <xf numFmtId="41" fontId="0" fillId="8" borderId="210" xfId="2" applyFont="1" applyFill="1" applyBorder="1" applyAlignment="1">
      <alignment horizontal="center" vertical="center"/>
    </xf>
    <xf numFmtId="41" fontId="0" fillId="8" borderId="308" xfId="2" applyFont="1" applyFill="1" applyBorder="1" applyAlignment="1">
      <alignment horizontal="center" vertical="center"/>
    </xf>
    <xf numFmtId="41" fontId="0" fillId="8" borderId="35" xfId="2" applyFont="1" applyFill="1" applyBorder="1" applyAlignment="1">
      <alignment horizontal="center" vertical="center"/>
    </xf>
    <xf numFmtId="41" fontId="0" fillId="8" borderId="212" xfId="2" applyFont="1" applyFill="1" applyBorder="1" applyAlignment="1">
      <alignment horizontal="center" vertical="center"/>
    </xf>
    <xf numFmtId="41" fontId="0" fillId="9" borderId="11" xfId="2" applyFont="1" applyFill="1" applyBorder="1">
      <alignment vertical="center"/>
    </xf>
    <xf numFmtId="41" fontId="0" fillId="9" borderId="0" xfId="2" applyFont="1" applyFill="1" applyBorder="1">
      <alignment vertical="center"/>
    </xf>
    <xf numFmtId="41" fontId="0" fillId="0" borderId="11" xfId="2" applyFont="1" applyFill="1" applyBorder="1">
      <alignment vertical="center"/>
    </xf>
    <xf numFmtId="41" fontId="0" fillId="0" borderId="0" xfId="2" applyFont="1" applyFill="1" applyBorder="1">
      <alignment vertical="center"/>
    </xf>
    <xf numFmtId="41" fontId="0" fillId="8" borderId="11" xfId="2" applyFont="1" applyFill="1" applyBorder="1">
      <alignment vertical="center"/>
    </xf>
    <xf numFmtId="41" fontId="0" fillId="8" borderId="0" xfId="2" applyFont="1" applyFill="1" applyBorder="1">
      <alignment vertical="center"/>
    </xf>
    <xf numFmtId="41" fontId="0" fillId="3" borderId="307" xfId="2" applyFont="1" applyFill="1" applyBorder="1" applyAlignment="1">
      <alignment horizontal="center" vertical="center"/>
    </xf>
    <xf numFmtId="41" fontId="0" fillId="3" borderId="66" xfId="2" applyFont="1" applyFill="1" applyBorder="1" applyAlignment="1">
      <alignment horizontal="center" vertical="center"/>
    </xf>
    <xf numFmtId="41" fontId="0" fillId="3" borderId="211" xfId="2" applyFont="1" applyFill="1" applyBorder="1" applyAlignment="1">
      <alignment horizontal="center" vertical="center"/>
    </xf>
    <xf numFmtId="41" fontId="0" fillId="3" borderId="306" xfId="2" applyFont="1" applyFill="1" applyBorder="1" applyAlignment="1">
      <alignment horizontal="center" vertical="center"/>
    </xf>
    <xf numFmtId="41" fontId="0" fillId="3" borderId="0" xfId="2" applyFont="1" applyFill="1" applyBorder="1" applyAlignment="1">
      <alignment horizontal="center" vertical="center"/>
    </xf>
    <xf numFmtId="41" fontId="0" fillId="3" borderId="210" xfId="2" applyFont="1" applyFill="1" applyBorder="1" applyAlignment="1">
      <alignment horizontal="center" vertical="center"/>
    </xf>
    <xf numFmtId="41" fontId="0" fillId="3" borderId="308" xfId="2" applyFont="1" applyFill="1" applyBorder="1" applyAlignment="1">
      <alignment horizontal="center" vertical="center"/>
    </xf>
    <xf numFmtId="41" fontId="0" fillId="3" borderId="35" xfId="2" applyFont="1" applyFill="1" applyBorder="1" applyAlignment="1">
      <alignment horizontal="center" vertical="center"/>
    </xf>
    <xf numFmtId="41" fontId="0" fillId="3" borderId="212" xfId="2" applyFont="1" applyFill="1" applyBorder="1" applyAlignment="1">
      <alignment horizontal="center" vertical="center"/>
    </xf>
    <xf numFmtId="41" fontId="7" fillId="0" borderId="306" xfId="2" applyFont="1" applyBorder="1" applyAlignment="1">
      <alignment horizontal="center" vertical="center"/>
    </xf>
    <xf numFmtId="41" fontId="7" fillId="0" borderId="0" xfId="2" applyFont="1" applyBorder="1" applyAlignment="1">
      <alignment horizontal="center" vertical="center"/>
    </xf>
    <xf numFmtId="41" fontId="7" fillId="0" borderId="210" xfId="2" applyFont="1" applyBorder="1" applyAlignment="1">
      <alignment horizontal="center" vertical="center"/>
    </xf>
    <xf numFmtId="41" fontId="7" fillId="2" borderId="306" xfId="2" applyFont="1" applyFill="1" applyBorder="1" applyAlignment="1">
      <alignment horizontal="center" vertical="center"/>
    </xf>
    <xf numFmtId="41" fontId="7" fillId="2" borderId="0" xfId="2" applyFont="1" applyFill="1" applyBorder="1" applyAlignment="1">
      <alignment horizontal="center" vertical="center"/>
    </xf>
    <xf numFmtId="41" fontId="7" fillId="2" borderId="210" xfId="2" applyFont="1" applyFill="1" applyBorder="1" applyAlignment="1">
      <alignment horizontal="center" vertical="center"/>
    </xf>
    <xf numFmtId="41" fontId="7" fillId="0" borderId="309" xfId="2" applyFont="1" applyBorder="1" applyAlignment="1">
      <alignment horizontal="center" vertical="center"/>
    </xf>
    <xf numFmtId="41" fontId="7" fillId="0" borderId="6" xfId="2" applyFont="1" applyBorder="1" applyAlignment="1">
      <alignment horizontal="center" vertical="center"/>
    </xf>
    <xf numFmtId="41" fontId="7" fillId="0" borderId="215" xfId="2" applyFont="1" applyBorder="1" applyAlignment="1">
      <alignment horizontal="center" vertical="center"/>
    </xf>
    <xf numFmtId="41" fontId="7" fillId="0" borderId="306" xfId="2" applyFont="1" applyFill="1" applyBorder="1" applyAlignment="1">
      <alignment horizontal="center" vertical="center"/>
    </xf>
    <xf numFmtId="41" fontId="7" fillId="0" borderId="0" xfId="2" applyFont="1" applyFill="1" applyBorder="1" applyAlignment="1">
      <alignment horizontal="center" vertical="center"/>
    </xf>
    <xf numFmtId="41" fontId="7" fillId="0" borderId="210" xfId="2" applyFont="1" applyFill="1" applyBorder="1" applyAlignment="1">
      <alignment horizontal="center" vertical="center"/>
    </xf>
    <xf numFmtId="41" fontId="7" fillId="2" borderId="309" xfId="2" applyFont="1" applyFill="1" applyBorder="1" applyAlignment="1">
      <alignment horizontal="center" vertical="center"/>
    </xf>
    <xf numFmtId="41" fontId="7" fillId="2" borderId="6" xfId="2" applyFont="1" applyFill="1" applyBorder="1" applyAlignment="1">
      <alignment horizontal="center" vertical="center"/>
    </xf>
    <xf numFmtId="41" fontId="7" fillId="2" borderId="215" xfId="2" applyFont="1" applyFill="1" applyBorder="1" applyAlignment="1">
      <alignment horizontal="center" vertical="center"/>
    </xf>
    <xf numFmtId="41" fontId="0" fillId="3" borderId="0" xfId="2" applyFont="1" applyFill="1" applyBorder="1">
      <alignment vertical="center"/>
    </xf>
    <xf numFmtId="0" fontId="3" fillId="4" borderId="0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9" fillId="0" borderId="242" xfId="0" applyFont="1" applyFill="1" applyBorder="1" applyAlignment="1">
      <alignment horizontal="center" vertical="center" wrapText="1"/>
    </xf>
    <xf numFmtId="176" fontId="0" fillId="0" borderId="0" xfId="3" applyNumberFormat="1" applyFont="1">
      <alignment vertical="center"/>
    </xf>
    <xf numFmtId="41" fontId="0" fillId="0" borderId="0" xfId="2" applyFont="1">
      <alignment vertical="center"/>
    </xf>
    <xf numFmtId="41" fontId="0" fillId="0" borderId="34" xfId="2" applyFont="1" applyFill="1" applyBorder="1">
      <alignment vertical="center"/>
    </xf>
    <xf numFmtId="41" fontId="0" fillId="0" borderId="306" xfId="2" applyFont="1" applyFill="1" applyBorder="1" applyAlignment="1">
      <alignment horizontal="center" vertical="center"/>
    </xf>
    <xf numFmtId="41" fontId="0" fillId="0" borderId="0" xfId="2" applyFont="1" applyFill="1" applyBorder="1" applyAlignment="1">
      <alignment horizontal="center" vertical="center"/>
    </xf>
    <xf numFmtId="41" fontId="0" fillId="0" borderId="210" xfId="2" applyFont="1" applyFill="1" applyBorder="1" applyAlignment="1">
      <alignment horizontal="center" vertical="center"/>
    </xf>
    <xf numFmtId="41" fontId="0" fillId="0" borderId="309" xfId="2" applyFont="1" applyFill="1" applyBorder="1" applyAlignment="1">
      <alignment horizontal="center" vertical="center"/>
    </xf>
    <xf numFmtId="41" fontId="0" fillId="0" borderId="6" xfId="2" applyFont="1" applyFill="1" applyBorder="1" applyAlignment="1">
      <alignment horizontal="center" vertical="center"/>
    </xf>
    <xf numFmtId="41" fontId="0" fillId="0" borderId="215" xfId="2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1" fillId="13" borderId="0" xfId="0" quotePrefix="1" applyFont="1" applyFill="1" applyBorder="1" applyAlignment="1">
      <alignment horizontal="left" vertical="center"/>
    </xf>
    <xf numFmtId="41" fontId="0" fillId="0" borderId="0" xfId="2" applyFont="1" applyAlignment="1">
      <alignment horizontal="center" vertical="center"/>
    </xf>
    <xf numFmtId="41" fontId="0" fillId="5" borderId="0" xfId="2" applyFont="1" applyFill="1" applyBorder="1" applyAlignment="1">
      <alignment horizontal="center" vertical="center"/>
    </xf>
    <xf numFmtId="2" fontId="0" fillId="11" borderId="305" xfId="0" applyNumberFormat="1" applyFill="1" applyBorder="1" applyAlignment="1">
      <alignment horizontal="center" vertical="center"/>
    </xf>
    <xf numFmtId="2" fontId="0" fillId="11" borderId="4" xfId="0" applyNumberFormat="1" applyFill="1" applyBorder="1" applyAlignment="1">
      <alignment horizontal="center" vertical="center"/>
    </xf>
    <xf numFmtId="2" fontId="0" fillId="11" borderId="209" xfId="0" applyNumberFormat="1" applyFill="1" applyBorder="1" applyAlignment="1">
      <alignment horizontal="center" vertical="center"/>
    </xf>
    <xf numFmtId="2" fontId="0" fillId="5" borderId="0" xfId="0" applyNumberFormat="1" applyFill="1" applyBorder="1" applyAlignment="1">
      <alignment horizontal="center" vertical="center"/>
    </xf>
    <xf numFmtId="41" fontId="0" fillId="13" borderId="306" xfId="2" applyFont="1" applyFill="1" applyBorder="1" applyAlignment="1">
      <alignment horizontal="center" vertical="center" shrinkToFit="1"/>
    </xf>
    <xf numFmtId="41" fontId="0" fillId="13" borderId="0" xfId="2" applyFont="1" applyFill="1" applyBorder="1" applyAlignment="1">
      <alignment horizontal="center" vertical="center" shrinkToFit="1"/>
    </xf>
    <xf numFmtId="41" fontId="0" fillId="13" borderId="210" xfId="2" applyFont="1" applyFill="1" applyBorder="1" applyAlignment="1">
      <alignment horizontal="center" vertical="center" shrinkToFit="1"/>
    </xf>
    <xf numFmtId="41" fontId="0" fillId="5" borderId="0" xfId="2" applyFont="1" applyFill="1" applyBorder="1" applyAlignment="1">
      <alignment horizontal="center" vertical="center" shrinkToFit="1"/>
    </xf>
    <xf numFmtId="41" fontId="0" fillId="8" borderId="307" xfId="2" applyFont="1" applyFill="1" applyBorder="1" applyAlignment="1">
      <alignment horizontal="center" vertical="center" shrinkToFit="1"/>
    </xf>
    <xf numFmtId="41" fontId="0" fillId="8" borderId="66" xfId="2" applyFont="1" applyFill="1" applyBorder="1" applyAlignment="1">
      <alignment horizontal="center" vertical="center" shrinkToFit="1"/>
    </xf>
    <xf numFmtId="41" fontId="0" fillId="8" borderId="211" xfId="2" applyFont="1" applyFill="1" applyBorder="1" applyAlignment="1">
      <alignment horizontal="center" vertical="center" shrinkToFit="1"/>
    </xf>
    <xf numFmtId="41" fontId="0" fillId="8" borderId="306" xfId="2" applyFont="1" applyFill="1" applyBorder="1" applyAlignment="1">
      <alignment horizontal="center" vertical="center" shrinkToFit="1"/>
    </xf>
    <xf numFmtId="41" fontId="0" fillId="8" borderId="0" xfId="2" applyFont="1" applyFill="1" applyBorder="1" applyAlignment="1">
      <alignment horizontal="center" vertical="center" shrinkToFit="1"/>
    </xf>
    <xf numFmtId="41" fontId="0" fillId="8" borderId="210" xfId="2" applyFont="1" applyFill="1" applyBorder="1" applyAlignment="1">
      <alignment horizontal="center" vertical="center" shrinkToFit="1"/>
    </xf>
    <xf numFmtId="41" fontId="0" fillId="8" borderId="308" xfId="2" applyFont="1" applyFill="1" applyBorder="1" applyAlignment="1">
      <alignment horizontal="center" vertical="center" shrinkToFit="1"/>
    </xf>
    <xf numFmtId="41" fontId="0" fillId="8" borderId="35" xfId="2" applyFont="1" applyFill="1" applyBorder="1" applyAlignment="1">
      <alignment horizontal="center" vertical="center" shrinkToFit="1"/>
    </xf>
    <xf numFmtId="41" fontId="0" fillId="8" borderId="212" xfId="2" applyFont="1" applyFill="1" applyBorder="1" applyAlignment="1">
      <alignment horizontal="center" vertical="center" shrinkToFit="1"/>
    </xf>
    <xf numFmtId="41" fontId="0" fillId="19" borderId="307" xfId="2" applyFont="1" applyFill="1" applyBorder="1" applyAlignment="1">
      <alignment horizontal="center" vertical="center" shrinkToFit="1"/>
    </xf>
    <xf numFmtId="41" fontId="0" fillId="19" borderId="66" xfId="2" applyFont="1" applyFill="1" applyBorder="1" applyAlignment="1">
      <alignment horizontal="center" vertical="center" shrinkToFit="1"/>
    </xf>
    <xf numFmtId="41" fontId="0" fillId="19" borderId="211" xfId="2" applyFont="1" applyFill="1" applyBorder="1" applyAlignment="1">
      <alignment horizontal="center" vertical="center" shrinkToFit="1"/>
    </xf>
    <xf numFmtId="41" fontId="0" fillId="19" borderId="306" xfId="2" applyFont="1" applyFill="1" applyBorder="1" applyAlignment="1">
      <alignment horizontal="center" vertical="center" shrinkToFit="1"/>
    </xf>
    <xf numFmtId="41" fontId="0" fillId="19" borderId="0" xfId="2" applyFont="1" applyFill="1" applyBorder="1" applyAlignment="1">
      <alignment horizontal="center" vertical="center" shrinkToFit="1"/>
    </xf>
    <xf numFmtId="41" fontId="0" fillId="19" borderId="210" xfId="2" applyFont="1" applyFill="1" applyBorder="1" applyAlignment="1">
      <alignment horizontal="center" vertical="center" shrinkToFit="1"/>
    </xf>
    <xf numFmtId="41" fontId="0" fillId="19" borderId="309" xfId="2" applyFont="1" applyFill="1" applyBorder="1" applyAlignment="1">
      <alignment horizontal="center" vertical="center" shrinkToFit="1"/>
    </xf>
    <xf numFmtId="41" fontId="0" fillId="19" borderId="6" xfId="2" applyFont="1" applyFill="1" applyBorder="1" applyAlignment="1">
      <alignment horizontal="center" vertical="center" shrinkToFit="1"/>
    </xf>
    <xf numFmtId="41" fontId="0" fillId="19" borderId="215" xfId="2" applyFont="1" applyFill="1" applyBorder="1" applyAlignment="1">
      <alignment horizontal="center" vertical="center" shrinkToFit="1"/>
    </xf>
    <xf numFmtId="41" fontId="0" fillId="8" borderId="309" xfId="2" applyFont="1" applyFill="1" applyBorder="1" applyAlignment="1">
      <alignment horizontal="center" vertical="center"/>
    </xf>
    <xf numFmtId="41" fontId="0" fillId="8" borderId="6" xfId="2" applyFont="1" applyFill="1" applyBorder="1" applyAlignment="1">
      <alignment horizontal="center" vertical="center"/>
    </xf>
    <xf numFmtId="41" fontId="0" fillId="8" borderId="215" xfId="2" applyFont="1" applyFill="1" applyBorder="1" applyAlignment="1">
      <alignment horizontal="center" vertical="center"/>
    </xf>
    <xf numFmtId="0" fontId="13" fillId="11" borderId="0" xfId="0" applyFont="1" applyFill="1" applyBorder="1">
      <alignment vertical="center"/>
    </xf>
    <xf numFmtId="176" fontId="0" fillId="11" borderId="305" xfId="3" applyNumberFormat="1" applyFont="1" applyFill="1" applyBorder="1" applyAlignment="1">
      <alignment horizontal="right" vertical="center"/>
    </xf>
    <xf numFmtId="176" fontId="0" fillId="11" borderId="4" xfId="3" applyNumberFormat="1" applyFont="1" applyFill="1" applyBorder="1" applyAlignment="1">
      <alignment horizontal="right" vertical="center"/>
    </xf>
    <xf numFmtId="176" fontId="0" fillId="11" borderId="209" xfId="3" applyNumberFormat="1" applyFont="1" applyFill="1" applyBorder="1" applyAlignment="1">
      <alignment horizontal="right" vertical="center"/>
    </xf>
    <xf numFmtId="176" fontId="0" fillId="13" borderId="306" xfId="3" applyNumberFormat="1" applyFont="1" applyFill="1" applyBorder="1" applyAlignment="1">
      <alignment horizontal="right" vertical="center"/>
    </xf>
    <xf numFmtId="176" fontId="0" fillId="13" borderId="0" xfId="3" applyNumberFormat="1" applyFont="1" applyFill="1" applyBorder="1" applyAlignment="1">
      <alignment horizontal="right" vertical="center"/>
    </xf>
    <xf numFmtId="176" fontId="0" fillId="13" borderId="210" xfId="3" applyNumberFormat="1" applyFont="1" applyFill="1" applyBorder="1" applyAlignment="1">
      <alignment horizontal="right" vertical="center"/>
    </xf>
    <xf numFmtId="176" fontId="0" fillId="8" borderId="307" xfId="3" applyNumberFormat="1" applyFont="1" applyFill="1" applyBorder="1" applyAlignment="1">
      <alignment horizontal="right" vertical="center"/>
    </xf>
    <xf numFmtId="176" fontId="0" fillId="8" borderId="66" xfId="3" applyNumberFormat="1" applyFont="1" applyFill="1" applyBorder="1" applyAlignment="1">
      <alignment horizontal="right" vertical="center"/>
    </xf>
    <xf numFmtId="176" fontId="0" fillId="8" borderId="211" xfId="3" applyNumberFormat="1" applyFont="1" applyFill="1" applyBorder="1" applyAlignment="1">
      <alignment horizontal="right" vertical="center"/>
    </xf>
    <xf numFmtId="176" fontId="0" fillId="20" borderId="306" xfId="3" applyNumberFormat="1" applyFont="1" applyFill="1" applyBorder="1" applyAlignment="1">
      <alignment horizontal="right" vertical="center"/>
    </xf>
    <xf numFmtId="176" fontId="0" fillId="20" borderId="0" xfId="3" applyNumberFormat="1" applyFont="1" applyFill="1" applyBorder="1" applyAlignment="1">
      <alignment horizontal="right" vertical="center"/>
    </xf>
    <xf numFmtId="176" fontId="0" fillId="20" borderId="210" xfId="3" applyNumberFormat="1" applyFont="1" applyFill="1" applyBorder="1" applyAlignment="1">
      <alignment horizontal="right" vertical="center"/>
    </xf>
    <xf numFmtId="176" fontId="0" fillId="20" borderId="308" xfId="3" applyNumberFormat="1" applyFont="1" applyFill="1" applyBorder="1" applyAlignment="1">
      <alignment horizontal="right" vertical="center"/>
    </xf>
    <xf numFmtId="176" fontId="0" fillId="20" borderId="35" xfId="3" applyNumberFormat="1" applyFont="1" applyFill="1" applyBorder="1" applyAlignment="1">
      <alignment horizontal="right" vertical="center"/>
    </xf>
    <xf numFmtId="176" fontId="0" fillId="20" borderId="212" xfId="3" applyNumberFormat="1" applyFont="1" applyFill="1" applyBorder="1" applyAlignment="1">
      <alignment horizontal="right" vertical="center"/>
    </xf>
    <xf numFmtId="176" fontId="0" fillId="13" borderId="309" xfId="3" applyNumberFormat="1" applyFont="1" applyFill="1" applyBorder="1" applyAlignment="1">
      <alignment horizontal="right" vertical="center"/>
    </xf>
    <xf numFmtId="176" fontId="0" fillId="13" borderId="6" xfId="3" applyNumberFormat="1" applyFont="1" applyFill="1" applyBorder="1" applyAlignment="1">
      <alignment horizontal="right" vertical="center"/>
    </xf>
    <xf numFmtId="176" fontId="0" fillId="13" borderId="215" xfId="3" applyNumberFormat="1" applyFont="1" applyFill="1" applyBorder="1" applyAlignment="1">
      <alignment horizontal="right" vertical="center"/>
    </xf>
    <xf numFmtId="176" fontId="0" fillId="8" borderId="305" xfId="3" applyNumberFormat="1" applyFont="1" applyFill="1" applyBorder="1" applyAlignment="1">
      <alignment horizontal="right" vertical="center"/>
    </xf>
    <xf numFmtId="176" fontId="0" fillId="8" borderId="4" xfId="3" applyNumberFormat="1" applyFont="1" applyFill="1" applyBorder="1" applyAlignment="1">
      <alignment horizontal="right" vertical="center"/>
    </xf>
    <xf numFmtId="176" fontId="0" fillId="8" borderId="209" xfId="3" applyNumberFormat="1" applyFont="1" applyFill="1" applyBorder="1" applyAlignment="1">
      <alignment horizontal="right" vertical="center"/>
    </xf>
    <xf numFmtId="176" fontId="0" fillId="8" borderId="306" xfId="3" applyNumberFormat="1" applyFont="1" applyFill="1" applyBorder="1" applyAlignment="1">
      <alignment horizontal="right" vertical="center"/>
    </xf>
    <xf numFmtId="176" fontId="0" fillId="8" borderId="0" xfId="3" applyNumberFormat="1" applyFont="1" applyFill="1" applyBorder="1" applyAlignment="1">
      <alignment horizontal="right" vertical="center"/>
    </xf>
    <xf numFmtId="176" fontId="0" fillId="8" borderId="210" xfId="3" applyNumberFormat="1" applyFont="1" applyFill="1" applyBorder="1" applyAlignment="1">
      <alignment horizontal="right" vertical="center"/>
    </xf>
    <xf numFmtId="41" fontId="0" fillId="11" borderId="11" xfId="2" applyFont="1" applyFill="1" applyBorder="1">
      <alignment vertical="center"/>
    </xf>
    <xf numFmtId="41" fontId="0" fillId="11" borderId="0" xfId="2" applyFont="1" applyFill="1" applyBorder="1">
      <alignment vertical="center"/>
    </xf>
    <xf numFmtId="0" fontId="10" fillId="0" borderId="0" xfId="0" quotePrefix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right" vertical="center"/>
    </xf>
    <xf numFmtId="41" fontId="10" fillId="0" borderId="306" xfId="2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41" fontId="10" fillId="0" borderId="210" xfId="2" applyFont="1" applyFill="1" applyBorder="1" applyAlignment="1">
      <alignment horizontal="center" vertical="center"/>
    </xf>
    <xf numFmtId="176" fontId="0" fillId="13" borderId="0" xfId="3" applyNumberFormat="1" applyFont="1" applyFill="1" applyBorder="1" applyAlignment="1">
      <alignment horizontal="center" vertical="center"/>
    </xf>
    <xf numFmtId="176" fontId="0" fillId="13" borderId="210" xfId="3" applyNumberFormat="1" applyFont="1" applyFill="1" applyBorder="1" applyAlignment="1">
      <alignment horizontal="center" vertical="center"/>
    </xf>
    <xf numFmtId="176" fontId="0" fillId="5" borderId="0" xfId="3" applyNumberFormat="1" applyFont="1" applyFill="1" applyBorder="1" applyAlignment="1">
      <alignment horizontal="center" vertical="center"/>
    </xf>
    <xf numFmtId="176" fontId="0" fillId="13" borderId="210" xfId="2" applyNumberFormat="1" applyFont="1" applyFill="1" applyBorder="1" applyAlignment="1">
      <alignment horizontal="center" vertical="center"/>
    </xf>
    <xf numFmtId="41" fontId="0" fillId="11" borderId="4" xfId="2" applyFont="1" applyFill="1" applyBorder="1">
      <alignment vertical="center"/>
    </xf>
    <xf numFmtId="41" fontId="0" fillId="11" borderId="9" xfId="2" applyFont="1" applyFill="1" applyBorder="1">
      <alignment vertical="center"/>
    </xf>
    <xf numFmtId="0" fontId="5" fillId="9" borderId="0" xfId="0" applyFont="1" applyFill="1">
      <alignment vertical="center"/>
    </xf>
    <xf numFmtId="0" fontId="0" fillId="9" borderId="0" xfId="0" applyFill="1">
      <alignment vertical="center"/>
    </xf>
    <xf numFmtId="41" fontId="0" fillId="0" borderId="0" xfId="2" applyFont="1" applyBorder="1">
      <alignment vertical="center"/>
    </xf>
    <xf numFmtId="0" fontId="5" fillId="8" borderId="0" xfId="0" applyFont="1" applyFill="1">
      <alignment vertical="center"/>
    </xf>
    <xf numFmtId="0" fontId="0" fillId="8" borderId="0" xfId="0" applyFill="1">
      <alignment vertical="center"/>
    </xf>
    <xf numFmtId="41" fontId="0" fillId="11" borderId="66" xfId="2" applyFont="1" applyFill="1" applyBorder="1">
      <alignment vertical="center"/>
    </xf>
    <xf numFmtId="41" fontId="0" fillId="11" borderId="67" xfId="2" applyFont="1" applyFill="1" applyBorder="1">
      <alignment vertical="center"/>
    </xf>
    <xf numFmtId="41" fontId="0" fillId="8" borderId="35" xfId="2" applyFont="1" applyFill="1" applyBorder="1">
      <alignment vertical="center"/>
    </xf>
    <xf numFmtId="41" fontId="0" fillId="8" borderId="36" xfId="2" applyFont="1" applyFill="1" applyBorder="1">
      <alignment vertical="center"/>
    </xf>
    <xf numFmtId="41" fontId="0" fillId="8" borderId="46" xfId="2" applyFont="1" applyFill="1" applyBorder="1">
      <alignment vertical="center"/>
    </xf>
    <xf numFmtId="41" fontId="0" fillId="8" borderId="6" xfId="2" applyFont="1" applyFill="1" applyBorder="1">
      <alignment vertical="center"/>
    </xf>
    <xf numFmtId="0" fontId="5" fillId="11" borderId="0" xfId="0" applyFont="1" applyFill="1">
      <alignment vertical="center"/>
    </xf>
    <xf numFmtId="0" fontId="0" fillId="11" borderId="0" xfId="0" applyFill="1">
      <alignment vertical="center"/>
    </xf>
    <xf numFmtId="41" fontId="0" fillId="11" borderId="322" xfId="2" applyFont="1" applyFill="1" applyBorder="1">
      <alignment vertical="center"/>
    </xf>
    <xf numFmtId="41" fontId="0" fillId="11" borderId="321" xfId="2" applyFont="1" applyFill="1" applyBorder="1">
      <alignment vertical="center"/>
    </xf>
    <xf numFmtId="41" fontId="0" fillId="11" borderId="323" xfId="2" applyFont="1" applyFill="1" applyBorder="1">
      <alignment vertical="center"/>
    </xf>
    <xf numFmtId="41" fontId="0" fillId="11" borderId="324" xfId="2" applyFont="1" applyFill="1" applyBorder="1">
      <alignment vertical="center"/>
    </xf>
    <xf numFmtId="41" fontId="0" fillId="8" borderId="325" xfId="2" applyFont="1" applyFill="1" applyBorder="1">
      <alignment vertical="center"/>
    </xf>
    <xf numFmtId="41" fontId="0" fillId="5" borderId="11" xfId="2" applyFont="1" applyFill="1" applyBorder="1">
      <alignment vertical="center"/>
    </xf>
    <xf numFmtId="41" fontId="0" fillId="5" borderId="0" xfId="2" applyFont="1" applyFill="1" applyBorder="1">
      <alignment vertical="center"/>
    </xf>
    <xf numFmtId="0" fontId="5" fillId="11" borderId="279" xfId="0" quotePrefix="1" applyFont="1" applyFill="1" applyBorder="1" applyAlignment="1">
      <alignment horizontal="center" vertical="center"/>
    </xf>
    <xf numFmtId="0" fontId="6" fillId="0" borderId="282" xfId="0" applyFont="1" applyBorder="1">
      <alignment vertical="center"/>
    </xf>
    <xf numFmtId="0" fontId="0" fillId="0" borderId="335" xfId="0" applyFill="1" applyBorder="1">
      <alignment vertical="center"/>
    </xf>
    <xf numFmtId="0" fontId="0" fillId="0" borderId="341" xfId="0" applyFill="1" applyBorder="1">
      <alignment vertical="center"/>
    </xf>
    <xf numFmtId="0" fontId="6" fillId="0" borderId="346" xfId="0" applyFont="1" applyBorder="1">
      <alignment vertical="center"/>
    </xf>
    <xf numFmtId="0" fontId="0" fillId="0" borderId="347" xfId="0" applyFill="1" applyBorder="1">
      <alignment vertical="center"/>
    </xf>
    <xf numFmtId="0" fontId="6" fillId="0" borderId="340" xfId="0" applyFont="1" applyBorder="1">
      <alignment vertical="center"/>
    </xf>
    <xf numFmtId="202" fontId="0" fillId="0" borderId="0" xfId="0" applyNumberFormat="1">
      <alignment vertical="center"/>
    </xf>
    <xf numFmtId="41" fontId="0" fillId="12" borderId="0" xfId="2" applyFont="1" applyFill="1" applyBorder="1">
      <alignment vertical="center"/>
    </xf>
    <xf numFmtId="41" fontId="0" fillId="0" borderId="56" xfId="2" applyFont="1" applyFill="1" applyBorder="1">
      <alignment vertical="center"/>
    </xf>
    <xf numFmtId="201" fontId="0" fillId="16" borderId="114" xfId="0" applyNumberFormat="1" applyFill="1" applyBorder="1">
      <alignment vertical="center"/>
    </xf>
    <xf numFmtId="207" fontId="0" fillId="0" borderId="0" xfId="0" applyNumberFormat="1">
      <alignment vertical="center"/>
    </xf>
    <xf numFmtId="207" fontId="0" fillId="3" borderId="0" xfId="0" applyNumberFormat="1" applyFill="1">
      <alignment vertical="center"/>
    </xf>
    <xf numFmtId="207" fontId="0" fillId="3" borderId="61" xfId="0" applyNumberFormat="1" applyFill="1" applyBorder="1">
      <alignment vertical="center"/>
    </xf>
    <xf numFmtId="0" fontId="14" fillId="11" borderId="202" xfId="0" applyFont="1" applyFill="1" applyBorder="1" applyAlignment="1">
      <alignment horizontal="center" vertical="center"/>
    </xf>
    <xf numFmtId="0" fontId="14" fillId="11" borderId="83" xfId="0" applyFont="1" applyFill="1" applyBorder="1" applyAlignment="1">
      <alignment horizontal="center" vertical="center"/>
    </xf>
    <xf numFmtId="0" fontId="14" fillId="11" borderId="205" xfId="0" applyFont="1" applyFill="1" applyBorder="1" applyAlignment="1">
      <alignment horizontal="center" vertical="center"/>
    </xf>
    <xf numFmtId="0" fontId="6" fillId="11" borderId="66" xfId="0" applyFont="1" applyFill="1" applyBorder="1" applyAlignment="1">
      <alignment horizontal="left" vertical="center"/>
    </xf>
    <xf numFmtId="176" fontId="0" fillId="11" borderId="307" xfId="3" applyNumberFormat="1" applyFont="1" applyFill="1" applyBorder="1" applyAlignment="1">
      <alignment horizontal="right" vertical="center"/>
    </xf>
    <xf numFmtId="176" fontId="0" fillId="11" borderId="66" xfId="3" applyNumberFormat="1" applyFont="1" applyFill="1" applyBorder="1" applyAlignment="1">
      <alignment horizontal="right" vertical="center"/>
    </xf>
    <xf numFmtId="176" fontId="0" fillId="11" borderId="211" xfId="3" applyNumberFormat="1" applyFont="1" applyFill="1" applyBorder="1" applyAlignment="1">
      <alignment horizontal="right" vertical="center"/>
    </xf>
    <xf numFmtId="0" fontId="6" fillId="13" borderId="0" xfId="0" applyFont="1" applyFill="1" applyBorder="1" applyAlignment="1">
      <alignment horizontal="left" vertical="center"/>
    </xf>
    <xf numFmtId="0" fontId="6" fillId="13" borderId="35" xfId="0" applyFont="1" applyFill="1" applyBorder="1" applyAlignment="1">
      <alignment horizontal="left" vertical="center"/>
    </xf>
    <xf numFmtId="176" fontId="0" fillId="13" borderId="308" xfId="3" applyNumberFormat="1" applyFont="1" applyFill="1" applyBorder="1" applyAlignment="1">
      <alignment horizontal="right" vertical="center"/>
    </xf>
    <xf numFmtId="176" fontId="0" fillId="13" borderId="35" xfId="3" applyNumberFormat="1" applyFont="1" applyFill="1" applyBorder="1" applyAlignment="1">
      <alignment horizontal="right" vertical="center"/>
    </xf>
    <xf numFmtId="176" fontId="0" fillId="13" borderId="212" xfId="3" applyNumberFormat="1" applyFont="1" applyFill="1" applyBorder="1" applyAlignment="1">
      <alignment horizontal="right" vertical="center"/>
    </xf>
    <xf numFmtId="0" fontId="5" fillId="8" borderId="4" xfId="0" applyFont="1" applyFill="1" applyBorder="1">
      <alignment vertical="center"/>
    </xf>
    <xf numFmtId="0" fontId="0" fillId="8" borderId="4" xfId="0" applyFill="1" applyBorder="1" applyAlignment="1">
      <alignment horizontal="left" vertical="center"/>
    </xf>
    <xf numFmtId="0" fontId="0" fillId="20" borderId="0" xfId="0" applyFill="1" applyBorder="1" applyAlignment="1">
      <alignment horizontal="left" vertical="center"/>
    </xf>
    <xf numFmtId="0" fontId="0" fillId="0" borderId="6" xfId="0" applyBorder="1">
      <alignment vertical="center"/>
    </xf>
    <xf numFmtId="210" fontId="0" fillId="0" borderId="0" xfId="0" applyNumberFormat="1">
      <alignment vertical="center"/>
    </xf>
    <xf numFmtId="9" fontId="0" fillId="0" borderId="0" xfId="3" applyFont="1">
      <alignment vertical="center"/>
    </xf>
    <xf numFmtId="41" fontId="0" fillId="11" borderId="0" xfId="0" applyNumberFormat="1" applyFill="1">
      <alignment vertical="center"/>
    </xf>
    <xf numFmtId="176" fontId="0" fillId="3" borderId="0" xfId="3" applyNumberFormat="1" applyFont="1" applyFill="1">
      <alignment vertical="center"/>
    </xf>
    <xf numFmtId="0" fontId="0" fillId="0" borderId="335" xfId="0" applyBorder="1">
      <alignment vertical="center"/>
    </xf>
    <xf numFmtId="0" fontId="0" fillId="0" borderId="341" xfId="0" applyBorder="1">
      <alignment vertical="center"/>
    </xf>
    <xf numFmtId="0" fontId="0" fillId="0" borderId="347" xfId="0" applyBorder="1">
      <alignment vertical="center"/>
    </xf>
    <xf numFmtId="0" fontId="0" fillId="0" borderId="102" xfId="0" applyBorder="1">
      <alignment vertical="center"/>
    </xf>
    <xf numFmtId="176" fontId="0" fillId="11" borderId="66" xfId="3" applyNumberFormat="1" applyFont="1" applyFill="1" applyBorder="1" applyAlignment="1">
      <alignment horizontal="center" vertical="center"/>
    </xf>
    <xf numFmtId="176" fontId="0" fillId="11" borderId="4" xfId="3" applyNumberFormat="1" applyFont="1" applyFill="1" applyBorder="1" applyAlignment="1">
      <alignment horizontal="center" vertical="center"/>
    </xf>
    <xf numFmtId="41" fontId="0" fillId="0" borderId="0" xfId="3" applyNumberFormat="1" applyFont="1">
      <alignment vertical="center"/>
    </xf>
    <xf numFmtId="176" fontId="0" fillId="11" borderId="66" xfId="3" applyNumberFormat="1" applyFont="1" applyFill="1" applyBorder="1" applyAlignment="1">
      <alignment vertical="center"/>
    </xf>
    <xf numFmtId="176" fontId="0" fillId="13" borderId="0" xfId="3" applyNumberFormat="1" applyFont="1" applyFill="1" applyBorder="1" applyAlignment="1">
      <alignment vertical="center"/>
    </xf>
    <xf numFmtId="176" fontId="0" fillId="13" borderId="35" xfId="3" applyNumberFormat="1" applyFont="1" applyFill="1" applyBorder="1" applyAlignment="1">
      <alignment vertical="center"/>
    </xf>
    <xf numFmtId="176" fontId="0" fillId="8" borderId="4" xfId="3" applyNumberFormat="1" applyFont="1" applyFill="1" applyBorder="1" applyAlignment="1">
      <alignment vertical="center"/>
    </xf>
    <xf numFmtId="176" fontId="0" fillId="20" borderId="0" xfId="3" applyNumberFormat="1" applyFont="1" applyFill="1" applyBorder="1" applyAlignment="1">
      <alignment vertical="center"/>
    </xf>
    <xf numFmtId="176" fontId="0" fillId="8" borderId="66" xfId="3" applyNumberFormat="1" applyFont="1" applyFill="1" applyBorder="1" applyAlignment="1">
      <alignment vertical="center"/>
    </xf>
    <xf numFmtId="176" fontId="0" fillId="20" borderId="35" xfId="3" applyNumberFormat="1" applyFont="1" applyFill="1" applyBorder="1" applyAlignment="1">
      <alignment vertical="center"/>
    </xf>
    <xf numFmtId="176" fontId="0" fillId="11" borderId="4" xfId="3" applyNumberFormat="1" applyFont="1" applyFill="1" applyBorder="1" applyAlignment="1">
      <alignment vertical="center"/>
    </xf>
    <xf numFmtId="176" fontId="0" fillId="13" borderId="6" xfId="3" applyNumberFormat="1" applyFont="1" applyFill="1" applyBorder="1" applyAlignment="1">
      <alignment vertical="center"/>
    </xf>
    <xf numFmtId="206" fontId="0" fillId="16" borderId="0" xfId="0" applyNumberFormat="1" applyFill="1">
      <alignment vertical="center"/>
    </xf>
    <xf numFmtId="0" fontId="6" fillId="4" borderId="407" xfId="0" applyFont="1" applyFill="1" applyBorder="1" applyAlignment="1">
      <alignment horizontal="center" vertical="center"/>
    </xf>
    <xf numFmtId="0" fontId="6" fillId="4" borderId="407" xfId="0" quotePrefix="1" applyFont="1" applyFill="1" applyBorder="1" applyAlignment="1">
      <alignment horizontal="center" vertical="center"/>
    </xf>
    <xf numFmtId="202" fontId="0" fillId="0" borderId="0" xfId="0" applyNumberFormat="1" applyBorder="1">
      <alignment vertical="center"/>
    </xf>
    <xf numFmtId="202" fontId="0" fillId="0" borderId="0" xfId="0" applyNumberFormat="1" applyFill="1" applyBorder="1">
      <alignment vertical="center"/>
    </xf>
    <xf numFmtId="202" fontId="0" fillId="11" borderId="0" xfId="0" applyNumberFormat="1" applyFill="1" applyBorder="1">
      <alignment vertical="center"/>
    </xf>
    <xf numFmtId="202" fontId="0" fillId="9" borderId="0" xfId="0" applyNumberFormat="1" applyFill="1" applyBorder="1">
      <alignment vertical="center"/>
    </xf>
    <xf numFmtId="203" fontId="0" fillId="0" borderId="0" xfId="0" applyNumberFormat="1" applyBorder="1">
      <alignment vertical="center"/>
    </xf>
    <xf numFmtId="203" fontId="0" fillId="0" borderId="0" xfId="0" applyNumberFormat="1" applyFill="1" applyBorder="1">
      <alignment vertical="center"/>
    </xf>
    <xf numFmtId="0" fontId="0" fillId="5" borderId="0" xfId="0" applyFill="1">
      <alignment vertical="center"/>
    </xf>
    <xf numFmtId="202" fontId="0" fillId="11" borderId="18" xfId="0" applyNumberFormat="1" applyFill="1" applyBorder="1">
      <alignment vertical="center"/>
    </xf>
    <xf numFmtId="209" fontId="0" fillId="11" borderId="18" xfId="0" applyNumberFormat="1" applyFill="1" applyBorder="1">
      <alignment vertical="center"/>
    </xf>
    <xf numFmtId="209" fontId="0" fillId="11" borderId="0" xfId="0" applyNumberFormat="1" applyFill="1" applyBorder="1">
      <alignment vertical="center"/>
    </xf>
    <xf numFmtId="209" fontId="0" fillId="0" borderId="0" xfId="0" applyNumberFormat="1" applyBorder="1">
      <alignment vertical="center"/>
    </xf>
    <xf numFmtId="209" fontId="0" fillId="0" borderId="0" xfId="0" applyNumberFormat="1" applyFill="1" applyBorder="1">
      <alignment vertical="center"/>
    </xf>
    <xf numFmtId="209" fontId="0" fillId="0" borderId="19" xfId="0" applyNumberFormat="1" applyFill="1" applyBorder="1">
      <alignment vertical="center"/>
    </xf>
    <xf numFmtId="202" fontId="0" fillId="0" borderId="56" xfId="0" applyNumberFormat="1" applyBorder="1">
      <alignment vertical="center"/>
    </xf>
    <xf numFmtId="202" fontId="0" fillId="3" borderId="0" xfId="0" applyNumberFormat="1" applyFill="1" applyBorder="1">
      <alignment vertical="center"/>
    </xf>
    <xf numFmtId="202" fontId="0" fillId="12" borderId="0" xfId="0" applyNumberFormat="1" applyFill="1" applyBorder="1">
      <alignment vertical="center"/>
    </xf>
    <xf numFmtId="202" fontId="0" fillId="16" borderId="0" xfId="0" applyNumberFormat="1" applyFill="1" applyBorder="1">
      <alignment vertical="center"/>
    </xf>
    <xf numFmtId="202" fontId="0" fillId="16" borderId="114" xfId="0" applyNumberFormat="1" applyFill="1" applyBorder="1">
      <alignment vertical="center"/>
    </xf>
    <xf numFmtId="202" fontId="0" fillId="3" borderId="61" xfId="0" applyNumberFormat="1" applyFill="1" applyBorder="1">
      <alignment vertical="center"/>
    </xf>
    <xf numFmtId="213" fontId="0" fillId="11" borderId="0" xfId="0" applyNumberFormat="1" applyFill="1" applyBorder="1">
      <alignment vertical="center"/>
    </xf>
    <xf numFmtId="213" fontId="0" fillId="0" borderId="0" xfId="0" applyNumberFormat="1" applyBorder="1">
      <alignment vertical="center"/>
    </xf>
    <xf numFmtId="213" fontId="0" fillId="0" borderId="0" xfId="0" applyNumberFormat="1" applyFill="1" applyBorder="1">
      <alignment vertical="center"/>
    </xf>
    <xf numFmtId="213" fontId="0" fillId="0" borderId="19" xfId="0" applyNumberFormat="1" applyFill="1" applyBorder="1">
      <alignment vertical="center"/>
    </xf>
    <xf numFmtId="202" fontId="0" fillId="8" borderId="32" xfId="0" applyNumberFormat="1" applyFill="1" applyBorder="1">
      <alignment vertical="center"/>
    </xf>
    <xf numFmtId="203" fontId="0" fillId="8" borderId="32" xfId="0" applyNumberFormat="1" applyFill="1" applyBorder="1">
      <alignment vertical="center"/>
    </xf>
    <xf numFmtId="203" fontId="0" fillId="8" borderId="0" xfId="0" applyNumberFormat="1" applyFill="1" applyBorder="1">
      <alignment vertical="center"/>
    </xf>
    <xf numFmtId="203" fontId="0" fillId="8" borderId="30" xfId="0" applyNumberFormat="1" applyFill="1" applyBorder="1">
      <alignment vertical="center"/>
    </xf>
    <xf numFmtId="203" fontId="0" fillId="0" borderId="56" xfId="0" applyNumberFormat="1" applyBorder="1">
      <alignment vertical="center"/>
    </xf>
    <xf numFmtId="203" fontId="0" fillId="9" borderId="0" xfId="0" applyNumberFormat="1" applyFill="1" applyBorder="1">
      <alignment vertical="center"/>
    </xf>
    <xf numFmtId="203" fontId="0" fillId="3" borderId="0" xfId="0" applyNumberFormat="1" applyFill="1" applyBorder="1">
      <alignment vertical="center"/>
    </xf>
    <xf numFmtId="203" fontId="0" fillId="12" borderId="0" xfId="0" applyNumberFormat="1" applyFill="1" applyBorder="1">
      <alignment vertical="center"/>
    </xf>
    <xf numFmtId="203" fontId="0" fillId="16" borderId="0" xfId="0" applyNumberFormat="1" applyFill="1" applyBorder="1">
      <alignment vertical="center"/>
    </xf>
    <xf numFmtId="203" fontId="0" fillId="16" borderId="114" xfId="0" applyNumberFormat="1" applyFill="1" applyBorder="1">
      <alignment vertical="center"/>
    </xf>
    <xf numFmtId="203" fontId="0" fillId="3" borderId="61" xfId="0" applyNumberFormat="1" applyFill="1" applyBorder="1">
      <alignment vertical="center"/>
    </xf>
    <xf numFmtId="203" fontId="0" fillId="11" borderId="18" xfId="0" applyNumberFormat="1" applyFill="1" applyBorder="1">
      <alignment vertical="center"/>
    </xf>
    <xf numFmtId="202" fontId="0" fillId="0" borderId="275" xfId="0" applyNumberFormat="1" applyFill="1" applyBorder="1">
      <alignment vertical="center"/>
    </xf>
    <xf numFmtId="202" fontId="0" fillId="11" borderId="107" xfId="0" applyNumberFormat="1" applyFill="1" applyBorder="1">
      <alignment vertical="center"/>
    </xf>
    <xf numFmtId="207" fontId="0" fillId="0" borderId="0" xfId="0" applyNumberFormat="1" applyBorder="1">
      <alignment vertical="center"/>
    </xf>
    <xf numFmtId="207" fontId="0" fillId="3" borderId="0" xfId="0" applyNumberFormat="1" applyFill="1" applyBorder="1">
      <alignment vertical="center"/>
    </xf>
    <xf numFmtId="202" fontId="0" fillId="8" borderId="0" xfId="0" applyNumberFormat="1" applyFill="1" applyBorder="1">
      <alignment vertical="center"/>
    </xf>
    <xf numFmtId="202" fontId="0" fillId="8" borderId="30" xfId="0" applyNumberFormat="1" applyFill="1" applyBorder="1">
      <alignment vertical="center"/>
    </xf>
    <xf numFmtId="202" fontId="0" fillId="0" borderId="34" xfId="0" applyNumberFormat="1" applyFill="1" applyBorder="1">
      <alignment vertical="center"/>
    </xf>
    <xf numFmtId="0" fontId="0" fillId="0" borderId="393" xfId="0" applyBorder="1">
      <alignment vertical="center"/>
    </xf>
    <xf numFmtId="0" fontId="0" fillId="11" borderId="395" xfId="0" applyFill="1" applyBorder="1">
      <alignment vertical="center"/>
    </xf>
    <xf numFmtId="206" fontId="0" fillId="16" borderId="0" xfId="0" applyNumberFormat="1" applyFill="1" applyBorder="1">
      <alignment vertical="center"/>
    </xf>
    <xf numFmtId="214" fontId="0" fillId="11" borderId="18" xfId="0" applyNumberFormat="1" applyFill="1" applyBorder="1">
      <alignment vertical="center"/>
    </xf>
    <xf numFmtId="214" fontId="0" fillId="11" borderId="0" xfId="0" applyNumberFormat="1" applyFill="1" applyBorder="1">
      <alignment vertical="center"/>
    </xf>
    <xf numFmtId="214" fontId="0" fillId="0" borderId="0" xfId="0" applyNumberFormat="1" applyBorder="1">
      <alignment vertical="center"/>
    </xf>
    <xf numFmtId="214" fontId="0" fillId="0" borderId="0" xfId="0" applyNumberFormat="1" applyFill="1" applyBorder="1">
      <alignment vertical="center"/>
    </xf>
    <xf numFmtId="214" fontId="0" fillId="0" borderId="19" xfId="0" applyNumberFormat="1" applyFill="1" applyBorder="1">
      <alignment vertical="center"/>
    </xf>
    <xf numFmtId="203" fontId="0" fillId="11" borderId="0" xfId="0" applyNumberFormat="1" applyFill="1" applyBorder="1">
      <alignment vertical="center"/>
    </xf>
    <xf numFmtId="203" fontId="0" fillId="0" borderId="34" xfId="0" applyNumberFormat="1" applyFill="1" applyBorder="1">
      <alignment vertical="center"/>
    </xf>
    <xf numFmtId="214" fontId="0" fillId="16" borderId="114" xfId="0" applyNumberFormat="1" applyFill="1" applyBorder="1">
      <alignment vertical="center"/>
    </xf>
    <xf numFmtId="203" fontId="0" fillId="0" borderId="275" xfId="0" applyNumberFormat="1" applyFill="1" applyBorder="1">
      <alignment vertical="center"/>
    </xf>
    <xf numFmtId="203" fontId="0" fillId="0" borderId="335" xfId="0" applyNumberFormat="1" applyFill="1" applyBorder="1">
      <alignment vertical="center"/>
    </xf>
    <xf numFmtId="203" fontId="0" fillId="0" borderId="341" xfId="0" applyNumberFormat="1" applyFill="1" applyBorder="1">
      <alignment vertical="center"/>
    </xf>
    <xf numFmtId="203" fontId="0" fillId="0" borderId="102" xfId="0" applyNumberFormat="1" applyFill="1" applyBorder="1">
      <alignment vertical="center"/>
    </xf>
    <xf numFmtId="203" fontId="0" fillId="11" borderId="107" xfId="0" applyNumberFormat="1" applyFill="1" applyBorder="1">
      <alignment vertical="center"/>
    </xf>
    <xf numFmtId="203" fontId="0" fillId="0" borderId="347" xfId="0" applyNumberFormat="1" applyFill="1" applyBorder="1">
      <alignment vertical="center"/>
    </xf>
    <xf numFmtId="203" fontId="0" fillId="0" borderId="19" xfId="0" applyNumberFormat="1" applyFill="1" applyBorder="1">
      <alignment vertical="center"/>
    </xf>
    <xf numFmtId="41" fontId="0" fillId="0" borderId="56" xfId="2" applyFont="1" applyBorder="1">
      <alignment vertical="center"/>
    </xf>
    <xf numFmtId="195" fontId="0" fillId="16" borderId="114" xfId="2" applyNumberFormat="1" applyFont="1" applyFill="1" applyBorder="1">
      <alignment vertical="center"/>
    </xf>
    <xf numFmtId="176" fontId="0" fillId="8" borderId="4" xfId="0" applyNumberFormat="1" applyFill="1" applyBorder="1" applyAlignment="1">
      <alignment horizontal="center" vertical="center"/>
    </xf>
    <xf numFmtId="176" fontId="0" fillId="20" borderId="0" xfId="0" applyNumberFormat="1" applyFill="1" applyBorder="1" applyAlignment="1">
      <alignment horizontal="center" vertical="center"/>
    </xf>
    <xf numFmtId="176" fontId="0" fillId="8" borderId="66" xfId="0" applyNumberFormat="1" applyFill="1" applyBorder="1" applyAlignment="1">
      <alignment horizontal="center" vertical="center"/>
    </xf>
    <xf numFmtId="176" fontId="0" fillId="20" borderId="35" xfId="0" applyNumberFormat="1" applyFill="1" applyBorder="1" applyAlignment="1">
      <alignment horizontal="center" vertical="center"/>
    </xf>
    <xf numFmtId="41" fontId="20" fillId="0" borderId="306" xfId="2" applyFont="1" applyBorder="1" applyAlignment="1">
      <alignment horizontal="center" vertical="center"/>
    </xf>
    <xf numFmtId="41" fontId="20" fillId="0" borderId="0" xfId="2" applyFont="1" applyBorder="1" applyAlignment="1">
      <alignment horizontal="center" vertical="center"/>
    </xf>
    <xf numFmtId="41" fontId="20" fillId="2" borderId="306" xfId="2" applyFont="1" applyFill="1" applyBorder="1" applyAlignment="1">
      <alignment horizontal="center" vertical="center"/>
    </xf>
    <xf numFmtId="41" fontId="20" fillId="2" borderId="0" xfId="2" applyFont="1" applyFill="1" applyBorder="1" applyAlignment="1">
      <alignment horizontal="center" vertical="center"/>
    </xf>
    <xf numFmtId="41" fontId="20" fillId="0" borderId="309" xfId="2" applyFont="1" applyBorder="1" applyAlignment="1">
      <alignment horizontal="center" vertical="center"/>
    </xf>
    <xf numFmtId="41" fontId="20" fillId="0" borderId="6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95" fontId="0" fillId="11" borderId="18" xfId="2" applyNumberFormat="1" applyFont="1" applyFill="1" applyBorder="1">
      <alignment vertical="center"/>
    </xf>
    <xf numFmtId="195" fontId="0" fillId="11" borderId="0" xfId="2" applyNumberFormat="1" applyFont="1" applyFill="1" applyBorder="1">
      <alignment vertical="center"/>
    </xf>
    <xf numFmtId="195" fontId="0" fillId="0" borderId="0" xfId="2" applyNumberFormat="1" applyFont="1" applyBorder="1">
      <alignment vertical="center"/>
    </xf>
    <xf numFmtId="195" fontId="0" fillId="0" borderId="0" xfId="2" applyNumberFormat="1" applyFont="1" applyFill="1" applyBorder="1">
      <alignment vertical="center"/>
    </xf>
    <xf numFmtId="195" fontId="0" fillId="0" borderId="19" xfId="2" applyNumberFormat="1" applyFont="1" applyFill="1" applyBorder="1">
      <alignment vertical="center"/>
    </xf>
    <xf numFmtId="176" fontId="0" fillId="11" borderId="4" xfId="0" applyNumberFormat="1" applyFill="1" applyBorder="1" applyAlignment="1">
      <alignment horizontal="center" vertical="center"/>
    </xf>
    <xf numFmtId="176" fontId="0" fillId="13" borderId="0" xfId="0" applyNumberFormat="1" applyFill="1" applyBorder="1" applyAlignment="1">
      <alignment horizontal="center" vertical="center"/>
    </xf>
    <xf numFmtId="176" fontId="0" fillId="13" borderId="6" xfId="0" applyNumberFormat="1" applyFill="1" applyBorder="1" applyAlignment="1">
      <alignment horizontal="center" vertical="center"/>
    </xf>
    <xf numFmtId="176" fontId="0" fillId="8" borderId="0" xfId="0" applyNumberFormat="1" applyFill="1" applyBorder="1" applyAlignment="1">
      <alignment horizontal="center" vertical="center"/>
    </xf>
    <xf numFmtId="41" fontId="0" fillId="8" borderId="32" xfId="2" applyFont="1" applyFill="1" applyBorder="1">
      <alignment vertical="center"/>
    </xf>
    <xf numFmtId="41" fontId="0" fillId="8" borderId="30" xfId="2" applyFont="1" applyFill="1" applyBorder="1">
      <alignment vertical="center"/>
    </xf>
    <xf numFmtId="9" fontId="0" fillId="13" borderId="0" xfId="3" applyFont="1" applyFill="1" applyBorder="1" applyAlignment="1">
      <alignment horizontal="center" vertical="center"/>
    </xf>
    <xf numFmtId="176" fontId="0" fillId="20" borderId="0" xfId="0" applyNumberFormat="1" applyFill="1" applyAlignment="1">
      <alignment horizontal="center" vertical="center"/>
    </xf>
    <xf numFmtId="9" fontId="0" fillId="11" borderId="4" xfId="3" applyFont="1" applyFill="1" applyBorder="1" applyAlignment="1">
      <alignment horizontal="center" vertical="center"/>
    </xf>
    <xf numFmtId="9" fontId="0" fillId="13" borderId="6" xfId="3" applyFont="1" applyFill="1" applyBorder="1" applyAlignment="1">
      <alignment horizontal="center" vertical="center"/>
    </xf>
    <xf numFmtId="9" fontId="0" fillId="8" borderId="4" xfId="3" applyFont="1" applyFill="1" applyBorder="1" applyAlignment="1">
      <alignment horizontal="center" vertical="center"/>
    </xf>
    <xf numFmtId="9" fontId="0" fillId="8" borderId="0" xfId="3" applyFont="1" applyFill="1" applyBorder="1" applyAlignment="1">
      <alignment horizontal="center" vertical="center"/>
    </xf>
    <xf numFmtId="202" fontId="0" fillId="5" borderId="0" xfId="0" applyNumberFormat="1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0" fillId="0" borderId="275" xfId="0" applyBorder="1">
      <alignment vertical="center"/>
    </xf>
    <xf numFmtId="41" fontId="0" fillId="0" borderId="0" xfId="2" applyFont="1" applyBorder="1" applyAlignment="1">
      <alignment horizontal="right" vertical="center"/>
    </xf>
    <xf numFmtId="41" fontId="0" fillId="0" borderId="56" xfId="0" applyNumberFormat="1" applyBorder="1">
      <alignment vertical="center"/>
    </xf>
    <xf numFmtId="210" fontId="0" fillId="0" borderId="19" xfId="0" applyNumberFormat="1" applyBorder="1">
      <alignment vertical="center"/>
    </xf>
    <xf numFmtId="9" fontId="0" fillId="20" borderId="0" xfId="3" applyFont="1" applyFill="1" applyBorder="1" applyAlignment="1">
      <alignment horizontal="center" vertical="center"/>
    </xf>
    <xf numFmtId="9" fontId="0" fillId="8" borderId="66" xfId="3" applyFont="1" applyFill="1" applyBorder="1" applyAlignment="1">
      <alignment horizontal="center" vertical="center"/>
    </xf>
    <xf numFmtId="9" fontId="0" fillId="20" borderId="35" xfId="3" applyFont="1" applyFill="1" applyBorder="1" applyAlignment="1">
      <alignment horizontal="center" vertical="center"/>
    </xf>
    <xf numFmtId="41" fontId="0" fillId="11" borderId="0" xfId="2" applyFont="1" applyFill="1">
      <alignment vertical="center"/>
    </xf>
    <xf numFmtId="0" fontId="0" fillId="17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5" fillId="5" borderId="0" xfId="0" applyFont="1" applyFill="1">
      <alignment vertical="center"/>
    </xf>
    <xf numFmtId="9" fontId="0" fillId="11" borderId="66" xfId="3" applyFont="1" applyFill="1" applyBorder="1" applyAlignment="1">
      <alignment vertical="center"/>
    </xf>
    <xf numFmtId="9" fontId="0" fillId="13" borderId="0" xfId="3" applyFont="1" applyFill="1" applyBorder="1" applyAlignment="1">
      <alignment vertical="center"/>
    </xf>
    <xf numFmtId="9" fontId="0" fillId="13" borderId="35" xfId="3" applyFont="1" applyFill="1" applyBorder="1" applyAlignment="1">
      <alignment vertical="center"/>
    </xf>
    <xf numFmtId="9" fontId="0" fillId="13" borderId="0" xfId="2" applyNumberFormat="1" applyFont="1" applyFill="1" applyBorder="1" applyAlignment="1">
      <alignment horizontal="center" vertical="center"/>
    </xf>
    <xf numFmtId="9" fontId="0" fillId="8" borderId="4" xfId="0" applyNumberFormat="1" applyFill="1" applyBorder="1" applyAlignment="1">
      <alignment horizontal="center" vertical="center"/>
    </xf>
    <xf numFmtId="9" fontId="0" fillId="20" borderId="0" xfId="0" applyNumberFormat="1" applyFill="1" applyBorder="1" applyAlignment="1">
      <alignment horizontal="center" vertical="center"/>
    </xf>
    <xf numFmtId="9" fontId="0" fillId="8" borderId="66" xfId="0" applyNumberFormat="1" applyFill="1" applyBorder="1" applyAlignment="1">
      <alignment horizontal="center" vertical="center"/>
    </xf>
    <xf numFmtId="9" fontId="0" fillId="20" borderId="35" xfId="0" applyNumberFormat="1" applyFill="1" applyBorder="1" applyAlignment="1">
      <alignment horizontal="center" vertical="center"/>
    </xf>
    <xf numFmtId="9" fontId="0" fillId="11" borderId="4" xfId="0" applyNumberFormat="1" applyFill="1" applyBorder="1" applyAlignment="1">
      <alignment horizontal="center" vertical="center"/>
    </xf>
    <xf numFmtId="9" fontId="0" fillId="13" borderId="0" xfId="0" applyNumberFormat="1" applyFill="1" applyBorder="1" applyAlignment="1">
      <alignment horizontal="center" vertical="center"/>
    </xf>
    <xf numFmtId="9" fontId="0" fillId="13" borderId="6" xfId="0" applyNumberFormat="1" applyFill="1" applyBorder="1" applyAlignment="1">
      <alignment horizontal="center" vertical="center"/>
    </xf>
    <xf numFmtId="9" fontId="0" fillId="8" borderId="0" xfId="0" applyNumberFormat="1" applyFill="1" applyBorder="1" applyAlignment="1">
      <alignment horizontal="center" vertical="center"/>
    </xf>
    <xf numFmtId="202" fontId="3" fillId="4" borderId="0" xfId="0" applyNumberFormat="1" applyFont="1" applyFill="1" applyBorder="1" applyAlignment="1">
      <alignment horizontal="center" vertical="center"/>
    </xf>
    <xf numFmtId="202" fontId="0" fillId="0" borderId="0" xfId="2" applyNumberFormat="1" applyFont="1">
      <alignment vertical="center"/>
    </xf>
    <xf numFmtId="202" fontId="0" fillId="17" borderId="0" xfId="0" applyNumberFormat="1" applyFill="1" applyBorder="1">
      <alignment vertical="center"/>
    </xf>
    <xf numFmtId="202" fontId="0" fillId="0" borderId="6" xfId="0" applyNumberFormat="1" applyFill="1" applyBorder="1">
      <alignment vertical="center"/>
    </xf>
    <xf numFmtId="202" fontId="15" fillId="0" borderId="0" xfId="0" applyNumberFormat="1" applyFont="1">
      <alignment vertical="center"/>
    </xf>
    <xf numFmtId="41" fontId="0" fillId="18" borderId="11" xfId="2" applyFont="1" applyFill="1" applyBorder="1">
      <alignment vertical="center"/>
    </xf>
    <xf numFmtId="41" fontId="0" fillId="18" borderId="0" xfId="2" applyFont="1" applyFill="1" applyBorder="1">
      <alignment vertical="center"/>
    </xf>
    <xf numFmtId="202" fontId="0" fillId="11" borderId="0" xfId="2" applyNumberFormat="1" applyFont="1" applyFill="1" applyBorder="1">
      <alignment vertical="center"/>
    </xf>
    <xf numFmtId="202" fontId="0" fillId="11" borderId="11" xfId="2" applyNumberFormat="1" applyFont="1" applyFill="1" applyBorder="1">
      <alignment vertical="center"/>
    </xf>
    <xf numFmtId="202" fontId="0" fillId="0" borderId="0" xfId="2" applyNumberFormat="1" applyFont="1" applyFill="1" applyBorder="1">
      <alignment vertical="center"/>
    </xf>
    <xf numFmtId="202" fontId="0" fillId="0" borderId="11" xfId="2" applyNumberFormat="1" applyFont="1" applyFill="1" applyBorder="1">
      <alignment vertical="center"/>
    </xf>
    <xf numFmtId="202" fontId="0" fillId="9" borderId="0" xfId="2" applyNumberFormat="1" applyFont="1" applyFill="1" applyBorder="1">
      <alignment vertical="center"/>
    </xf>
    <xf numFmtId="202" fontId="0" fillId="9" borderId="11" xfId="2" applyNumberFormat="1" applyFont="1" applyFill="1" applyBorder="1">
      <alignment vertical="center"/>
    </xf>
    <xf numFmtId="202" fontId="0" fillId="8" borderId="0" xfId="2" applyNumberFormat="1" applyFont="1" applyFill="1" applyBorder="1">
      <alignment vertical="center"/>
    </xf>
    <xf numFmtId="202" fontId="0" fillId="8" borderId="11" xfId="2" applyNumberFormat="1" applyFont="1" applyFill="1" applyBorder="1">
      <alignment vertical="center"/>
    </xf>
    <xf numFmtId="202" fontId="0" fillId="8" borderId="35" xfId="2" applyNumberFormat="1" applyFont="1" applyFill="1" applyBorder="1">
      <alignment vertical="center"/>
    </xf>
    <xf numFmtId="202" fontId="0" fillId="11" borderId="66" xfId="2" applyNumberFormat="1" applyFont="1" applyFill="1" applyBorder="1">
      <alignment vertical="center"/>
    </xf>
    <xf numFmtId="202" fontId="0" fillId="11" borderId="67" xfId="2" applyNumberFormat="1" applyFont="1" applyFill="1" applyBorder="1">
      <alignment vertical="center"/>
    </xf>
    <xf numFmtId="202" fontId="0" fillId="8" borderId="36" xfId="2" applyNumberFormat="1" applyFont="1" applyFill="1" applyBorder="1">
      <alignment vertical="center"/>
    </xf>
    <xf numFmtId="202" fontId="0" fillId="0" borderId="0" xfId="2" applyNumberFormat="1" applyFont="1" applyBorder="1">
      <alignment vertical="center"/>
    </xf>
    <xf numFmtId="202" fontId="0" fillId="8" borderId="6" xfId="2" applyNumberFormat="1" applyFont="1" applyFill="1" applyBorder="1">
      <alignment vertical="center"/>
    </xf>
    <xf numFmtId="202" fontId="0" fillId="8" borderId="46" xfId="2" applyNumberFormat="1" applyFont="1" applyFill="1" applyBorder="1">
      <alignment vertical="center"/>
    </xf>
    <xf numFmtId="210" fontId="0" fillId="0" borderId="0" xfId="0" applyNumberFormat="1" applyFill="1" applyBorder="1">
      <alignment vertical="center"/>
    </xf>
    <xf numFmtId="210" fontId="0" fillId="0" borderId="19" xfId="0" applyNumberFormat="1" applyFill="1" applyBorder="1">
      <alignment vertical="center"/>
    </xf>
    <xf numFmtId="0" fontId="12" fillId="8" borderId="202" xfId="0" applyFont="1" applyFill="1" applyBorder="1" applyAlignment="1">
      <alignment horizontal="center" vertical="center"/>
    </xf>
    <xf numFmtId="0" fontId="12" fillId="8" borderId="83" xfId="0" applyFont="1" applyFill="1" applyBorder="1" applyAlignment="1">
      <alignment horizontal="center" vertical="center"/>
    </xf>
    <xf numFmtId="0" fontId="12" fillId="8" borderId="213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left" vertical="center"/>
    </xf>
    <xf numFmtId="0" fontId="0" fillId="5" borderId="0" xfId="0" applyFill="1" applyBorder="1" applyAlignment="1">
      <alignment horizontal="center" vertical="center"/>
    </xf>
    <xf numFmtId="202" fontId="25" fillId="5" borderId="0" xfId="0" applyNumberFormat="1" applyFont="1" applyFill="1">
      <alignment vertical="center"/>
    </xf>
    <xf numFmtId="9" fontId="25" fillId="5" borderId="0" xfId="3" applyFont="1" applyFill="1">
      <alignment vertical="center"/>
    </xf>
    <xf numFmtId="0" fontId="24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9" fontId="0" fillId="0" borderId="0" xfId="3" applyNumberFormat="1" applyFont="1">
      <alignment vertical="center"/>
    </xf>
    <xf numFmtId="0" fontId="22" fillId="0" borderId="0" xfId="0" applyFont="1" applyAlignment="1">
      <alignment horizontal="center" vertical="center"/>
    </xf>
    <xf numFmtId="41" fontId="22" fillId="53" borderId="987" xfId="2" applyFont="1" applyFill="1" applyBorder="1" applyAlignment="1">
      <alignment horizontal="center" vertical="center"/>
    </xf>
    <xf numFmtId="41" fontId="22" fillId="60" borderId="988" xfId="2" applyFont="1" applyFill="1" applyBorder="1" applyAlignment="1">
      <alignment horizontal="center" vertical="center"/>
    </xf>
    <xf numFmtId="41" fontId="22" fillId="47" borderId="989" xfId="2" applyFont="1" applyFill="1" applyBorder="1" applyAlignment="1">
      <alignment horizontal="center" vertical="center"/>
    </xf>
    <xf numFmtId="41" fontId="22" fillId="47" borderId="988" xfId="2" applyFont="1" applyFill="1" applyBorder="1" applyAlignment="1">
      <alignment horizontal="center" vertical="center"/>
    </xf>
    <xf numFmtId="41" fontId="22" fillId="47" borderId="990" xfId="2" applyFont="1" applyFill="1" applyBorder="1" applyAlignment="1">
      <alignment horizontal="center" vertical="center"/>
    </xf>
    <xf numFmtId="41" fontId="22" fillId="33" borderId="989" xfId="2" applyFont="1" applyFill="1" applyBorder="1" applyAlignment="1">
      <alignment horizontal="center" vertical="center"/>
    </xf>
    <xf numFmtId="41" fontId="22" fillId="33" borderId="988" xfId="2" applyFont="1" applyFill="1" applyBorder="1" applyAlignment="1">
      <alignment horizontal="center" vertical="center"/>
    </xf>
    <xf numFmtId="41" fontId="22" fillId="33" borderId="990" xfId="2" applyFont="1" applyFill="1" applyBorder="1" applyAlignment="1">
      <alignment horizontal="center" vertical="center"/>
    </xf>
    <xf numFmtId="41" fontId="23" fillId="0" borderId="988" xfId="2" applyFont="1" applyFill="1" applyBorder="1" applyAlignment="1">
      <alignment horizontal="center" vertical="center"/>
    </xf>
    <xf numFmtId="41" fontId="23" fillId="34" borderId="988" xfId="2" applyFont="1" applyFill="1" applyBorder="1" applyAlignment="1">
      <alignment horizontal="center" vertical="center"/>
    </xf>
    <xf numFmtId="41" fontId="23" fillId="0" borderId="991" xfId="2" applyFont="1" applyFill="1" applyBorder="1" applyAlignment="1">
      <alignment horizontal="center" vertical="center"/>
    </xf>
    <xf numFmtId="41" fontId="31" fillId="0" borderId="988" xfId="2" applyFont="1" applyFill="1" applyBorder="1" applyAlignment="1">
      <alignment horizontal="center" vertical="center"/>
    </xf>
    <xf numFmtId="41" fontId="31" fillId="34" borderId="988" xfId="2" applyFont="1" applyFill="1" applyBorder="1" applyAlignment="1">
      <alignment horizontal="center" vertical="center"/>
    </xf>
    <xf numFmtId="41" fontId="31" fillId="0" borderId="991" xfId="2" applyFont="1" applyFill="1" applyBorder="1" applyAlignment="1">
      <alignment horizontal="center" vertical="center"/>
    </xf>
    <xf numFmtId="41" fontId="31" fillId="34" borderId="991" xfId="2" applyFont="1" applyFill="1" applyBorder="1" applyAlignment="1">
      <alignment horizontal="center" vertical="center"/>
    </xf>
    <xf numFmtId="176" fontId="22" fillId="60" borderId="988" xfId="3" applyNumberFormat="1" applyFont="1" applyFill="1" applyBorder="1" applyAlignment="1">
      <alignment horizontal="center" vertical="center"/>
    </xf>
    <xf numFmtId="41" fontId="31" fillId="34" borderId="0" xfId="2" applyFont="1" applyFill="1" applyBorder="1" applyAlignment="1">
      <alignment horizontal="center" vertical="center"/>
    </xf>
    <xf numFmtId="41" fontId="22" fillId="0" borderId="988" xfId="2" applyFont="1" applyFill="1" applyBorder="1" applyAlignment="1">
      <alignment horizontal="center" vertical="center"/>
    </xf>
    <xf numFmtId="41" fontId="22" fillId="0" borderId="991" xfId="2" applyFont="1" applyFill="1" applyBorder="1" applyAlignment="1">
      <alignment horizontal="center" vertical="center"/>
    </xf>
    <xf numFmtId="2" fontId="22" fillId="53" borderId="987" xfId="0" applyNumberFormat="1" applyFont="1" applyFill="1" applyBorder="1" applyAlignment="1">
      <alignment horizontal="center" vertical="center"/>
    </xf>
    <xf numFmtId="41" fontId="22" fillId="60" borderId="988" xfId="2" applyFont="1" applyFill="1" applyBorder="1" applyAlignment="1">
      <alignment horizontal="center" vertical="center" shrinkToFit="1"/>
    </xf>
    <xf numFmtId="41" fontId="22" fillId="47" borderId="989" xfId="2" applyFont="1" applyFill="1" applyBorder="1" applyAlignment="1">
      <alignment horizontal="center" vertical="center" shrinkToFit="1"/>
    </xf>
    <xf numFmtId="41" fontId="22" fillId="47" borderId="988" xfId="2" applyFont="1" applyFill="1" applyBorder="1" applyAlignment="1">
      <alignment horizontal="center" vertical="center" shrinkToFit="1"/>
    </xf>
    <xf numFmtId="41" fontId="22" fillId="47" borderId="990" xfId="2" applyFont="1" applyFill="1" applyBorder="1" applyAlignment="1">
      <alignment horizontal="center" vertical="center" shrinkToFit="1"/>
    </xf>
    <xf numFmtId="41" fontId="22" fillId="63" borderId="989" xfId="2" applyFont="1" applyFill="1" applyBorder="1" applyAlignment="1">
      <alignment horizontal="center" vertical="center" shrinkToFit="1"/>
    </xf>
    <xf numFmtId="41" fontId="22" fillId="63" borderId="988" xfId="2" applyFont="1" applyFill="1" applyBorder="1" applyAlignment="1">
      <alignment horizontal="center" vertical="center" shrinkToFit="1"/>
    </xf>
    <xf numFmtId="41" fontId="22" fillId="63" borderId="991" xfId="2" applyFont="1" applyFill="1" applyBorder="1" applyAlignment="1">
      <alignment horizontal="center" vertical="center" shrinkToFit="1"/>
    </xf>
    <xf numFmtId="0" fontId="22" fillId="64" borderId="0" xfId="0" applyFont="1" applyFill="1" applyAlignment="1">
      <alignment horizontal="center" vertical="center"/>
    </xf>
    <xf numFmtId="0" fontId="22" fillId="0" borderId="961" xfId="0" applyFont="1" applyBorder="1" applyAlignment="1">
      <alignment horizontal="center" vertical="center"/>
    </xf>
    <xf numFmtId="0" fontId="31" fillId="34" borderId="0" xfId="0" applyFont="1" applyFill="1" applyAlignment="1">
      <alignment horizontal="center" vertical="center"/>
    </xf>
    <xf numFmtId="176" fontId="22" fillId="53" borderId="989" xfId="3" applyNumberFormat="1" applyFont="1" applyFill="1" applyBorder="1" applyAlignment="1">
      <alignment horizontal="right" vertical="center"/>
    </xf>
    <xf numFmtId="176" fontId="22" fillId="60" borderId="988" xfId="3" applyNumberFormat="1" applyFont="1" applyFill="1" applyBorder="1" applyAlignment="1">
      <alignment horizontal="right" vertical="center"/>
    </xf>
    <xf numFmtId="176" fontId="22" fillId="60" borderId="990" xfId="3" applyNumberFormat="1" applyFont="1" applyFill="1" applyBorder="1" applyAlignment="1">
      <alignment horizontal="right" vertical="center"/>
    </xf>
    <xf numFmtId="176" fontId="22" fillId="47" borderId="987" xfId="3" applyNumberFormat="1" applyFont="1" applyFill="1" applyBorder="1" applyAlignment="1">
      <alignment horizontal="right" vertical="center"/>
    </xf>
    <xf numFmtId="176" fontId="22" fillId="65" borderId="988" xfId="3" applyNumberFormat="1" applyFont="1" applyFill="1" applyBorder="1" applyAlignment="1">
      <alignment horizontal="right" vertical="center"/>
    </xf>
    <xf numFmtId="176" fontId="22" fillId="47" borderId="989" xfId="3" applyNumberFormat="1" applyFont="1" applyFill="1" applyBorder="1" applyAlignment="1">
      <alignment horizontal="right" vertical="center"/>
    </xf>
    <xf numFmtId="176" fontId="22" fillId="65" borderId="990" xfId="3" applyNumberFormat="1" applyFont="1" applyFill="1" applyBorder="1" applyAlignment="1">
      <alignment horizontal="right" vertical="center"/>
    </xf>
    <xf numFmtId="176" fontId="22" fillId="53" borderId="987" xfId="3" applyNumberFormat="1" applyFont="1" applyFill="1" applyBorder="1" applyAlignment="1">
      <alignment horizontal="right" vertical="center"/>
    </xf>
    <xf numFmtId="176" fontId="22" fillId="60" borderId="991" xfId="3" applyNumberFormat="1" applyFont="1" applyFill="1" applyBorder="1" applyAlignment="1">
      <alignment horizontal="right" vertical="center"/>
    </xf>
    <xf numFmtId="176" fontId="22" fillId="47" borderId="988" xfId="3" applyNumberFormat="1" applyFont="1" applyFill="1" applyBorder="1" applyAlignment="1">
      <alignment horizontal="right" vertical="center"/>
    </xf>
    <xf numFmtId="41" fontId="22" fillId="47" borderId="991" xfId="2" applyFont="1" applyFill="1" applyBorder="1" applyAlignment="1">
      <alignment horizontal="center" vertical="center"/>
    </xf>
    <xf numFmtId="41" fontId="22" fillId="0" borderId="0" xfId="2" applyFont="1" applyFill="1" applyBorder="1" applyAlignment="1">
      <alignment horizontal="center" vertical="center"/>
    </xf>
    <xf numFmtId="176" fontId="22" fillId="53" borderId="989" xfId="3" quotePrefix="1" applyNumberFormat="1" applyFont="1" applyFill="1" applyBorder="1" applyAlignment="1">
      <alignment horizontal="right" vertical="center"/>
    </xf>
    <xf numFmtId="0" fontId="0" fillId="0" borderId="1060" xfId="0" applyFill="1" applyBorder="1">
      <alignment vertical="center"/>
    </xf>
    <xf numFmtId="0" fontId="0" fillId="0" borderId="1061" xfId="0" applyFill="1" applyBorder="1">
      <alignment vertical="center"/>
    </xf>
    <xf numFmtId="0" fontId="0" fillId="0" borderId="1060" xfId="0" applyBorder="1">
      <alignment vertical="center"/>
    </xf>
    <xf numFmtId="203" fontId="0" fillId="0" borderId="1060" xfId="0" applyNumberFormat="1" applyFill="1" applyBorder="1">
      <alignment vertical="center"/>
    </xf>
    <xf numFmtId="0" fontId="0" fillId="0" borderId="1063" xfId="0" applyFill="1" applyBorder="1">
      <alignment vertical="center"/>
    </xf>
    <xf numFmtId="0" fontId="0" fillId="0" borderId="1063" xfId="0" applyBorder="1">
      <alignment vertical="center"/>
    </xf>
    <xf numFmtId="203" fontId="0" fillId="0" borderId="1063" xfId="0" applyNumberFormat="1" applyFill="1" applyBorder="1">
      <alignment vertical="center"/>
    </xf>
    <xf numFmtId="41" fontId="0" fillId="5" borderId="0" xfId="0" applyNumberFormat="1" applyFill="1">
      <alignment vertical="center"/>
    </xf>
    <xf numFmtId="0" fontId="5" fillId="11" borderId="279" xfId="0" applyFont="1" applyFill="1" applyBorder="1">
      <alignment vertical="center"/>
    </xf>
    <xf numFmtId="202" fontId="0" fillId="5" borderId="0" xfId="3" applyNumberFormat="1" applyFont="1" applyFill="1">
      <alignment vertical="center"/>
    </xf>
    <xf numFmtId="176" fontId="0" fillId="5" borderId="0" xfId="3" applyNumberFormat="1" applyFont="1" applyFill="1">
      <alignment vertical="center"/>
    </xf>
    <xf numFmtId="202" fontId="0" fillId="5" borderId="0" xfId="2" applyNumberFormat="1" applyFont="1" applyFill="1">
      <alignment vertical="center"/>
    </xf>
    <xf numFmtId="41" fontId="0" fillId="5" borderId="0" xfId="2" applyFont="1" applyFill="1">
      <alignment vertical="center"/>
    </xf>
    <xf numFmtId="0" fontId="12" fillId="8" borderId="83" xfId="0" applyFont="1" applyFill="1" applyBorder="1" applyAlignment="1">
      <alignment horizontal="center" vertical="center"/>
    </xf>
    <xf numFmtId="203" fontId="0" fillId="0" borderId="341" xfId="0" applyNumberFormat="1" applyBorder="1">
      <alignment vertical="center"/>
    </xf>
    <xf numFmtId="0" fontId="6" fillId="0" borderId="682" xfId="0" applyFont="1" applyBorder="1">
      <alignment vertical="center"/>
    </xf>
    <xf numFmtId="203" fontId="0" fillId="0" borderId="19" xfId="0" applyNumberFormat="1" applyBorder="1">
      <alignment vertical="center"/>
    </xf>
    <xf numFmtId="0" fontId="0" fillId="5" borderId="0" xfId="0" applyFill="1" applyBorder="1" applyAlignment="1">
      <alignment horizontal="center" vertical="center"/>
    </xf>
    <xf numFmtId="41" fontId="22" fillId="49" borderId="988" xfId="2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202" fontId="0" fillId="11" borderId="4" xfId="2" applyNumberFormat="1" applyFont="1" applyFill="1" applyBorder="1">
      <alignment vertical="center"/>
    </xf>
    <xf numFmtId="202" fontId="0" fillId="18" borderId="0" xfId="2" applyNumberFormat="1" applyFont="1" applyFill="1" applyBorder="1">
      <alignment vertical="center"/>
    </xf>
    <xf numFmtId="0" fontId="0" fillId="5" borderId="0" xfId="0" applyFill="1" applyBorder="1" applyAlignment="1">
      <alignment horizontal="center" vertical="center"/>
    </xf>
    <xf numFmtId="202" fontId="0" fillId="11" borderId="9" xfId="2" applyNumberFormat="1" applyFont="1" applyFill="1" applyBorder="1">
      <alignment vertical="center"/>
    </xf>
    <xf numFmtId="202" fontId="0" fillId="18" borderId="11" xfId="2" applyNumberFormat="1" applyFont="1" applyFill="1" applyBorder="1">
      <alignment vertical="center"/>
    </xf>
    <xf numFmtId="3" fontId="0" fillId="0" borderId="0" xfId="0" applyNumberFormat="1">
      <alignment vertical="center"/>
    </xf>
    <xf numFmtId="0" fontId="35" fillId="0" borderId="0" xfId="0" applyFont="1">
      <alignment vertical="center"/>
    </xf>
    <xf numFmtId="176" fontId="0" fillId="20" borderId="0" xfId="3" applyNumberFormat="1" applyFont="1" applyFill="1" applyBorder="1" applyAlignment="1">
      <alignment horizontal="center" vertical="center"/>
    </xf>
    <xf numFmtId="176" fontId="0" fillId="8" borderId="66" xfId="3" applyNumberFormat="1" applyFont="1" applyFill="1" applyBorder="1" applyAlignment="1">
      <alignment horizontal="center" vertical="center"/>
    </xf>
    <xf numFmtId="176" fontId="0" fillId="20" borderId="35" xfId="3" applyNumberFormat="1" applyFont="1" applyFill="1" applyBorder="1" applyAlignment="1">
      <alignment horizontal="center" vertical="center"/>
    </xf>
    <xf numFmtId="176" fontId="0" fillId="13" borderId="6" xfId="3" applyNumberFormat="1" applyFont="1" applyFill="1" applyBorder="1" applyAlignment="1">
      <alignment horizontal="center" vertical="center"/>
    </xf>
    <xf numFmtId="176" fontId="0" fillId="8" borderId="4" xfId="3" applyNumberFormat="1" applyFont="1" applyFill="1" applyBorder="1" applyAlignment="1">
      <alignment horizontal="center" vertical="center"/>
    </xf>
    <xf numFmtId="176" fontId="0" fillId="8" borderId="0" xfId="3" applyNumberFormat="1" applyFont="1" applyFill="1" applyBorder="1" applyAlignment="1">
      <alignment horizontal="center" vertical="center"/>
    </xf>
    <xf numFmtId="202" fontId="0" fillId="11" borderId="0" xfId="2" applyNumberFormat="1" applyFont="1" applyFill="1">
      <alignment vertical="center"/>
    </xf>
    <xf numFmtId="176" fontId="0" fillId="13" borderId="0" xfId="2" applyNumberFormat="1" applyFont="1" applyFill="1" applyBorder="1" applyAlignment="1">
      <alignment horizontal="center" vertical="center"/>
    </xf>
    <xf numFmtId="3" fontId="0" fillId="11" borderId="0" xfId="0" applyNumberFormat="1" applyFill="1" applyBorder="1">
      <alignment vertical="center"/>
    </xf>
    <xf numFmtId="0" fontId="36" fillId="5" borderId="0" xfId="0" applyFont="1" applyFill="1">
      <alignment vertical="center"/>
    </xf>
    <xf numFmtId="0" fontId="36" fillId="5" borderId="0" xfId="0" applyFont="1" applyFill="1" applyBorder="1">
      <alignment vertical="center"/>
    </xf>
    <xf numFmtId="0" fontId="36" fillId="5" borderId="0" xfId="0" quotePrefix="1" applyFont="1" applyFill="1" applyBorder="1">
      <alignment vertical="center"/>
    </xf>
    <xf numFmtId="0" fontId="37" fillId="4" borderId="0" xfId="0" quotePrefix="1" applyFont="1" applyFill="1" applyBorder="1" applyAlignment="1">
      <alignment horizontal="center" vertical="center"/>
    </xf>
    <xf numFmtId="0" fontId="36" fillId="0" borderId="0" xfId="0" applyFont="1">
      <alignment vertical="center"/>
    </xf>
    <xf numFmtId="243" fontId="36" fillId="0" borderId="0" xfId="0" applyNumberFormat="1" applyFont="1">
      <alignment vertical="center"/>
    </xf>
    <xf numFmtId="0" fontId="39" fillId="0" borderId="0" xfId="0" applyFont="1">
      <alignment vertical="center"/>
    </xf>
    <xf numFmtId="202" fontId="39" fillId="0" borderId="0" xfId="0" applyNumberFormat="1" applyFont="1">
      <alignment vertical="center"/>
    </xf>
    <xf numFmtId="9" fontId="39" fillId="0" borderId="0" xfId="3" applyFont="1">
      <alignment vertical="center"/>
    </xf>
    <xf numFmtId="0" fontId="39" fillId="5" borderId="0" xfId="0" applyFont="1" applyFill="1" applyBorder="1" applyAlignment="1">
      <alignment horizontal="center" vertical="center"/>
    </xf>
    <xf numFmtId="243" fontId="39" fillId="5" borderId="0" xfId="0" applyNumberFormat="1" applyFont="1" applyFill="1" applyBorder="1" applyAlignment="1">
      <alignment horizontal="center" vertical="center"/>
    </xf>
    <xf numFmtId="0" fontId="40" fillId="39" borderId="0" xfId="0" applyFont="1" applyFill="1" applyAlignment="1">
      <alignment horizontal="center" vertical="center"/>
    </xf>
    <xf numFmtId="0" fontId="36" fillId="0" borderId="0" xfId="0" quotePrefix="1" applyFont="1">
      <alignment vertical="center"/>
    </xf>
    <xf numFmtId="0" fontId="41" fillId="0" borderId="0" xfId="0" quotePrefix="1" applyFont="1" applyAlignment="1">
      <alignment horizontal="right" vertical="center"/>
    </xf>
    <xf numFmtId="0" fontId="42" fillId="5" borderId="0" xfId="0" quotePrefix="1" applyFont="1" applyFill="1" applyBorder="1" applyAlignment="1">
      <alignment horizontal="right" vertical="center"/>
    </xf>
    <xf numFmtId="0" fontId="36" fillId="0" borderId="0" xfId="0" quotePrefix="1" applyFont="1" applyAlignment="1">
      <alignment horizontal="center" vertical="center"/>
    </xf>
    <xf numFmtId="0" fontId="43" fillId="3" borderId="0" xfId="0" applyFont="1" applyFill="1">
      <alignment vertical="center"/>
    </xf>
    <xf numFmtId="0" fontId="43" fillId="4" borderId="506" xfId="0" applyFont="1" applyFill="1" applyBorder="1" applyAlignment="1">
      <alignment horizontal="center" vertical="center"/>
    </xf>
    <xf numFmtId="0" fontId="44" fillId="4" borderId="772" xfId="0" quotePrefix="1" applyFont="1" applyFill="1" applyBorder="1" applyAlignment="1">
      <alignment horizontal="center" vertical="center"/>
    </xf>
    <xf numFmtId="192" fontId="37" fillId="4" borderId="437" xfId="0" quotePrefix="1" applyNumberFormat="1" applyFont="1" applyFill="1" applyBorder="1" applyAlignment="1">
      <alignment horizontal="center" vertical="center"/>
    </xf>
    <xf numFmtId="192" fontId="37" fillId="4" borderId="0" xfId="0" quotePrefix="1" applyNumberFormat="1" applyFont="1" applyFill="1" applyBorder="1" applyAlignment="1">
      <alignment horizontal="center" vertical="center"/>
    </xf>
    <xf numFmtId="0" fontId="37" fillId="14" borderId="360" xfId="0" quotePrefix="1" applyFont="1" applyFill="1" applyBorder="1" applyAlignment="1">
      <alignment horizontal="center" vertical="center"/>
    </xf>
    <xf numFmtId="0" fontId="37" fillId="14" borderId="358" xfId="0" quotePrefix="1" applyFont="1" applyFill="1" applyBorder="1" applyAlignment="1">
      <alignment horizontal="center" vertical="center" shrinkToFit="1"/>
    </xf>
    <xf numFmtId="243" fontId="44" fillId="6" borderId="359" xfId="0" quotePrefix="1" applyNumberFormat="1" applyFont="1" applyFill="1" applyBorder="1" applyAlignment="1">
      <alignment horizontal="center" vertical="center"/>
    </xf>
    <xf numFmtId="0" fontId="37" fillId="6" borderId="358" xfId="0" applyFont="1" applyFill="1" applyBorder="1" applyAlignment="1">
      <alignment horizontal="center" vertical="center"/>
    </xf>
    <xf numFmtId="0" fontId="37" fillId="6" borderId="733" xfId="0" applyFont="1" applyFill="1" applyBorder="1" applyAlignment="1">
      <alignment horizontal="center" vertical="center" shrinkToFit="1"/>
    </xf>
    <xf numFmtId="0" fontId="36" fillId="0" borderId="0" xfId="0" applyFont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3" fillId="6" borderId="703" xfId="0" applyFont="1" applyFill="1" applyBorder="1" applyAlignment="1">
      <alignment horizontal="left" vertical="center"/>
    </xf>
    <xf numFmtId="0" fontId="36" fillId="6" borderId="353" xfId="0" applyFont="1" applyFill="1" applyBorder="1">
      <alignment vertical="center"/>
    </xf>
    <xf numFmtId="189" fontId="36" fillId="6" borderId="353" xfId="0" applyNumberFormat="1" applyFont="1" applyFill="1" applyBorder="1" applyAlignment="1">
      <alignment horizontal="center" vertical="center"/>
    </xf>
    <xf numFmtId="243" fontId="36" fillId="6" borderId="496" xfId="2" applyNumberFormat="1" applyFont="1" applyFill="1" applyBorder="1" applyAlignment="1">
      <alignment horizontal="center" vertical="center"/>
    </xf>
    <xf numFmtId="187" fontId="36" fillId="6" borderId="353" xfId="0" applyNumberFormat="1" applyFont="1" applyFill="1" applyBorder="1" applyAlignment="1">
      <alignment horizontal="center" vertical="center"/>
    </xf>
    <xf numFmtId="189" fontId="36" fillId="6" borderId="697" xfId="0" applyNumberFormat="1" applyFont="1" applyFill="1" applyBorder="1" applyAlignment="1">
      <alignment horizontal="center" vertical="center"/>
    </xf>
    <xf numFmtId="202" fontId="36" fillId="0" borderId="0" xfId="0" applyNumberFormat="1" applyFont="1">
      <alignment vertical="center"/>
    </xf>
    <xf numFmtId="186" fontId="36" fillId="6" borderId="0" xfId="0" applyNumberFormat="1" applyFont="1" applyFill="1" applyBorder="1" applyAlignment="1">
      <alignment horizontal="right" vertical="center"/>
    </xf>
    <xf numFmtId="186" fontId="45" fillId="6" borderId="0" xfId="0" applyNumberFormat="1" applyFont="1" applyFill="1" applyBorder="1" applyAlignment="1">
      <alignment horizontal="right" vertical="center"/>
    </xf>
    <xf numFmtId="0" fontId="43" fillId="6" borderId="704" xfId="0" applyFont="1" applyFill="1" applyBorder="1">
      <alignment vertical="center"/>
    </xf>
    <xf numFmtId="0" fontId="36" fillId="0" borderId="0" xfId="0" applyFont="1" applyBorder="1">
      <alignment vertical="center"/>
    </xf>
    <xf numFmtId="210" fontId="36" fillId="0" borderId="437" xfId="0" applyNumberFormat="1" applyFont="1" applyBorder="1" applyAlignment="1">
      <alignment horizontal="center" vertical="center"/>
    </xf>
    <xf numFmtId="208" fontId="36" fillId="0" borderId="0" xfId="2" applyNumberFormat="1" applyFont="1" applyFill="1" applyBorder="1" applyAlignment="1">
      <alignment horizontal="right" vertical="center"/>
    </xf>
    <xf numFmtId="189" fontId="36" fillId="0" borderId="44" xfId="0" applyNumberFormat="1" applyFont="1" applyBorder="1" applyAlignment="1">
      <alignment horizontal="center" vertical="center"/>
    </xf>
    <xf numFmtId="189" fontId="36" fillId="0" borderId="0" xfId="0" applyNumberFormat="1" applyFont="1" applyBorder="1" applyAlignment="1">
      <alignment horizontal="center" vertical="center"/>
    </xf>
    <xf numFmtId="243" fontId="36" fillId="0" borderId="2" xfId="2" applyNumberFormat="1" applyFont="1" applyBorder="1" applyAlignment="1">
      <alignment horizontal="center" vertical="center"/>
    </xf>
    <xf numFmtId="187" fontId="36" fillId="0" borderId="0" xfId="0" applyNumberFormat="1" applyFont="1" applyBorder="1" applyAlignment="1">
      <alignment horizontal="center" vertical="center"/>
    </xf>
    <xf numFmtId="189" fontId="36" fillId="0" borderId="698" xfId="0" applyNumberFormat="1" applyFont="1" applyBorder="1" applyAlignment="1">
      <alignment horizontal="center" vertical="center"/>
    </xf>
    <xf numFmtId="202" fontId="36" fillId="15" borderId="0" xfId="0" applyNumberFormat="1" applyFont="1" applyFill="1" applyAlignment="1">
      <alignment horizontal="center" vertical="center"/>
    </xf>
    <xf numFmtId="202" fontId="36" fillId="0" borderId="0" xfId="0" applyNumberFormat="1" applyFont="1" applyAlignment="1">
      <alignment horizontal="center" vertical="center"/>
    </xf>
    <xf numFmtId="186" fontId="36" fillId="0" borderId="0" xfId="0" applyNumberFormat="1" applyFont="1" applyAlignment="1">
      <alignment horizontal="right" vertical="center"/>
    </xf>
    <xf numFmtId="202" fontId="46" fillId="0" borderId="0" xfId="0" applyNumberFormat="1" applyFont="1" applyAlignment="1">
      <alignment horizontal="center" vertical="center"/>
    </xf>
    <xf numFmtId="243" fontId="36" fillId="0" borderId="2" xfId="0" applyNumberFormat="1" applyFont="1" applyBorder="1" applyAlignment="1">
      <alignment horizontal="center" vertical="center"/>
    </xf>
    <xf numFmtId="189" fontId="36" fillId="0" borderId="0" xfId="0" applyNumberFormat="1" applyFont="1" applyAlignment="1">
      <alignment horizontal="right" vertical="center"/>
    </xf>
    <xf numFmtId="0" fontId="47" fillId="5" borderId="35" xfId="0" applyFont="1" applyFill="1" applyBorder="1">
      <alignment vertical="center"/>
    </xf>
    <xf numFmtId="0" fontId="47" fillId="0" borderId="35" xfId="0" applyFont="1" applyBorder="1">
      <alignment vertical="center"/>
    </xf>
    <xf numFmtId="189" fontId="47" fillId="0" borderId="35" xfId="0" applyNumberFormat="1" applyFont="1" applyBorder="1" applyAlignment="1">
      <alignment horizontal="center" vertical="center"/>
    </xf>
    <xf numFmtId="243" fontId="47" fillId="0" borderId="37" xfId="2" applyNumberFormat="1" applyFont="1" applyBorder="1" applyAlignment="1">
      <alignment horizontal="center" vertical="center"/>
    </xf>
    <xf numFmtId="187" fontId="47" fillId="0" borderId="35" xfId="0" applyNumberFormat="1" applyFont="1" applyBorder="1" applyAlignment="1">
      <alignment horizontal="center" vertical="center"/>
    </xf>
    <xf numFmtId="189" fontId="47" fillId="0" borderId="699" xfId="0" applyNumberFormat="1" applyFont="1" applyBorder="1" applyAlignment="1">
      <alignment horizontal="center" vertical="center"/>
    </xf>
    <xf numFmtId="202" fontId="47" fillId="0" borderId="0" xfId="0" applyNumberFormat="1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3" fillId="8" borderId="66" xfId="0" applyFont="1" applyFill="1" applyBorder="1">
      <alignment vertical="center"/>
    </xf>
    <xf numFmtId="0" fontId="47" fillId="8" borderId="66" xfId="0" applyFont="1" applyFill="1" applyBorder="1">
      <alignment vertical="center"/>
    </xf>
    <xf numFmtId="189" fontId="36" fillId="8" borderId="66" xfId="0" applyNumberFormat="1" applyFont="1" applyFill="1" applyBorder="1" applyAlignment="1">
      <alignment horizontal="center" vertical="center"/>
    </xf>
    <xf numFmtId="243" fontId="36" fillId="8" borderId="68" xfId="2" applyNumberFormat="1" applyFont="1" applyFill="1" applyBorder="1" applyAlignment="1">
      <alignment horizontal="center" vertical="center"/>
    </xf>
    <xf numFmtId="187" fontId="36" fillId="8" borderId="66" xfId="0" applyNumberFormat="1" applyFont="1" applyFill="1" applyBorder="1" applyAlignment="1">
      <alignment horizontal="center" vertical="center"/>
    </xf>
    <xf numFmtId="189" fontId="36" fillId="8" borderId="702" xfId="0" applyNumberFormat="1" applyFont="1" applyFill="1" applyBorder="1" applyAlignment="1">
      <alignment horizontal="center" vertical="center"/>
    </xf>
    <xf numFmtId="202" fontId="47" fillId="15" borderId="0" xfId="0" applyNumberFormat="1" applyFont="1" applyFill="1" applyAlignment="1">
      <alignment horizontal="center" vertical="center"/>
    </xf>
    <xf numFmtId="0" fontId="43" fillId="5" borderId="0" xfId="0" applyFont="1" applyFill="1" applyBorder="1" applyAlignment="1">
      <alignment horizontal="left" vertical="center" indent="1"/>
    </xf>
    <xf numFmtId="0" fontId="43" fillId="5" borderId="0" xfId="0" applyFont="1" applyFill="1" applyBorder="1" applyAlignment="1">
      <alignment horizontal="left" vertical="center"/>
    </xf>
    <xf numFmtId="0" fontId="43" fillId="5" borderId="0" xfId="0" applyFont="1" applyFill="1" applyBorder="1">
      <alignment vertical="center"/>
    </xf>
    <xf numFmtId="210" fontId="36" fillId="5" borderId="437" xfId="0" applyNumberFormat="1" applyFont="1" applyFill="1" applyBorder="1" applyAlignment="1">
      <alignment horizontal="center" vertical="center"/>
    </xf>
    <xf numFmtId="208" fontId="36" fillId="5" borderId="0" xfId="2" applyNumberFormat="1" applyFont="1" applyFill="1" applyBorder="1" applyAlignment="1">
      <alignment horizontal="right" vertical="center"/>
    </xf>
    <xf numFmtId="243" fontId="36" fillId="5" borderId="2" xfId="2" applyNumberFormat="1" applyFont="1" applyFill="1" applyBorder="1" applyAlignment="1">
      <alignment horizontal="center" vertical="center"/>
    </xf>
    <xf numFmtId="189" fontId="36" fillId="5" borderId="0" xfId="0" applyNumberFormat="1" applyFont="1" applyFill="1" applyBorder="1" applyAlignment="1">
      <alignment horizontal="center" vertical="center"/>
    </xf>
    <xf numFmtId="187" fontId="36" fillId="5" borderId="0" xfId="0" applyNumberFormat="1" applyFont="1" applyFill="1" applyBorder="1" applyAlignment="1">
      <alignment horizontal="center" vertical="center"/>
    </xf>
    <xf numFmtId="186" fontId="36" fillId="5" borderId="698" xfId="0" applyNumberFormat="1" applyFont="1" applyFill="1" applyBorder="1" applyAlignment="1">
      <alignment horizontal="center" vertical="center"/>
    </xf>
    <xf numFmtId="189" fontId="36" fillId="5" borderId="698" xfId="0" applyNumberFormat="1" applyFont="1" applyFill="1" applyBorder="1" applyAlignment="1">
      <alignment horizontal="center" vertical="center"/>
    </xf>
    <xf numFmtId="176" fontId="45" fillId="0" borderId="0" xfId="3" applyNumberFormat="1" applyFont="1">
      <alignment vertical="center"/>
    </xf>
    <xf numFmtId="0" fontId="43" fillId="20" borderId="0" xfId="0" applyFont="1" applyFill="1" applyBorder="1">
      <alignment vertical="center"/>
    </xf>
    <xf numFmtId="0" fontId="36" fillId="20" borderId="0" xfId="0" applyFont="1" applyFill="1" applyBorder="1">
      <alignment vertical="center"/>
    </xf>
    <xf numFmtId="189" fontId="36" fillId="20" borderId="0" xfId="0" applyNumberFormat="1" applyFont="1" applyFill="1" applyBorder="1" applyAlignment="1">
      <alignment horizontal="center" vertical="center"/>
    </xf>
    <xf numFmtId="243" fontId="36" fillId="20" borderId="2" xfId="2" applyNumberFormat="1" applyFont="1" applyFill="1" applyBorder="1" applyAlignment="1">
      <alignment horizontal="center" vertical="center"/>
    </xf>
    <xf numFmtId="187" fontId="36" fillId="20" borderId="0" xfId="0" applyNumberFormat="1" applyFont="1" applyFill="1" applyBorder="1" applyAlignment="1">
      <alignment horizontal="center" vertical="center"/>
    </xf>
    <xf numFmtId="189" fontId="36" fillId="20" borderId="698" xfId="0" applyNumberFormat="1" applyFont="1" applyFill="1" applyBorder="1" applyAlignment="1">
      <alignment horizontal="center" vertical="center"/>
    </xf>
    <xf numFmtId="0" fontId="36" fillId="5" borderId="0" xfId="0" applyFont="1" applyFill="1" applyBorder="1" applyAlignment="1">
      <alignment horizontal="left" vertical="center"/>
    </xf>
    <xf numFmtId="0" fontId="51" fillId="5" borderId="0" xfId="0" applyFont="1" applyFill="1" applyBorder="1" applyAlignment="1">
      <alignment horizontal="left" vertical="center" indent="1"/>
    </xf>
    <xf numFmtId="202" fontId="36" fillId="28" borderId="0" xfId="0" applyNumberFormat="1" applyFont="1" applyFill="1" applyAlignment="1">
      <alignment horizontal="center" vertical="center"/>
    </xf>
    <xf numFmtId="0" fontId="36" fillId="5" borderId="499" xfId="0" applyFont="1" applyFill="1" applyBorder="1" applyAlignment="1">
      <alignment horizontal="left" vertical="top"/>
    </xf>
    <xf numFmtId="208" fontId="36" fillId="5" borderId="698" xfId="0" applyNumberFormat="1" applyFont="1" applyFill="1" applyBorder="1" applyAlignment="1">
      <alignment horizontal="center" vertical="center"/>
    </xf>
    <xf numFmtId="0" fontId="36" fillId="5" borderId="497" xfId="0" applyFont="1" applyFill="1" applyBorder="1" applyAlignment="1">
      <alignment horizontal="left" vertical="top"/>
    </xf>
    <xf numFmtId="0" fontId="51" fillId="5" borderId="497" xfId="0" applyFont="1" applyFill="1" applyBorder="1" applyAlignment="1">
      <alignment horizontal="left" vertical="center" indent="1"/>
    </xf>
    <xf numFmtId="0" fontId="36" fillId="5" borderId="497" xfId="0" applyFont="1" applyFill="1" applyBorder="1">
      <alignment vertical="center"/>
    </xf>
    <xf numFmtId="243" fontId="36" fillId="5" borderId="498" xfId="2" applyNumberFormat="1" applyFont="1" applyFill="1" applyBorder="1" applyAlignment="1">
      <alignment horizontal="center" vertical="center"/>
    </xf>
    <xf numFmtId="189" fontId="36" fillId="4" borderId="497" xfId="0" applyNumberFormat="1" applyFont="1" applyFill="1" applyBorder="1" applyAlignment="1">
      <alignment horizontal="center" vertical="center"/>
    </xf>
    <xf numFmtId="187" fontId="36" fillId="4" borderId="497" xfId="0" applyNumberFormat="1" applyFont="1" applyFill="1" applyBorder="1" applyAlignment="1">
      <alignment horizontal="center" vertical="center"/>
    </xf>
    <xf numFmtId="189" fontId="36" fillId="5" borderId="700" xfId="0" applyNumberFormat="1" applyFont="1" applyFill="1" applyBorder="1" applyAlignment="1">
      <alignment horizontal="center" vertical="center"/>
    </xf>
    <xf numFmtId="0" fontId="36" fillId="5" borderId="0" xfId="0" applyFont="1" applyFill="1" applyBorder="1" applyAlignment="1">
      <alignment horizontal="left" vertical="top"/>
    </xf>
    <xf numFmtId="189" fontId="36" fillId="4" borderId="0" xfId="0" applyNumberFormat="1" applyFont="1" applyFill="1" applyBorder="1" applyAlignment="1">
      <alignment horizontal="center" vertical="center"/>
    </xf>
    <xf numFmtId="187" fontId="36" fillId="4" borderId="0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189" fontId="36" fillId="4" borderId="0" xfId="0" applyNumberFormat="1" applyFont="1" applyFill="1" applyAlignment="1">
      <alignment horizontal="right" vertical="center"/>
    </xf>
    <xf numFmtId="202" fontId="36" fillId="0" borderId="505" xfId="0" applyNumberFormat="1" applyFont="1" applyBorder="1" applyAlignment="1">
      <alignment horizontal="center" vertical="center"/>
    </xf>
    <xf numFmtId="202" fontId="36" fillId="0" borderId="505" xfId="0" applyNumberFormat="1" applyFont="1" applyBorder="1">
      <alignment vertical="center"/>
    </xf>
    <xf numFmtId="0" fontId="43" fillId="5" borderId="0" xfId="0" applyFont="1" applyFill="1" applyBorder="1" applyAlignment="1">
      <alignment horizontal="center" vertical="center"/>
    </xf>
    <xf numFmtId="0" fontId="43" fillId="20" borderId="0" xfId="0" applyFont="1" applyFill="1" applyBorder="1" applyAlignment="1">
      <alignment horizontal="left" vertical="center"/>
    </xf>
    <xf numFmtId="0" fontId="51" fillId="20" borderId="0" xfId="0" applyFont="1" applyFill="1" applyBorder="1" applyAlignment="1">
      <alignment horizontal="left" vertical="center" indent="1"/>
    </xf>
    <xf numFmtId="187" fontId="36" fillId="4" borderId="0" xfId="3" applyNumberFormat="1" applyFont="1" applyFill="1" applyBorder="1" applyAlignment="1">
      <alignment horizontal="center" vertical="center"/>
    </xf>
    <xf numFmtId="202" fontId="36" fillId="5" borderId="0" xfId="0" applyNumberFormat="1" applyFont="1" applyFill="1" applyAlignment="1">
      <alignment horizontal="center" vertical="center"/>
    </xf>
    <xf numFmtId="0" fontId="51" fillId="5" borderId="499" xfId="0" applyFont="1" applyFill="1" applyBorder="1" applyAlignment="1">
      <alignment horizontal="left" vertical="center" indent="1"/>
    </xf>
    <xf numFmtId="0" fontId="36" fillId="5" borderId="499" xfId="0" applyFont="1" applyFill="1" applyBorder="1">
      <alignment vertical="center"/>
    </xf>
    <xf numFmtId="243" fontId="36" fillId="5" borderId="500" xfId="2" applyNumberFormat="1" applyFont="1" applyFill="1" applyBorder="1" applyAlignment="1">
      <alignment horizontal="center" vertical="center"/>
    </xf>
    <xf numFmtId="189" fontId="36" fillId="4" borderId="499" xfId="0" applyNumberFormat="1" applyFont="1" applyFill="1" applyBorder="1" applyAlignment="1">
      <alignment horizontal="center" vertical="center"/>
    </xf>
    <xf numFmtId="187" fontId="36" fillId="4" borderId="499" xfId="0" applyNumberFormat="1" applyFont="1" applyFill="1" applyBorder="1" applyAlignment="1">
      <alignment horizontal="center" vertical="center"/>
    </xf>
    <xf numFmtId="189" fontId="36" fillId="5" borderId="701" xfId="0" applyNumberFormat="1" applyFont="1" applyFill="1" applyBorder="1" applyAlignment="1">
      <alignment horizontal="center" vertical="center"/>
    </xf>
    <xf numFmtId="0" fontId="54" fillId="0" borderId="0" xfId="0" applyFont="1">
      <alignment vertical="center"/>
    </xf>
    <xf numFmtId="0" fontId="55" fillId="0" borderId="0" xfId="0" applyFont="1" applyFill="1" applyBorder="1">
      <alignment vertical="center"/>
    </xf>
    <xf numFmtId="0" fontId="51" fillId="20" borderId="0" xfId="0" applyFont="1" applyFill="1" applyBorder="1">
      <alignment vertical="center"/>
    </xf>
    <xf numFmtId="0" fontId="36" fillId="5" borderId="0" xfId="0" applyFont="1" applyFill="1" applyBorder="1" applyAlignment="1">
      <alignment horizontal="center" vertical="top"/>
    </xf>
    <xf numFmtId="0" fontId="51" fillId="0" borderId="0" xfId="0" applyFont="1" applyBorder="1" applyAlignment="1">
      <alignment horizontal="left" vertical="center" indent="1"/>
    </xf>
    <xf numFmtId="0" fontId="51" fillId="5" borderId="0" xfId="0" applyFont="1" applyFill="1" applyBorder="1">
      <alignment vertical="center"/>
    </xf>
    <xf numFmtId="0" fontId="55" fillId="5" borderId="0" xfId="0" applyFont="1" applyFill="1" applyBorder="1">
      <alignment vertical="center"/>
    </xf>
    <xf numFmtId="0" fontId="55" fillId="5" borderId="35" xfId="0" applyFont="1" applyFill="1" applyBorder="1" applyAlignment="1">
      <alignment horizontal="center" vertical="top"/>
    </xf>
    <xf numFmtId="0" fontId="56" fillId="0" borderId="0" xfId="0" applyFont="1" applyBorder="1" applyAlignment="1">
      <alignment horizontal="left" vertical="center" indent="1"/>
    </xf>
    <xf numFmtId="0" fontId="55" fillId="0" borderId="0" xfId="0" applyFont="1" applyBorder="1">
      <alignment vertical="center"/>
    </xf>
    <xf numFmtId="0" fontId="57" fillId="8" borderId="66" xfId="0" applyFont="1" applyFill="1" applyBorder="1">
      <alignment vertical="center"/>
    </xf>
    <xf numFmtId="0" fontId="55" fillId="8" borderId="66" xfId="0" applyFont="1" applyFill="1" applyBorder="1">
      <alignment vertical="center"/>
    </xf>
    <xf numFmtId="0" fontId="43" fillId="6" borderId="704" xfId="0" applyFont="1" applyFill="1" applyBorder="1" applyAlignment="1">
      <alignment vertical="center" wrapText="1"/>
    </xf>
    <xf numFmtId="0" fontId="55" fillId="8" borderId="0" xfId="0" applyFont="1" applyFill="1" applyBorder="1">
      <alignment vertical="center"/>
    </xf>
    <xf numFmtId="189" fontId="36" fillId="8" borderId="0" xfId="0" applyNumberFormat="1" applyFont="1" applyFill="1" applyBorder="1" applyAlignment="1">
      <alignment horizontal="center" vertical="center"/>
    </xf>
    <xf numFmtId="243" fontId="36" fillId="8" borderId="2" xfId="2" applyNumberFormat="1" applyFont="1" applyFill="1" applyBorder="1" applyAlignment="1">
      <alignment horizontal="center" vertical="center"/>
    </xf>
    <xf numFmtId="187" fontId="36" fillId="8" borderId="0" xfId="0" applyNumberFormat="1" applyFont="1" applyFill="1" applyBorder="1" applyAlignment="1">
      <alignment horizontal="center" vertical="center"/>
    </xf>
    <xf numFmtId="189" fontId="36" fillId="8" borderId="698" xfId="0" applyNumberFormat="1" applyFont="1" applyFill="1" applyBorder="1" applyAlignment="1">
      <alignment horizontal="center" vertical="center"/>
    </xf>
    <xf numFmtId="0" fontId="36" fillId="6" borderId="705" xfId="0" applyFont="1" applyFill="1" applyBorder="1">
      <alignment vertical="center"/>
    </xf>
    <xf numFmtId="0" fontId="55" fillId="5" borderId="706" xfId="0" applyFont="1" applyFill="1" applyBorder="1">
      <alignment vertical="center"/>
    </xf>
    <xf numFmtId="0" fontId="55" fillId="8" borderId="706" xfId="0" applyFont="1" applyFill="1" applyBorder="1">
      <alignment vertical="center"/>
    </xf>
    <xf numFmtId="189" fontId="36" fillId="8" borderId="706" xfId="0" applyNumberFormat="1" applyFont="1" applyFill="1" applyBorder="1" applyAlignment="1">
      <alignment horizontal="center" vertical="center"/>
    </xf>
    <xf numFmtId="243" fontId="36" fillId="8" borderId="708" xfId="2" applyNumberFormat="1" applyFont="1" applyFill="1" applyBorder="1" applyAlignment="1">
      <alignment horizontal="center" vertical="center"/>
    </xf>
    <xf numFmtId="187" fontId="36" fillId="8" borderId="706" xfId="0" applyNumberFormat="1" applyFont="1" applyFill="1" applyBorder="1" applyAlignment="1">
      <alignment horizontal="center" vertical="center"/>
    </xf>
    <xf numFmtId="189" fontId="36" fillId="8" borderId="710" xfId="0" applyNumberFormat="1" applyFont="1" applyFill="1" applyBorder="1" applyAlignment="1">
      <alignment horizontal="center" vertical="center"/>
    </xf>
    <xf numFmtId="202" fontId="36" fillId="0" borderId="363" xfId="0" applyNumberFormat="1" applyFont="1" applyBorder="1" applyAlignment="1">
      <alignment horizontal="center" vertical="center"/>
    </xf>
    <xf numFmtId="0" fontId="55" fillId="0" borderId="0" xfId="0" applyFont="1">
      <alignment vertical="center"/>
    </xf>
    <xf numFmtId="0" fontId="36" fillId="0" borderId="437" xfId="0" applyFont="1" applyBorder="1" applyAlignment="1">
      <alignment horizontal="center" vertical="center"/>
    </xf>
    <xf numFmtId="204" fontId="36" fillId="0" borderId="0" xfId="2" applyNumberFormat="1" applyFont="1" applyBorder="1" applyAlignment="1">
      <alignment horizontal="right" vertical="center"/>
    </xf>
    <xf numFmtId="187" fontId="36" fillId="0" borderId="0" xfId="0" applyNumberFormat="1" applyFont="1" applyAlignment="1">
      <alignment horizontal="right" vertical="center"/>
    </xf>
    <xf numFmtId="0" fontId="43" fillId="14" borderId="696" xfId="0" applyFont="1" applyFill="1" applyBorder="1">
      <alignment vertical="center"/>
    </xf>
    <xf numFmtId="0" fontId="57" fillId="14" borderId="661" xfId="0" applyFont="1" applyFill="1" applyBorder="1">
      <alignment vertical="center"/>
    </xf>
    <xf numFmtId="0" fontId="55" fillId="14" borderId="661" xfId="0" applyFont="1" applyFill="1" applyBorder="1">
      <alignment vertical="center"/>
    </xf>
    <xf numFmtId="189" fontId="36" fillId="14" borderId="661" xfId="0" applyNumberFormat="1" applyFont="1" applyFill="1" applyBorder="1" applyAlignment="1">
      <alignment horizontal="center" vertical="center"/>
    </xf>
    <xf numFmtId="243" fontId="36" fillId="14" borderId="711" xfId="2" applyNumberFormat="1" applyFont="1" applyFill="1" applyBorder="1" applyAlignment="1">
      <alignment horizontal="center" vertical="center"/>
    </xf>
    <xf numFmtId="187" fontId="36" fillId="14" borderId="661" xfId="3" applyNumberFormat="1" applyFont="1" applyFill="1" applyBorder="1" applyAlignment="1">
      <alignment horizontal="center" vertical="center"/>
    </xf>
    <xf numFmtId="189" fontId="36" fillId="14" borderId="664" xfId="0" applyNumberFormat="1" applyFont="1" applyFill="1" applyBorder="1" applyAlignment="1">
      <alignment horizontal="center" vertical="center"/>
    </xf>
    <xf numFmtId="0" fontId="36" fillId="14" borderId="712" xfId="0" applyFont="1" applyFill="1" applyBorder="1">
      <alignment vertical="center"/>
    </xf>
    <xf numFmtId="0" fontId="57" fillId="5" borderId="0" xfId="0" applyFont="1" applyFill="1" applyBorder="1">
      <alignment vertical="center"/>
    </xf>
    <xf numFmtId="187" fontId="36" fillId="5" borderId="0" xfId="3" applyNumberFormat="1" applyFont="1" applyFill="1" applyBorder="1" applyAlignment="1">
      <alignment horizontal="center" vertical="center"/>
    </xf>
    <xf numFmtId="189" fontId="36" fillId="5" borderId="713" xfId="0" applyNumberFormat="1" applyFont="1" applyFill="1" applyBorder="1" applyAlignment="1">
      <alignment horizontal="center" vertical="center"/>
    </xf>
    <xf numFmtId="0" fontId="56" fillId="5" borderId="0" xfId="0" applyFont="1" applyFill="1" applyBorder="1">
      <alignment vertical="center"/>
    </xf>
    <xf numFmtId="0" fontId="51" fillId="5" borderId="1107" xfId="0" applyFont="1" applyFill="1" applyBorder="1">
      <alignment vertical="center"/>
    </xf>
    <xf numFmtId="189" fontId="36" fillId="5" borderId="1107" xfId="0" applyNumberFormat="1" applyFont="1" applyFill="1" applyBorder="1" applyAlignment="1">
      <alignment horizontal="center" vertical="center"/>
    </xf>
    <xf numFmtId="243" fontId="36" fillId="5" borderId="1109" xfId="2" applyNumberFormat="1" applyFont="1" applyFill="1" applyBorder="1" applyAlignment="1">
      <alignment horizontal="center" vertical="center"/>
    </xf>
    <xf numFmtId="187" fontId="36" fillId="5" borderId="1107" xfId="3" applyNumberFormat="1" applyFont="1" applyFill="1" applyBorder="1" applyAlignment="1">
      <alignment horizontal="center" vertical="center"/>
    </xf>
    <xf numFmtId="189" fontId="36" fillId="5" borderId="1106" xfId="0" applyNumberFormat="1" applyFont="1" applyFill="1" applyBorder="1" applyAlignment="1">
      <alignment horizontal="center" vertical="center"/>
    </xf>
    <xf numFmtId="0" fontId="56" fillId="5" borderId="501" xfId="0" applyFont="1" applyFill="1" applyBorder="1">
      <alignment vertical="center"/>
    </xf>
    <xf numFmtId="0" fontId="58" fillId="5" borderId="501" xfId="0" applyFont="1" applyFill="1" applyBorder="1" applyAlignment="1">
      <alignment horizontal="left" vertical="center"/>
    </xf>
    <xf numFmtId="189" fontId="47" fillId="5" borderId="501" xfId="0" applyNumberFormat="1" applyFont="1" applyFill="1" applyBorder="1" applyAlignment="1">
      <alignment horizontal="center" vertical="center"/>
    </xf>
    <xf numFmtId="243" fontId="47" fillId="5" borderId="502" xfId="2" applyNumberFormat="1" applyFont="1" applyFill="1" applyBorder="1" applyAlignment="1">
      <alignment horizontal="center" vertical="center"/>
    </xf>
    <xf numFmtId="187" fontId="47" fillId="5" borderId="501" xfId="3" applyNumberFormat="1" applyFont="1" applyFill="1" applyBorder="1" applyAlignment="1">
      <alignment horizontal="center" vertical="center"/>
    </xf>
    <xf numFmtId="189" fontId="47" fillId="5" borderId="714" xfId="0" applyNumberFormat="1" applyFont="1" applyFill="1" applyBorder="1" applyAlignment="1">
      <alignment horizontal="center" vertical="center"/>
    </xf>
    <xf numFmtId="0" fontId="55" fillId="5" borderId="501" xfId="0" applyFont="1" applyFill="1" applyBorder="1">
      <alignment vertical="center"/>
    </xf>
    <xf numFmtId="189" fontId="36" fillId="5" borderId="501" xfId="0" applyNumberFormat="1" applyFont="1" applyFill="1" applyBorder="1" applyAlignment="1">
      <alignment horizontal="center" vertical="center"/>
    </xf>
    <xf numFmtId="243" fontId="36" fillId="5" borderId="502" xfId="2" applyNumberFormat="1" applyFont="1" applyFill="1" applyBorder="1" applyAlignment="1">
      <alignment horizontal="center" vertical="center"/>
    </xf>
    <xf numFmtId="187" fontId="36" fillId="5" borderId="501" xfId="3" applyNumberFormat="1" applyFont="1" applyFill="1" applyBorder="1" applyAlignment="1">
      <alignment horizontal="center" vertical="center"/>
    </xf>
    <xf numFmtId="189" fontId="36" fillId="5" borderId="714" xfId="0" applyNumberFormat="1" applyFont="1" applyFill="1" applyBorder="1" applyAlignment="1">
      <alignment horizontal="center" vertical="center"/>
    </xf>
    <xf numFmtId="0" fontId="57" fillId="5" borderId="503" xfId="0" applyFont="1" applyFill="1" applyBorder="1">
      <alignment vertical="center"/>
    </xf>
    <xf numFmtId="0" fontId="55" fillId="5" borderId="503" xfId="0" applyFont="1" applyFill="1" applyBorder="1">
      <alignment vertical="center"/>
    </xf>
    <xf numFmtId="189" fontId="36" fillId="5" borderId="503" xfId="0" applyNumberFormat="1" applyFont="1" applyFill="1" applyBorder="1" applyAlignment="1">
      <alignment horizontal="center" vertical="center"/>
    </xf>
    <xf numFmtId="243" fontId="36" fillId="5" borderId="504" xfId="2" applyNumberFormat="1" applyFont="1" applyFill="1" applyBorder="1" applyAlignment="1">
      <alignment horizontal="center" vertical="center"/>
    </xf>
    <xf numFmtId="187" fontId="36" fillId="5" borderId="503" xfId="3" applyNumberFormat="1" applyFont="1" applyFill="1" applyBorder="1" applyAlignment="1">
      <alignment horizontal="center" vertical="center"/>
    </xf>
    <xf numFmtId="189" fontId="36" fillId="5" borderId="715" xfId="0" applyNumberFormat="1" applyFont="1" applyFill="1" applyBorder="1" applyAlignment="1">
      <alignment horizontal="center" vertical="center"/>
    </xf>
    <xf numFmtId="0" fontId="36" fillId="14" borderId="716" xfId="0" applyFont="1" applyFill="1" applyBorder="1">
      <alignment vertical="center"/>
    </xf>
    <xf numFmtId="0" fontId="55" fillId="5" borderId="717" xfId="0" applyFont="1" applyFill="1" applyBorder="1">
      <alignment vertical="center"/>
    </xf>
    <xf numFmtId="189" fontId="36" fillId="5" borderId="717" xfId="0" applyNumberFormat="1" applyFont="1" applyFill="1" applyBorder="1" applyAlignment="1">
      <alignment horizontal="center" vertical="center"/>
    </xf>
    <xf numFmtId="243" fontId="36" fillId="5" borderId="718" xfId="2" applyNumberFormat="1" applyFont="1" applyFill="1" applyBorder="1" applyAlignment="1">
      <alignment horizontal="center" vertical="center"/>
    </xf>
    <xf numFmtId="187" fontId="36" fillId="5" borderId="717" xfId="3" applyNumberFormat="1" applyFont="1" applyFill="1" applyBorder="1" applyAlignment="1">
      <alignment horizontal="center" vertical="center"/>
    </xf>
    <xf numFmtId="189" fontId="36" fillId="5" borderId="719" xfId="0" applyNumberFormat="1" applyFont="1" applyFill="1" applyBorder="1" applyAlignment="1">
      <alignment horizontal="center" vertical="center"/>
    </xf>
    <xf numFmtId="204" fontId="36" fillId="0" borderId="0" xfId="2" applyNumberFormat="1" applyFont="1" applyBorder="1" applyAlignment="1">
      <alignment horizontal="center" vertical="center"/>
    </xf>
    <xf numFmtId="243" fontId="36" fillId="0" borderId="0" xfId="2" applyNumberFormat="1" applyFont="1" applyBorder="1" applyAlignment="1">
      <alignment horizontal="center" vertical="center"/>
    </xf>
    <xf numFmtId="0" fontId="43" fillId="7" borderId="720" xfId="0" applyFont="1" applyFill="1" applyBorder="1">
      <alignment vertical="center"/>
    </xf>
    <xf numFmtId="0" fontId="57" fillId="7" borderId="721" xfId="0" applyFont="1" applyFill="1" applyBorder="1">
      <alignment vertical="center"/>
    </xf>
    <xf numFmtId="0" fontId="55" fillId="7" borderId="721" xfId="0" applyFont="1" applyFill="1" applyBorder="1">
      <alignment vertical="center"/>
    </xf>
    <xf numFmtId="189" fontId="36" fillId="7" borderId="721" xfId="0" applyNumberFormat="1" applyFont="1" applyFill="1" applyBorder="1" applyAlignment="1">
      <alignment horizontal="center" vertical="center"/>
    </xf>
    <xf numFmtId="243" fontId="36" fillId="7" borderId="722" xfId="2" applyNumberFormat="1" applyFont="1" applyFill="1" applyBorder="1" applyAlignment="1">
      <alignment horizontal="center" vertical="center"/>
    </xf>
    <xf numFmtId="187" fontId="36" fillId="7" borderId="721" xfId="3" applyNumberFormat="1" applyFont="1" applyFill="1" applyBorder="1" applyAlignment="1">
      <alignment horizontal="center" vertical="center"/>
    </xf>
    <xf numFmtId="189" fontId="36" fillId="7" borderId="723" xfId="0" applyNumberFormat="1" applyFont="1" applyFill="1" applyBorder="1" applyAlignment="1">
      <alignment horizontal="center" vertical="center"/>
    </xf>
    <xf numFmtId="202" fontId="36" fillId="0" borderId="17" xfId="0" applyNumberFormat="1" applyFont="1" applyBorder="1" applyAlignment="1">
      <alignment horizontal="center" vertical="center"/>
    </xf>
    <xf numFmtId="202" fontId="46" fillId="0" borderId="17" xfId="0" applyNumberFormat="1" applyFont="1" applyBorder="1" applyAlignment="1">
      <alignment horizontal="center" vertical="center"/>
    </xf>
    <xf numFmtId="189" fontId="36" fillId="7" borderId="17" xfId="0" applyNumberFormat="1" applyFont="1" applyFill="1" applyBorder="1" applyAlignment="1">
      <alignment horizontal="right" vertical="center"/>
    </xf>
    <xf numFmtId="0" fontId="36" fillId="7" borderId="724" xfId="0" applyFont="1" applyFill="1" applyBorder="1">
      <alignment vertical="center"/>
    </xf>
    <xf numFmtId="0" fontId="57" fillId="0" borderId="0" xfId="0" applyFont="1" applyBorder="1">
      <alignment vertical="center"/>
    </xf>
    <xf numFmtId="208" fontId="36" fillId="0" borderId="437" xfId="2" applyNumberFormat="1" applyFont="1" applyBorder="1" applyAlignment="1">
      <alignment horizontal="right" vertical="center"/>
    </xf>
    <xf numFmtId="208" fontId="36" fillId="0" borderId="0" xfId="2" applyNumberFormat="1" applyFont="1" applyBorder="1" applyAlignment="1">
      <alignment horizontal="right" vertical="center"/>
    </xf>
    <xf numFmtId="187" fontId="36" fillId="29" borderId="0" xfId="3" applyNumberFormat="1" applyFont="1" applyFill="1" applyBorder="1" applyAlignment="1">
      <alignment horizontal="right" vertical="center"/>
    </xf>
    <xf numFmtId="186" fontId="36" fillId="29" borderId="0" xfId="0" applyNumberFormat="1" applyFont="1" applyFill="1" applyBorder="1" applyAlignment="1">
      <alignment horizontal="center" vertical="center"/>
    </xf>
    <xf numFmtId="187" fontId="36" fillId="29" borderId="0" xfId="3" applyNumberFormat="1" applyFont="1" applyFill="1" applyBorder="1" applyAlignment="1">
      <alignment horizontal="center" vertical="center"/>
    </xf>
    <xf numFmtId="189" fontId="36" fillId="0" borderId="725" xfId="0" applyNumberFormat="1" applyFont="1" applyBorder="1" applyAlignment="1">
      <alignment horizontal="center" vertical="center"/>
    </xf>
    <xf numFmtId="0" fontId="57" fillId="0" borderId="0" xfId="0" applyFont="1" applyFill="1" applyBorder="1">
      <alignment vertical="center"/>
    </xf>
    <xf numFmtId="243" fontId="36" fillId="0" borderId="2" xfId="2" applyNumberFormat="1" applyFont="1" applyFill="1" applyBorder="1" applyAlignment="1">
      <alignment horizontal="center" vertical="center"/>
    </xf>
    <xf numFmtId="186" fontId="36" fillId="0" borderId="0" xfId="0" applyNumberFormat="1" applyFont="1" applyFill="1" applyBorder="1" applyAlignment="1">
      <alignment horizontal="center" vertical="center"/>
    </xf>
    <xf numFmtId="187" fontId="36" fillId="0" borderId="0" xfId="3" applyNumberFormat="1" applyFont="1" applyFill="1" applyBorder="1" applyAlignment="1">
      <alignment horizontal="center" vertical="center"/>
    </xf>
    <xf numFmtId="189" fontId="36" fillId="0" borderId="725" xfId="0" applyNumberFormat="1" applyFont="1" applyFill="1" applyBorder="1" applyAlignment="1">
      <alignment horizontal="center" vertical="center"/>
    </xf>
    <xf numFmtId="0" fontId="60" fillId="0" borderId="0" xfId="0" applyFont="1" applyBorder="1" applyAlignment="1">
      <alignment horizontal="left" vertical="center" indent="1"/>
    </xf>
    <xf numFmtId="187" fontId="47" fillId="29" borderId="0" xfId="3" applyNumberFormat="1" applyFont="1" applyFill="1" applyBorder="1" applyAlignment="1">
      <alignment horizontal="right" vertical="center"/>
    </xf>
    <xf numFmtId="243" fontId="47" fillId="29" borderId="2" xfId="2" applyNumberFormat="1" applyFont="1" applyFill="1" applyBorder="1" applyAlignment="1">
      <alignment horizontal="center" vertical="center"/>
    </xf>
    <xf numFmtId="186" fontId="47" fillId="29" borderId="0" xfId="0" applyNumberFormat="1" applyFont="1" applyFill="1" applyBorder="1" applyAlignment="1">
      <alignment horizontal="center" vertical="center"/>
    </xf>
    <xf numFmtId="187" fontId="47" fillId="29" borderId="0" xfId="3" applyNumberFormat="1" applyFont="1" applyFill="1" applyBorder="1" applyAlignment="1">
      <alignment horizontal="center" vertical="center"/>
    </xf>
    <xf numFmtId="189" fontId="47" fillId="29" borderId="725" xfId="0" applyNumberFormat="1" applyFont="1" applyFill="1" applyBorder="1" applyAlignment="1">
      <alignment horizontal="center" vertical="center"/>
    </xf>
    <xf numFmtId="0" fontId="36" fillId="7" borderId="726" xfId="0" applyFont="1" applyFill="1" applyBorder="1">
      <alignment vertical="center"/>
    </xf>
    <xf numFmtId="0" fontId="57" fillId="0" borderId="727" xfId="0" applyFont="1" applyBorder="1">
      <alignment vertical="center"/>
    </xf>
    <xf numFmtId="0" fontId="55" fillId="0" borderId="727" xfId="0" applyFont="1" applyBorder="1">
      <alignment vertical="center"/>
    </xf>
    <xf numFmtId="243" fontId="36" fillId="0" borderId="729" xfId="2" applyNumberFormat="1" applyFont="1" applyBorder="1" applyAlignment="1">
      <alignment horizontal="center" vertical="center"/>
    </xf>
    <xf numFmtId="186" fontId="36" fillId="29" borderId="727" xfId="0" applyNumberFormat="1" applyFont="1" applyFill="1" applyBorder="1" applyAlignment="1">
      <alignment horizontal="center" vertical="center"/>
    </xf>
    <xf numFmtId="187" fontId="36" fillId="29" borderId="727" xfId="3" applyNumberFormat="1" applyFont="1" applyFill="1" applyBorder="1" applyAlignment="1">
      <alignment horizontal="center" vertical="center"/>
    </xf>
    <xf numFmtId="189" fontId="36" fillId="0" borderId="731" xfId="0" applyNumberFormat="1" applyFont="1" applyBorder="1" applyAlignment="1">
      <alignment horizontal="center" vertical="center"/>
    </xf>
    <xf numFmtId="189" fontId="36" fillId="0" borderId="19" xfId="0" applyNumberFormat="1" applyFont="1" applyBorder="1" applyAlignment="1">
      <alignment horizontal="right" vertical="center"/>
    </xf>
    <xf numFmtId="186" fontId="36" fillId="0" borderId="0" xfId="0" applyNumberFormat="1" applyFont="1" applyAlignment="1">
      <alignment horizontal="center" vertical="center"/>
    </xf>
    <xf numFmtId="187" fontId="36" fillId="0" borderId="0" xfId="0" applyNumberFormat="1" applyFont="1" applyAlignment="1">
      <alignment horizontal="center" vertical="center"/>
    </xf>
    <xf numFmtId="189" fontId="36" fillId="0" borderId="32" xfId="0" applyNumberFormat="1" applyFont="1" applyBorder="1" applyAlignment="1">
      <alignment horizontal="right" vertical="center"/>
    </xf>
    <xf numFmtId="0" fontId="36" fillId="0" borderId="724" xfId="0" applyFont="1" applyBorder="1">
      <alignment vertical="center"/>
    </xf>
    <xf numFmtId="204" fontId="36" fillId="0" borderId="0" xfId="0" applyNumberFormat="1" applyFont="1" applyBorder="1">
      <alignment vertical="center"/>
    </xf>
    <xf numFmtId="0" fontId="36" fillId="3" borderId="0" xfId="0" applyFont="1" applyFill="1" applyBorder="1">
      <alignment vertical="center"/>
    </xf>
    <xf numFmtId="0" fontId="55" fillId="3" borderId="0" xfId="0" applyFont="1" applyFill="1" applyBorder="1">
      <alignment vertical="center"/>
    </xf>
    <xf numFmtId="210" fontId="36" fillId="3" borderId="437" xfId="0" applyNumberFormat="1" applyFont="1" applyFill="1" applyBorder="1" applyAlignment="1">
      <alignment horizontal="center" vertical="center"/>
    </xf>
    <xf numFmtId="208" fontId="36" fillId="3" borderId="0" xfId="2" applyNumberFormat="1" applyFont="1" applyFill="1" applyBorder="1" applyAlignment="1">
      <alignment horizontal="right" vertical="center"/>
    </xf>
    <xf numFmtId="187" fontId="36" fillId="29" borderId="38" xfId="3" applyNumberFormat="1" applyFont="1" applyFill="1" applyBorder="1" applyAlignment="1">
      <alignment horizontal="right" vertical="center"/>
    </xf>
    <xf numFmtId="189" fontId="36" fillId="3" borderId="44" xfId="0" applyNumberFormat="1" applyFont="1" applyFill="1" applyBorder="1" applyAlignment="1">
      <alignment horizontal="center" vertical="center"/>
    </xf>
    <xf numFmtId="243" fontId="36" fillId="3" borderId="2" xfId="2" applyNumberFormat="1" applyFont="1" applyFill="1" applyBorder="1" applyAlignment="1">
      <alignment horizontal="center" vertical="center"/>
    </xf>
    <xf numFmtId="186" fontId="36" fillId="29" borderId="173" xfId="0" applyNumberFormat="1" applyFont="1" applyFill="1" applyBorder="1" applyAlignment="1">
      <alignment horizontal="center" vertical="center"/>
    </xf>
    <xf numFmtId="189" fontId="36" fillId="3" borderId="725" xfId="0" applyNumberFormat="1" applyFont="1" applyFill="1" applyBorder="1" applyAlignment="1">
      <alignment horizontal="center" vertical="center"/>
    </xf>
    <xf numFmtId="189" fontId="36" fillId="3" borderId="0" xfId="0" applyNumberFormat="1" applyFont="1" applyFill="1" applyAlignment="1">
      <alignment horizontal="right" vertical="center"/>
    </xf>
    <xf numFmtId="208" fontId="36" fillId="0" borderId="564" xfId="2" applyNumberFormat="1" applyFont="1" applyBorder="1" applyAlignment="1">
      <alignment horizontal="right" vertical="center"/>
    </xf>
    <xf numFmtId="0" fontId="43" fillId="2" borderId="23" xfId="0" applyFont="1" applyFill="1" applyBorder="1">
      <alignment vertical="center"/>
    </xf>
    <xf numFmtId="0" fontId="36" fillId="2" borderId="23" xfId="0" applyFont="1" applyFill="1" applyBorder="1">
      <alignment vertical="center"/>
    </xf>
    <xf numFmtId="208" fontId="36" fillId="2" borderId="23" xfId="2" applyNumberFormat="1" applyFont="1" applyFill="1" applyBorder="1" applyAlignment="1">
      <alignment horizontal="right" vertical="center"/>
    </xf>
    <xf numFmtId="208" fontId="36" fillId="2" borderId="0" xfId="2" applyNumberFormat="1" applyFont="1" applyFill="1" applyBorder="1" applyAlignment="1">
      <alignment horizontal="right" vertical="center"/>
    </xf>
    <xf numFmtId="189" fontId="36" fillId="2" borderId="97" xfId="0" applyNumberFormat="1" applyFont="1" applyFill="1" applyBorder="1" applyAlignment="1">
      <alignment horizontal="center" vertical="center"/>
    </xf>
    <xf numFmtId="189" fontId="36" fillId="2" borderId="23" xfId="0" applyNumberFormat="1" applyFont="1" applyFill="1" applyBorder="1" applyAlignment="1">
      <alignment horizontal="right" vertical="center"/>
    </xf>
    <xf numFmtId="0" fontId="36" fillId="2" borderId="0" xfId="0" applyFont="1" applyFill="1" applyBorder="1">
      <alignment vertical="center"/>
    </xf>
    <xf numFmtId="0" fontId="55" fillId="2" borderId="0" xfId="0" applyFont="1" applyFill="1" applyBorder="1">
      <alignment vertical="center"/>
    </xf>
    <xf numFmtId="189" fontId="36" fillId="2" borderId="44" xfId="0" applyNumberFormat="1" applyFont="1" applyFill="1" applyBorder="1" applyAlignment="1">
      <alignment horizontal="center" vertical="center"/>
    </xf>
    <xf numFmtId="243" fontId="36" fillId="2" borderId="2" xfId="2" applyNumberFormat="1" applyFont="1" applyFill="1" applyBorder="1" applyAlignment="1">
      <alignment horizontal="center" vertical="center"/>
    </xf>
    <xf numFmtId="189" fontId="36" fillId="2" borderId="725" xfId="0" applyNumberFormat="1" applyFont="1" applyFill="1" applyBorder="1" applyAlignment="1">
      <alignment horizontal="center" vertical="center"/>
    </xf>
    <xf numFmtId="189" fontId="36" fillId="2" borderId="0" xfId="0" applyNumberFormat="1" applyFont="1" applyFill="1" applyAlignment="1">
      <alignment horizontal="right" vertical="center"/>
    </xf>
    <xf numFmtId="0" fontId="36" fillId="2" borderId="25" xfId="0" applyFont="1" applyFill="1" applyBorder="1">
      <alignment vertical="center"/>
    </xf>
    <xf numFmtId="208" fontId="36" fillId="2" borderId="25" xfId="2" applyNumberFormat="1" applyFont="1" applyFill="1" applyBorder="1" applyAlignment="1">
      <alignment horizontal="right" vertical="center"/>
    </xf>
    <xf numFmtId="189" fontId="36" fillId="2" borderId="25" xfId="0" applyNumberFormat="1" applyFont="1" applyFill="1" applyBorder="1" applyAlignment="1">
      <alignment horizontal="right" vertical="center"/>
    </xf>
    <xf numFmtId="0" fontId="43" fillId="7" borderId="0" xfId="0" applyFont="1" applyFill="1" applyBorder="1">
      <alignment vertical="center"/>
    </xf>
    <xf numFmtId="0" fontId="36" fillId="7" borderId="0" xfId="0" applyFont="1" applyFill="1" applyBorder="1">
      <alignment vertical="center"/>
    </xf>
    <xf numFmtId="208" fontId="36" fillId="7" borderId="0" xfId="2" applyNumberFormat="1" applyFont="1" applyFill="1" applyBorder="1" applyAlignment="1">
      <alignment horizontal="right" vertical="center"/>
    </xf>
    <xf numFmtId="243" fontId="36" fillId="7" borderId="2" xfId="2" applyNumberFormat="1" applyFont="1" applyFill="1" applyBorder="1" applyAlignment="1">
      <alignment horizontal="center" vertical="center"/>
    </xf>
    <xf numFmtId="189" fontId="36" fillId="7" borderId="725" xfId="0" applyNumberFormat="1" applyFont="1" applyFill="1" applyBorder="1" applyAlignment="1">
      <alignment horizontal="center" vertical="center"/>
    </xf>
    <xf numFmtId="189" fontId="36" fillId="7" borderId="0" xfId="0" applyNumberFormat="1" applyFont="1" applyFill="1" applyAlignment="1">
      <alignment horizontal="right" vertical="center"/>
    </xf>
    <xf numFmtId="189" fontId="36" fillId="0" borderId="34" xfId="0" applyNumberFormat="1" applyFont="1" applyBorder="1" applyAlignment="1">
      <alignment horizontal="right" vertical="center"/>
    </xf>
    <xf numFmtId="0" fontId="36" fillId="0" borderId="1124" xfId="0" applyFont="1" applyBorder="1">
      <alignment vertical="center"/>
    </xf>
    <xf numFmtId="186" fontId="36" fillId="29" borderId="1128" xfId="0" applyNumberFormat="1" applyFont="1" applyFill="1" applyBorder="1" applyAlignment="1">
      <alignment horizontal="center" vertical="center"/>
    </xf>
    <xf numFmtId="187" fontId="36" fillId="29" borderId="1125" xfId="3" applyNumberFormat="1" applyFont="1" applyFill="1" applyBorder="1" applyAlignment="1">
      <alignment horizontal="center" vertical="center"/>
    </xf>
    <xf numFmtId="0" fontId="36" fillId="0" borderId="431" xfId="0" applyFont="1" applyBorder="1">
      <alignment vertical="center"/>
    </xf>
    <xf numFmtId="0" fontId="43" fillId="2" borderId="0" xfId="0" applyFont="1" applyFill="1" applyBorder="1">
      <alignment vertical="center"/>
    </xf>
    <xf numFmtId="189" fontId="36" fillId="2" borderId="14" xfId="0" applyNumberFormat="1" applyFont="1" applyFill="1" applyBorder="1" applyAlignment="1">
      <alignment horizontal="right" vertical="center"/>
    </xf>
    <xf numFmtId="0" fontId="36" fillId="2" borderId="15" xfId="0" applyFont="1" applyFill="1" applyBorder="1">
      <alignment vertical="center"/>
    </xf>
    <xf numFmtId="208" fontId="36" fillId="2" borderId="15" xfId="2" applyNumberFormat="1" applyFont="1" applyFill="1" applyBorder="1" applyAlignment="1">
      <alignment horizontal="right" vertical="center"/>
    </xf>
    <xf numFmtId="208" fontId="36" fillId="2" borderId="431" xfId="2" applyNumberFormat="1" applyFont="1" applyFill="1" applyBorder="1" applyAlignment="1">
      <alignment horizontal="right" vertical="center"/>
    </xf>
    <xf numFmtId="189" fontId="36" fillId="2" borderId="15" xfId="0" applyNumberFormat="1" applyFont="1" applyFill="1" applyBorder="1" applyAlignment="1">
      <alignment horizontal="right" vertical="center"/>
    </xf>
    <xf numFmtId="0" fontId="43" fillId="0" borderId="1125" xfId="0" applyFont="1" applyBorder="1" applyAlignment="1">
      <alignment horizontal="left" vertical="center"/>
    </xf>
    <xf numFmtId="0" fontId="43" fillId="3" borderId="1125" xfId="0" applyFont="1" applyFill="1" applyBorder="1">
      <alignment vertical="center"/>
    </xf>
    <xf numFmtId="0" fontId="36" fillId="3" borderId="1125" xfId="0" applyFont="1" applyFill="1" applyBorder="1">
      <alignment vertical="center"/>
    </xf>
    <xf numFmtId="243" fontId="36" fillId="3" borderId="1127" xfId="2" applyNumberFormat="1" applyFont="1" applyFill="1" applyBorder="1" applyAlignment="1">
      <alignment horizontal="center" vertical="center"/>
    </xf>
    <xf numFmtId="186" fontId="36" fillId="3" borderId="1129" xfId="0" applyNumberFormat="1" applyFont="1" applyFill="1" applyBorder="1" applyAlignment="1">
      <alignment horizontal="center" vertical="center"/>
    </xf>
    <xf numFmtId="186" fontId="36" fillId="3" borderId="725" xfId="0" applyNumberFormat="1" applyFont="1" applyFill="1" applyBorder="1" applyAlignment="1">
      <alignment horizontal="center" vertical="center"/>
    </xf>
    <xf numFmtId="186" fontId="36" fillId="2" borderId="725" xfId="0" applyNumberFormat="1" applyFont="1" applyFill="1" applyBorder="1" applyAlignment="1">
      <alignment horizontal="center" vertical="center"/>
    </xf>
    <xf numFmtId="189" fontId="36" fillId="3" borderId="1129" xfId="0" applyNumberFormat="1" applyFont="1" applyFill="1" applyBorder="1" applyAlignment="1">
      <alignment horizontal="center" vertical="center"/>
    </xf>
    <xf numFmtId="0" fontId="36" fillId="0" borderId="726" xfId="0" applyFont="1" applyBorder="1">
      <alignment vertical="center"/>
    </xf>
    <xf numFmtId="0" fontId="36" fillId="0" borderId="727" xfId="0" applyFont="1" applyBorder="1">
      <alignment vertical="center"/>
    </xf>
    <xf numFmtId="186" fontId="36" fillId="29" borderId="732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223" fontId="36" fillId="5" borderId="0" xfId="0" applyNumberFormat="1" applyFont="1" applyFill="1">
      <alignment vertical="center"/>
    </xf>
    <xf numFmtId="0" fontId="36" fillId="5" borderId="0" xfId="0" applyFont="1" applyFill="1" applyAlignment="1">
      <alignment horizontal="center" vertical="center"/>
    </xf>
    <xf numFmtId="223" fontId="36" fillId="5" borderId="0" xfId="0" applyNumberFormat="1" applyFont="1" applyFill="1" applyAlignment="1">
      <alignment horizontal="center" vertical="center"/>
    </xf>
    <xf numFmtId="0" fontId="63" fillId="22" borderId="0" xfId="0" applyFont="1" applyFill="1" applyAlignment="1">
      <alignment horizontal="center" vertical="center"/>
    </xf>
    <xf numFmtId="0" fontId="64" fillId="5" borderId="0" xfId="0" applyFont="1" applyFill="1" applyAlignment="1">
      <alignment vertical="top"/>
    </xf>
    <xf numFmtId="0" fontId="37" fillId="6" borderId="0" xfId="0" applyFont="1" applyFill="1" applyBorder="1" applyAlignment="1">
      <alignment horizontal="center" vertical="center"/>
    </xf>
    <xf numFmtId="0" fontId="43" fillId="4" borderId="596" xfId="0" quotePrefix="1" applyFont="1" applyFill="1" applyBorder="1" applyAlignment="1">
      <alignment horizontal="center" vertical="center"/>
    </xf>
    <xf numFmtId="0" fontId="43" fillId="4" borderId="570" xfId="0" quotePrefix="1" applyFont="1" applyFill="1" applyBorder="1" applyAlignment="1">
      <alignment horizontal="center" vertical="center"/>
    </xf>
    <xf numFmtId="0" fontId="37" fillId="4" borderId="437" xfId="0" quotePrefix="1" applyFont="1" applyFill="1" applyBorder="1" applyAlignment="1">
      <alignment horizontal="center" vertical="center"/>
    </xf>
    <xf numFmtId="0" fontId="37" fillId="14" borderId="44" xfId="0" quotePrefix="1" applyFont="1" applyFill="1" applyBorder="1" applyAlignment="1">
      <alignment horizontal="center" vertical="center"/>
    </xf>
    <xf numFmtId="0" fontId="37" fillId="14" borderId="84" xfId="0" quotePrefix="1" applyFont="1" applyFill="1" applyBorder="1" applyAlignment="1">
      <alignment horizontal="center" vertical="center"/>
    </xf>
    <xf numFmtId="0" fontId="44" fillId="6" borderId="1" xfId="0" quotePrefix="1" applyFont="1" applyFill="1" applyBorder="1" applyAlignment="1">
      <alignment horizontal="center" vertical="center"/>
    </xf>
    <xf numFmtId="0" fontId="37" fillId="10" borderId="44" xfId="0" applyFont="1" applyFill="1" applyBorder="1" applyAlignment="1">
      <alignment horizontal="center" vertical="center"/>
    </xf>
    <xf numFmtId="0" fontId="37" fillId="10" borderId="45" xfId="0" applyFont="1" applyFill="1" applyBorder="1" applyAlignment="1">
      <alignment horizontal="center" vertical="center"/>
    </xf>
    <xf numFmtId="0" fontId="65" fillId="0" borderId="0" xfId="0" applyFont="1">
      <alignment vertical="center"/>
    </xf>
    <xf numFmtId="0" fontId="37" fillId="10" borderId="0" xfId="0" applyFont="1" applyFill="1" applyBorder="1" applyAlignment="1">
      <alignment horizontal="center" vertical="center"/>
    </xf>
    <xf numFmtId="0" fontId="43" fillId="11" borderId="4" xfId="0" applyFont="1" applyFill="1" applyBorder="1">
      <alignment vertical="center"/>
    </xf>
    <xf numFmtId="0" fontId="36" fillId="11" borderId="4" xfId="0" applyFont="1" applyFill="1" applyBorder="1">
      <alignment vertical="center"/>
    </xf>
    <xf numFmtId="201" fontId="36" fillId="11" borderId="9" xfId="0" applyNumberFormat="1" applyFont="1" applyFill="1" applyBorder="1" applyAlignment="1">
      <alignment horizontal="center" vertical="center"/>
    </xf>
    <xf numFmtId="201" fontId="36" fillId="11" borderId="591" xfId="0" applyNumberFormat="1" applyFont="1" applyFill="1" applyBorder="1" applyAlignment="1">
      <alignment horizontal="center" vertical="center"/>
    </xf>
    <xf numFmtId="201" fontId="36" fillId="11" borderId="4" xfId="0" applyNumberFormat="1" applyFont="1" applyFill="1" applyBorder="1" applyAlignment="1">
      <alignment horizontal="center" vertical="center"/>
    </xf>
    <xf numFmtId="189" fontId="36" fillId="11" borderId="43" xfId="0" applyNumberFormat="1" applyFont="1" applyFill="1" applyBorder="1" applyAlignment="1">
      <alignment horizontal="center" vertical="center"/>
    </xf>
    <xf numFmtId="189" fontId="36" fillId="11" borderId="85" xfId="0" applyNumberFormat="1" applyFont="1" applyFill="1" applyBorder="1" applyAlignment="1">
      <alignment horizontal="center" vertical="center"/>
    </xf>
    <xf numFmtId="201" fontId="36" fillId="11" borderId="5" xfId="0" applyNumberFormat="1" applyFont="1" applyFill="1" applyBorder="1" applyAlignment="1">
      <alignment horizontal="center" vertical="center"/>
    </xf>
    <xf numFmtId="189" fontId="36" fillId="11" borderId="4" xfId="0" applyNumberFormat="1" applyFont="1" applyFill="1" applyBorder="1" applyAlignment="1">
      <alignment horizontal="center" vertical="center"/>
    </xf>
    <xf numFmtId="189" fontId="36" fillId="11" borderId="209" xfId="0" applyNumberFormat="1" applyFont="1" applyFill="1" applyBorder="1" applyAlignment="1">
      <alignment horizontal="center" vertical="center"/>
    </xf>
    <xf numFmtId="0" fontId="36" fillId="11" borderId="0" xfId="0" applyFont="1" applyFill="1" applyBorder="1">
      <alignment vertical="center"/>
    </xf>
    <xf numFmtId="210" fontId="36" fillId="0" borderId="0" xfId="0" applyNumberFormat="1" applyFont="1">
      <alignment vertical="center"/>
    </xf>
    <xf numFmtId="0" fontId="47" fillId="11" borderId="0" xfId="0" applyFont="1" applyFill="1" applyBorder="1">
      <alignment vertical="center"/>
    </xf>
    <xf numFmtId="201" fontId="36" fillId="11" borderId="11" xfId="0" applyNumberFormat="1" applyFont="1" applyFill="1" applyBorder="1" applyAlignment="1">
      <alignment horizontal="center" vertical="center"/>
    </xf>
    <xf numFmtId="201" fontId="36" fillId="11" borderId="437" xfId="0" applyNumberFormat="1" applyFont="1" applyFill="1" applyBorder="1" applyAlignment="1">
      <alignment horizontal="center" vertical="center"/>
    </xf>
    <xf numFmtId="201" fontId="36" fillId="11" borderId="0" xfId="0" applyNumberFormat="1" applyFont="1" applyFill="1" applyBorder="1" applyAlignment="1">
      <alignment horizontal="center" vertical="center"/>
    </xf>
    <xf numFmtId="189" fontId="36" fillId="11" borderId="44" xfId="0" applyNumberFormat="1" applyFont="1" applyFill="1" applyBorder="1" applyAlignment="1">
      <alignment horizontal="center" vertical="center"/>
    </xf>
    <xf numFmtId="189" fontId="36" fillId="11" borderId="84" xfId="0" applyNumberFormat="1" applyFont="1" applyFill="1" applyBorder="1" applyAlignment="1">
      <alignment horizontal="center" vertical="center"/>
    </xf>
    <xf numFmtId="201" fontId="36" fillId="11" borderId="2" xfId="0" applyNumberFormat="1" applyFont="1" applyFill="1" applyBorder="1" applyAlignment="1">
      <alignment horizontal="center" vertical="center"/>
    </xf>
    <xf numFmtId="189" fontId="36" fillId="11" borderId="0" xfId="0" applyNumberFormat="1" applyFont="1" applyFill="1" applyBorder="1" applyAlignment="1">
      <alignment horizontal="center" vertical="center"/>
    </xf>
    <xf numFmtId="201" fontId="36" fillId="11" borderId="44" xfId="0" applyNumberFormat="1" applyFont="1" applyFill="1" applyBorder="1" applyAlignment="1">
      <alignment horizontal="center" vertical="center"/>
    </xf>
    <xf numFmtId="189" fontId="36" fillId="11" borderId="210" xfId="0" applyNumberFormat="1" applyFont="1" applyFill="1" applyBorder="1" applyAlignment="1">
      <alignment horizontal="center" vertical="center"/>
    </xf>
    <xf numFmtId="201" fontId="36" fillId="0" borderId="11" xfId="0" applyNumberFormat="1" applyFont="1" applyBorder="1" applyAlignment="1">
      <alignment horizontal="center" vertical="center"/>
    </xf>
    <xf numFmtId="201" fontId="36" fillId="0" borderId="437" xfId="0" applyNumberFormat="1" applyFont="1" applyBorder="1" applyAlignment="1">
      <alignment horizontal="center" vertical="center"/>
    </xf>
    <xf numFmtId="201" fontId="36" fillId="0" borderId="0" xfId="0" applyNumberFormat="1" applyFont="1" applyBorder="1" applyAlignment="1">
      <alignment horizontal="center" vertical="center"/>
    </xf>
    <xf numFmtId="189" fontId="36" fillId="0" borderId="84" xfId="0" applyNumberFormat="1" applyFont="1" applyBorder="1" applyAlignment="1">
      <alignment horizontal="center" vertical="center"/>
    </xf>
    <xf numFmtId="201" fontId="36" fillId="0" borderId="2" xfId="0" applyNumberFormat="1" applyFont="1" applyBorder="1" applyAlignment="1">
      <alignment horizontal="center" vertical="center"/>
    </xf>
    <xf numFmtId="201" fontId="36" fillId="0" borderId="44" xfId="0" applyNumberFormat="1" applyFont="1" applyBorder="1" applyAlignment="1">
      <alignment horizontal="center" vertical="center"/>
    </xf>
    <xf numFmtId="189" fontId="36" fillId="0" borderId="210" xfId="0" applyNumberFormat="1" applyFont="1" applyBorder="1" applyAlignment="1">
      <alignment horizontal="center" vertical="center"/>
    </xf>
    <xf numFmtId="0" fontId="36" fillId="0" borderId="0" xfId="0" applyFont="1" applyFill="1" applyBorder="1">
      <alignment vertical="center"/>
    </xf>
    <xf numFmtId="0" fontId="36" fillId="0" borderId="6" xfId="0" applyFont="1" applyBorder="1">
      <alignment vertical="center"/>
    </xf>
    <xf numFmtId="0" fontId="36" fillId="0" borderId="6" xfId="0" applyFont="1" applyFill="1" applyBorder="1">
      <alignment vertical="center"/>
    </xf>
    <xf numFmtId="201" fontId="36" fillId="0" borderId="46" xfId="0" applyNumberFormat="1" applyFont="1" applyBorder="1" applyAlignment="1">
      <alignment horizontal="center" vertical="center"/>
    </xf>
    <xf numFmtId="201" fontId="36" fillId="0" borderId="459" xfId="0" applyNumberFormat="1" applyFont="1" applyBorder="1" applyAlignment="1">
      <alignment horizontal="center" vertical="center"/>
    </xf>
    <xf numFmtId="201" fontId="36" fillId="0" borderId="6" xfId="0" applyNumberFormat="1" applyFont="1" applyBorder="1" applyAlignment="1">
      <alignment horizontal="center" vertical="center"/>
    </xf>
    <xf numFmtId="189" fontId="36" fillId="0" borderId="41" xfId="0" applyNumberFormat="1" applyFont="1" applyBorder="1" applyAlignment="1">
      <alignment horizontal="center" vertical="center"/>
    </xf>
    <xf numFmtId="189" fontId="36" fillId="0" borderId="88" xfId="0" applyNumberFormat="1" applyFont="1" applyBorder="1" applyAlignment="1">
      <alignment horizontal="center" vertical="center"/>
    </xf>
    <xf numFmtId="201" fontId="36" fillId="0" borderId="47" xfId="0" applyNumberFormat="1" applyFont="1" applyBorder="1" applyAlignment="1">
      <alignment horizontal="center" vertical="center"/>
    </xf>
    <xf numFmtId="189" fontId="36" fillId="0" borderId="6" xfId="0" applyNumberFormat="1" applyFont="1" applyBorder="1" applyAlignment="1">
      <alignment horizontal="center" vertical="center"/>
    </xf>
    <xf numFmtId="201" fontId="36" fillId="0" borderId="41" xfId="0" applyNumberFormat="1" applyFont="1" applyBorder="1" applyAlignment="1">
      <alignment horizontal="center" vertical="center"/>
    </xf>
    <xf numFmtId="189" fontId="36" fillId="0" borderId="215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6" fillId="11" borderId="591" xfId="0" applyFont="1" applyFill="1" applyBorder="1" applyAlignment="1">
      <alignment horizontal="center" vertical="center"/>
    </xf>
    <xf numFmtId="0" fontId="36" fillId="11" borderId="4" xfId="0" applyFont="1" applyFill="1" applyBorder="1" applyAlignment="1">
      <alignment horizontal="center" vertical="center"/>
    </xf>
    <xf numFmtId="193" fontId="36" fillId="11" borderId="409" xfId="0" applyNumberFormat="1" applyFont="1" applyFill="1" applyBorder="1" applyAlignment="1">
      <alignment horizontal="center" vertical="center"/>
    </xf>
    <xf numFmtId="193" fontId="36" fillId="11" borderId="85" xfId="0" applyNumberFormat="1" applyFont="1" applyFill="1" applyBorder="1" applyAlignment="1">
      <alignment horizontal="center" vertical="center"/>
    </xf>
    <xf numFmtId="193" fontId="36" fillId="11" borderId="4" xfId="0" applyNumberFormat="1" applyFont="1" applyFill="1" applyBorder="1" applyAlignment="1">
      <alignment horizontal="center" vertical="center"/>
    </xf>
    <xf numFmtId="193" fontId="36" fillId="11" borderId="43" xfId="0" applyNumberFormat="1" applyFont="1" applyFill="1" applyBorder="1" applyAlignment="1">
      <alignment horizontal="center" vertical="center"/>
    </xf>
    <xf numFmtId="41" fontId="36" fillId="0" borderId="0" xfId="2" applyFont="1">
      <alignment vertical="center"/>
    </xf>
    <xf numFmtId="0" fontId="36" fillId="11" borderId="437" xfId="0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 vertical="center"/>
    </xf>
    <xf numFmtId="186" fontId="36" fillId="11" borderId="44" xfId="0" applyNumberFormat="1" applyFont="1" applyFill="1" applyBorder="1" applyAlignment="1">
      <alignment horizontal="center" vertical="center"/>
    </xf>
    <xf numFmtId="186" fontId="36" fillId="11" borderId="84" xfId="0" applyNumberFormat="1" applyFont="1" applyFill="1" applyBorder="1" applyAlignment="1">
      <alignment horizontal="center" vertical="center"/>
    </xf>
    <xf numFmtId="3" fontId="36" fillId="11" borderId="2" xfId="0" applyNumberFormat="1" applyFont="1" applyFill="1" applyBorder="1" applyAlignment="1">
      <alignment horizontal="center" vertical="center"/>
    </xf>
    <xf numFmtId="186" fontId="36" fillId="11" borderId="0" xfId="0" applyNumberFormat="1" applyFont="1" applyFill="1" applyBorder="1" applyAlignment="1">
      <alignment horizontal="center" vertical="center"/>
    </xf>
    <xf numFmtId="186" fontId="36" fillId="11" borderId="210" xfId="0" applyNumberFormat="1" applyFont="1" applyFill="1" applyBorder="1" applyAlignment="1">
      <alignment horizontal="center" vertical="center"/>
    </xf>
    <xf numFmtId="0" fontId="36" fillId="0" borderId="275" xfId="0" applyFont="1" applyFill="1" applyBorder="1">
      <alignment vertical="center"/>
    </xf>
    <xf numFmtId="186" fontId="36" fillId="0" borderId="44" xfId="0" applyNumberFormat="1" applyFont="1" applyBorder="1" applyAlignment="1">
      <alignment horizontal="center" vertical="center"/>
    </xf>
    <xf numFmtId="186" fontId="36" fillId="0" borderId="84" xfId="0" applyNumberFormat="1" applyFont="1" applyBorder="1" applyAlignment="1">
      <alignment horizontal="center" vertical="center"/>
    </xf>
    <xf numFmtId="3" fontId="36" fillId="0" borderId="2" xfId="0" applyNumberFormat="1" applyFont="1" applyBorder="1" applyAlignment="1">
      <alignment horizontal="center" vertical="center"/>
    </xf>
    <xf numFmtId="186" fontId="36" fillId="0" borderId="0" xfId="0" applyNumberFormat="1" applyFont="1" applyBorder="1" applyAlignment="1">
      <alignment horizontal="center" vertical="center"/>
    </xf>
    <xf numFmtId="186" fontId="36" fillId="0" borderId="210" xfId="0" applyNumberFormat="1" applyFont="1" applyBorder="1" applyAlignment="1">
      <alignment horizontal="center" vertical="center"/>
    </xf>
    <xf numFmtId="0" fontId="36" fillId="0" borderId="335" xfId="0" applyFont="1" applyFill="1" applyBorder="1">
      <alignment vertical="center"/>
    </xf>
    <xf numFmtId="0" fontId="36" fillId="0" borderId="1045" xfId="0" applyFont="1" applyBorder="1" applyAlignment="1">
      <alignment horizontal="center" vertical="center"/>
    </xf>
    <xf numFmtId="0" fontId="36" fillId="0" borderId="335" xfId="0" applyFont="1" applyBorder="1" applyAlignment="1">
      <alignment horizontal="center" vertical="center"/>
    </xf>
    <xf numFmtId="186" fontId="36" fillId="0" borderId="338" xfId="0" applyNumberFormat="1" applyFont="1" applyBorder="1" applyAlignment="1">
      <alignment horizontal="center" vertical="center"/>
    </xf>
    <xf numFmtId="186" fontId="36" fillId="0" borderId="339" xfId="0" applyNumberFormat="1" applyFont="1" applyBorder="1" applyAlignment="1">
      <alignment horizontal="center" vertical="center"/>
    </xf>
    <xf numFmtId="3" fontId="36" fillId="0" borderId="337" xfId="0" applyNumberFormat="1" applyFont="1" applyBorder="1" applyAlignment="1">
      <alignment horizontal="center" vertical="center"/>
    </xf>
    <xf numFmtId="186" fontId="36" fillId="0" borderId="335" xfId="0" applyNumberFormat="1" applyFont="1" applyBorder="1" applyAlignment="1">
      <alignment horizontal="center" vertical="center"/>
    </xf>
    <xf numFmtId="186" fontId="36" fillId="0" borderId="678" xfId="0" applyNumberFormat="1" applyFont="1" applyBorder="1" applyAlignment="1">
      <alignment horizontal="center" vertical="center"/>
    </xf>
    <xf numFmtId="0" fontId="36" fillId="0" borderId="341" xfId="0" applyFont="1" applyFill="1" applyBorder="1">
      <alignment vertical="center"/>
    </xf>
    <xf numFmtId="0" fontId="36" fillId="0" borderId="1046" xfId="0" applyFont="1" applyBorder="1" applyAlignment="1">
      <alignment horizontal="center" vertical="center"/>
    </xf>
    <xf numFmtId="0" fontId="36" fillId="0" borderId="341" xfId="0" applyFont="1" applyBorder="1" applyAlignment="1">
      <alignment horizontal="center" vertical="center"/>
    </xf>
    <xf numFmtId="186" fontId="36" fillId="0" borderId="344" xfId="0" applyNumberFormat="1" applyFont="1" applyBorder="1" applyAlignment="1">
      <alignment horizontal="center" vertical="center"/>
    </xf>
    <xf numFmtId="186" fontId="36" fillId="0" borderId="345" xfId="0" applyNumberFormat="1" applyFont="1" applyBorder="1" applyAlignment="1">
      <alignment horizontal="center" vertical="center"/>
    </xf>
    <xf numFmtId="3" fontId="36" fillId="0" borderId="343" xfId="0" applyNumberFormat="1" applyFont="1" applyBorder="1" applyAlignment="1">
      <alignment horizontal="center" vertical="center"/>
    </xf>
    <xf numFmtId="186" fontId="36" fillId="0" borderId="341" xfId="0" applyNumberFormat="1" applyFont="1" applyBorder="1" applyAlignment="1">
      <alignment horizontal="center" vertical="center"/>
    </xf>
    <xf numFmtId="186" fontId="36" fillId="0" borderId="679" xfId="0" applyNumberFormat="1" applyFont="1" applyBorder="1" applyAlignment="1">
      <alignment horizontal="center" vertical="center"/>
    </xf>
    <xf numFmtId="0" fontId="36" fillId="0" borderId="102" xfId="0" applyFont="1" applyFill="1" applyBorder="1">
      <alignment vertical="center"/>
    </xf>
    <xf numFmtId="0" fontId="43" fillId="11" borderId="281" xfId="0" applyFont="1" applyFill="1" applyBorder="1">
      <alignment vertical="center"/>
    </xf>
    <xf numFmtId="0" fontId="36" fillId="11" borderId="107" xfId="0" applyFont="1" applyFill="1" applyBorder="1">
      <alignment vertical="center"/>
    </xf>
    <xf numFmtId="0" fontId="36" fillId="11" borderId="876" xfId="0" applyFont="1" applyFill="1" applyBorder="1" applyAlignment="1">
      <alignment horizontal="center" vertical="center"/>
    </xf>
    <xf numFmtId="0" fontId="36" fillId="11" borderId="107" xfId="0" applyFont="1" applyFill="1" applyBorder="1" applyAlignment="1">
      <alignment horizontal="center" vertical="center"/>
    </xf>
    <xf numFmtId="186" fontId="36" fillId="11" borderId="111" xfId="0" applyNumberFormat="1" applyFont="1" applyFill="1" applyBorder="1" applyAlignment="1">
      <alignment horizontal="center" vertical="center"/>
    </xf>
    <xf numFmtId="186" fontId="36" fillId="11" borderId="112" xfId="0" applyNumberFormat="1" applyFont="1" applyFill="1" applyBorder="1" applyAlignment="1">
      <alignment horizontal="center" vertical="center"/>
    </xf>
    <xf numFmtId="3" fontId="36" fillId="11" borderId="110" xfId="0" applyNumberFormat="1" applyFont="1" applyFill="1" applyBorder="1" applyAlignment="1">
      <alignment horizontal="center" vertical="center"/>
    </xf>
    <xf numFmtId="186" fontId="36" fillId="11" borderId="107" xfId="0" applyNumberFormat="1" applyFont="1" applyFill="1" applyBorder="1" applyAlignment="1">
      <alignment horizontal="center" vertical="center"/>
    </xf>
    <xf numFmtId="186" fontId="36" fillId="11" borderId="680" xfId="0" applyNumberFormat="1" applyFont="1" applyFill="1" applyBorder="1" applyAlignment="1">
      <alignment horizontal="center" vertical="center"/>
    </xf>
    <xf numFmtId="0" fontId="55" fillId="0" borderId="279" xfId="0" applyFont="1" applyBorder="1">
      <alignment vertical="center"/>
    </xf>
    <xf numFmtId="0" fontId="36" fillId="0" borderId="346" xfId="0" applyFont="1" applyBorder="1">
      <alignment vertical="center"/>
    </xf>
    <xf numFmtId="0" fontId="36" fillId="0" borderId="347" xfId="0" applyFont="1" applyFill="1" applyBorder="1">
      <alignment vertical="center"/>
    </xf>
    <xf numFmtId="0" fontId="36" fillId="0" borderId="1047" xfId="0" applyFont="1" applyBorder="1" applyAlignment="1">
      <alignment horizontal="center" vertical="center"/>
    </xf>
    <xf numFmtId="0" fontId="36" fillId="0" borderId="347" xfId="0" applyFont="1" applyBorder="1" applyAlignment="1">
      <alignment horizontal="center" vertical="center"/>
    </xf>
    <xf numFmtId="186" fontId="36" fillId="0" borderId="350" xfId="0" applyNumberFormat="1" applyFont="1" applyBorder="1" applyAlignment="1">
      <alignment horizontal="center" vertical="center"/>
    </xf>
    <xf numFmtId="186" fontId="36" fillId="0" borderId="351" xfId="0" applyNumberFormat="1" applyFont="1" applyBorder="1" applyAlignment="1">
      <alignment horizontal="center" vertical="center"/>
    </xf>
    <xf numFmtId="3" fontId="36" fillId="0" borderId="349" xfId="0" applyNumberFormat="1" applyFont="1" applyBorder="1" applyAlignment="1">
      <alignment horizontal="center" vertical="center"/>
    </xf>
    <xf numFmtId="186" fontId="36" fillId="0" borderId="347" xfId="0" applyNumberFormat="1" applyFont="1" applyBorder="1" applyAlignment="1">
      <alignment horizontal="center" vertical="center"/>
    </xf>
    <xf numFmtId="186" fontId="36" fillId="0" borderId="681" xfId="0" applyNumberFormat="1" applyFont="1" applyBorder="1" applyAlignment="1">
      <alignment horizontal="center" vertical="center"/>
    </xf>
    <xf numFmtId="0" fontId="36" fillId="0" borderId="279" xfId="0" applyFont="1" applyBorder="1">
      <alignment vertical="center"/>
    </xf>
    <xf numFmtId="0" fontId="43" fillId="11" borderId="279" xfId="0" quotePrefix="1" applyFont="1" applyFill="1" applyBorder="1" applyAlignment="1">
      <alignment horizontal="center" vertical="center"/>
    </xf>
    <xf numFmtId="0" fontId="36" fillId="0" borderId="435" xfId="0" applyFont="1" applyBorder="1" applyAlignment="1">
      <alignment horizontal="center" vertical="center"/>
    </xf>
    <xf numFmtId="0" fontId="36" fillId="0" borderId="102" xfId="0" applyFont="1" applyBorder="1" applyAlignment="1">
      <alignment horizontal="center" vertical="center"/>
    </xf>
    <xf numFmtId="186" fontId="36" fillId="0" borderId="105" xfId="0" applyNumberFormat="1" applyFont="1" applyBorder="1" applyAlignment="1">
      <alignment horizontal="center" vertical="center"/>
    </xf>
    <xf numFmtId="186" fontId="36" fillId="0" borderId="106" xfId="0" applyNumberFormat="1" applyFont="1" applyBorder="1" applyAlignment="1">
      <alignment horizontal="center" vertical="center"/>
    </xf>
    <xf numFmtId="3" fontId="36" fillId="0" borderId="104" xfId="0" applyNumberFormat="1" applyFont="1" applyBorder="1" applyAlignment="1">
      <alignment horizontal="center" vertical="center"/>
    </xf>
    <xf numFmtId="186" fontId="36" fillId="0" borderId="102" xfId="0" applyNumberFormat="1" applyFont="1" applyBorder="1" applyAlignment="1">
      <alignment horizontal="center" vertical="center"/>
    </xf>
    <xf numFmtId="186" fontId="36" fillId="0" borderId="614" xfId="0" applyNumberFormat="1" applyFont="1" applyBorder="1" applyAlignment="1">
      <alignment horizontal="center" vertical="center"/>
    </xf>
    <xf numFmtId="186" fontId="36" fillId="29" borderId="112" xfId="0" applyNumberFormat="1" applyFont="1" applyFill="1" applyBorder="1" applyAlignment="1">
      <alignment horizontal="center" vertical="center"/>
    </xf>
    <xf numFmtId="186" fontId="36" fillId="29" borderId="107" xfId="0" applyNumberFormat="1" applyFont="1" applyFill="1" applyBorder="1" applyAlignment="1">
      <alignment horizontal="center" vertical="center"/>
    </xf>
    <xf numFmtId="186" fontId="36" fillId="29" borderId="680" xfId="0" applyNumberFormat="1" applyFont="1" applyFill="1" applyBorder="1" applyAlignment="1">
      <alignment horizontal="center" vertical="center"/>
    </xf>
    <xf numFmtId="0" fontId="55" fillId="0" borderId="340" xfId="0" applyFont="1" applyBorder="1">
      <alignment vertical="center"/>
    </xf>
    <xf numFmtId="186" fontId="36" fillId="29" borderId="345" xfId="0" applyNumberFormat="1" applyFont="1" applyFill="1" applyBorder="1" applyAlignment="1">
      <alignment horizontal="center" vertical="center"/>
    </xf>
    <xf numFmtId="186" fontId="36" fillId="29" borderId="341" xfId="0" applyNumberFormat="1" applyFont="1" applyFill="1" applyBorder="1" applyAlignment="1">
      <alignment horizontal="center" vertical="center"/>
    </xf>
    <xf numFmtId="186" fontId="36" fillId="29" borderId="679" xfId="0" applyNumberFormat="1" applyFont="1" applyFill="1" applyBorder="1" applyAlignment="1">
      <alignment horizontal="center" vertical="center"/>
    </xf>
    <xf numFmtId="0" fontId="55" fillId="0" borderId="437" xfId="0" applyFont="1" applyBorder="1" applyAlignment="1">
      <alignment horizontal="center" vertical="center"/>
    </xf>
    <xf numFmtId="0" fontId="55" fillId="0" borderId="0" xfId="0" applyFont="1" applyBorder="1" applyAlignment="1">
      <alignment horizontal="center" vertical="center"/>
    </xf>
    <xf numFmtId="186" fontId="55" fillId="0" borderId="44" xfId="0" applyNumberFormat="1" applyFont="1" applyBorder="1" applyAlignment="1">
      <alignment horizontal="center" vertical="center"/>
    </xf>
    <xf numFmtId="186" fontId="55" fillId="29" borderId="84" xfId="0" applyNumberFormat="1" applyFont="1" applyFill="1" applyBorder="1" applyAlignment="1">
      <alignment horizontal="center" vertical="center"/>
    </xf>
    <xf numFmtId="3" fontId="55" fillId="0" borderId="2" xfId="0" applyNumberFormat="1" applyFont="1" applyBorder="1" applyAlignment="1">
      <alignment horizontal="center" vertical="center"/>
    </xf>
    <xf numFmtId="186" fontId="55" fillId="29" borderId="0" xfId="0" applyNumberFormat="1" applyFont="1" applyFill="1" applyBorder="1" applyAlignment="1">
      <alignment horizontal="center" vertical="center"/>
    </xf>
    <xf numFmtId="186" fontId="55" fillId="29" borderId="210" xfId="0" applyNumberFormat="1" applyFont="1" applyFill="1" applyBorder="1" applyAlignment="1">
      <alignment horizontal="center" vertical="center"/>
    </xf>
    <xf numFmtId="0" fontId="66" fillId="0" borderId="0" xfId="0" applyFont="1">
      <alignment vertical="center"/>
    </xf>
    <xf numFmtId="0" fontId="57" fillId="11" borderId="281" xfId="0" applyFont="1" applyFill="1" applyBorder="1">
      <alignment vertical="center"/>
    </xf>
    <xf numFmtId="0" fontId="55" fillId="11" borderId="107" xfId="0" applyFont="1" applyFill="1" applyBorder="1">
      <alignment vertical="center"/>
    </xf>
    <xf numFmtId="0" fontId="55" fillId="11" borderId="876" xfId="0" applyFont="1" applyFill="1" applyBorder="1" applyAlignment="1">
      <alignment horizontal="center" vertical="center"/>
    </xf>
    <xf numFmtId="0" fontId="55" fillId="11" borderId="107" xfId="0" applyFont="1" applyFill="1" applyBorder="1" applyAlignment="1">
      <alignment horizontal="center" vertical="center"/>
    </xf>
    <xf numFmtId="186" fontId="55" fillId="11" borderId="111" xfId="0" applyNumberFormat="1" applyFont="1" applyFill="1" applyBorder="1" applyAlignment="1">
      <alignment horizontal="center" vertical="center"/>
    </xf>
    <xf numFmtId="186" fontId="55" fillId="29" borderId="112" xfId="0" applyNumberFormat="1" applyFont="1" applyFill="1" applyBorder="1" applyAlignment="1">
      <alignment horizontal="center" vertical="center"/>
    </xf>
    <xf numFmtId="3" fontId="55" fillId="11" borderId="110" xfId="0" applyNumberFormat="1" applyFont="1" applyFill="1" applyBorder="1" applyAlignment="1">
      <alignment horizontal="center" vertical="center"/>
    </xf>
    <xf numFmtId="186" fontId="55" fillId="29" borderId="107" xfId="0" applyNumberFormat="1" applyFont="1" applyFill="1" applyBorder="1" applyAlignment="1">
      <alignment horizontal="center" vertical="center"/>
    </xf>
    <xf numFmtId="186" fontId="55" fillId="11" borderId="680" xfId="0" applyNumberFormat="1" applyFont="1" applyFill="1" applyBorder="1" applyAlignment="1">
      <alignment horizontal="center" vertical="center"/>
    </xf>
    <xf numFmtId="0" fontId="55" fillId="11" borderId="0" xfId="0" applyFont="1" applyFill="1" applyBorder="1">
      <alignment vertical="center"/>
    </xf>
    <xf numFmtId="0" fontId="55" fillId="0" borderId="341" xfId="0" applyFont="1" applyFill="1" applyBorder="1">
      <alignment vertical="center"/>
    </xf>
    <xf numFmtId="0" fontId="55" fillId="0" borderId="1046" xfId="0" applyFont="1" applyBorder="1" applyAlignment="1">
      <alignment horizontal="center" vertical="center"/>
    </xf>
    <xf numFmtId="0" fontId="55" fillId="0" borderId="341" xfId="0" applyFont="1" applyBorder="1" applyAlignment="1">
      <alignment horizontal="center" vertical="center"/>
    </xf>
    <xf numFmtId="186" fontId="55" fillId="0" borderId="344" xfId="0" applyNumberFormat="1" applyFont="1" applyBorder="1" applyAlignment="1">
      <alignment horizontal="center" vertical="center"/>
    </xf>
    <xf numFmtId="186" fontId="55" fillId="29" borderId="345" xfId="0" applyNumberFormat="1" applyFont="1" applyFill="1" applyBorder="1" applyAlignment="1">
      <alignment horizontal="center" vertical="center"/>
    </xf>
    <xf numFmtId="3" fontId="55" fillId="0" borderId="343" xfId="0" applyNumberFormat="1" applyFont="1" applyBorder="1" applyAlignment="1">
      <alignment horizontal="center" vertical="center"/>
    </xf>
    <xf numFmtId="186" fontId="55" fillId="29" borderId="341" xfId="0" applyNumberFormat="1" applyFont="1" applyFill="1" applyBorder="1" applyAlignment="1">
      <alignment horizontal="center" vertical="center"/>
    </xf>
    <xf numFmtId="186" fontId="55" fillId="0" borderId="679" xfId="0" applyNumberFormat="1" applyFont="1" applyBorder="1" applyAlignment="1">
      <alignment horizontal="center" vertical="center"/>
    </xf>
    <xf numFmtId="0" fontId="55" fillId="0" borderId="682" xfId="0" applyFont="1" applyBorder="1">
      <alignment vertical="center"/>
    </xf>
    <xf numFmtId="0" fontId="55" fillId="0" borderId="6" xfId="0" applyFont="1" applyFill="1" applyBorder="1">
      <alignment vertical="center"/>
    </xf>
    <xf numFmtId="0" fontId="55" fillId="0" borderId="459" xfId="0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186" fontId="55" fillId="0" borderId="41" xfId="0" applyNumberFormat="1" applyFont="1" applyBorder="1" applyAlignment="1">
      <alignment horizontal="center" vertical="center"/>
    </xf>
    <xf numFmtId="186" fontId="55" fillId="29" borderId="88" xfId="0" applyNumberFormat="1" applyFont="1" applyFill="1" applyBorder="1" applyAlignment="1">
      <alignment horizontal="center" vertical="center"/>
    </xf>
    <xf numFmtId="3" fontId="55" fillId="0" borderId="47" xfId="0" applyNumberFormat="1" applyFont="1" applyBorder="1" applyAlignment="1">
      <alignment horizontal="center" vertical="center"/>
    </xf>
    <xf numFmtId="186" fontId="55" fillId="29" borderId="6" xfId="0" applyNumberFormat="1" applyFont="1" applyFill="1" applyBorder="1" applyAlignment="1">
      <alignment horizontal="center" vertical="center"/>
    </xf>
    <xf numFmtId="186" fontId="55" fillId="0" borderId="215" xfId="0" applyNumberFormat="1" applyFont="1" applyBorder="1" applyAlignment="1">
      <alignment horizontal="center" vertical="center"/>
    </xf>
    <xf numFmtId="0" fontId="39" fillId="5" borderId="0" xfId="0" applyFont="1" applyFill="1">
      <alignment vertical="center"/>
    </xf>
    <xf numFmtId="0" fontId="36" fillId="5" borderId="0" xfId="0" quotePrefix="1" applyFont="1" applyFill="1">
      <alignment vertical="center"/>
    </xf>
    <xf numFmtId="0" fontId="36" fillId="5" borderId="0" xfId="0" quotePrefix="1" applyFont="1" applyFill="1" applyAlignment="1">
      <alignment horizontal="right" vertical="center"/>
    </xf>
    <xf numFmtId="0" fontId="65" fillId="5" borderId="0" xfId="0" applyFont="1" applyFill="1">
      <alignment vertical="center"/>
    </xf>
    <xf numFmtId="201" fontId="37" fillId="4" borderId="0" xfId="0" quotePrefix="1" applyNumberFormat="1" applyFont="1" applyFill="1" applyBorder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223" fontId="65" fillId="5" borderId="0" xfId="0" applyNumberFormat="1" applyFont="1" applyFill="1">
      <alignment vertical="center"/>
    </xf>
    <xf numFmtId="0" fontId="43" fillId="0" borderId="56" xfId="0" applyFont="1" applyBorder="1">
      <alignment vertical="center"/>
    </xf>
    <xf numFmtId="0" fontId="36" fillId="3" borderId="56" xfId="0" applyFont="1" applyFill="1" applyBorder="1">
      <alignment vertical="center"/>
    </xf>
    <xf numFmtId="223" fontId="36" fillId="3" borderId="683" xfId="0" applyNumberFormat="1" applyFont="1" applyFill="1" applyBorder="1">
      <alignment vertical="center"/>
    </xf>
    <xf numFmtId="223" fontId="36" fillId="3" borderId="684" xfId="0" applyNumberFormat="1" applyFont="1" applyFill="1" applyBorder="1">
      <alignment vertical="center"/>
    </xf>
    <xf numFmtId="223" fontId="36" fillId="3" borderId="1068" xfId="0" applyNumberFormat="1" applyFont="1" applyFill="1" applyBorder="1">
      <alignment vertical="center"/>
    </xf>
    <xf numFmtId="223" fontId="36" fillId="3" borderId="629" xfId="0" applyNumberFormat="1" applyFont="1" applyFill="1" applyBorder="1">
      <alignment vertical="center"/>
    </xf>
    <xf numFmtId="223" fontId="36" fillId="3" borderId="685" xfId="0" applyNumberFormat="1" applyFont="1" applyFill="1" applyBorder="1">
      <alignment vertical="center"/>
    </xf>
    <xf numFmtId="223" fontId="36" fillId="3" borderId="636" xfId="0" applyNumberFormat="1" applyFont="1" applyFill="1" applyBorder="1">
      <alignment vertical="center"/>
    </xf>
    <xf numFmtId="0" fontId="43" fillId="0" borderId="140" xfId="0" applyFont="1" applyBorder="1">
      <alignment vertical="center"/>
    </xf>
    <xf numFmtId="223" fontId="36" fillId="5" borderId="598" xfId="2" applyNumberFormat="1" applyFont="1" applyFill="1" applyBorder="1">
      <alignment vertical="center"/>
    </xf>
    <xf numFmtId="223" fontId="36" fillId="5" borderId="376" xfId="2" applyNumberFormat="1" applyFont="1" applyFill="1" applyBorder="1">
      <alignment vertical="center"/>
    </xf>
    <xf numFmtId="223" fontId="36" fillId="5" borderId="410" xfId="2" applyNumberFormat="1" applyFont="1" applyFill="1" applyBorder="1">
      <alignment vertical="center"/>
    </xf>
    <xf numFmtId="223" fontId="36" fillId="5" borderId="0" xfId="2" applyNumberFormat="1" applyFont="1" applyFill="1" applyBorder="1">
      <alignment vertical="center"/>
    </xf>
    <xf numFmtId="223" fontId="36" fillId="5" borderId="2" xfId="2" applyNumberFormat="1" applyFont="1" applyFill="1" applyBorder="1">
      <alignment vertical="center"/>
    </xf>
    <xf numFmtId="223" fontId="36" fillId="5" borderId="638" xfId="2" applyNumberFormat="1" applyFont="1" applyFill="1" applyBorder="1">
      <alignment vertical="center"/>
    </xf>
    <xf numFmtId="0" fontId="36" fillId="3" borderId="0" xfId="0" applyFont="1" applyFill="1">
      <alignment vertical="center"/>
    </xf>
    <xf numFmtId="223" fontId="36" fillId="3" borderId="598" xfId="2" applyNumberFormat="1" applyFont="1" applyFill="1" applyBorder="1">
      <alignment vertical="center"/>
    </xf>
    <xf numFmtId="223" fontId="36" fillId="3" borderId="376" xfId="2" applyNumberFormat="1" applyFont="1" applyFill="1" applyBorder="1">
      <alignment vertical="center"/>
    </xf>
    <xf numFmtId="223" fontId="36" fillId="3" borderId="410" xfId="2" applyNumberFormat="1" applyFont="1" applyFill="1" applyBorder="1">
      <alignment vertical="center"/>
    </xf>
    <xf numFmtId="223" fontId="36" fillId="3" borderId="0" xfId="2" applyNumberFormat="1" applyFont="1" applyFill="1" applyBorder="1">
      <alignment vertical="center"/>
    </xf>
    <xf numFmtId="223" fontId="36" fillId="3" borderId="2" xfId="2" applyNumberFormat="1" applyFont="1" applyFill="1" applyBorder="1">
      <alignment vertical="center"/>
    </xf>
    <xf numFmtId="223" fontId="36" fillId="3" borderId="638" xfId="2" applyNumberFormat="1" applyFont="1" applyFill="1" applyBorder="1">
      <alignment vertical="center"/>
    </xf>
    <xf numFmtId="0" fontId="36" fillId="0" borderId="140" xfId="0" applyFont="1" applyBorder="1">
      <alignment vertical="center"/>
    </xf>
    <xf numFmtId="0" fontId="43" fillId="0" borderId="142" xfId="0" applyFont="1" applyBorder="1">
      <alignment vertical="center"/>
    </xf>
    <xf numFmtId="0" fontId="36" fillId="3" borderId="813" xfId="0" applyFont="1" applyFill="1" applyBorder="1">
      <alignment vertical="center"/>
    </xf>
    <xf numFmtId="223" fontId="36" fillId="3" borderId="814" xfId="2" applyNumberFormat="1" applyFont="1" applyFill="1" applyBorder="1">
      <alignment vertical="center"/>
    </xf>
    <xf numFmtId="223" fontId="36" fillId="3" borderId="815" xfId="2" applyNumberFormat="1" applyFont="1" applyFill="1" applyBorder="1">
      <alignment vertical="center"/>
    </xf>
    <xf numFmtId="223" fontId="36" fillId="3" borderId="1092" xfId="2" applyNumberFormat="1" applyFont="1" applyFill="1" applyBorder="1">
      <alignment vertical="center"/>
    </xf>
    <xf numFmtId="223" fontId="36" fillId="3" borderId="813" xfId="2" applyNumberFormat="1" applyFont="1" applyFill="1" applyBorder="1">
      <alignment vertical="center"/>
    </xf>
    <xf numFmtId="223" fontId="36" fillId="3" borderId="816" xfId="2" applyNumberFormat="1" applyFont="1" applyFill="1" applyBorder="1">
      <alignment vertical="center"/>
    </xf>
    <xf numFmtId="223" fontId="36" fillId="3" borderId="812" xfId="2" applyNumberFormat="1" applyFont="1" applyFill="1" applyBorder="1">
      <alignment vertical="center"/>
    </xf>
    <xf numFmtId="0" fontId="43" fillId="0" borderId="143" xfId="0" applyFont="1" applyBorder="1">
      <alignment vertical="center"/>
    </xf>
    <xf numFmtId="0" fontId="36" fillId="0" borderId="61" xfId="0" applyFont="1" applyBorder="1">
      <alignment vertical="center"/>
    </xf>
    <xf numFmtId="0" fontId="36" fillId="3" borderId="645" xfId="0" applyFont="1" applyFill="1" applyBorder="1">
      <alignment vertical="center"/>
    </xf>
    <xf numFmtId="224" fontId="36" fillId="3" borderId="690" xfId="0" applyNumberFormat="1" applyFont="1" applyFill="1" applyBorder="1">
      <alignment vertical="center"/>
    </xf>
    <xf numFmtId="224" fontId="36" fillId="3" borderId="691" xfId="0" applyNumberFormat="1" applyFont="1" applyFill="1" applyBorder="1">
      <alignment vertical="center"/>
    </xf>
    <xf numFmtId="224" fontId="36" fillId="3" borderId="673" xfId="0" applyNumberFormat="1" applyFont="1" applyFill="1" applyBorder="1">
      <alignment vertical="center"/>
    </xf>
    <xf numFmtId="224" fontId="36" fillId="3" borderId="645" xfId="0" applyNumberFormat="1" applyFont="1" applyFill="1" applyBorder="1">
      <alignment vertical="center"/>
    </xf>
    <xf numFmtId="224" fontId="36" fillId="3" borderId="552" xfId="0" applyNumberFormat="1" applyFont="1" applyFill="1" applyBorder="1">
      <alignment vertical="center"/>
    </xf>
    <xf numFmtId="224" fontId="36" fillId="3" borderId="653" xfId="0" applyNumberFormat="1" applyFont="1" applyFill="1" applyBorder="1">
      <alignment vertical="center"/>
    </xf>
    <xf numFmtId="0" fontId="36" fillId="0" borderId="687" xfId="0" applyFont="1" applyBorder="1">
      <alignment vertical="center"/>
    </xf>
    <xf numFmtId="0" fontId="36" fillId="0" borderId="598" xfId="0" applyFont="1" applyBorder="1">
      <alignment vertical="center"/>
    </xf>
    <xf numFmtId="0" fontId="36" fillId="0" borderId="376" xfId="0" applyFont="1" applyBorder="1">
      <alignment vertical="center"/>
    </xf>
    <xf numFmtId="0" fontId="36" fillId="0" borderId="410" xfId="0" applyFont="1" applyBorder="1">
      <alignment vertical="center"/>
    </xf>
    <xf numFmtId="205" fontId="36" fillId="0" borderId="0" xfId="0" applyNumberFormat="1" applyFont="1" applyBorder="1">
      <alignment vertical="center"/>
    </xf>
    <xf numFmtId="205" fontId="36" fillId="0" borderId="552" xfId="0" applyNumberFormat="1" applyFont="1" applyBorder="1">
      <alignment vertical="center"/>
    </xf>
    <xf numFmtId="205" fontId="36" fillId="0" borderId="638" xfId="0" applyNumberFormat="1" applyFont="1" applyBorder="1">
      <alignment vertical="center"/>
    </xf>
    <xf numFmtId="207" fontId="36" fillId="0" borderId="56" xfId="0" applyNumberFormat="1" applyFont="1" applyBorder="1">
      <alignment vertical="center"/>
    </xf>
    <xf numFmtId="224" fontId="36" fillId="0" borderId="601" xfId="0" applyNumberFormat="1" applyFont="1" applyBorder="1">
      <alignment vertical="center"/>
    </xf>
    <xf numFmtId="224" fontId="36" fillId="0" borderId="582" xfId="0" applyNumberFormat="1" applyFont="1" applyBorder="1">
      <alignment vertical="center"/>
    </xf>
    <xf numFmtId="224" fontId="36" fillId="0" borderId="1093" xfId="0" applyNumberFormat="1" applyFont="1" applyBorder="1">
      <alignment vertical="center"/>
    </xf>
    <xf numFmtId="224" fontId="36" fillId="0" borderId="56" xfId="0" applyNumberFormat="1" applyFont="1" applyBorder="1">
      <alignment vertical="center"/>
    </xf>
    <xf numFmtId="224" fontId="36" fillId="0" borderId="2" xfId="0" applyNumberFormat="1" applyFont="1" applyBorder="1">
      <alignment vertical="center"/>
    </xf>
    <xf numFmtId="224" fontId="36" fillId="0" borderId="640" xfId="0" applyNumberFormat="1" applyFont="1" applyBorder="1">
      <alignment vertical="center"/>
    </xf>
    <xf numFmtId="0" fontId="43" fillId="0" borderId="0" xfId="0" applyFont="1" applyBorder="1">
      <alignment vertical="center"/>
    </xf>
    <xf numFmtId="224" fontId="36" fillId="3" borderId="598" xfId="0" applyNumberFormat="1" applyFont="1" applyFill="1" applyBorder="1">
      <alignment vertical="center"/>
    </xf>
    <xf numFmtId="224" fontId="36" fillId="3" borderId="376" xfId="0" applyNumberFormat="1" applyFont="1" applyFill="1" applyBorder="1">
      <alignment vertical="center"/>
    </xf>
    <xf numFmtId="224" fontId="36" fillId="3" borderId="410" xfId="0" applyNumberFormat="1" applyFont="1" applyFill="1" applyBorder="1">
      <alignment vertical="center"/>
    </xf>
    <xf numFmtId="224" fontId="36" fillId="3" borderId="0" xfId="0" applyNumberFormat="1" applyFont="1" applyFill="1" applyBorder="1">
      <alignment vertical="center"/>
    </xf>
    <xf numFmtId="224" fontId="36" fillId="3" borderId="2" xfId="0" applyNumberFormat="1" applyFont="1" applyFill="1" applyBorder="1">
      <alignment vertical="center"/>
    </xf>
    <xf numFmtId="224" fontId="36" fillId="3" borderId="638" xfId="0" applyNumberFormat="1" applyFont="1" applyFill="1" applyBorder="1">
      <alignment vertical="center"/>
    </xf>
    <xf numFmtId="0" fontId="43" fillId="0" borderId="74" xfId="0" applyFont="1" applyBorder="1">
      <alignment vertical="center"/>
    </xf>
    <xf numFmtId="0" fontId="36" fillId="0" borderId="74" xfId="0" applyFont="1" applyBorder="1">
      <alignment vertical="center"/>
    </xf>
    <xf numFmtId="223" fontId="36" fillId="0" borderId="602" xfId="2" applyNumberFormat="1" applyFont="1" applyFill="1" applyBorder="1">
      <alignment vertical="center"/>
    </xf>
    <xf numFmtId="223" fontId="36" fillId="0" borderId="584" xfId="2" applyNumberFormat="1" applyFont="1" applyFill="1" applyBorder="1">
      <alignment vertical="center"/>
    </xf>
    <xf numFmtId="223" fontId="36" fillId="0" borderId="421" xfId="2" applyNumberFormat="1" applyFont="1" applyFill="1" applyBorder="1">
      <alignment vertical="center"/>
    </xf>
    <xf numFmtId="223" fontId="36" fillId="0" borderId="74" xfId="2" applyNumberFormat="1" applyFont="1" applyFill="1" applyBorder="1">
      <alignment vertical="center"/>
    </xf>
    <xf numFmtId="223" fontId="36" fillId="0" borderId="76" xfId="2" applyNumberFormat="1" applyFont="1" applyFill="1" applyBorder="1">
      <alignment vertical="center"/>
    </xf>
    <xf numFmtId="223" fontId="36" fillId="0" borderId="641" xfId="2" applyNumberFormat="1" applyFont="1" applyFill="1" applyBorder="1">
      <alignment vertical="center"/>
    </xf>
    <xf numFmtId="223" fontId="36" fillId="0" borderId="598" xfId="2" applyNumberFormat="1" applyFont="1" applyFill="1" applyBorder="1">
      <alignment vertical="center"/>
    </xf>
    <xf numFmtId="223" fontId="36" fillId="0" borderId="376" xfId="2" applyNumberFormat="1" applyFont="1" applyFill="1" applyBorder="1">
      <alignment vertical="center"/>
    </xf>
    <xf numFmtId="223" fontId="36" fillId="0" borderId="410" xfId="2" applyNumberFormat="1" applyFont="1" applyFill="1" applyBorder="1">
      <alignment vertical="center"/>
    </xf>
    <xf numFmtId="223" fontId="36" fillId="0" borderId="0" xfId="2" applyNumberFormat="1" applyFont="1" applyFill="1" applyBorder="1">
      <alignment vertical="center"/>
    </xf>
    <xf numFmtId="223" fontId="36" fillId="0" borderId="2" xfId="2" applyNumberFormat="1" applyFont="1" applyFill="1" applyBorder="1">
      <alignment vertical="center"/>
    </xf>
    <xf numFmtId="223" fontId="36" fillId="0" borderId="638" xfId="2" applyNumberFormat="1" applyFont="1" applyFill="1" applyBorder="1">
      <alignment vertical="center"/>
    </xf>
    <xf numFmtId="224" fontId="36" fillId="0" borderId="598" xfId="0" applyNumberFormat="1" applyFont="1" applyBorder="1">
      <alignment vertical="center"/>
    </xf>
    <xf numFmtId="224" fontId="36" fillId="0" borderId="376" xfId="0" applyNumberFormat="1" applyFont="1" applyBorder="1">
      <alignment vertical="center"/>
    </xf>
    <xf numFmtId="224" fontId="36" fillId="0" borderId="410" xfId="0" applyNumberFormat="1" applyFont="1" applyBorder="1">
      <alignment vertical="center"/>
    </xf>
    <xf numFmtId="224" fontId="36" fillId="0" borderId="0" xfId="0" applyNumberFormat="1" applyFont="1" applyBorder="1">
      <alignment vertical="center"/>
    </xf>
    <xf numFmtId="224" fontId="36" fillId="0" borderId="638" xfId="0" applyNumberFormat="1" applyFont="1" applyBorder="1">
      <alignment vertical="center"/>
    </xf>
    <xf numFmtId="0" fontId="43" fillId="0" borderId="114" xfId="0" applyFont="1" applyBorder="1">
      <alignment vertical="center"/>
    </xf>
    <xf numFmtId="0" fontId="36" fillId="3" borderId="114" xfId="0" applyFont="1" applyFill="1" applyBorder="1">
      <alignment vertical="center"/>
    </xf>
    <xf numFmtId="224" fontId="36" fillId="3" borderId="599" xfId="0" applyNumberFormat="1" applyFont="1" applyFill="1" applyBorder="1">
      <alignment vertical="center"/>
    </xf>
    <xf numFmtId="224" fontId="36" fillId="3" borderId="583" xfId="0" applyNumberFormat="1" applyFont="1" applyFill="1" applyBorder="1">
      <alignment vertical="center"/>
    </xf>
    <xf numFmtId="224" fontId="36" fillId="3" borderId="1069" xfId="0" applyNumberFormat="1" applyFont="1" applyFill="1" applyBorder="1">
      <alignment vertical="center"/>
    </xf>
    <xf numFmtId="224" fontId="36" fillId="3" borderId="114" xfId="0" applyNumberFormat="1" applyFont="1" applyFill="1" applyBorder="1">
      <alignment vertical="center"/>
    </xf>
    <xf numFmtId="224" fontId="36" fillId="3" borderId="117" xfId="0" applyNumberFormat="1" applyFont="1" applyFill="1" applyBorder="1">
      <alignment vertical="center"/>
    </xf>
    <xf numFmtId="224" fontId="36" fillId="3" borderId="642" xfId="0" applyNumberFormat="1" applyFont="1" applyFill="1" applyBorder="1">
      <alignment vertical="center"/>
    </xf>
    <xf numFmtId="41" fontId="36" fillId="0" borderId="410" xfId="2" applyFont="1" applyFill="1" applyBorder="1">
      <alignment vertical="center"/>
    </xf>
    <xf numFmtId="41" fontId="36" fillId="0" borderId="0" xfId="2" applyFont="1" applyFill="1" applyBorder="1">
      <alignment vertical="center"/>
    </xf>
    <xf numFmtId="0" fontId="36" fillId="3" borderId="61" xfId="0" applyFont="1" applyFill="1" applyBorder="1">
      <alignment vertical="center"/>
    </xf>
    <xf numFmtId="224" fontId="36" fillId="3" borderId="600" xfId="0" applyNumberFormat="1" applyFont="1" applyFill="1" applyBorder="1">
      <alignment vertical="center"/>
    </xf>
    <xf numFmtId="224" fontId="36" fillId="3" borderId="585" xfId="0" applyNumberFormat="1" applyFont="1" applyFill="1" applyBorder="1">
      <alignment vertical="center"/>
    </xf>
    <xf numFmtId="224" fontId="36" fillId="3" borderId="1070" xfId="0" applyNumberFormat="1" applyFont="1" applyFill="1" applyBorder="1">
      <alignment vertical="center"/>
    </xf>
    <xf numFmtId="224" fontId="36" fillId="3" borderId="61" xfId="0" applyNumberFormat="1" applyFont="1" applyFill="1" applyBorder="1">
      <alignment vertical="center"/>
    </xf>
    <xf numFmtId="224" fontId="36" fillId="3" borderId="639" xfId="0" applyNumberFormat="1" applyFont="1" applyFill="1" applyBorder="1">
      <alignment vertical="center"/>
    </xf>
    <xf numFmtId="205" fontId="36" fillId="0" borderId="553" xfId="0" applyNumberFormat="1" applyFont="1" applyBorder="1">
      <alignment vertical="center"/>
    </xf>
    <xf numFmtId="223" fontId="36" fillId="3" borderId="601" xfId="2" applyNumberFormat="1" applyFont="1" applyFill="1" applyBorder="1">
      <alignment vertical="center"/>
    </xf>
    <xf numFmtId="223" fontId="36" fillId="3" borderId="582" xfId="2" applyNumberFormat="1" applyFont="1" applyFill="1" applyBorder="1">
      <alignment vertical="center"/>
    </xf>
    <xf numFmtId="223" fontId="36" fillId="3" borderId="1093" xfId="2" applyNumberFormat="1" applyFont="1" applyFill="1" applyBorder="1">
      <alignment vertical="center"/>
    </xf>
    <xf numFmtId="223" fontId="36" fillId="3" borderId="56" xfId="2" applyNumberFormat="1" applyFont="1" applyFill="1" applyBorder="1">
      <alignment vertical="center"/>
    </xf>
    <xf numFmtId="223" fontId="36" fillId="3" borderId="640" xfId="2" applyNumberFormat="1" applyFont="1" applyFill="1" applyBorder="1">
      <alignment vertical="center"/>
    </xf>
    <xf numFmtId="207" fontId="36" fillId="0" borderId="0" xfId="0" applyNumberFormat="1" applyFont="1" applyBorder="1">
      <alignment vertical="center"/>
    </xf>
    <xf numFmtId="0" fontId="36" fillId="3" borderId="74" xfId="0" applyFont="1" applyFill="1" applyBorder="1">
      <alignment vertical="center"/>
    </xf>
    <xf numFmtId="223" fontId="36" fillId="3" borderId="602" xfId="2" applyNumberFormat="1" applyFont="1" applyFill="1" applyBorder="1">
      <alignment vertical="center"/>
    </xf>
    <xf numFmtId="223" fontId="36" fillId="3" borderId="584" xfId="2" applyNumberFormat="1" applyFont="1" applyFill="1" applyBorder="1">
      <alignment vertical="center"/>
    </xf>
    <xf numFmtId="223" fontId="36" fillId="3" borderId="421" xfId="2" applyNumberFormat="1" applyFont="1" applyFill="1" applyBorder="1">
      <alignment vertical="center"/>
    </xf>
    <xf numFmtId="223" fontId="36" fillId="3" borderId="74" xfId="2" applyNumberFormat="1" applyFont="1" applyFill="1" applyBorder="1">
      <alignment vertical="center"/>
    </xf>
    <xf numFmtId="223" fontId="36" fillId="3" borderId="76" xfId="2" applyNumberFormat="1" applyFont="1" applyFill="1" applyBorder="1">
      <alignment vertical="center"/>
    </xf>
    <xf numFmtId="223" fontId="36" fillId="3" borderId="641" xfId="2" applyNumberFormat="1" applyFont="1" applyFill="1" applyBorder="1">
      <alignment vertical="center"/>
    </xf>
    <xf numFmtId="225" fontId="36" fillId="3" borderId="602" xfId="2" applyNumberFormat="1" applyFont="1" applyFill="1" applyBorder="1">
      <alignment vertical="center"/>
    </xf>
    <xf numFmtId="225" fontId="36" fillId="3" borderId="584" xfId="2" applyNumberFormat="1" applyFont="1" applyFill="1" applyBorder="1">
      <alignment vertical="center"/>
    </xf>
    <xf numFmtId="225" fontId="36" fillId="3" borderId="421" xfId="2" applyNumberFormat="1" applyFont="1" applyFill="1" applyBorder="1">
      <alignment vertical="center"/>
    </xf>
    <xf numFmtId="225" fontId="36" fillId="3" borderId="74" xfId="2" applyNumberFormat="1" applyFont="1" applyFill="1" applyBorder="1">
      <alignment vertical="center"/>
    </xf>
    <xf numFmtId="225" fontId="36" fillId="3" borderId="76" xfId="2" applyNumberFormat="1" applyFont="1" applyFill="1" applyBorder="1">
      <alignment vertical="center"/>
    </xf>
    <xf numFmtId="225" fontId="36" fillId="3" borderId="641" xfId="2" applyNumberFormat="1" applyFont="1" applyFill="1" applyBorder="1">
      <alignment vertical="center"/>
    </xf>
    <xf numFmtId="225" fontId="36" fillId="0" borderId="598" xfId="2" applyNumberFormat="1" applyFont="1" applyFill="1" applyBorder="1">
      <alignment vertical="center"/>
    </xf>
    <xf numFmtId="225" fontId="36" fillId="0" borderId="376" xfId="2" applyNumberFormat="1" applyFont="1" applyFill="1" applyBorder="1">
      <alignment vertical="center"/>
    </xf>
    <xf numFmtId="225" fontId="36" fillId="0" borderId="410" xfId="2" applyNumberFormat="1" applyFont="1" applyFill="1" applyBorder="1">
      <alignment vertical="center"/>
    </xf>
    <xf numFmtId="225" fontId="36" fillId="0" borderId="0" xfId="2" applyNumberFormat="1" applyFont="1" applyFill="1" applyBorder="1">
      <alignment vertical="center"/>
    </xf>
    <xf numFmtId="225" fontId="36" fillId="0" borderId="2" xfId="2" applyNumberFormat="1" applyFont="1" applyFill="1" applyBorder="1">
      <alignment vertical="center"/>
    </xf>
    <xf numFmtId="225" fontId="36" fillId="0" borderId="638" xfId="2" applyNumberFormat="1" applyFont="1" applyFill="1" applyBorder="1">
      <alignment vertical="center"/>
    </xf>
    <xf numFmtId="225" fontId="36" fillId="0" borderId="600" xfId="2" applyNumberFormat="1" applyFont="1" applyFill="1" applyBorder="1">
      <alignment vertical="center"/>
    </xf>
    <xf numFmtId="225" fontId="36" fillId="0" borderId="585" xfId="2" applyNumberFormat="1" applyFont="1" applyFill="1" applyBorder="1">
      <alignment vertical="center"/>
    </xf>
    <xf numFmtId="225" fontId="36" fillId="0" borderId="1070" xfId="2" applyNumberFormat="1" applyFont="1" applyFill="1" applyBorder="1">
      <alignment vertical="center"/>
    </xf>
    <xf numFmtId="225" fontId="36" fillId="0" borderId="61" xfId="2" applyNumberFormat="1" applyFont="1" applyFill="1" applyBorder="1">
      <alignment vertical="center"/>
    </xf>
    <xf numFmtId="225" fontId="36" fillId="0" borderId="61" xfId="2" applyNumberFormat="1" applyFont="1" applyFill="1" applyBorder="1" applyAlignment="1">
      <alignment horizontal="right" vertical="center"/>
    </xf>
    <xf numFmtId="225" fontId="36" fillId="0" borderId="552" xfId="2" applyNumberFormat="1" applyFont="1" applyFill="1" applyBorder="1">
      <alignment vertical="center"/>
    </xf>
    <xf numFmtId="225" fontId="36" fillId="0" borderId="639" xfId="2" applyNumberFormat="1" applyFont="1" applyFill="1" applyBorder="1" applyAlignment="1">
      <alignment horizontal="right" vertical="center"/>
    </xf>
    <xf numFmtId="0" fontId="36" fillId="0" borderId="56" xfId="0" applyFont="1" applyBorder="1">
      <alignment vertical="center"/>
    </xf>
    <xf numFmtId="223" fontId="36" fillId="0" borderId="601" xfId="2" applyNumberFormat="1" applyFont="1" applyFill="1" applyBorder="1">
      <alignment vertical="center"/>
    </xf>
    <xf numFmtId="223" fontId="36" fillId="0" borderId="582" xfId="2" applyNumberFormat="1" applyFont="1" applyFill="1" applyBorder="1">
      <alignment vertical="center"/>
    </xf>
    <xf numFmtId="223" fontId="36" fillId="0" borderId="1093" xfId="2" applyNumberFormat="1" applyFont="1" applyFill="1" applyBorder="1">
      <alignment vertical="center"/>
    </xf>
    <xf numFmtId="223" fontId="36" fillId="0" borderId="56" xfId="2" applyNumberFormat="1" applyFont="1" applyFill="1" applyBorder="1">
      <alignment vertical="center"/>
    </xf>
    <xf numFmtId="223" fontId="36" fillId="0" borderId="640" xfId="2" applyNumberFormat="1" applyFont="1" applyFill="1" applyBorder="1">
      <alignment vertical="center"/>
    </xf>
    <xf numFmtId="0" fontId="36" fillId="0" borderId="645" xfId="0" applyFont="1" applyBorder="1">
      <alignment vertical="center"/>
    </xf>
    <xf numFmtId="0" fontId="55" fillId="5" borderId="0" xfId="0" applyFont="1" applyFill="1">
      <alignment vertical="center"/>
    </xf>
    <xf numFmtId="0" fontId="52" fillId="0" borderId="0" xfId="0" applyFont="1">
      <alignment vertical="center"/>
    </xf>
    <xf numFmtId="0" fontId="39" fillId="5" borderId="1011" xfId="0" applyFont="1" applyFill="1" applyBorder="1" applyAlignment="1">
      <alignment horizontal="center" vertical="center"/>
    </xf>
    <xf numFmtId="0" fontId="48" fillId="5" borderId="0" xfId="0" quotePrefix="1" applyFont="1" applyFill="1" applyBorder="1" applyAlignment="1">
      <alignment horizontal="right" vertical="center"/>
    </xf>
    <xf numFmtId="0" fontId="43" fillId="4" borderId="579" xfId="0" quotePrefix="1" applyFont="1" applyFill="1" applyBorder="1" applyAlignment="1">
      <alignment horizontal="center" vertical="center"/>
    </xf>
    <xf numFmtId="0" fontId="37" fillId="4" borderId="459" xfId="0" quotePrefix="1" applyFont="1" applyFill="1" applyBorder="1" applyAlignment="1">
      <alignment horizontal="center" vertical="center"/>
    </xf>
    <xf numFmtId="0" fontId="37" fillId="4" borderId="6" xfId="0" quotePrefix="1" applyFont="1" applyFill="1" applyBorder="1" applyAlignment="1">
      <alignment horizontal="center" vertical="center"/>
    </xf>
    <xf numFmtId="0" fontId="37" fillId="14" borderId="0" xfId="0" quotePrefix="1" applyFont="1" applyFill="1" applyBorder="1" applyAlignment="1">
      <alignment horizontal="center" vertical="center"/>
    </xf>
    <xf numFmtId="0" fontId="37" fillId="6" borderId="6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37" fillId="10" borderId="42" xfId="0" applyFont="1" applyFill="1" applyBorder="1" applyAlignment="1">
      <alignment horizontal="center" vertical="center"/>
    </xf>
    <xf numFmtId="192" fontId="36" fillId="11" borderId="9" xfId="2" applyNumberFormat="1" applyFont="1" applyFill="1" applyBorder="1" applyAlignment="1">
      <alignment horizontal="center" vertical="center"/>
    </xf>
    <xf numFmtId="192" fontId="36" fillId="11" borderId="591" xfId="2" applyNumberFormat="1" applyFont="1" applyFill="1" applyBorder="1" applyAlignment="1">
      <alignment horizontal="center" vertical="center"/>
    </xf>
    <xf numFmtId="192" fontId="36" fillId="11" borderId="4" xfId="2" applyNumberFormat="1" applyFont="1" applyFill="1" applyBorder="1" applyAlignment="1">
      <alignment horizontal="center" vertical="center"/>
    </xf>
    <xf numFmtId="192" fontId="36" fillId="11" borderId="85" xfId="2" applyNumberFormat="1" applyFont="1" applyFill="1" applyBorder="1" applyAlignment="1">
      <alignment horizontal="center" vertical="center"/>
    </xf>
    <xf numFmtId="192" fontId="36" fillId="11" borderId="5" xfId="2" applyNumberFormat="1" applyFont="1" applyFill="1" applyBorder="1" applyAlignment="1">
      <alignment horizontal="center" vertical="center"/>
    </xf>
    <xf numFmtId="192" fontId="36" fillId="11" borderId="43" xfId="2" applyNumberFormat="1" applyFont="1" applyFill="1" applyBorder="1" applyAlignment="1">
      <alignment horizontal="center" vertical="center"/>
    </xf>
    <xf numFmtId="192" fontId="36" fillId="11" borderId="209" xfId="2" applyNumberFormat="1" applyFont="1" applyFill="1" applyBorder="1" applyAlignment="1">
      <alignment horizontal="center" vertical="center"/>
    </xf>
    <xf numFmtId="203" fontId="36" fillId="0" borderId="0" xfId="0" applyNumberFormat="1" applyFont="1" applyAlignment="1">
      <alignment horizontal="center" vertical="center"/>
    </xf>
    <xf numFmtId="0" fontId="43" fillId="11" borderId="0" xfId="0" applyFont="1" applyFill="1" applyBorder="1">
      <alignment vertical="center"/>
    </xf>
    <xf numFmtId="192" fontId="36" fillId="11" borderId="11" xfId="2" applyNumberFormat="1" applyFont="1" applyFill="1" applyBorder="1" applyAlignment="1">
      <alignment horizontal="center" vertical="center"/>
    </xf>
    <xf numFmtId="192" fontId="36" fillId="11" borderId="437" xfId="2" applyNumberFormat="1" applyFont="1" applyFill="1" applyBorder="1" applyAlignment="1">
      <alignment horizontal="center" vertical="center"/>
    </xf>
    <xf numFmtId="192" fontId="36" fillId="11" borderId="0" xfId="2" applyNumberFormat="1" applyFont="1" applyFill="1" applyBorder="1" applyAlignment="1">
      <alignment horizontal="center" vertical="center"/>
    </xf>
    <xf numFmtId="192" fontId="36" fillId="11" borderId="84" xfId="2" applyNumberFormat="1" applyFont="1" applyFill="1" applyBorder="1" applyAlignment="1">
      <alignment horizontal="center" vertical="center"/>
    </xf>
    <xf numFmtId="192" fontId="36" fillId="11" borderId="2" xfId="2" applyNumberFormat="1" applyFont="1" applyFill="1" applyBorder="1" applyAlignment="1">
      <alignment horizontal="center" vertical="center"/>
    </xf>
    <xf numFmtId="192" fontId="36" fillId="11" borderId="44" xfId="2" applyNumberFormat="1" applyFont="1" applyFill="1" applyBorder="1" applyAlignment="1">
      <alignment horizontal="center" vertical="center"/>
    </xf>
    <xf numFmtId="192" fontId="36" fillId="11" borderId="210" xfId="2" applyNumberFormat="1" applyFont="1" applyFill="1" applyBorder="1" applyAlignment="1">
      <alignment horizontal="center" vertical="center"/>
    </xf>
    <xf numFmtId="0" fontId="47" fillId="11" borderId="0" xfId="0" applyFont="1" applyFill="1" applyBorder="1" applyAlignment="1">
      <alignment horizontal="center" vertical="center"/>
    </xf>
    <xf numFmtId="187" fontId="36" fillId="11" borderId="11" xfId="0" applyNumberFormat="1" applyFont="1" applyFill="1" applyBorder="1" applyAlignment="1">
      <alignment horizontal="center" vertical="center"/>
    </xf>
    <xf numFmtId="187" fontId="36" fillId="11" borderId="437" xfId="0" applyNumberFormat="1" applyFont="1" applyFill="1" applyBorder="1" applyAlignment="1">
      <alignment horizontal="center" vertical="center"/>
    </xf>
    <xf numFmtId="187" fontId="36" fillId="11" borderId="0" xfId="0" applyNumberFormat="1" applyFont="1" applyFill="1" applyBorder="1" applyAlignment="1">
      <alignment horizontal="center" vertical="center"/>
    </xf>
    <xf numFmtId="188" fontId="36" fillId="11" borderId="0" xfId="0" applyNumberFormat="1" applyFont="1" applyFill="1" applyBorder="1" applyAlignment="1">
      <alignment horizontal="center" vertical="center"/>
    </xf>
    <xf numFmtId="216" fontId="36" fillId="11" borderId="84" xfId="0" applyNumberFormat="1" applyFont="1" applyFill="1" applyBorder="1" applyAlignment="1">
      <alignment horizontal="center" vertical="center"/>
    </xf>
    <xf numFmtId="187" fontId="36" fillId="11" borderId="2" xfId="0" applyNumberFormat="1" applyFont="1" applyFill="1" applyBorder="1" applyAlignment="1">
      <alignment horizontal="center" vertical="center"/>
    </xf>
    <xf numFmtId="188" fontId="36" fillId="11" borderId="0" xfId="0" applyNumberFormat="1" applyFont="1" applyFill="1" applyAlignment="1">
      <alignment horizontal="center" vertical="center"/>
    </xf>
    <xf numFmtId="187" fontId="36" fillId="11" borderId="44" xfId="0" applyNumberFormat="1" applyFont="1" applyFill="1" applyBorder="1" applyAlignment="1">
      <alignment horizontal="center" vertical="center"/>
    </xf>
    <xf numFmtId="188" fontId="36" fillId="11" borderId="210" xfId="0" applyNumberFormat="1" applyFont="1" applyFill="1" applyBorder="1" applyAlignment="1">
      <alignment horizontal="center" vertical="center"/>
    </xf>
    <xf numFmtId="176" fontId="36" fillId="0" borderId="0" xfId="3" applyNumberFormat="1" applyFont="1" applyAlignment="1">
      <alignment horizontal="center" vertical="center"/>
    </xf>
    <xf numFmtId="0" fontId="43" fillId="3" borderId="146" xfId="0" applyFont="1" applyFill="1" applyBorder="1">
      <alignment vertical="center"/>
    </xf>
    <xf numFmtId="0" fontId="36" fillId="3" borderId="147" xfId="0" applyFont="1" applyFill="1" applyBorder="1">
      <alignment vertical="center"/>
    </xf>
    <xf numFmtId="187" fontId="36" fillId="3" borderId="148" xfId="0" applyNumberFormat="1" applyFont="1" applyFill="1" applyBorder="1" applyAlignment="1">
      <alignment horizontal="center" vertical="center"/>
    </xf>
    <xf numFmtId="187" fontId="36" fillId="3" borderId="1040" xfId="0" applyNumberFormat="1" applyFont="1" applyFill="1" applyBorder="1" applyAlignment="1">
      <alignment horizontal="center" vertical="center"/>
    </xf>
    <xf numFmtId="187" fontId="36" fillId="3" borderId="147" xfId="0" applyNumberFormat="1" applyFont="1" applyFill="1" applyBorder="1" applyAlignment="1">
      <alignment horizontal="center" vertical="center"/>
    </xf>
    <xf numFmtId="188" fontId="36" fillId="3" borderId="147" xfId="0" applyNumberFormat="1" applyFont="1" applyFill="1" applyBorder="1" applyAlignment="1">
      <alignment horizontal="center" vertical="center"/>
    </xf>
    <xf numFmtId="216" fontId="36" fillId="3" borderId="151" xfId="0" applyNumberFormat="1" applyFont="1" applyFill="1" applyBorder="1" applyAlignment="1">
      <alignment horizontal="center" vertical="center"/>
    </xf>
    <xf numFmtId="187" fontId="36" fillId="3" borderId="149" xfId="0" applyNumberFormat="1" applyFont="1" applyFill="1" applyBorder="1" applyAlignment="1">
      <alignment horizontal="center" vertical="center"/>
    </xf>
    <xf numFmtId="187" fontId="36" fillId="3" borderId="150" xfId="0" applyNumberFormat="1" applyFont="1" applyFill="1" applyBorder="1" applyAlignment="1">
      <alignment horizontal="center" vertical="center"/>
    </xf>
    <xf numFmtId="188" fontId="36" fillId="3" borderId="267" xfId="0" applyNumberFormat="1" applyFont="1" applyFill="1" applyBorder="1" applyAlignment="1">
      <alignment horizontal="center" vertical="center"/>
    </xf>
    <xf numFmtId="0" fontId="36" fillId="0" borderId="83" xfId="0" applyFont="1" applyBorder="1">
      <alignment vertical="center"/>
    </xf>
    <xf numFmtId="187" fontId="36" fillId="0" borderId="11" xfId="0" applyNumberFormat="1" applyFont="1" applyBorder="1" applyAlignment="1">
      <alignment horizontal="center" vertical="center"/>
    </xf>
    <xf numFmtId="187" fontId="36" fillId="0" borderId="437" xfId="0" applyNumberFormat="1" applyFont="1" applyBorder="1" applyAlignment="1">
      <alignment horizontal="center" vertical="center"/>
    </xf>
    <xf numFmtId="188" fontId="36" fillId="0" borderId="0" xfId="0" applyNumberFormat="1" applyFont="1" applyFill="1" applyBorder="1" applyAlignment="1">
      <alignment horizontal="center" vertical="center"/>
    </xf>
    <xf numFmtId="216" fontId="36" fillId="0" borderId="84" xfId="0" applyNumberFormat="1" applyFont="1" applyFill="1" applyBorder="1" applyAlignment="1">
      <alignment horizontal="center" vertical="center"/>
    </xf>
    <xf numFmtId="187" fontId="36" fillId="0" borderId="2" xfId="0" applyNumberFormat="1" applyFont="1" applyBorder="1" applyAlignment="1">
      <alignment horizontal="center" vertical="center"/>
    </xf>
    <xf numFmtId="188" fontId="36" fillId="0" borderId="0" xfId="0" applyNumberFormat="1" applyFont="1" applyAlignment="1">
      <alignment horizontal="center" vertical="center"/>
    </xf>
    <xf numFmtId="187" fontId="36" fillId="0" borderId="44" xfId="0" applyNumberFormat="1" applyFont="1" applyBorder="1" applyAlignment="1">
      <alignment horizontal="center" vertical="center"/>
    </xf>
    <xf numFmtId="188" fontId="36" fillId="0" borderId="210" xfId="0" applyNumberFormat="1" applyFont="1" applyBorder="1" applyAlignment="1">
      <alignment horizontal="center" vertical="center"/>
    </xf>
    <xf numFmtId="0" fontId="36" fillId="0" borderId="152" xfId="0" applyFont="1" applyBorder="1">
      <alignment vertical="center"/>
    </xf>
    <xf numFmtId="0" fontId="36" fillId="0" borderId="153" xfId="0" applyFont="1" applyFill="1" applyBorder="1">
      <alignment vertical="center"/>
    </xf>
    <xf numFmtId="187" fontId="36" fillId="0" borderId="154" xfId="0" applyNumberFormat="1" applyFont="1" applyBorder="1" applyAlignment="1">
      <alignment horizontal="center" vertical="center"/>
    </xf>
    <xf numFmtId="187" fontId="36" fillId="0" borderId="1041" xfId="0" applyNumberFormat="1" applyFont="1" applyBorder="1" applyAlignment="1">
      <alignment horizontal="center" vertical="center"/>
    </xf>
    <xf numFmtId="187" fontId="36" fillId="0" borderId="153" xfId="0" applyNumberFormat="1" applyFont="1" applyBorder="1" applyAlignment="1">
      <alignment horizontal="center" vertical="center"/>
    </xf>
    <xf numFmtId="188" fontId="36" fillId="0" borderId="153" xfId="0" applyNumberFormat="1" applyFont="1" applyFill="1" applyBorder="1" applyAlignment="1">
      <alignment horizontal="center" vertical="center"/>
    </xf>
    <xf numFmtId="216" fontId="36" fillId="0" borderId="157" xfId="0" applyNumberFormat="1" applyFont="1" applyFill="1" applyBorder="1" applyAlignment="1">
      <alignment horizontal="center" vertical="center"/>
    </xf>
    <xf numFmtId="187" fontId="36" fillId="0" borderId="155" xfId="0" applyNumberFormat="1" applyFont="1" applyBorder="1" applyAlignment="1">
      <alignment horizontal="center" vertical="center"/>
    </xf>
    <xf numFmtId="188" fontId="36" fillId="0" borderId="153" xfId="0" applyNumberFormat="1" applyFont="1" applyBorder="1" applyAlignment="1">
      <alignment horizontal="center" vertical="center"/>
    </xf>
    <xf numFmtId="187" fontId="36" fillId="0" borderId="156" xfId="0" applyNumberFormat="1" applyFont="1" applyBorder="1" applyAlignment="1">
      <alignment horizontal="center" vertical="center"/>
    </xf>
    <xf numFmtId="188" fontId="36" fillId="0" borderId="268" xfId="0" applyNumberFormat="1" applyFont="1" applyBorder="1" applyAlignment="1">
      <alignment horizontal="center" vertical="center"/>
    </xf>
    <xf numFmtId="0" fontId="43" fillId="3" borderId="0" xfId="0" applyFont="1" applyFill="1" applyBorder="1">
      <alignment vertical="center"/>
    </xf>
    <xf numFmtId="187" fontId="36" fillId="3" borderId="11" xfId="0" applyNumberFormat="1" applyFont="1" applyFill="1" applyBorder="1" applyAlignment="1">
      <alignment horizontal="center" vertical="center"/>
    </xf>
    <xf numFmtId="187" fontId="36" fillId="3" borderId="437" xfId="0" applyNumberFormat="1" applyFont="1" applyFill="1" applyBorder="1" applyAlignment="1">
      <alignment horizontal="center" vertical="center"/>
    </xf>
    <xf numFmtId="187" fontId="36" fillId="3" borderId="0" xfId="0" applyNumberFormat="1" applyFont="1" applyFill="1" applyBorder="1" applyAlignment="1">
      <alignment horizontal="center" vertical="center"/>
    </xf>
    <xf numFmtId="188" fontId="36" fillId="3" borderId="0" xfId="0" applyNumberFormat="1" applyFont="1" applyFill="1" applyBorder="1" applyAlignment="1">
      <alignment horizontal="center" vertical="center"/>
    </xf>
    <xf numFmtId="216" fontId="36" fillId="3" borderId="84" xfId="0" applyNumberFormat="1" applyFont="1" applyFill="1" applyBorder="1" applyAlignment="1">
      <alignment horizontal="center" vertical="center"/>
    </xf>
    <xf numFmtId="187" fontId="36" fillId="3" borderId="2" xfId="0" applyNumberFormat="1" applyFont="1" applyFill="1" applyBorder="1" applyAlignment="1">
      <alignment horizontal="center" vertical="center"/>
    </xf>
    <xf numFmtId="188" fontId="36" fillId="3" borderId="0" xfId="0" applyNumberFormat="1" applyFont="1" applyFill="1" applyAlignment="1">
      <alignment horizontal="center" vertical="center"/>
    </xf>
    <xf numFmtId="187" fontId="36" fillId="3" borderId="44" xfId="0" applyNumberFormat="1" applyFont="1" applyFill="1" applyBorder="1" applyAlignment="1">
      <alignment horizontal="center" vertical="center"/>
    </xf>
    <xf numFmtId="188" fontId="36" fillId="3" borderId="210" xfId="0" applyNumberFormat="1" applyFont="1" applyFill="1" applyBorder="1" applyAlignment="1">
      <alignment horizontal="center" vertical="center"/>
    </xf>
    <xf numFmtId="187" fontId="36" fillId="2" borderId="135" xfId="0" applyNumberFormat="1" applyFont="1" applyFill="1" applyBorder="1" applyAlignment="1">
      <alignment horizontal="center" vertical="center"/>
    </xf>
    <xf numFmtId="187" fontId="36" fillId="2" borderId="1042" xfId="0" applyNumberFormat="1" applyFont="1" applyFill="1" applyBorder="1" applyAlignment="1">
      <alignment horizontal="center" vertical="center"/>
    </xf>
    <xf numFmtId="187" fontId="36" fillId="2" borderId="134" xfId="0" applyNumberFormat="1" applyFont="1" applyFill="1" applyBorder="1" applyAlignment="1">
      <alignment horizontal="center" vertical="center"/>
    </xf>
    <xf numFmtId="188" fontId="36" fillId="2" borderId="134" xfId="0" applyNumberFormat="1" applyFont="1" applyFill="1" applyBorder="1" applyAlignment="1">
      <alignment horizontal="center" vertical="center"/>
    </xf>
    <xf numFmtId="216" fontId="36" fillId="2" borderId="138" xfId="0" applyNumberFormat="1" applyFont="1" applyFill="1" applyBorder="1" applyAlignment="1">
      <alignment horizontal="center" vertical="center"/>
    </xf>
    <xf numFmtId="187" fontId="36" fillId="2" borderId="136" xfId="0" applyNumberFormat="1" applyFont="1" applyFill="1" applyBorder="1" applyAlignment="1">
      <alignment horizontal="center" vertical="center"/>
    </xf>
    <xf numFmtId="187" fontId="36" fillId="2" borderId="137" xfId="0" applyNumberFormat="1" applyFont="1" applyFill="1" applyBorder="1" applyAlignment="1">
      <alignment horizontal="center" vertical="center"/>
    </xf>
    <xf numFmtId="188" fontId="36" fillId="2" borderId="243" xfId="0" applyNumberFormat="1" applyFont="1" applyFill="1" applyBorder="1" applyAlignment="1">
      <alignment horizontal="center" vertical="center"/>
    </xf>
    <xf numFmtId="200" fontId="36" fillId="5" borderId="46" xfId="0" applyNumberFormat="1" applyFont="1" applyFill="1" applyBorder="1" applyAlignment="1">
      <alignment horizontal="center" vertical="center"/>
    </xf>
    <xf numFmtId="200" fontId="36" fillId="5" borderId="459" xfId="0" applyNumberFormat="1" applyFont="1" applyFill="1" applyBorder="1" applyAlignment="1">
      <alignment horizontal="center" vertical="center"/>
    </xf>
    <xf numFmtId="200" fontId="36" fillId="5" borderId="6" xfId="0" applyNumberFormat="1" applyFont="1" applyFill="1" applyBorder="1" applyAlignment="1">
      <alignment horizontal="center" vertical="center"/>
    </xf>
    <xf numFmtId="188" fontId="36" fillId="5" borderId="6" xfId="0" applyNumberFormat="1" applyFont="1" applyFill="1" applyBorder="1" applyAlignment="1">
      <alignment horizontal="center" vertical="center"/>
    </xf>
    <xf numFmtId="188" fontId="36" fillId="5" borderId="88" xfId="0" applyNumberFormat="1" applyFont="1" applyFill="1" applyBorder="1" applyAlignment="1">
      <alignment horizontal="center" vertical="center"/>
    </xf>
    <xf numFmtId="200" fontId="36" fillId="5" borderId="47" xfId="0" applyNumberFormat="1" applyFont="1" applyFill="1" applyBorder="1" applyAlignment="1">
      <alignment horizontal="center" vertical="center"/>
    </xf>
    <xf numFmtId="200" fontId="36" fillId="5" borderId="41" xfId="0" applyNumberFormat="1" applyFont="1" applyFill="1" applyBorder="1" applyAlignment="1">
      <alignment horizontal="center" vertical="center"/>
    </xf>
    <xf numFmtId="188" fontId="36" fillId="5" borderId="215" xfId="0" applyNumberFormat="1" applyFont="1" applyFill="1" applyBorder="1" applyAlignment="1">
      <alignment horizontal="center" vertical="center"/>
    </xf>
    <xf numFmtId="200" fontId="36" fillId="0" borderId="0" xfId="0" applyNumberFormat="1" applyFont="1" applyAlignment="1">
      <alignment horizontal="center" vertical="center"/>
    </xf>
    <xf numFmtId="0" fontId="36" fillId="0" borderId="34" xfId="0" applyFont="1" applyBorder="1">
      <alignment vertical="center"/>
    </xf>
    <xf numFmtId="0" fontId="43" fillId="8" borderId="71" xfId="0" applyFont="1" applyFill="1" applyBorder="1">
      <alignment vertical="center"/>
    </xf>
    <xf numFmtId="0" fontId="43" fillId="8" borderId="32" xfId="0" applyFont="1" applyFill="1" applyBorder="1">
      <alignment vertical="center"/>
    </xf>
    <xf numFmtId="230" fontId="36" fillId="8" borderId="48" xfId="2" applyNumberFormat="1" applyFont="1" applyFill="1" applyBorder="1" applyAlignment="1">
      <alignment horizontal="center" vertical="center"/>
    </xf>
    <xf numFmtId="230" fontId="36" fillId="8" borderId="484" xfId="2" applyNumberFormat="1" applyFont="1" applyFill="1" applyBorder="1" applyAlignment="1">
      <alignment horizontal="center" vertical="center"/>
    </xf>
    <xf numFmtId="230" fontId="36" fillId="8" borderId="32" xfId="2" applyNumberFormat="1" applyFont="1" applyFill="1" applyBorder="1" applyAlignment="1">
      <alignment horizontal="center" vertical="center"/>
    </xf>
    <xf numFmtId="230" fontId="36" fillId="8" borderId="89" xfId="2" applyNumberFormat="1" applyFont="1" applyFill="1" applyBorder="1" applyAlignment="1">
      <alignment horizontal="center" vertical="center"/>
    </xf>
    <xf numFmtId="231" fontId="36" fillId="8" borderId="33" xfId="2" applyNumberFormat="1" applyFont="1" applyFill="1" applyBorder="1" applyAlignment="1">
      <alignment horizontal="center" vertical="center"/>
    </xf>
    <xf numFmtId="231" fontId="36" fillId="8" borderId="32" xfId="2" applyNumberFormat="1" applyFont="1" applyFill="1" applyBorder="1" applyAlignment="1">
      <alignment horizontal="center" vertical="center"/>
    </xf>
    <xf numFmtId="231" fontId="36" fillId="8" borderId="49" xfId="2" applyNumberFormat="1" applyFont="1" applyFill="1" applyBorder="1" applyAlignment="1">
      <alignment horizontal="center" vertical="center"/>
    </xf>
    <xf numFmtId="231" fontId="36" fillId="8" borderId="170" xfId="2" applyNumberFormat="1" applyFont="1" applyFill="1" applyBorder="1" applyAlignment="1">
      <alignment horizontal="center" vertical="center"/>
    </xf>
    <xf numFmtId="210" fontId="36" fillId="0" borderId="0" xfId="0" applyNumberFormat="1" applyFont="1" applyAlignment="1">
      <alignment horizontal="center" vertical="center"/>
    </xf>
    <xf numFmtId="0" fontId="43" fillId="8" borderId="72" xfId="0" applyFont="1" applyFill="1" applyBorder="1">
      <alignment vertical="center"/>
    </xf>
    <xf numFmtId="0" fontId="43" fillId="8" borderId="0" xfId="0" applyFont="1" applyFill="1" applyBorder="1">
      <alignment vertical="center"/>
    </xf>
    <xf numFmtId="230" fontId="36" fillId="8" borderId="11" xfId="2" applyNumberFormat="1" applyFont="1" applyFill="1" applyBorder="1" applyAlignment="1">
      <alignment horizontal="center" vertical="center"/>
    </xf>
    <xf numFmtId="230" fontId="36" fillId="8" borderId="437" xfId="2" applyNumberFormat="1" applyFont="1" applyFill="1" applyBorder="1" applyAlignment="1">
      <alignment horizontal="center" vertical="center"/>
    </xf>
    <xf numFmtId="230" fontId="36" fillId="8" borderId="0" xfId="2" applyNumberFormat="1" applyFont="1" applyFill="1" applyBorder="1" applyAlignment="1">
      <alignment horizontal="center" vertical="center"/>
    </xf>
    <xf numFmtId="231" fontId="36" fillId="8" borderId="0" xfId="2" applyNumberFormat="1" applyFont="1" applyFill="1" applyBorder="1" applyAlignment="1">
      <alignment horizontal="center" vertical="center"/>
    </xf>
    <xf numFmtId="230" fontId="36" fillId="8" borderId="84" xfId="2" applyNumberFormat="1" applyFont="1" applyFill="1" applyBorder="1" applyAlignment="1">
      <alignment horizontal="center" vertical="center"/>
    </xf>
    <xf numFmtId="231" fontId="36" fillId="8" borderId="2" xfId="2" applyNumberFormat="1" applyFont="1" applyFill="1" applyBorder="1" applyAlignment="1">
      <alignment horizontal="center" vertical="center"/>
    </xf>
    <xf numFmtId="231" fontId="36" fillId="8" borderId="44" xfId="2" applyNumberFormat="1" applyFont="1" applyFill="1" applyBorder="1" applyAlignment="1">
      <alignment horizontal="center" vertical="center"/>
    </xf>
    <xf numFmtId="231" fontId="36" fillId="8" borderId="248" xfId="2" applyNumberFormat="1" applyFont="1" applyFill="1" applyBorder="1" applyAlignment="1">
      <alignment horizontal="center" vertical="center"/>
    </xf>
    <xf numFmtId="0" fontId="47" fillId="8" borderId="72" xfId="0" applyFont="1" applyFill="1" applyBorder="1">
      <alignment vertical="center"/>
    </xf>
    <xf numFmtId="0" fontId="47" fillId="8" borderId="0" xfId="0" applyFont="1" applyFill="1" applyBorder="1">
      <alignment vertical="center"/>
    </xf>
    <xf numFmtId="187" fontId="36" fillId="8" borderId="11" xfId="0" applyNumberFormat="1" applyFont="1" applyFill="1" applyBorder="1" applyAlignment="1">
      <alignment horizontal="center" vertical="center"/>
    </xf>
    <xf numFmtId="187" fontId="36" fillId="8" borderId="437" xfId="0" applyNumberFormat="1" applyFont="1" applyFill="1" applyBorder="1" applyAlignment="1">
      <alignment horizontal="center" vertical="center"/>
    </xf>
    <xf numFmtId="187" fontId="36" fillId="8" borderId="84" xfId="0" applyNumberFormat="1" applyFont="1" applyFill="1" applyBorder="1" applyAlignment="1">
      <alignment horizontal="center" vertical="center"/>
    </xf>
    <xf numFmtId="187" fontId="36" fillId="8" borderId="2" xfId="0" applyNumberFormat="1" applyFont="1" applyFill="1" applyBorder="1" applyAlignment="1">
      <alignment horizontal="center" vertical="center"/>
    </xf>
    <xf numFmtId="187" fontId="36" fillId="8" borderId="0" xfId="0" applyNumberFormat="1" applyFont="1" applyFill="1" applyAlignment="1">
      <alignment horizontal="center" vertical="center"/>
    </xf>
    <xf numFmtId="187" fontId="36" fillId="8" borderId="44" xfId="0" applyNumberFormat="1" applyFont="1" applyFill="1" applyBorder="1" applyAlignment="1">
      <alignment horizontal="center" vertical="center"/>
    </xf>
    <xf numFmtId="187" fontId="36" fillId="8" borderId="248" xfId="0" applyNumberFormat="1" applyFont="1" applyFill="1" applyBorder="1" applyAlignment="1">
      <alignment horizontal="center" vertical="center"/>
    </xf>
    <xf numFmtId="0" fontId="43" fillId="11" borderId="168" xfId="0" applyFont="1" applyFill="1" applyBorder="1">
      <alignment vertical="center"/>
    </xf>
    <xf numFmtId="0" fontId="36" fillId="11" borderId="158" xfId="0" applyFont="1" applyFill="1" applyBorder="1">
      <alignment vertical="center"/>
    </xf>
    <xf numFmtId="231" fontId="36" fillId="11" borderId="159" xfId="2" applyNumberFormat="1" applyFont="1" applyFill="1" applyBorder="1" applyAlignment="1">
      <alignment horizontal="center" vertical="center"/>
    </xf>
    <xf numFmtId="231" fontId="36" fillId="11" borderId="1043" xfId="2" applyNumberFormat="1" applyFont="1" applyFill="1" applyBorder="1" applyAlignment="1">
      <alignment horizontal="center" vertical="center"/>
    </xf>
    <xf numFmtId="231" fontId="36" fillId="11" borderId="158" xfId="2" applyNumberFormat="1" applyFont="1" applyFill="1" applyBorder="1" applyAlignment="1">
      <alignment horizontal="center" vertical="center"/>
    </xf>
    <xf numFmtId="231" fontId="36" fillId="11" borderId="162" xfId="2" applyNumberFormat="1" applyFont="1" applyFill="1" applyBorder="1" applyAlignment="1">
      <alignment horizontal="center" vertical="center"/>
    </xf>
    <xf numFmtId="231" fontId="36" fillId="11" borderId="160" xfId="2" applyNumberFormat="1" applyFont="1" applyFill="1" applyBorder="1" applyAlignment="1">
      <alignment horizontal="center" vertical="center"/>
    </xf>
    <xf numFmtId="231" fontId="36" fillId="11" borderId="161" xfId="2" applyNumberFormat="1" applyFont="1" applyFill="1" applyBorder="1" applyAlignment="1">
      <alignment horizontal="center" vertical="center"/>
    </xf>
    <xf numFmtId="231" fontId="36" fillId="11" borderId="269" xfId="2" applyNumberFormat="1" applyFont="1" applyFill="1" applyBorder="1" applyAlignment="1">
      <alignment horizontal="center" vertical="center"/>
    </xf>
    <xf numFmtId="0" fontId="36" fillId="0" borderId="72" xfId="0" applyFont="1" applyBorder="1">
      <alignment vertical="center"/>
    </xf>
    <xf numFmtId="217" fontId="36" fillId="0" borderId="11" xfId="2" applyNumberFormat="1" applyFont="1" applyFill="1" applyBorder="1" applyAlignment="1">
      <alignment horizontal="center" vertical="center"/>
    </xf>
    <xf numFmtId="217" fontId="36" fillId="0" borderId="437" xfId="2" applyNumberFormat="1" applyFont="1" applyFill="1" applyBorder="1" applyAlignment="1">
      <alignment horizontal="center" vertical="center"/>
    </xf>
    <xf numFmtId="217" fontId="36" fillId="0" borderId="0" xfId="2" applyNumberFormat="1" applyFont="1" applyFill="1" applyBorder="1" applyAlignment="1">
      <alignment horizontal="center" vertical="center"/>
    </xf>
    <xf numFmtId="217" fontId="36" fillId="0" borderId="84" xfId="2" applyNumberFormat="1" applyFont="1" applyFill="1" applyBorder="1" applyAlignment="1">
      <alignment horizontal="center" vertical="center"/>
    </xf>
    <xf numFmtId="217" fontId="36" fillId="0" borderId="2" xfId="2" applyNumberFormat="1" applyFont="1" applyFill="1" applyBorder="1" applyAlignment="1">
      <alignment horizontal="center" vertical="center"/>
    </xf>
    <xf numFmtId="217" fontId="36" fillId="0" borderId="44" xfId="2" applyNumberFormat="1" applyFont="1" applyFill="1" applyBorder="1" applyAlignment="1">
      <alignment horizontal="center" vertical="center"/>
    </xf>
    <xf numFmtId="217" fontId="36" fillId="0" borderId="248" xfId="2" applyNumberFormat="1" applyFont="1" applyFill="1" applyBorder="1" applyAlignment="1">
      <alignment horizontal="center" vertical="center"/>
    </xf>
    <xf numFmtId="0" fontId="55" fillId="0" borderId="72" xfId="0" applyFont="1" applyBorder="1">
      <alignment vertical="center"/>
    </xf>
    <xf numFmtId="217" fontId="55" fillId="0" borderId="11" xfId="2" applyNumberFormat="1" applyFont="1" applyFill="1" applyBorder="1" applyAlignment="1">
      <alignment horizontal="center" vertical="center"/>
    </xf>
    <xf numFmtId="217" fontId="55" fillId="0" borderId="437" xfId="2" applyNumberFormat="1" applyFont="1" applyFill="1" applyBorder="1" applyAlignment="1">
      <alignment horizontal="center" vertical="center"/>
    </xf>
    <xf numFmtId="217" fontId="55" fillId="0" borderId="0" xfId="2" applyNumberFormat="1" applyFont="1" applyFill="1" applyBorder="1" applyAlignment="1">
      <alignment horizontal="center" vertical="center"/>
    </xf>
    <xf numFmtId="217" fontId="55" fillId="0" borderId="84" xfId="2" applyNumberFormat="1" applyFont="1" applyFill="1" applyBorder="1" applyAlignment="1">
      <alignment horizontal="center" vertical="center"/>
    </xf>
    <xf numFmtId="217" fontId="55" fillId="0" borderId="2" xfId="2" applyNumberFormat="1" applyFont="1" applyFill="1" applyBorder="1" applyAlignment="1">
      <alignment horizontal="center" vertical="center"/>
    </xf>
    <xf numFmtId="217" fontId="55" fillId="0" borderId="44" xfId="2" applyNumberFormat="1" applyFont="1" applyFill="1" applyBorder="1" applyAlignment="1">
      <alignment horizontal="center" vertical="center"/>
    </xf>
    <xf numFmtId="217" fontId="55" fillId="0" borderId="248" xfId="2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169" xfId="0" applyFont="1" applyBorder="1">
      <alignment vertical="center"/>
    </xf>
    <xf numFmtId="0" fontId="55" fillId="0" borderId="163" xfId="0" applyFont="1" applyFill="1" applyBorder="1">
      <alignment vertical="center"/>
    </xf>
    <xf numFmtId="217" fontId="55" fillId="0" borderId="164" xfId="2" applyNumberFormat="1" applyFont="1" applyFill="1" applyBorder="1" applyAlignment="1">
      <alignment horizontal="center" vertical="center"/>
    </xf>
    <xf numFmtId="217" fontId="55" fillId="0" borderId="1044" xfId="2" applyNumberFormat="1" applyFont="1" applyFill="1" applyBorder="1" applyAlignment="1">
      <alignment horizontal="center" vertical="center"/>
    </xf>
    <xf numFmtId="217" fontId="55" fillId="0" borderId="163" xfId="2" applyNumberFormat="1" applyFont="1" applyFill="1" applyBorder="1" applyAlignment="1">
      <alignment horizontal="center" vertical="center"/>
    </xf>
    <xf numFmtId="217" fontId="55" fillId="0" borderId="167" xfId="2" applyNumberFormat="1" applyFont="1" applyFill="1" applyBorder="1" applyAlignment="1">
      <alignment horizontal="center" vertical="center"/>
    </xf>
    <xf numFmtId="217" fontId="55" fillId="0" borderId="165" xfId="2" applyNumberFormat="1" applyFont="1" applyFill="1" applyBorder="1" applyAlignment="1">
      <alignment horizontal="center" vertical="center"/>
    </xf>
    <xf numFmtId="217" fontId="55" fillId="0" borderId="166" xfId="2" applyNumberFormat="1" applyFont="1" applyFill="1" applyBorder="1" applyAlignment="1">
      <alignment horizontal="center" vertical="center"/>
    </xf>
    <xf numFmtId="217" fontId="55" fillId="0" borderId="270" xfId="2" applyNumberFormat="1" applyFont="1" applyFill="1" applyBorder="1" applyAlignment="1">
      <alignment horizontal="center" vertical="center"/>
    </xf>
    <xf numFmtId="0" fontId="57" fillId="11" borderId="72" xfId="0" applyFont="1" applyFill="1" applyBorder="1">
      <alignment vertical="center"/>
    </xf>
    <xf numFmtId="217" fontId="55" fillId="11" borderId="11" xfId="2" applyNumberFormat="1" applyFont="1" applyFill="1" applyBorder="1" applyAlignment="1">
      <alignment horizontal="center" vertical="center"/>
    </xf>
    <xf numFmtId="217" fontId="55" fillId="11" borderId="437" xfId="2" applyNumberFormat="1" applyFont="1" applyFill="1" applyBorder="1" applyAlignment="1">
      <alignment horizontal="center" vertical="center"/>
    </xf>
    <xf numFmtId="217" fontId="55" fillId="11" borderId="0" xfId="2" applyNumberFormat="1" applyFont="1" applyFill="1" applyBorder="1" applyAlignment="1">
      <alignment horizontal="center" vertical="center"/>
    </xf>
    <xf numFmtId="217" fontId="55" fillId="11" borderId="84" xfId="2" applyNumberFormat="1" applyFont="1" applyFill="1" applyBorder="1" applyAlignment="1">
      <alignment horizontal="center" vertical="center"/>
    </xf>
    <xf numFmtId="217" fontId="55" fillId="11" borderId="2" xfId="2" applyNumberFormat="1" applyFont="1" applyFill="1" applyBorder="1" applyAlignment="1">
      <alignment horizontal="center" vertical="center"/>
    </xf>
    <xf numFmtId="217" fontId="55" fillId="11" borderId="44" xfId="2" applyNumberFormat="1" applyFont="1" applyFill="1" applyBorder="1" applyAlignment="1">
      <alignment horizontal="center" vertical="center"/>
    </xf>
    <xf numFmtId="217" fontId="55" fillId="11" borderId="248" xfId="2" applyNumberFormat="1" applyFont="1" applyFill="1" applyBorder="1" applyAlignment="1">
      <alignment horizontal="center" vertical="center"/>
    </xf>
    <xf numFmtId="0" fontId="57" fillId="0" borderId="72" xfId="0" applyFont="1" applyBorder="1">
      <alignment vertical="center"/>
    </xf>
    <xf numFmtId="0" fontId="57" fillId="0" borderId="169" xfId="0" applyFont="1" applyBorder="1">
      <alignment vertical="center"/>
    </xf>
    <xf numFmtId="0" fontId="57" fillId="11" borderId="328" xfId="0" applyFont="1" applyFill="1" applyBorder="1" applyAlignment="1">
      <alignment horizontal="center" vertical="center"/>
    </xf>
    <xf numFmtId="0" fontId="57" fillId="5" borderId="12" xfId="0" applyFont="1" applyFill="1" applyBorder="1">
      <alignment vertical="center"/>
    </xf>
    <xf numFmtId="0" fontId="57" fillId="5" borderId="329" xfId="0" applyFont="1" applyFill="1" applyBorder="1">
      <alignment vertical="center"/>
    </xf>
    <xf numFmtId="217" fontId="55" fillId="0" borderId="50" xfId="2" applyNumberFormat="1" applyFont="1" applyFill="1" applyBorder="1" applyAlignment="1">
      <alignment horizontal="center" vertical="center"/>
    </xf>
    <xf numFmtId="217" fontId="55" fillId="0" borderId="1028" xfId="2" applyNumberFormat="1" applyFont="1" applyFill="1" applyBorder="1" applyAlignment="1">
      <alignment horizontal="center" vertical="center"/>
    </xf>
    <xf numFmtId="217" fontId="55" fillId="0" borderId="34" xfId="2" applyNumberFormat="1" applyFont="1" applyFill="1" applyBorder="1" applyAlignment="1">
      <alignment horizontal="center" vertical="center"/>
    </xf>
    <xf numFmtId="217" fontId="55" fillId="0" borderId="90" xfId="2" applyNumberFormat="1" applyFont="1" applyFill="1" applyBorder="1" applyAlignment="1">
      <alignment horizontal="center" vertical="center"/>
    </xf>
    <xf numFmtId="217" fontId="55" fillId="0" borderId="51" xfId="2" applyNumberFormat="1" applyFont="1" applyFill="1" applyBorder="1" applyAlignment="1">
      <alignment horizontal="center" vertical="center"/>
    </xf>
    <xf numFmtId="217" fontId="55" fillId="0" borderId="52" xfId="2" applyNumberFormat="1" applyFont="1" applyFill="1" applyBorder="1" applyAlignment="1">
      <alignment horizontal="center" vertical="center"/>
    </xf>
    <xf numFmtId="217" fontId="55" fillId="0" borderId="250" xfId="2" applyNumberFormat="1" applyFont="1" applyFill="1" applyBorder="1" applyAlignment="1">
      <alignment horizontal="center" vertical="center"/>
    </xf>
    <xf numFmtId="0" fontId="57" fillId="9" borderId="139" xfId="0" applyFont="1" applyFill="1" applyBorder="1">
      <alignment vertical="center"/>
    </xf>
    <xf numFmtId="0" fontId="57" fillId="9" borderId="56" xfId="0" applyFont="1" applyFill="1" applyBorder="1">
      <alignment vertical="center"/>
    </xf>
    <xf numFmtId="192" fontId="55" fillId="9" borderId="57" xfId="2" applyNumberFormat="1" applyFont="1" applyFill="1" applyBorder="1" applyAlignment="1">
      <alignment horizontal="center" vertical="center"/>
    </xf>
    <xf numFmtId="192" fontId="55" fillId="9" borderId="56" xfId="2" applyNumberFormat="1" applyFont="1" applyFill="1" applyBorder="1" applyAlignment="1">
      <alignment horizontal="center" vertical="center"/>
    </xf>
    <xf numFmtId="192" fontId="55" fillId="9" borderId="92" xfId="2" applyNumberFormat="1" applyFont="1" applyFill="1" applyBorder="1" applyAlignment="1">
      <alignment horizontal="center" vertical="center"/>
    </xf>
    <xf numFmtId="192" fontId="55" fillId="9" borderId="58" xfId="2" applyNumberFormat="1" applyFont="1" applyFill="1" applyBorder="1" applyAlignment="1">
      <alignment horizontal="center" vertical="center"/>
    </xf>
    <xf numFmtId="192" fontId="55" fillId="9" borderId="59" xfId="2" applyNumberFormat="1" applyFont="1" applyFill="1" applyBorder="1" applyAlignment="1">
      <alignment horizontal="center" vertical="center"/>
    </xf>
    <xf numFmtId="192" fontId="55" fillId="9" borderId="223" xfId="2" applyNumberFormat="1" applyFont="1" applyFill="1" applyBorder="1" applyAlignment="1">
      <alignment horizontal="center" vertical="center"/>
    </xf>
    <xf numFmtId="0" fontId="47" fillId="9" borderId="140" xfId="0" applyFont="1" applyFill="1" applyBorder="1">
      <alignment vertical="center"/>
    </xf>
    <xf numFmtId="0" fontId="36" fillId="9" borderId="0" xfId="0" applyFont="1" applyFill="1" applyBorder="1">
      <alignment vertical="center"/>
    </xf>
    <xf numFmtId="192" fontId="36" fillId="9" borderId="11" xfId="2" applyNumberFormat="1" applyFont="1" applyFill="1" applyBorder="1" applyAlignment="1">
      <alignment horizontal="center" vertical="center"/>
    </xf>
    <xf numFmtId="192" fontId="36" fillId="9" borderId="0" xfId="2" applyNumberFormat="1" applyFont="1" applyFill="1" applyBorder="1" applyAlignment="1">
      <alignment horizontal="center" vertical="center"/>
    </xf>
    <xf numFmtId="192" fontId="36" fillId="9" borderId="84" xfId="2" applyNumberFormat="1" applyFont="1" applyFill="1" applyBorder="1" applyAlignment="1">
      <alignment horizontal="center" vertical="center"/>
    </xf>
    <xf numFmtId="192" fontId="36" fillId="9" borderId="2" xfId="2" applyNumberFormat="1" applyFont="1" applyFill="1" applyBorder="1" applyAlignment="1">
      <alignment horizontal="center" vertical="center"/>
    </xf>
    <xf numFmtId="192" fontId="36" fillId="9" borderId="44" xfId="2" applyNumberFormat="1" applyFont="1" applyFill="1" applyBorder="1" applyAlignment="1">
      <alignment horizontal="center" vertical="center"/>
    </xf>
    <xf numFmtId="192" fontId="36" fillId="9" borderId="224" xfId="2" applyNumberFormat="1" applyFont="1" applyFill="1" applyBorder="1" applyAlignment="1">
      <alignment horizontal="center" vertical="center"/>
    </xf>
    <xf numFmtId="0" fontId="60" fillId="9" borderId="140" xfId="0" applyFont="1" applyFill="1" applyBorder="1">
      <alignment vertical="center"/>
    </xf>
    <xf numFmtId="0" fontId="55" fillId="9" borderId="0" xfId="0" applyFont="1" applyFill="1" applyBorder="1">
      <alignment vertical="center"/>
    </xf>
    <xf numFmtId="187" fontId="55" fillId="9" borderId="11" xfId="0" applyNumberFormat="1" applyFont="1" applyFill="1" applyBorder="1" applyAlignment="1">
      <alignment horizontal="center" vertical="center"/>
    </xf>
    <xf numFmtId="187" fontId="55" fillId="9" borderId="0" xfId="0" applyNumberFormat="1" applyFont="1" applyFill="1" applyBorder="1" applyAlignment="1">
      <alignment horizontal="center" vertical="center"/>
    </xf>
    <xf numFmtId="188" fontId="55" fillId="9" borderId="0" xfId="0" applyNumberFormat="1" applyFont="1" applyFill="1" applyAlignment="1">
      <alignment horizontal="center" vertical="center"/>
    </xf>
    <xf numFmtId="188" fontId="55" fillId="9" borderId="84" xfId="0" applyNumberFormat="1" applyFont="1" applyFill="1" applyBorder="1" applyAlignment="1">
      <alignment horizontal="center" vertical="center"/>
    </xf>
    <xf numFmtId="187" fontId="55" fillId="9" borderId="2" xfId="0" applyNumberFormat="1" applyFont="1" applyFill="1" applyBorder="1" applyAlignment="1">
      <alignment horizontal="center" vertical="center"/>
    </xf>
    <xf numFmtId="188" fontId="55" fillId="9" borderId="44" xfId="0" applyNumberFormat="1" applyFont="1" applyFill="1" applyBorder="1" applyAlignment="1">
      <alignment horizontal="center" vertical="center"/>
    </xf>
    <xf numFmtId="188" fontId="55" fillId="9" borderId="224" xfId="0" applyNumberFormat="1" applyFont="1" applyFill="1" applyBorder="1" applyAlignment="1">
      <alignment horizontal="center" vertical="center"/>
    </xf>
    <xf numFmtId="0" fontId="55" fillId="9" borderId="0" xfId="0" quotePrefix="1" applyFont="1" applyFill="1" applyBorder="1">
      <alignment vertical="center"/>
    </xf>
    <xf numFmtId="192" fontId="55" fillId="9" borderId="11" xfId="2" applyNumberFormat="1" applyFont="1" applyFill="1" applyBorder="1" applyAlignment="1">
      <alignment horizontal="center" vertical="center"/>
    </xf>
    <xf numFmtId="192" fontId="55" fillId="9" borderId="0" xfId="2" applyNumberFormat="1" applyFont="1" applyFill="1" applyBorder="1" applyAlignment="1">
      <alignment horizontal="center" vertical="center"/>
    </xf>
    <xf numFmtId="192" fontId="55" fillId="9" borderId="84" xfId="2" applyNumberFormat="1" applyFont="1" applyFill="1" applyBorder="1" applyAlignment="1">
      <alignment horizontal="center" vertical="center"/>
    </xf>
    <xf numFmtId="192" fontId="55" fillId="9" borderId="2" xfId="2" applyNumberFormat="1" applyFont="1" applyFill="1" applyBorder="1" applyAlignment="1">
      <alignment horizontal="center" vertical="center"/>
    </xf>
    <xf numFmtId="192" fontId="55" fillId="9" borderId="44" xfId="2" applyNumberFormat="1" applyFont="1" applyFill="1" applyBorder="1" applyAlignment="1">
      <alignment horizontal="center" vertical="center"/>
    </xf>
    <xf numFmtId="192" fontId="55" fillId="9" borderId="224" xfId="2" applyNumberFormat="1" applyFont="1" applyFill="1" applyBorder="1" applyAlignment="1">
      <alignment horizontal="center" vertical="center"/>
    </xf>
    <xf numFmtId="0" fontId="57" fillId="13" borderId="140" xfId="0" applyFont="1" applyFill="1" applyBorder="1">
      <alignment vertical="center"/>
    </xf>
    <xf numFmtId="0" fontId="57" fillId="13" borderId="12" xfId="0" applyFont="1" applyFill="1" applyBorder="1">
      <alignment vertical="center"/>
    </xf>
    <xf numFmtId="192" fontId="55" fillId="13" borderId="11" xfId="2" applyNumberFormat="1" applyFont="1" applyFill="1" applyBorder="1" applyAlignment="1">
      <alignment horizontal="center" vertical="center"/>
    </xf>
    <xf numFmtId="192" fontId="55" fillId="13" borderId="0" xfId="2" applyNumberFormat="1" applyFont="1" applyFill="1" applyBorder="1" applyAlignment="1">
      <alignment horizontal="center" vertical="center"/>
    </xf>
    <xf numFmtId="192" fontId="55" fillId="13" borderId="84" xfId="2" applyNumberFormat="1" applyFont="1" applyFill="1" applyBorder="1" applyAlignment="1">
      <alignment horizontal="center" vertical="center"/>
    </xf>
    <xf numFmtId="192" fontId="55" fillId="13" borderId="2" xfId="2" applyNumberFormat="1" applyFont="1" applyFill="1" applyBorder="1" applyAlignment="1">
      <alignment horizontal="center" vertical="center"/>
    </xf>
    <xf numFmtId="192" fontId="55" fillId="13" borderId="44" xfId="2" applyNumberFormat="1" applyFont="1" applyFill="1" applyBorder="1" applyAlignment="1">
      <alignment horizontal="center" vertical="center"/>
    </xf>
    <xf numFmtId="192" fontId="55" fillId="13" borderId="224" xfId="2" applyNumberFormat="1" applyFont="1" applyFill="1" applyBorder="1" applyAlignment="1">
      <alignment horizontal="center" vertical="center"/>
    </xf>
    <xf numFmtId="0" fontId="60" fillId="13" borderId="140" xfId="0" applyFont="1" applyFill="1" applyBorder="1">
      <alignment vertical="center"/>
    </xf>
    <xf numFmtId="0" fontId="60" fillId="13" borderId="12" xfId="0" applyFont="1" applyFill="1" applyBorder="1">
      <alignment vertical="center"/>
    </xf>
    <xf numFmtId="187" fontId="55" fillId="13" borderId="11" xfId="3" applyNumberFormat="1" applyFont="1" applyFill="1" applyBorder="1" applyAlignment="1">
      <alignment horizontal="center" vertical="center"/>
    </xf>
    <xf numFmtId="187" fontId="55" fillId="13" borderId="0" xfId="3" applyNumberFormat="1" applyFont="1" applyFill="1" applyBorder="1" applyAlignment="1">
      <alignment horizontal="center" vertical="center"/>
    </xf>
    <xf numFmtId="188" fontId="55" fillId="13" borderId="0" xfId="3" applyNumberFormat="1" applyFont="1" applyFill="1" applyBorder="1" applyAlignment="1">
      <alignment horizontal="center" vertical="center"/>
    </xf>
    <xf numFmtId="188" fontId="55" fillId="13" borderId="84" xfId="3" applyNumberFormat="1" applyFont="1" applyFill="1" applyBorder="1" applyAlignment="1">
      <alignment horizontal="center" vertical="center"/>
    </xf>
    <xf numFmtId="187" fontId="55" fillId="13" borderId="2" xfId="3" applyNumberFormat="1" applyFont="1" applyFill="1" applyBorder="1" applyAlignment="1">
      <alignment horizontal="center" vertical="center"/>
    </xf>
    <xf numFmtId="187" fontId="55" fillId="13" borderId="44" xfId="3" applyNumberFormat="1" applyFont="1" applyFill="1" applyBorder="1" applyAlignment="1">
      <alignment horizontal="center" vertical="center"/>
    </xf>
    <xf numFmtId="188" fontId="55" fillId="13" borderId="224" xfId="3" applyNumberFormat="1" applyFont="1" applyFill="1" applyBorder="1" applyAlignment="1">
      <alignment horizontal="center" vertical="center"/>
    </xf>
    <xf numFmtId="0" fontId="60" fillId="0" borderId="140" xfId="0" applyFont="1" applyFill="1" applyBorder="1">
      <alignment vertical="center"/>
    </xf>
    <xf numFmtId="187" fontId="55" fillId="0" borderId="11" xfId="3" applyNumberFormat="1" applyFont="1" applyFill="1" applyBorder="1" applyAlignment="1">
      <alignment horizontal="center" vertical="center"/>
    </xf>
    <xf numFmtId="187" fontId="55" fillId="0" borderId="0" xfId="3" applyNumberFormat="1" applyFont="1" applyFill="1" applyBorder="1" applyAlignment="1">
      <alignment horizontal="center" vertical="center"/>
    </xf>
    <xf numFmtId="188" fontId="55" fillId="0" borderId="0" xfId="3" applyNumberFormat="1" applyFont="1" applyFill="1" applyBorder="1" applyAlignment="1">
      <alignment horizontal="center" vertical="center"/>
    </xf>
    <xf numFmtId="188" fontId="55" fillId="0" borderId="84" xfId="3" applyNumberFormat="1" applyFont="1" applyFill="1" applyBorder="1" applyAlignment="1">
      <alignment horizontal="center" vertical="center"/>
    </xf>
    <xf numFmtId="187" fontId="55" fillId="0" borderId="2" xfId="3" applyNumberFormat="1" applyFont="1" applyFill="1" applyBorder="1" applyAlignment="1">
      <alignment horizontal="center" vertical="center"/>
    </xf>
    <xf numFmtId="187" fontId="55" fillId="0" borderId="44" xfId="3" applyNumberFormat="1" applyFont="1" applyFill="1" applyBorder="1" applyAlignment="1">
      <alignment horizontal="center" vertical="center"/>
    </xf>
    <xf numFmtId="188" fontId="55" fillId="0" borderId="224" xfId="3" applyNumberFormat="1" applyFont="1" applyFill="1" applyBorder="1" applyAlignment="1">
      <alignment horizontal="center" vertical="center"/>
    </xf>
    <xf numFmtId="0" fontId="60" fillId="0" borderId="141" xfId="0" applyFont="1" applyFill="1" applyBorder="1">
      <alignment vertical="center"/>
    </xf>
    <xf numFmtId="0" fontId="55" fillId="0" borderId="127" xfId="0" applyFont="1" applyFill="1" applyBorder="1">
      <alignment vertical="center"/>
    </xf>
    <xf numFmtId="187" fontId="55" fillId="0" borderId="129" xfId="3" applyNumberFormat="1" applyFont="1" applyFill="1" applyBorder="1" applyAlignment="1">
      <alignment horizontal="center" vertical="center"/>
    </xf>
    <xf numFmtId="187" fontId="55" fillId="0" borderId="127" xfId="3" applyNumberFormat="1" applyFont="1" applyFill="1" applyBorder="1" applyAlignment="1">
      <alignment horizontal="center" vertical="center"/>
    </xf>
    <xf numFmtId="188" fontId="55" fillId="0" borderId="127" xfId="3" applyNumberFormat="1" applyFont="1" applyFill="1" applyBorder="1" applyAlignment="1">
      <alignment horizontal="center" vertical="center"/>
    </xf>
    <xf numFmtId="188" fontId="55" fillId="0" borderId="132" xfId="3" applyNumberFormat="1" applyFont="1" applyFill="1" applyBorder="1" applyAlignment="1">
      <alignment horizontal="center" vertical="center"/>
    </xf>
    <xf numFmtId="187" fontId="55" fillId="0" borderId="130" xfId="3" applyNumberFormat="1" applyFont="1" applyFill="1" applyBorder="1" applyAlignment="1">
      <alignment horizontal="center" vertical="center"/>
    </xf>
    <xf numFmtId="187" fontId="55" fillId="0" borderId="131" xfId="3" applyNumberFormat="1" applyFont="1" applyFill="1" applyBorder="1" applyAlignment="1">
      <alignment horizontal="center" vertical="center"/>
    </xf>
    <xf numFmtId="188" fontId="55" fillId="0" borderId="232" xfId="3" applyNumberFormat="1" applyFont="1" applyFill="1" applyBorder="1" applyAlignment="1">
      <alignment horizontal="center" vertical="center"/>
    </xf>
    <xf numFmtId="0" fontId="57" fillId="13" borderId="0" xfId="0" applyFont="1" applyFill="1" applyBorder="1">
      <alignment vertical="center"/>
    </xf>
    <xf numFmtId="0" fontId="60" fillId="13" borderId="0" xfId="0" applyFont="1" applyFill="1" applyBorder="1">
      <alignment vertical="center"/>
    </xf>
    <xf numFmtId="187" fontId="55" fillId="13" borderId="11" xfId="0" applyNumberFormat="1" applyFont="1" applyFill="1" applyBorder="1" applyAlignment="1">
      <alignment horizontal="center" vertical="center"/>
    </xf>
    <xf numFmtId="187" fontId="55" fillId="13" borderId="0" xfId="0" applyNumberFormat="1" applyFont="1" applyFill="1" applyBorder="1" applyAlignment="1">
      <alignment horizontal="center" vertical="center"/>
    </xf>
    <xf numFmtId="188" fontId="55" fillId="13" borderId="0" xfId="0" applyNumberFormat="1" applyFont="1" applyFill="1" applyAlignment="1">
      <alignment horizontal="center" vertical="center"/>
    </xf>
    <xf numFmtId="188" fontId="55" fillId="13" borderId="84" xfId="0" applyNumberFormat="1" applyFont="1" applyFill="1" applyBorder="1" applyAlignment="1">
      <alignment horizontal="center" vertical="center"/>
    </xf>
    <xf numFmtId="187" fontId="55" fillId="13" borderId="2" xfId="0" applyNumberFormat="1" applyFont="1" applyFill="1" applyBorder="1" applyAlignment="1">
      <alignment horizontal="center" vertical="center"/>
    </xf>
    <xf numFmtId="187" fontId="55" fillId="13" borderId="44" xfId="0" applyNumberFormat="1" applyFont="1" applyFill="1" applyBorder="1" applyAlignment="1">
      <alignment horizontal="center" vertical="center"/>
    </xf>
    <xf numFmtId="188" fontId="55" fillId="13" borderId="224" xfId="0" applyNumberFormat="1" applyFont="1" applyFill="1" applyBorder="1" applyAlignment="1">
      <alignment horizontal="center" vertical="center"/>
    </xf>
    <xf numFmtId="187" fontId="55" fillId="0" borderId="11" xfId="0" applyNumberFormat="1" applyFont="1" applyBorder="1" applyAlignment="1">
      <alignment horizontal="center" vertical="center"/>
    </xf>
    <xf numFmtId="187" fontId="55" fillId="0" borderId="0" xfId="0" applyNumberFormat="1" applyFont="1" applyBorder="1" applyAlignment="1">
      <alignment horizontal="center" vertical="center"/>
    </xf>
    <xf numFmtId="188" fontId="55" fillId="0" borderId="0" xfId="0" applyNumberFormat="1" applyFont="1" applyAlignment="1">
      <alignment horizontal="center" vertical="center"/>
    </xf>
    <xf numFmtId="188" fontId="55" fillId="0" borderId="84" xfId="0" applyNumberFormat="1" applyFont="1" applyBorder="1" applyAlignment="1">
      <alignment horizontal="center" vertical="center"/>
    </xf>
    <xf numFmtId="187" fontId="55" fillId="0" borderId="2" xfId="0" applyNumberFormat="1" applyFont="1" applyBorder="1" applyAlignment="1">
      <alignment horizontal="center" vertical="center"/>
    </xf>
    <xf numFmtId="187" fontId="55" fillId="0" borderId="44" xfId="0" applyNumberFormat="1" applyFont="1" applyBorder="1" applyAlignment="1">
      <alignment horizontal="center" vertical="center"/>
    </xf>
    <xf numFmtId="188" fontId="55" fillId="0" borderId="224" xfId="0" applyNumberFormat="1" applyFont="1" applyBorder="1" applyAlignment="1">
      <alignment horizontal="center" vertical="center"/>
    </xf>
    <xf numFmtId="0" fontId="60" fillId="0" borderId="142" xfId="0" applyFont="1" applyFill="1" applyBorder="1">
      <alignment vertical="center"/>
    </xf>
    <xf numFmtId="0" fontId="55" fillId="0" borderId="114" xfId="0" applyFont="1" applyFill="1" applyBorder="1">
      <alignment vertical="center"/>
    </xf>
    <xf numFmtId="187" fontId="55" fillId="0" borderId="116" xfId="0" applyNumberFormat="1" applyFont="1" applyBorder="1" applyAlignment="1">
      <alignment horizontal="center" vertical="center"/>
    </xf>
    <xf numFmtId="187" fontId="55" fillId="0" borderId="114" xfId="0" applyNumberFormat="1" applyFont="1" applyBorder="1" applyAlignment="1">
      <alignment horizontal="center" vertical="center"/>
    </xf>
    <xf numFmtId="188" fontId="55" fillId="0" borderId="114" xfId="0" applyNumberFormat="1" applyFont="1" applyBorder="1" applyAlignment="1">
      <alignment horizontal="center" vertical="center"/>
    </xf>
    <xf numFmtId="188" fontId="55" fillId="0" borderId="119" xfId="0" applyNumberFormat="1" applyFont="1" applyBorder="1" applyAlignment="1">
      <alignment horizontal="center" vertical="center"/>
    </xf>
    <xf numFmtId="187" fontId="55" fillId="0" borderId="117" xfId="0" applyNumberFormat="1" applyFont="1" applyBorder="1" applyAlignment="1">
      <alignment horizontal="center" vertical="center"/>
    </xf>
    <xf numFmtId="187" fontId="55" fillId="0" borderId="118" xfId="0" applyNumberFormat="1" applyFont="1" applyBorder="1" applyAlignment="1">
      <alignment horizontal="center" vertical="center"/>
    </xf>
    <xf numFmtId="188" fontId="55" fillId="0" borderId="227" xfId="0" applyNumberFormat="1" applyFont="1" applyBorder="1" applyAlignment="1">
      <alignment horizontal="center" vertical="center"/>
    </xf>
    <xf numFmtId="187" fontId="55" fillId="11" borderId="11" xfId="0" applyNumberFormat="1" applyFont="1" applyFill="1" applyBorder="1" applyAlignment="1">
      <alignment horizontal="center" vertical="center"/>
    </xf>
    <xf numFmtId="187" fontId="55" fillId="11" borderId="0" xfId="0" applyNumberFormat="1" applyFont="1" applyFill="1" applyBorder="1" applyAlignment="1">
      <alignment horizontal="center" vertical="center"/>
    </xf>
    <xf numFmtId="188" fontId="55" fillId="11" borderId="0" xfId="0" applyNumberFormat="1" applyFont="1" applyFill="1" applyAlignment="1">
      <alignment horizontal="center" vertical="center"/>
    </xf>
    <xf numFmtId="188" fontId="55" fillId="11" borderId="84" xfId="0" applyNumberFormat="1" applyFont="1" applyFill="1" applyBorder="1" applyAlignment="1">
      <alignment horizontal="center" vertical="center"/>
    </xf>
    <xf numFmtId="187" fontId="55" fillId="11" borderId="2" xfId="0" applyNumberFormat="1" applyFont="1" applyFill="1" applyBorder="1" applyAlignment="1">
      <alignment horizontal="center" vertical="center"/>
    </xf>
    <xf numFmtId="187" fontId="55" fillId="11" borderId="44" xfId="0" applyNumberFormat="1" applyFont="1" applyFill="1" applyBorder="1" applyAlignment="1">
      <alignment horizontal="center" vertical="center"/>
    </xf>
    <xf numFmtId="188" fontId="55" fillId="11" borderId="248" xfId="0" applyNumberFormat="1" applyFont="1" applyFill="1" applyBorder="1" applyAlignment="1">
      <alignment horizontal="center" vertical="center"/>
    </xf>
    <xf numFmtId="187" fontId="55" fillId="5" borderId="11" xfId="0" applyNumberFormat="1" applyFont="1" applyFill="1" applyBorder="1" applyAlignment="1">
      <alignment horizontal="center" vertical="center"/>
    </xf>
    <xf numFmtId="187" fontId="55" fillId="5" borderId="0" xfId="0" applyNumberFormat="1" applyFont="1" applyFill="1" applyBorder="1" applyAlignment="1">
      <alignment horizontal="center" vertical="center"/>
    </xf>
    <xf numFmtId="188" fontId="55" fillId="5" borderId="0" xfId="0" applyNumberFormat="1" applyFont="1" applyFill="1" applyAlignment="1">
      <alignment horizontal="center" vertical="center"/>
    </xf>
    <xf numFmtId="188" fontId="55" fillId="5" borderId="84" xfId="0" applyNumberFormat="1" applyFont="1" applyFill="1" applyBorder="1" applyAlignment="1">
      <alignment horizontal="center" vertical="center"/>
    </xf>
    <xf numFmtId="187" fontId="55" fillId="5" borderId="2" xfId="0" applyNumberFormat="1" applyFont="1" applyFill="1" applyBorder="1" applyAlignment="1">
      <alignment horizontal="center" vertical="center"/>
    </xf>
    <xf numFmtId="187" fontId="55" fillId="5" borderId="44" xfId="0" applyNumberFormat="1" applyFont="1" applyFill="1" applyBorder="1" applyAlignment="1">
      <alignment horizontal="center" vertical="center"/>
    </xf>
    <xf numFmtId="188" fontId="55" fillId="5" borderId="248" xfId="0" applyNumberFormat="1" applyFont="1" applyFill="1" applyBorder="1" applyAlignment="1">
      <alignment horizontal="center" vertical="center"/>
    </xf>
    <xf numFmtId="187" fontId="55" fillId="5" borderId="50" xfId="0" applyNumberFormat="1" applyFont="1" applyFill="1" applyBorder="1" applyAlignment="1">
      <alignment horizontal="center" vertical="center"/>
    </xf>
    <xf numFmtId="187" fontId="55" fillId="5" borderId="34" xfId="0" applyNumberFormat="1" applyFont="1" applyFill="1" applyBorder="1" applyAlignment="1">
      <alignment horizontal="center" vertical="center"/>
    </xf>
    <xf numFmtId="188" fontId="55" fillId="5" borderId="34" xfId="0" applyNumberFormat="1" applyFont="1" applyFill="1" applyBorder="1" applyAlignment="1">
      <alignment horizontal="center" vertical="center"/>
    </xf>
    <xf numFmtId="188" fontId="55" fillId="5" borderId="90" xfId="0" applyNumberFormat="1" applyFont="1" applyFill="1" applyBorder="1" applyAlignment="1">
      <alignment horizontal="center" vertical="center"/>
    </xf>
    <xf numFmtId="187" fontId="55" fillId="5" borderId="51" xfId="0" applyNumberFormat="1" applyFont="1" applyFill="1" applyBorder="1" applyAlignment="1">
      <alignment horizontal="center" vertical="center"/>
    </xf>
    <xf numFmtId="187" fontId="55" fillId="5" borderId="52" xfId="0" applyNumberFormat="1" applyFont="1" applyFill="1" applyBorder="1" applyAlignment="1">
      <alignment horizontal="center" vertical="center"/>
    </xf>
    <xf numFmtId="188" fontId="55" fillId="5" borderId="250" xfId="0" applyNumberFormat="1" applyFont="1" applyFill="1" applyBorder="1" applyAlignment="1">
      <alignment horizontal="center" vertical="center"/>
    </xf>
    <xf numFmtId="0" fontId="57" fillId="9" borderId="143" xfId="0" applyFont="1" applyFill="1" applyBorder="1" applyAlignment="1">
      <alignment vertical="center" wrapText="1"/>
    </xf>
    <xf numFmtId="0" fontId="57" fillId="9" borderId="74" xfId="0" applyFont="1" applyFill="1" applyBorder="1">
      <alignment vertical="center"/>
    </xf>
    <xf numFmtId="202" fontId="55" fillId="9" borderId="75" xfId="2" applyNumberFormat="1" applyFont="1" applyFill="1" applyBorder="1" applyAlignment="1">
      <alignment horizontal="center" vertical="center"/>
    </xf>
    <xf numFmtId="202" fontId="55" fillId="9" borderId="74" xfId="2" applyNumberFormat="1" applyFont="1" applyFill="1" applyBorder="1" applyAlignment="1">
      <alignment horizontal="center" vertical="center"/>
    </xf>
    <xf numFmtId="192" fontId="55" fillId="9" borderId="74" xfId="2" applyNumberFormat="1" applyFont="1" applyFill="1" applyBorder="1" applyAlignment="1">
      <alignment horizontal="center" vertical="center"/>
    </xf>
    <xf numFmtId="192" fontId="55" fillId="9" borderId="120" xfId="2" applyNumberFormat="1" applyFont="1" applyFill="1" applyBorder="1" applyAlignment="1">
      <alignment horizontal="center" vertical="center"/>
    </xf>
    <xf numFmtId="202" fontId="55" fillId="9" borderId="76" xfId="2" applyNumberFormat="1" applyFont="1" applyFill="1" applyBorder="1" applyAlignment="1">
      <alignment horizontal="center" vertical="center"/>
    </xf>
    <xf numFmtId="217" fontId="55" fillId="9" borderId="74" xfId="2" applyNumberFormat="1" applyFont="1" applyFill="1" applyBorder="1" applyAlignment="1">
      <alignment horizontal="center" vertical="center"/>
    </xf>
    <xf numFmtId="217" fontId="55" fillId="9" borderId="77" xfId="2" applyNumberFormat="1" applyFont="1" applyFill="1" applyBorder="1" applyAlignment="1">
      <alignment horizontal="center" vertical="center"/>
    </xf>
    <xf numFmtId="217" fontId="55" fillId="9" borderId="229" xfId="2" applyNumberFormat="1" applyFont="1" applyFill="1" applyBorder="1" applyAlignment="1">
      <alignment horizontal="center" vertical="center"/>
    </xf>
    <xf numFmtId="0" fontId="57" fillId="9" borderId="140" xfId="0" applyFont="1" applyFill="1" applyBorder="1">
      <alignment vertical="center"/>
    </xf>
    <xf numFmtId="0" fontId="57" fillId="9" borderId="0" xfId="0" applyFont="1" applyFill="1" applyBorder="1">
      <alignment vertical="center"/>
    </xf>
    <xf numFmtId="202" fontId="55" fillId="9" borderId="11" xfId="2" applyNumberFormat="1" applyFont="1" applyFill="1" applyBorder="1" applyAlignment="1">
      <alignment horizontal="center" vertical="center"/>
    </xf>
    <xf numFmtId="202" fontId="55" fillId="9" borderId="0" xfId="2" applyNumberFormat="1" applyFont="1" applyFill="1" applyBorder="1" applyAlignment="1">
      <alignment horizontal="center" vertical="center"/>
    </xf>
    <xf numFmtId="202" fontId="55" fillId="9" borderId="2" xfId="2" applyNumberFormat="1" applyFont="1" applyFill="1" applyBorder="1" applyAlignment="1">
      <alignment horizontal="center" vertical="center"/>
    </xf>
    <xf numFmtId="217" fontId="55" fillId="9" borderId="0" xfId="2" applyNumberFormat="1" applyFont="1" applyFill="1" applyBorder="1" applyAlignment="1">
      <alignment horizontal="center" vertical="center"/>
    </xf>
    <xf numFmtId="217" fontId="55" fillId="9" borderId="44" xfId="2" applyNumberFormat="1" applyFont="1" applyFill="1" applyBorder="1" applyAlignment="1">
      <alignment horizontal="center" vertical="center"/>
    </xf>
    <xf numFmtId="217" fontId="55" fillId="9" borderId="224" xfId="2" applyNumberFormat="1" applyFont="1" applyFill="1" applyBorder="1" applyAlignment="1">
      <alignment horizontal="center" vertical="center"/>
    </xf>
    <xf numFmtId="0" fontId="60" fillId="9" borderId="0" xfId="0" applyFont="1" applyFill="1" applyBorder="1">
      <alignment vertical="center"/>
    </xf>
    <xf numFmtId="187" fontId="55" fillId="9" borderId="44" xfId="0" applyNumberFormat="1" applyFont="1" applyFill="1" applyBorder="1" applyAlignment="1">
      <alignment horizontal="center" vertical="center"/>
    </xf>
    <xf numFmtId="0" fontId="55" fillId="9" borderId="140" xfId="0" applyFont="1" applyFill="1" applyBorder="1">
      <alignment vertical="center"/>
    </xf>
    <xf numFmtId="0" fontId="57" fillId="13" borderId="145" xfId="0" applyFont="1" applyFill="1" applyBorder="1">
      <alignment vertical="center"/>
    </xf>
    <xf numFmtId="0" fontId="57" fillId="13" borderId="121" xfId="0" applyFont="1" applyFill="1" applyBorder="1">
      <alignment vertical="center"/>
    </xf>
    <xf numFmtId="202" fontId="55" fillId="13" borderId="123" xfId="2" applyNumberFormat="1" applyFont="1" applyFill="1" applyBorder="1" applyAlignment="1">
      <alignment horizontal="center" vertical="center"/>
    </xf>
    <xf numFmtId="202" fontId="55" fillId="13" borderId="121" xfId="2" applyNumberFormat="1" applyFont="1" applyFill="1" applyBorder="1" applyAlignment="1">
      <alignment horizontal="center" vertical="center"/>
    </xf>
    <xf numFmtId="192" fontId="55" fillId="13" borderId="121" xfId="2" applyNumberFormat="1" applyFont="1" applyFill="1" applyBorder="1" applyAlignment="1">
      <alignment horizontal="center" vertical="center"/>
    </xf>
    <xf numFmtId="192" fontId="55" fillId="13" borderId="126" xfId="2" applyNumberFormat="1" applyFont="1" applyFill="1" applyBorder="1" applyAlignment="1">
      <alignment horizontal="center" vertical="center"/>
    </xf>
    <xf numFmtId="202" fontId="55" fillId="13" borderId="124" xfId="2" applyNumberFormat="1" applyFont="1" applyFill="1" applyBorder="1" applyAlignment="1">
      <alignment horizontal="center" vertical="center"/>
    </xf>
    <xf numFmtId="217" fontId="55" fillId="13" borderId="121" xfId="2" applyNumberFormat="1" applyFont="1" applyFill="1" applyBorder="1" applyAlignment="1">
      <alignment horizontal="center" vertical="center"/>
    </xf>
    <xf numFmtId="217" fontId="55" fillId="13" borderId="125" xfId="2" applyNumberFormat="1" applyFont="1" applyFill="1" applyBorder="1" applyAlignment="1">
      <alignment horizontal="center" vertical="center"/>
    </xf>
    <xf numFmtId="217" fontId="55" fillId="13" borderId="225" xfId="2" applyNumberFormat="1" applyFont="1" applyFill="1" applyBorder="1" applyAlignment="1">
      <alignment horizontal="center" vertical="center"/>
    </xf>
    <xf numFmtId="202" fontId="55" fillId="0" borderId="11" xfId="2" applyNumberFormat="1" applyFont="1" applyFill="1" applyBorder="1" applyAlignment="1">
      <alignment horizontal="center" vertical="center"/>
    </xf>
    <xf numFmtId="202" fontId="55" fillId="0" borderId="0" xfId="2" applyNumberFormat="1" applyFont="1" applyFill="1" applyBorder="1" applyAlignment="1">
      <alignment horizontal="center" vertical="center"/>
    </xf>
    <xf numFmtId="202" fontId="55" fillId="0" borderId="84" xfId="2" applyNumberFormat="1" applyFont="1" applyFill="1" applyBorder="1" applyAlignment="1">
      <alignment horizontal="center" vertical="center"/>
    </xf>
    <xf numFmtId="202" fontId="55" fillId="0" borderId="2" xfId="2" applyNumberFormat="1" applyFont="1" applyFill="1" applyBorder="1" applyAlignment="1">
      <alignment horizontal="center" vertical="center"/>
    </xf>
    <xf numFmtId="202" fontId="55" fillId="0" borderId="44" xfId="2" applyNumberFormat="1" applyFont="1" applyFill="1" applyBorder="1" applyAlignment="1">
      <alignment horizontal="center" vertical="center"/>
    </xf>
    <xf numFmtId="202" fontId="55" fillId="0" borderId="224" xfId="2" applyNumberFormat="1" applyFont="1" applyFill="1" applyBorder="1" applyAlignment="1">
      <alignment horizontal="center" vertical="center"/>
    </xf>
    <xf numFmtId="202" fontId="55" fillId="0" borderId="129" xfId="2" applyNumberFormat="1" applyFont="1" applyFill="1" applyBorder="1" applyAlignment="1">
      <alignment horizontal="center" vertical="center"/>
    </xf>
    <xf numFmtId="202" fontId="55" fillId="0" borderId="127" xfId="2" applyNumberFormat="1" applyFont="1" applyFill="1" applyBorder="1" applyAlignment="1">
      <alignment horizontal="center" vertical="center"/>
    </xf>
    <xf numFmtId="202" fontId="55" fillId="0" borderId="132" xfId="2" applyNumberFormat="1" applyFont="1" applyFill="1" applyBorder="1" applyAlignment="1">
      <alignment horizontal="center" vertical="center"/>
    </xf>
    <xf numFmtId="202" fontId="55" fillId="0" borderId="130" xfId="2" applyNumberFormat="1" applyFont="1" applyFill="1" applyBorder="1" applyAlignment="1">
      <alignment horizontal="center" vertical="center"/>
    </xf>
    <xf numFmtId="202" fontId="55" fillId="0" borderId="131" xfId="2" applyNumberFormat="1" applyFont="1" applyFill="1" applyBorder="1" applyAlignment="1">
      <alignment horizontal="center" vertical="center"/>
    </xf>
    <xf numFmtId="202" fontId="55" fillId="0" borderId="232" xfId="2" applyNumberFormat="1" applyFont="1" applyFill="1" applyBorder="1" applyAlignment="1">
      <alignment horizontal="center" vertical="center"/>
    </xf>
    <xf numFmtId="202" fontId="55" fillId="13" borderId="11" xfId="2" applyNumberFormat="1" applyFont="1" applyFill="1" applyBorder="1" applyAlignment="1">
      <alignment horizontal="center" vertical="center"/>
    </xf>
    <xf numFmtId="202" fontId="55" fillId="13" borderId="0" xfId="2" applyNumberFormat="1" applyFont="1" applyFill="1" applyBorder="1" applyAlignment="1">
      <alignment horizontal="center" vertical="center"/>
    </xf>
    <xf numFmtId="203" fontId="55" fillId="13" borderId="0" xfId="2" applyNumberFormat="1" applyFont="1" applyFill="1" applyBorder="1" applyAlignment="1">
      <alignment horizontal="center" vertical="center"/>
    </xf>
    <xf numFmtId="202" fontId="55" fillId="13" borderId="84" xfId="2" applyNumberFormat="1" applyFont="1" applyFill="1" applyBorder="1" applyAlignment="1">
      <alignment horizontal="center" vertical="center"/>
    </xf>
    <xf numFmtId="203" fontId="55" fillId="13" borderId="2" xfId="2" applyNumberFormat="1" applyFont="1" applyFill="1" applyBorder="1" applyAlignment="1">
      <alignment horizontal="center" vertical="center"/>
    </xf>
    <xf numFmtId="203" fontId="55" fillId="13" borderId="44" xfId="2" applyNumberFormat="1" applyFont="1" applyFill="1" applyBorder="1" applyAlignment="1">
      <alignment horizontal="center" vertical="center"/>
    </xf>
    <xf numFmtId="202" fontId="55" fillId="13" borderId="224" xfId="2" applyNumberFormat="1" applyFont="1" applyFill="1" applyBorder="1" applyAlignment="1">
      <alignment horizontal="center" vertical="center"/>
    </xf>
    <xf numFmtId="187" fontId="36" fillId="2" borderId="123" xfId="0" applyNumberFormat="1" applyFont="1" applyFill="1" applyBorder="1" applyAlignment="1">
      <alignment horizontal="center" vertical="center"/>
    </xf>
    <xf numFmtId="187" fontId="36" fillId="2" borderId="121" xfId="0" applyNumberFormat="1" applyFont="1" applyFill="1" applyBorder="1" applyAlignment="1">
      <alignment horizontal="center" vertical="center"/>
    </xf>
    <xf numFmtId="188" fontId="36" fillId="2" borderId="121" xfId="0" applyNumberFormat="1" applyFont="1" applyFill="1" applyBorder="1" applyAlignment="1">
      <alignment horizontal="center" vertical="center"/>
    </xf>
    <xf numFmtId="216" fontId="36" fillId="2" borderId="121" xfId="0" applyNumberFormat="1" applyFont="1" applyFill="1" applyBorder="1" applyAlignment="1">
      <alignment horizontal="center" vertical="center"/>
    </xf>
    <xf numFmtId="187" fontId="36" fillId="2" borderId="124" xfId="0" applyNumberFormat="1" applyFont="1" applyFill="1" applyBorder="1" applyAlignment="1">
      <alignment horizontal="center" vertical="center"/>
    </xf>
    <xf numFmtId="187" fontId="36" fillId="2" borderId="125" xfId="0" applyNumberFormat="1" applyFont="1" applyFill="1" applyBorder="1" applyAlignment="1">
      <alignment horizontal="center" vertical="center"/>
    </xf>
    <xf numFmtId="188" fontId="36" fillId="2" borderId="225" xfId="0" applyNumberFormat="1" applyFont="1" applyFill="1" applyBorder="1" applyAlignment="1">
      <alignment horizontal="center" vertical="center"/>
    </xf>
    <xf numFmtId="187" fontId="36" fillId="0" borderId="62" xfId="0" applyNumberFormat="1" applyFont="1" applyBorder="1" applyAlignment="1">
      <alignment horizontal="center" vertical="center"/>
    </xf>
    <xf numFmtId="187" fontId="36" fillId="0" borderId="61" xfId="0" applyNumberFormat="1" applyFont="1" applyBorder="1" applyAlignment="1">
      <alignment horizontal="center" vertical="center"/>
    </xf>
    <xf numFmtId="188" fontId="36" fillId="0" borderId="61" xfId="0" applyNumberFormat="1" applyFont="1" applyBorder="1" applyAlignment="1">
      <alignment horizontal="center" vertical="center"/>
    </xf>
    <xf numFmtId="187" fontId="36" fillId="0" borderId="63" xfId="0" applyNumberFormat="1" applyFont="1" applyBorder="1" applyAlignment="1">
      <alignment horizontal="center" vertical="center"/>
    </xf>
    <xf numFmtId="187" fontId="36" fillId="0" borderId="64" xfId="0" applyNumberFormat="1" applyFont="1" applyBorder="1" applyAlignment="1">
      <alignment horizontal="center" vertical="center"/>
    </xf>
    <xf numFmtId="187" fontId="36" fillId="0" borderId="233" xfId="0" applyNumberFormat="1" applyFont="1" applyBorder="1" applyAlignment="1">
      <alignment horizontal="center" vertical="center"/>
    </xf>
    <xf numFmtId="0" fontId="36" fillId="0" borderId="786" xfId="0" applyFont="1" applyBorder="1">
      <alignment vertical="center"/>
    </xf>
    <xf numFmtId="0" fontId="36" fillId="0" borderId="0" xfId="0" quotePrefix="1" applyFont="1" applyBorder="1">
      <alignment vertical="center"/>
    </xf>
    <xf numFmtId="0" fontId="43" fillId="4" borderId="668" xfId="0" quotePrefix="1" applyFont="1" applyFill="1" applyBorder="1" applyAlignment="1">
      <alignment horizontal="center" vertical="center"/>
    </xf>
    <xf numFmtId="0" fontId="43" fillId="4" borderId="667" xfId="0" quotePrefix="1" applyFont="1" applyFill="1" applyBorder="1" applyAlignment="1">
      <alignment horizontal="center" vertical="center"/>
    </xf>
    <xf numFmtId="0" fontId="37" fillId="67" borderId="437" xfId="0" quotePrefix="1" applyFont="1" applyFill="1" applyBorder="1" applyAlignment="1">
      <alignment horizontal="center" vertical="center"/>
    </xf>
    <xf numFmtId="0" fontId="37" fillId="67" borderId="0" xfId="0" quotePrefix="1" applyFont="1" applyFill="1" applyBorder="1" applyAlignment="1">
      <alignment horizontal="center" vertical="center"/>
    </xf>
    <xf numFmtId="178" fontId="36" fillId="11" borderId="9" xfId="0" applyNumberFormat="1" applyFont="1" applyFill="1" applyBorder="1" applyAlignment="1">
      <alignment horizontal="center" vertical="center"/>
    </xf>
    <xf numFmtId="178" fontId="36" fillId="11" borderId="999" xfId="0" applyNumberFormat="1" applyFont="1" applyFill="1" applyBorder="1" applyAlignment="1">
      <alignment horizontal="center" vertical="center"/>
    </xf>
    <xf numFmtId="178" fontId="36" fillId="11" borderId="433" xfId="0" applyNumberFormat="1" applyFont="1" applyFill="1" applyBorder="1" applyAlignment="1">
      <alignment horizontal="center" vertical="center"/>
    </xf>
    <xf numFmtId="178" fontId="36" fillId="11" borderId="35" xfId="0" applyNumberFormat="1" applyFont="1" applyFill="1" applyBorder="1" applyAlignment="1">
      <alignment horizontal="center" vertical="center"/>
    </xf>
    <xf numFmtId="9" fontId="36" fillId="11" borderId="1048" xfId="3" applyNumberFormat="1" applyFont="1" applyFill="1" applyBorder="1" applyAlignment="1">
      <alignment horizontal="center" vertical="center"/>
    </xf>
    <xf numFmtId="178" fontId="36" fillId="11" borderId="369" xfId="0" applyNumberFormat="1" applyFont="1" applyFill="1" applyBorder="1" applyAlignment="1">
      <alignment horizontal="center" vertical="center"/>
    </xf>
    <xf numFmtId="9" fontId="36" fillId="11" borderId="370" xfId="3" applyFont="1" applyFill="1" applyBorder="1" applyAlignment="1">
      <alignment horizontal="center" vertical="center"/>
    </xf>
    <xf numFmtId="177" fontId="36" fillId="11" borderId="0" xfId="0" applyNumberFormat="1" applyFont="1" applyFill="1" applyBorder="1" applyAlignment="1">
      <alignment horizontal="center" vertical="center"/>
    </xf>
    <xf numFmtId="179" fontId="36" fillId="11" borderId="44" xfId="0" applyNumberFormat="1" applyFont="1" applyFill="1" applyBorder="1" applyAlignment="1">
      <alignment horizontal="center" vertical="center"/>
    </xf>
    <xf numFmtId="0" fontId="65" fillId="22" borderId="0" xfId="0" applyFont="1" applyFill="1" applyAlignment="1">
      <alignment horizontal="center" vertical="center"/>
    </xf>
    <xf numFmtId="232" fontId="36" fillId="0" borderId="0" xfId="0" applyNumberFormat="1" applyFont="1">
      <alignment vertical="center"/>
    </xf>
    <xf numFmtId="0" fontId="43" fillId="0" borderId="66" xfId="0" applyFont="1" applyBorder="1">
      <alignment vertical="center"/>
    </xf>
    <xf numFmtId="0" fontId="36" fillId="0" borderId="66" xfId="0" applyFont="1" applyBorder="1">
      <alignment vertical="center"/>
    </xf>
    <xf numFmtId="178" fontId="36" fillId="0" borderId="67" xfId="0" applyNumberFormat="1" applyFont="1" applyBorder="1" applyAlignment="1">
      <alignment horizontal="center" vertical="center"/>
    </xf>
    <xf numFmtId="178" fontId="36" fillId="0" borderId="1000" xfId="0" applyNumberFormat="1" applyFont="1" applyBorder="1" applyAlignment="1">
      <alignment horizontal="center" vertical="center"/>
    </xf>
    <xf numFmtId="178" fontId="36" fillId="0" borderId="437" xfId="0" applyNumberFormat="1" applyFont="1" applyBorder="1" applyAlignment="1">
      <alignment horizontal="center" vertical="center"/>
    </xf>
    <xf numFmtId="178" fontId="36" fillId="0" borderId="0" xfId="0" applyNumberFormat="1" applyFont="1" applyBorder="1" applyAlignment="1">
      <alignment horizontal="center" vertical="center"/>
    </xf>
    <xf numFmtId="9" fontId="36" fillId="0" borderId="437" xfId="3" applyNumberFormat="1" applyFont="1" applyFill="1" applyBorder="1" applyAlignment="1">
      <alignment horizontal="center" vertical="center"/>
    </xf>
    <xf numFmtId="178" fontId="36" fillId="0" borderId="367" xfId="0" applyNumberFormat="1" applyFont="1" applyBorder="1" applyAlignment="1">
      <alignment horizontal="center" vertical="center"/>
    </xf>
    <xf numFmtId="9" fontId="36" fillId="0" borderId="368" xfId="3" applyFont="1" applyFill="1" applyBorder="1" applyAlignment="1">
      <alignment horizontal="center" vertical="center"/>
    </xf>
    <xf numFmtId="177" fontId="36" fillId="0" borderId="66" xfId="0" applyNumberFormat="1" applyFont="1" applyBorder="1" applyAlignment="1">
      <alignment horizontal="center" vertical="center"/>
    </xf>
    <xf numFmtId="179" fontId="36" fillId="0" borderId="69" xfId="0" applyNumberFormat="1" applyFont="1" applyBorder="1" applyAlignment="1">
      <alignment horizontal="center" vertical="center"/>
    </xf>
    <xf numFmtId="0" fontId="43" fillId="13" borderId="0" xfId="0" applyFont="1" applyFill="1" applyBorder="1">
      <alignment vertical="center"/>
    </xf>
    <xf numFmtId="0" fontId="36" fillId="13" borderId="0" xfId="0" applyFont="1" applyFill="1" applyBorder="1">
      <alignment vertical="center"/>
    </xf>
    <xf numFmtId="178" fontId="36" fillId="13" borderId="11" xfId="0" applyNumberFormat="1" applyFont="1" applyFill="1" applyBorder="1" applyAlignment="1">
      <alignment horizontal="center" vertical="center"/>
    </xf>
    <xf numFmtId="178" fontId="36" fillId="13" borderId="1001" xfId="0" applyNumberFormat="1" applyFont="1" applyFill="1" applyBorder="1" applyAlignment="1">
      <alignment horizontal="center" vertical="center"/>
    </xf>
    <xf numFmtId="178" fontId="36" fillId="13" borderId="437" xfId="0" applyNumberFormat="1" applyFont="1" applyFill="1" applyBorder="1" applyAlignment="1">
      <alignment horizontal="center" vertical="center"/>
    </xf>
    <xf numFmtId="178" fontId="36" fillId="13" borderId="0" xfId="0" applyNumberFormat="1" applyFont="1" applyFill="1" applyBorder="1" applyAlignment="1">
      <alignment horizontal="center" vertical="center"/>
    </xf>
    <xf numFmtId="9" fontId="36" fillId="13" borderId="437" xfId="3" applyNumberFormat="1" applyFont="1" applyFill="1" applyBorder="1" applyAlignment="1">
      <alignment horizontal="center" vertical="center"/>
    </xf>
    <xf numFmtId="178" fontId="36" fillId="13" borderId="369" xfId="0" applyNumberFormat="1" applyFont="1" applyFill="1" applyBorder="1" applyAlignment="1">
      <alignment horizontal="center" vertical="center"/>
    </xf>
    <xf numFmtId="9" fontId="36" fillId="13" borderId="370" xfId="3" applyFont="1" applyFill="1" applyBorder="1" applyAlignment="1">
      <alignment horizontal="center" vertical="center"/>
    </xf>
    <xf numFmtId="177" fontId="36" fillId="13" borderId="0" xfId="0" applyNumberFormat="1" applyFont="1" applyFill="1" applyBorder="1" applyAlignment="1">
      <alignment horizontal="center" vertical="center"/>
    </xf>
    <xf numFmtId="179" fontId="36" fillId="13" borderId="44" xfId="0" applyNumberFormat="1" applyFont="1" applyFill="1" applyBorder="1" applyAlignment="1">
      <alignment horizontal="center" vertical="center"/>
    </xf>
    <xf numFmtId="178" fontId="36" fillId="0" borderId="11" xfId="0" applyNumberFormat="1" applyFont="1" applyBorder="1" applyAlignment="1">
      <alignment horizontal="center" vertical="center"/>
    </xf>
    <xf numFmtId="178" fontId="36" fillId="0" borderId="1001" xfId="0" applyNumberFormat="1" applyFont="1" applyBorder="1" applyAlignment="1">
      <alignment horizontal="center" vertical="center"/>
    </xf>
    <xf numFmtId="178" fontId="36" fillId="0" borderId="369" xfId="0" applyNumberFormat="1" applyFont="1" applyBorder="1" applyAlignment="1">
      <alignment horizontal="center" vertical="center"/>
    </xf>
    <xf numFmtId="9" fontId="36" fillId="0" borderId="370" xfId="3" applyFont="1" applyFill="1" applyBorder="1" applyAlignment="1">
      <alignment horizontal="center" vertical="center"/>
    </xf>
    <xf numFmtId="177" fontId="36" fillId="0" borderId="0" xfId="0" applyNumberFormat="1" applyFont="1" applyBorder="1" applyAlignment="1">
      <alignment horizontal="center" vertical="center"/>
    </xf>
    <xf numFmtId="179" fontId="36" fillId="0" borderId="44" xfId="0" applyNumberFormat="1" applyFont="1" applyBorder="1" applyAlignment="1">
      <alignment horizontal="center" vertical="center"/>
    </xf>
    <xf numFmtId="0" fontId="47" fillId="0" borderId="0" xfId="0" applyFont="1" applyBorder="1">
      <alignment vertical="center"/>
    </xf>
    <xf numFmtId="0" fontId="43" fillId="13" borderId="6" xfId="0" applyFont="1" applyFill="1" applyBorder="1">
      <alignment vertical="center"/>
    </xf>
    <xf numFmtId="0" fontId="36" fillId="13" borderId="6" xfId="0" applyFont="1" applyFill="1" applyBorder="1">
      <alignment vertical="center"/>
    </xf>
    <xf numFmtId="178" fontId="36" fillId="13" borderId="46" xfId="0" applyNumberFormat="1" applyFont="1" applyFill="1" applyBorder="1" applyAlignment="1">
      <alignment horizontal="center" vertical="center"/>
    </xf>
    <xf numFmtId="178" fontId="36" fillId="13" borderId="1002" xfId="0" applyNumberFormat="1" applyFont="1" applyFill="1" applyBorder="1" applyAlignment="1">
      <alignment horizontal="center" vertical="center"/>
    </xf>
    <xf numFmtId="178" fontId="36" fillId="13" borderId="459" xfId="0" applyNumberFormat="1" applyFont="1" applyFill="1" applyBorder="1" applyAlignment="1">
      <alignment horizontal="center" vertical="center"/>
    </xf>
    <xf numFmtId="178" fontId="36" fillId="13" borderId="6" xfId="0" applyNumberFormat="1" applyFont="1" applyFill="1" applyBorder="1" applyAlignment="1">
      <alignment horizontal="center" vertical="center"/>
    </xf>
    <xf numFmtId="9" fontId="36" fillId="13" borderId="459" xfId="3" applyNumberFormat="1" applyFont="1" applyFill="1" applyBorder="1" applyAlignment="1">
      <alignment horizontal="center" vertical="center"/>
    </xf>
    <xf numFmtId="178" fontId="36" fillId="13" borderId="371" xfId="0" applyNumberFormat="1" applyFont="1" applyFill="1" applyBorder="1" applyAlignment="1">
      <alignment horizontal="center" vertical="center"/>
    </xf>
    <xf numFmtId="9" fontId="36" fillId="13" borderId="372" xfId="3" applyFont="1" applyFill="1" applyBorder="1" applyAlignment="1">
      <alignment horizontal="center" vertical="center"/>
    </xf>
    <xf numFmtId="177" fontId="36" fillId="13" borderId="6" xfId="0" applyNumberFormat="1" applyFont="1" applyFill="1" applyBorder="1" applyAlignment="1">
      <alignment horizontal="center" vertical="center"/>
    </xf>
    <xf numFmtId="179" fontId="36" fillId="13" borderId="41" xfId="0" applyNumberFormat="1" applyFont="1" applyFill="1" applyBorder="1" applyAlignment="1">
      <alignment horizontal="center" vertical="center"/>
    </xf>
    <xf numFmtId="0" fontId="43" fillId="13" borderId="4" xfId="0" applyFont="1" applyFill="1" applyBorder="1">
      <alignment vertical="center"/>
    </xf>
    <xf numFmtId="0" fontId="36" fillId="13" borderId="4" xfId="0" applyFont="1" applyFill="1" applyBorder="1">
      <alignment vertical="center"/>
    </xf>
    <xf numFmtId="178" fontId="36" fillId="13" borderId="9" xfId="0" applyNumberFormat="1" applyFont="1" applyFill="1" applyBorder="1" applyAlignment="1">
      <alignment horizontal="center" vertical="center"/>
    </xf>
    <xf numFmtId="178" fontId="36" fillId="13" borderId="999" xfId="0" applyNumberFormat="1" applyFont="1" applyFill="1" applyBorder="1" applyAlignment="1">
      <alignment horizontal="center" vertical="center"/>
    </xf>
    <xf numFmtId="178" fontId="36" fillId="13" borderId="591" xfId="0" applyNumberFormat="1" applyFont="1" applyFill="1" applyBorder="1" applyAlignment="1">
      <alignment horizontal="center" vertical="center"/>
    </xf>
    <xf numFmtId="178" fontId="36" fillId="13" borderId="4" xfId="0" applyNumberFormat="1" applyFont="1" applyFill="1" applyBorder="1" applyAlignment="1">
      <alignment horizontal="center" vertical="center"/>
    </xf>
    <xf numFmtId="9" fontId="36" fillId="13" borderId="591" xfId="3" applyNumberFormat="1" applyFont="1" applyFill="1" applyBorder="1" applyAlignment="1">
      <alignment horizontal="center" vertical="center"/>
    </xf>
    <xf numFmtId="178" fontId="36" fillId="13" borderId="1007" xfId="0" applyNumberFormat="1" applyFont="1" applyFill="1" applyBorder="1" applyAlignment="1">
      <alignment horizontal="center" vertical="center"/>
    </xf>
    <xf numFmtId="9" fontId="36" fillId="13" borderId="366" xfId="3" applyFont="1" applyFill="1" applyBorder="1" applyAlignment="1">
      <alignment horizontal="center" vertical="center"/>
    </xf>
    <xf numFmtId="177" fontId="36" fillId="13" borderId="4" xfId="0" applyNumberFormat="1" applyFont="1" applyFill="1" applyBorder="1" applyAlignment="1">
      <alignment horizontal="center" vertical="center"/>
    </xf>
    <xf numFmtId="179" fontId="36" fillId="13" borderId="43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vertical="center" shrinkToFit="1"/>
    </xf>
    <xf numFmtId="178" fontId="36" fillId="13" borderId="437" xfId="2" applyNumberFormat="1" applyFont="1" applyFill="1" applyBorder="1" applyAlignment="1">
      <alignment horizontal="center" vertical="center"/>
    </xf>
    <xf numFmtId="178" fontId="36" fillId="13" borderId="0" xfId="2" applyNumberFormat="1" applyFont="1" applyFill="1" applyBorder="1" applyAlignment="1">
      <alignment horizontal="center" vertical="center"/>
    </xf>
    <xf numFmtId="0" fontId="36" fillId="8" borderId="0" xfId="0" applyFont="1" applyFill="1" applyBorder="1">
      <alignment vertical="center"/>
    </xf>
    <xf numFmtId="178" fontId="36" fillId="8" borderId="11" xfId="0" applyNumberFormat="1" applyFont="1" applyFill="1" applyBorder="1" applyAlignment="1">
      <alignment horizontal="center" vertical="center"/>
    </xf>
    <xf numFmtId="178" fontId="36" fillId="8" borderId="1001" xfId="0" applyNumberFormat="1" applyFont="1" applyFill="1" applyBorder="1" applyAlignment="1">
      <alignment horizontal="center" vertical="center"/>
    </xf>
    <xf numFmtId="178" fontId="36" fillId="8" borderId="437" xfId="0" applyNumberFormat="1" applyFont="1" applyFill="1" applyBorder="1" applyAlignment="1">
      <alignment horizontal="center" vertical="center"/>
    </xf>
    <xf numFmtId="178" fontId="36" fillId="8" borderId="0" xfId="0" applyNumberFormat="1" applyFont="1" applyFill="1" applyBorder="1" applyAlignment="1">
      <alignment horizontal="center" vertical="center"/>
    </xf>
    <xf numFmtId="9" fontId="36" fillId="8" borderId="437" xfId="3" applyNumberFormat="1" applyFont="1" applyFill="1" applyBorder="1" applyAlignment="1">
      <alignment horizontal="center" vertical="center"/>
    </xf>
    <xf numFmtId="178" fontId="36" fillId="8" borderId="369" xfId="0" applyNumberFormat="1" applyFont="1" applyFill="1" applyBorder="1" applyAlignment="1">
      <alignment horizontal="center" vertical="center"/>
    </xf>
    <xf numFmtId="9" fontId="36" fillId="8" borderId="370" xfId="3" applyFont="1" applyFill="1" applyBorder="1" applyAlignment="1">
      <alignment horizontal="center" vertical="center"/>
    </xf>
    <xf numFmtId="177" fontId="36" fillId="8" borderId="0" xfId="0" applyNumberFormat="1" applyFont="1" applyFill="1" applyBorder="1" applyAlignment="1">
      <alignment horizontal="center" vertical="center"/>
    </xf>
    <xf numFmtId="179" fontId="36" fillId="8" borderId="44" xfId="0" applyNumberFormat="1" applyFont="1" applyFill="1" applyBorder="1" applyAlignment="1">
      <alignment horizontal="center" vertical="center"/>
    </xf>
    <xf numFmtId="0" fontId="60" fillId="0" borderId="0" xfId="0" applyFont="1" applyBorder="1">
      <alignment vertical="center"/>
    </xf>
    <xf numFmtId="178" fontId="55" fillId="8" borderId="11" xfId="0" applyNumberFormat="1" applyFont="1" applyFill="1" applyBorder="1" applyAlignment="1">
      <alignment horizontal="center" vertical="center"/>
    </xf>
    <xf numFmtId="178" fontId="55" fillId="8" borderId="1001" xfId="0" applyNumberFormat="1" applyFont="1" applyFill="1" applyBorder="1" applyAlignment="1">
      <alignment horizontal="center" vertical="center"/>
    </xf>
    <xf numFmtId="178" fontId="55" fillId="8" borderId="437" xfId="0" applyNumberFormat="1" applyFont="1" applyFill="1" applyBorder="1" applyAlignment="1">
      <alignment horizontal="center" vertical="center"/>
    </xf>
    <xf numFmtId="178" fontId="55" fillId="8" borderId="0" xfId="0" applyNumberFormat="1" applyFont="1" applyFill="1" applyBorder="1" applyAlignment="1">
      <alignment horizontal="center" vertical="center"/>
    </xf>
    <xf numFmtId="9" fontId="55" fillId="8" borderId="437" xfId="3" applyNumberFormat="1" applyFont="1" applyFill="1" applyBorder="1" applyAlignment="1">
      <alignment horizontal="center" vertical="center"/>
    </xf>
    <xf numFmtId="178" fontId="55" fillId="8" borderId="369" xfId="0" applyNumberFormat="1" applyFont="1" applyFill="1" applyBorder="1" applyAlignment="1">
      <alignment horizontal="center" vertical="center"/>
    </xf>
    <xf numFmtId="9" fontId="55" fillId="8" borderId="370" xfId="3" applyFont="1" applyFill="1" applyBorder="1" applyAlignment="1">
      <alignment horizontal="center" vertical="center"/>
    </xf>
    <xf numFmtId="177" fontId="55" fillId="8" borderId="0" xfId="0" applyNumberFormat="1" applyFont="1" applyFill="1" applyBorder="1" applyAlignment="1">
      <alignment horizontal="center" vertical="center"/>
    </xf>
    <xf numFmtId="179" fontId="55" fillId="8" borderId="44" xfId="0" applyNumberFormat="1" applyFont="1" applyFill="1" applyBorder="1" applyAlignment="1">
      <alignment horizontal="center" vertical="center"/>
    </xf>
    <xf numFmtId="0" fontId="66" fillId="22" borderId="0" xfId="0" applyFont="1" applyFill="1" applyAlignment="1">
      <alignment horizontal="center" vertical="center"/>
    </xf>
    <xf numFmtId="232" fontId="55" fillId="0" borderId="0" xfId="0" applyNumberFormat="1" applyFont="1">
      <alignment vertical="center"/>
    </xf>
    <xf numFmtId="178" fontId="55" fillId="0" borderId="11" xfId="0" applyNumberFormat="1" applyFont="1" applyBorder="1" applyAlignment="1">
      <alignment horizontal="center" vertical="center"/>
    </xf>
    <xf numFmtId="178" fontId="55" fillId="0" borderId="1001" xfId="0" applyNumberFormat="1" applyFont="1" applyBorder="1" applyAlignment="1">
      <alignment horizontal="center" vertical="center"/>
    </xf>
    <xf numFmtId="178" fontId="55" fillId="0" borderId="437" xfId="0" applyNumberFormat="1" applyFont="1" applyBorder="1" applyAlignment="1">
      <alignment horizontal="center" vertical="center"/>
    </xf>
    <xf numFmtId="178" fontId="55" fillId="0" borderId="0" xfId="0" applyNumberFormat="1" applyFont="1" applyBorder="1" applyAlignment="1">
      <alignment horizontal="center" vertical="center"/>
    </xf>
    <xf numFmtId="9" fontId="55" fillId="0" borderId="437" xfId="3" applyNumberFormat="1" applyFont="1" applyFill="1" applyBorder="1" applyAlignment="1">
      <alignment horizontal="center" vertical="center"/>
    </xf>
    <xf numFmtId="178" fontId="55" fillId="0" borderId="369" xfId="0" applyNumberFormat="1" applyFont="1" applyBorder="1" applyAlignment="1">
      <alignment horizontal="center" vertical="center"/>
    </xf>
    <xf numFmtId="9" fontId="55" fillId="0" borderId="370" xfId="3" applyFont="1" applyFill="1" applyBorder="1" applyAlignment="1">
      <alignment horizontal="center" vertical="center"/>
    </xf>
    <xf numFmtId="177" fontId="55" fillId="0" borderId="0" xfId="0" applyNumberFormat="1" applyFont="1" applyBorder="1" applyAlignment="1">
      <alignment horizontal="center" vertical="center"/>
    </xf>
    <xf numFmtId="179" fontId="55" fillId="0" borderId="44" xfId="0" applyNumberFormat="1" applyFont="1" applyBorder="1" applyAlignment="1">
      <alignment horizontal="center" vertical="center"/>
    </xf>
    <xf numFmtId="0" fontId="55" fillId="13" borderId="0" xfId="0" applyFont="1" applyFill="1" applyBorder="1">
      <alignment vertical="center"/>
    </xf>
    <xf numFmtId="178" fontId="55" fillId="13" borderId="11" xfId="0" applyNumberFormat="1" applyFont="1" applyFill="1" applyBorder="1" applyAlignment="1">
      <alignment horizontal="center" vertical="center"/>
    </xf>
    <xf numFmtId="178" fontId="55" fillId="13" borderId="1001" xfId="0" applyNumberFormat="1" applyFont="1" applyFill="1" applyBorder="1" applyAlignment="1">
      <alignment horizontal="center" vertical="center"/>
    </xf>
    <xf numFmtId="178" fontId="55" fillId="13" borderId="437" xfId="0" applyNumberFormat="1" applyFont="1" applyFill="1" applyBorder="1" applyAlignment="1">
      <alignment horizontal="center" vertical="center"/>
    </xf>
    <xf numFmtId="178" fontId="55" fillId="13" borderId="0" xfId="0" applyNumberFormat="1" applyFont="1" applyFill="1" applyBorder="1" applyAlignment="1">
      <alignment horizontal="center" vertical="center"/>
    </xf>
    <xf numFmtId="9" fontId="55" fillId="13" borderId="437" xfId="3" applyNumberFormat="1" applyFont="1" applyFill="1" applyBorder="1" applyAlignment="1">
      <alignment horizontal="center" vertical="center"/>
    </xf>
    <xf numFmtId="178" fontId="55" fillId="13" borderId="369" xfId="0" applyNumberFormat="1" applyFont="1" applyFill="1" applyBorder="1" applyAlignment="1">
      <alignment horizontal="center" vertical="center"/>
    </xf>
    <xf numFmtId="9" fontId="55" fillId="13" borderId="370" xfId="3" applyFont="1" applyFill="1" applyBorder="1" applyAlignment="1">
      <alignment horizontal="center" vertical="center"/>
    </xf>
    <xf numFmtId="177" fontId="55" fillId="13" borderId="0" xfId="0" applyNumberFormat="1" applyFont="1" applyFill="1" applyBorder="1" applyAlignment="1">
      <alignment horizontal="center" vertical="center"/>
    </xf>
    <xf numFmtId="179" fontId="55" fillId="13" borderId="44" xfId="0" applyNumberFormat="1" applyFont="1" applyFill="1" applyBorder="1" applyAlignment="1">
      <alignment horizontal="center" vertical="center"/>
    </xf>
    <xf numFmtId="0" fontId="43" fillId="13" borderId="83" xfId="0" applyFont="1" applyFill="1" applyBorder="1">
      <alignment vertical="center"/>
    </xf>
    <xf numFmtId="0" fontId="43" fillId="13" borderId="1003" xfId="0" applyFont="1" applyFill="1" applyBorder="1">
      <alignment vertical="center"/>
    </xf>
    <xf numFmtId="0" fontId="36" fillId="13" borderId="1003" xfId="0" applyFont="1" applyFill="1" applyBorder="1">
      <alignment vertical="center"/>
    </xf>
    <xf numFmtId="178" fontId="55" fillId="13" borderId="1009" xfId="0" applyNumberFormat="1" applyFont="1" applyFill="1" applyBorder="1" applyAlignment="1">
      <alignment horizontal="center" vertical="center"/>
    </xf>
    <xf numFmtId="178" fontId="55" fillId="13" borderId="1010" xfId="0" applyNumberFormat="1" applyFont="1" applyFill="1" applyBorder="1" applyAlignment="1">
      <alignment horizontal="center" vertical="center"/>
    </xf>
    <xf numFmtId="178" fontId="55" fillId="13" borderId="1003" xfId="0" applyNumberFormat="1" applyFont="1" applyFill="1" applyBorder="1" applyAlignment="1">
      <alignment horizontal="center" vertical="center"/>
    </xf>
    <xf numFmtId="9" fontId="55" fillId="13" borderId="1009" xfId="3" applyNumberFormat="1" applyFont="1" applyFill="1" applyBorder="1" applyAlignment="1">
      <alignment horizontal="center" vertical="center"/>
    </xf>
    <xf numFmtId="178" fontId="55" fillId="13" borderId="1004" xfId="0" applyNumberFormat="1" applyFont="1" applyFill="1" applyBorder="1" applyAlignment="1">
      <alignment horizontal="center" vertical="center"/>
    </xf>
    <xf numFmtId="9" fontId="55" fillId="13" borderId="1005" xfId="3" applyFont="1" applyFill="1" applyBorder="1" applyAlignment="1">
      <alignment horizontal="center" vertical="center"/>
    </xf>
    <xf numFmtId="177" fontId="55" fillId="13" borderId="1003" xfId="0" applyNumberFormat="1" applyFont="1" applyFill="1" applyBorder="1" applyAlignment="1">
      <alignment horizontal="center" vertical="center"/>
    </xf>
    <xf numFmtId="179" fontId="55" fillId="13" borderId="1006" xfId="0" applyNumberFormat="1" applyFont="1" applyFill="1" applyBorder="1" applyAlignment="1">
      <alignment horizontal="center" vertical="center"/>
    </xf>
    <xf numFmtId="0" fontId="57" fillId="4" borderId="1055" xfId="0" quotePrefix="1" applyFont="1" applyFill="1" applyBorder="1" applyAlignment="1">
      <alignment horizontal="center" vertical="center"/>
    </xf>
    <xf numFmtId="0" fontId="57" fillId="4" borderId="1054" xfId="0" quotePrefix="1" applyFont="1" applyFill="1" applyBorder="1" applyAlignment="1">
      <alignment horizontal="center" vertical="center"/>
    </xf>
    <xf numFmtId="0" fontId="55" fillId="4" borderId="1053" xfId="0" quotePrefix="1" applyFont="1" applyFill="1" applyBorder="1" applyAlignment="1">
      <alignment horizontal="center" vertical="center"/>
    </xf>
    <xf numFmtId="0" fontId="55" fillId="4" borderId="1011" xfId="0" quotePrefix="1" applyFont="1" applyFill="1" applyBorder="1" applyAlignment="1">
      <alignment horizontal="center" vertical="center"/>
    </xf>
    <xf numFmtId="0" fontId="55" fillId="10" borderId="1053" xfId="0" quotePrefix="1" applyFont="1" applyFill="1" applyBorder="1" applyAlignment="1">
      <alignment horizontal="center" vertical="center"/>
    </xf>
    <xf numFmtId="0" fontId="55" fillId="10" borderId="1011" xfId="0" quotePrefix="1" applyFont="1" applyFill="1" applyBorder="1" applyAlignment="1">
      <alignment horizontal="center" vertical="center"/>
    </xf>
    <xf numFmtId="238" fontId="56" fillId="8" borderId="1052" xfId="0" applyNumberFormat="1" applyFont="1" applyFill="1" applyBorder="1" applyAlignment="1">
      <alignment horizontal="center" vertical="center"/>
    </xf>
    <xf numFmtId="238" fontId="56" fillId="8" borderId="376" xfId="0" applyNumberFormat="1" applyFont="1" applyFill="1" applyBorder="1" applyAlignment="1">
      <alignment horizontal="center" vertical="center"/>
    </xf>
    <xf numFmtId="238" fontId="56" fillId="8" borderId="437" xfId="0" applyNumberFormat="1" applyFont="1" applyFill="1" applyBorder="1" applyAlignment="1">
      <alignment horizontal="center" vertical="center"/>
    </xf>
    <xf numFmtId="238" fontId="56" fillId="8" borderId="0" xfId="0" applyNumberFormat="1" applyFont="1" applyFill="1" applyBorder="1" applyAlignment="1">
      <alignment horizontal="center" vertical="center"/>
    </xf>
    <xf numFmtId="239" fontId="70" fillId="0" borderId="1015" xfId="0" applyNumberFormat="1" applyFont="1" applyBorder="1" applyAlignment="1">
      <alignment horizontal="center" vertical="center"/>
    </xf>
    <xf numFmtId="239" fontId="70" fillId="0" borderId="376" xfId="0" applyNumberFormat="1" applyFont="1" applyBorder="1" applyAlignment="1">
      <alignment horizontal="center" vertical="center"/>
    </xf>
    <xf numFmtId="239" fontId="70" fillId="0" borderId="437" xfId="0" applyNumberFormat="1" applyFont="1" applyBorder="1" applyAlignment="1">
      <alignment horizontal="center" vertical="center"/>
    </xf>
    <xf numFmtId="239" fontId="70" fillId="0" borderId="0" xfId="0" applyNumberFormat="1" applyFont="1" applyBorder="1" applyAlignment="1">
      <alignment horizontal="center" vertical="center"/>
    </xf>
    <xf numFmtId="233" fontId="56" fillId="8" borderId="1016" xfId="0" applyNumberFormat="1" applyFont="1" applyFill="1" applyBorder="1" applyAlignment="1">
      <alignment horizontal="center" vertical="center"/>
    </xf>
    <xf numFmtId="233" fontId="56" fillId="8" borderId="1013" xfId="0" applyNumberFormat="1" applyFont="1" applyFill="1" applyBorder="1" applyAlignment="1">
      <alignment horizontal="center" vertical="center"/>
    </xf>
    <xf numFmtId="233" fontId="56" fillId="8" borderId="822" xfId="0" applyNumberFormat="1" applyFont="1" applyFill="1" applyBorder="1" applyAlignment="1">
      <alignment horizontal="center" vertical="center"/>
    </xf>
    <xf numFmtId="233" fontId="56" fillId="8" borderId="821" xfId="0" applyNumberFormat="1" applyFont="1" applyFill="1" applyBorder="1" applyAlignment="1">
      <alignment horizontal="center" vertical="center"/>
    </xf>
    <xf numFmtId="0" fontId="71" fillId="8" borderId="926" xfId="0" applyFont="1" applyFill="1" applyBorder="1" applyAlignment="1">
      <alignment horizontal="center" vertical="center"/>
    </xf>
    <xf numFmtId="0" fontId="72" fillId="8" borderId="927" xfId="0" applyFont="1" applyFill="1" applyBorder="1" applyAlignment="1">
      <alignment horizontal="center" vertical="center"/>
    </xf>
    <xf numFmtId="234" fontId="61" fillId="8" borderId="1017" xfId="0" applyNumberFormat="1" applyFont="1" applyFill="1" applyBorder="1" applyAlignment="1">
      <alignment horizontal="center" vertical="center"/>
    </xf>
    <xf numFmtId="234" fontId="61" fillId="8" borderId="1014" xfId="0" applyNumberFormat="1" applyFont="1" applyFill="1" applyBorder="1" applyAlignment="1">
      <alignment horizontal="center" vertical="center"/>
    </xf>
    <xf numFmtId="234" fontId="61" fillId="8" borderId="1049" xfId="0" applyNumberFormat="1" applyFont="1" applyFill="1" applyBorder="1" applyAlignment="1">
      <alignment horizontal="center" vertical="center"/>
    </xf>
    <xf numFmtId="234" fontId="61" fillId="8" borderId="929" xfId="0" applyNumberFormat="1" applyFont="1" applyFill="1" applyBorder="1" applyAlignment="1">
      <alignment horizontal="center" vertical="center"/>
    </xf>
    <xf numFmtId="0" fontId="70" fillId="0" borderId="925" xfId="0" applyFont="1" applyBorder="1" applyAlignment="1">
      <alignment horizontal="left" vertical="center"/>
    </xf>
    <xf numFmtId="0" fontId="73" fillId="0" borderId="919" xfId="0" applyFont="1" applyBorder="1" applyAlignment="1">
      <alignment horizontal="center" vertical="center"/>
    </xf>
    <xf numFmtId="1" fontId="70" fillId="0" borderId="1015" xfId="0" applyNumberFormat="1" applyFont="1" applyBorder="1" applyAlignment="1">
      <alignment horizontal="center" vertical="center"/>
    </xf>
    <xf numFmtId="1" fontId="70" fillId="0" borderId="376" xfId="0" applyNumberFormat="1" applyFont="1" applyBorder="1" applyAlignment="1">
      <alignment horizontal="center" vertical="center"/>
    </xf>
    <xf numFmtId="1" fontId="70" fillId="0" borderId="437" xfId="0" applyNumberFormat="1" applyFont="1" applyBorder="1" applyAlignment="1">
      <alignment horizontal="center" vertical="center"/>
    </xf>
    <xf numFmtId="1" fontId="70" fillId="0" borderId="0" xfId="0" applyNumberFormat="1" applyFont="1" applyBorder="1" applyAlignment="1">
      <alignment horizontal="center" vertical="center"/>
    </xf>
    <xf numFmtId="0" fontId="71" fillId="0" borderId="926" xfId="0" applyFont="1" applyBorder="1" applyAlignment="1">
      <alignment horizontal="center" vertical="center"/>
    </xf>
    <xf numFmtId="0" fontId="73" fillId="0" borderId="927" xfId="0" applyFont="1" applyBorder="1" applyAlignment="1">
      <alignment horizontal="center" vertical="center"/>
    </xf>
    <xf numFmtId="234" fontId="61" fillId="0" borderId="1017" xfId="0" applyNumberFormat="1" applyFont="1" applyBorder="1" applyAlignment="1">
      <alignment horizontal="center" vertical="center"/>
    </xf>
    <xf numFmtId="234" fontId="61" fillId="0" borderId="1014" xfId="0" applyNumberFormat="1" applyFont="1" applyBorder="1" applyAlignment="1">
      <alignment horizontal="center" vertical="center"/>
    </xf>
    <xf numFmtId="234" fontId="61" fillId="0" borderId="1049" xfId="0" applyNumberFormat="1" applyFont="1" applyBorder="1" applyAlignment="1">
      <alignment horizontal="center" vertical="center"/>
    </xf>
    <xf numFmtId="234" fontId="61" fillId="0" borderId="929" xfId="0" applyNumberFormat="1" applyFont="1" applyBorder="1" applyAlignment="1">
      <alignment horizontal="center" vertical="center"/>
    </xf>
    <xf numFmtId="0" fontId="71" fillId="0" borderId="925" xfId="0" applyFont="1" applyBorder="1" applyAlignment="1">
      <alignment horizontal="center" vertical="center"/>
    </xf>
    <xf numFmtId="234" fontId="61" fillId="0" borderId="1015" xfId="0" applyNumberFormat="1" applyFont="1" applyBorder="1" applyAlignment="1">
      <alignment horizontal="center" vertical="center"/>
    </xf>
    <xf numFmtId="234" fontId="61" fillId="0" borderId="376" xfId="0" applyNumberFormat="1" applyFont="1" applyBorder="1" applyAlignment="1">
      <alignment horizontal="center" vertical="center"/>
    </xf>
    <xf numFmtId="234" fontId="61" fillId="0" borderId="437" xfId="0" applyNumberFormat="1" applyFont="1" applyBorder="1" applyAlignment="1">
      <alignment horizontal="center" vertical="center"/>
    </xf>
    <xf numFmtId="234" fontId="61" fillId="0" borderId="0" xfId="0" applyNumberFormat="1" applyFont="1" applyBorder="1" applyAlignment="1">
      <alignment horizontal="center" vertical="center"/>
    </xf>
    <xf numFmtId="0" fontId="71" fillId="8" borderId="925" xfId="0" applyFont="1" applyFill="1" applyBorder="1" applyAlignment="1">
      <alignment horizontal="center" vertical="center"/>
    </xf>
    <xf numFmtId="0" fontId="69" fillId="8" borderId="919" xfId="0" applyFont="1" applyFill="1" applyBorder="1" applyAlignment="1">
      <alignment horizontal="left" vertical="center"/>
    </xf>
    <xf numFmtId="234" fontId="73" fillId="8" borderId="1015" xfId="0" applyNumberFormat="1" applyFont="1" applyFill="1" applyBorder="1" applyAlignment="1">
      <alignment horizontal="center" vertical="center"/>
    </xf>
    <xf numFmtId="234" fontId="73" fillId="8" borderId="376" xfId="0" applyNumberFormat="1" applyFont="1" applyFill="1" applyBorder="1" applyAlignment="1">
      <alignment horizontal="center" vertical="center"/>
    </xf>
    <xf numFmtId="234" fontId="73" fillId="8" borderId="437" xfId="0" applyNumberFormat="1" applyFont="1" applyFill="1" applyBorder="1" applyAlignment="1">
      <alignment horizontal="center" vertical="center"/>
    </xf>
    <xf numFmtId="234" fontId="73" fillId="8" borderId="0" xfId="0" applyNumberFormat="1" applyFont="1" applyFill="1" applyBorder="1" applyAlignment="1">
      <alignment horizontal="center" vertical="center"/>
    </xf>
    <xf numFmtId="0" fontId="71" fillId="5" borderId="925" xfId="0" applyFont="1" applyFill="1" applyBorder="1" applyAlignment="1">
      <alignment horizontal="center" vertical="center"/>
    </xf>
    <xf numFmtId="0" fontId="56" fillId="5" borderId="919" xfId="0" applyFont="1" applyFill="1" applyBorder="1" applyAlignment="1">
      <alignment horizontal="left" vertical="center"/>
    </xf>
    <xf numFmtId="233" fontId="56" fillId="68" borderId="1015" xfId="0" applyNumberFormat="1" applyFont="1" applyFill="1" applyBorder="1" applyAlignment="1">
      <alignment horizontal="center" vertical="center"/>
    </xf>
    <xf numFmtId="233" fontId="56" fillId="68" borderId="376" xfId="0" applyNumberFormat="1" applyFont="1" applyFill="1" applyBorder="1" applyAlignment="1">
      <alignment horizontal="center" vertical="center"/>
    </xf>
    <xf numFmtId="233" fontId="56" fillId="5" borderId="437" xfId="0" applyNumberFormat="1" applyFont="1" applyFill="1" applyBorder="1" applyAlignment="1">
      <alignment horizontal="center" vertical="center"/>
    </xf>
    <xf numFmtId="178" fontId="56" fillId="5" borderId="0" xfId="0" applyNumberFormat="1" applyFont="1" applyFill="1" applyBorder="1" applyAlignment="1">
      <alignment horizontal="center" vertical="center"/>
    </xf>
    <xf numFmtId="233" fontId="56" fillId="5" borderId="0" xfId="0" applyNumberFormat="1" applyFont="1" applyFill="1" applyBorder="1" applyAlignment="1">
      <alignment horizontal="center" vertical="center"/>
    </xf>
    <xf numFmtId="0" fontId="71" fillId="5" borderId="926" xfId="0" applyFont="1" applyFill="1" applyBorder="1" applyAlignment="1">
      <alignment horizontal="center" vertical="center"/>
    </xf>
    <xf numFmtId="0" fontId="71" fillId="5" borderId="927" xfId="0" applyFont="1" applyFill="1" applyBorder="1" applyAlignment="1">
      <alignment horizontal="center" vertical="center"/>
    </xf>
    <xf numFmtId="234" fontId="61" fillId="68" borderId="1017" xfId="0" applyNumberFormat="1" applyFont="1" applyFill="1" applyBorder="1" applyAlignment="1">
      <alignment horizontal="center" vertical="center"/>
    </xf>
    <xf numFmtId="234" fontId="61" fillId="68" borderId="1014" xfId="0" applyNumberFormat="1" applyFont="1" applyFill="1" applyBorder="1" applyAlignment="1">
      <alignment horizontal="center" vertical="center"/>
    </xf>
    <xf numFmtId="234" fontId="61" fillId="5" borderId="1049" xfId="0" applyNumberFormat="1" applyFont="1" applyFill="1" applyBorder="1" applyAlignment="1">
      <alignment horizontal="center" vertical="center"/>
    </xf>
    <xf numFmtId="234" fontId="61" fillId="5" borderId="929" xfId="0" applyNumberFormat="1" applyFont="1" applyFill="1" applyBorder="1" applyAlignment="1">
      <alignment horizontal="center" vertical="center"/>
    </xf>
    <xf numFmtId="0" fontId="74" fillId="58" borderId="925" xfId="0" applyFont="1" applyFill="1" applyBorder="1" applyAlignment="1">
      <alignment horizontal="left" vertical="center"/>
    </xf>
    <xf numFmtId="0" fontId="73" fillId="58" borderId="919" xfId="0" applyFont="1" applyFill="1" applyBorder="1" applyAlignment="1">
      <alignment horizontal="center" vertical="center"/>
    </xf>
    <xf numFmtId="178" fontId="70" fillId="58" borderId="1015" xfId="0" applyNumberFormat="1" applyFont="1" applyFill="1" applyBorder="1" applyAlignment="1">
      <alignment horizontal="center" vertical="center"/>
    </xf>
    <xf numFmtId="178" fontId="70" fillId="58" borderId="376" xfId="0" applyNumberFormat="1" applyFont="1" applyFill="1" applyBorder="1" applyAlignment="1">
      <alignment horizontal="center" vertical="center"/>
    </xf>
    <xf numFmtId="178" fontId="70" fillId="58" borderId="437" xfId="0" applyNumberFormat="1" applyFont="1" applyFill="1" applyBorder="1" applyAlignment="1">
      <alignment horizontal="center" vertical="center"/>
    </xf>
    <xf numFmtId="178" fontId="70" fillId="58" borderId="0" xfId="0" applyNumberFormat="1" applyFont="1" applyFill="1" applyBorder="1" applyAlignment="1">
      <alignment horizontal="center" vertical="center"/>
    </xf>
    <xf numFmtId="0" fontId="71" fillId="58" borderId="925" xfId="0" applyFont="1" applyFill="1" applyBorder="1" applyAlignment="1">
      <alignment horizontal="center" vertical="center"/>
    </xf>
    <xf numFmtId="234" fontId="73" fillId="58" borderId="1015" xfId="0" applyNumberFormat="1" applyFont="1" applyFill="1" applyBorder="1" applyAlignment="1">
      <alignment horizontal="center" vertical="center"/>
    </xf>
    <xf numFmtId="234" fontId="73" fillId="58" borderId="376" xfId="0" applyNumberFormat="1" applyFont="1" applyFill="1" applyBorder="1" applyAlignment="1">
      <alignment horizontal="center" vertical="center"/>
    </xf>
    <xf numFmtId="234" fontId="73" fillId="58" borderId="437" xfId="0" applyNumberFormat="1" applyFont="1" applyFill="1" applyBorder="1" applyAlignment="1">
      <alignment horizontal="center" vertical="center"/>
    </xf>
    <xf numFmtId="234" fontId="73" fillId="58" borderId="0" xfId="0" applyNumberFormat="1" applyFont="1" applyFill="1" applyBorder="1" applyAlignment="1">
      <alignment horizontal="center" vertical="center"/>
    </xf>
    <xf numFmtId="0" fontId="56" fillId="5" borderId="919" xfId="0" applyFont="1" applyFill="1" applyBorder="1" applyAlignment="1">
      <alignment horizontal="center" vertical="center"/>
    </xf>
    <xf numFmtId="3" fontId="70" fillId="5" borderId="437" xfId="0" applyNumberFormat="1" applyFont="1" applyFill="1" applyBorder="1" applyAlignment="1">
      <alignment horizontal="center" vertical="center"/>
    </xf>
    <xf numFmtId="3" fontId="70" fillId="5" borderId="0" xfId="0" applyNumberFormat="1" applyFont="1" applyFill="1" applyBorder="1" applyAlignment="1">
      <alignment horizontal="center" vertical="center"/>
    </xf>
    <xf numFmtId="236" fontId="70" fillId="5" borderId="0" xfId="0" applyNumberFormat="1" applyFont="1" applyFill="1" applyBorder="1" applyAlignment="1">
      <alignment horizontal="center" vertical="center"/>
    </xf>
    <xf numFmtId="236" fontId="70" fillId="5" borderId="437" xfId="0" applyNumberFormat="1" applyFont="1" applyFill="1" applyBorder="1" applyAlignment="1">
      <alignment horizontal="center" vertical="center"/>
    </xf>
    <xf numFmtId="0" fontId="71" fillId="5" borderId="919" xfId="0" applyFont="1" applyFill="1" applyBorder="1" applyAlignment="1">
      <alignment horizontal="center" vertical="center"/>
    </xf>
    <xf numFmtId="234" fontId="61" fillId="5" borderId="437" xfId="0" applyNumberFormat="1" applyFont="1" applyFill="1" applyBorder="1" applyAlignment="1">
      <alignment horizontal="center" vertical="center"/>
    </xf>
    <xf numFmtId="234" fontId="61" fillId="5" borderId="0" xfId="0" applyNumberFormat="1" applyFont="1" applyFill="1" applyBorder="1" applyAlignment="1">
      <alignment horizontal="center" vertical="center"/>
    </xf>
    <xf numFmtId="0" fontId="69" fillId="58" borderId="942" xfId="0" applyFont="1" applyFill="1" applyBorder="1" applyAlignment="1">
      <alignment horizontal="left" vertical="center"/>
    </xf>
    <xf numFmtId="236" fontId="70" fillId="58" borderId="1018" xfId="0" applyNumberFormat="1" applyFont="1" applyFill="1" applyBorder="1" applyAlignment="1">
      <alignment horizontal="center" vertical="center"/>
    </xf>
    <xf numFmtId="236" fontId="70" fillId="58" borderId="944" xfId="0" applyNumberFormat="1" applyFont="1" applyFill="1" applyBorder="1" applyAlignment="1">
      <alignment horizontal="center" vertical="center"/>
    </xf>
    <xf numFmtId="236" fontId="70" fillId="58" borderId="1050" xfId="0" applyNumberFormat="1" applyFont="1" applyFill="1" applyBorder="1" applyAlignment="1">
      <alignment horizontal="center" vertical="center"/>
    </xf>
    <xf numFmtId="0" fontId="70" fillId="0" borderId="925" xfId="0" applyFont="1" applyBorder="1" applyAlignment="1">
      <alignment horizontal="right" vertical="center"/>
    </xf>
    <xf numFmtId="0" fontId="56" fillId="0" borderId="919" xfId="0" applyFont="1" applyBorder="1" applyAlignment="1">
      <alignment horizontal="center" vertical="center"/>
    </xf>
    <xf numFmtId="236" fontId="70" fillId="0" borderId="0" xfId="0" applyNumberFormat="1" applyFont="1" applyBorder="1" applyAlignment="1">
      <alignment horizontal="center" vertical="center"/>
    </xf>
    <xf numFmtId="236" fontId="70" fillId="0" borderId="437" xfId="0" applyNumberFormat="1" applyFont="1" applyBorder="1" applyAlignment="1">
      <alignment horizontal="center" vertical="center"/>
    </xf>
    <xf numFmtId="0" fontId="71" fillId="0" borderId="934" xfId="0" applyFont="1" applyBorder="1" applyAlignment="1">
      <alignment horizontal="center" vertical="center"/>
    </xf>
    <xf numFmtId="0" fontId="69" fillId="58" borderId="919" xfId="0" applyFont="1" applyFill="1" applyBorder="1" applyAlignment="1">
      <alignment horizontal="left" vertical="center"/>
    </xf>
    <xf numFmtId="236" fontId="70" fillId="58" borderId="1015" xfId="0" applyNumberFormat="1" applyFont="1" applyFill="1" applyBorder="1" applyAlignment="1">
      <alignment horizontal="center" vertical="center"/>
    </xf>
    <xf numFmtId="236" fontId="70" fillId="58" borderId="0" xfId="0" applyNumberFormat="1" applyFont="1" applyFill="1" applyBorder="1" applyAlignment="1">
      <alignment horizontal="center" vertical="center"/>
    </xf>
    <xf numFmtId="236" fontId="70" fillId="58" borderId="437" xfId="0" applyNumberFormat="1" applyFont="1" applyFill="1" applyBorder="1" applyAlignment="1">
      <alignment horizontal="center" vertical="center"/>
    </xf>
    <xf numFmtId="3" fontId="70" fillId="58" borderId="437" xfId="0" applyNumberFormat="1" applyFont="1" applyFill="1" applyBorder="1" applyAlignment="1">
      <alignment horizontal="center" vertical="center"/>
    </xf>
    <xf numFmtId="0" fontId="71" fillId="0" borderId="919" xfId="0" applyFont="1" applyBorder="1" applyAlignment="1">
      <alignment horizontal="center" vertical="center"/>
    </xf>
    <xf numFmtId="234" fontId="61" fillId="5" borderId="1100" xfId="0" applyNumberFormat="1" applyFont="1" applyFill="1" applyBorder="1" applyAlignment="1">
      <alignment horizontal="center" vertical="center"/>
    </xf>
    <xf numFmtId="0" fontId="74" fillId="58" borderId="931" xfId="0" applyFont="1" applyFill="1" applyBorder="1" applyAlignment="1">
      <alignment horizontal="left" vertical="center"/>
    </xf>
    <xf numFmtId="0" fontId="73" fillId="58" borderId="932" xfId="0" applyFont="1" applyFill="1" applyBorder="1" applyAlignment="1">
      <alignment horizontal="center" vertical="center"/>
    </xf>
    <xf numFmtId="178" fontId="70" fillId="58" borderId="1016" xfId="0" applyNumberFormat="1" applyFont="1" applyFill="1" applyBorder="1" applyAlignment="1">
      <alignment horizontal="center" vertical="center"/>
    </xf>
    <xf numFmtId="178" fontId="70" fillId="58" borderId="1013" xfId="0" applyNumberFormat="1" applyFont="1" applyFill="1" applyBorder="1" applyAlignment="1">
      <alignment horizontal="center" vertical="center"/>
    </xf>
    <xf numFmtId="178" fontId="70" fillId="58" borderId="822" xfId="0" applyNumberFormat="1" applyFont="1" applyFill="1" applyBorder="1" applyAlignment="1">
      <alignment horizontal="center" vertical="center"/>
    </xf>
    <xf numFmtId="178" fontId="70" fillId="58" borderId="821" xfId="0" applyNumberFormat="1" applyFont="1" applyFill="1" applyBorder="1" applyAlignment="1">
      <alignment horizontal="center" vertical="center"/>
    </xf>
    <xf numFmtId="236" fontId="74" fillId="68" borderId="1015" xfId="0" applyNumberFormat="1" applyFont="1" applyFill="1" applyBorder="1" applyAlignment="1">
      <alignment horizontal="center" vertical="center"/>
    </xf>
    <xf numFmtId="236" fontId="74" fillId="68" borderId="376" xfId="0" applyNumberFormat="1" applyFont="1" applyFill="1" applyBorder="1" applyAlignment="1">
      <alignment horizontal="center" vertical="center"/>
    </xf>
    <xf numFmtId="0" fontId="71" fillId="0" borderId="954" xfId="0" applyFont="1" applyBorder="1" applyAlignment="1">
      <alignment horizontal="center" vertical="center"/>
    </xf>
    <xf numFmtId="0" fontId="71" fillId="5" borderId="955" xfId="0" applyFont="1" applyFill="1" applyBorder="1" applyAlignment="1">
      <alignment horizontal="center" vertical="center"/>
    </xf>
    <xf numFmtId="234" fontId="75" fillId="68" borderId="1019" xfId="0" applyNumberFormat="1" applyFont="1" applyFill="1" applyBorder="1" applyAlignment="1">
      <alignment horizontal="center" vertical="center"/>
    </xf>
    <xf numFmtId="234" fontId="75" fillId="68" borderId="770" xfId="0" applyNumberFormat="1" applyFont="1" applyFill="1" applyBorder="1" applyAlignment="1">
      <alignment horizontal="center" vertical="center"/>
    </xf>
    <xf numFmtId="234" fontId="61" fillId="5" borderId="577" xfId="0" applyNumberFormat="1" applyFont="1" applyFill="1" applyBorder="1" applyAlignment="1">
      <alignment horizontal="center" vertical="center"/>
    </xf>
    <xf numFmtId="234" fontId="61" fillId="5" borderId="470" xfId="0" applyNumberFormat="1" applyFont="1" applyFill="1" applyBorder="1" applyAlignment="1">
      <alignment horizontal="center" vertical="center"/>
    </xf>
    <xf numFmtId="178" fontId="57" fillId="4" borderId="608" xfId="0" quotePrefix="1" applyNumberFormat="1" applyFont="1" applyFill="1" applyBorder="1" applyAlignment="1">
      <alignment horizontal="center" vertical="center"/>
    </xf>
    <xf numFmtId="0" fontId="55" fillId="4" borderId="424" xfId="0" quotePrefix="1" applyFont="1" applyFill="1" applyBorder="1" applyAlignment="1">
      <alignment horizontal="center" vertical="center"/>
    </xf>
    <xf numFmtId="0" fontId="55" fillId="4" borderId="417" xfId="0" quotePrefix="1" applyFont="1" applyFill="1" applyBorder="1" applyAlignment="1">
      <alignment horizontal="center" vertical="center"/>
    </xf>
    <xf numFmtId="0" fontId="55" fillId="10" borderId="1058" xfId="0" quotePrefix="1" applyFont="1" applyFill="1" applyBorder="1" applyAlignment="1">
      <alignment horizontal="center" vertical="center"/>
    </xf>
    <xf numFmtId="0" fontId="55" fillId="10" borderId="417" xfId="0" quotePrefix="1" applyFont="1" applyFill="1" applyBorder="1" applyAlignment="1">
      <alignment horizontal="center" vertical="center"/>
    </xf>
    <xf numFmtId="0" fontId="55" fillId="10" borderId="1057" xfId="0" quotePrefix="1" applyFont="1" applyFill="1" applyBorder="1" applyAlignment="1">
      <alignment horizontal="center" vertical="center"/>
    </xf>
    <xf numFmtId="178" fontId="55" fillId="9" borderId="57" xfId="0" applyNumberFormat="1" applyFont="1" applyFill="1" applyBorder="1" applyAlignment="1">
      <alignment horizontal="center" vertical="center"/>
    </xf>
    <xf numFmtId="178" fontId="55" fillId="9" borderId="1056" xfId="0" applyNumberFormat="1" applyFont="1" applyFill="1" applyBorder="1" applyAlignment="1">
      <alignment horizontal="center" vertical="center"/>
    </xf>
    <xf numFmtId="178" fontId="55" fillId="9" borderId="418" xfId="0" applyNumberFormat="1" applyFont="1" applyFill="1" applyBorder="1" applyAlignment="1">
      <alignment horizontal="center" vertical="center"/>
    </xf>
    <xf numFmtId="180" fontId="55" fillId="9" borderId="1035" xfId="0" applyNumberFormat="1" applyFont="1" applyFill="1" applyBorder="1" applyAlignment="1">
      <alignment horizontal="center" vertical="center"/>
    </xf>
    <xf numFmtId="199" fontId="55" fillId="9" borderId="59" xfId="0" applyNumberFormat="1" applyFont="1" applyFill="1" applyBorder="1" applyAlignment="1">
      <alignment horizontal="center" vertical="center"/>
    </xf>
    <xf numFmtId="9" fontId="55" fillId="9" borderId="59" xfId="3" applyFont="1" applyFill="1" applyBorder="1" applyAlignment="1">
      <alignment horizontal="center" vertical="center"/>
    </xf>
    <xf numFmtId="182" fontId="55" fillId="9" borderId="59" xfId="0" applyNumberFormat="1" applyFont="1" applyFill="1" applyBorder="1" applyAlignment="1">
      <alignment horizontal="center" vertical="center"/>
    </xf>
    <xf numFmtId="181" fontId="55" fillId="9" borderId="188" xfId="0" applyNumberFormat="1" applyFont="1" applyFill="1" applyBorder="1" applyAlignment="1">
      <alignment horizontal="center" vertical="center"/>
    </xf>
    <xf numFmtId="0" fontId="70" fillId="8" borderId="143" xfId="0" applyFont="1" applyFill="1" applyBorder="1" applyAlignment="1">
      <alignment horizontal="center" vertical="center"/>
    </xf>
    <xf numFmtId="0" fontId="55" fillId="8" borderId="74" xfId="0" applyFont="1" applyFill="1" applyBorder="1">
      <alignment vertical="center"/>
    </xf>
    <xf numFmtId="178" fontId="55" fillId="8" borderId="75" xfId="0" applyNumberFormat="1" applyFont="1" applyFill="1" applyBorder="1" applyAlignment="1">
      <alignment horizontal="center" vertical="center"/>
    </xf>
    <xf numFmtId="178" fontId="55" fillId="8" borderId="1038" xfId="0" applyNumberFormat="1" applyFont="1" applyFill="1" applyBorder="1" applyAlignment="1">
      <alignment horizontal="center" vertical="center"/>
    </xf>
    <xf numFmtId="178" fontId="55" fillId="8" borderId="74" xfId="0" applyNumberFormat="1" applyFont="1" applyFill="1" applyBorder="1" applyAlignment="1">
      <alignment horizontal="center" vertical="center"/>
    </xf>
    <xf numFmtId="180" fontId="55" fillId="8" borderId="1038" xfId="0" applyNumberFormat="1" applyFont="1" applyFill="1" applyBorder="1" applyAlignment="1">
      <alignment horizontal="center" vertical="center"/>
    </xf>
    <xf numFmtId="199" fontId="55" fillId="8" borderId="77" xfId="0" applyNumberFormat="1" applyFont="1" applyFill="1" applyBorder="1" applyAlignment="1">
      <alignment horizontal="center" vertical="center"/>
    </xf>
    <xf numFmtId="9" fontId="55" fillId="8" borderId="77" xfId="3" applyFont="1" applyFill="1" applyBorder="1" applyAlignment="1">
      <alignment horizontal="center" vertical="center"/>
    </xf>
    <xf numFmtId="182" fontId="55" fillId="8" borderId="77" xfId="0" applyNumberFormat="1" applyFont="1" applyFill="1" applyBorder="1" applyAlignment="1">
      <alignment horizontal="center" vertical="center"/>
    </xf>
    <xf numFmtId="181" fontId="55" fillId="8" borderId="189" xfId="0" applyNumberFormat="1" applyFont="1" applyFill="1" applyBorder="1" applyAlignment="1">
      <alignment horizontal="center" vertical="center"/>
    </xf>
    <xf numFmtId="0" fontId="70" fillId="8" borderId="140" xfId="0" applyFont="1" applyFill="1" applyBorder="1" applyAlignment="1">
      <alignment horizontal="center" vertical="center"/>
    </xf>
    <xf numFmtId="180" fontId="55" fillId="8" borderId="437" xfId="0" applyNumberFormat="1" applyFont="1" applyFill="1" applyBorder="1" applyAlignment="1">
      <alignment horizontal="center" vertical="center"/>
    </xf>
    <xf numFmtId="199" fontId="55" fillId="8" borderId="44" xfId="0" applyNumberFormat="1" applyFont="1" applyFill="1" applyBorder="1" applyAlignment="1">
      <alignment horizontal="center" vertical="center"/>
    </xf>
    <xf numFmtId="9" fontId="55" fillId="8" borderId="44" xfId="3" applyFont="1" applyFill="1" applyBorder="1" applyAlignment="1">
      <alignment horizontal="center" vertical="center"/>
    </xf>
    <xf numFmtId="182" fontId="55" fillId="8" borderId="44" xfId="0" applyNumberFormat="1" applyFont="1" applyFill="1" applyBorder="1" applyAlignment="1">
      <alignment horizontal="center" vertical="center"/>
    </xf>
    <xf numFmtId="181" fontId="55" fillId="8" borderId="185" xfId="0" applyNumberFormat="1" applyFont="1" applyFill="1" applyBorder="1" applyAlignment="1">
      <alignment horizontal="center" vertical="center"/>
    </xf>
    <xf numFmtId="0" fontId="70" fillId="8" borderId="142" xfId="0" applyFont="1" applyFill="1" applyBorder="1" applyAlignment="1">
      <alignment horizontal="center" vertical="center"/>
    </xf>
    <xf numFmtId="0" fontId="55" fillId="8" borderId="114" xfId="0" applyFont="1" applyFill="1" applyBorder="1">
      <alignment vertical="center"/>
    </xf>
    <xf numFmtId="178" fontId="55" fillId="8" borderId="116" xfId="0" applyNumberFormat="1" applyFont="1" applyFill="1" applyBorder="1" applyAlignment="1">
      <alignment horizontal="center" vertical="center"/>
    </xf>
    <xf numFmtId="178" fontId="55" fillId="8" borderId="1039" xfId="0" applyNumberFormat="1" applyFont="1" applyFill="1" applyBorder="1" applyAlignment="1">
      <alignment horizontal="center" vertical="center"/>
    </xf>
    <xf numFmtId="178" fontId="55" fillId="8" borderId="114" xfId="0" applyNumberFormat="1" applyFont="1" applyFill="1" applyBorder="1" applyAlignment="1">
      <alignment horizontal="center" vertical="center"/>
    </xf>
    <xf numFmtId="180" fontId="55" fillId="8" borderId="1039" xfId="0" applyNumberFormat="1" applyFont="1" applyFill="1" applyBorder="1" applyAlignment="1">
      <alignment horizontal="center" vertical="center"/>
    </xf>
    <xf numFmtId="199" fontId="55" fillId="8" borderId="118" xfId="0" applyNumberFormat="1" applyFont="1" applyFill="1" applyBorder="1" applyAlignment="1">
      <alignment horizontal="center" vertical="center"/>
    </xf>
    <xf numFmtId="9" fontId="55" fillId="8" borderId="118" xfId="3" applyFont="1" applyFill="1" applyBorder="1" applyAlignment="1">
      <alignment horizontal="center" vertical="center"/>
    </xf>
    <xf numFmtId="182" fontId="55" fillId="8" borderId="118" xfId="0" applyNumberFormat="1" applyFont="1" applyFill="1" applyBorder="1" applyAlignment="1">
      <alignment horizontal="center" vertical="center"/>
    </xf>
    <xf numFmtId="181" fontId="55" fillId="8" borderId="190" xfId="0" applyNumberFormat="1" applyFont="1" applyFill="1" applyBorder="1" applyAlignment="1">
      <alignment horizontal="center" vertical="center"/>
    </xf>
    <xf numFmtId="0" fontId="70" fillId="0" borderId="140" xfId="0" applyFont="1" applyBorder="1" applyAlignment="1">
      <alignment horizontal="center" vertical="center"/>
    </xf>
    <xf numFmtId="0" fontId="70" fillId="0" borderId="175" xfId="0" applyFont="1" applyBorder="1" applyAlignment="1">
      <alignment horizontal="center" vertical="center"/>
    </xf>
    <xf numFmtId="180" fontId="55" fillId="0" borderId="437" xfId="0" applyNumberFormat="1" applyFont="1" applyBorder="1" applyAlignment="1">
      <alignment horizontal="center" vertical="center"/>
    </xf>
    <xf numFmtId="199" fontId="55" fillId="0" borderId="44" xfId="0" applyNumberFormat="1" applyFont="1" applyBorder="1" applyAlignment="1">
      <alignment horizontal="center" vertical="center"/>
    </xf>
    <xf numFmtId="9" fontId="55" fillId="0" borderId="44" xfId="3" applyFont="1" applyFill="1" applyBorder="1" applyAlignment="1">
      <alignment horizontal="center" vertical="center"/>
    </xf>
    <xf numFmtId="182" fontId="55" fillId="0" borderId="44" xfId="0" applyNumberFormat="1" applyFont="1" applyBorder="1" applyAlignment="1">
      <alignment horizontal="center" vertical="center"/>
    </xf>
    <xf numFmtId="181" fontId="55" fillId="0" borderId="185" xfId="0" applyNumberFormat="1" applyFont="1" applyBorder="1" applyAlignment="1">
      <alignment horizontal="center" vertical="center"/>
    </xf>
    <xf numFmtId="180" fontId="36" fillId="0" borderId="437" xfId="0" applyNumberFormat="1" applyFont="1" applyBorder="1" applyAlignment="1">
      <alignment horizontal="center" vertical="center"/>
    </xf>
    <xf numFmtId="199" fontId="36" fillId="0" borderId="44" xfId="0" applyNumberFormat="1" applyFont="1" applyBorder="1" applyAlignment="1">
      <alignment horizontal="center" vertical="center"/>
    </xf>
    <xf numFmtId="9" fontId="36" fillId="0" borderId="44" xfId="3" applyFont="1" applyFill="1" applyBorder="1" applyAlignment="1">
      <alignment horizontal="center" vertical="center"/>
    </xf>
    <xf numFmtId="182" fontId="36" fillId="0" borderId="44" xfId="0" applyNumberFormat="1" applyFont="1" applyBorder="1" applyAlignment="1">
      <alignment horizontal="center" vertical="center"/>
    </xf>
    <xf numFmtId="181" fontId="36" fillId="0" borderId="185" xfId="0" applyNumberFormat="1" applyFont="1" applyBorder="1" applyAlignment="1">
      <alignment horizontal="center" vertical="center"/>
    </xf>
    <xf numFmtId="0" fontId="43" fillId="9" borderId="628" xfId="0" applyFont="1" applyFill="1" applyBorder="1">
      <alignment vertical="center"/>
    </xf>
    <xf numFmtId="0" fontId="36" fillId="9" borderId="629" xfId="0" applyFont="1" applyFill="1" applyBorder="1">
      <alignment vertical="center"/>
    </xf>
    <xf numFmtId="178" fontId="36" fillId="9" borderId="630" xfId="0" applyNumberFormat="1" applyFont="1" applyFill="1" applyBorder="1" applyAlignment="1">
      <alignment horizontal="center" vertical="center"/>
    </xf>
    <xf numFmtId="178" fontId="36" fillId="9" borderId="1033" xfId="0" applyNumberFormat="1" applyFont="1" applyFill="1" applyBorder="1" applyAlignment="1">
      <alignment horizontal="center" vertical="center"/>
    </xf>
    <xf numFmtId="178" fontId="36" fillId="9" borderId="629" xfId="0" applyNumberFormat="1" applyFont="1" applyFill="1" applyBorder="1" applyAlignment="1">
      <alignment horizontal="center" vertical="center"/>
    </xf>
    <xf numFmtId="180" fontId="36" fillId="9" borderId="1033" xfId="0" applyNumberFormat="1" applyFont="1" applyFill="1" applyBorder="1" applyAlignment="1">
      <alignment horizontal="center" vertical="center"/>
    </xf>
    <xf numFmtId="199" fontId="36" fillId="9" borderId="635" xfId="0" applyNumberFormat="1" applyFont="1" applyFill="1" applyBorder="1" applyAlignment="1">
      <alignment horizontal="center" vertical="center"/>
    </xf>
    <xf numFmtId="9" fontId="36" fillId="9" borderId="635" xfId="3" applyFont="1" applyFill="1" applyBorder="1" applyAlignment="1">
      <alignment horizontal="center" vertical="center"/>
    </xf>
    <xf numFmtId="183" fontId="36" fillId="9" borderId="635" xfId="0" applyNumberFormat="1" applyFont="1" applyFill="1" applyBorder="1" applyAlignment="1">
      <alignment horizontal="center" vertical="center"/>
    </xf>
    <xf numFmtId="181" fontId="36" fillId="9" borderId="675" xfId="0" applyNumberFormat="1" applyFont="1" applyFill="1" applyBorder="1" applyAlignment="1">
      <alignment horizontal="center" vertical="center"/>
    </xf>
    <xf numFmtId="0" fontId="36" fillId="8" borderId="74" xfId="0" applyFont="1" applyFill="1" applyBorder="1">
      <alignment vertical="center"/>
    </xf>
    <xf numFmtId="178" fontId="36" fillId="8" borderId="75" xfId="0" applyNumberFormat="1" applyFont="1" applyFill="1" applyBorder="1" applyAlignment="1">
      <alignment horizontal="center" vertical="center"/>
    </xf>
    <xf numFmtId="178" fontId="36" fillId="8" borderId="1038" xfId="0" applyNumberFormat="1" applyFont="1" applyFill="1" applyBorder="1" applyAlignment="1">
      <alignment horizontal="center" vertical="center"/>
    </xf>
    <xf numFmtId="178" fontId="36" fillId="8" borderId="74" xfId="0" applyNumberFormat="1" applyFont="1" applyFill="1" applyBorder="1" applyAlignment="1">
      <alignment horizontal="center" vertical="center"/>
    </xf>
    <xf numFmtId="180" fontId="36" fillId="8" borderId="1038" xfId="0" applyNumberFormat="1" applyFont="1" applyFill="1" applyBorder="1" applyAlignment="1">
      <alignment horizontal="center" vertical="center"/>
    </xf>
    <xf numFmtId="199" fontId="36" fillId="8" borderId="77" xfId="0" applyNumberFormat="1" applyFont="1" applyFill="1" applyBorder="1" applyAlignment="1">
      <alignment horizontal="center" vertical="center"/>
    </xf>
    <xf numFmtId="9" fontId="36" fillId="8" borderId="77" xfId="3" applyFont="1" applyFill="1" applyBorder="1" applyAlignment="1">
      <alignment horizontal="center" vertical="center"/>
    </xf>
    <xf numFmtId="183" fontId="36" fillId="8" borderId="77" xfId="0" applyNumberFormat="1" applyFont="1" applyFill="1" applyBorder="1" applyAlignment="1">
      <alignment horizontal="center" vertical="center"/>
    </xf>
    <xf numFmtId="181" fontId="36" fillId="8" borderId="189" xfId="0" applyNumberFormat="1" applyFont="1" applyFill="1" applyBorder="1" applyAlignment="1">
      <alignment horizontal="center" vertical="center"/>
    </xf>
    <xf numFmtId="180" fontId="36" fillId="8" borderId="437" xfId="0" applyNumberFormat="1" applyFont="1" applyFill="1" applyBorder="1" applyAlignment="1">
      <alignment horizontal="center" vertical="center"/>
    </xf>
    <xf numFmtId="199" fontId="36" fillId="8" borderId="44" xfId="0" applyNumberFormat="1" applyFont="1" applyFill="1" applyBorder="1" applyAlignment="1">
      <alignment horizontal="center" vertical="center"/>
    </xf>
    <xf numFmtId="9" fontId="36" fillId="8" borderId="44" xfId="3" applyFont="1" applyFill="1" applyBorder="1" applyAlignment="1">
      <alignment horizontal="center" vertical="center"/>
    </xf>
    <xf numFmtId="183" fontId="36" fillId="8" borderId="44" xfId="0" applyNumberFormat="1" applyFont="1" applyFill="1" applyBorder="1" applyAlignment="1">
      <alignment horizontal="center" vertical="center"/>
    </xf>
    <xf numFmtId="181" fontId="36" fillId="8" borderId="185" xfId="0" applyNumberFormat="1" applyFont="1" applyFill="1" applyBorder="1" applyAlignment="1">
      <alignment horizontal="center" vertical="center"/>
    </xf>
    <xf numFmtId="0" fontId="36" fillId="8" borderId="114" xfId="0" applyFont="1" applyFill="1" applyBorder="1">
      <alignment vertical="center"/>
    </xf>
    <xf numFmtId="178" fontId="36" fillId="8" borderId="116" xfId="0" applyNumberFormat="1" applyFont="1" applyFill="1" applyBorder="1" applyAlignment="1">
      <alignment horizontal="center" vertical="center"/>
    </xf>
    <xf numFmtId="178" fontId="36" fillId="8" borderId="1039" xfId="0" applyNumberFormat="1" applyFont="1" applyFill="1" applyBorder="1" applyAlignment="1">
      <alignment horizontal="center" vertical="center"/>
    </xf>
    <xf numFmtId="178" fontId="36" fillId="8" borderId="114" xfId="0" applyNumberFormat="1" applyFont="1" applyFill="1" applyBorder="1" applyAlignment="1">
      <alignment horizontal="center" vertical="center"/>
    </xf>
    <xf numFmtId="180" fontId="36" fillId="8" borderId="1039" xfId="0" applyNumberFormat="1" applyFont="1" applyFill="1" applyBorder="1" applyAlignment="1">
      <alignment horizontal="center" vertical="center"/>
    </xf>
    <xf numFmtId="199" fontId="36" fillId="8" borderId="118" xfId="0" applyNumberFormat="1" applyFont="1" applyFill="1" applyBorder="1" applyAlignment="1">
      <alignment horizontal="center" vertical="center"/>
    </xf>
    <xf numFmtId="9" fontId="36" fillId="8" borderId="118" xfId="3" applyFont="1" applyFill="1" applyBorder="1" applyAlignment="1">
      <alignment horizontal="center" vertical="center"/>
    </xf>
    <xf numFmtId="183" fontId="36" fillId="8" borderId="118" xfId="0" applyNumberFormat="1" applyFont="1" applyFill="1" applyBorder="1" applyAlignment="1">
      <alignment horizontal="center" vertical="center"/>
    </xf>
    <xf numFmtId="181" fontId="36" fillId="8" borderId="190" xfId="0" applyNumberFormat="1" applyFont="1" applyFill="1" applyBorder="1" applyAlignment="1">
      <alignment horizontal="center" vertical="center"/>
    </xf>
    <xf numFmtId="0" fontId="47" fillId="0" borderId="140" xfId="0" applyFont="1" applyBorder="1">
      <alignment vertical="center"/>
    </xf>
    <xf numFmtId="0" fontId="36" fillId="0" borderId="421" xfId="0" applyFont="1" applyFill="1" applyBorder="1">
      <alignment vertical="center"/>
    </xf>
    <xf numFmtId="180" fontId="36" fillId="14" borderId="437" xfId="0" applyNumberFormat="1" applyFont="1" applyFill="1" applyBorder="1" applyAlignment="1">
      <alignment horizontal="center" vertical="center"/>
    </xf>
    <xf numFmtId="199" fontId="36" fillId="14" borderId="44" xfId="0" applyNumberFormat="1" applyFont="1" applyFill="1" applyBorder="1" applyAlignment="1">
      <alignment horizontal="center" vertical="center"/>
    </xf>
    <xf numFmtId="9" fontId="36" fillId="14" borderId="44" xfId="3" applyFont="1" applyFill="1" applyBorder="1" applyAlignment="1">
      <alignment horizontal="center" vertical="center"/>
    </xf>
    <xf numFmtId="183" fontId="36" fillId="0" borderId="44" xfId="0" applyNumberFormat="1" applyFont="1" applyBorder="1" applyAlignment="1">
      <alignment horizontal="center" vertical="center"/>
    </xf>
    <xf numFmtId="0" fontId="47" fillId="0" borderId="410" xfId="0" applyFont="1" applyFill="1" applyBorder="1">
      <alignment vertical="center"/>
    </xf>
    <xf numFmtId="183" fontId="36" fillId="14" borderId="44" xfId="0" applyNumberFormat="1" applyFont="1" applyFill="1" applyBorder="1" applyAlignment="1">
      <alignment horizontal="center" vertical="center"/>
    </xf>
    <xf numFmtId="181" fontId="36" fillId="14" borderId="185" xfId="0" applyNumberFormat="1" applyFont="1" applyFill="1" applyBorder="1" applyAlignment="1">
      <alignment horizontal="center" vertical="center"/>
    </xf>
    <xf numFmtId="0" fontId="36" fillId="12" borderId="410" xfId="0" applyFont="1" applyFill="1" applyBorder="1">
      <alignment vertical="center"/>
    </xf>
    <xf numFmtId="178" fontId="36" fillId="12" borderId="11" xfId="0" applyNumberFormat="1" applyFont="1" applyFill="1" applyBorder="1" applyAlignment="1">
      <alignment horizontal="center" vertical="center"/>
    </xf>
    <xf numFmtId="178" fontId="36" fillId="12" borderId="437" xfId="0" applyNumberFormat="1" applyFont="1" applyFill="1" applyBorder="1" applyAlignment="1">
      <alignment horizontal="center" vertical="center"/>
    </xf>
    <xf numFmtId="178" fontId="36" fillId="12" borderId="0" xfId="0" applyNumberFormat="1" applyFont="1" applyFill="1" applyBorder="1" applyAlignment="1">
      <alignment horizontal="center" vertical="center"/>
    </xf>
    <xf numFmtId="194" fontId="36" fillId="71" borderId="0" xfId="2" applyNumberFormat="1" applyFont="1" applyFill="1" applyBorder="1" applyAlignment="1">
      <alignment horizontal="center" vertical="center"/>
    </xf>
    <xf numFmtId="0" fontId="47" fillId="12" borderId="410" xfId="0" applyFont="1" applyFill="1" applyBorder="1">
      <alignment vertical="center"/>
    </xf>
    <xf numFmtId="0" fontId="36" fillId="0" borderId="410" xfId="0" applyFont="1" applyFill="1" applyBorder="1">
      <alignment vertical="center"/>
    </xf>
    <xf numFmtId="183" fontId="36" fillId="12" borderId="44" xfId="0" applyNumberFormat="1" applyFont="1" applyFill="1" applyBorder="1" applyAlignment="1">
      <alignment horizontal="center" vertical="center"/>
    </xf>
    <xf numFmtId="181" fontId="36" fillId="12" borderId="185" xfId="0" applyNumberFormat="1" applyFont="1" applyFill="1" applyBorder="1" applyAlignment="1">
      <alignment horizontal="center" vertical="center"/>
    </xf>
    <xf numFmtId="199" fontId="36" fillId="14" borderId="326" xfId="0" applyNumberFormat="1" applyFont="1" applyFill="1" applyBorder="1" applyAlignment="1">
      <alignment horizontal="center" vertical="center"/>
    </xf>
    <xf numFmtId="9" fontId="36" fillId="14" borderId="326" xfId="3" applyFont="1" applyFill="1" applyBorder="1" applyAlignment="1">
      <alignment horizontal="center" vertical="center"/>
    </xf>
    <xf numFmtId="183" fontId="36" fillId="12" borderId="326" xfId="0" applyNumberFormat="1" applyFont="1" applyFill="1" applyBorder="1" applyAlignment="1">
      <alignment horizontal="center" vertical="center"/>
    </xf>
    <xf numFmtId="181" fontId="36" fillId="12" borderId="84" xfId="0" applyNumberFormat="1" applyFont="1" applyFill="1" applyBorder="1" applyAlignment="1">
      <alignment horizontal="center" vertical="center"/>
    </xf>
    <xf numFmtId="0" fontId="47" fillId="0" borderId="644" xfId="0" applyFont="1" applyBorder="1">
      <alignment vertical="center"/>
    </xf>
    <xf numFmtId="0" fontId="47" fillId="12" borderId="673" xfId="0" applyFont="1" applyFill="1" applyBorder="1">
      <alignment vertical="center"/>
    </xf>
    <xf numFmtId="178" fontId="36" fillId="12" borderId="674" xfId="0" applyNumberFormat="1" applyFont="1" applyFill="1" applyBorder="1" applyAlignment="1">
      <alignment horizontal="center" vertical="center"/>
    </xf>
    <xf numFmtId="178" fontId="36" fillId="12" borderId="1034" xfId="0" applyNumberFormat="1" applyFont="1" applyFill="1" applyBorder="1" applyAlignment="1">
      <alignment horizontal="center" vertical="center"/>
    </xf>
    <xf numFmtId="178" fontId="36" fillId="12" borderId="645" xfId="0" applyNumberFormat="1" applyFont="1" applyFill="1" applyBorder="1" applyAlignment="1">
      <alignment horizontal="center" vertical="center"/>
    </xf>
    <xf numFmtId="180" fontId="36" fillId="14" borderId="1034" xfId="0" applyNumberFormat="1" applyFont="1" applyFill="1" applyBorder="1" applyAlignment="1">
      <alignment horizontal="center" vertical="center"/>
    </xf>
    <xf numFmtId="199" fontId="36" fillId="14" borderId="652" xfId="0" applyNumberFormat="1" applyFont="1" applyFill="1" applyBorder="1" applyAlignment="1">
      <alignment horizontal="center" vertical="center"/>
    </xf>
    <xf numFmtId="9" fontId="36" fillId="14" borderId="652" xfId="3" applyFont="1" applyFill="1" applyBorder="1" applyAlignment="1">
      <alignment horizontal="center" vertical="center"/>
    </xf>
    <xf numFmtId="183" fontId="36" fillId="14" borderId="652" xfId="0" applyNumberFormat="1" applyFont="1" applyFill="1" applyBorder="1" applyAlignment="1">
      <alignment horizontal="center" vertical="center"/>
    </xf>
    <xf numFmtId="181" fontId="36" fillId="14" borderId="1020" xfId="0" applyNumberFormat="1" applyFont="1" applyFill="1" applyBorder="1" applyAlignment="1">
      <alignment horizontal="center" vertical="center"/>
    </xf>
    <xf numFmtId="0" fontId="36" fillId="21" borderId="0" xfId="0" applyFont="1" applyFill="1">
      <alignment vertical="center"/>
    </xf>
    <xf numFmtId="0" fontId="36" fillId="21" borderId="0" xfId="0" applyFont="1" applyFill="1" applyAlignment="1">
      <alignment horizontal="center" vertical="center"/>
    </xf>
    <xf numFmtId="0" fontId="55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7" fillId="25" borderId="0" xfId="0" applyFont="1" applyFill="1" applyAlignment="1">
      <alignment horizontal="center" vertical="center"/>
    </xf>
    <xf numFmtId="0" fontId="36" fillId="30" borderId="0" xfId="0" applyFont="1" applyFill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52" fillId="26" borderId="0" xfId="0" applyFont="1" applyFill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center" vertical="center"/>
    </xf>
    <xf numFmtId="0" fontId="78" fillId="31" borderId="422" xfId="0" quotePrefix="1" applyFont="1" applyFill="1" applyBorder="1" applyAlignment="1">
      <alignment horizontal="center" vertical="center"/>
    </xf>
    <xf numFmtId="0" fontId="78" fillId="31" borderId="216" xfId="0" quotePrefix="1" applyFont="1" applyFill="1" applyBorder="1" applyAlignment="1">
      <alignment horizontal="center" vertical="center"/>
    </xf>
    <xf numFmtId="0" fontId="78" fillId="31" borderId="217" xfId="0" quotePrefix="1" applyFont="1" applyFill="1" applyBorder="1" applyAlignment="1">
      <alignment horizontal="center" vertical="center"/>
    </xf>
    <xf numFmtId="0" fontId="37" fillId="15" borderId="6" xfId="0" applyFont="1" applyFill="1" applyBorder="1" applyAlignment="1">
      <alignment horizontal="center" vertical="center"/>
    </xf>
    <xf numFmtId="0" fontId="37" fillId="6" borderId="218" xfId="0" quotePrefix="1" applyFont="1" applyFill="1" applyBorder="1" applyAlignment="1">
      <alignment horizontal="center" vertical="center"/>
    </xf>
    <xf numFmtId="0" fontId="37" fillId="6" borderId="214" xfId="0" quotePrefix="1" applyFont="1" applyFill="1" applyBorder="1" applyAlignment="1">
      <alignment horizontal="center" vertical="center"/>
    </xf>
    <xf numFmtId="0" fontId="37" fillId="6" borderId="218" xfId="0" applyFont="1" applyFill="1" applyBorder="1" applyAlignment="1">
      <alignment horizontal="center" vertical="center"/>
    </xf>
    <xf numFmtId="0" fontId="37" fillId="8" borderId="39" xfId="0" applyFont="1" applyFill="1" applyBorder="1" applyAlignment="1">
      <alignment horizontal="center" vertical="center"/>
    </xf>
    <xf numFmtId="0" fontId="37" fillId="6" borderId="41" xfId="0" applyFont="1" applyFill="1" applyBorder="1" applyAlignment="1">
      <alignment horizontal="center" vertical="center"/>
    </xf>
    <xf numFmtId="0" fontId="37" fillId="8" borderId="658" xfId="0" applyFont="1" applyFill="1" applyBorder="1" applyAlignment="1">
      <alignment horizontal="center" vertical="center"/>
    </xf>
    <xf numFmtId="0" fontId="52" fillId="22" borderId="0" xfId="0" applyFont="1" applyFill="1" applyAlignment="1">
      <alignment horizontal="center" vertical="center"/>
    </xf>
    <xf numFmtId="196" fontId="36" fillId="11" borderId="9" xfId="0" applyNumberFormat="1" applyFont="1" applyFill="1" applyBorder="1" applyAlignment="1">
      <alignment horizontal="center" vertical="center"/>
    </xf>
    <xf numFmtId="196" fontId="36" fillId="11" borderId="591" xfId="0" applyNumberFormat="1" applyFont="1" applyFill="1" applyBorder="1" applyAlignment="1">
      <alignment horizontal="center" vertical="center"/>
    </xf>
    <xf numFmtId="196" fontId="36" fillId="11" borderId="4" xfId="0" applyNumberFormat="1" applyFont="1" applyFill="1" applyBorder="1" applyAlignment="1">
      <alignment horizontal="center" vertical="center"/>
    </xf>
    <xf numFmtId="196" fontId="36" fillId="11" borderId="171" xfId="0" applyNumberFormat="1" applyFont="1" applyFill="1" applyBorder="1" applyAlignment="1">
      <alignment horizontal="center" vertical="center"/>
    </xf>
    <xf numFmtId="197" fontId="36" fillId="11" borderId="85" xfId="0" applyNumberFormat="1" applyFont="1" applyFill="1" applyBorder="1" applyAlignment="1">
      <alignment horizontal="center" vertical="center"/>
    </xf>
    <xf numFmtId="197" fontId="36" fillId="11" borderId="4" xfId="0" applyNumberFormat="1" applyFont="1" applyFill="1" applyBorder="1" applyAlignment="1">
      <alignment horizontal="center" vertical="center"/>
    </xf>
    <xf numFmtId="196" fontId="36" fillId="11" borderId="219" xfId="0" applyNumberFormat="1" applyFont="1" applyFill="1" applyBorder="1" applyAlignment="1">
      <alignment horizontal="center" vertical="center"/>
    </xf>
    <xf numFmtId="196" fontId="36" fillId="11" borderId="201" xfId="0" applyNumberFormat="1" applyFont="1" applyFill="1" applyBorder="1" applyAlignment="1">
      <alignment horizontal="center" vertical="center"/>
    </xf>
    <xf numFmtId="201" fontId="36" fillId="11" borderId="219" xfId="0" applyNumberFormat="1" applyFont="1" applyFill="1" applyBorder="1" applyAlignment="1">
      <alignment horizontal="center" vertical="center"/>
    </xf>
    <xf numFmtId="198" fontId="36" fillId="11" borderId="40" xfId="0" applyNumberFormat="1" applyFont="1" applyFill="1" applyBorder="1" applyAlignment="1">
      <alignment horizontal="center" vertical="center"/>
    </xf>
    <xf numFmtId="201" fontId="36" fillId="11" borderId="43" xfId="0" applyNumberFormat="1" applyFont="1" applyFill="1" applyBorder="1" applyAlignment="1">
      <alignment horizontal="center" vertical="center"/>
    </xf>
    <xf numFmtId="196" fontId="36" fillId="13" borderId="11" xfId="0" applyNumberFormat="1" applyFont="1" applyFill="1" applyBorder="1" applyAlignment="1">
      <alignment horizontal="center" vertical="center"/>
    </xf>
    <xf numFmtId="196" fontId="36" fillId="13" borderId="437" xfId="0" applyNumberFormat="1" applyFont="1" applyFill="1" applyBorder="1" applyAlignment="1">
      <alignment horizontal="center" vertical="center"/>
    </xf>
    <xf numFmtId="196" fontId="36" fillId="13" borderId="0" xfId="0" applyNumberFormat="1" applyFont="1" applyFill="1" applyBorder="1" applyAlignment="1">
      <alignment horizontal="center" vertical="center"/>
    </xf>
    <xf numFmtId="196" fontId="36" fillId="13" borderId="173" xfId="0" applyNumberFormat="1" applyFont="1" applyFill="1" applyBorder="1" applyAlignment="1">
      <alignment horizontal="center" vertical="center"/>
    </xf>
    <xf numFmtId="197" fontId="36" fillId="13" borderId="84" xfId="0" applyNumberFormat="1" applyFont="1" applyFill="1" applyBorder="1" applyAlignment="1">
      <alignment horizontal="center" vertical="center"/>
    </xf>
    <xf numFmtId="197" fontId="36" fillId="13" borderId="0" xfId="0" applyNumberFormat="1" applyFont="1" applyFill="1" applyBorder="1" applyAlignment="1">
      <alignment horizontal="center" vertical="center"/>
    </xf>
    <xf numFmtId="196" fontId="36" fillId="13" borderId="220" xfId="0" applyNumberFormat="1" applyFont="1" applyFill="1" applyBorder="1" applyAlignment="1">
      <alignment horizontal="center" vertical="center"/>
    </xf>
    <xf numFmtId="196" fontId="36" fillId="13" borderId="200" xfId="0" applyNumberFormat="1" applyFont="1" applyFill="1" applyBorder="1" applyAlignment="1">
      <alignment horizontal="center" vertical="center"/>
    </xf>
    <xf numFmtId="201" fontId="36" fillId="29" borderId="220" xfId="0" applyNumberFormat="1" applyFont="1" applyFill="1" applyBorder="1" applyAlignment="1">
      <alignment horizontal="center" vertical="center"/>
    </xf>
    <xf numFmtId="201" fontId="36" fillId="29" borderId="0" xfId="0" applyNumberFormat="1" applyFont="1" applyFill="1" applyBorder="1" applyAlignment="1">
      <alignment horizontal="center" vertical="center"/>
    </xf>
    <xf numFmtId="198" fontId="36" fillId="29" borderId="38" xfId="0" applyNumberFormat="1" applyFont="1" applyFill="1" applyBorder="1" applyAlignment="1">
      <alignment horizontal="center" vertical="center"/>
    </xf>
    <xf numFmtId="201" fontId="36" fillId="29" borderId="44" xfId="0" applyNumberFormat="1" applyFont="1" applyFill="1" applyBorder="1" applyAlignment="1">
      <alignment horizontal="center" vertical="center"/>
    </xf>
    <xf numFmtId="189" fontId="36" fillId="29" borderId="210" xfId="0" applyNumberFormat="1" applyFont="1" applyFill="1" applyBorder="1" applyAlignment="1">
      <alignment horizontal="center" vertical="center"/>
    </xf>
    <xf numFmtId="0" fontId="70" fillId="8" borderId="202" xfId="0" applyFont="1" applyFill="1" applyBorder="1" applyAlignment="1">
      <alignment horizontal="center" vertical="center"/>
    </xf>
    <xf numFmtId="0" fontId="36" fillId="8" borderId="66" xfId="0" applyFont="1" applyFill="1" applyBorder="1">
      <alignment vertical="center"/>
    </xf>
    <xf numFmtId="196" fontId="36" fillId="8" borderId="67" xfId="0" applyNumberFormat="1" applyFont="1" applyFill="1" applyBorder="1" applyAlignment="1">
      <alignment horizontal="center" vertical="center"/>
    </xf>
    <xf numFmtId="196" fontId="36" fillId="8" borderId="609" xfId="0" applyNumberFormat="1" applyFont="1" applyFill="1" applyBorder="1" applyAlignment="1">
      <alignment horizontal="center" vertical="center"/>
    </xf>
    <xf numFmtId="196" fontId="36" fillId="8" borderId="66" xfId="0" applyNumberFormat="1" applyFont="1" applyFill="1" applyBorder="1" applyAlignment="1">
      <alignment horizontal="center" vertical="center"/>
    </xf>
    <xf numFmtId="196" fontId="36" fillId="8" borderId="172" xfId="0" applyNumberFormat="1" applyFont="1" applyFill="1" applyBorder="1" applyAlignment="1">
      <alignment horizontal="center" vertical="center"/>
    </xf>
    <xf numFmtId="197" fontId="36" fillId="8" borderId="86" xfId="0" applyNumberFormat="1" applyFont="1" applyFill="1" applyBorder="1" applyAlignment="1">
      <alignment horizontal="center" vertical="center"/>
    </xf>
    <xf numFmtId="197" fontId="36" fillId="8" borderId="66" xfId="0" applyNumberFormat="1" applyFont="1" applyFill="1" applyBorder="1" applyAlignment="1">
      <alignment horizontal="center" vertical="center"/>
    </xf>
    <xf numFmtId="196" fontId="36" fillId="8" borderId="221" xfId="0" applyNumberFormat="1" applyFont="1" applyFill="1" applyBorder="1" applyAlignment="1">
      <alignment horizontal="center" vertical="center"/>
    </xf>
    <xf numFmtId="196" fontId="36" fillId="8" borderId="204" xfId="0" applyNumberFormat="1" applyFont="1" applyFill="1" applyBorder="1" applyAlignment="1">
      <alignment horizontal="center" vertical="center"/>
    </xf>
    <xf numFmtId="201" fontId="36" fillId="8" borderId="221" xfId="0" applyNumberFormat="1" applyFont="1" applyFill="1" applyBorder="1" applyAlignment="1">
      <alignment horizontal="center" vertical="center"/>
    </xf>
    <xf numFmtId="201" fontId="36" fillId="8" borderId="66" xfId="0" applyNumberFormat="1" applyFont="1" applyFill="1" applyBorder="1" applyAlignment="1">
      <alignment horizontal="center" vertical="center"/>
    </xf>
    <xf numFmtId="198" fontId="36" fillId="8" borderId="203" xfId="0" applyNumberFormat="1" applyFont="1" applyFill="1" applyBorder="1" applyAlignment="1">
      <alignment horizontal="center" vertical="center"/>
    </xf>
    <xf numFmtId="201" fontId="36" fillId="8" borderId="69" xfId="0" applyNumberFormat="1" applyFont="1" applyFill="1" applyBorder="1" applyAlignment="1">
      <alignment horizontal="center" vertical="center"/>
    </xf>
    <xf numFmtId="189" fontId="36" fillId="8" borderId="211" xfId="0" applyNumberFormat="1" applyFont="1" applyFill="1" applyBorder="1" applyAlignment="1">
      <alignment horizontal="center" vertical="center"/>
    </xf>
    <xf numFmtId="0" fontId="70" fillId="8" borderId="83" xfId="0" applyFont="1" applyFill="1" applyBorder="1" applyAlignment="1">
      <alignment horizontal="center" vertical="center"/>
    </xf>
    <xf numFmtId="196" fontId="36" fillId="8" borderId="11" xfId="0" applyNumberFormat="1" applyFont="1" applyFill="1" applyBorder="1" applyAlignment="1">
      <alignment horizontal="center" vertical="center"/>
    </xf>
    <xf numFmtId="196" fontId="36" fillId="8" borderId="437" xfId="0" applyNumberFormat="1" applyFont="1" applyFill="1" applyBorder="1" applyAlignment="1">
      <alignment horizontal="center" vertical="center"/>
    </xf>
    <xf numFmtId="196" fontId="36" fillId="8" borderId="0" xfId="0" applyNumberFormat="1" applyFont="1" applyFill="1" applyBorder="1" applyAlignment="1">
      <alignment horizontal="center" vertical="center"/>
    </xf>
    <xf numFmtId="196" fontId="36" fillId="8" borderId="173" xfId="0" applyNumberFormat="1" applyFont="1" applyFill="1" applyBorder="1" applyAlignment="1">
      <alignment horizontal="center" vertical="center"/>
    </xf>
    <xf numFmtId="197" fontId="36" fillId="8" borderId="84" xfId="0" applyNumberFormat="1" applyFont="1" applyFill="1" applyBorder="1" applyAlignment="1">
      <alignment horizontal="center" vertical="center"/>
    </xf>
    <xf numFmtId="197" fontId="36" fillId="8" borderId="0" xfId="0" applyNumberFormat="1" applyFont="1" applyFill="1" applyBorder="1" applyAlignment="1">
      <alignment horizontal="center" vertical="center"/>
    </xf>
    <xf numFmtId="196" fontId="36" fillId="8" borderId="220" xfId="0" applyNumberFormat="1" applyFont="1" applyFill="1" applyBorder="1" applyAlignment="1">
      <alignment horizontal="center" vertical="center"/>
    </xf>
    <xf numFmtId="196" fontId="36" fillId="8" borderId="200" xfId="0" applyNumberFormat="1" applyFont="1" applyFill="1" applyBorder="1" applyAlignment="1">
      <alignment horizontal="center" vertical="center"/>
    </xf>
    <xf numFmtId="201" fontId="36" fillId="8" borderId="220" xfId="0" applyNumberFormat="1" applyFont="1" applyFill="1" applyBorder="1" applyAlignment="1">
      <alignment horizontal="center" vertical="center"/>
    </xf>
    <xf numFmtId="201" fontId="36" fillId="8" borderId="0" xfId="0" applyNumberFormat="1" applyFont="1" applyFill="1" applyBorder="1" applyAlignment="1">
      <alignment horizontal="center" vertical="center"/>
    </xf>
    <xf numFmtId="198" fontId="36" fillId="8" borderId="38" xfId="0" applyNumberFormat="1" applyFont="1" applyFill="1" applyBorder="1" applyAlignment="1">
      <alignment horizontal="center" vertical="center"/>
    </xf>
    <xf numFmtId="201" fontId="36" fillId="8" borderId="44" xfId="0" applyNumberFormat="1" applyFont="1" applyFill="1" applyBorder="1" applyAlignment="1">
      <alignment horizontal="center" vertical="center"/>
    </xf>
    <xf numFmtId="189" fontId="36" fillId="8" borderId="210" xfId="0" applyNumberFormat="1" applyFont="1" applyFill="1" applyBorder="1" applyAlignment="1">
      <alignment horizontal="center" vertical="center"/>
    </xf>
    <xf numFmtId="0" fontId="70" fillId="8" borderId="205" xfId="0" applyFont="1" applyFill="1" applyBorder="1" applyAlignment="1">
      <alignment horizontal="center" vertical="center"/>
    </xf>
    <xf numFmtId="0" fontId="36" fillId="8" borderId="35" xfId="0" applyFont="1" applyFill="1" applyBorder="1">
      <alignment vertical="center"/>
    </xf>
    <xf numFmtId="196" fontId="36" fillId="8" borderId="36" xfId="0" applyNumberFormat="1" applyFont="1" applyFill="1" applyBorder="1" applyAlignment="1">
      <alignment horizontal="center" vertical="center"/>
    </xf>
    <xf numFmtId="196" fontId="36" fillId="8" borderId="433" xfId="0" applyNumberFormat="1" applyFont="1" applyFill="1" applyBorder="1" applyAlignment="1">
      <alignment horizontal="center" vertical="center"/>
    </xf>
    <xf numFmtId="196" fontId="36" fillId="8" borderId="35" xfId="0" applyNumberFormat="1" applyFont="1" applyFill="1" applyBorder="1" applyAlignment="1">
      <alignment horizontal="center" vertical="center"/>
    </xf>
    <xf numFmtId="196" fontId="36" fillId="8" borderId="423" xfId="0" applyNumberFormat="1" applyFont="1" applyFill="1" applyBorder="1" applyAlignment="1">
      <alignment horizontal="center" vertical="center"/>
    </xf>
    <xf numFmtId="197" fontId="36" fillId="8" borderId="87" xfId="0" applyNumberFormat="1" applyFont="1" applyFill="1" applyBorder="1" applyAlignment="1">
      <alignment horizontal="center" vertical="center"/>
    </xf>
    <xf numFmtId="197" fontId="36" fillId="8" borderId="35" xfId="0" applyNumberFormat="1" applyFont="1" applyFill="1" applyBorder="1" applyAlignment="1">
      <alignment horizontal="center" vertical="center"/>
    </xf>
    <xf numFmtId="196" fontId="36" fillId="8" borderId="222" xfId="0" applyNumberFormat="1" applyFont="1" applyFill="1" applyBorder="1" applyAlignment="1">
      <alignment horizontal="center" vertical="center"/>
    </xf>
    <xf numFmtId="196" fontId="36" fillId="8" borderId="207" xfId="0" applyNumberFormat="1" applyFont="1" applyFill="1" applyBorder="1" applyAlignment="1">
      <alignment horizontal="center" vertical="center"/>
    </xf>
    <xf numFmtId="201" fontId="36" fillId="8" borderId="222" xfId="0" applyNumberFormat="1" applyFont="1" applyFill="1" applyBorder="1" applyAlignment="1">
      <alignment horizontal="center" vertical="center"/>
    </xf>
    <xf numFmtId="201" fontId="36" fillId="8" borderId="35" xfId="0" applyNumberFormat="1" applyFont="1" applyFill="1" applyBorder="1" applyAlignment="1">
      <alignment horizontal="center" vertical="center"/>
    </xf>
    <xf numFmtId="198" fontId="36" fillId="8" borderId="206" xfId="0" applyNumberFormat="1" applyFont="1" applyFill="1" applyBorder="1" applyAlignment="1">
      <alignment horizontal="center" vertical="center"/>
    </xf>
    <xf numFmtId="201" fontId="36" fillId="8" borderId="70" xfId="0" applyNumberFormat="1" applyFont="1" applyFill="1" applyBorder="1" applyAlignment="1">
      <alignment horizontal="center" vertical="center"/>
    </xf>
    <xf numFmtId="189" fontId="36" fillId="8" borderId="212" xfId="0" applyNumberFormat="1" applyFont="1" applyFill="1" applyBorder="1" applyAlignment="1">
      <alignment horizontal="center" vertical="center"/>
    </xf>
    <xf numFmtId="0" fontId="70" fillId="0" borderId="202" xfId="0" applyFont="1" applyBorder="1" applyAlignment="1">
      <alignment horizontal="center" vertical="center"/>
    </xf>
    <xf numFmtId="0" fontId="70" fillId="0" borderId="317" xfId="0" applyFont="1" applyBorder="1" applyAlignment="1">
      <alignment horizontal="center" vertical="center"/>
    </xf>
    <xf numFmtId="196" fontId="36" fillId="0" borderId="67" xfId="0" applyNumberFormat="1" applyFont="1" applyFill="1" applyBorder="1" applyAlignment="1">
      <alignment horizontal="center" vertical="center"/>
    </xf>
    <xf numFmtId="196" fontId="36" fillId="0" borderId="609" xfId="0" applyNumberFormat="1" applyFont="1" applyFill="1" applyBorder="1" applyAlignment="1">
      <alignment horizontal="center" vertical="center"/>
    </xf>
    <xf numFmtId="196" fontId="36" fillId="0" borderId="66" xfId="0" applyNumberFormat="1" applyFont="1" applyFill="1" applyBorder="1" applyAlignment="1">
      <alignment horizontal="center" vertical="center"/>
    </xf>
    <xf numFmtId="196" fontId="36" fillId="0" borderId="172" xfId="0" applyNumberFormat="1" applyFont="1" applyFill="1" applyBorder="1" applyAlignment="1">
      <alignment horizontal="center" vertical="center"/>
    </xf>
    <xf numFmtId="197" fontId="36" fillId="0" borderId="86" xfId="0" applyNumberFormat="1" applyFont="1" applyFill="1" applyBorder="1" applyAlignment="1">
      <alignment horizontal="center" vertical="center"/>
    </xf>
    <xf numFmtId="197" fontId="36" fillId="0" borderId="66" xfId="0" applyNumberFormat="1" applyFont="1" applyFill="1" applyBorder="1" applyAlignment="1">
      <alignment horizontal="center" vertical="center"/>
    </xf>
    <xf numFmtId="196" fontId="36" fillId="0" borderId="221" xfId="0" applyNumberFormat="1" applyFont="1" applyFill="1" applyBorder="1" applyAlignment="1">
      <alignment horizontal="center" vertical="center"/>
    </xf>
    <xf numFmtId="196" fontId="36" fillId="0" borderId="204" xfId="0" applyNumberFormat="1" applyFont="1" applyFill="1" applyBorder="1" applyAlignment="1">
      <alignment horizontal="center" vertical="center"/>
    </xf>
    <xf numFmtId="201" fontId="36" fillId="0" borderId="221" xfId="0" applyNumberFormat="1" applyFont="1" applyFill="1" applyBorder="1" applyAlignment="1">
      <alignment horizontal="center" vertical="center"/>
    </xf>
    <xf numFmtId="201" fontId="36" fillId="0" borderId="66" xfId="0" applyNumberFormat="1" applyFont="1" applyFill="1" applyBorder="1" applyAlignment="1">
      <alignment horizontal="center" vertical="center"/>
    </xf>
    <xf numFmtId="198" fontId="36" fillId="0" borderId="203" xfId="0" applyNumberFormat="1" applyFont="1" applyFill="1" applyBorder="1" applyAlignment="1">
      <alignment horizontal="center" vertical="center"/>
    </xf>
    <xf numFmtId="201" fontId="36" fillId="0" borderId="69" xfId="0" applyNumberFormat="1" applyFont="1" applyFill="1" applyBorder="1" applyAlignment="1">
      <alignment horizontal="center" vertical="center"/>
    </xf>
    <xf numFmtId="189" fontId="36" fillId="0" borderId="211" xfId="0" applyNumberFormat="1" applyFont="1" applyFill="1" applyBorder="1" applyAlignment="1">
      <alignment horizontal="center" vertical="center"/>
    </xf>
    <xf numFmtId="0" fontId="70" fillId="0" borderId="83" xfId="0" applyFont="1" applyBorder="1" applyAlignment="1">
      <alignment horizontal="center" vertical="center"/>
    </xf>
    <xf numFmtId="0" fontId="70" fillId="0" borderId="12" xfId="0" applyFont="1" applyBorder="1" applyAlignment="1">
      <alignment horizontal="center" vertical="center"/>
    </xf>
    <xf numFmtId="196" fontId="36" fillId="0" borderId="11" xfId="0" applyNumberFormat="1" applyFont="1" applyFill="1" applyBorder="1" applyAlignment="1">
      <alignment horizontal="center" vertical="center"/>
    </xf>
    <xf numFmtId="196" fontId="36" fillId="0" borderId="437" xfId="0" applyNumberFormat="1" applyFont="1" applyFill="1" applyBorder="1" applyAlignment="1">
      <alignment horizontal="center" vertical="center"/>
    </xf>
    <xf numFmtId="196" fontId="36" fillId="0" borderId="0" xfId="0" applyNumberFormat="1" applyFont="1" applyFill="1" applyBorder="1" applyAlignment="1">
      <alignment horizontal="center" vertical="center"/>
    </xf>
    <xf numFmtId="196" fontId="36" fillId="0" borderId="173" xfId="0" applyNumberFormat="1" applyFont="1" applyFill="1" applyBorder="1" applyAlignment="1">
      <alignment horizontal="center" vertical="center"/>
    </xf>
    <xf numFmtId="197" fontId="36" fillId="0" borderId="84" xfId="0" applyNumberFormat="1" applyFont="1" applyFill="1" applyBorder="1" applyAlignment="1">
      <alignment horizontal="center" vertical="center"/>
    </xf>
    <xf numFmtId="197" fontId="36" fillId="0" borderId="0" xfId="0" applyNumberFormat="1" applyFont="1" applyFill="1" applyBorder="1" applyAlignment="1">
      <alignment horizontal="center" vertical="center"/>
    </xf>
    <xf numFmtId="196" fontId="36" fillId="0" borderId="220" xfId="0" applyNumberFormat="1" applyFont="1" applyFill="1" applyBorder="1" applyAlignment="1">
      <alignment horizontal="center" vertical="center"/>
    </xf>
    <xf numFmtId="196" fontId="36" fillId="0" borderId="200" xfId="0" applyNumberFormat="1" applyFont="1" applyFill="1" applyBorder="1" applyAlignment="1">
      <alignment horizontal="center" vertical="center"/>
    </xf>
    <xf numFmtId="201" fontId="36" fillId="0" borderId="220" xfId="0" applyNumberFormat="1" applyFont="1" applyFill="1" applyBorder="1" applyAlignment="1">
      <alignment horizontal="center" vertical="center"/>
    </xf>
    <xf numFmtId="201" fontId="36" fillId="0" borderId="0" xfId="0" applyNumberFormat="1" applyFont="1" applyFill="1" applyBorder="1" applyAlignment="1">
      <alignment horizontal="center" vertical="center"/>
    </xf>
    <xf numFmtId="198" fontId="36" fillId="0" borderId="38" xfId="0" applyNumberFormat="1" applyFont="1" applyFill="1" applyBorder="1" applyAlignment="1">
      <alignment horizontal="center" vertical="center"/>
    </xf>
    <xf numFmtId="201" fontId="36" fillId="0" borderId="44" xfId="0" applyNumberFormat="1" applyFont="1" applyFill="1" applyBorder="1" applyAlignment="1">
      <alignment horizontal="center" vertical="center"/>
    </xf>
    <xf numFmtId="189" fontId="36" fillId="0" borderId="210" xfId="0" applyNumberFormat="1" applyFont="1" applyFill="1" applyBorder="1" applyAlignment="1">
      <alignment horizontal="center" vertical="center"/>
    </xf>
    <xf numFmtId="0" fontId="70" fillId="2" borderId="12" xfId="0" applyFont="1" applyFill="1" applyBorder="1" applyAlignment="1">
      <alignment horizontal="center" vertical="center"/>
    </xf>
    <xf numFmtId="196" fontId="36" fillId="2" borderId="11" xfId="0" applyNumberFormat="1" applyFont="1" applyFill="1" applyBorder="1" applyAlignment="1">
      <alignment horizontal="center" vertical="center"/>
    </xf>
    <xf numFmtId="196" fontId="36" fillId="2" borderId="437" xfId="0" applyNumberFormat="1" applyFont="1" applyFill="1" applyBorder="1" applyAlignment="1">
      <alignment horizontal="center" vertical="center"/>
    </xf>
    <xf numFmtId="196" fontId="36" fillId="2" borderId="0" xfId="0" applyNumberFormat="1" applyFont="1" applyFill="1" applyBorder="1" applyAlignment="1">
      <alignment horizontal="center" vertical="center"/>
    </xf>
    <xf numFmtId="196" fontId="36" fillId="2" borderId="173" xfId="0" applyNumberFormat="1" applyFont="1" applyFill="1" applyBorder="1" applyAlignment="1">
      <alignment horizontal="center" vertical="center"/>
    </xf>
    <xf numFmtId="197" fontId="36" fillId="2" borderId="84" xfId="0" applyNumberFormat="1" applyFont="1" applyFill="1" applyBorder="1" applyAlignment="1">
      <alignment horizontal="center" vertical="center"/>
    </xf>
    <xf numFmtId="197" fontId="36" fillId="2" borderId="0" xfId="0" applyNumberFormat="1" applyFont="1" applyFill="1" applyBorder="1" applyAlignment="1">
      <alignment horizontal="center" vertical="center"/>
    </xf>
    <xf numFmtId="196" fontId="36" fillId="2" borderId="220" xfId="0" applyNumberFormat="1" applyFont="1" applyFill="1" applyBorder="1" applyAlignment="1">
      <alignment horizontal="center" vertical="center"/>
    </xf>
    <xf numFmtId="196" fontId="36" fillId="2" borderId="200" xfId="0" applyNumberFormat="1" applyFont="1" applyFill="1" applyBorder="1" applyAlignment="1">
      <alignment horizontal="center" vertical="center"/>
    </xf>
    <xf numFmtId="201" fontId="36" fillId="2" borderId="220" xfId="0" applyNumberFormat="1" applyFont="1" applyFill="1" applyBorder="1" applyAlignment="1">
      <alignment horizontal="center" vertical="center"/>
    </xf>
    <xf numFmtId="201" fontId="36" fillId="2" borderId="0" xfId="0" applyNumberFormat="1" applyFont="1" applyFill="1" applyBorder="1" applyAlignment="1">
      <alignment horizontal="center" vertical="center"/>
    </xf>
    <xf numFmtId="198" fontId="36" fillId="2" borderId="38" xfId="0" applyNumberFormat="1" applyFont="1" applyFill="1" applyBorder="1" applyAlignment="1">
      <alignment horizontal="center" vertical="center"/>
    </xf>
    <xf numFmtId="201" fontId="36" fillId="2" borderId="44" xfId="0" applyNumberFormat="1" applyFont="1" applyFill="1" applyBorder="1" applyAlignment="1">
      <alignment horizontal="center" vertical="center"/>
    </xf>
    <xf numFmtId="189" fontId="36" fillId="2" borderId="210" xfId="0" applyNumberFormat="1" applyFont="1" applyFill="1" applyBorder="1" applyAlignment="1">
      <alignment horizontal="center" vertical="center"/>
    </xf>
    <xf numFmtId="0" fontId="70" fillId="0" borderId="213" xfId="0" applyFont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196" fontId="36" fillId="0" borderId="46" xfId="0" applyNumberFormat="1" applyFont="1" applyFill="1" applyBorder="1" applyAlignment="1">
      <alignment horizontal="center" vertical="center"/>
    </xf>
    <xf numFmtId="196" fontId="36" fillId="0" borderId="459" xfId="0" applyNumberFormat="1" applyFont="1" applyFill="1" applyBorder="1" applyAlignment="1">
      <alignment horizontal="center" vertical="center"/>
    </xf>
    <xf numFmtId="196" fontId="36" fillId="0" borderId="6" xfId="0" applyNumberFormat="1" applyFont="1" applyFill="1" applyBorder="1" applyAlignment="1">
      <alignment horizontal="center" vertical="center"/>
    </xf>
    <xf numFmtId="196" fontId="36" fillId="0" borderId="197" xfId="0" applyNumberFormat="1" applyFont="1" applyFill="1" applyBorder="1" applyAlignment="1">
      <alignment horizontal="center" vertical="center"/>
    </xf>
    <xf numFmtId="197" fontId="36" fillId="0" borderId="88" xfId="0" applyNumberFormat="1" applyFont="1" applyFill="1" applyBorder="1" applyAlignment="1">
      <alignment horizontal="center" vertical="center"/>
    </xf>
    <xf numFmtId="197" fontId="36" fillId="0" borderId="6" xfId="0" applyNumberFormat="1" applyFont="1" applyFill="1" applyBorder="1" applyAlignment="1">
      <alignment horizontal="center" vertical="center"/>
    </xf>
    <xf numFmtId="196" fontId="36" fillId="0" borderId="218" xfId="0" applyNumberFormat="1" applyFont="1" applyFill="1" applyBorder="1" applyAlignment="1">
      <alignment horizontal="center" vertical="center"/>
    </xf>
    <xf numFmtId="196" fontId="36" fillId="0" borderId="214" xfId="0" applyNumberFormat="1" applyFont="1" applyFill="1" applyBorder="1" applyAlignment="1">
      <alignment horizontal="center" vertical="center"/>
    </xf>
    <xf numFmtId="201" fontId="36" fillId="0" borderId="218" xfId="0" applyNumberFormat="1" applyFont="1" applyFill="1" applyBorder="1" applyAlignment="1">
      <alignment horizontal="center" vertical="center"/>
    </xf>
    <xf numFmtId="201" fontId="36" fillId="0" borderId="6" xfId="0" applyNumberFormat="1" applyFont="1" applyFill="1" applyBorder="1" applyAlignment="1">
      <alignment horizontal="center" vertical="center"/>
    </xf>
    <xf numFmtId="198" fontId="36" fillId="0" borderId="39" xfId="0" applyNumberFormat="1" applyFont="1" applyFill="1" applyBorder="1" applyAlignment="1">
      <alignment horizontal="center" vertical="center"/>
    </xf>
    <xf numFmtId="201" fontId="36" fillId="0" borderId="41" xfId="0" applyNumberFormat="1" applyFont="1" applyFill="1" applyBorder="1" applyAlignment="1">
      <alignment horizontal="center" vertical="center"/>
    </xf>
    <xf numFmtId="189" fontId="36" fillId="0" borderId="215" xfId="0" applyNumberFormat="1" applyFont="1" applyFill="1" applyBorder="1" applyAlignment="1">
      <alignment horizontal="center" vertical="center"/>
    </xf>
    <xf numFmtId="0" fontId="44" fillId="5" borderId="0" xfId="0" applyFont="1" applyFill="1" applyBorder="1" applyAlignment="1">
      <alignment horizontal="center" vertical="center" wrapText="1"/>
    </xf>
    <xf numFmtId="0" fontId="70" fillId="5" borderId="0" xfId="0" applyFont="1" applyFill="1" applyBorder="1" applyAlignment="1">
      <alignment horizontal="center" vertical="center"/>
    </xf>
    <xf numFmtId="196" fontId="36" fillId="5" borderId="0" xfId="0" applyNumberFormat="1" applyFont="1" applyFill="1" applyBorder="1" applyAlignment="1">
      <alignment horizontal="center" vertical="center"/>
    </xf>
    <xf numFmtId="197" fontId="36" fillId="5" borderId="0" xfId="0" applyNumberFormat="1" applyFont="1" applyFill="1" applyBorder="1" applyAlignment="1">
      <alignment horizontal="center" vertical="center"/>
    </xf>
    <xf numFmtId="201" fontId="36" fillId="5" borderId="0" xfId="0" applyNumberFormat="1" applyFont="1" applyFill="1" applyBorder="1" applyAlignment="1">
      <alignment horizontal="center" vertical="center"/>
    </xf>
    <xf numFmtId="198" fontId="36" fillId="5" borderId="0" xfId="0" applyNumberFormat="1" applyFont="1" applyFill="1" applyBorder="1" applyAlignment="1">
      <alignment horizontal="center" vertical="center"/>
    </xf>
    <xf numFmtId="0" fontId="52" fillId="44" borderId="0" xfId="0" applyFont="1" applyFill="1" applyAlignment="1">
      <alignment horizontal="center" vertical="center"/>
    </xf>
    <xf numFmtId="0" fontId="36" fillId="44" borderId="0" xfId="0" applyFont="1" applyFill="1" applyAlignment="1">
      <alignment horizontal="center" vertical="center"/>
    </xf>
    <xf numFmtId="0" fontId="37" fillId="4" borderId="661" xfId="0" applyFont="1" applyFill="1" applyBorder="1" applyAlignment="1">
      <alignment horizontal="center" vertical="center"/>
    </xf>
    <xf numFmtId="0" fontId="37" fillId="4" borderId="661" xfId="0" applyFont="1" applyFill="1" applyBorder="1" applyAlignment="1">
      <alignment vertical="center"/>
    </xf>
    <xf numFmtId="0" fontId="74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44" fillId="4" borderId="6" xfId="0" quotePrefix="1" applyFont="1" applyFill="1" applyBorder="1" applyAlignment="1">
      <alignment horizontal="center" vertical="center"/>
    </xf>
    <xf numFmtId="0" fontId="80" fillId="45" borderId="0" xfId="0" applyFont="1" applyFill="1" applyAlignment="1">
      <alignment horizontal="center" vertical="center"/>
    </xf>
    <xf numFmtId="0" fontId="79" fillId="48" borderId="789" xfId="0" quotePrefix="1" applyFont="1" applyFill="1" applyBorder="1" applyAlignment="1">
      <alignment horizontal="center" vertical="center"/>
    </xf>
    <xf numFmtId="0" fontId="79" fillId="49" borderId="790" xfId="0" quotePrefix="1" applyFont="1" applyFill="1" applyBorder="1" applyAlignment="1">
      <alignment horizontal="center" vertical="center"/>
    </xf>
    <xf numFmtId="0" fontId="79" fillId="49" borderId="789" xfId="0" quotePrefix="1" applyFont="1" applyFill="1" applyBorder="1" applyAlignment="1">
      <alignment horizontal="center" vertical="center"/>
    </xf>
    <xf numFmtId="0" fontId="43" fillId="28" borderId="4" xfId="0" applyFont="1" applyFill="1" applyBorder="1">
      <alignment vertical="center"/>
    </xf>
    <xf numFmtId="221" fontId="81" fillId="50" borderId="591" xfId="0" applyNumberFormat="1" applyFont="1" applyFill="1" applyBorder="1" applyAlignment="1">
      <alignment horizontal="center" vertical="center"/>
    </xf>
    <xf numFmtId="221" fontId="81" fillId="50" borderId="791" xfId="0" applyNumberFormat="1" applyFont="1" applyFill="1" applyBorder="1" applyAlignment="1">
      <alignment horizontal="center" vertical="center"/>
    </xf>
    <xf numFmtId="221" fontId="81" fillId="50" borderId="0" xfId="0" applyNumberFormat="1" applyFont="1" applyFill="1" applyBorder="1" applyAlignment="1">
      <alignment horizontal="center" vertical="center"/>
    </xf>
    <xf numFmtId="227" fontId="81" fillId="50" borderId="791" xfId="0" applyNumberFormat="1" applyFont="1" applyFill="1" applyBorder="1" applyAlignment="1">
      <alignment horizontal="center" vertical="center"/>
    </xf>
    <xf numFmtId="227" fontId="81" fillId="50" borderId="792" xfId="0" applyNumberFormat="1" applyFont="1" applyFill="1" applyBorder="1" applyAlignment="1">
      <alignment horizontal="center" vertical="center"/>
    </xf>
    <xf numFmtId="196" fontId="81" fillId="50" borderId="791" xfId="0" applyNumberFormat="1" applyFont="1" applyFill="1" applyBorder="1" applyAlignment="1">
      <alignment horizontal="center" vertical="center"/>
    </xf>
    <xf numFmtId="228" fontId="81" fillId="50" borderId="791" xfId="0" applyNumberFormat="1" applyFont="1" applyFill="1" applyBorder="1" applyAlignment="1">
      <alignment horizontal="center" vertical="center"/>
    </xf>
    <xf numFmtId="0" fontId="36" fillId="28" borderId="0" xfId="0" applyFont="1" applyFill="1" applyBorder="1">
      <alignment vertical="center"/>
    </xf>
    <xf numFmtId="221" fontId="36" fillId="51" borderId="437" xfId="0" applyNumberFormat="1" applyFont="1" applyFill="1" applyBorder="1" applyAlignment="1">
      <alignment horizontal="center" vertical="center"/>
    </xf>
    <xf numFmtId="221" fontId="36" fillId="51" borderId="0" xfId="0" applyNumberFormat="1" applyFont="1" applyFill="1" applyBorder="1" applyAlignment="1">
      <alignment horizontal="center" vertical="center"/>
    </xf>
    <xf numFmtId="227" fontId="36" fillId="51" borderId="0" xfId="0" applyNumberFormat="1" applyFont="1" applyFill="1" applyBorder="1" applyAlignment="1">
      <alignment horizontal="center" vertical="center"/>
    </xf>
    <xf numFmtId="227" fontId="36" fillId="51" borderId="793" xfId="0" applyNumberFormat="1" applyFont="1" applyFill="1" applyBorder="1" applyAlignment="1">
      <alignment horizontal="center" vertical="center"/>
    </xf>
    <xf numFmtId="196" fontId="36" fillId="46" borderId="0" xfId="0" applyNumberFormat="1" applyFont="1" applyFill="1" applyBorder="1" applyAlignment="1">
      <alignment horizontal="center" vertical="center"/>
    </xf>
    <xf numFmtId="228" fontId="36" fillId="46" borderId="0" xfId="0" applyNumberFormat="1" applyFont="1" applyFill="1" applyBorder="1" applyAlignment="1">
      <alignment horizontal="center" vertical="center"/>
    </xf>
    <xf numFmtId="0" fontId="74" fillId="8" borderId="202" xfId="0" applyFont="1" applyFill="1" applyBorder="1" applyAlignment="1">
      <alignment horizontal="center" vertical="center"/>
    </xf>
    <xf numFmtId="221" fontId="36" fillId="47" borderId="801" xfId="0" applyNumberFormat="1" applyFont="1" applyFill="1" applyBorder="1" applyAlignment="1">
      <alignment horizontal="center" vertical="center"/>
    </xf>
    <xf numFmtId="221" fontId="36" fillId="47" borderId="794" xfId="0" applyNumberFormat="1" applyFont="1" applyFill="1" applyBorder="1" applyAlignment="1">
      <alignment horizontal="center" vertical="center"/>
    </xf>
    <xf numFmtId="227" fontId="36" fillId="47" borderId="794" xfId="0" applyNumberFormat="1" applyFont="1" applyFill="1" applyBorder="1" applyAlignment="1">
      <alignment horizontal="center" vertical="center"/>
    </xf>
    <xf numFmtId="227" fontId="36" fillId="47" borderId="795" xfId="0" applyNumberFormat="1" applyFont="1" applyFill="1" applyBorder="1" applyAlignment="1">
      <alignment horizontal="center" vertical="center"/>
    </xf>
    <xf numFmtId="196" fontId="36" fillId="47" borderId="794" xfId="0" applyNumberFormat="1" applyFont="1" applyFill="1" applyBorder="1" applyAlignment="1">
      <alignment horizontal="center" vertical="center"/>
    </xf>
    <xf numFmtId="228" fontId="36" fillId="47" borderId="794" xfId="0" applyNumberFormat="1" applyFont="1" applyFill="1" applyBorder="1" applyAlignment="1">
      <alignment horizontal="center" vertical="center"/>
    </xf>
    <xf numFmtId="0" fontId="74" fillId="8" borderId="83" xfId="0" applyFont="1" applyFill="1" applyBorder="1" applyAlignment="1">
      <alignment horizontal="center" vertical="center"/>
    </xf>
    <xf numFmtId="221" fontId="36" fillId="47" borderId="437" xfId="0" applyNumberFormat="1" applyFont="1" applyFill="1" applyBorder="1" applyAlignment="1">
      <alignment horizontal="center" vertical="center"/>
    </xf>
    <xf numFmtId="221" fontId="36" fillId="47" borderId="0" xfId="0" applyNumberFormat="1" applyFont="1" applyFill="1" applyBorder="1" applyAlignment="1">
      <alignment horizontal="center" vertical="center"/>
    </xf>
    <xf numFmtId="227" fontId="36" fillId="47" borderId="0" xfId="0" applyNumberFormat="1" applyFont="1" applyFill="1" applyBorder="1" applyAlignment="1">
      <alignment horizontal="center" vertical="center"/>
    </xf>
    <xf numFmtId="227" fontId="36" fillId="47" borderId="793" xfId="0" applyNumberFormat="1" applyFont="1" applyFill="1" applyBorder="1" applyAlignment="1">
      <alignment horizontal="center" vertical="center"/>
    </xf>
    <xf numFmtId="196" fontId="36" fillId="47" borderId="0" xfId="0" applyNumberFormat="1" applyFont="1" applyFill="1" applyBorder="1" applyAlignment="1">
      <alignment horizontal="center" vertical="center"/>
    </xf>
    <xf numFmtId="228" fontId="36" fillId="47" borderId="0" xfId="0" applyNumberFormat="1" applyFont="1" applyFill="1" applyBorder="1" applyAlignment="1">
      <alignment horizontal="center" vertical="center"/>
    </xf>
    <xf numFmtId="0" fontId="74" fillId="8" borderId="205" xfId="0" applyFont="1" applyFill="1" applyBorder="1" applyAlignment="1">
      <alignment horizontal="center" vertical="center"/>
    </xf>
    <xf numFmtId="221" fontId="36" fillId="47" borderId="802" xfId="0" applyNumberFormat="1" applyFont="1" applyFill="1" applyBorder="1" applyAlignment="1">
      <alignment horizontal="center" vertical="center"/>
    </xf>
    <xf numFmtId="221" fontId="36" fillId="47" borderId="796" xfId="0" applyNumberFormat="1" applyFont="1" applyFill="1" applyBorder="1" applyAlignment="1">
      <alignment horizontal="center" vertical="center"/>
    </xf>
    <xf numFmtId="227" fontId="36" fillId="47" borderId="796" xfId="0" applyNumberFormat="1" applyFont="1" applyFill="1" applyBorder="1" applyAlignment="1">
      <alignment horizontal="center" vertical="center"/>
    </xf>
    <xf numFmtId="227" fontId="36" fillId="47" borderId="797" xfId="0" applyNumberFormat="1" applyFont="1" applyFill="1" applyBorder="1" applyAlignment="1">
      <alignment horizontal="center" vertical="center"/>
    </xf>
    <xf numFmtId="196" fontId="36" fillId="47" borderId="796" xfId="0" applyNumberFormat="1" applyFont="1" applyFill="1" applyBorder="1" applyAlignment="1">
      <alignment horizontal="center" vertical="center"/>
    </xf>
    <xf numFmtId="228" fontId="36" fillId="47" borderId="796" xfId="0" applyNumberFormat="1" applyFont="1" applyFill="1" applyBorder="1" applyAlignment="1">
      <alignment horizontal="center" vertical="center"/>
    </xf>
    <xf numFmtId="0" fontId="74" fillId="0" borderId="202" xfId="0" applyFont="1" applyBorder="1" applyAlignment="1">
      <alignment horizontal="center" vertical="center"/>
    </xf>
    <xf numFmtId="221" fontId="36" fillId="0" borderId="801" xfId="0" applyNumberFormat="1" applyFont="1" applyBorder="1" applyAlignment="1">
      <alignment horizontal="center" vertical="center"/>
    </xf>
    <xf numFmtId="221" fontId="36" fillId="0" borderId="794" xfId="0" applyNumberFormat="1" applyFont="1" applyBorder="1" applyAlignment="1">
      <alignment horizontal="center" vertical="center"/>
    </xf>
    <xf numFmtId="227" fontId="36" fillId="0" borderId="794" xfId="0" applyNumberFormat="1" applyFont="1" applyBorder="1" applyAlignment="1">
      <alignment horizontal="center" vertical="center"/>
    </xf>
    <xf numFmtId="227" fontId="36" fillId="0" borderId="795" xfId="0" applyNumberFormat="1" applyFont="1" applyBorder="1" applyAlignment="1">
      <alignment horizontal="center" vertical="center"/>
    </xf>
    <xf numFmtId="196" fontId="36" fillId="0" borderId="794" xfId="0" applyNumberFormat="1" applyFont="1" applyBorder="1" applyAlignment="1">
      <alignment horizontal="center" vertical="center"/>
    </xf>
    <xf numFmtId="228" fontId="36" fillId="0" borderId="794" xfId="0" applyNumberFormat="1" applyFont="1" applyBorder="1" applyAlignment="1">
      <alignment horizontal="center" vertical="center"/>
    </xf>
    <xf numFmtId="0" fontId="74" fillId="0" borderId="83" xfId="0" applyFont="1" applyBorder="1" applyAlignment="1">
      <alignment horizontal="center" vertical="center"/>
    </xf>
    <xf numFmtId="221" fontId="36" fillId="0" borderId="437" xfId="0" applyNumberFormat="1" applyFont="1" applyBorder="1" applyAlignment="1">
      <alignment horizontal="center" vertical="center"/>
    </xf>
    <xf numFmtId="221" fontId="36" fillId="0" borderId="0" xfId="0" applyNumberFormat="1" applyFont="1" applyBorder="1" applyAlignment="1">
      <alignment horizontal="center" vertical="center"/>
    </xf>
    <xf numFmtId="227" fontId="36" fillId="0" borderId="0" xfId="0" applyNumberFormat="1" applyFont="1" applyBorder="1" applyAlignment="1">
      <alignment horizontal="center" vertical="center"/>
    </xf>
    <xf numFmtId="227" fontId="36" fillId="0" borderId="793" xfId="0" applyNumberFormat="1" applyFont="1" applyBorder="1" applyAlignment="1">
      <alignment horizontal="center" vertical="center"/>
    </xf>
    <xf numFmtId="196" fontId="36" fillId="0" borderId="0" xfId="0" applyNumberFormat="1" applyFont="1" applyBorder="1" applyAlignment="1">
      <alignment horizontal="center" vertical="center"/>
    </xf>
    <xf numFmtId="228" fontId="36" fillId="0" borderId="0" xfId="0" applyNumberFormat="1" applyFont="1" applyBorder="1" applyAlignment="1">
      <alignment horizontal="center" vertical="center"/>
    </xf>
    <xf numFmtId="221" fontId="36" fillId="34" borderId="437" xfId="0" applyNumberFormat="1" applyFont="1" applyFill="1" applyBorder="1" applyAlignment="1">
      <alignment horizontal="center" vertical="center"/>
    </xf>
    <xf numFmtId="221" fontId="36" fillId="34" borderId="0" xfId="0" applyNumberFormat="1" applyFont="1" applyFill="1" applyBorder="1" applyAlignment="1">
      <alignment horizontal="center" vertical="center"/>
    </xf>
    <xf numFmtId="227" fontId="36" fillId="34" borderId="0" xfId="0" applyNumberFormat="1" applyFont="1" applyFill="1" applyBorder="1" applyAlignment="1">
      <alignment horizontal="center" vertical="center"/>
    </xf>
    <xf numFmtId="227" fontId="36" fillId="34" borderId="793" xfId="0" applyNumberFormat="1" applyFont="1" applyFill="1" applyBorder="1" applyAlignment="1">
      <alignment horizontal="center" vertical="center"/>
    </xf>
    <xf numFmtId="196" fontId="36" fillId="34" borderId="0" xfId="0" applyNumberFormat="1" applyFont="1" applyFill="1" applyBorder="1" applyAlignment="1">
      <alignment horizontal="center" vertical="center"/>
    </xf>
    <xf numFmtId="228" fontId="36" fillId="34" borderId="0" xfId="0" applyNumberFormat="1" applyFont="1" applyFill="1" applyBorder="1" applyAlignment="1">
      <alignment horizontal="center" vertical="center"/>
    </xf>
    <xf numFmtId="227" fontId="36" fillId="46" borderId="0" xfId="0" applyNumberFormat="1" applyFont="1" applyFill="1" applyBorder="1" applyAlignment="1">
      <alignment horizontal="center" vertical="center"/>
    </xf>
    <xf numFmtId="227" fontId="36" fillId="46" borderId="793" xfId="0" applyNumberFormat="1" applyFont="1" applyFill="1" applyBorder="1" applyAlignment="1">
      <alignment horizontal="center" vertical="center"/>
    </xf>
    <xf numFmtId="221" fontId="55" fillId="0" borderId="437" xfId="0" applyNumberFormat="1" applyFont="1" applyBorder="1" applyAlignment="1">
      <alignment horizontal="center" vertical="center"/>
    </xf>
    <xf numFmtId="221" fontId="55" fillId="0" borderId="0" xfId="0" applyNumberFormat="1" applyFont="1" applyBorder="1" applyAlignment="1">
      <alignment horizontal="center" vertical="center"/>
    </xf>
    <xf numFmtId="227" fontId="55" fillId="46" borderId="0" xfId="0" applyNumberFormat="1" applyFont="1" applyFill="1" applyBorder="1" applyAlignment="1">
      <alignment horizontal="center" vertical="center"/>
    </xf>
    <xf numFmtId="227" fontId="55" fillId="46" borderId="793" xfId="0" applyNumberFormat="1" applyFont="1" applyFill="1" applyBorder="1" applyAlignment="1">
      <alignment horizontal="center" vertical="center"/>
    </xf>
    <xf numFmtId="0" fontId="74" fillId="0" borderId="799" xfId="0" applyFont="1" applyBorder="1" applyAlignment="1">
      <alignment horizontal="center" vertical="center"/>
    </xf>
    <xf numFmtId="0" fontId="70" fillId="0" borderId="514" xfId="0" applyFont="1" applyBorder="1" applyAlignment="1">
      <alignment horizontal="center" vertical="center"/>
    </xf>
    <xf numFmtId="221" fontId="55" fillId="0" borderId="457" xfId="0" applyNumberFormat="1" applyFont="1" applyBorder="1" applyAlignment="1">
      <alignment horizontal="center" vertical="center"/>
    </xf>
    <xf numFmtId="221" fontId="55" fillId="0" borderId="454" xfId="0" applyNumberFormat="1" applyFont="1" applyBorder="1" applyAlignment="1">
      <alignment horizontal="center" vertical="center"/>
    </xf>
    <xf numFmtId="227" fontId="55" fillId="0" borderId="454" xfId="0" applyNumberFormat="1" applyFont="1" applyBorder="1" applyAlignment="1">
      <alignment horizontal="center" vertical="center"/>
    </xf>
    <xf numFmtId="227" fontId="55" fillId="0" borderId="800" xfId="0" applyNumberFormat="1" applyFont="1" applyBorder="1" applyAlignment="1">
      <alignment horizontal="center" vertical="center"/>
    </xf>
    <xf numFmtId="227" fontId="36" fillId="0" borderId="454" xfId="0" applyNumberFormat="1" applyFont="1" applyBorder="1" applyAlignment="1">
      <alignment horizontal="center" vertical="center"/>
    </xf>
    <xf numFmtId="196" fontId="36" fillId="0" borderId="454" xfId="0" applyNumberFormat="1" applyFont="1" applyBorder="1" applyAlignment="1">
      <alignment horizontal="center" vertical="center"/>
    </xf>
    <xf numFmtId="228" fontId="36" fillId="0" borderId="454" xfId="0" applyNumberFormat="1" applyFont="1" applyBorder="1" applyAlignment="1">
      <alignment horizontal="center" vertical="center"/>
    </xf>
    <xf numFmtId="196" fontId="55" fillId="5" borderId="0" xfId="0" applyNumberFormat="1" applyFont="1" applyFill="1" applyBorder="1" applyAlignment="1">
      <alignment horizontal="center" vertical="center"/>
    </xf>
    <xf numFmtId="197" fontId="55" fillId="5" borderId="0" xfId="0" applyNumberFormat="1" applyFont="1" applyFill="1" applyBorder="1" applyAlignment="1">
      <alignment horizontal="center" vertical="center"/>
    </xf>
    <xf numFmtId="0" fontId="55" fillId="4" borderId="437" xfId="0" quotePrefix="1" applyFont="1" applyFill="1" applyBorder="1" applyAlignment="1">
      <alignment horizontal="center" vertical="center"/>
    </xf>
    <xf numFmtId="0" fontId="55" fillId="4" borderId="0" xfId="0" quotePrefix="1" applyFont="1" applyFill="1" applyBorder="1" applyAlignment="1">
      <alignment horizontal="center" vertical="center"/>
    </xf>
    <xf numFmtId="0" fontId="66" fillId="31" borderId="182" xfId="0" quotePrefix="1" applyFont="1" applyFill="1" applyBorder="1" applyAlignment="1">
      <alignment horizontal="center" vertical="center"/>
    </xf>
    <xf numFmtId="0" fontId="66" fillId="31" borderId="183" xfId="0" quotePrefix="1" applyFont="1" applyFill="1" applyBorder="1" applyAlignment="1">
      <alignment horizontal="center" vertical="center"/>
    </xf>
    <xf numFmtId="0" fontId="66" fillId="31" borderId="184" xfId="0" quotePrefix="1" applyFont="1" applyFill="1" applyBorder="1" applyAlignment="1">
      <alignment horizontal="center" vertical="center"/>
    </xf>
    <xf numFmtId="0" fontId="55" fillId="15" borderId="0" xfId="0" applyFont="1" applyFill="1" applyBorder="1" applyAlignment="1">
      <alignment horizontal="center" vertical="center"/>
    </xf>
    <xf numFmtId="0" fontId="55" fillId="29" borderId="220" xfId="0" quotePrefix="1" applyFont="1" applyFill="1" applyBorder="1" applyAlignment="1">
      <alignment horizontal="center" vertical="center"/>
    </xf>
    <xf numFmtId="0" fontId="55" fillId="29" borderId="200" xfId="0" quotePrefix="1" applyFont="1" applyFill="1" applyBorder="1" applyAlignment="1">
      <alignment horizontal="center" vertical="center"/>
    </xf>
    <xf numFmtId="0" fontId="37" fillId="6" borderId="651" xfId="0" applyFont="1" applyFill="1" applyBorder="1" applyAlignment="1">
      <alignment horizontal="center" vertical="center"/>
    </xf>
    <xf numFmtId="0" fontId="37" fillId="6" borderId="645" xfId="0" applyFont="1" applyFill="1" applyBorder="1" applyAlignment="1">
      <alignment horizontal="center" vertical="center"/>
    </xf>
    <xf numFmtId="0" fontId="37" fillId="8" borderId="649" xfId="0" applyFont="1" applyFill="1" applyBorder="1" applyAlignment="1">
      <alignment horizontal="center" vertical="center"/>
    </xf>
    <xf numFmtId="0" fontId="37" fillId="6" borderId="652" xfId="0" applyFont="1" applyFill="1" applyBorder="1" applyAlignment="1">
      <alignment horizontal="center" vertical="center"/>
    </xf>
    <xf numFmtId="0" fontId="37" fillId="8" borderId="654" xfId="0" applyFont="1" applyFill="1" applyBorder="1" applyAlignment="1">
      <alignment horizontal="center" vertical="center"/>
    </xf>
    <xf numFmtId="0" fontId="57" fillId="9" borderId="628" xfId="0" applyFont="1" applyFill="1" applyBorder="1">
      <alignment vertical="center"/>
    </xf>
    <xf numFmtId="0" fontId="57" fillId="9" borderId="629" xfId="0" applyFont="1" applyFill="1" applyBorder="1">
      <alignment vertical="center"/>
    </xf>
    <xf numFmtId="196" fontId="55" fillId="9" borderId="630" xfId="0" applyNumberFormat="1" applyFont="1" applyFill="1" applyBorder="1" applyAlignment="1">
      <alignment horizontal="center" vertical="center"/>
    </xf>
    <xf numFmtId="196" fontId="55" fillId="9" borderId="1033" xfId="0" applyNumberFormat="1" applyFont="1" applyFill="1" applyBorder="1" applyAlignment="1">
      <alignment horizontal="center" vertical="center"/>
    </xf>
    <xf numFmtId="196" fontId="55" fillId="9" borderId="629" xfId="0" applyNumberFormat="1" applyFont="1" applyFill="1" applyBorder="1" applyAlignment="1">
      <alignment horizontal="center" vertical="center"/>
    </xf>
    <xf numFmtId="196" fontId="55" fillId="9" borderId="631" xfId="0" applyNumberFormat="1" applyFont="1" applyFill="1" applyBorder="1" applyAlignment="1">
      <alignment horizontal="center" vertical="center"/>
    </xf>
    <xf numFmtId="197" fontId="55" fillId="9" borderId="632" xfId="0" applyNumberFormat="1" applyFont="1" applyFill="1" applyBorder="1" applyAlignment="1">
      <alignment horizontal="center" vertical="center"/>
    </xf>
    <xf numFmtId="196" fontId="55" fillId="9" borderId="633" xfId="0" applyNumberFormat="1" applyFont="1" applyFill="1" applyBorder="1" applyAlignment="1">
      <alignment horizontal="center" vertical="center"/>
    </xf>
    <xf numFmtId="0" fontId="55" fillId="29" borderId="629" xfId="0" applyFont="1" applyFill="1" applyBorder="1" applyAlignment="1">
      <alignment horizontal="center" vertical="center"/>
    </xf>
    <xf numFmtId="0" fontId="55" fillId="29" borderId="634" xfId="0" applyFont="1" applyFill="1" applyBorder="1" applyAlignment="1">
      <alignment horizontal="center" vertical="center"/>
    </xf>
    <xf numFmtId="201" fontId="36" fillId="9" borderId="629" xfId="0" applyNumberFormat="1" applyFont="1" applyFill="1" applyBorder="1" applyAlignment="1">
      <alignment horizontal="center" vertical="center"/>
    </xf>
    <xf numFmtId="205" fontId="36" fillId="9" borderId="633" xfId="0" applyNumberFormat="1" applyFont="1" applyFill="1" applyBorder="1" applyAlignment="1">
      <alignment horizontal="center" vertical="center"/>
    </xf>
    <xf numFmtId="201" fontId="36" fillId="29" borderId="635" xfId="0" applyNumberFormat="1" applyFont="1" applyFill="1" applyBorder="1" applyAlignment="1">
      <alignment horizontal="center" vertical="center"/>
    </xf>
    <xf numFmtId="201" fontId="36" fillId="29" borderId="629" xfId="0" applyNumberFormat="1" applyFont="1" applyFill="1" applyBorder="1" applyAlignment="1">
      <alignment horizontal="center" vertical="center"/>
    </xf>
    <xf numFmtId="205" fontId="36" fillId="29" borderId="636" xfId="0" applyNumberFormat="1" applyFont="1" applyFill="1" applyBorder="1" applyAlignment="1">
      <alignment horizontal="center" vertical="center"/>
    </xf>
    <xf numFmtId="196" fontId="55" fillId="3" borderId="11" xfId="0" applyNumberFormat="1" applyFont="1" applyFill="1" applyBorder="1" applyAlignment="1">
      <alignment horizontal="center" vertical="center"/>
    </xf>
    <xf numFmtId="196" fontId="55" fillId="3" borderId="437" xfId="0" applyNumberFormat="1" applyFont="1" applyFill="1" applyBorder="1" applyAlignment="1">
      <alignment horizontal="center" vertical="center"/>
    </xf>
    <xf numFmtId="196" fontId="55" fillId="3" borderId="0" xfId="0" applyNumberFormat="1" applyFont="1" applyFill="1" applyBorder="1" applyAlignment="1">
      <alignment horizontal="center" vertical="center"/>
    </xf>
    <xf numFmtId="196" fontId="55" fillId="3" borderId="173" xfId="0" applyNumberFormat="1" applyFont="1" applyFill="1" applyBorder="1" applyAlignment="1">
      <alignment horizontal="center" vertical="center"/>
    </xf>
    <xf numFmtId="197" fontId="55" fillId="3" borderId="84" xfId="0" applyNumberFormat="1" applyFont="1" applyFill="1" applyBorder="1" applyAlignment="1">
      <alignment horizontal="center" vertical="center"/>
    </xf>
    <xf numFmtId="196" fontId="55" fillId="3" borderId="38" xfId="0" applyNumberFormat="1" applyFont="1" applyFill="1" applyBorder="1" applyAlignment="1">
      <alignment horizontal="center" vertical="center"/>
    </xf>
    <xf numFmtId="0" fontId="55" fillId="29" borderId="0" xfId="0" applyFont="1" applyFill="1" applyBorder="1" applyAlignment="1">
      <alignment horizontal="center" vertical="center"/>
    </xf>
    <xf numFmtId="0" fontId="55" fillId="29" borderId="200" xfId="0" applyFont="1" applyFill="1" applyBorder="1" applyAlignment="1">
      <alignment horizontal="center" vertical="center"/>
    </xf>
    <xf numFmtId="201" fontId="36" fillId="3" borderId="0" xfId="0" applyNumberFormat="1" applyFont="1" applyFill="1" applyBorder="1" applyAlignment="1">
      <alignment horizontal="center" vertical="center"/>
    </xf>
    <xf numFmtId="205" fontId="36" fillId="3" borderId="38" xfId="0" applyNumberFormat="1" applyFont="1" applyFill="1" applyBorder="1" applyAlignment="1">
      <alignment horizontal="center" vertical="center"/>
    </xf>
    <xf numFmtId="205" fontId="36" fillId="29" borderId="638" xfId="0" applyNumberFormat="1" applyFont="1" applyFill="1" applyBorder="1" applyAlignment="1">
      <alignment horizontal="center" vertical="center"/>
    </xf>
    <xf numFmtId="196" fontId="55" fillId="8" borderId="75" xfId="0" applyNumberFormat="1" applyFont="1" applyFill="1" applyBorder="1" applyAlignment="1">
      <alignment horizontal="center" vertical="center"/>
    </xf>
    <xf numFmtId="196" fontId="55" fillId="8" borderId="1038" xfId="0" applyNumberFormat="1" applyFont="1" applyFill="1" applyBorder="1" applyAlignment="1">
      <alignment horizontal="center" vertical="center"/>
    </xf>
    <xf numFmtId="196" fontId="55" fillId="8" borderId="74" xfId="0" applyNumberFormat="1" applyFont="1" applyFill="1" applyBorder="1" applyAlignment="1">
      <alignment horizontal="center" vertical="center"/>
    </xf>
    <xf numFmtId="196" fontId="55" fillId="8" borderId="415" xfId="0" applyNumberFormat="1" applyFont="1" applyFill="1" applyBorder="1" applyAlignment="1">
      <alignment horizontal="center" vertical="center"/>
    </xf>
    <xf numFmtId="197" fontId="55" fillId="8" borderId="120" xfId="0" applyNumberFormat="1" applyFont="1" applyFill="1" applyBorder="1" applyAlignment="1">
      <alignment horizontal="center" vertical="center"/>
    </xf>
    <xf numFmtId="184" fontId="55" fillId="29" borderId="220" xfId="0" applyNumberFormat="1" applyFont="1" applyFill="1" applyBorder="1" applyAlignment="1">
      <alignment horizontal="center" vertical="center"/>
    </xf>
    <xf numFmtId="184" fontId="55" fillId="29" borderId="200" xfId="0" applyNumberFormat="1" applyFont="1" applyFill="1" applyBorder="1" applyAlignment="1">
      <alignment horizontal="center" vertical="center"/>
    </xf>
    <xf numFmtId="201" fontId="36" fillId="8" borderId="264" xfId="0" applyNumberFormat="1" applyFont="1" applyFill="1" applyBorder="1" applyAlignment="1">
      <alignment horizontal="center" vertical="center"/>
    </xf>
    <xf numFmtId="201" fontId="36" fillId="8" borderId="74" xfId="0" applyNumberFormat="1" applyFont="1" applyFill="1" applyBorder="1" applyAlignment="1">
      <alignment horizontal="center" vertical="center"/>
    </xf>
    <xf numFmtId="205" fontId="36" fillId="8" borderId="265" xfId="0" applyNumberFormat="1" applyFont="1" applyFill="1" applyBorder="1" applyAlignment="1">
      <alignment horizontal="center" vertical="center"/>
    </xf>
    <xf numFmtId="196" fontId="55" fillId="8" borderId="11" xfId="0" applyNumberFormat="1" applyFont="1" applyFill="1" applyBorder="1" applyAlignment="1">
      <alignment horizontal="center" vertical="center"/>
    </xf>
    <xf numFmtId="196" fontId="55" fillId="8" borderId="437" xfId="0" applyNumberFormat="1" applyFont="1" applyFill="1" applyBorder="1" applyAlignment="1">
      <alignment horizontal="center" vertical="center"/>
    </xf>
    <xf numFmtId="196" fontId="55" fillId="8" borderId="0" xfId="0" applyNumberFormat="1" applyFont="1" applyFill="1" applyBorder="1" applyAlignment="1">
      <alignment horizontal="center" vertical="center"/>
    </xf>
    <xf numFmtId="196" fontId="55" fillId="8" borderId="173" xfId="0" applyNumberFormat="1" applyFont="1" applyFill="1" applyBorder="1" applyAlignment="1">
      <alignment horizontal="center" vertical="center"/>
    </xf>
    <xf numFmtId="197" fontId="55" fillId="8" borderId="84" xfId="0" applyNumberFormat="1" applyFont="1" applyFill="1" applyBorder="1" applyAlignment="1">
      <alignment horizontal="center" vertical="center"/>
    </xf>
    <xf numFmtId="205" fontId="36" fillId="8" borderId="38" xfId="0" applyNumberFormat="1" applyFont="1" applyFill="1" applyBorder="1" applyAlignment="1">
      <alignment horizontal="center" vertical="center"/>
    </xf>
    <xf numFmtId="196" fontId="55" fillId="8" borderId="116" xfId="0" applyNumberFormat="1" applyFont="1" applyFill="1" applyBorder="1" applyAlignment="1">
      <alignment horizontal="center" vertical="center"/>
    </xf>
    <xf numFmtId="196" fontId="55" fillId="8" borderId="1039" xfId="0" applyNumberFormat="1" applyFont="1" applyFill="1" applyBorder="1" applyAlignment="1">
      <alignment horizontal="center" vertical="center"/>
    </xf>
    <xf numFmtId="196" fontId="55" fillId="8" borderId="114" xfId="0" applyNumberFormat="1" applyFont="1" applyFill="1" applyBorder="1" applyAlignment="1">
      <alignment horizontal="center" vertical="center"/>
    </xf>
    <xf numFmtId="196" fontId="55" fillId="8" borderId="416" xfId="0" applyNumberFormat="1" applyFont="1" applyFill="1" applyBorder="1" applyAlignment="1">
      <alignment horizontal="center" vertical="center"/>
    </xf>
    <xf numFmtId="197" fontId="55" fillId="8" borderId="119" xfId="0" applyNumberFormat="1" applyFont="1" applyFill="1" applyBorder="1" applyAlignment="1">
      <alignment horizontal="center" vertical="center"/>
    </xf>
    <xf numFmtId="201" fontId="36" fillId="8" borderId="266" xfId="0" applyNumberFormat="1" applyFont="1" applyFill="1" applyBorder="1" applyAlignment="1">
      <alignment horizontal="center" vertical="center"/>
    </xf>
    <xf numFmtId="201" fontId="36" fillId="8" borderId="114" xfId="0" applyNumberFormat="1" applyFont="1" applyFill="1" applyBorder="1" applyAlignment="1">
      <alignment horizontal="center" vertical="center"/>
    </xf>
    <xf numFmtId="205" fontId="36" fillId="8" borderId="263" xfId="0" applyNumberFormat="1" applyFont="1" applyFill="1" applyBorder="1" applyAlignment="1">
      <alignment horizontal="center" vertical="center"/>
    </xf>
    <xf numFmtId="0" fontId="55" fillId="0" borderId="143" xfId="0" applyFont="1" applyBorder="1">
      <alignment vertical="center"/>
    </xf>
    <xf numFmtId="0" fontId="55" fillId="2" borderId="74" xfId="0" applyFont="1" applyFill="1" applyBorder="1">
      <alignment vertical="center"/>
    </xf>
    <xf numFmtId="196" fontId="55" fillId="2" borderId="75" xfId="0" applyNumberFormat="1" applyFont="1" applyFill="1" applyBorder="1" applyAlignment="1">
      <alignment horizontal="center" vertical="center"/>
    </xf>
    <xf numFmtId="196" fontId="55" fillId="2" borderId="1038" xfId="0" applyNumberFormat="1" applyFont="1" applyFill="1" applyBorder="1" applyAlignment="1">
      <alignment horizontal="center" vertical="center"/>
    </xf>
    <xf numFmtId="196" fontId="55" fillId="2" borderId="74" xfId="0" applyNumberFormat="1" applyFont="1" applyFill="1" applyBorder="1" applyAlignment="1">
      <alignment horizontal="center" vertical="center"/>
    </xf>
    <xf numFmtId="196" fontId="55" fillId="2" borderId="415" xfId="0" applyNumberFormat="1" applyFont="1" applyFill="1" applyBorder="1" applyAlignment="1">
      <alignment horizontal="center" vertical="center"/>
    </xf>
    <xf numFmtId="197" fontId="55" fillId="2" borderId="120" xfId="0" applyNumberFormat="1" applyFont="1" applyFill="1" applyBorder="1" applyAlignment="1">
      <alignment horizontal="center" vertical="center"/>
    </xf>
    <xf numFmtId="196" fontId="55" fillId="2" borderId="265" xfId="0" applyNumberFormat="1" applyFont="1" applyFill="1" applyBorder="1" applyAlignment="1">
      <alignment horizontal="center" vertical="center"/>
    </xf>
    <xf numFmtId="201" fontId="36" fillId="2" borderId="74" xfId="0" applyNumberFormat="1" applyFont="1" applyFill="1" applyBorder="1" applyAlignment="1">
      <alignment horizontal="center" vertical="center"/>
    </xf>
    <xf numFmtId="205" fontId="36" fillId="2" borderId="265" xfId="0" applyNumberFormat="1" applyFont="1" applyFill="1" applyBorder="1" applyAlignment="1">
      <alignment horizontal="center" vertical="center"/>
    </xf>
    <xf numFmtId="0" fontId="55" fillId="0" borderId="140" xfId="0" applyFont="1" applyBorder="1">
      <alignment vertical="center"/>
    </xf>
    <xf numFmtId="196" fontId="55" fillId="2" borderId="11" xfId="0" applyNumberFormat="1" applyFont="1" applyFill="1" applyBorder="1" applyAlignment="1">
      <alignment horizontal="center" vertical="center"/>
    </xf>
    <xf numFmtId="196" fontId="55" fillId="2" borderId="437" xfId="0" applyNumberFormat="1" applyFont="1" applyFill="1" applyBorder="1" applyAlignment="1">
      <alignment horizontal="center" vertical="center"/>
    </xf>
    <xf numFmtId="196" fontId="55" fillId="2" borderId="0" xfId="0" applyNumberFormat="1" applyFont="1" applyFill="1" applyBorder="1" applyAlignment="1">
      <alignment horizontal="center" vertical="center"/>
    </xf>
    <xf numFmtId="196" fontId="55" fillId="2" borderId="38" xfId="0" applyNumberFormat="1" applyFont="1" applyFill="1" applyBorder="1" applyAlignment="1">
      <alignment horizontal="center" vertical="center"/>
    </xf>
    <xf numFmtId="205" fontId="36" fillId="2" borderId="38" xfId="0" applyNumberFormat="1" applyFont="1" applyFill="1" applyBorder="1" applyAlignment="1">
      <alignment horizontal="center" vertical="center"/>
    </xf>
    <xf numFmtId="196" fontId="55" fillId="0" borderId="0" xfId="0" applyNumberFormat="1" applyFont="1" applyFill="1" applyBorder="1" applyAlignment="1">
      <alignment horizontal="center" vertical="center"/>
    </xf>
    <xf numFmtId="196" fontId="55" fillId="0" borderId="38" xfId="0" applyNumberFormat="1" applyFont="1" applyFill="1" applyBorder="1" applyAlignment="1">
      <alignment horizontal="center" vertical="center"/>
    </xf>
    <xf numFmtId="0" fontId="36" fillId="29" borderId="0" xfId="0" applyFont="1" applyFill="1" applyBorder="1" applyAlignment="1">
      <alignment horizontal="center" vertical="center"/>
    </xf>
    <xf numFmtId="0" fontId="36" fillId="29" borderId="200" xfId="0" applyFont="1" applyFill="1" applyBorder="1" applyAlignment="1">
      <alignment horizontal="center" vertical="center"/>
    </xf>
    <xf numFmtId="205" fontId="36" fillId="0" borderId="38" xfId="0" applyNumberFormat="1" applyFont="1" applyFill="1" applyBorder="1" applyAlignment="1">
      <alignment horizontal="center" vertical="center"/>
    </xf>
    <xf numFmtId="196" fontId="55" fillId="2" borderId="173" xfId="0" applyNumberFormat="1" applyFont="1" applyFill="1" applyBorder="1" applyAlignment="1">
      <alignment horizontal="center" vertical="center"/>
    </xf>
    <xf numFmtId="197" fontId="55" fillId="2" borderId="84" xfId="0" applyNumberFormat="1" applyFont="1" applyFill="1" applyBorder="1" applyAlignment="1">
      <alignment horizontal="center" vertical="center"/>
    </xf>
    <xf numFmtId="196" fontId="55" fillId="0" borderId="11" xfId="0" applyNumberFormat="1" applyFont="1" applyFill="1" applyBorder="1" applyAlignment="1">
      <alignment horizontal="center" vertical="center"/>
    </xf>
    <xf numFmtId="196" fontId="55" fillId="0" borderId="437" xfId="0" applyNumberFormat="1" applyFont="1" applyFill="1" applyBorder="1" applyAlignment="1">
      <alignment horizontal="center" vertical="center"/>
    </xf>
    <xf numFmtId="196" fontId="55" fillId="0" borderId="173" xfId="0" applyNumberFormat="1" applyFont="1" applyFill="1" applyBorder="1" applyAlignment="1">
      <alignment horizontal="center" vertical="center"/>
    </xf>
    <xf numFmtId="197" fontId="55" fillId="0" borderId="84" xfId="0" applyNumberFormat="1" applyFont="1" applyFill="1" applyBorder="1" applyAlignment="1">
      <alignment horizontal="center" vertical="center"/>
    </xf>
    <xf numFmtId="0" fontId="55" fillId="0" borderId="142" xfId="0" applyFont="1" applyBorder="1">
      <alignment vertical="center"/>
    </xf>
    <xf numFmtId="0" fontId="55" fillId="2" borderId="114" xfId="0" applyFont="1" applyFill="1" applyBorder="1">
      <alignment vertical="center"/>
    </xf>
    <xf numFmtId="196" fontId="55" fillId="2" borderId="116" xfId="0" applyNumberFormat="1" applyFont="1" applyFill="1" applyBorder="1" applyAlignment="1">
      <alignment horizontal="center" vertical="center"/>
    </xf>
    <xf numFmtId="196" fontId="55" fillId="2" borderId="1039" xfId="0" applyNumberFormat="1" applyFont="1" applyFill="1" applyBorder="1" applyAlignment="1">
      <alignment horizontal="center" vertical="center"/>
    </xf>
    <xf numFmtId="196" fontId="55" fillId="2" borderId="114" xfId="0" applyNumberFormat="1" applyFont="1" applyFill="1" applyBorder="1" applyAlignment="1">
      <alignment horizontal="center" vertical="center"/>
    </xf>
    <xf numFmtId="196" fontId="55" fillId="2" borderId="416" xfId="0" applyNumberFormat="1" applyFont="1" applyFill="1" applyBorder="1" applyAlignment="1">
      <alignment horizontal="center" vertical="center"/>
    </xf>
    <xf numFmtId="197" fontId="55" fillId="2" borderId="119" xfId="0" applyNumberFormat="1" applyFont="1" applyFill="1" applyBorder="1" applyAlignment="1">
      <alignment horizontal="center" vertical="center"/>
    </xf>
    <xf numFmtId="196" fontId="55" fillId="2" borderId="263" xfId="0" applyNumberFormat="1" applyFont="1" applyFill="1" applyBorder="1" applyAlignment="1">
      <alignment horizontal="center" vertical="center"/>
    </xf>
    <xf numFmtId="201" fontId="36" fillId="2" borderId="114" xfId="0" applyNumberFormat="1" applyFont="1" applyFill="1" applyBorder="1" applyAlignment="1">
      <alignment horizontal="center" vertical="center"/>
    </xf>
    <xf numFmtId="205" fontId="36" fillId="2" borderId="263" xfId="0" applyNumberFormat="1" applyFont="1" applyFill="1" applyBorder="1" applyAlignment="1">
      <alignment horizontal="center" vertical="center"/>
    </xf>
    <xf numFmtId="201" fontId="36" fillId="29" borderId="64" xfId="0" applyNumberFormat="1" applyFont="1" applyFill="1" applyBorder="1" applyAlignment="1">
      <alignment horizontal="center" vertical="center"/>
    </xf>
    <xf numFmtId="201" fontId="36" fillId="29" borderId="61" xfId="0" applyNumberFormat="1" applyFont="1" applyFill="1" applyBorder="1" applyAlignment="1">
      <alignment horizontal="center" vertical="center"/>
    </xf>
    <xf numFmtId="205" fontId="36" fillId="29" borderId="639" xfId="0" applyNumberFormat="1" applyFont="1" applyFill="1" applyBorder="1" applyAlignment="1">
      <alignment horizontal="center" vertical="center"/>
    </xf>
    <xf numFmtId="196" fontId="55" fillId="9" borderId="57" xfId="0" applyNumberFormat="1" applyFont="1" applyFill="1" applyBorder="1" applyAlignment="1">
      <alignment horizontal="center" vertical="center"/>
    </xf>
    <xf numFmtId="196" fontId="55" fillId="9" borderId="1035" xfId="0" applyNumberFormat="1" applyFont="1" applyFill="1" applyBorder="1" applyAlignment="1">
      <alignment horizontal="center" vertical="center"/>
    </xf>
    <xf numFmtId="196" fontId="55" fillId="9" borderId="56" xfId="0" applyNumberFormat="1" applyFont="1" applyFill="1" applyBorder="1" applyAlignment="1">
      <alignment horizontal="center" vertical="center"/>
    </xf>
    <xf numFmtId="196" fontId="55" fillId="9" borderId="414" xfId="0" applyNumberFormat="1" applyFont="1" applyFill="1" applyBorder="1" applyAlignment="1">
      <alignment horizontal="center" vertical="center"/>
    </xf>
    <xf numFmtId="197" fontId="55" fillId="9" borderId="92" xfId="0" applyNumberFormat="1" applyFont="1" applyFill="1" applyBorder="1" applyAlignment="1">
      <alignment horizontal="center" vertical="center"/>
    </xf>
    <xf numFmtId="196" fontId="55" fillId="9" borderId="262" xfId="0" applyNumberFormat="1" applyFont="1" applyFill="1" applyBorder="1" applyAlignment="1">
      <alignment horizontal="center" vertical="center"/>
    </xf>
    <xf numFmtId="201" fontId="36" fillId="29" borderId="362" xfId="0" applyNumberFormat="1" applyFont="1" applyFill="1" applyBorder="1" applyAlignment="1">
      <alignment horizontal="center" vertical="center"/>
    </xf>
    <xf numFmtId="201" fontId="36" fillId="29" borderId="56" xfId="0" applyNumberFormat="1" applyFont="1" applyFill="1" applyBorder="1" applyAlignment="1">
      <alignment horizontal="center" vertical="center"/>
    </xf>
    <xf numFmtId="205" fontId="36" fillId="29" borderId="262" xfId="0" applyNumberFormat="1" applyFont="1" applyFill="1" applyBorder="1" applyAlignment="1">
      <alignment horizontal="center" vertical="center"/>
    </xf>
    <xf numFmtId="201" fontId="36" fillId="9" borderId="59" xfId="0" applyNumberFormat="1" applyFont="1" applyFill="1" applyBorder="1" applyAlignment="1">
      <alignment horizontal="center" vertical="center"/>
    </xf>
    <xf numFmtId="201" fontId="36" fillId="9" borderId="56" xfId="0" applyNumberFormat="1" applyFont="1" applyFill="1" applyBorder="1" applyAlignment="1">
      <alignment horizontal="center" vertical="center"/>
    </xf>
    <xf numFmtId="205" fontId="36" fillId="9" borderId="640" xfId="0" applyNumberFormat="1" applyFont="1" applyFill="1" applyBorder="1" applyAlignment="1">
      <alignment horizontal="center" vertical="center"/>
    </xf>
    <xf numFmtId="205" fontId="36" fillId="29" borderId="38" xfId="0" applyNumberFormat="1" applyFont="1" applyFill="1" applyBorder="1" applyAlignment="1">
      <alignment horizontal="center" vertical="center"/>
    </xf>
    <xf numFmtId="201" fontId="36" fillId="3" borderId="44" xfId="0" applyNumberFormat="1" applyFont="1" applyFill="1" applyBorder="1" applyAlignment="1">
      <alignment horizontal="center" vertical="center"/>
    </xf>
    <xf numFmtId="205" fontId="36" fillId="3" borderId="638" xfId="0" applyNumberFormat="1" applyFont="1" applyFill="1" applyBorder="1" applyAlignment="1">
      <alignment horizontal="center" vertical="center"/>
    </xf>
    <xf numFmtId="0" fontId="47" fillId="27" borderId="0" xfId="0" applyFont="1" applyFill="1" applyAlignment="1">
      <alignment horizontal="center" vertical="center"/>
    </xf>
    <xf numFmtId="201" fontId="36" fillId="8" borderId="77" xfId="0" applyNumberFormat="1" applyFont="1" applyFill="1" applyBorder="1" applyAlignment="1">
      <alignment horizontal="center" vertical="center"/>
    </xf>
    <xf numFmtId="205" fontId="36" fillId="8" borderId="641" xfId="0" applyNumberFormat="1" applyFont="1" applyFill="1" applyBorder="1" applyAlignment="1">
      <alignment horizontal="center" vertical="center"/>
    </xf>
    <xf numFmtId="205" fontId="36" fillId="8" borderId="638" xfId="0" applyNumberFormat="1" applyFont="1" applyFill="1" applyBorder="1" applyAlignment="1">
      <alignment horizontal="center" vertical="center"/>
    </xf>
    <xf numFmtId="201" fontId="36" fillId="8" borderId="118" xfId="0" applyNumberFormat="1" applyFont="1" applyFill="1" applyBorder="1" applyAlignment="1">
      <alignment horizontal="center" vertical="center"/>
    </xf>
    <xf numFmtId="205" fontId="36" fillId="8" borderId="642" xfId="0" applyNumberFormat="1" applyFont="1" applyFill="1" applyBorder="1" applyAlignment="1">
      <alignment horizontal="center" vertical="center"/>
    </xf>
    <xf numFmtId="201" fontId="36" fillId="2" borderId="77" xfId="0" applyNumberFormat="1" applyFont="1" applyFill="1" applyBorder="1" applyAlignment="1">
      <alignment horizontal="center" vertical="center"/>
    </xf>
    <xf numFmtId="205" fontId="36" fillId="2" borderId="641" xfId="0" applyNumberFormat="1" applyFont="1" applyFill="1" applyBorder="1" applyAlignment="1">
      <alignment horizontal="center" vertical="center"/>
    </xf>
    <xf numFmtId="205" fontId="36" fillId="2" borderId="638" xfId="0" applyNumberFormat="1" applyFont="1" applyFill="1" applyBorder="1" applyAlignment="1">
      <alignment horizontal="center" vertical="center"/>
    </xf>
    <xf numFmtId="205" fontId="36" fillId="0" borderId="638" xfId="0" applyNumberFormat="1" applyFont="1" applyFill="1" applyBorder="1" applyAlignment="1">
      <alignment horizontal="center" vertical="center"/>
    </xf>
    <xf numFmtId="0" fontId="55" fillId="0" borderId="644" xfId="0" applyFont="1" applyBorder="1">
      <alignment vertical="center"/>
    </xf>
    <xf numFmtId="0" fontId="55" fillId="2" borderId="645" xfId="0" applyFont="1" applyFill="1" applyBorder="1">
      <alignment vertical="center"/>
    </xf>
    <xf numFmtId="196" fontId="55" fillId="2" borderId="646" xfId="0" applyNumberFormat="1" applyFont="1" applyFill="1" applyBorder="1" applyAlignment="1">
      <alignment horizontal="center" vertical="center"/>
    </xf>
    <xf numFmtId="196" fontId="55" fillId="2" borderId="1034" xfId="0" applyNumberFormat="1" applyFont="1" applyFill="1" applyBorder="1" applyAlignment="1">
      <alignment horizontal="center" vertical="center"/>
    </xf>
    <xf numFmtId="196" fontId="55" fillId="2" borderId="645" xfId="0" applyNumberFormat="1" applyFont="1" applyFill="1" applyBorder="1" applyAlignment="1">
      <alignment horizontal="center" vertical="center"/>
    </xf>
    <xf numFmtId="196" fontId="55" fillId="2" borderId="647" xfId="0" applyNumberFormat="1" applyFont="1" applyFill="1" applyBorder="1" applyAlignment="1">
      <alignment horizontal="center" vertical="center"/>
    </xf>
    <xf numFmtId="197" fontId="55" fillId="2" borderId="648" xfId="0" applyNumberFormat="1" applyFont="1" applyFill="1" applyBorder="1" applyAlignment="1">
      <alignment horizontal="center" vertical="center"/>
    </xf>
    <xf numFmtId="196" fontId="55" fillId="2" borderId="649" xfId="0" applyNumberFormat="1" applyFont="1" applyFill="1" applyBorder="1" applyAlignment="1">
      <alignment horizontal="center" vertical="center"/>
    </xf>
    <xf numFmtId="0" fontId="55" fillId="29" borderId="645" xfId="0" applyFont="1" applyFill="1" applyBorder="1" applyAlignment="1">
      <alignment horizontal="center" vertical="center"/>
    </xf>
    <xf numFmtId="0" fontId="55" fillId="29" borderId="650" xfId="0" applyFont="1" applyFill="1" applyBorder="1" applyAlignment="1">
      <alignment horizontal="center" vertical="center"/>
    </xf>
    <xf numFmtId="201" fontId="36" fillId="29" borderId="651" xfId="0" applyNumberFormat="1" applyFont="1" applyFill="1" applyBorder="1" applyAlignment="1">
      <alignment horizontal="center" vertical="center"/>
    </xf>
    <xf numFmtId="201" fontId="36" fillId="29" borderId="645" xfId="0" applyNumberFormat="1" applyFont="1" applyFill="1" applyBorder="1" applyAlignment="1">
      <alignment horizontal="center" vertical="center"/>
    </xf>
    <xf numFmtId="205" fontId="36" fillId="29" borderId="649" xfId="0" applyNumberFormat="1" applyFont="1" applyFill="1" applyBorder="1" applyAlignment="1">
      <alignment horizontal="center" vertical="center"/>
    </xf>
    <xf numFmtId="201" fontId="36" fillId="2" borderId="652" xfId="0" applyNumberFormat="1" applyFont="1" applyFill="1" applyBorder="1" applyAlignment="1">
      <alignment horizontal="center" vertical="center"/>
    </xf>
    <xf numFmtId="201" fontId="36" fillId="2" borderId="645" xfId="0" applyNumberFormat="1" applyFont="1" applyFill="1" applyBorder="1" applyAlignment="1">
      <alignment horizontal="center" vertical="center"/>
    </xf>
    <xf numFmtId="205" fontId="36" fillId="2" borderId="653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185" fontId="43" fillId="18" borderId="0" xfId="0" applyNumberFormat="1" applyFont="1" applyFill="1" applyAlignment="1">
      <alignment horizontal="center" vertical="center"/>
    </xf>
    <xf numFmtId="0" fontId="64" fillId="5" borderId="431" xfId="0" applyFont="1" applyFill="1" applyBorder="1" applyAlignment="1">
      <alignment vertical="top"/>
    </xf>
    <xf numFmtId="0" fontId="43" fillId="4" borderId="693" xfId="0" quotePrefix="1" applyFont="1" applyFill="1" applyBorder="1" applyAlignment="1">
      <alignment horizontal="center" vertical="center"/>
    </xf>
    <xf numFmtId="0" fontId="37" fillId="4" borderId="410" xfId="0" quotePrefix="1" applyFont="1" applyFill="1" applyBorder="1" applyAlignment="1">
      <alignment horizontal="center" vertical="center"/>
    </xf>
    <xf numFmtId="0" fontId="36" fillId="0" borderId="18" xfId="0" quotePrefix="1" applyFont="1" applyBorder="1">
      <alignment vertical="center"/>
    </xf>
    <xf numFmtId="203" fontId="36" fillId="0" borderId="235" xfId="2" quotePrefix="1" applyNumberFormat="1" applyFont="1" applyFill="1" applyBorder="1" applyAlignment="1">
      <alignment horizontal="center" vertical="center"/>
    </xf>
    <xf numFmtId="203" fontId="36" fillId="0" borderId="1071" xfId="2" quotePrefix="1" applyNumberFormat="1" applyFont="1" applyFill="1" applyBorder="1" applyAlignment="1">
      <alignment horizontal="center" vertical="center"/>
    </xf>
    <xf numFmtId="203" fontId="36" fillId="42" borderId="18" xfId="2" quotePrefix="1" applyNumberFormat="1" applyFont="1" applyFill="1" applyBorder="1" applyAlignment="1">
      <alignment horizontal="center" vertical="center"/>
    </xf>
    <xf numFmtId="202" fontId="36" fillId="0" borderId="18" xfId="2" quotePrefix="1" applyNumberFormat="1" applyFont="1" applyFill="1" applyBorder="1" applyAlignment="1">
      <alignment horizontal="center" vertical="center"/>
    </xf>
    <xf numFmtId="186" fontId="36" fillId="0" borderId="236" xfId="2" quotePrefix="1" applyNumberFormat="1" applyFont="1" applyFill="1" applyBorder="1" applyAlignment="1">
      <alignment horizontal="center" vertical="center"/>
    </xf>
    <xf numFmtId="203" fontId="36" fillId="0" borderId="22" xfId="2" quotePrefix="1" applyNumberFormat="1" applyFont="1" applyFill="1" applyBorder="1" applyAlignment="1">
      <alignment horizontal="center" vertical="center"/>
    </xf>
    <xf numFmtId="203" fontId="36" fillId="0" borderId="236" xfId="2" applyNumberFormat="1" applyFont="1" applyFill="1" applyBorder="1" applyAlignment="1">
      <alignment horizontal="center" vertical="center"/>
    </xf>
    <xf numFmtId="209" fontId="36" fillId="0" borderId="11" xfId="2" quotePrefix="1" applyNumberFormat="1" applyFont="1" applyFill="1" applyBorder="1" applyAlignment="1">
      <alignment horizontal="center" vertical="center"/>
    </xf>
    <xf numFmtId="209" fontId="36" fillId="0" borderId="410" xfId="2" quotePrefix="1" applyNumberFormat="1" applyFont="1" applyFill="1" applyBorder="1" applyAlignment="1">
      <alignment horizontal="center" vertical="center"/>
    </xf>
    <xf numFmtId="209" fontId="36" fillId="42" borderId="0" xfId="2" quotePrefix="1" applyNumberFormat="1" applyFont="1" applyFill="1" applyBorder="1" applyAlignment="1">
      <alignment horizontal="center" vertical="center"/>
    </xf>
    <xf numFmtId="209" fontId="36" fillId="0" borderId="0" xfId="2" quotePrefix="1" applyNumberFormat="1" applyFont="1" applyFill="1" applyBorder="1" applyAlignment="1">
      <alignment horizontal="center" vertical="center"/>
    </xf>
    <xf numFmtId="189" fontId="36" fillId="0" borderId="44" xfId="2" quotePrefix="1" applyNumberFormat="1" applyFont="1" applyFill="1" applyBorder="1" applyAlignment="1">
      <alignment horizontal="center" vertical="center"/>
    </xf>
    <xf numFmtId="203" fontId="36" fillId="0" borderId="2" xfId="2" quotePrefix="1" applyNumberFormat="1" applyFont="1" applyFill="1" applyBorder="1" applyAlignment="1">
      <alignment horizontal="center" vertical="center"/>
    </xf>
    <xf numFmtId="203" fontId="36" fillId="0" borderId="44" xfId="2" applyNumberFormat="1" applyFont="1" applyFill="1" applyBorder="1" applyAlignment="1">
      <alignment horizontal="center" vertical="center"/>
    </xf>
    <xf numFmtId="203" fontId="36" fillId="0" borderId="11" xfId="2" quotePrefix="1" applyNumberFormat="1" applyFont="1" applyFill="1" applyBorder="1" applyAlignment="1">
      <alignment horizontal="center" vertical="center"/>
    </xf>
    <xf numFmtId="203" fontId="36" fillId="0" borderId="410" xfId="2" quotePrefix="1" applyNumberFormat="1" applyFont="1" applyFill="1" applyBorder="1" applyAlignment="1">
      <alignment horizontal="center" vertical="center"/>
    </xf>
    <xf numFmtId="203" fontId="36" fillId="42" borderId="0" xfId="2" quotePrefix="1" applyNumberFormat="1" applyFont="1" applyFill="1" applyBorder="1" applyAlignment="1">
      <alignment horizontal="center" vertical="center"/>
    </xf>
    <xf numFmtId="202" fontId="36" fillId="0" borderId="0" xfId="2" quotePrefix="1" applyNumberFormat="1" applyFont="1" applyFill="1" applyBorder="1" applyAlignment="1">
      <alignment horizontal="center" vertical="center"/>
    </xf>
    <xf numFmtId="186" fontId="36" fillId="0" borderId="44" xfId="2" quotePrefix="1" applyNumberFormat="1" applyFont="1" applyFill="1" applyBorder="1" applyAlignment="1">
      <alignment horizontal="center" vertical="center"/>
    </xf>
    <xf numFmtId="43" fontId="36" fillId="0" borderId="0" xfId="0" applyNumberFormat="1" applyFont="1">
      <alignment vertical="center"/>
    </xf>
    <xf numFmtId="0" fontId="36" fillId="11" borderId="0" xfId="0" quotePrefix="1" applyFont="1" applyFill="1" applyBorder="1">
      <alignment vertical="center"/>
    </xf>
    <xf numFmtId="203" fontId="36" fillId="11" borderId="11" xfId="2" quotePrefix="1" applyNumberFormat="1" applyFont="1" applyFill="1" applyBorder="1" applyAlignment="1">
      <alignment horizontal="center" vertical="center"/>
    </xf>
    <xf numFmtId="203" fontId="36" fillId="11" borderId="410" xfId="2" quotePrefix="1" applyNumberFormat="1" applyFont="1" applyFill="1" applyBorder="1" applyAlignment="1">
      <alignment horizontal="center" vertical="center"/>
    </xf>
    <xf numFmtId="203" fontId="36" fillId="11" borderId="0" xfId="2" quotePrefix="1" applyNumberFormat="1" applyFont="1" applyFill="1" applyBorder="1" applyAlignment="1">
      <alignment horizontal="center" vertical="center"/>
    </xf>
    <xf numFmtId="192" fontId="36" fillId="11" borderId="0" xfId="2" quotePrefix="1" applyNumberFormat="1" applyFont="1" applyFill="1" applyBorder="1" applyAlignment="1">
      <alignment horizontal="center" vertical="center"/>
    </xf>
    <xf numFmtId="202" fontId="36" fillId="11" borderId="0" xfId="2" quotePrefix="1" applyNumberFormat="1" applyFont="1" applyFill="1" applyBorder="1" applyAlignment="1">
      <alignment horizontal="center" vertical="center"/>
    </xf>
    <xf numFmtId="186" fontId="36" fillId="11" borderId="44" xfId="2" quotePrefix="1" applyNumberFormat="1" applyFont="1" applyFill="1" applyBorder="1" applyAlignment="1">
      <alignment horizontal="center" vertical="center"/>
    </xf>
    <xf numFmtId="203" fontId="36" fillId="11" borderId="2" xfId="2" quotePrefix="1" applyNumberFormat="1" applyFont="1" applyFill="1" applyBorder="1" applyAlignment="1">
      <alignment horizontal="center" vertical="center"/>
    </xf>
    <xf numFmtId="203" fontId="36" fillId="11" borderId="44" xfId="2" applyNumberFormat="1" applyFont="1" applyFill="1" applyBorder="1" applyAlignment="1">
      <alignment horizontal="center" vertical="center"/>
    </xf>
    <xf numFmtId="214" fontId="36" fillId="11" borderId="11" xfId="2" quotePrefix="1" applyNumberFormat="1" applyFont="1" applyFill="1" applyBorder="1" applyAlignment="1">
      <alignment horizontal="center" vertical="center"/>
    </xf>
    <xf numFmtId="214" fontId="36" fillId="11" borderId="410" xfId="2" quotePrefix="1" applyNumberFormat="1" applyFont="1" applyFill="1" applyBorder="1" applyAlignment="1">
      <alignment horizontal="center" vertical="center"/>
    </xf>
    <xf numFmtId="214" fontId="36" fillId="11" borderId="0" xfId="2" quotePrefix="1" applyNumberFormat="1" applyFont="1" applyFill="1" applyBorder="1" applyAlignment="1">
      <alignment horizontal="center" vertical="center"/>
    </xf>
    <xf numFmtId="189" fontId="36" fillId="11" borderId="44" xfId="2" quotePrefix="1" applyNumberFormat="1" applyFont="1" applyFill="1" applyBorder="1" applyAlignment="1">
      <alignment horizontal="center" vertical="center"/>
    </xf>
    <xf numFmtId="0" fontId="36" fillId="11" borderId="102" xfId="0" quotePrefix="1" applyFont="1" applyFill="1" applyBorder="1">
      <alignment vertical="center"/>
    </xf>
    <xf numFmtId="214" fontId="55" fillId="11" borderId="103" xfId="2" quotePrefix="1" applyNumberFormat="1" applyFont="1" applyFill="1" applyBorder="1" applyAlignment="1">
      <alignment horizontal="center" vertical="center"/>
    </xf>
    <xf numFmtId="214" fontId="55" fillId="11" borderId="1079" xfId="2" quotePrefix="1" applyNumberFormat="1" applyFont="1" applyFill="1" applyBorder="1" applyAlignment="1">
      <alignment horizontal="center" vertical="center"/>
    </xf>
    <xf numFmtId="214" fontId="55" fillId="11" borderId="102" xfId="2" quotePrefix="1" applyNumberFormat="1" applyFont="1" applyFill="1" applyBorder="1" applyAlignment="1">
      <alignment horizontal="center" vertical="center"/>
    </xf>
    <xf numFmtId="227" fontId="55" fillId="11" borderId="102" xfId="2" quotePrefix="1" applyNumberFormat="1" applyFont="1" applyFill="1" applyBorder="1" applyAlignment="1">
      <alignment horizontal="center" vertical="center"/>
    </xf>
    <xf numFmtId="189" fontId="55" fillId="11" borderId="105" xfId="2" quotePrefix="1" applyNumberFormat="1" applyFont="1" applyFill="1" applyBorder="1" applyAlignment="1">
      <alignment horizontal="center" vertical="center"/>
    </xf>
    <xf numFmtId="214" fontId="55" fillId="11" borderId="104" xfId="2" quotePrefix="1" applyNumberFormat="1" applyFont="1" applyFill="1" applyBorder="1" applyAlignment="1">
      <alignment horizontal="center" vertical="center"/>
    </xf>
    <xf numFmtId="214" fontId="55" fillId="11" borderId="105" xfId="2" applyNumberFormat="1" applyFont="1" applyFill="1" applyBorder="1" applyAlignment="1">
      <alignment horizontal="center" vertical="center"/>
    </xf>
    <xf numFmtId="203" fontId="55" fillId="11" borderId="11" xfId="2" quotePrefix="1" applyNumberFormat="1" applyFont="1" applyFill="1" applyBorder="1" applyAlignment="1">
      <alignment horizontal="center" vertical="center"/>
    </xf>
    <xf numFmtId="203" fontId="55" fillId="11" borderId="410" xfId="2" quotePrefix="1" applyNumberFormat="1" applyFont="1" applyFill="1" applyBorder="1" applyAlignment="1">
      <alignment horizontal="center" vertical="center"/>
    </xf>
    <xf numFmtId="203" fontId="55" fillId="11" borderId="0" xfId="2" quotePrefix="1" applyNumberFormat="1" applyFont="1" applyFill="1" applyBorder="1" applyAlignment="1">
      <alignment horizontal="center" vertical="center"/>
    </xf>
    <xf numFmtId="192" fontId="55" fillId="11" borderId="0" xfId="2" quotePrefix="1" applyNumberFormat="1" applyFont="1" applyFill="1" applyBorder="1" applyAlignment="1">
      <alignment horizontal="center" vertical="center"/>
    </xf>
    <xf numFmtId="202" fontId="55" fillId="11" borderId="0" xfId="2" quotePrefix="1" applyNumberFormat="1" applyFont="1" applyFill="1" applyBorder="1" applyAlignment="1">
      <alignment horizontal="center" vertical="center"/>
    </xf>
    <xf numFmtId="193" fontId="55" fillId="11" borderId="44" xfId="2" quotePrefix="1" applyNumberFormat="1" applyFont="1" applyFill="1" applyBorder="1" applyAlignment="1">
      <alignment horizontal="center" vertical="center"/>
    </xf>
    <xf numFmtId="203" fontId="55" fillId="11" borderId="2" xfId="2" quotePrefix="1" applyNumberFormat="1" applyFont="1" applyFill="1" applyBorder="1" applyAlignment="1">
      <alignment horizontal="center" vertical="center"/>
    </xf>
    <xf numFmtId="203" fontId="55" fillId="11" borderId="44" xfId="2" applyNumberFormat="1" applyFont="1" applyFill="1" applyBorder="1" applyAlignment="1">
      <alignment horizontal="center" vertical="center"/>
    </xf>
    <xf numFmtId="209" fontId="55" fillId="11" borderId="11" xfId="2" quotePrefix="1" applyNumberFormat="1" applyFont="1" applyFill="1" applyBorder="1" applyAlignment="1">
      <alignment horizontal="center" vertical="center"/>
    </xf>
    <xf numFmtId="209" fontId="55" fillId="11" borderId="410" xfId="2" quotePrefix="1" applyNumberFormat="1" applyFont="1" applyFill="1" applyBorder="1" applyAlignment="1">
      <alignment horizontal="center" vertical="center"/>
    </xf>
    <xf numFmtId="209" fontId="55" fillId="11" borderId="0" xfId="2" quotePrefix="1" applyNumberFormat="1" applyFont="1" applyFill="1" applyBorder="1" applyAlignment="1">
      <alignment horizontal="center" vertical="center"/>
    </xf>
    <xf numFmtId="198" fontId="55" fillId="11" borderId="44" xfId="2" quotePrefix="1" applyNumberFormat="1" applyFont="1" applyFill="1" applyBorder="1" applyAlignment="1">
      <alignment horizontal="center" vertical="center"/>
    </xf>
    <xf numFmtId="214" fontId="55" fillId="11" borderId="2" xfId="2" quotePrefix="1" applyNumberFormat="1" applyFont="1" applyFill="1" applyBorder="1" applyAlignment="1">
      <alignment horizontal="center" vertical="center"/>
    </xf>
    <xf numFmtId="214" fontId="55" fillId="11" borderId="44" xfId="2" applyNumberFormat="1" applyFont="1" applyFill="1" applyBorder="1" applyAlignment="1">
      <alignment horizontal="center" vertical="center"/>
    </xf>
    <xf numFmtId="0" fontId="36" fillId="0" borderId="275" xfId="0" quotePrefix="1" applyFont="1" applyBorder="1">
      <alignment vertical="center"/>
    </xf>
    <xf numFmtId="203" fontId="55" fillId="0" borderId="276" xfId="2" quotePrefix="1" applyNumberFormat="1" applyFont="1" applyFill="1" applyBorder="1" applyAlignment="1">
      <alignment horizontal="center" vertical="center"/>
    </xf>
    <xf numFmtId="203" fontId="55" fillId="0" borderId="1080" xfId="2" quotePrefix="1" applyNumberFormat="1" applyFont="1" applyFill="1" applyBorder="1" applyAlignment="1">
      <alignment horizontal="center" vertical="center"/>
    </xf>
    <xf numFmtId="203" fontId="55" fillId="0" borderId="275" xfId="2" quotePrefix="1" applyNumberFormat="1" applyFont="1" applyFill="1" applyBorder="1" applyAlignment="1">
      <alignment horizontal="center" vertical="center"/>
    </xf>
    <xf numFmtId="192" fontId="55" fillId="0" borderId="275" xfId="2" quotePrefix="1" applyNumberFormat="1" applyFont="1" applyFill="1" applyBorder="1" applyAlignment="1">
      <alignment horizontal="center" vertical="center"/>
    </xf>
    <xf numFmtId="202" fontId="55" fillId="0" borderId="275" xfId="2" quotePrefix="1" applyNumberFormat="1" applyFont="1" applyFill="1" applyBorder="1" applyAlignment="1">
      <alignment horizontal="center" vertical="center"/>
    </xf>
    <xf numFmtId="193" fontId="55" fillId="0" borderId="278" xfId="2" quotePrefix="1" applyNumberFormat="1" applyFont="1" applyFill="1" applyBorder="1" applyAlignment="1">
      <alignment horizontal="center" vertical="center"/>
    </xf>
    <xf numFmtId="203" fontId="55" fillId="0" borderId="277" xfId="2" quotePrefix="1" applyNumberFormat="1" applyFont="1" applyFill="1" applyBorder="1" applyAlignment="1">
      <alignment horizontal="center" vertical="center"/>
    </xf>
    <xf numFmtId="203" fontId="55" fillId="0" borderId="278" xfId="2" applyNumberFormat="1" applyFont="1" applyFill="1" applyBorder="1" applyAlignment="1">
      <alignment horizontal="center" vertical="center"/>
    </xf>
    <xf numFmtId="203" fontId="55" fillId="0" borderId="11" xfId="2" quotePrefix="1" applyNumberFormat="1" applyFont="1" applyFill="1" applyBorder="1" applyAlignment="1">
      <alignment horizontal="center" vertical="center"/>
    </xf>
    <xf numFmtId="203" fontId="55" fillId="0" borderId="410" xfId="2" quotePrefix="1" applyNumberFormat="1" applyFont="1" applyFill="1" applyBorder="1" applyAlignment="1">
      <alignment horizontal="center" vertical="center"/>
    </xf>
    <xf numFmtId="203" fontId="55" fillId="0" borderId="0" xfId="2" quotePrefix="1" applyNumberFormat="1" applyFont="1" applyFill="1" applyBorder="1" applyAlignment="1">
      <alignment horizontal="center" vertical="center"/>
    </xf>
    <xf numFmtId="192" fontId="55" fillId="0" borderId="0" xfId="2" quotePrefix="1" applyNumberFormat="1" applyFont="1" applyFill="1" applyBorder="1" applyAlignment="1">
      <alignment horizontal="center" vertical="center"/>
    </xf>
    <xf numFmtId="202" fontId="55" fillId="0" borderId="0" xfId="2" quotePrefix="1" applyNumberFormat="1" applyFont="1" applyFill="1" applyBorder="1" applyAlignment="1">
      <alignment horizontal="center" vertical="center"/>
    </xf>
    <xf numFmtId="193" fontId="55" fillId="0" borderId="44" xfId="2" quotePrefix="1" applyNumberFormat="1" applyFont="1" applyFill="1" applyBorder="1" applyAlignment="1">
      <alignment horizontal="center" vertical="center"/>
    </xf>
    <xf numFmtId="203" fontId="55" fillId="0" borderId="2" xfId="2" quotePrefix="1" applyNumberFormat="1" applyFont="1" applyFill="1" applyBorder="1" applyAlignment="1">
      <alignment horizontal="center" vertical="center"/>
    </xf>
    <xf numFmtId="203" fontId="55" fillId="0" borderId="44" xfId="2" applyNumberFormat="1" applyFont="1" applyFill="1" applyBorder="1" applyAlignment="1">
      <alignment horizontal="center" vertical="center"/>
    </xf>
    <xf numFmtId="0" fontId="36" fillId="2" borderId="0" xfId="0" quotePrefix="1" applyFont="1" applyFill="1" applyBorder="1">
      <alignment vertical="center"/>
    </xf>
    <xf numFmtId="203" fontId="55" fillId="2" borderId="11" xfId="2" quotePrefix="1" applyNumberFormat="1" applyFont="1" applyFill="1" applyBorder="1" applyAlignment="1">
      <alignment horizontal="center" vertical="center"/>
    </xf>
    <xf numFmtId="203" fontId="55" fillId="2" borderId="410" xfId="2" quotePrefix="1" applyNumberFormat="1" applyFont="1" applyFill="1" applyBorder="1" applyAlignment="1">
      <alignment horizontal="center" vertical="center"/>
    </xf>
    <xf numFmtId="203" fontId="55" fillId="2" borderId="0" xfId="2" quotePrefix="1" applyNumberFormat="1" applyFont="1" applyFill="1" applyBorder="1" applyAlignment="1">
      <alignment horizontal="center" vertical="center"/>
    </xf>
    <xf numFmtId="192" fontId="55" fillId="2" borderId="0" xfId="2" quotePrefix="1" applyNumberFormat="1" applyFont="1" applyFill="1" applyBorder="1" applyAlignment="1">
      <alignment horizontal="center" vertical="center"/>
    </xf>
    <xf numFmtId="202" fontId="55" fillId="2" borderId="0" xfId="2" quotePrefix="1" applyNumberFormat="1" applyFont="1" applyFill="1" applyBorder="1" applyAlignment="1">
      <alignment horizontal="center" vertical="center"/>
    </xf>
    <xf numFmtId="193" fontId="55" fillId="2" borderId="44" xfId="2" quotePrefix="1" applyNumberFormat="1" applyFont="1" applyFill="1" applyBorder="1" applyAlignment="1">
      <alignment horizontal="center" vertical="center"/>
    </xf>
    <xf numFmtId="203" fontId="55" fillId="2" borderId="2" xfId="2" quotePrefix="1" applyNumberFormat="1" applyFont="1" applyFill="1" applyBorder="1" applyAlignment="1">
      <alignment horizontal="center" vertical="center"/>
    </xf>
    <xf numFmtId="203" fontId="55" fillId="2" borderId="44" xfId="2" applyNumberFormat="1" applyFont="1" applyFill="1" applyBorder="1" applyAlignment="1">
      <alignment horizontal="center" vertical="center"/>
    </xf>
    <xf numFmtId="0" fontId="47" fillId="2" borderId="0" xfId="0" quotePrefix="1" applyFont="1" applyFill="1" applyBorder="1">
      <alignment vertical="center"/>
    </xf>
    <xf numFmtId="187" fontId="55" fillId="2" borderId="11" xfId="0" quotePrefix="1" applyNumberFormat="1" applyFont="1" applyFill="1" applyBorder="1" applyAlignment="1">
      <alignment horizontal="center" vertical="center"/>
    </xf>
    <xf numFmtId="187" fontId="55" fillId="2" borderId="410" xfId="0" quotePrefix="1" applyNumberFormat="1" applyFont="1" applyFill="1" applyBorder="1" applyAlignment="1">
      <alignment horizontal="center" vertical="center"/>
    </xf>
    <xf numFmtId="187" fontId="55" fillId="2" borderId="0" xfId="0" quotePrefix="1" applyNumberFormat="1" applyFont="1" applyFill="1" applyBorder="1" applyAlignment="1">
      <alignment horizontal="center" vertical="center"/>
    </xf>
    <xf numFmtId="176" fontId="55" fillId="2" borderId="0" xfId="3" quotePrefix="1" applyNumberFormat="1" applyFont="1" applyFill="1" applyBorder="1" applyAlignment="1">
      <alignment horizontal="center" vertical="center"/>
    </xf>
    <xf numFmtId="9" fontId="55" fillId="2" borderId="44" xfId="3" quotePrefix="1" applyFont="1" applyFill="1" applyBorder="1" applyAlignment="1">
      <alignment horizontal="center" vertical="center"/>
    </xf>
    <xf numFmtId="187" fontId="55" fillId="2" borderId="2" xfId="0" quotePrefix="1" applyNumberFormat="1" applyFont="1" applyFill="1" applyBorder="1" applyAlignment="1">
      <alignment horizontal="center" vertical="center"/>
    </xf>
    <xf numFmtId="187" fontId="55" fillId="2" borderId="44" xfId="0" applyNumberFormat="1" applyFont="1" applyFill="1" applyBorder="1" applyAlignment="1">
      <alignment horizontal="center" vertical="center"/>
    </xf>
    <xf numFmtId="186" fontId="55" fillId="0" borderId="44" xfId="2" quotePrefix="1" applyNumberFormat="1" applyFont="1" applyFill="1" applyBorder="1" applyAlignment="1">
      <alignment horizontal="center" vertical="center"/>
    </xf>
    <xf numFmtId="0" fontId="47" fillId="0" borderId="0" xfId="0" quotePrefix="1" applyFont="1" applyBorder="1">
      <alignment vertical="center"/>
    </xf>
    <xf numFmtId="187" fontId="55" fillId="0" borderId="11" xfId="0" quotePrefix="1" applyNumberFormat="1" applyFont="1" applyBorder="1" applyAlignment="1">
      <alignment horizontal="center" vertical="center"/>
    </xf>
    <xf numFmtId="187" fontId="55" fillId="0" borderId="410" xfId="0" quotePrefix="1" applyNumberFormat="1" applyFont="1" applyBorder="1" applyAlignment="1">
      <alignment horizontal="center" vertical="center"/>
    </xf>
    <xf numFmtId="187" fontId="55" fillId="0" borderId="0" xfId="0" quotePrefix="1" applyNumberFormat="1" applyFont="1" applyBorder="1" applyAlignment="1">
      <alignment horizontal="center" vertical="center"/>
    </xf>
    <xf numFmtId="176" fontId="55" fillId="0" borderId="0" xfId="3" quotePrefix="1" applyNumberFormat="1" applyFont="1" applyBorder="1" applyAlignment="1">
      <alignment horizontal="center" vertical="center"/>
    </xf>
    <xf numFmtId="188" fontId="55" fillId="0" borderId="44" xfId="0" quotePrefix="1" applyNumberFormat="1" applyFont="1" applyFill="1" applyBorder="1" applyAlignment="1">
      <alignment horizontal="center" vertical="center"/>
    </xf>
    <xf numFmtId="187" fontId="55" fillId="0" borderId="2" xfId="0" quotePrefix="1" applyNumberFormat="1" applyFont="1" applyFill="1" applyBorder="1" applyAlignment="1">
      <alignment horizontal="center" vertical="center"/>
    </xf>
    <xf numFmtId="187" fontId="55" fillId="0" borderId="44" xfId="0" applyNumberFormat="1" applyFont="1" applyFill="1" applyBorder="1" applyAlignment="1">
      <alignment horizontal="center" vertical="center"/>
    </xf>
    <xf numFmtId="9" fontId="36" fillId="0" borderId="0" xfId="3" applyFont="1">
      <alignment vertical="center"/>
    </xf>
    <xf numFmtId="0" fontId="36" fillId="11" borderId="107" xfId="0" quotePrefix="1" applyFont="1" applyFill="1" applyBorder="1">
      <alignment vertical="center"/>
    </xf>
    <xf numFmtId="203" fontId="55" fillId="11" borderId="109" xfId="0" quotePrefix="1" applyNumberFormat="1" applyFont="1" applyFill="1" applyBorder="1" applyAlignment="1">
      <alignment horizontal="center" vertical="center"/>
    </xf>
    <xf numFmtId="203" fontId="55" fillId="11" borderId="1072" xfId="2" quotePrefix="1" applyNumberFormat="1" applyFont="1" applyFill="1" applyBorder="1" applyAlignment="1">
      <alignment horizontal="center" vertical="center"/>
    </xf>
    <xf numFmtId="203" fontId="55" fillId="11" borderId="107" xfId="2" quotePrefix="1" applyNumberFormat="1" applyFont="1" applyFill="1" applyBorder="1" applyAlignment="1">
      <alignment horizontal="center" vertical="center"/>
    </xf>
    <xf numFmtId="192" fontId="55" fillId="11" borderId="107" xfId="2" quotePrefix="1" applyNumberFormat="1" applyFont="1" applyFill="1" applyBorder="1" applyAlignment="1">
      <alignment horizontal="center" vertical="center"/>
    </xf>
    <xf numFmtId="202" fontId="55" fillId="11" borderId="107" xfId="2" quotePrefix="1" applyNumberFormat="1" applyFont="1" applyFill="1" applyBorder="1" applyAlignment="1">
      <alignment horizontal="center" vertical="center"/>
    </xf>
    <xf numFmtId="193" fontId="55" fillId="11" borderId="111" xfId="2" quotePrefix="1" applyNumberFormat="1" applyFont="1" applyFill="1" applyBorder="1" applyAlignment="1">
      <alignment horizontal="center" vertical="center"/>
    </xf>
    <xf numFmtId="203" fontId="55" fillId="11" borderId="110" xfId="2" quotePrefix="1" applyNumberFormat="1" applyFont="1" applyFill="1" applyBorder="1" applyAlignment="1">
      <alignment horizontal="center" vertical="center"/>
    </xf>
    <xf numFmtId="203" fontId="55" fillId="11" borderId="111" xfId="2" applyNumberFormat="1" applyFont="1" applyFill="1" applyBorder="1" applyAlignment="1">
      <alignment horizontal="center" vertical="center"/>
    </xf>
    <xf numFmtId="214" fontId="55" fillId="11" borderId="11" xfId="0" quotePrefix="1" applyNumberFormat="1" applyFont="1" applyFill="1" applyBorder="1" applyAlignment="1">
      <alignment horizontal="center" vertical="center"/>
    </xf>
    <xf numFmtId="214" fontId="55" fillId="11" borderId="410" xfId="2" quotePrefix="1" applyNumberFormat="1" applyFont="1" applyFill="1" applyBorder="1" applyAlignment="1">
      <alignment horizontal="center" vertical="center"/>
    </xf>
    <xf numFmtId="214" fontId="55" fillId="11" borderId="0" xfId="2" quotePrefix="1" applyNumberFormat="1" applyFont="1" applyFill="1" applyBorder="1" applyAlignment="1">
      <alignment horizontal="center" vertical="center"/>
    </xf>
    <xf numFmtId="203" fontId="55" fillId="11" borderId="11" xfId="0" quotePrefix="1" applyNumberFormat="1" applyFont="1" applyFill="1" applyBorder="1" applyAlignment="1">
      <alignment horizontal="center" vertical="center"/>
    </xf>
    <xf numFmtId="0" fontId="36" fillId="11" borderId="19" xfId="0" quotePrefix="1" applyFont="1" applyFill="1" applyBorder="1">
      <alignment vertical="center"/>
    </xf>
    <xf numFmtId="214" fontId="55" fillId="11" borderId="113" xfId="0" quotePrefix="1" applyNumberFormat="1" applyFont="1" applyFill="1" applyBorder="1" applyAlignment="1">
      <alignment horizontal="center" vertical="center"/>
    </xf>
    <xf numFmtId="214" fontId="55" fillId="11" borderId="809" xfId="2" quotePrefix="1" applyNumberFormat="1" applyFont="1" applyFill="1" applyBorder="1" applyAlignment="1">
      <alignment horizontal="center" vertical="center"/>
    </xf>
    <xf numFmtId="214" fontId="55" fillId="11" borderId="19" xfId="2" quotePrefix="1" applyNumberFormat="1" applyFont="1" applyFill="1" applyBorder="1" applyAlignment="1">
      <alignment horizontal="center" vertical="center"/>
    </xf>
    <xf numFmtId="198" fontId="55" fillId="11" borderId="96" xfId="2" quotePrefix="1" applyNumberFormat="1" applyFont="1" applyFill="1" applyBorder="1" applyAlignment="1">
      <alignment horizontal="center" vertical="center"/>
    </xf>
    <xf numFmtId="209" fontId="55" fillId="11" borderId="21" xfId="2" quotePrefix="1" applyNumberFormat="1" applyFont="1" applyFill="1" applyBorder="1" applyAlignment="1">
      <alignment horizontal="center" vertical="center"/>
    </xf>
    <xf numFmtId="209" fontId="55" fillId="11" borderId="96" xfId="2" applyNumberFormat="1" applyFont="1" applyFill="1" applyBorder="1" applyAlignment="1">
      <alignment horizontal="center" vertical="center"/>
    </xf>
    <xf numFmtId="0" fontId="55" fillId="0" borderId="410" xfId="0" applyFont="1" applyBorder="1" applyAlignment="1">
      <alignment horizontal="center" vertical="center"/>
    </xf>
    <xf numFmtId="192" fontId="55" fillId="0" borderId="0" xfId="0" applyNumberFormat="1" applyFont="1" applyBorder="1" applyAlignment="1">
      <alignment horizontal="center" vertical="center"/>
    </xf>
    <xf numFmtId="202" fontId="55" fillId="0" borderId="0" xfId="0" applyNumberFormat="1" applyFont="1" applyBorder="1" applyAlignment="1">
      <alignment horizontal="center" vertical="center"/>
    </xf>
    <xf numFmtId="0" fontId="36" fillId="6" borderId="32" xfId="0" applyFont="1" applyFill="1" applyBorder="1">
      <alignment vertical="center"/>
    </xf>
    <xf numFmtId="192" fontId="55" fillId="6" borderId="48" xfId="2" applyNumberFormat="1" applyFont="1" applyFill="1" applyBorder="1" applyAlignment="1">
      <alignment horizontal="center" vertical="center"/>
    </xf>
    <xf numFmtId="192" fontId="55" fillId="6" borderId="1081" xfId="2" applyNumberFormat="1" applyFont="1" applyFill="1" applyBorder="1" applyAlignment="1">
      <alignment horizontal="center" vertical="center"/>
    </xf>
    <xf numFmtId="192" fontId="55" fillId="6" borderId="32" xfId="2" applyNumberFormat="1" applyFont="1" applyFill="1" applyBorder="1" applyAlignment="1">
      <alignment horizontal="center" vertical="center"/>
    </xf>
    <xf numFmtId="198" fontId="55" fillId="6" borderId="49" xfId="2" applyNumberFormat="1" applyFont="1" applyFill="1" applyBorder="1" applyAlignment="1">
      <alignment horizontal="center" vertical="center"/>
    </xf>
    <xf numFmtId="192" fontId="55" fillId="6" borderId="89" xfId="2" applyNumberFormat="1" applyFont="1" applyFill="1" applyBorder="1" applyAlignment="1">
      <alignment horizontal="center" vertical="center"/>
    </xf>
    <xf numFmtId="192" fontId="55" fillId="6" borderId="1" xfId="2" applyNumberFormat="1" applyFont="1" applyFill="1" applyBorder="1" applyAlignment="1">
      <alignment horizontal="center" vertical="center"/>
    </xf>
    <xf numFmtId="192" fontId="55" fillId="6" borderId="49" xfId="2" applyNumberFormat="1" applyFont="1" applyFill="1" applyBorder="1" applyAlignment="1">
      <alignment horizontal="center" vertical="center"/>
    </xf>
    <xf numFmtId="192" fontId="55" fillId="6" borderId="615" xfId="2" applyNumberFormat="1" applyFont="1" applyFill="1" applyBorder="1" applyAlignment="1">
      <alignment horizontal="center" vertical="center"/>
    </xf>
    <xf numFmtId="0" fontId="36" fillId="6" borderId="0" xfId="0" applyFont="1" applyFill="1" applyBorder="1">
      <alignment vertical="center"/>
    </xf>
    <xf numFmtId="192" fontId="55" fillId="6" borderId="11" xfId="2" applyNumberFormat="1" applyFont="1" applyFill="1" applyBorder="1" applyAlignment="1">
      <alignment horizontal="center" vertical="center"/>
    </xf>
    <xf numFmtId="192" fontId="55" fillId="6" borderId="410" xfId="2" applyNumberFormat="1" applyFont="1" applyFill="1" applyBorder="1" applyAlignment="1">
      <alignment horizontal="center" vertical="center"/>
    </xf>
    <xf numFmtId="192" fontId="55" fillId="6" borderId="0" xfId="2" applyNumberFormat="1" applyFont="1" applyFill="1" applyBorder="1" applyAlignment="1">
      <alignment horizontal="center" vertical="center"/>
    </xf>
    <xf numFmtId="193" fontId="55" fillId="6" borderId="44" xfId="2" applyNumberFormat="1" applyFont="1" applyFill="1" applyBorder="1" applyAlignment="1">
      <alignment horizontal="center" vertical="center"/>
    </xf>
    <xf numFmtId="192" fontId="55" fillId="6" borderId="84" xfId="2" applyNumberFormat="1" applyFont="1" applyFill="1" applyBorder="1" applyAlignment="1">
      <alignment horizontal="center" vertical="center"/>
    </xf>
    <xf numFmtId="192" fontId="55" fillId="6" borderId="2" xfId="2" applyNumberFormat="1" applyFont="1" applyFill="1" applyBorder="1" applyAlignment="1">
      <alignment horizontal="center" vertical="center"/>
    </xf>
    <xf numFmtId="192" fontId="55" fillId="6" borderId="44" xfId="2" applyNumberFormat="1" applyFont="1" applyFill="1" applyBorder="1" applyAlignment="1">
      <alignment horizontal="center" vertical="center"/>
    </xf>
    <xf numFmtId="192" fontId="55" fillId="6" borderId="576" xfId="2" applyNumberFormat="1" applyFont="1" applyFill="1" applyBorder="1" applyAlignment="1">
      <alignment horizontal="center" vertical="center"/>
    </xf>
    <xf numFmtId="192" fontId="55" fillId="5" borderId="11" xfId="2" applyNumberFormat="1" applyFont="1" applyFill="1" applyBorder="1" applyAlignment="1">
      <alignment horizontal="center" vertical="center"/>
    </xf>
    <xf numFmtId="192" fontId="55" fillId="5" borderId="410" xfId="2" applyNumberFormat="1" applyFont="1" applyFill="1" applyBorder="1" applyAlignment="1">
      <alignment horizontal="center" vertical="center"/>
    </xf>
    <xf numFmtId="192" fontId="55" fillId="5" borderId="0" xfId="2" applyNumberFormat="1" applyFont="1" applyFill="1" applyBorder="1" applyAlignment="1">
      <alignment horizontal="center" vertical="center"/>
    </xf>
    <xf numFmtId="198" fontId="55" fillId="5" borderId="44" xfId="2" applyNumberFormat="1" applyFont="1" applyFill="1" applyBorder="1" applyAlignment="1">
      <alignment horizontal="center" vertical="center"/>
    </xf>
    <xf numFmtId="192" fontId="55" fillId="5" borderId="84" xfId="2" applyNumberFormat="1" applyFont="1" applyFill="1" applyBorder="1" applyAlignment="1">
      <alignment horizontal="center" vertical="center"/>
    </xf>
    <xf numFmtId="192" fontId="55" fillId="5" borderId="2" xfId="2" applyNumberFormat="1" applyFont="1" applyFill="1" applyBorder="1" applyAlignment="1">
      <alignment horizontal="center" vertical="center"/>
    </xf>
    <xf numFmtId="192" fontId="55" fillId="5" borderId="44" xfId="2" applyNumberFormat="1" applyFont="1" applyFill="1" applyBorder="1" applyAlignment="1">
      <alignment horizontal="center" vertical="center"/>
    </xf>
    <xf numFmtId="192" fontId="55" fillId="5" borderId="576" xfId="2" applyNumberFormat="1" applyFont="1" applyFill="1" applyBorder="1" applyAlignment="1">
      <alignment horizontal="center" vertical="center"/>
    </xf>
    <xf numFmtId="193" fontId="55" fillId="5" borderId="44" xfId="2" applyNumberFormat="1" applyFont="1" applyFill="1" applyBorder="1" applyAlignment="1">
      <alignment horizontal="center" vertical="center"/>
    </xf>
    <xf numFmtId="0" fontId="36" fillId="6" borderId="283" xfId="0" applyFont="1" applyFill="1" applyBorder="1" applyAlignment="1">
      <alignment vertical="center"/>
    </xf>
    <xf numFmtId="0" fontId="36" fillId="6" borderId="284" xfId="0" applyFont="1" applyFill="1" applyBorder="1">
      <alignment vertical="center"/>
    </xf>
    <xf numFmtId="192" fontId="55" fillId="6" borderId="285" xfId="2" applyNumberFormat="1" applyFont="1" applyFill="1" applyBorder="1" applyAlignment="1">
      <alignment horizontal="center" vertical="center"/>
    </xf>
    <xf numFmtId="192" fontId="55" fillId="6" borderId="1082" xfId="2" applyNumberFormat="1" applyFont="1" applyFill="1" applyBorder="1" applyAlignment="1">
      <alignment horizontal="center" vertical="center"/>
    </xf>
    <xf numFmtId="192" fontId="55" fillId="6" borderId="284" xfId="2" applyNumberFormat="1" applyFont="1" applyFill="1" applyBorder="1" applyAlignment="1">
      <alignment horizontal="center" vertical="center"/>
    </xf>
    <xf numFmtId="193" fontId="55" fillId="6" borderId="287" xfId="2" applyNumberFormat="1" applyFont="1" applyFill="1" applyBorder="1" applyAlignment="1">
      <alignment horizontal="center" vertical="center"/>
    </xf>
    <xf numFmtId="192" fontId="55" fillId="6" borderId="288" xfId="2" applyNumberFormat="1" applyFont="1" applyFill="1" applyBorder="1" applyAlignment="1">
      <alignment horizontal="center" vertical="center"/>
    </xf>
    <xf numFmtId="192" fontId="55" fillId="6" borderId="286" xfId="2" applyNumberFormat="1" applyFont="1" applyFill="1" applyBorder="1" applyAlignment="1">
      <alignment horizontal="center" vertical="center"/>
    </xf>
    <xf numFmtId="192" fontId="55" fillId="6" borderId="287" xfId="2" applyNumberFormat="1" applyFont="1" applyFill="1" applyBorder="1" applyAlignment="1">
      <alignment horizontal="center" vertical="center"/>
    </xf>
    <xf numFmtId="192" fontId="55" fillId="6" borderId="616" xfId="2" applyNumberFormat="1" applyFont="1" applyFill="1" applyBorder="1" applyAlignment="1">
      <alignment horizontal="center" vertical="center"/>
    </xf>
    <xf numFmtId="0" fontId="36" fillId="13" borderId="293" xfId="0" applyFont="1" applyFill="1" applyBorder="1" applyAlignment="1">
      <alignment vertical="center"/>
    </xf>
    <xf numFmtId="0" fontId="36" fillId="13" borderId="294" xfId="0" applyFont="1" applyFill="1" applyBorder="1">
      <alignment vertical="center"/>
    </xf>
    <xf numFmtId="192" fontId="55" fillId="13" borderId="295" xfId="2" applyNumberFormat="1" applyFont="1" applyFill="1" applyBorder="1" applyAlignment="1">
      <alignment horizontal="center" vertical="center"/>
    </xf>
    <xf numFmtId="192" fontId="55" fillId="13" borderId="1083" xfId="2" applyNumberFormat="1" applyFont="1" applyFill="1" applyBorder="1" applyAlignment="1">
      <alignment horizontal="center" vertical="center"/>
    </xf>
    <xf numFmtId="192" fontId="55" fillId="13" borderId="294" xfId="2" applyNumberFormat="1" applyFont="1" applyFill="1" applyBorder="1" applyAlignment="1">
      <alignment horizontal="center" vertical="center"/>
    </xf>
    <xf numFmtId="193" fontId="55" fillId="13" borderId="297" xfId="2" applyNumberFormat="1" applyFont="1" applyFill="1" applyBorder="1" applyAlignment="1">
      <alignment horizontal="center" vertical="center"/>
    </xf>
    <xf numFmtId="192" fontId="55" fillId="13" borderId="298" xfId="2" applyNumberFormat="1" applyFont="1" applyFill="1" applyBorder="1" applyAlignment="1">
      <alignment horizontal="center" vertical="center"/>
    </xf>
    <xf numFmtId="192" fontId="55" fillId="13" borderId="296" xfId="2" applyNumberFormat="1" applyFont="1" applyFill="1" applyBorder="1" applyAlignment="1">
      <alignment horizontal="center" vertical="center"/>
    </xf>
    <xf numFmtId="192" fontId="55" fillId="13" borderId="297" xfId="2" applyNumberFormat="1" applyFont="1" applyFill="1" applyBorder="1" applyAlignment="1">
      <alignment horizontal="center" vertical="center"/>
    </xf>
    <xf numFmtId="192" fontId="55" fillId="13" borderId="617" xfId="2" applyNumberFormat="1" applyFont="1" applyFill="1" applyBorder="1" applyAlignment="1">
      <alignment horizontal="center" vertical="center"/>
    </xf>
    <xf numFmtId="0" fontId="36" fillId="13" borderId="72" xfId="0" applyFont="1" applyFill="1" applyBorder="1" applyAlignment="1">
      <alignment vertical="center"/>
    </xf>
    <xf numFmtId="0" fontId="55" fillId="13" borderId="72" xfId="0" applyFont="1" applyFill="1" applyBorder="1" applyAlignment="1">
      <alignment vertical="center"/>
    </xf>
    <xf numFmtId="0" fontId="55" fillId="13" borderId="291" xfId="0" applyFont="1" applyFill="1" applyBorder="1" applyAlignment="1">
      <alignment vertical="center"/>
    </xf>
    <xf numFmtId="0" fontId="55" fillId="5" borderId="30" xfId="0" applyFont="1" applyFill="1" applyBorder="1">
      <alignment vertical="center"/>
    </xf>
    <xf numFmtId="192" fontId="55" fillId="5" borderId="54" xfId="2" applyNumberFormat="1" applyFont="1" applyFill="1" applyBorder="1" applyAlignment="1">
      <alignment horizontal="center" vertical="center"/>
    </xf>
    <xf numFmtId="192" fontId="55" fillId="5" borderId="1084" xfId="2" applyNumberFormat="1" applyFont="1" applyFill="1" applyBorder="1" applyAlignment="1">
      <alignment horizontal="center" vertical="center"/>
    </xf>
    <xf numFmtId="192" fontId="55" fillId="5" borderId="30" xfId="2" applyNumberFormat="1" applyFont="1" applyFill="1" applyBorder="1" applyAlignment="1">
      <alignment horizontal="center" vertical="center"/>
    </xf>
    <xf numFmtId="193" fontId="55" fillId="5" borderId="55" xfId="2" applyNumberFormat="1" applyFont="1" applyFill="1" applyBorder="1" applyAlignment="1">
      <alignment horizontal="center" vertical="center"/>
    </xf>
    <xf numFmtId="192" fontId="55" fillId="5" borderId="91" xfId="2" applyNumberFormat="1" applyFont="1" applyFill="1" applyBorder="1" applyAlignment="1">
      <alignment horizontal="center" vertical="center"/>
    </xf>
    <xf numFmtId="192" fontId="55" fillId="5" borderId="31" xfId="2" applyNumberFormat="1" applyFont="1" applyFill="1" applyBorder="1" applyAlignment="1">
      <alignment horizontal="center" vertical="center"/>
    </xf>
    <xf numFmtId="192" fontId="55" fillId="5" borderId="55" xfId="2" applyNumberFormat="1" applyFont="1" applyFill="1" applyBorder="1" applyAlignment="1">
      <alignment horizontal="center" vertical="center"/>
    </xf>
    <xf numFmtId="192" fontId="55" fillId="5" borderId="618" xfId="2" applyNumberFormat="1" applyFont="1" applyFill="1" applyBorder="1" applyAlignment="1">
      <alignment horizontal="center" vertical="center"/>
    </xf>
    <xf numFmtId="0" fontId="55" fillId="6" borderId="299" xfId="0" applyFont="1" applyFill="1" applyBorder="1" applyAlignment="1">
      <alignment vertical="center"/>
    </xf>
    <xf numFmtId="0" fontId="55" fillId="6" borderId="300" xfId="0" applyFont="1" applyFill="1" applyBorder="1">
      <alignment vertical="center"/>
    </xf>
    <xf numFmtId="192" fontId="55" fillId="6" borderId="301" xfId="2" applyNumberFormat="1" applyFont="1" applyFill="1" applyBorder="1" applyAlignment="1">
      <alignment horizontal="center" vertical="center"/>
    </xf>
    <xf numFmtId="192" fontId="55" fillId="6" borderId="1085" xfId="2" applyNumberFormat="1" applyFont="1" applyFill="1" applyBorder="1" applyAlignment="1">
      <alignment horizontal="center" vertical="center"/>
    </xf>
    <xf numFmtId="192" fontId="55" fillId="6" borderId="300" xfId="2" applyNumberFormat="1" applyFont="1" applyFill="1" applyBorder="1" applyAlignment="1">
      <alignment horizontal="center" vertical="center"/>
    </xf>
    <xf numFmtId="193" fontId="55" fillId="6" borderId="303" xfId="2" applyNumberFormat="1" applyFont="1" applyFill="1" applyBorder="1" applyAlignment="1">
      <alignment horizontal="center" vertical="center"/>
    </xf>
    <xf numFmtId="0" fontId="55" fillId="6" borderId="304" xfId="0" applyFont="1" applyFill="1" applyBorder="1" applyAlignment="1">
      <alignment horizontal="center" vertical="center"/>
    </xf>
    <xf numFmtId="202" fontId="55" fillId="6" borderId="302" xfId="2" applyNumberFormat="1" applyFont="1" applyFill="1" applyBorder="1" applyAlignment="1">
      <alignment horizontal="center" vertical="center"/>
    </xf>
    <xf numFmtId="217" fontId="55" fillId="6" borderId="300" xfId="2" applyNumberFormat="1" applyFont="1" applyFill="1" applyBorder="1" applyAlignment="1">
      <alignment horizontal="center" vertical="center"/>
    </xf>
    <xf numFmtId="217" fontId="55" fillId="6" borderId="303" xfId="2" applyNumberFormat="1" applyFont="1" applyFill="1" applyBorder="1" applyAlignment="1">
      <alignment horizontal="center" vertical="center"/>
    </xf>
    <xf numFmtId="217" fontId="55" fillId="6" borderId="619" xfId="2" applyNumberFormat="1" applyFont="1" applyFill="1" applyBorder="1" applyAlignment="1">
      <alignment horizontal="center" vertical="center"/>
    </xf>
    <xf numFmtId="0" fontId="55" fillId="6" borderId="72" xfId="0" applyFont="1" applyFill="1" applyBorder="1" applyAlignment="1">
      <alignment vertical="center"/>
    </xf>
    <xf numFmtId="0" fontId="55" fillId="6" borderId="0" xfId="0" applyFont="1" applyFill="1" applyBorder="1" applyAlignment="1">
      <alignment horizontal="right" vertical="center"/>
    </xf>
    <xf numFmtId="202" fontId="55" fillId="6" borderId="11" xfId="0" applyNumberFormat="1" applyFont="1" applyFill="1" applyBorder="1" applyAlignment="1">
      <alignment horizontal="center" vertical="center"/>
    </xf>
    <xf numFmtId="202" fontId="55" fillId="6" borderId="410" xfId="0" applyNumberFormat="1" applyFont="1" applyFill="1" applyBorder="1" applyAlignment="1">
      <alignment horizontal="center" vertical="center"/>
    </xf>
    <xf numFmtId="202" fontId="55" fillId="6" borderId="0" xfId="0" applyNumberFormat="1" applyFont="1" applyFill="1" applyBorder="1" applyAlignment="1">
      <alignment horizontal="center" vertical="center"/>
    </xf>
    <xf numFmtId="202" fontId="55" fillId="6" borderId="0" xfId="2" applyNumberFormat="1" applyFont="1" applyFill="1" applyBorder="1" applyAlignment="1">
      <alignment horizontal="center" vertical="center"/>
    </xf>
    <xf numFmtId="202" fontId="55" fillId="6" borderId="44" xfId="2" applyNumberFormat="1" applyFont="1" applyFill="1" applyBorder="1" applyAlignment="1">
      <alignment horizontal="center" vertical="center"/>
    </xf>
    <xf numFmtId="202" fontId="55" fillId="6" borderId="375" xfId="0" applyNumberFormat="1" applyFont="1" applyFill="1" applyBorder="1" applyAlignment="1">
      <alignment horizontal="center" vertical="center"/>
    </xf>
    <xf numFmtId="202" fontId="55" fillId="6" borderId="2" xfId="0" applyNumberFormat="1" applyFont="1" applyFill="1" applyBorder="1" applyAlignment="1">
      <alignment horizontal="center" vertical="center"/>
    </xf>
    <xf numFmtId="202" fontId="55" fillId="6" borderId="576" xfId="2" applyNumberFormat="1" applyFont="1" applyFill="1" applyBorder="1" applyAlignment="1">
      <alignment horizontal="center" vertical="center"/>
    </xf>
    <xf numFmtId="0" fontId="55" fillId="2" borderId="0" xfId="0" applyFont="1" applyFill="1" applyBorder="1" applyAlignment="1">
      <alignment horizontal="left" vertical="center"/>
    </xf>
    <xf numFmtId="202" fontId="55" fillId="2" borderId="11" xfId="0" applyNumberFormat="1" applyFont="1" applyFill="1" applyBorder="1" applyAlignment="1">
      <alignment horizontal="center" vertical="center"/>
    </xf>
    <xf numFmtId="202" fontId="55" fillId="2" borderId="410" xfId="0" applyNumberFormat="1" applyFont="1" applyFill="1" applyBorder="1" applyAlignment="1">
      <alignment horizontal="center" vertical="center"/>
    </xf>
    <xf numFmtId="202" fontId="55" fillId="2" borderId="0" xfId="0" applyNumberFormat="1" applyFont="1" applyFill="1" applyBorder="1" applyAlignment="1">
      <alignment horizontal="center" vertical="center"/>
    </xf>
    <xf numFmtId="202" fontId="55" fillId="2" borderId="0" xfId="2" applyNumberFormat="1" applyFont="1" applyFill="1" applyBorder="1" applyAlignment="1">
      <alignment horizontal="center" vertical="center"/>
    </xf>
    <xf numFmtId="202" fontId="55" fillId="2" borderId="44" xfId="2" applyNumberFormat="1" applyFont="1" applyFill="1" applyBorder="1" applyAlignment="1">
      <alignment horizontal="center" vertical="center"/>
    </xf>
    <xf numFmtId="202" fontId="55" fillId="2" borderId="84" xfId="0" applyNumberFormat="1" applyFont="1" applyFill="1" applyBorder="1" applyAlignment="1">
      <alignment horizontal="center" vertical="center"/>
    </xf>
    <xf numFmtId="202" fontId="55" fillId="2" borderId="2" xfId="0" applyNumberFormat="1" applyFont="1" applyFill="1" applyBorder="1" applyAlignment="1">
      <alignment horizontal="center" vertical="center"/>
    </xf>
    <xf numFmtId="202" fontId="55" fillId="2" borderId="576" xfId="2" applyNumberFormat="1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horizontal="left" vertical="center"/>
    </xf>
    <xf numFmtId="202" fontId="55" fillId="0" borderId="11" xfId="0" applyNumberFormat="1" applyFont="1" applyFill="1" applyBorder="1" applyAlignment="1">
      <alignment horizontal="center" vertical="center"/>
    </xf>
    <xf numFmtId="202" fontId="55" fillId="0" borderId="410" xfId="0" applyNumberFormat="1" applyFont="1" applyFill="1" applyBorder="1" applyAlignment="1">
      <alignment horizontal="center" vertical="center"/>
    </xf>
    <xf numFmtId="202" fontId="55" fillId="0" borderId="0" xfId="0" applyNumberFormat="1" applyFont="1" applyFill="1" applyBorder="1" applyAlignment="1">
      <alignment horizontal="center" vertical="center"/>
    </xf>
    <xf numFmtId="202" fontId="55" fillId="0" borderId="84" xfId="0" applyNumberFormat="1" applyFont="1" applyFill="1" applyBorder="1" applyAlignment="1">
      <alignment horizontal="center" vertical="center"/>
    </xf>
    <xf numFmtId="202" fontId="55" fillId="0" borderId="2" xfId="0" applyNumberFormat="1" applyFont="1" applyFill="1" applyBorder="1" applyAlignment="1">
      <alignment horizontal="center" vertical="center"/>
    </xf>
    <xf numFmtId="202" fontId="55" fillId="0" borderId="576" xfId="2" applyNumberFormat="1" applyFont="1" applyFill="1" applyBorder="1" applyAlignment="1">
      <alignment horizontal="center" vertical="center"/>
    </xf>
    <xf numFmtId="0" fontId="55" fillId="0" borderId="11" xfId="0" applyFont="1" applyFill="1" applyBorder="1" applyAlignment="1">
      <alignment horizontal="center" vertical="center"/>
    </xf>
    <xf numFmtId="0" fontId="55" fillId="29" borderId="410" xfId="0" applyFont="1" applyFill="1" applyBorder="1" applyAlignment="1">
      <alignment horizontal="center" vertical="center"/>
    </xf>
    <xf numFmtId="192" fontId="55" fillId="29" borderId="0" xfId="0" applyNumberFormat="1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horizontal="center" vertical="center"/>
    </xf>
    <xf numFmtId="0" fontId="55" fillId="0" borderId="44" xfId="0" applyFont="1" applyFill="1" applyBorder="1" applyAlignment="1">
      <alignment horizontal="center" vertical="center"/>
    </xf>
    <xf numFmtId="0" fontId="55" fillId="0" borderId="84" xfId="0" applyFont="1" applyFill="1" applyBorder="1" applyAlignment="1">
      <alignment horizontal="center" vertical="center"/>
    </xf>
    <xf numFmtId="0" fontId="55" fillId="0" borderId="2" xfId="0" applyFont="1" applyFill="1" applyBorder="1" applyAlignment="1">
      <alignment horizontal="center" vertical="center"/>
    </xf>
    <xf numFmtId="0" fontId="55" fillId="0" borderId="576" xfId="0" applyFont="1" applyFill="1" applyBorder="1" applyAlignment="1">
      <alignment horizontal="center" vertical="center"/>
    </xf>
    <xf numFmtId="0" fontId="55" fillId="6" borderId="820" xfId="0" applyFont="1" applyFill="1" applyBorder="1" applyAlignment="1">
      <alignment vertical="center"/>
    </xf>
    <xf numFmtId="0" fontId="55" fillId="6" borderId="821" xfId="0" applyFont="1" applyFill="1" applyBorder="1" applyAlignment="1">
      <alignment horizontal="left" vertical="center"/>
    </xf>
    <xf numFmtId="203" fontId="55" fillId="6" borderId="822" xfId="0" applyNumberFormat="1" applyFont="1" applyFill="1" applyBorder="1" applyAlignment="1">
      <alignment horizontal="center" vertical="center"/>
    </xf>
    <xf numFmtId="203" fontId="55" fillId="6" borderId="1086" xfId="0" applyNumberFormat="1" applyFont="1" applyFill="1" applyBorder="1" applyAlignment="1">
      <alignment horizontal="center" vertical="center"/>
    </xf>
    <xf numFmtId="203" fontId="55" fillId="6" borderId="821" xfId="0" applyNumberFormat="1" applyFont="1" applyFill="1" applyBorder="1" applyAlignment="1">
      <alignment horizontal="center" vertical="center"/>
    </xf>
    <xf numFmtId="192" fontId="55" fillId="6" borderId="821" xfId="0" applyNumberFormat="1" applyFont="1" applyFill="1" applyBorder="1" applyAlignment="1">
      <alignment horizontal="center" vertical="center"/>
    </xf>
    <xf numFmtId="202" fontId="55" fillId="6" borderId="821" xfId="0" applyNumberFormat="1" applyFont="1" applyFill="1" applyBorder="1" applyAlignment="1">
      <alignment horizontal="center" vertical="center"/>
    </xf>
    <xf numFmtId="204" fontId="55" fillId="6" borderId="821" xfId="0" applyNumberFormat="1" applyFont="1" applyFill="1" applyBorder="1" applyAlignment="1">
      <alignment horizontal="center" vertical="center"/>
    </xf>
    <xf numFmtId="193" fontId="55" fillId="6" borderId="823" xfId="0" applyNumberFormat="1" applyFont="1" applyFill="1" applyBorder="1" applyAlignment="1">
      <alignment horizontal="center" vertical="center"/>
    </xf>
    <xf numFmtId="0" fontId="55" fillId="29" borderId="824" xfId="0" applyFont="1" applyFill="1" applyBorder="1" applyAlignment="1">
      <alignment horizontal="center" vertical="center"/>
    </xf>
    <xf numFmtId="203" fontId="55" fillId="6" borderId="825" xfId="0" applyNumberFormat="1" applyFont="1" applyFill="1" applyBorder="1" applyAlignment="1">
      <alignment horizontal="center" vertical="center"/>
    </xf>
    <xf numFmtId="203" fontId="55" fillId="29" borderId="821" xfId="0" applyNumberFormat="1" applyFont="1" applyFill="1" applyBorder="1" applyAlignment="1">
      <alignment horizontal="center" vertical="center"/>
    </xf>
    <xf numFmtId="203" fontId="55" fillId="6" borderId="823" xfId="0" applyNumberFormat="1" applyFont="1" applyFill="1" applyBorder="1" applyAlignment="1">
      <alignment horizontal="center" vertical="center"/>
    </xf>
    <xf numFmtId="0" fontId="55" fillId="29" borderId="826" xfId="0" applyFont="1" applyFill="1" applyBorder="1" applyAlignment="1">
      <alignment horizontal="center" vertical="center"/>
    </xf>
    <xf numFmtId="0" fontId="55" fillId="8" borderId="72" xfId="0" applyFont="1" applyFill="1" applyBorder="1">
      <alignment vertical="center"/>
    </xf>
    <xf numFmtId="0" fontId="55" fillId="8" borderId="0" xfId="0" applyFont="1" applyFill="1" applyBorder="1" applyAlignment="1">
      <alignment horizontal="left" vertical="center"/>
    </xf>
    <xf numFmtId="203" fontId="55" fillId="8" borderId="437" xfId="0" applyNumberFormat="1" applyFont="1" applyFill="1" applyBorder="1" applyAlignment="1">
      <alignment horizontal="center" vertical="center"/>
    </xf>
    <xf numFmtId="203" fontId="55" fillId="8" borderId="410" xfId="0" applyNumberFormat="1" applyFont="1" applyFill="1" applyBorder="1" applyAlignment="1">
      <alignment horizontal="center" vertical="center"/>
    </xf>
    <xf numFmtId="203" fontId="55" fillId="8" borderId="0" xfId="0" applyNumberFormat="1" applyFont="1" applyFill="1" applyBorder="1" applyAlignment="1">
      <alignment horizontal="center" vertical="center"/>
    </xf>
    <xf numFmtId="192" fontId="55" fillId="8" borderId="0" xfId="0" applyNumberFormat="1" applyFont="1" applyFill="1" applyBorder="1" applyAlignment="1">
      <alignment horizontal="center" vertical="center"/>
    </xf>
    <xf numFmtId="202" fontId="55" fillId="8" borderId="0" xfId="0" applyNumberFormat="1" applyFont="1" applyFill="1" applyBorder="1" applyAlignment="1">
      <alignment horizontal="center" vertical="center"/>
    </xf>
    <xf numFmtId="204" fontId="55" fillId="8" borderId="0" xfId="0" applyNumberFormat="1" applyFont="1" applyFill="1" applyBorder="1" applyAlignment="1">
      <alignment horizontal="center" vertical="center"/>
    </xf>
    <xf numFmtId="193" fontId="55" fillId="8" borderId="44" xfId="0" applyNumberFormat="1" applyFont="1" applyFill="1" applyBorder="1" applyAlignment="1">
      <alignment horizontal="center" vertical="center"/>
    </xf>
    <xf numFmtId="0" fontId="55" fillId="29" borderId="84" xfId="0" applyFont="1" applyFill="1" applyBorder="1" applyAlignment="1">
      <alignment horizontal="center" vertical="center"/>
    </xf>
    <xf numFmtId="203" fontId="55" fillId="8" borderId="2" xfId="0" applyNumberFormat="1" applyFont="1" applyFill="1" applyBorder="1" applyAlignment="1">
      <alignment horizontal="center" vertical="center"/>
    </xf>
    <xf numFmtId="203" fontId="55" fillId="29" borderId="0" xfId="0" applyNumberFormat="1" applyFont="1" applyFill="1" applyBorder="1" applyAlignment="1">
      <alignment horizontal="center" vertical="center"/>
    </xf>
    <xf numFmtId="203" fontId="55" fillId="8" borderId="44" xfId="0" applyNumberFormat="1" applyFont="1" applyFill="1" applyBorder="1" applyAlignment="1">
      <alignment horizontal="center" vertical="center"/>
    </xf>
    <xf numFmtId="0" fontId="55" fillId="29" borderId="576" xfId="0" applyFont="1" applyFill="1" applyBorder="1" applyAlignment="1">
      <alignment horizontal="center" vertical="center"/>
    </xf>
    <xf numFmtId="0" fontId="55" fillId="0" borderId="0" xfId="0" applyFont="1" applyBorder="1" applyAlignment="1">
      <alignment horizontal="left" vertical="center"/>
    </xf>
    <xf numFmtId="203" fontId="55" fillId="0" borderId="437" xfId="0" applyNumberFormat="1" applyFont="1" applyFill="1" applyBorder="1" applyAlignment="1">
      <alignment horizontal="center" vertical="center"/>
    </xf>
    <xf numFmtId="203" fontId="55" fillId="0" borderId="410" xfId="0" applyNumberFormat="1" applyFont="1" applyFill="1" applyBorder="1" applyAlignment="1">
      <alignment horizontal="center" vertical="center"/>
    </xf>
    <xf numFmtId="203" fontId="55" fillId="0" borderId="0" xfId="0" applyNumberFormat="1" applyFont="1" applyFill="1" applyBorder="1" applyAlignment="1">
      <alignment horizontal="center" vertical="center"/>
    </xf>
    <xf numFmtId="192" fontId="55" fillId="0" borderId="0" xfId="0" applyNumberFormat="1" applyFont="1" applyFill="1" applyBorder="1" applyAlignment="1">
      <alignment horizontal="center" vertical="center"/>
    </xf>
    <xf numFmtId="204" fontId="55" fillId="0" borderId="0" xfId="0" applyNumberFormat="1" applyFont="1" applyFill="1" applyBorder="1" applyAlignment="1">
      <alignment horizontal="center" vertical="center"/>
    </xf>
    <xf numFmtId="193" fontId="55" fillId="0" borderId="44" xfId="0" applyNumberFormat="1" applyFont="1" applyFill="1" applyBorder="1" applyAlignment="1">
      <alignment horizontal="center" vertical="center"/>
    </xf>
    <xf numFmtId="203" fontId="55" fillId="0" borderId="2" xfId="0" applyNumberFormat="1" applyFont="1" applyFill="1" applyBorder="1" applyAlignment="1">
      <alignment horizontal="center" vertical="center"/>
    </xf>
    <xf numFmtId="203" fontId="55" fillId="0" borderId="44" xfId="0" applyNumberFormat="1" applyFont="1" applyFill="1" applyBorder="1" applyAlignment="1">
      <alignment horizontal="center" vertical="center"/>
    </xf>
    <xf numFmtId="0" fontId="36" fillId="8" borderId="72" xfId="0" applyFont="1" applyFill="1" applyBorder="1">
      <alignment vertical="center"/>
    </xf>
    <xf numFmtId="0" fontId="36" fillId="0" borderId="0" xfId="0" applyFont="1" applyBorder="1" applyAlignment="1">
      <alignment horizontal="left" vertical="center"/>
    </xf>
    <xf numFmtId="203" fontId="55" fillId="0" borderId="1131" xfId="0" applyNumberFormat="1" applyFont="1" applyFill="1" applyBorder="1" applyAlignment="1">
      <alignment horizontal="center" vertical="center"/>
    </xf>
    <xf numFmtId="203" fontId="55" fillId="4" borderId="1131" xfId="0" applyNumberFormat="1" applyFont="1" applyFill="1" applyBorder="1" applyAlignment="1">
      <alignment horizontal="center" vertical="center"/>
    </xf>
    <xf numFmtId="203" fontId="55" fillId="4" borderId="0" xfId="0" applyNumberFormat="1" applyFont="1" applyFill="1" applyBorder="1" applyAlignment="1">
      <alignment horizontal="center" vertical="center"/>
    </xf>
    <xf numFmtId="192" fontId="55" fillId="4" borderId="0" xfId="0" applyNumberFormat="1" applyFont="1" applyFill="1" applyBorder="1" applyAlignment="1">
      <alignment horizontal="center" vertical="center"/>
    </xf>
    <xf numFmtId="202" fontId="55" fillId="4" borderId="0" xfId="0" applyNumberFormat="1" applyFont="1" applyFill="1" applyBorder="1" applyAlignment="1">
      <alignment horizontal="center" vertical="center"/>
    </xf>
    <xf numFmtId="204" fontId="55" fillId="4" borderId="0" xfId="0" applyNumberFormat="1" applyFont="1" applyFill="1" applyBorder="1" applyAlignment="1">
      <alignment horizontal="center" vertical="center"/>
    </xf>
    <xf numFmtId="0" fontId="55" fillId="8" borderId="73" xfId="0" applyFont="1" applyFill="1" applyBorder="1">
      <alignment vertical="center"/>
    </xf>
    <xf numFmtId="0" fontId="55" fillId="0" borderId="34" xfId="0" applyFont="1" applyBorder="1" applyAlignment="1">
      <alignment horizontal="left" vertical="center"/>
    </xf>
    <xf numFmtId="203" fontId="55" fillId="0" borderId="1130" xfId="0" applyNumberFormat="1" applyFont="1" applyFill="1" applyBorder="1" applyAlignment="1">
      <alignment horizontal="center" vertical="center"/>
    </xf>
    <xf numFmtId="192" fontId="55" fillId="0" borderId="34" xfId="0" applyNumberFormat="1" applyFont="1" applyFill="1" applyBorder="1" applyAlignment="1">
      <alignment horizontal="center" vertical="center"/>
    </xf>
    <xf numFmtId="202" fontId="55" fillId="0" borderId="34" xfId="0" applyNumberFormat="1" applyFont="1" applyFill="1" applyBorder="1" applyAlignment="1">
      <alignment horizontal="center" vertical="center"/>
    </xf>
    <xf numFmtId="204" fontId="55" fillId="0" borderId="34" xfId="0" applyNumberFormat="1" applyFont="1" applyFill="1" applyBorder="1" applyAlignment="1">
      <alignment horizontal="center" vertical="center"/>
    </xf>
    <xf numFmtId="193" fontId="55" fillId="0" borderId="52" xfId="0" applyNumberFormat="1" applyFont="1" applyFill="1" applyBorder="1" applyAlignment="1">
      <alignment horizontal="center" vertical="center"/>
    </xf>
    <xf numFmtId="0" fontId="55" fillId="29" borderId="90" xfId="0" applyFont="1" applyFill="1" applyBorder="1" applyAlignment="1">
      <alignment horizontal="center" vertical="center"/>
    </xf>
    <xf numFmtId="203" fontId="55" fillId="0" borderId="51" xfId="0" applyNumberFormat="1" applyFont="1" applyFill="1" applyBorder="1" applyAlignment="1">
      <alignment horizontal="center" vertical="center"/>
    </xf>
    <xf numFmtId="203" fontId="55" fillId="29" borderId="34" xfId="0" applyNumberFormat="1" applyFont="1" applyFill="1" applyBorder="1" applyAlignment="1">
      <alignment horizontal="center" vertical="center"/>
    </xf>
    <xf numFmtId="203" fontId="55" fillId="0" borderId="52" xfId="0" applyNumberFormat="1" applyFont="1" applyFill="1" applyBorder="1" applyAlignment="1">
      <alignment horizontal="center" vertical="center"/>
    </xf>
    <xf numFmtId="0" fontId="55" fillId="29" borderId="620" xfId="0" applyFont="1" applyFill="1" applyBorder="1" applyAlignment="1">
      <alignment horizontal="center" vertical="center"/>
    </xf>
    <xf numFmtId="0" fontId="36" fillId="5" borderId="0" xfId="0" applyFont="1" applyFill="1" applyAlignment="1">
      <alignment horizontal="left" vertical="center"/>
    </xf>
    <xf numFmtId="203" fontId="36" fillId="5" borderId="0" xfId="0" applyNumberFormat="1" applyFont="1" applyFill="1" applyAlignment="1">
      <alignment horizontal="center" vertical="center"/>
    </xf>
    <xf numFmtId="0" fontId="52" fillId="5" borderId="0" xfId="0" applyFont="1" applyFill="1">
      <alignment vertical="center"/>
    </xf>
    <xf numFmtId="202" fontId="39" fillId="5" borderId="0" xfId="0" applyNumberFormat="1" applyFont="1" applyFill="1" applyBorder="1" applyAlignment="1">
      <alignment horizontal="center" vertical="center"/>
    </xf>
    <xf numFmtId="203" fontId="39" fillId="5" borderId="0" xfId="0" applyNumberFormat="1" applyFont="1" applyFill="1" applyBorder="1" applyAlignment="1">
      <alignment horizontal="center" vertical="center"/>
    </xf>
    <xf numFmtId="0" fontId="64" fillId="5" borderId="0" xfId="0" applyFont="1" applyFill="1" applyBorder="1" applyAlignment="1">
      <alignment horizontal="left" vertical="center"/>
    </xf>
    <xf numFmtId="0" fontId="36" fillId="5" borderId="0" xfId="0" quotePrefix="1" applyFont="1" applyFill="1" applyBorder="1" applyAlignment="1">
      <alignment horizontal="left" vertical="center"/>
    </xf>
    <xf numFmtId="0" fontId="37" fillId="4" borderId="408" xfId="0" quotePrefix="1" applyFont="1" applyFill="1" applyBorder="1" applyAlignment="1">
      <alignment horizontal="center" vertical="center"/>
    </xf>
    <xf numFmtId="202" fontId="37" fillId="4" borderId="6" xfId="0" quotePrefix="1" applyNumberFormat="1" applyFont="1" applyFill="1" applyBorder="1" applyAlignment="1">
      <alignment horizontal="center" vertical="center"/>
    </xf>
    <xf numFmtId="203" fontId="37" fillId="4" borderId="6" xfId="0" quotePrefix="1" applyNumberFormat="1" applyFont="1" applyFill="1" applyBorder="1" applyAlignment="1">
      <alignment horizontal="center" vertical="center"/>
    </xf>
    <xf numFmtId="0" fontId="37" fillId="14" borderId="41" xfId="0" quotePrefix="1" applyFont="1" applyFill="1" applyBorder="1" applyAlignment="1">
      <alignment horizontal="center" vertical="center"/>
    </xf>
    <xf numFmtId="0" fontId="37" fillId="14" borderId="6" xfId="0" quotePrefix="1" applyFont="1" applyFill="1" applyBorder="1" applyAlignment="1">
      <alignment horizontal="center" vertical="center"/>
    </xf>
    <xf numFmtId="0" fontId="44" fillId="6" borderId="245" xfId="0" quotePrefix="1" applyFont="1" applyFill="1" applyBorder="1" applyAlignment="1">
      <alignment horizontal="center" vertical="center"/>
    </xf>
    <xf numFmtId="0" fontId="37" fillId="10" borderId="13" xfId="0" applyFont="1" applyFill="1" applyBorder="1" applyAlignment="1">
      <alignment horizontal="center" vertical="center"/>
    </xf>
    <xf numFmtId="192" fontId="36" fillId="11" borderId="4" xfId="0" applyNumberFormat="1" applyFont="1" applyFill="1" applyBorder="1" applyAlignment="1">
      <alignment horizontal="left" vertical="center"/>
    </xf>
    <xf numFmtId="0" fontId="36" fillId="11" borderId="4" xfId="0" applyFont="1" applyFill="1" applyBorder="1" applyAlignment="1">
      <alignment horizontal="left" vertical="center"/>
    </xf>
    <xf numFmtId="38" fontId="36" fillId="11" borderId="591" xfId="0" applyNumberFormat="1" applyFont="1" applyFill="1" applyBorder="1" applyAlignment="1">
      <alignment horizontal="center" vertical="center"/>
    </xf>
    <xf numFmtId="38" fontId="36" fillId="11" borderId="4" xfId="0" applyNumberFormat="1" applyFont="1" applyFill="1" applyBorder="1" applyAlignment="1">
      <alignment horizontal="center" vertical="center"/>
    </xf>
    <xf numFmtId="38" fontId="36" fillId="11" borderId="409" xfId="0" applyNumberFormat="1" applyFont="1" applyFill="1" applyBorder="1" applyAlignment="1">
      <alignment horizontal="center" vertical="center"/>
    </xf>
    <xf numFmtId="38" fontId="36" fillId="11" borderId="4" xfId="2" applyNumberFormat="1" applyFont="1" applyFill="1" applyBorder="1" applyAlignment="1">
      <alignment horizontal="center" vertical="center"/>
    </xf>
    <xf numFmtId="186" fontId="36" fillId="11" borderId="43" xfId="3" applyNumberFormat="1" applyFont="1" applyFill="1" applyBorder="1" applyAlignment="1">
      <alignment horizontal="center" vertical="center"/>
    </xf>
    <xf numFmtId="186" fontId="36" fillId="11" borderId="4" xfId="3" applyNumberFormat="1" applyFont="1" applyFill="1" applyBorder="1" applyAlignment="1">
      <alignment horizontal="center" vertical="center"/>
    </xf>
    <xf numFmtId="192" fontId="36" fillId="11" borderId="5" xfId="0" applyNumberFormat="1" applyFont="1" applyFill="1" applyBorder="1" applyAlignment="1">
      <alignment horizontal="center" vertical="center"/>
    </xf>
    <xf numFmtId="241" fontId="36" fillId="11" borderId="4" xfId="3" applyNumberFormat="1" applyFont="1" applyFill="1" applyBorder="1" applyAlignment="1">
      <alignment horizontal="center" vertical="center"/>
    </xf>
    <xf numFmtId="192" fontId="36" fillId="11" borderId="43" xfId="0" applyNumberFormat="1" applyFont="1" applyFill="1" applyBorder="1" applyAlignment="1">
      <alignment horizontal="center" vertical="center"/>
    </xf>
    <xf numFmtId="186" fontId="36" fillId="11" borderId="209" xfId="0" applyNumberFormat="1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left" vertical="center"/>
    </xf>
    <xf numFmtId="38" fontId="36" fillId="11" borderId="437" xfId="0" applyNumberFormat="1" applyFont="1" applyFill="1" applyBorder="1" applyAlignment="1">
      <alignment horizontal="center" vertical="center"/>
    </xf>
    <xf numFmtId="38" fontId="36" fillId="11" borderId="0" xfId="0" applyNumberFormat="1" applyFont="1" applyFill="1" applyBorder="1" applyAlignment="1">
      <alignment horizontal="center" vertical="center"/>
    </xf>
    <xf numFmtId="38" fontId="36" fillId="11" borderId="410" xfId="0" applyNumberFormat="1" applyFont="1" applyFill="1" applyBorder="1" applyAlignment="1">
      <alignment horizontal="center" vertical="center"/>
    </xf>
    <xf numFmtId="38" fontId="36" fillId="11" borderId="0" xfId="2" applyNumberFormat="1" applyFont="1" applyFill="1" applyBorder="1" applyAlignment="1">
      <alignment horizontal="center" vertical="center"/>
    </xf>
    <xf numFmtId="186" fontId="36" fillId="11" borderId="44" xfId="3" applyNumberFormat="1" applyFont="1" applyFill="1" applyBorder="1" applyAlignment="1">
      <alignment horizontal="center" vertical="center"/>
    </xf>
    <xf numFmtId="186" fontId="36" fillId="11" borderId="0" xfId="3" applyNumberFormat="1" applyFont="1" applyFill="1" applyBorder="1" applyAlignment="1">
      <alignment horizontal="center" vertical="center"/>
    </xf>
    <xf numFmtId="192" fontId="36" fillId="11" borderId="2" xfId="0" applyNumberFormat="1" applyFont="1" applyFill="1" applyBorder="1" applyAlignment="1">
      <alignment horizontal="center" vertical="center"/>
    </xf>
    <xf numFmtId="241" fontId="36" fillId="11" borderId="0" xfId="3" applyNumberFormat="1" applyFont="1" applyFill="1" applyBorder="1" applyAlignment="1">
      <alignment horizontal="center" vertical="center"/>
    </xf>
    <xf numFmtId="192" fontId="36" fillId="11" borderId="44" xfId="0" applyNumberFormat="1" applyFont="1" applyFill="1" applyBorder="1" applyAlignment="1">
      <alignment horizontal="center" vertical="center"/>
    </xf>
    <xf numFmtId="0" fontId="36" fillId="11" borderId="544" xfId="0" applyFont="1" applyFill="1" applyBorder="1" applyAlignment="1">
      <alignment horizontal="left" vertical="center"/>
    </xf>
    <xf numFmtId="38" fontId="36" fillId="11" borderId="592" xfId="0" applyNumberFormat="1" applyFont="1" applyFill="1" applyBorder="1" applyAlignment="1">
      <alignment horizontal="center" vertical="center"/>
    </xf>
    <xf numFmtId="38" fontId="36" fillId="11" borderId="544" xfId="0" applyNumberFormat="1" applyFont="1" applyFill="1" applyBorder="1" applyAlignment="1">
      <alignment horizontal="center" vertical="center"/>
    </xf>
    <xf numFmtId="38" fontId="36" fillId="11" borderId="1073" xfId="0" applyNumberFormat="1" applyFont="1" applyFill="1" applyBorder="1" applyAlignment="1">
      <alignment horizontal="center" vertical="center"/>
    </xf>
    <xf numFmtId="38" fontId="36" fillId="11" borderId="544" xfId="2" applyNumberFormat="1" applyFont="1" applyFill="1" applyBorder="1" applyAlignment="1">
      <alignment horizontal="center" vertical="center"/>
    </xf>
    <xf numFmtId="186" fontId="36" fillId="11" borderId="545" xfId="3" applyNumberFormat="1" applyFont="1" applyFill="1" applyBorder="1" applyAlignment="1">
      <alignment horizontal="center" vertical="center"/>
    </xf>
    <xf numFmtId="186" fontId="36" fillId="11" borderId="544" xfId="3" applyNumberFormat="1" applyFont="1" applyFill="1" applyBorder="1" applyAlignment="1">
      <alignment horizontal="center" vertical="center"/>
    </xf>
    <xf numFmtId="192" fontId="36" fillId="11" borderId="546" xfId="0" applyNumberFormat="1" applyFont="1" applyFill="1" applyBorder="1" applyAlignment="1">
      <alignment horizontal="center" vertical="center"/>
    </xf>
    <xf numFmtId="192" fontId="36" fillId="11" borderId="545" xfId="0" applyNumberFormat="1" applyFont="1" applyFill="1" applyBorder="1" applyAlignment="1">
      <alignment horizontal="center" vertical="center"/>
    </xf>
    <xf numFmtId="186" fontId="36" fillId="11" borderId="543" xfId="0" applyNumberFormat="1" applyFont="1" applyFill="1" applyBorder="1" applyAlignment="1">
      <alignment horizontal="center" vertical="center"/>
    </xf>
    <xf numFmtId="0" fontId="36" fillId="5" borderId="547" xfId="0" applyFont="1" applyFill="1" applyBorder="1" applyAlignment="1">
      <alignment horizontal="left" vertical="center"/>
    </xf>
    <xf numFmtId="38" fontId="36" fillId="5" borderId="593" xfId="0" applyNumberFormat="1" applyFont="1" applyFill="1" applyBorder="1" applyAlignment="1">
      <alignment horizontal="center" vertical="center"/>
    </xf>
    <xf numFmtId="38" fontId="36" fillId="5" borderId="547" xfId="0" applyNumberFormat="1" applyFont="1" applyFill="1" applyBorder="1" applyAlignment="1">
      <alignment horizontal="center" vertical="center"/>
    </xf>
    <xf numFmtId="38" fontId="36" fillId="5" borderId="1074" xfId="0" applyNumberFormat="1" applyFont="1" applyFill="1" applyBorder="1" applyAlignment="1">
      <alignment horizontal="center" vertical="center"/>
    </xf>
    <xf numFmtId="38" fontId="36" fillId="5" borderId="547" xfId="2" applyNumberFormat="1" applyFont="1" applyFill="1" applyBorder="1" applyAlignment="1">
      <alignment horizontal="center" vertical="center"/>
    </xf>
    <xf numFmtId="186" fontId="36" fillId="5" borderId="548" xfId="3" applyNumberFormat="1" applyFont="1" applyFill="1" applyBorder="1" applyAlignment="1">
      <alignment horizontal="center" vertical="center"/>
    </xf>
    <xf numFmtId="186" fontId="36" fillId="5" borderId="547" xfId="3" applyNumberFormat="1" applyFont="1" applyFill="1" applyBorder="1" applyAlignment="1">
      <alignment horizontal="center" vertical="center"/>
    </xf>
    <xf numFmtId="192" fontId="36" fillId="5" borderId="549" xfId="0" applyNumberFormat="1" applyFont="1" applyFill="1" applyBorder="1" applyAlignment="1">
      <alignment horizontal="center" vertical="center"/>
    </xf>
    <xf numFmtId="241" fontId="36" fillId="5" borderId="547" xfId="3" applyNumberFormat="1" applyFont="1" applyFill="1" applyBorder="1" applyAlignment="1">
      <alignment horizontal="center" vertical="center"/>
    </xf>
    <xf numFmtId="192" fontId="36" fillId="5" borderId="548" xfId="0" applyNumberFormat="1" applyFont="1" applyFill="1" applyBorder="1" applyAlignment="1">
      <alignment horizontal="center" vertical="center"/>
    </xf>
    <xf numFmtId="186" fontId="36" fillId="5" borderId="550" xfId="0" applyNumberFormat="1" applyFont="1" applyFill="1" applyBorder="1" applyAlignment="1">
      <alignment horizontal="center" vertical="center"/>
    </xf>
    <xf numFmtId="38" fontId="36" fillId="5" borderId="437" xfId="0" applyNumberFormat="1" applyFont="1" applyFill="1" applyBorder="1" applyAlignment="1">
      <alignment horizontal="center" vertical="center"/>
    </xf>
    <xf numFmtId="38" fontId="36" fillId="5" borderId="0" xfId="0" applyNumberFormat="1" applyFont="1" applyFill="1" applyBorder="1" applyAlignment="1">
      <alignment horizontal="center" vertical="center"/>
    </xf>
    <xf numFmtId="38" fontId="36" fillId="5" borderId="410" xfId="0" applyNumberFormat="1" applyFont="1" applyFill="1" applyBorder="1" applyAlignment="1">
      <alignment horizontal="center" vertical="center"/>
    </xf>
    <xf numFmtId="38" fontId="36" fillId="5" borderId="0" xfId="2" applyNumberFormat="1" applyFont="1" applyFill="1" applyBorder="1" applyAlignment="1">
      <alignment horizontal="center" vertical="center"/>
    </xf>
    <xf numFmtId="186" fontId="36" fillId="5" borderId="44" xfId="3" applyNumberFormat="1" applyFont="1" applyFill="1" applyBorder="1" applyAlignment="1">
      <alignment horizontal="center" vertical="center"/>
    </xf>
    <xf numFmtId="186" fontId="36" fillId="5" borderId="0" xfId="3" applyNumberFormat="1" applyFont="1" applyFill="1" applyBorder="1" applyAlignment="1">
      <alignment horizontal="center" vertical="center"/>
    </xf>
    <xf numFmtId="192" fontId="36" fillId="5" borderId="2" xfId="0" applyNumberFormat="1" applyFont="1" applyFill="1" applyBorder="1" applyAlignment="1">
      <alignment horizontal="center" vertical="center"/>
    </xf>
    <xf numFmtId="241" fontId="36" fillId="5" borderId="0" xfId="3" applyNumberFormat="1" applyFont="1" applyFill="1" applyBorder="1" applyAlignment="1">
      <alignment horizontal="center" vertical="center"/>
    </xf>
    <xf numFmtId="192" fontId="36" fillId="5" borderId="44" xfId="0" applyNumberFormat="1" applyFont="1" applyFill="1" applyBorder="1" applyAlignment="1">
      <alignment horizontal="center" vertical="center"/>
    </xf>
    <xf numFmtId="186" fontId="36" fillId="5" borderId="210" xfId="0" applyNumberFormat="1" applyFont="1" applyFill="1" applyBorder="1" applyAlignment="1">
      <alignment horizontal="center" vertical="center"/>
    </xf>
    <xf numFmtId="0" fontId="36" fillId="5" borderId="544" xfId="0" applyFont="1" applyFill="1" applyBorder="1" applyAlignment="1">
      <alignment horizontal="left" vertical="center"/>
    </xf>
    <xf numFmtId="38" fontId="36" fillId="5" borderId="592" xfId="0" applyNumberFormat="1" applyFont="1" applyFill="1" applyBorder="1" applyAlignment="1">
      <alignment horizontal="center" vertical="center"/>
    </xf>
    <xf numFmtId="38" fontId="36" fillId="5" borderId="544" xfId="0" applyNumberFormat="1" applyFont="1" applyFill="1" applyBorder="1" applyAlignment="1">
      <alignment horizontal="center" vertical="center"/>
    </xf>
    <xf numFmtId="38" fontId="36" fillId="5" borderId="1073" xfId="0" applyNumberFormat="1" applyFont="1" applyFill="1" applyBorder="1" applyAlignment="1">
      <alignment horizontal="center" vertical="center"/>
    </xf>
    <xf numFmtId="38" fontId="36" fillId="5" borderId="544" xfId="2" applyNumberFormat="1" applyFont="1" applyFill="1" applyBorder="1" applyAlignment="1">
      <alignment horizontal="center" vertical="center"/>
    </xf>
    <xf numFmtId="186" fontId="36" fillId="5" borderId="545" xfId="3" applyNumberFormat="1" applyFont="1" applyFill="1" applyBorder="1" applyAlignment="1">
      <alignment horizontal="center" vertical="center"/>
    </xf>
    <xf numFmtId="186" fontId="36" fillId="5" borderId="544" xfId="3" applyNumberFormat="1" applyFont="1" applyFill="1" applyBorder="1" applyAlignment="1">
      <alignment horizontal="center" vertical="center"/>
    </xf>
    <xf numFmtId="192" fontId="36" fillId="5" borderId="546" xfId="0" applyNumberFormat="1" applyFont="1" applyFill="1" applyBorder="1" applyAlignment="1">
      <alignment horizontal="center" vertical="center"/>
    </xf>
    <xf numFmtId="192" fontId="36" fillId="5" borderId="545" xfId="0" applyNumberFormat="1" applyFont="1" applyFill="1" applyBorder="1" applyAlignment="1">
      <alignment horizontal="center" vertical="center"/>
    </xf>
    <xf numFmtId="186" fontId="36" fillId="5" borderId="543" xfId="0" applyNumberFormat="1" applyFont="1" applyFill="1" applyBorder="1" applyAlignment="1">
      <alignment horizontal="center" vertical="center"/>
    </xf>
    <xf numFmtId="0" fontId="36" fillId="5" borderId="6" xfId="0" applyFont="1" applyFill="1" applyBorder="1" applyAlignment="1">
      <alignment horizontal="left" vertical="center"/>
    </xf>
    <xf numFmtId="38" fontId="36" fillId="5" borderId="459" xfId="0" applyNumberFormat="1" applyFont="1" applyFill="1" applyBorder="1" applyAlignment="1">
      <alignment horizontal="center" vertical="center"/>
    </xf>
    <xf numFmtId="38" fontId="36" fillId="5" borderId="6" xfId="0" applyNumberFormat="1" applyFont="1" applyFill="1" applyBorder="1" applyAlignment="1">
      <alignment horizontal="center" vertical="center"/>
    </xf>
    <xf numFmtId="38" fontId="36" fillId="5" borderId="408" xfId="0" applyNumberFormat="1" applyFont="1" applyFill="1" applyBorder="1" applyAlignment="1">
      <alignment horizontal="center" vertical="center"/>
    </xf>
    <xf numFmtId="38" fontId="36" fillId="5" borderId="6" xfId="2" applyNumberFormat="1" applyFont="1" applyFill="1" applyBorder="1" applyAlignment="1">
      <alignment horizontal="center" vertical="center"/>
    </xf>
    <xf numFmtId="186" fontId="36" fillId="5" borderId="41" xfId="3" applyNumberFormat="1" applyFont="1" applyFill="1" applyBorder="1" applyAlignment="1">
      <alignment horizontal="center" vertical="center"/>
    </xf>
    <xf numFmtId="186" fontId="36" fillId="5" borderId="6" xfId="3" applyNumberFormat="1" applyFont="1" applyFill="1" applyBorder="1" applyAlignment="1">
      <alignment horizontal="center" vertical="center"/>
    </xf>
    <xf numFmtId="192" fontId="36" fillId="5" borderId="3" xfId="0" applyNumberFormat="1" applyFont="1" applyFill="1" applyBorder="1" applyAlignment="1">
      <alignment horizontal="center" vertical="center"/>
    </xf>
    <xf numFmtId="192" fontId="36" fillId="5" borderId="41" xfId="0" applyNumberFormat="1" applyFont="1" applyFill="1" applyBorder="1" applyAlignment="1">
      <alignment horizontal="center" vertical="center"/>
    </xf>
    <xf numFmtId="186" fontId="36" fillId="5" borderId="215" xfId="0" applyNumberFormat="1" applyFont="1" applyFill="1" applyBorder="1" applyAlignment="1">
      <alignment horizontal="center" vertical="center"/>
    </xf>
    <xf numFmtId="192" fontId="36" fillId="5" borderId="0" xfId="0" applyNumberFormat="1" applyFont="1" applyFill="1" applyAlignment="1">
      <alignment horizontal="center" vertical="center"/>
    </xf>
    <xf numFmtId="203" fontId="36" fillId="5" borderId="0" xfId="2" applyNumberFormat="1" applyFont="1" applyFill="1" applyBorder="1" applyAlignment="1">
      <alignment horizontal="center" vertical="center"/>
    </xf>
    <xf numFmtId="202" fontId="36" fillId="5" borderId="0" xfId="2" applyNumberFormat="1" applyFont="1" applyFill="1" applyBorder="1" applyAlignment="1">
      <alignment horizontal="center" vertical="center"/>
    </xf>
    <xf numFmtId="0" fontId="37" fillId="4" borderId="1075" xfId="0" quotePrefix="1" applyFont="1" applyFill="1" applyBorder="1" applyAlignment="1">
      <alignment horizontal="center" vertical="center"/>
    </xf>
    <xf numFmtId="203" fontId="37" fillId="4" borderId="573" xfId="2" quotePrefix="1" applyNumberFormat="1" applyFont="1" applyFill="1" applyBorder="1" applyAlignment="1">
      <alignment horizontal="center" vertical="center"/>
    </xf>
    <xf numFmtId="202" fontId="37" fillId="4" borderId="573" xfId="2" quotePrefix="1" applyNumberFormat="1" applyFont="1" applyFill="1" applyBorder="1" applyAlignment="1">
      <alignment horizontal="center" vertical="center"/>
    </xf>
    <xf numFmtId="0" fontId="37" fillId="14" borderId="588" xfId="0" quotePrefix="1" applyFont="1" applyFill="1" applyBorder="1" applyAlignment="1">
      <alignment horizontal="center" vertical="center"/>
    </xf>
    <xf numFmtId="0" fontId="37" fillId="14" borderId="1077" xfId="0" quotePrefix="1" applyFont="1" applyFill="1" applyBorder="1" applyAlignment="1">
      <alignment horizontal="center" vertical="center"/>
    </xf>
    <xf numFmtId="41" fontId="36" fillId="8" borderId="574" xfId="2" applyFont="1" applyFill="1" applyBorder="1" applyAlignment="1">
      <alignment horizontal="center" vertical="center"/>
    </xf>
    <xf numFmtId="192" fontId="36" fillId="8" borderId="594" xfId="0" applyNumberFormat="1" applyFont="1" applyFill="1" applyBorder="1" applyAlignment="1">
      <alignment horizontal="center" vertical="center"/>
    </xf>
    <xf numFmtId="192" fontId="36" fillId="8" borderId="574" xfId="0" applyNumberFormat="1" applyFont="1" applyFill="1" applyBorder="1" applyAlignment="1">
      <alignment horizontal="center" vertical="center"/>
    </xf>
    <xf numFmtId="192" fontId="36" fillId="8" borderId="1065" xfId="0" applyNumberFormat="1" applyFont="1" applyFill="1" applyBorder="1" applyAlignment="1">
      <alignment horizontal="center" vertical="center"/>
    </xf>
    <xf numFmtId="203" fontId="36" fillId="8" borderId="574" xfId="2" applyNumberFormat="1" applyFont="1" applyFill="1" applyBorder="1" applyAlignment="1">
      <alignment horizontal="center" vertical="center"/>
    </xf>
    <xf numFmtId="202" fontId="36" fillId="8" borderId="574" xfId="2" applyNumberFormat="1" applyFont="1" applyFill="1" applyBorder="1" applyAlignment="1">
      <alignment horizontal="center" vertical="center"/>
    </xf>
    <xf numFmtId="186" fontId="36" fillId="8" borderId="767" xfId="3" applyNumberFormat="1" applyFont="1" applyFill="1" applyBorder="1" applyAlignment="1">
      <alignment horizontal="center" vertical="center"/>
    </xf>
    <xf numFmtId="186" fontId="36" fillId="8" borderId="575" xfId="3" applyNumberFormat="1" applyFont="1" applyFill="1" applyBorder="1" applyAlignment="1">
      <alignment horizontal="center" vertical="center"/>
    </xf>
    <xf numFmtId="41" fontId="36" fillId="8" borderId="470" xfId="2" applyFont="1" applyFill="1" applyBorder="1" applyAlignment="1">
      <alignment horizontal="center" vertical="center"/>
    </xf>
    <xf numFmtId="192" fontId="36" fillId="8" borderId="437" xfId="0" applyNumberFormat="1" applyFont="1" applyFill="1" applyBorder="1" applyAlignment="1">
      <alignment horizontal="center" vertical="center"/>
    </xf>
    <xf numFmtId="192" fontId="36" fillId="8" borderId="0" xfId="0" applyNumberFormat="1" applyFont="1" applyFill="1" applyBorder="1" applyAlignment="1">
      <alignment horizontal="center" vertical="center"/>
    </xf>
    <xf numFmtId="192" fontId="36" fillId="8" borderId="410" xfId="0" applyNumberFormat="1" applyFont="1" applyFill="1" applyBorder="1" applyAlignment="1">
      <alignment horizontal="center" vertical="center"/>
    </xf>
    <xf numFmtId="203" fontId="36" fillId="8" borderId="0" xfId="2" applyNumberFormat="1" applyFont="1" applyFill="1" applyBorder="1" applyAlignment="1">
      <alignment horizontal="center" vertical="center"/>
    </xf>
    <xf numFmtId="202" fontId="36" fillId="8" borderId="0" xfId="2" applyNumberFormat="1" applyFont="1" applyFill="1" applyBorder="1" applyAlignment="1">
      <alignment horizontal="center" vertical="center"/>
    </xf>
    <xf numFmtId="186" fontId="36" fillId="8" borderId="44" xfId="3" applyNumberFormat="1" applyFont="1" applyFill="1" applyBorder="1" applyAlignment="1">
      <alignment horizontal="center" vertical="center"/>
    </xf>
    <xf numFmtId="186" fontId="36" fillId="8" borderId="576" xfId="3" applyNumberFormat="1" applyFont="1" applyFill="1" applyBorder="1" applyAlignment="1">
      <alignment horizontal="center" vertical="center"/>
    </xf>
    <xf numFmtId="41" fontId="36" fillId="8" borderId="0" xfId="2" applyFont="1" applyFill="1" applyBorder="1" applyAlignment="1">
      <alignment horizontal="center" vertical="center"/>
    </xf>
    <xf numFmtId="192" fontId="36" fillId="8" borderId="577" xfId="0" applyNumberFormat="1" applyFont="1" applyFill="1" applyBorder="1" applyAlignment="1">
      <alignment horizontal="center" vertical="center"/>
    </xf>
    <xf numFmtId="192" fontId="36" fillId="8" borderId="470" xfId="0" applyNumberFormat="1" applyFont="1" applyFill="1" applyBorder="1" applyAlignment="1">
      <alignment horizontal="center" vertical="center"/>
    </xf>
    <xf numFmtId="192" fontId="36" fillId="8" borderId="1076" xfId="0" applyNumberFormat="1" applyFont="1" applyFill="1" applyBorder="1" applyAlignment="1">
      <alignment horizontal="center" vertical="center"/>
    </xf>
    <xf numFmtId="203" fontId="36" fillId="8" borderId="470" xfId="2" applyNumberFormat="1" applyFont="1" applyFill="1" applyBorder="1" applyAlignment="1">
      <alignment horizontal="center" vertical="center"/>
    </xf>
    <xf numFmtId="202" fontId="36" fillId="8" borderId="470" xfId="2" applyNumberFormat="1" applyFont="1" applyFill="1" applyBorder="1" applyAlignment="1">
      <alignment horizontal="center" vertical="center"/>
    </xf>
    <xf numFmtId="186" fontId="36" fillId="8" borderId="542" xfId="3" applyNumberFormat="1" applyFont="1" applyFill="1" applyBorder="1" applyAlignment="1">
      <alignment horizontal="center" vertical="center"/>
    </xf>
    <xf numFmtId="186" fontId="36" fillId="8" borderId="768" xfId="3" applyNumberFormat="1" applyFont="1" applyFill="1" applyBorder="1" applyAlignment="1">
      <alignment horizontal="center" vertical="center"/>
    </xf>
    <xf numFmtId="41" fontId="36" fillId="5" borderId="0" xfId="2" applyFont="1" applyFill="1" applyBorder="1" applyAlignment="1">
      <alignment horizontal="center" vertical="center"/>
    </xf>
    <xf numFmtId="192" fontId="36" fillId="5" borderId="437" xfId="0" applyNumberFormat="1" applyFont="1" applyFill="1" applyBorder="1" applyAlignment="1">
      <alignment horizontal="center" vertical="center"/>
    </xf>
    <xf numFmtId="192" fontId="36" fillId="5" borderId="0" xfId="0" applyNumberFormat="1" applyFont="1" applyFill="1" applyBorder="1" applyAlignment="1">
      <alignment horizontal="center" vertical="center"/>
    </xf>
    <xf numFmtId="192" fontId="36" fillId="5" borderId="410" xfId="0" applyNumberFormat="1" applyFont="1" applyFill="1" applyBorder="1" applyAlignment="1">
      <alignment horizontal="center" vertical="center"/>
    </xf>
    <xf numFmtId="186" fontId="36" fillId="5" borderId="576" xfId="3" applyNumberFormat="1" applyFont="1" applyFill="1" applyBorder="1" applyAlignment="1">
      <alignment horizontal="center" vertical="center"/>
    </xf>
    <xf numFmtId="41" fontId="36" fillId="5" borderId="470" xfId="2" applyFont="1" applyFill="1" applyBorder="1" applyAlignment="1">
      <alignment horizontal="center" vertical="center"/>
    </xf>
    <xf numFmtId="192" fontId="36" fillId="5" borderId="577" xfId="0" applyNumberFormat="1" applyFont="1" applyFill="1" applyBorder="1" applyAlignment="1">
      <alignment horizontal="center" vertical="center"/>
    </xf>
    <xf numFmtId="192" fontId="36" fillId="5" borderId="470" xfId="0" applyNumberFormat="1" applyFont="1" applyFill="1" applyBorder="1" applyAlignment="1">
      <alignment horizontal="center" vertical="center"/>
    </xf>
    <xf numFmtId="192" fontId="36" fillId="5" borderId="1076" xfId="0" applyNumberFormat="1" applyFont="1" applyFill="1" applyBorder="1" applyAlignment="1">
      <alignment horizontal="center" vertical="center"/>
    </xf>
    <xf numFmtId="203" fontId="36" fillId="5" borderId="470" xfId="2" applyNumberFormat="1" applyFont="1" applyFill="1" applyBorder="1" applyAlignment="1">
      <alignment horizontal="center" vertical="center"/>
    </xf>
    <xf numFmtId="202" fontId="36" fillId="5" borderId="470" xfId="2" applyNumberFormat="1" applyFont="1" applyFill="1" applyBorder="1" applyAlignment="1">
      <alignment horizontal="center" vertical="center"/>
    </xf>
    <xf numFmtId="186" fontId="36" fillId="5" borderId="542" xfId="3" applyNumberFormat="1" applyFont="1" applyFill="1" applyBorder="1" applyAlignment="1">
      <alignment horizontal="center" vertical="center"/>
    </xf>
    <xf numFmtId="186" fontId="36" fillId="5" borderId="768" xfId="3" applyNumberFormat="1" applyFont="1" applyFill="1" applyBorder="1" applyAlignment="1">
      <alignment horizontal="center" vertical="center"/>
    </xf>
    <xf numFmtId="41" fontId="55" fillId="5" borderId="0" xfId="2" applyFont="1" applyFill="1" applyBorder="1" applyAlignment="1">
      <alignment horizontal="center" vertical="center"/>
    </xf>
    <xf numFmtId="192" fontId="55" fillId="5" borderId="437" xfId="0" applyNumberFormat="1" applyFont="1" applyFill="1" applyBorder="1" applyAlignment="1">
      <alignment horizontal="center" vertical="center"/>
    </xf>
    <xf numFmtId="192" fontId="55" fillId="5" borderId="0" xfId="0" applyNumberFormat="1" applyFont="1" applyFill="1" applyBorder="1" applyAlignment="1">
      <alignment horizontal="center" vertical="center"/>
    </xf>
    <xf numFmtId="192" fontId="55" fillId="5" borderId="410" xfId="0" applyNumberFormat="1" applyFont="1" applyFill="1" applyBorder="1" applyAlignment="1">
      <alignment horizontal="center" vertical="center"/>
    </xf>
    <xf numFmtId="203" fontId="55" fillId="5" borderId="0" xfId="2" applyNumberFormat="1" applyFont="1" applyFill="1" applyBorder="1" applyAlignment="1">
      <alignment horizontal="center" vertical="center"/>
    </xf>
    <xf numFmtId="202" fontId="55" fillId="5" borderId="0" xfId="2" applyNumberFormat="1" applyFont="1" applyFill="1" applyBorder="1" applyAlignment="1">
      <alignment horizontal="center" vertical="center"/>
    </xf>
    <xf numFmtId="186" fontId="55" fillId="5" borderId="44" xfId="3" applyNumberFormat="1" applyFont="1" applyFill="1" applyBorder="1" applyAlignment="1">
      <alignment horizontal="center" vertical="center"/>
    </xf>
    <xf numFmtId="186" fontId="55" fillId="5" borderId="576" xfId="3" applyNumberFormat="1" applyFont="1" applyFill="1" applyBorder="1" applyAlignment="1">
      <alignment horizontal="center" vertical="center"/>
    </xf>
    <xf numFmtId="41" fontId="55" fillId="5" borderId="470" xfId="2" applyFont="1" applyFill="1" applyBorder="1" applyAlignment="1">
      <alignment horizontal="center" vertical="center"/>
    </xf>
    <xf numFmtId="192" fontId="55" fillId="5" borderId="577" xfId="0" applyNumberFormat="1" applyFont="1" applyFill="1" applyBorder="1" applyAlignment="1">
      <alignment horizontal="center" vertical="center"/>
    </xf>
    <xf numFmtId="192" fontId="55" fillId="5" borderId="470" xfId="0" applyNumberFormat="1" applyFont="1" applyFill="1" applyBorder="1" applyAlignment="1">
      <alignment horizontal="center" vertical="center"/>
    </xf>
    <xf numFmtId="192" fontId="55" fillId="5" borderId="1076" xfId="0" applyNumberFormat="1" applyFont="1" applyFill="1" applyBorder="1" applyAlignment="1">
      <alignment horizontal="center" vertical="center"/>
    </xf>
    <xf numFmtId="202" fontId="55" fillId="5" borderId="470" xfId="2" applyNumberFormat="1" applyFont="1" applyFill="1" applyBorder="1" applyAlignment="1">
      <alignment horizontal="center" vertical="center"/>
    </xf>
    <xf numFmtId="203" fontId="55" fillId="5" borderId="470" xfId="2" applyNumberFormat="1" applyFont="1" applyFill="1" applyBorder="1" applyAlignment="1">
      <alignment horizontal="center" vertical="center"/>
    </xf>
    <xf numFmtId="186" fontId="55" fillId="5" borderId="542" xfId="3" applyNumberFormat="1" applyFont="1" applyFill="1" applyBorder="1" applyAlignment="1">
      <alignment horizontal="center" vertical="center"/>
    </xf>
    <xf numFmtId="186" fontId="55" fillId="5" borderId="768" xfId="3" applyNumberFormat="1" applyFont="1" applyFill="1" applyBorder="1" applyAlignment="1">
      <alignment horizontal="center" vertical="center"/>
    </xf>
    <xf numFmtId="0" fontId="55" fillId="5" borderId="0" xfId="0" applyFont="1" applyFill="1" applyAlignment="1">
      <alignment horizontal="left" vertical="center"/>
    </xf>
    <xf numFmtId="203" fontId="55" fillId="5" borderId="0" xfId="0" applyNumberFormat="1" applyFont="1" applyFill="1" applyAlignment="1">
      <alignment horizontal="center" vertical="center"/>
    </xf>
    <xf numFmtId="202" fontId="55" fillId="5" borderId="0" xfId="0" applyNumberFormat="1" applyFont="1" applyFill="1" applyAlignment="1">
      <alignment horizontal="center" vertical="center"/>
    </xf>
    <xf numFmtId="0" fontId="55" fillId="5" borderId="0" xfId="0" applyFont="1" applyFill="1" applyAlignment="1">
      <alignment horizontal="center" vertical="center"/>
    </xf>
    <xf numFmtId="0" fontId="63" fillId="23" borderId="0" xfId="0" applyFont="1" applyFill="1" applyAlignment="1">
      <alignment horizontal="center" vertical="center"/>
    </xf>
    <xf numFmtId="0" fontId="64" fillId="5" borderId="0" xfId="0" applyFont="1" applyFill="1" applyAlignment="1">
      <alignment horizontal="left" vertical="center"/>
    </xf>
    <xf numFmtId="0" fontId="37" fillId="4" borderId="645" xfId="0" quotePrefix="1" applyFont="1" applyFill="1" applyBorder="1" applyAlignment="1">
      <alignment horizontal="center" vertical="center"/>
    </xf>
    <xf numFmtId="0" fontId="37" fillId="10" borderId="376" xfId="0" applyFont="1" applyFill="1" applyBorder="1" applyAlignment="1">
      <alignment horizontal="center" vertical="center"/>
    </xf>
    <xf numFmtId="0" fontId="36" fillId="0" borderId="629" xfId="0" applyFont="1" applyFill="1" applyBorder="1">
      <alignment vertical="center"/>
    </xf>
    <xf numFmtId="0" fontId="36" fillId="0" borderId="784" xfId="0" applyFont="1" applyFill="1" applyBorder="1">
      <alignment vertical="center"/>
    </xf>
    <xf numFmtId="202" fontId="36" fillId="0" borderId="629" xfId="2" applyNumberFormat="1" applyFont="1" applyFill="1" applyBorder="1" applyAlignment="1">
      <alignment horizontal="center" vertical="center"/>
    </xf>
    <xf numFmtId="186" fontId="36" fillId="0" borderId="635" xfId="0" applyNumberFormat="1" applyFont="1" applyBorder="1" applyAlignment="1">
      <alignment horizontal="center" vertical="center"/>
    </xf>
    <xf numFmtId="186" fontId="36" fillId="0" borderId="632" xfId="0" applyNumberFormat="1" applyFont="1" applyBorder="1" applyAlignment="1">
      <alignment horizontal="center" vertical="center"/>
    </xf>
    <xf numFmtId="186" fontId="36" fillId="0" borderId="685" xfId="2" applyNumberFormat="1" applyFont="1" applyFill="1" applyBorder="1" applyAlignment="1">
      <alignment horizontal="center" vertical="center"/>
    </xf>
    <xf numFmtId="186" fontId="36" fillId="0" borderId="629" xfId="0" applyNumberFormat="1" applyFont="1" applyBorder="1" applyAlignment="1">
      <alignment horizontal="center" vertical="center"/>
    </xf>
    <xf numFmtId="186" fontId="36" fillId="0" borderId="635" xfId="2" applyNumberFormat="1" applyFont="1" applyFill="1" applyBorder="1" applyAlignment="1">
      <alignment horizontal="center" vertical="center"/>
    </xf>
    <xf numFmtId="186" fontId="36" fillId="0" borderId="785" xfId="0" applyNumberFormat="1" applyFont="1" applyBorder="1" applyAlignment="1">
      <alignment horizontal="center" vertical="center"/>
    </xf>
    <xf numFmtId="0" fontId="36" fillId="0" borderId="12" xfId="0" applyFont="1" applyFill="1" applyBorder="1">
      <alignment vertical="center"/>
    </xf>
    <xf numFmtId="202" fontId="36" fillId="0" borderId="0" xfId="2" applyNumberFormat="1" applyFont="1" applyFill="1" applyBorder="1" applyAlignment="1">
      <alignment horizontal="center" vertical="center"/>
    </xf>
    <xf numFmtId="186" fontId="36" fillId="0" borderId="2" xfId="2" applyNumberFormat="1" applyFont="1" applyFill="1" applyBorder="1" applyAlignment="1">
      <alignment horizontal="center" vertical="center"/>
    </xf>
    <xf numFmtId="186" fontId="36" fillId="0" borderId="44" xfId="2" applyNumberFormat="1" applyFont="1" applyFill="1" applyBorder="1" applyAlignment="1">
      <alignment horizontal="center" vertical="center"/>
    </xf>
    <xf numFmtId="186" fontId="36" fillId="0" borderId="224" xfId="0" applyNumberFormat="1" applyFont="1" applyBorder="1" applyAlignment="1">
      <alignment horizontal="center" vertical="center"/>
    </xf>
    <xf numFmtId="0" fontId="36" fillId="0" borderId="12" xfId="0" quotePrefix="1" applyFont="1" applyFill="1" applyBorder="1">
      <alignment vertical="center"/>
    </xf>
    <xf numFmtId="0" fontId="36" fillId="0" borderId="121" xfId="0" applyFont="1" applyFill="1" applyBorder="1">
      <alignment vertical="center"/>
    </xf>
    <xf numFmtId="0" fontId="36" fillId="0" borderId="122" xfId="0" applyFont="1" applyFill="1" applyBorder="1">
      <alignment vertical="center"/>
    </xf>
    <xf numFmtId="202" fontId="36" fillId="0" borderId="121" xfId="2" applyNumberFormat="1" applyFont="1" applyFill="1" applyBorder="1" applyAlignment="1">
      <alignment horizontal="center" vertical="center"/>
    </xf>
    <xf numFmtId="186" fontId="36" fillId="0" borderId="125" xfId="0" applyNumberFormat="1" applyFont="1" applyBorder="1" applyAlignment="1">
      <alignment horizontal="center" vertical="center"/>
    </xf>
    <xf numFmtId="186" fontId="36" fillId="0" borderId="126" xfId="0" applyNumberFormat="1" applyFont="1" applyBorder="1" applyAlignment="1">
      <alignment horizontal="center" vertical="center"/>
    </xf>
    <xf numFmtId="186" fontId="36" fillId="0" borderId="124" xfId="2" applyNumberFormat="1" applyFont="1" applyFill="1" applyBorder="1" applyAlignment="1">
      <alignment horizontal="center" vertical="center"/>
    </xf>
    <xf numFmtId="186" fontId="36" fillId="0" borderId="121" xfId="0" applyNumberFormat="1" applyFont="1" applyBorder="1" applyAlignment="1">
      <alignment horizontal="center" vertical="center"/>
    </xf>
    <xf numFmtId="186" fontId="36" fillId="0" borderId="125" xfId="2" applyNumberFormat="1" applyFont="1" applyFill="1" applyBorder="1" applyAlignment="1">
      <alignment horizontal="center" vertical="center"/>
    </xf>
    <xf numFmtId="186" fontId="36" fillId="0" borderId="225" xfId="0" applyNumberFormat="1" applyFont="1" applyBorder="1" applyAlignment="1">
      <alignment horizontal="center" vertical="center"/>
    </xf>
    <xf numFmtId="186" fontId="36" fillId="0" borderId="0" xfId="2" applyNumberFormat="1" applyFont="1" applyFill="1" applyBorder="1" applyAlignment="1">
      <alignment horizontal="center" vertical="center"/>
    </xf>
    <xf numFmtId="0" fontId="36" fillId="0" borderId="114" xfId="0" applyFont="1" applyFill="1" applyBorder="1">
      <alignment vertical="center"/>
    </xf>
    <xf numFmtId="0" fontId="36" fillId="0" borderId="115" xfId="0" applyFont="1" applyFill="1" applyBorder="1">
      <alignment vertical="center"/>
    </xf>
    <xf numFmtId="202" fontId="36" fillId="0" borderId="114" xfId="2" applyNumberFormat="1" applyFont="1" applyFill="1" applyBorder="1" applyAlignment="1">
      <alignment horizontal="center" vertical="center"/>
    </xf>
    <xf numFmtId="186" fontId="36" fillId="0" borderId="118" xfId="0" applyNumberFormat="1" applyFont="1" applyBorder="1" applyAlignment="1">
      <alignment horizontal="center" vertical="center"/>
    </xf>
    <xf numFmtId="186" fontId="36" fillId="0" borderId="119" xfId="0" applyNumberFormat="1" applyFont="1" applyBorder="1" applyAlignment="1">
      <alignment horizontal="center" vertical="center"/>
    </xf>
    <xf numFmtId="186" fontId="36" fillId="0" borderId="117" xfId="2" applyNumberFormat="1" applyFont="1" applyFill="1" applyBorder="1" applyAlignment="1">
      <alignment horizontal="center" vertical="center"/>
    </xf>
    <xf numFmtId="186" fontId="36" fillId="0" borderId="114" xfId="0" applyNumberFormat="1" applyFont="1" applyBorder="1" applyAlignment="1">
      <alignment horizontal="center" vertical="center"/>
    </xf>
    <xf numFmtId="186" fontId="36" fillId="0" borderId="118" xfId="2" applyNumberFormat="1" applyFont="1" applyFill="1" applyBorder="1" applyAlignment="1">
      <alignment horizontal="center" vertical="center"/>
    </xf>
    <xf numFmtId="186" fontId="36" fillId="0" borderId="227" xfId="0" applyNumberFormat="1" applyFont="1" applyBorder="1" applyAlignment="1">
      <alignment horizontal="center" vertical="center"/>
    </xf>
    <xf numFmtId="0" fontId="36" fillId="0" borderId="0" xfId="0" applyFont="1" applyFill="1" applyBorder="1" applyAlignment="1">
      <alignment vertical="center" wrapText="1"/>
    </xf>
    <xf numFmtId="186" fontId="36" fillId="0" borderId="45" xfId="0" applyNumberFormat="1" applyFont="1" applyBorder="1" applyAlignment="1">
      <alignment horizontal="center" vertical="center"/>
    </xf>
    <xf numFmtId="0" fontId="36" fillId="2" borderId="74" xfId="0" applyFont="1" applyFill="1" applyBorder="1">
      <alignment vertical="center"/>
    </xf>
    <xf numFmtId="0" fontId="36" fillId="2" borderId="78" xfId="0" applyFont="1" applyFill="1" applyBorder="1">
      <alignment vertical="center"/>
    </xf>
    <xf numFmtId="202" fontId="36" fillId="2" borderId="74" xfId="2" applyNumberFormat="1" applyFont="1" applyFill="1" applyBorder="1" applyAlignment="1">
      <alignment horizontal="center" vertical="center"/>
    </xf>
    <xf numFmtId="186" fontId="36" fillId="2" borderId="578" xfId="0" applyNumberFormat="1" applyFont="1" applyFill="1" applyBorder="1" applyAlignment="1">
      <alignment horizontal="center" vertical="center"/>
    </xf>
    <xf numFmtId="186" fontId="36" fillId="2" borderId="120" xfId="0" applyNumberFormat="1" applyFont="1" applyFill="1" applyBorder="1" applyAlignment="1">
      <alignment horizontal="center" vertical="center"/>
    </xf>
    <xf numFmtId="186" fontId="36" fillId="2" borderId="74" xfId="0" applyNumberFormat="1" applyFont="1" applyFill="1" applyBorder="1" applyAlignment="1">
      <alignment horizontal="center" vertical="center"/>
    </xf>
    <xf numFmtId="186" fontId="36" fillId="2" borderId="77" xfId="2" applyNumberFormat="1" applyFont="1" applyFill="1" applyBorder="1" applyAlignment="1">
      <alignment horizontal="center" vertical="center"/>
    </xf>
    <xf numFmtId="186" fontId="36" fillId="2" borderId="229" xfId="0" applyNumberFormat="1" applyFont="1" applyFill="1" applyBorder="1" applyAlignment="1">
      <alignment horizontal="center" vertical="center"/>
    </xf>
    <xf numFmtId="0" fontId="36" fillId="2" borderId="12" xfId="0" applyFont="1" applyFill="1" applyBorder="1">
      <alignment vertical="center"/>
    </xf>
    <xf numFmtId="202" fontId="36" fillId="2" borderId="0" xfId="2" applyNumberFormat="1" applyFont="1" applyFill="1" applyBorder="1" applyAlignment="1">
      <alignment horizontal="center" vertical="center"/>
    </xf>
    <xf numFmtId="186" fontId="36" fillId="2" borderId="44" xfId="0" applyNumberFormat="1" applyFont="1" applyFill="1" applyBorder="1" applyAlignment="1">
      <alignment horizontal="center" vertical="center"/>
    </xf>
    <xf numFmtId="186" fontId="36" fillId="2" borderId="84" xfId="0" applyNumberFormat="1" applyFont="1" applyFill="1" applyBorder="1" applyAlignment="1">
      <alignment horizontal="center" vertical="center"/>
    </xf>
    <xf numFmtId="186" fontId="36" fillId="2" borderId="2" xfId="2" applyNumberFormat="1" applyFont="1" applyFill="1" applyBorder="1" applyAlignment="1">
      <alignment horizontal="center" vertical="center"/>
    </xf>
    <xf numFmtId="186" fontId="36" fillId="2" borderId="0" xfId="0" applyNumberFormat="1" applyFont="1" applyFill="1" applyAlignment="1">
      <alignment horizontal="center" vertical="center"/>
    </xf>
    <xf numFmtId="186" fontId="36" fillId="2" borderId="44" xfId="2" applyNumberFormat="1" applyFont="1" applyFill="1" applyBorder="1" applyAlignment="1">
      <alignment horizontal="center" vertical="center"/>
    </xf>
    <xf numFmtId="186" fontId="36" fillId="2" borderId="224" xfId="0" applyNumberFormat="1" applyFont="1" applyFill="1" applyBorder="1" applyAlignment="1">
      <alignment horizontal="center" vertical="center"/>
    </xf>
    <xf numFmtId="0" fontId="36" fillId="0" borderId="74" xfId="0" applyFont="1" applyFill="1" applyBorder="1">
      <alignment vertical="center"/>
    </xf>
    <xf numFmtId="0" fontId="36" fillId="0" borderId="78" xfId="0" applyFont="1" applyFill="1" applyBorder="1">
      <alignment vertical="center"/>
    </xf>
    <xf numFmtId="202" fontId="36" fillId="0" borderId="74" xfId="2" applyNumberFormat="1" applyFont="1" applyFill="1" applyBorder="1" applyAlignment="1">
      <alignment horizontal="center" vertical="center"/>
    </xf>
    <xf numFmtId="186" fontId="36" fillId="0" borderId="578" xfId="0" applyNumberFormat="1" applyFont="1" applyBorder="1" applyAlignment="1">
      <alignment horizontal="center" vertical="center"/>
    </xf>
    <xf numFmtId="186" fontId="36" fillId="0" borderId="120" xfId="0" applyNumberFormat="1" applyFont="1" applyBorder="1" applyAlignment="1">
      <alignment horizontal="center" vertical="center"/>
    </xf>
    <xf numFmtId="186" fontId="36" fillId="0" borderId="74" xfId="0" applyNumberFormat="1" applyFont="1" applyBorder="1" applyAlignment="1">
      <alignment horizontal="center" vertical="center"/>
    </xf>
    <xf numFmtId="186" fontId="36" fillId="0" borderId="77" xfId="2" applyNumberFormat="1" applyFont="1" applyFill="1" applyBorder="1" applyAlignment="1">
      <alignment horizontal="center" vertical="center"/>
    </xf>
    <xf numFmtId="186" fontId="36" fillId="0" borderId="229" xfId="0" applyNumberFormat="1" applyFont="1" applyBorder="1" applyAlignment="1">
      <alignment horizontal="center" vertical="center"/>
    </xf>
    <xf numFmtId="0" fontId="36" fillId="2" borderId="121" xfId="0" applyFont="1" applyFill="1" applyBorder="1">
      <alignment vertical="center"/>
    </xf>
    <xf numFmtId="0" fontId="36" fillId="2" borderId="122" xfId="0" applyFont="1" applyFill="1" applyBorder="1">
      <alignment vertical="center"/>
    </xf>
    <xf numFmtId="202" fontId="36" fillId="2" borderId="121" xfId="2" applyNumberFormat="1" applyFont="1" applyFill="1" applyBorder="1" applyAlignment="1">
      <alignment horizontal="center" vertical="center"/>
    </xf>
    <xf numFmtId="186" fontId="36" fillId="2" borderId="125" xfId="0" applyNumberFormat="1" applyFont="1" applyFill="1" applyBorder="1" applyAlignment="1">
      <alignment horizontal="center" vertical="center"/>
    </xf>
    <xf numFmtId="186" fontId="36" fillId="2" borderId="126" xfId="0" applyNumberFormat="1" applyFont="1" applyFill="1" applyBorder="1" applyAlignment="1">
      <alignment horizontal="center" vertical="center"/>
    </xf>
    <xf numFmtId="186" fontId="36" fillId="2" borderId="124" xfId="2" applyNumberFormat="1" applyFont="1" applyFill="1" applyBorder="1" applyAlignment="1">
      <alignment horizontal="center" vertical="center"/>
    </xf>
    <xf numFmtId="186" fontId="36" fillId="2" borderId="121" xfId="0" applyNumberFormat="1" applyFont="1" applyFill="1" applyBorder="1" applyAlignment="1">
      <alignment horizontal="center" vertical="center"/>
    </xf>
    <xf numFmtId="186" fontId="36" fillId="2" borderId="125" xfId="2" applyNumberFormat="1" applyFont="1" applyFill="1" applyBorder="1" applyAlignment="1">
      <alignment horizontal="center" vertical="center"/>
    </xf>
    <xf numFmtId="186" fontId="36" fillId="2" borderId="225" xfId="0" applyNumberFormat="1" applyFont="1" applyFill="1" applyBorder="1" applyAlignment="1">
      <alignment horizontal="center" vertical="center"/>
    </xf>
    <xf numFmtId="0" fontId="36" fillId="2" borderId="127" xfId="0" applyFont="1" applyFill="1" applyBorder="1">
      <alignment vertical="center"/>
    </xf>
    <xf numFmtId="0" fontId="36" fillId="2" borderId="128" xfId="0" applyFont="1" applyFill="1" applyBorder="1">
      <alignment vertical="center"/>
    </xf>
    <xf numFmtId="202" fontId="36" fillId="2" borderId="127" xfId="2" applyNumberFormat="1" applyFont="1" applyFill="1" applyBorder="1" applyAlignment="1">
      <alignment horizontal="center" vertical="center"/>
    </xf>
    <xf numFmtId="186" fontId="36" fillId="2" borderId="131" xfId="0" applyNumberFormat="1" applyFont="1" applyFill="1" applyBorder="1" applyAlignment="1">
      <alignment horizontal="center" vertical="center"/>
    </xf>
    <xf numFmtId="186" fontId="36" fillId="2" borderId="132" xfId="0" applyNumberFormat="1" applyFont="1" applyFill="1" applyBorder="1" applyAlignment="1">
      <alignment horizontal="center" vertical="center"/>
    </xf>
    <xf numFmtId="186" fontId="36" fillId="2" borderId="130" xfId="2" applyNumberFormat="1" applyFont="1" applyFill="1" applyBorder="1" applyAlignment="1">
      <alignment horizontal="center" vertical="center"/>
    </xf>
    <xf numFmtId="186" fontId="36" fillId="2" borderId="127" xfId="0" applyNumberFormat="1" applyFont="1" applyFill="1" applyBorder="1" applyAlignment="1">
      <alignment horizontal="center" vertical="center"/>
    </xf>
    <xf numFmtId="186" fontId="36" fillId="2" borderId="131" xfId="2" applyNumberFormat="1" applyFont="1" applyFill="1" applyBorder="1" applyAlignment="1">
      <alignment horizontal="center" vertical="center"/>
    </xf>
    <xf numFmtId="186" fontId="36" fillId="2" borderId="232" xfId="0" applyNumberFormat="1" applyFont="1" applyFill="1" applyBorder="1" applyAlignment="1">
      <alignment horizontal="center" vertical="center"/>
    </xf>
    <xf numFmtId="0" fontId="36" fillId="2" borderId="61" xfId="0" applyFont="1" applyFill="1" applyBorder="1">
      <alignment vertical="center"/>
    </xf>
    <xf numFmtId="0" fontId="36" fillId="2" borderId="65" xfId="0" applyFont="1" applyFill="1" applyBorder="1">
      <alignment vertical="center"/>
    </xf>
    <xf numFmtId="202" fontId="36" fillId="2" borderId="61" xfId="2" applyNumberFormat="1" applyFont="1" applyFill="1" applyBorder="1" applyAlignment="1">
      <alignment horizontal="center" vertical="center"/>
    </xf>
    <xf numFmtId="186" fontId="36" fillId="2" borderId="64" xfId="0" applyNumberFormat="1" applyFont="1" applyFill="1" applyBorder="1" applyAlignment="1">
      <alignment horizontal="center" vertical="center"/>
    </xf>
    <xf numFmtId="186" fontId="36" fillId="2" borderId="94" xfId="0" applyNumberFormat="1" applyFont="1" applyFill="1" applyBorder="1" applyAlignment="1">
      <alignment horizontal="center" vertical="center"/>
    </xf>
    <xf numFmtId="186" fontId="36" fillId="2" borderId="63" xfId="2" applyNumberFormat="1" applyFont="1" applyFill="1" applyBorder="1" applyAlignment="1">
      <alignment horizontal="center" vertical="center"/>
    </xf>
    <xf numFmtId="186" fontId="36" fillId="2" borderId="61" xfId="0" applyNumberFormat="1" applyFont="1" applyFill="1" applyBorder="1" applyAlignment="1">
      <alignment horizontal="center" vertical="center"/>
    </xf>
    <xf numFmtId="186" fontId="36" fillId="2" borderId="64" xfId="2" applyNumberFormat="1" applyFont="1" applyFill="1" applyBorder="1" applyAlignment="1">
      <alignment horizontal="center" vertical="center"/>
    </xf>
    <xf numFmtId="186" fontId="36" fillId="2" borderId="233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186" fontId="36" fillId="2" borderId="0" xfId="0" applyNumberFormat="1" applyFont="1" applyFill="1" applyBorder="1" applyAlignment="1">
      <alignment horizontal="center" vertical="center"/>
    </xf>
    <xf numFmtId="0" fontId="36" fillId="0" borderId="376" xfId="0" applyFont="1" applyBorder="1" applyAlignment="1">
      <alignment horizontal="center" vertical="center"/>
    </xf>
    <xf numFmtId="0" fontId="43" fillId="0" borderId="0" xfId="0" applyFont="1">
      <alignment vertical="center"/>
    </xf>
    <xf numFmtId="186" fontId="55" fillId="0" borderId="44" xfId="2" applyNumberFormat="1" applyFont="1" applyFill="1" applyBorder="1" applyAlignment="1">
      <alignment horizontal="center" vertical="center"/>
    </xf>
    <xf numFmtId="186" fontId="55" fillId="0" borderId="84" xfId="2" applyNumberFormat="1" applyFont="1" applyFill="1" applyBorder="1" applyAlignment="1">
      <alignment horizontal="center" vertical="center"/>
    </xf>
    <xf numFmtId="41" fontId="36" fillId="0" borderId="0" xfId="2" applyFont="1" applyBorder="1">
      <alignment vertical="center"/>
    </xf>
    <xf numFmtId="209" fontId="36" fillId="0" borderId="0" xfId="0" applyNumberFormat="1" applyFont="1">
      <alignment vertical="center"/>
    </xf>
    <xf numFmtId="41" fontId="36" fillId="5" borderId="0" xfId="2" applyFont="1" applyFill="1" applyAlignment="1">
      <alignment horizontal="center" vertical="center"/>
    </xf>
    <xf numFmtId="0" fontId="36" fillId="5" borderId="0" xfId="0" quotePrefix="1" applyFont="1" applyFill="1" applyAlignment="1">
      <alignment horizontal="left" vertical="center"/>
    </xf>
    <xf numFmtId="0" fontId="36" fillId="5" borderId="0" xfId="0" quotePrefix="1" applyFont="1" applyFill="1" applyAlignment="1">
      <alignment horizontal="center" vertical="center"/>
    </xf>
    <xf numFmtId="0" fontId="43" fillId="4" borderId="1066" xfId="0" quotePrefix="1" applyFont="1" applyFill="1" applyBorder="1" applyAlignment="1">
      <alignment horizontal="center" vertical="center"/>
    </xf>
    <xf numFmtId="192" fontId="37" fillId="4" borderId="410" xfId="0" quotePrefix="1" applyNumberFormat="1" applyFont="1" applyFill="1" applyBorder="1" applyAlignment="1">
      <alignment horizontal="center" vertical="center"/>
    </xf>
    <xf numFmtId="0" fontId="37" fillId="14" borderId="376" xfId="0" quotePrefix="1" applyFont="1" applyFill="1" applyBorder="1" applyAlignment="1">
      <alignment horizontal="center" vertical="center"/>
    </xf>
    <xf numFmtId="0" fontId="44" fillId="6" borderId="470" xfId="0" quotePrefix="1" applyFont="1" applyFill="1" applyBorder="1" applyAlignment="1">
      <alignment horizontal="center" vertical="center"/>
    </xf>
    <xf numFmtId="0" fontId="37" fillId="6" borderId="470" xfId="0" applyFont="1" applyFill="1" applyBorder="1" applyAlignment="1">
      <alignment horizontal="center" vertical="center"/>
    </xf>
    <xf numFmtId="41" fontId="37" fillId="10" borderId="542" xfId="2" applyFont="1" applyFill="1" applyBorder="1" applyAlignment="1">
      <alignment horizontal="center" vertical="center"/>
    </xf>
    <xf numFmtId="0" fontId="37" fillId="10" borderId="770" xfId="0" applyFont="1" applyFill="1" applyBorder="1" applyAlignment="1">
      <alignment horizontal="center" vertical="center"/>
    </xf>
    <xf numFmtId="223" fontId="36" fillId="8" borderId="0" xfId="2" applyNumberFormat="1" applyFont="1" applyFill="1" applyBorder="1" applyAlignment="1">
      <alignment horizontal="center" vertical="center"/>
    </xf>
    <xf numFmtId="223" fontId="36" fillId="8" borderId="1067" xfId="2" applyNumberFormat="1" applyFont="1" applyFill="1" applyBorder="1" applyAlignment="1">
      <alignment horizontal="center" vertical="center"/>
    </xf>
    <xf numFmtId="223" fontId="36" fillId="8" borderId="1065" xfId="2" applyNumberFormat="1" applyFont="1" applyFill="1" applyBorder="1" applyAlignment="1">
      <alignment horizontal="center" vertical="center"/>
    </xf>
    <xf numFmtId="192" fontId="36" fillId="8" borderId="574" xfId="2" applyNumberFormat="1" applyFont="1" applyFill="1" applyBorder="1" applyAlignment="1">
      <alignment horizontal="center" vertical="center"/>
    </xf>
    <xf numFmtId="192" fontId="36" fillId="8" borderId="0" xfId="2" applyNumberFormat="1" applyFont="1" applyFill="1" applyBorder="1" applyAlignment="1">
      <alignment horizontal="center" vertical="center"/>
    </xf>
    <xf numFmtId="192" fontId="36" fillId="8" borderId="574" xfId="3" applyNumberFormat="1" applyFont="1" applyFill="1" applyBorder="1" applyAlignment="1">
      <alignment horizontal="center" vertical="center"/>
    </xf>
    <xf numFmtId="192" fontId="36" fillId="8" borderId="575" xfId="2" applyNumberFormat="1" applyFont="1" applyFill="1" applyBorder="1" applyAlignment="1">
      <alignment horizontal="center" vertical="center"/>
    </xf>
    <xf numFmtId="223" fontId="36" fillId="0" borderId="0" xfId="2" applyNumberFormat="1" applyFont="1" applyBorder="1" applyAlignment="1">
      <alignment horizontal="center" vertical="center"/>
    </xf>
    <xf numFmtId="223" fontId="36" fillId="5" borderId="890" xfId="2" applyNumberFormat="1" applyFont="1" applyFill="1" applyBorder="1" applyAlignment="1">
      <alignment horizontal="center" vertical="center"/>
    </xf>
    <xf numFmtId="223" fontId="36" fillId="5" borderId="410" xfId="2" applyNumberFormat="1" applyFont="1" applyFill="1" applyBorder="1" applyAlignment="1">
      <alignment horizontal="center" vertical="center"/>
    </xf>
    <xf numFmtId="192" fontId="36" fillId="5" borderId="0" xfId="2" applyNumberFormat="1" applyFont="1" applyFill="1" applyBorder="1" applyAlignment="1">
      <alignment horizontal="center" vertical="center"/>
    </xf>
    <xf numFmtId="192" fontId="36" fillId="5" borderId="376" xfId="2" applyNumberFormat="1" applyFont="1" applyFill="1" applyBorder="1" applyAlignment="1">
      <alignment horizontal="center" vertical="center"/>
    </xf>
    <xf numFmtId="192" fontId="36" fillId="5" borderId="0" xfId="3" applyNumberFormat="1" applyFont="1" applyFill="1" applyBorder="1" applyAlignment="1">
      <alignment horizontal="center" vertical="center"/>
    </xf>
    <xf numFmtId="192" fontId="36" fillId="5" borderId="576" xfId="2" applyNumberFormat="1" applyFont="1" applyFill="1" applyBorder="1" applyAlignment="1">
      <alignment horizontal="center" vertical="center"/>
    </xf>
    <xf numFmtId="223" fontId="36" fillId="8" borderId="890" xfId="2" applyNumberFormat="1" applyFont="1" applyFill="1" applyBorder="1" applyAlignment="1">
      <alignment horizontal="center" vertical="center"/>
    </xf>
    <xf numFmtId="223" fontId="36" fillId="8" borderId="410" xfId="2" applyNumberFormat="1" applyFont="1" applyFill="1" applyBorder="1" applyAlignment="1">
      <alignment horizontal="center" vertical="center"/>
    </xf>
    <xf numFmtId="192" fontId="36" fillId="8" borderId="376" xfId="2" applyNumberFormat="1" applyFont="1" applyFill="1" applyBorder="1" applyAlignment="1">
      <alignment horizontal="center" vertical="center"/>
    </xf>
    <xf numFmtId="192" fontId="36" fillId="8" borderId="0" xfId="3" applyNumberFormat="1" applyFont="1" applyFill="1" applyBorder="1" applyAlignment="1">
      <alignment horizontal="center" vertical="center"/>
    </xf>
    <xf numFmtId="192" fontId="36" fillId="8" borderId="576" xfId="2" applyNumberFormat="1" applyFont="1" applyFill="1" applyBorder="1" applyAlignment="1">
      <alignment horizontal="center" vertical="center"/>
    </xf>
    <xf numFmtId="223" fontId="36" fillId="0" borderId="890" xfId="2" applyNumberFormat="1" applyFont="1" applyBorder="1" applyAlignment="1">
      <alignment horizontal="center" vertical="center"/>
    </xf>
    <xf numFmtId="223" fontId="36" fillId="0" borderId="410" xfId="2" applyNumberFormat="1" applyFont="1" applyBorder="1" applyAlignment="1">
      <alignment horizontal="center" vertical="center"/>
    </xf>
    <xf numFmtId="192" fontId="36" fillId="0" borderId="0" xfId="2" applyNumberFormat="1" applyFont="1" applyBorder="1" applyAlignment="1">
      <alignment horizontal="center" vertical="center"/>
    </xf>
    <xf numFmtId="192" fontId="36" fillId="0" borderId="376" xfId="2" applyNumberFormat="1" applyFont="1" applyBorder="1" applyAlignment="1">
      <alignment horizontal="center" vertical="center"/>
    </xf>
    <xf numFmtId="192" fontId="36" fillId="0" borderId="0" xfId="3" applyNumberFormat="1" applyFont="1" applyBorder="1" applyAlignment="1">
      <alignment horizontal="center" vertical="center"/>
    </xf>
    <xf numFmtId="192" fontId="36" fillId="0" borderId="576" xfId="2" applyNumberFormat="1" applyFont="1" applyBorder="1" applyAlignment="1">
      <alignment horizontal="center" vertical="center"/>
    </xf>
    <xf numFmtId="192" fontId="36" fillId="29" borderId="0" xfId="0" applyNumberFormat="1" applyFont="1" applyFill="1" applyBorder="1" applyAlignment="1">
      <alignment horizontal="center" vertical="center"/>
    </xf>
    <xf numFmtId="223" fontId="36" fillId="29" borderId="0" xfId="2" applyNumberFormat="1" applyFont="1" applyFill="1" applyBorder="1" applyAlignment="1">
      <alignment vertical="center"/>
    </xf>
    <xf numFmtId="192" fontId="36" fillId="0" borderId="0" xfId="0" applyNumberFormat="1" applyFont="1" applyBorder="1" applyAlignment="1">
      <alignment horizontal="center" vertical="center"/>
    </xf>
    <xf numFmtId="192" fontId="43" fillId="11" borderId="593" xfId="0" applyNumberFormat="1" applyFont="1" applyFill="1" applyBorder="1" applyAlignment="1">
      <alignment horizontal="center" vertical="center"/>
    </xf>
    <xf numFmtId="192" fontId="43" fillId="11" borderId="892" xfId="0" applyNumberFormat="1" applyFont="1" applyFill="1" applyBorder="1" applyAlignment="1">
      <alignment horizontal="center" vertical="center"/>
    </xf>
    <xf numFmtId="0" fontId="43" fillId="11" borderId="1074" xfId="0" applyFont="1" applyFill="1" applyBorder="1" applyAlignment="1">
      <alignment horizontal="center" vertical="center"/>
    </xf>
    <xf numFmtId="0" fontId="43" fillId="11" borderId="547" xfId="0" applyFont="1" applyFill="1" applyBorder="1" applyAlignment="1">
      <alignment horizontal="center" vertical="center"/>
    </xf>
    <xf numFmtId="192" fontId="36" fillId="29" borderId="547" xfId="0" applyNumberFormat="1" applyFont="1" applyFill="1" applyBorder="1" applyAlignment="1">
      <alignment horizontal="center" vertical="center"/>
    </xf>
    <xf numFmtId="192" fontId="36" fillId="29" borderId="547" xfId="0" applyNumberFormat="1" applyFont="1" applyFill="1" applyBorder="1">
      <alignment vertical="center"/>
    </xf>
    <xf numFmtId="1" fontId="43" fillId="11" borderId="1119" xfId="0" applyNumberFormat="1" applyFont="1" applyFill="1" applyBorder="1" applyAlignment="1">
      <alignment horizontal="center" vertical="center"/>
    </xf>
    <xf numFmtId="0" fontId="36" fillId="5" borderId="0" xfId="0" applyFont="1" applyFill="1" applyBorder="1" applyAlignment="1">
      <alignment horizontal="center" vertical="center"/>
    </xf>
    <xf numFmtId="192" fontId="36" fillId="0" borderId="437" xfId="0" applyNumberFormat="1" applyFont="1" applyBorder="1" applyAlignment="1">
      <alignment horizontal="center" vertical="center"/>
    </xf>
    <xf numFmtId="192" fontId="36" fillId="0" borderId="890" xfId="0" applyNumberFormat="1" applyFont="1" applyBorder="1" applyAlignment="1">
      <alignment horizontal="center" vertical="center"/>
    </xf>
    <xf numFmtId="192" fontId="36" fillId="0" borderId="410" xfId="0" applyNumberFormat="1" applyFont="1" applyBorder="1" applyAlignment="1">
      <alignment horizontal="center" vertical="center"/>
    </xf>
    <xf numFmtId="192" fontId="36" fillId="29" borderId="0" xfId="0" applyNumberFormat="1" applyFont="1" applyFill="1" applyBorder="1">
      <alignment vertical="center"/>
    </xf>
    <xf numFmtId="192" fontId="36" fillId="0" borderId="1121" xfId="0" applyNumberFormat="1" applyFont="1" applyBorder="1" applyAlignment="1">
      <alignment horizontal="center" vertical="center"/>
    </xf>
    <xf numFmtId="194" fontId="36" fillId="71" borderId="437" xfId="2" applyNumberFormat="1" applyFont="1" applyFill="1" applyBorder="1" applyAlignment="1">
      <alignment horizontal="center" vertical="center"/>
    </xf>
    <xf numFmtId="194" fontId="36" fillId="71" borderId="890" xfId="2" applyNumberFormat="1" applyFont="1" applyFill="1" applyBorder="1" applyAlignment="1">
      <alignment horizontal="center" vertical="center"/>
    </xf>
    <xf numFmtId="194" fontId="36" fillId="71" borderId="410" xfId="2" applyNumberFormat="1" applyFont="1" applyFill="1" applyBorder="1" applyAlignment="1">
      <alignment horizontal="center" vertical="center"/>
    </xf>
    <xf numFmtId="194" fontId="36" fillId="5" borderId="0" xfId="2" applyNumberFormat="1" applyFont="1" applyFill="1" applyBorder="1" applyAlignment="1">
      <alignment horizontal="center" vertical="center"/>
    </xf>
    <xf numFmtId="194" fontId="36" fillId="29" borderId="0" xfId="2" applyNumberFormat="1" applyFont="1" applyFill="1" applyBorder="1" applyAlignment="1">
      <alignment horizontal="center" vertical="center"/>
    </xf>
    <xf numFmtId="194" fontId="36" fillId="5" borderId="1121" xfId="2" applyNumberFormat="1" applyFont="1" applyFill="1" applyBorder="1" applyAlignment="1">
      <alignment horizontal="center" vertical="center"/>
    </xf>
    <xf numFmtId="0" fontId="36" fillId="0" borderId="544" xfId="0" applyFont="1" applyBorder="1" applyAlignment="1">
      <alignment horizontal="left" vertical="center"/>
    </xf>
    <xf numFmtId="0" fontId="36" fillId="0" borderId="544" xfId="0" applyFont="1" applyBorder="1" applyAlignment="1">
      <alignment horizontal="center" vertical="center"/>
    </xf>
    <xf numFmtId="194" fontId="36" fillId="71" borderId="592" xfId="2" applyNumberFormat="1" applyFont="1" applyFill="1" applyBorder="1" applyAlignment="1">
      <alignment horizontal="center" vertical="center"/>
    </xf>
    <xf numFmtId="194" fontId="36" fillId="71" borderId="891" xfId="2" applyNumberFormat="1" applyFont="1" applyFill="1" applyBorder="1" applyAlignment="1">
      <alignment horizontal="center" vertical="center"/>
    </xf>
    <xf numFmtId="194" fontId="36" fillId="71" borderId="1073" xfId="2" applyNumberFormat="1" applyFont="1" applyFill="1" applyBorder="1" applyAlignment="1">
      <alignment horizontal="center" vertical="center"/>
    </xf>
    <xf numFmtId="194" fontId="36" fillId="71" borderId="544" xfId="2" applyNumberFormat="1" applyFont="1" applyFill="1" applyBorder="1" applyAlignment="1">
      <alignment horizontal="center" vertical="center"/>
    </xf>
    <xf numFmtId="194" fontId="36" fillId="5" borderId="544" xfId="2" applyNumberFormat="1" applyFont="1" applyFill="1" applyBorder="1" applyAlignment="1">
      <alignment horizontal="center" vertical="center"/>
    </xf>
    <xf numFmtId="194" fontId="36" fillId="29" borderId="544" xfId="2" applyNumberFormat="1" applyFont="1" applyFill="1" applyBorder="1" applyAlignment="1">
      <alignment horizontal="center" vertical="center"/>
    </xf>
    <xf numFmtId="192" fontId="36" fillId="29" borderId="544" xfId="0" applyNumberFormat="1" applyFont="1" applyFill="1" applyBorder="1">
      <alignment vertical="center"/>
    </xf>
    <xf numFmtId="194" fontId="36" fillId="5" borderId="1123" xfId="2" applyNumberFormat="1" applyFont="1" applyFill="1" applyBorder="1" applyAlignment="1">
      <alignment horizontal="center" vertical="center"/>
    </xf>
    <xf numFmtId="41" fontId="36" fillId="0" borderId="0" xfId="2" applyFont="1" applyAlignment="1">
      <alignment horizontal="center" vertical="center"/>
    </xf>
    <xf numFmtId="202" fontId="36" fillId="0" borderId="0" xfId="2" applyNumberFormat="1" applyFont="1">
      <alignment vertical="center"/>
    </xf>
    <xf numFmtId="0" fontId="49" fillId="21" borderId="0" xfId="0" applyFont="1" applyFill="1">
      <alignment vertical="center"/>
    </xf>
    <xf numFmtId="0" fontId="84" fillId="0" borderId="0" xfId="0" applyFont="1">
      <alignment vertical="center"/>
    </xf>
    <xf numFmtId="0" fontId="84" fillId="5" borderId="0" xfId="0" applyFont="1" applyFill="1" applyAlignment="1">
      <alignment horizontal="center" vertical="center"/>
    </xf>
    <xf numFmtId="41" fontId="84" fillId="5" borderId="0" xfId="2" applyFont="1" applyFill="1" applyAlignment="1">
      <alignment horizontal="center" vertical="center"/>
    </xf>
    <xf numFmtId="41" fontId="84" fillId="0" borderId="0" xfId="2" applyFont="1">
      <alignment vertical="center"/>
    </xf>
    <xf numFmtId="202" fontId="84" fillId="0" borderId="0" xfId="2" applyNumberFormat="1" applyFont="1">
      <alignment vertical="center"/>
    </xf>
    <xf numFmtId="202" fontId="84" fillId="0" borderId="0" xfId="0" applyNumberFormat="1" applyFont="1">
      <alignment vertical="center"/>
    </xf>
    <xf numFmtId="202" fontId="78" fillId="0" borderId="0" xfId="3" applyNumberFormat="1" applyFont="1">
      <alignment vertical="center"/>
    </xf>
    <xf numFmtId="202" fontId="85" fillId="0" borderId="0" xfId="3" applyNumberFormat="1" applyFont="1">
      <alignment vertical="center"/>
    </xf>
    <xf numFmtId="0" fontId="86" fillId="39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7" fillId="21" borderId="0" xfId="0" applyFont="1" applyFill="1" applyAlignment="1">
      <alignment horizontal="center" vertical="center"/>
    </xf>
    <xf numFmtId="0" fontId="36" fillId="0" borderId="0" xfId="0" applyFont="1" applyAlignment="1"/>
    <xf numFmtId="0" fontId="36" fillId="0" borderId="376" xfId="0" quotePrefix="1" applyFont="1" applyBorder="1">
      <alignment vertical="center"/>
    </xf>
    <xf numFmtId="202" fontId="37" fillId="4" borderId="417" xfId="0" applyNumberFormat="1" applyFont="1" applyFill="1" applyBorder="1" applyAlignment="1">
      <alignment horizontal="center" vertical="center"/>
    </xf>
    <xf numFmtId="41" fontId="36" fillId="0" borderId="0" xfId="0" applyNumberFormat="1" applyFont="1">
      <alignment vertical="center"/>
    </xf>
    <xf numFmtId="41" fontId="36" fillId="11" borderId="0" xfId="0" applyNumberFormat="1" applyFont="1" applyFill="1">
      <alignment vertical="center"/>
    </xf>
    <xf numFmtId="0" fontId="36" fillId="0" borderId="432" xfId="0" quotePrefix="1" applyFont="1" applyBorder="1">
      <alignment vertical="center"/>
    </xf>
    <xf numFmtId="0" fontId="37" fillId="4" borderId="11" xfId="0" quotePrefix="1" applyFont="1" applyFill="1" applyBorder="1" applyAlignment="1">
      <alignment horizontal="center" vertical="center"/>
    </xf>
    <xf numFmtId="0" fontId="37" fillId="4" borderId="0" xfId="0" quotePrefix="1" applyFont="1" applyFill="1" applyAlignment="1">
      <alignment horizontal="center" vertical="center"/>
    </xf>
    <xf numFmtId="41" fontId="37" fillId="4" borderId="430" xfId="2" quotePrefix="1" applyFont="1" applyFill="1" applyBorder="1" applyAlignment="1">
      <alignment horizontal="center" vertical="center"/>
    </xf>
    <xf numFmtId="41" fontId="37" fillId="4" borderId="431" xfId="2" quotePrefix="1" applyFont="1" applyFill="1" applyBorder="1" applyAlignment="1">
      <alignment horizontal="center" vertical="center"/>
    </xf>
    <xf numFmtId="202" fontId="37" fillId="4" borderId="431" xfId="2" quotePrefix="1" applyNumberFormat="1" applyFont="1" applyFill="1" applyBorder="1" applyAlignment="1">
      <alignment horizontal="center" vertical="center"/>
    </xf>
    <xf numFmtId="202" fontId="37" fillId="4" borderId="431" xfId="0" quotePrefix="1" applyNumberFormat="1" applyFont="1" applyFill="1" applyBorder="1" applyAlignment="1">
      <alignment horizontal="center" vertical="center"/>
    </xf>
    <xf numFmtId="202" fontId="37" fillId="4" borderId="604" xfId="0" quotePrefix="1" applyNumberFormat="1" applyFont="1" applyFill="1" applyBorder="1" applyAlignment="1">
      <alignment horizontal="center" vertical="center"/>
    </xf>
    <xf numFmtId="0" fontId="37" fillId="4" borderId="431" xfId="0" quotePrefix="1" applyFont="1" applyFill="1" applyBorder="1" applyAlignment="1">
      <alignment horizontal="center" vertical="center"/>
    </xf>
    <xf numFmtId="202" fontId="37" fillId="4" borderId="432" xfId="0" quotePrefix="1" applyNumberFormat="1" applyFont="1" applyFill="1" applyBorder="1" applyAlignment="1">
      <alignment horizontal="center" vertical="center"/>
    </xf>
    <xf numFmtId="0" fontId="37" fillId="4" borderId="430" xfId="0" quotePrefix="1" applyFont="1" applyFill="1" applyBorder="1" applyAlignment="1">
      <alignment horizontal="center" vertical="center"/>
    </xf>
    <xf numFmtId="0" fontId="44" fillId="4" borderId="0" xfId="0" quotePrefix="1" applyFont="1" applyFill="1" applyBorder="1" applyAlignment="1">
      <alignment horizontal="center" vertical="center"/>
    </xf>
    <xf numFmtId="0" fontId="43" fillId="11" borderId="417" xfId="0" applyFont="1" applyFill="1" applyBorder="1">
      <alignment vertical="center"/>
    </xf>
    <xf numFmtId="0" fontId="36" fillId="11" borderId="417" xfId="0" applyFont="1" applyFill="1" applyBorder="1">
      <alignment vertical="center"/>
    </xf>
    <xf numFmtId="41" fontId="36" fillId="11" borderId="608" xfId="2" applyFont="1" applyFill="1" applyBorder="1">
      <alignment vertical="center"/>
    </xf>
    <xf numFmtId="41" fontId="36" fillId="11" borderId="417" xfId="2" applyFont="1" applyFill="1" applyBorder="1">
      <alignment vertical="center"/>
    </xf>
    <xf numFmtId="202" fontId="36" fillId="11" borderId="417" xfId="2" applyNumberFormat="1" applyFont="1" applyFill="1" applyBorder="1">
      <alignment vertical="center"/>
    </xf>
    <xf numFmtId="202" fontId="36" fillId="11" borderId="608" xfId="2" applyNumberFormat="1" applyFont="1" applyFill="1" applyBorder="1">
      <alignment vertical="center"/>
    </xf>
    <xf numFmtId="202" fontId="36" fillId="11" borderId="425" xfId="2" applyNumberFormat="1" applyFont="1" applyFill="1" applyBorder="1">
      <alignment vertical="center"/>
    </xf>
    <xf numFmtId="41" fontId="36" fillId="5" borderId="0" xfId="0" applyNumberFormat="1" applyFont="1" applyFill="1">
      <alignment vertical="center"/>
    </xf>
    <xf numFmtId="41" fontId="36" fillId="0" borderId="11" xfId="2" applyFont="1" applyFill="1" applyBorder="1">
      <alignment vertical="center"/>
    </xf>
    <xf numFmtId="202" fontId="36" fillId="0" borderId="0" xfId="2" applyNumberFormat="1" applyFont="1" applyFill="1" applyBorder="1">
      <alignment vertical="center"/>
    </xf>
    <xf numFmtId="202" fontId="36" fillId="0" borderId="11" xfId="2" applyNumberFormat="1" applyFont="1" applyFill="1" applyBorder="1">
      <alignment vertical="center"/>
    </xf>
    <xf numFmtId="202" fontId="36" fillId="0" borderId="376" xfId="2" applyNumberFormat="1" applyFont="1" applyFill="1" applyBorder="1">
      <alignment vertical="center"/>
    </xf>
    <xf numFmtId="0" fontId="36" fillId="9" borderId="0" xfId="0" applyFont="1" applyFill="1">
      <alignment vertical="center"/>
    </xf>
    <xf numFmtId="41" fontId="36" fillId="9" borderId="11" xfId="2" applyFont="1" applyFill="1" applyBorder="1">
      <alignment vertical="center"/>
    </xf>
    <xf numFmtId="41" fontId="36" fillId="9" borderId="0" xfId="2" applyFont="1" applyFill="1" applyBorder="1">
      <alignment vertical="center"/>
    </xf>
    <xf numFmtId="202" fontId="36" fillId="9" borderId="0" xfId="2" applyNumberFormat="1" applyFont="1" applyFill="1" applyBorder="1">
      <alignment vertical="center"/>
    </xf>
    <xf numFmtId="202" fontId="36" fillId="9" borderId="11" xfId="2" applyNumberFormat="1" applyFont="1" applyFill="1" applyBorder="1">
      <alignment vertical="center"/>
    </xf>
    <xf numFmtId="202" fontId="36" fillId="9" borderId="376" xfId="2" applyNumberFormat="1" applyFont="1" applyFill="1" applyBorder="1">
      <alignment vertical="center"/>
    </xf>
    <xf numFmtId="0" fontId="43" fillId="8" borderId="0" xfId="0" applyFont="1" applyFill="1">
      <alignment vertical="center"/>
    </xf>
    <xf numFmtId="0" fontId="36" fillId="8" borderId="0" xfId="0" applyFont="1" applyFill="1">
      <alignment vertical="center"/>
    </xf>
    <xf numFmtId="41" fontId="36" fillId="8" borderId="11" xfId="2" applyFont="1" applyFill="1" applyBorder="1">
      <alignment vertical="center"/>
    </xf>
    <xf numFmtId="41" fontId="36" fillId="8" borderId="0" xfId="2" applyFont="1" applyFill="1" applyBorder="1">
      <alignment vertical="center"/>
    </xf>
    <xf numFmtId="202" fontId="36" fillId="8" borderId="0" xfId="2" applyNumberFormat="1" applyFont="1" applyFill="1" applyBorder="1">
      <alignment vertical="center"/>
    </xf>
    <xf numFmtId="202" fontId="36" fillId="8" borderId="369" xfId="2" applyNumberFormat="1" applyFont="1" applyFill="1" applyBorder="1">
      <alignment vertical="center"/>
    </xf>
    <xf numFmtId="202" fontId="36" fillId="8" borderId="376" xfId="2" applyNumberFormat="1" applyFont="1" applyFill="1" applyBorder="1">
      <alignment vertical="center"/>
    </xf>
    <xf numFmtId="41" fontId="36" fillId="8" borderId="431" xfId="2" applyFont="1" applyFill="1" applyBorder="1">
      <alignment vertical="center"/>
    </xf>
    <xf numFmtId="202" fontId="36" fillId="11" borderId="1026" xfId="2" applyNumberFormat="1" applyFont="1" applyFill="1" applyBorder="1">
      <alignment vertical="center"/>
    </xf>
    <xf numFmtId="41" fontId="36" fillId="11" borderId="424" xfId="2" applyFont="1" applyFill="1" applyBorder="1">
      <alignment vertical="center"/>
    </xf>
    <xf numFmtId="202" fontId="36" fillId="0" borderId="369" xfId="2" applyNumberFormat="1" applyFont="1" applyFill="1" applyBorder="1">
      <alignment vertical="center"/>
    </xf>
    <xf numFmtId="202" fontId="36" fillId="5" borderId="0" xfId="2" applyNumberFormat="1" applyFont="1" applyFill="1" applyBorder="1">
      <alignment vertical="center"/>
    </xf>
    <xf numFmtId="41" fontId="36" fillId="8" borderId="36" xfId="2" applyFont="1" applyFill="1" applyBorder="1">
      <alignment vertical="center"/>
    </xf>
    <xf numFmtId="41" fontId="36" fillId="8" borderId="35" xfId="2" applyFont="1" applyFill="1" applyBorder="1">
      <alignment vertical="center"/>
    </xf>
    <xf numFmtId="202" fontId="36" fillId="8" borderId="1027" xfId="2" applyNumberFormat="1" applyFont="1" applyFill="1" applyBorder="1">
      <alignment vertical="center"/>
    </xf>
    <xf numFmtId="202" fontId="36" fillId="8" borderId="35" xfId="2" applyNumberFormat="1" applyFont="1" applyFill="1" applyBorder="1">
      <alignment vertical="center"/>
    </xf>
    <xf numFmtId="0" fontId="43" fillId="11" borderId="66" xfId="0" applyFont="1" applyFill="1" applyBorder="1">
      <alignment vertical="center"/>
    </xf>
    <xf numFmtId="0" fontId="36" fillId="11" borderId="66" xfId="0" applyFont="1" applyFill="1" applyBorder="1">
      <alignment vertical="center"/>
    </xf>
    <xf numFmtId="41" fontId="36" fillId="11" borderId="67" xfId="2" applyFont="1" applyFill="1" applyBorder="1">
      <alignment vertical="center"/>
    </xf>
    <xf numFmtId="41" fontId="36" fillId="11" borderId="66" xfId="2" applyFont="1" applyFill="1" applyBorder="1">
      <alignment vertical="center"/>
    </xf>
    <xf numFmtId="41" fontId="36" fillId="11" borderId="322" xfId="2" applyFont="1" applyFill="1" applyBorder="1">
      <alignment vertical="center"/>
    </xf>
    <xf numFmtId="202" fontId="36" fillId="11" borderId="66" xfId="2" applyNumberFormat="1" applyFont="1" applyFill="1" applyBorder="1">
      <alignment vertical="center"/>
    </xf>
    <xf numFmtId="202" fontId="36" fillId="11" borderId="367" xfId="2" applyNumberFormat="1" applyFont="1" applyFill="1" applyBorder="1">
      <alignment vertical="center"/>
    </xf>
    <xf numFmtId="202" fontId="36" fillId="11" borderId="322" xfId="2" applyNumberFormat="1" applyFont="1" applyFill="1" applyBorder="1">
      <alignment vertical="center"/>
    </xf>
    <xf numFmtId="202" fontId="36" fillId="11" borderId="610" xfId="2" applyNumberFormat="1" applyFont="1" applyFill="1" applyBorder="1">
      <alignment vertical="center"/>
    </xf>
    <xf numFmtId="202" fontId="36" fillId="11" borderId="67" xfId="2" applyNumberFormat="1" applyFont="1" applyFill="1" applyBorder="1">
      <alignment vertical="center"/>
    </xf>
    <xf numFmtId="3" fontId="36" fillId="0" borderId="0" xfId="2" applyNumberFormat="1" applyFont="1" applyFill="1" applyBorder="1">
      <alignment vertical="center"/>
    </xf>
    <xf numFmtId="202" fontId="36" fillId="8" borderId="11" xfId="2" applyNumberFormat="1" applyFont="1" applyFill="1" applyBorder="1">
      <alignment vertical="center"/>
    </xf>
    <xf numFmtId="0" fontId="60" fillId="0" borderId="0" xfId="0" applyFont="1">
      <alignment vertical="center"/>
    </xf>
    <xf numFmtId="41" fontId="55" fillId="0" borderId="11" xfId="2" applyFont="1" applyFill="1" applyBorder="1">
      <alignment vertical="center"/>
    </xf>
    <xf numFmtId="41" fontId="55" fillId="0" borderId="0" xfId="2" applyFont="1" applyFill="1" applyBorder="1">
      <alignment vertical="center"/>
    </xf>
    <xf numFmtId="41" fontId="55" fillId="9" borderId="11" xfId="2" applyFont="1" applyFill="1" applyBorder="1">
      <alignment vertical="center"/>
    </xf>
    <xf numFmtId="41" fontId="55" fillId="9" borderId="0" xfId="2" applyFont="1" applyFill="1" applyBorder="1">
      <alignment vertical="center"/>
    </xf>
    <xf numFmtId="0" fontId="55" fillId="8" borderId="35" xfId="0" applyFont="1" applyFill="1" applyBorder="1">
      <alignment vertical="center"/>
    </xf>
    <xf numFmtId="41" fontId="55" fillId="8" borderId="36" xfId="2" applyFont="1" applyFill="1" applyBorder="1">
      <alignment vertical="center"/>
    </xf>
    <xf numFmtId="41" fontId="55" fillId="8" borderId="35" xfId="2" applyFont="1" applyFill="1" applyBorder="1">
      <alignment vertical="center"/>
    </xf>
    <xf numFmtId="41" fontId="55" fillId="8" borderId="0" xfId="2" applyFont="1" applyFill="1" applyBorder="1">
      <alignment vertical="center"/>
    </xf>
    <xf numFmtId="41" fontId="55" fillId="8" borderId="11" xfId="2" applyFont="1" applyFill="1" applyBorder="1">
      <alignment vertical="center"/>
    </xf>
    <xf numFmtId="0" fontId="57" fillId="11" borderId="66" xfId="0" applyFont="1" applyFill="1" applyBorder="1">
      <alignment vertical="center"/>
    </xf>
    <xf numFmtId="0" fontId="55" fillId="11" borderId="66" xfId="0" applyFont="1" applyFill="1" applyBorder="1">
      <alignment vertical="center"/>
    </xf>
    <xf numFmtId="202" fontId="55" fillId="2" borderId="66" xfId="2" applyNumberFormat="1" applyFont="1" applyFill="1" applyBorder="1">
      <alignment vertical="center"/>
    </xf>
    <xf numFmtId="202" fontId="36" fillId="2" borderId="66" xfId="2" applyNumberFormat="1" applyFont="1" applyFill="1" applyBorder="1">
      <alignment vertical="center"/>
    </xf>
    <xf numFmtId="0" fontId="57" fillId="0" borderId="0" xfId="0" applyFont="1">
      <alignment vertical="center"/>
    </xf>
    <xf numFmtId="202" fontId="55" fillId="2" borderId="0" xfId="2" applyNumberFormat="1" applyFont="1" applyFill="1" applyBorder="1">
      <alignment vertical="center"/>
    </xf>
    <xf numFmtId="202" fontId="36" fillId="2" borderId="0" xfId="2" applyNumberFormat="1" applyFont="1" applyFill="1" applyBorder="1">
      <alignment vertical="center"/>
    </xf>
    <xf numFmtId="0" fontId="55" fillId="8" borderId="431" xfId="0" applyFont="1" applyFill="1" applyBorder="1">
      <alignment vertical="center"/>
    </xf>
    <xf numFmtId="202" fontId="55" fillId="2" borderId="431" xfId="2" applyNumberFormat="1" applyFont="1" applyFill="1" applyBorder="1">
      <alignment vertical="center"/>
    </xf>
    <xf numFmtId="202" fontId="36" fillId="2" borderId="431" xfId="2" applyNumberFormat="1" applyFont="1" applyFill="1" applyBorder="1">
      <alignment vertical="center"/>
    </xf>
    <xf numFmtId="202" fontId="36" fillId="72" borderId="11" xfId="2" applyNumberFormat="1" applyFont="1" applyFill="1" applyBorder="1">
      <alignment vertical="center"/>
    </xf>
    <xf numFmtId="202" fontId="36" fillId="8" borderId="604" xfId="2" applyNumberFormat="1" applyFont="1" applyFill="1" applyBorder="1">
      <alignment vertical="center"/>
    </xf>
    <xf numFmtId="202" fontId="36" fillId="8" borderId="431" xfId="2" applyNumberFormat="1" applyFont="1" applyFill="1" applyBorder="1">
      <alignment vertical="center"/>
    </xf>
    <xf numFmtId="202" fontId="36" fillId="8" borderId="432" xfId="2" applyNumberFormat="1" applyFont="1" applyFill="1" applyBorder="1">
      <alignment vertical="center"/>
    </xf>
    <xf numFmtId="41" fontId="55" fillId="11" borderId="67" xfId="2" applyFont="1" applyFill="1" applyBorder="1">
      <alignment vertical="center"/>
    </xf>
    <xf numFmtId="41" fontId="55" fillId="11" borderId="66" xfId="2" applyFont="1" applyFill="1" applyBorder="1">
      <alignment vertical="center"/>
    </xf>
    <xf numFmtId="41" fontId="55" fillId="11" borderId="322" xfId="2" applyFont="1" applyFill="1" applyBorder="1">
      <alignment vertical="center"/>
    </xf>
    <xf numFmtId="41" fontId="55" fillId="8" borderId="604" xfId="2" applyFont="1" applyFill="1" applyBorder="1">
      <alignment vertical="center"/>
    </xf>
    <xf numFmtId="41" fontId="55" fillId="8" borderId="431" xfId="2" applyFont="1" applyFill="1" applyBorder="1">
      <alignment vertical="center"/>
    </xf>
    <xf numFmtId="0" fontId="57" fillId="11" borderId="417" xfId="0" applyFont="1" applyFill="1" applyBorder="1">
      <alignment vertical="center"/>
    </xf>
    <xf numFmtId="0" fontId="55" fillId="11" borderId="417" xfId="0" applyFont="1" applyFill="1" applyBorder="1">
      <alignment vertical="center"/>
    </xf>
    <xf numFmtId="41" fontId="55" fillId="11" borderId="417" xfId="2" applyFont="1" applyFill="1" applyBorder="1">
      <alignment vertical="center"/>
    </xf>
    <xf numFmtId="202" fontId="36" fillId="11" borderId="424" xfId="2" applyNumberFormat="1" applyFont="1" applyFill="1" applyBorder="1">
      <alignment vertical="center"/>
    </xf>
    <xf numFmtId="0" fontId="57" fillId="8" borderId="205" xfId="0" applyFont="1" applyFill="1" applyBorder="1">
      <alignment vertical="center"/>
    </xf>
    <xf numFmtId="41" fontId="55" fillId="8" borderId="508" xfId="2" applyFont="1" applyFill="1" applyBorder="1">
      <alignment vertical="center"/>
    </xf>
    <xf numFmtId="202" fontId="36" fillId="8" borderId="434" xfId="2" applyNumberFormat="1" applyFont="1" applyFill="1" applyBorder="1">
      <alignment vertical="center"/>
    </xf>
    <xf numFmtId="202" fontId="36" fillId="8" borderId="36" xfId="2" applyNumberFormat="1" applyFont="1" applyFill="1" applyBorder="1">
      <alignment vertical="center"/>
    </xf>
    <xf numFmtId="0" fontId="57" fillId="11" borderId="0" xfId="0" applyFont="1" applyFill="1">
      <alignment vertical="center"/>
    </xf>
    <xf numFmtId="0" fontId="55" fillId="11" borderId="0" xfId="0" applyFont="1" applyFill="1">
      <alignment vertical="center"/>
    </xf>
    <xf numFmtId="41" fontId="55" fillId="11" borderId="11" xfId="2" applyFont="1" applyFill="1" applyBorder="1">
      <alignment vertical="center"/>
    </xf>
    <xf numFmtId="41" fontId="55" fillId="11" borderId="0" xfId="2" applyFont="1" applyFill="1" applyBorder="1">
      <alignment vertical="center"/>
    </xf>
    <xf numFmtId="41" fontId="36" fillId="11" borderId="0" xfId="2" applyFont="1" applyFill="1" applyBorder="1">
      <alignment vertical="center"/>
    </xf>
    <xf numFmtId="202" fontId="36" fillId="11" borderId="0" xfId="2" applyNumberFormat="1" applyFont="1" applyFill="1" applyBorder="1">
      <alignment vertical="center"/>
    </xf>
    <xf numFmtId="202" fontId="36" fillId="11" borderId="11" xfId="2" applyNumberFormat="1" applyFont="1" applyFill="1" applyBorder="1">
      <alignment vertical="center"/>
    </xf>
    <xf numFmtId="202" fontId="36" fillId="11" borderId="376" xfId="2" applyNumberFormat="1" applyFont="1" applyFill="1" applyBorder="1">
      <alignment vertical="center"/>
    </xf>
    <xf numFmtId="41" fontId="36" fillId="11" borderId="11" xfId="2" applyFont="1" applyFill="1" applyBorder="1">
      <alignment vertical="center"/>
    </xf>
    <xf numFmtId="202" fontId="36" fillId="8" borderId="433" xfId="2" applyNumberFormat="1" applyFont="1" applyFill="1" applyBorder="1">
      <alignment vertical="center"/>
    </xf>
    <xf numFmtId="41" fontId="36" fillId="11" borderId="811" xfId="2" applyFont="1" applyFill="1" applyBorder="1">
      <alignment vertical="center"/>
    </xf>
    <xf numFmtId="41" fontId="36" fillId="0" borderId="437" xfId="2" applyFont="1" applyFill="1" applyBorder="1">
      <alignment vertical="center"/>
    </xf>
    <xf numFmtId="0" fontId="57" fillId="8" borderId="431" xfId="0" applyFont="1" applyFill="1" applyBorder="1">
      <alignment vertical="center"/>
    </xf>
    <xf numFmtId="41" fontId="55" fillId="8" borderId="611" xfId="2" applyFont="1" applyFill="1" applyBorder="1">
      <alignment vertical="center"/>
    </xf>
    <xf numFmtId="202" fontId="36" fillId="69" borderId="11" xfId="2" applyNumberFormat="1" applyFont="1" applyFill="1" applyBorder="1">
      <alignment vertical="center"/>
    </xf>
    <xf numFmtId="41" fontId="36" fillId="8" borderId="430" xfId="2" applyFont="1" applyFill="1" applyBorder="1">
      <alignment vertical="center"/>
    </xf>
    <xf numFmtId="202" fontId="36" fillId="11" borderId="811" xfId="2" applyNumberFormat="1" applyFont="1" applyFill="1" applyBorder="1">
      <alignment vertical="center"/>
    </xf>
    <xf numFmtId="41" fontId="36" fillId="8" borderId="604" xfId="2" applyFont="1" applyFill="1" applyBorder="1">
      <alignment vertical="center"/>
    </xf>
    <xf numFmtId="41" fontId="55" fillId="0" borderId="0" xfId="2" applyFont="1">
      <alignment vertical="center"/>
    </xf>
    <xf numFmtId="41" fontId="36" fillId="0" borderId="0" xfId="2" applyFont="1" applyAlignment="1"/>
    <xf numFmtId="0" fontId="36" fillId="17" borderId="0" xfId="0" applyFont="1" applyFill="1">
      <alignment vertical="center"/>
    </xf>
    <xf numFmtId="176" fontId="36" fillId="0" borderId="0" xfId="3" applyNumberFormat="1" applyFont="1">
      <alignment vertical="center"/>
    </xf>
    <xf numFmtId="0" fontId="38" fillId="21" borderId="0" xfId="0" applyFont="1" applyFill="1" applyAlignment="1">
      <alignment horizontal="center" vertical="center"/>
    </xf>
    <xf numFmtId="0" fontId="88" fillId="23" borderId="0" xfId="0" applyFont="1" applyFill="1" applyAlignment="1">
      <alignment horizontal="center" vertical="center"/>
    </xf>
    <xf numFmtId="0" fontId="36" fillId="22" borderId="0" xfId="0" applyFont="1" applyFill="1">
      <alignment vertical="center"/>
    </xf>
    <xf numFmtId="0" fontId="51" fillId="23" borderId="0" xfId="0" applyFont="1" applyFill="1">
      <alignment vertical="center"/>
    </xf>
    <xf numFmtId="0" fontId="49" fillId="22" borderId="0" xfId="0" applyFont="1" applyFill="1">
      <alignment vertical="center"/>
    </xf>
    <xf numFmtId="0" fontId="88" fillId="23" borderId="0" xfId="0" applyFont="1" applyFill="1">
      <alignment vertical="center"/>
    </xf>
    <xf numFmtId="0" fontId="43" fillId="4" borderId="424" xfId="0" quotePrefix="1" applyFont="1" applyFill="1" applyBorder="1" applyAlignment="1">
      <alignment horizontal="center" vertical="center"/>
    </xf>
    <xf numFmtId="0" fontId="43" fillId="4" borderId="782" xfId="0" quotePrefix="1" applyFont="1" applyFill="1" applyBorder="1" applyAlignment="1">
      <alignment horizontal="center" vertical="center"/>
    </xf>
    <xf numFmtId="0" fontId="37" fillId="14" borderId="88" xfId="0" quotePrefix="1" applyFont="1" applyFill="1" applyBorder="1" applyAlignment="1">
      <alignment horizontal="center" vertical="center"/>
    </xf>
    <xf numFmtId="0" fontId="65" fillId="22" borderId="0" xfId="0" applyFont="1" applyFill="1">
      <alignment vertical="center"/>
    </xf>
    <xf numFmtId="192" fontId="36" fillId="11" borderId="10" xfId="2" applyNumberFormat="1" applyFont="1" applyFill="1" applyBorder="1" applyAlignment="1">
      <alignment horizontal="center" vertical="center"/>
    </xf>
    <xf numFmtId="194" fontId="36" fillId="29" borderId="4" xfId="0" applyNumberFormat="1" applyFont="1" applyFill="1" applyBorder="1" applyAlignment="1">
      <alignment horizontal="center" vertical="center"/>
    </xf>
    <xf numFmtId="194" fontId="36" fillId="29" borderId="40" xfId="0" applyNumberFormat="1" applyFont="1" applyFill="1" applyBorder="1" applyAlignment="1">
      <alignment horizontal="center" vertical="center"/>
    </xf>
    <xf numFmtId="194" fontId="36" fillId="29" borderId="171" xfId="0" applyNumberFormat="1" applyFont="1" applyFill="1" applyBorder="1" applyAlignment="1">
      <alignment horizontal="center" vertical="center"/>
    </xf>
    <xf numFmtId="193" fontId="36" fillId="11" borderId="209" xfId="0" applyNumberFormat="1" applyFont="1" applyFill="1" applyBorder="1" applyAlignment="1">
      <alignment horizontal="center" vertical="center"/>
    </xf>
    <xf numFmtId="192" fontId="36" fillId="0" borderId="11" xfId="0" applyNumberFormat="1" applyFont="1" applyFill="1" applyBorder="1" applyAlignment="1">
      <alignment horizontal="center" vertical="center"/>
    </xf>
    <xf numFmtId="192" fontId="36" fillId="0" borderId="0" xfId="0" applyNumberFormat="1" applyFont="1" applyFill="1" applyBorder="1" applyAlignment="1">
      <alignment horizontal="center" vertical="center"/>
    </xf>
    <xf numFmtId="192" fontId="36" fillId="0" borderId="437" xfId="0" applyNumberFormat="1" applyFont="1" applyFill="1" applyBorder="1" applyAlignment="1">
      <alignment horizontal="center" vertical="center"/>
    </xf>
    <xf numFmtId="0" fontId="36" fillId="29" borderId="38" xfId="0" applyFont="1" applyFill="1" applyBorder="1" applyAlignment="1">
      <alignment horizontal="center" vertical="center"/>
    </xf>
    <xf numFmtId="193" fontId="36" fillId="0" borderId="44" xfId="0" applyNumberFormat="1" applyFont="1" applyFill="1" applyBorder="1" applyAlignment="1">
      <alignment horizontal="center" vertical="center"/>
    </xf>
    <xf numFmtId="193" fontId="36" fillId="0" borderId="84" xfId="0" applyNumberFormat="1" applyFont="1" applyFill="1" applyBorder="1" applyAlignment="1">
      <alignment horizontal="center" vertical="center"/>
    </xf>
    <xf numFmtId="192" fontId="36" fillId="0" borderId="2" xfId="0" applyNumberFormat="1" applyFont="1" applyFill="1" applyBorder="1" applyAlignment="1">
      <alignment horizontal="center" vertical="center"/>
    </xf>
    <xf numFmtId="0" fontId="36" fillId="29" borderId="173" xfId="0" applyFont="1" applyFill="1" applyBorder="1" applyAlignment="1">
      <alignment horizontal="center" vertical="center"/>
    </xf>
    <xf numFmtId="193" fontId="36" fillId="0" borderId="0" xfId="0" applyNumberFormat="1" applyFont="1" applyFill="1" applyBorder="1" applyAlignment="1">
      <alignment horizontal="center" vertical="center"/>
    </xf>
    <xf numFmtId="192" fontId="36" fillId="0" borderId="44" xfId="0" applyNumberFormat="1" applyFont="1" applyFill="1" applyBorder="1" applyAlignment="1">
      <alignment horizontal="center" vertical="center"/>
    </xf>
    <xf numFmtId="193" fontId="36" fillId="0" borderId="210" xfId="0" applyNumberFormat="1" applyFont="1" applyFill="1" applyBorder="1" applyAlignment="1">
      <alignment horizontal="center" vertical="center"/>
    </xf>
    <xf numFmtId="192" fontId="36" fillId="2" borderId="11" xfId="0" applyNumberFormat="1" applyFont="1" applyFill="1" applyBorder="1" applyAlignment="1">
      <alignment horizontal="center" vertical="center"/>
    </xf>
    <xf numFmtId="192" fontId="36" fillId="2" borderId="0" xfId="0" applyNumberFormat="1" applyFont="1" applyFill="1" applyBorder="1" applyAlignment="1">
      <alignment horizontal="center" vertical="center"/>
    </xf>
    <xf numFmtId="192" fontId="36" fillId="2" borderId="437" xfId="0" applyNumberFormat="1" applyFont="1" applyFill="1" applyBorder="1" applyAlignment="1">
      <alignment horizontal="center" vertical="center"/>
    </xf>
    <xf numFmtId="193" fontId="36" fillId="2" borderId="44" xfId="0" applyNumberFormat="1" applyFont="1" applyFill="1" applyBorder="1" applyAlignment="1">
      <alignment horizontal="center" vertical="center"/>
    </xf>
    <xf numFmtId="193" fontId="36" fillId="2" borderId="84" xfId="0" applyNumberFormat="1" applyFont="1" applyFill="1" applyBorder="1" applyAlignment="1">
      <alignment horizontal="center" vertical="center"/>
    </xf>
    <xf numFmtId="192" fontId="36" fillId="2" borderId="2" xfId="0" applyNumberFormat="1" applyFont="1" applyFill="1" applyBorder="1" applyAlignment="1">
      <alignment horizontal="center" vertical="center"/>
    </xf>
    <xf numFmtId="193" fontId="36" fillId="2" borderId="0" xfId="0" applyNumberFormat="1" applyFont="1" applyFill="1" applyBorder="1" applyAlignment="1">
      <alignment horizontal="center" vertical="center"/>
    </xf>
    <xf numFmtId="192" fontId="36" fillId="2" borderId="44" xfId="0" applyNumberFormat="1" applyFont="1" applyFill="1" applyBorder="1" applyAlignment="1">
      <alignment horizontal="center" vertical="center"/>
    </xf>
    <xf numFmtId="193" fontId="36" fillId="2" borderId="210" xfId="0" applyNumberFormat="1" applyFont="1" applyFill="1" applyBorder="1" applyAlignment="1">
      <alignment horizontal="center" vertical="center"/>
    </xf>
    <xf numFmtId="192" fontId="36" fillId="8" borderId="11" xfId="0" applyNumberFormat="1" applyFont="1" applyFill="1" applyBorder="1" applyAlignment="1">
      <alignment horizontal="center" vertical="center"/>
    </xf>
    <xf numFmtId="192" fontId="36" fillId="8" borderId="433" xfId="0" applyNumberFormat="1" applyFont="1" applyFill="1" applyBorder="1" applyAlignment="1">
      <alignment horizontal="center" vertical="center"/>
    </xf>
    <xf numFmtId="192" fontId="36" fillId="8" borderId="35" xfId="0" applyNumberFormat="1" applyFont="1" applyFill="1" applyBorder="1" applyAlignment="1">
      <alignment horizontal="center" vertical="center"/>
    </xf>
    <xf numFmtId="193" fontId="36" fillId="8" borderId="44" xfId="0" applyNumberFormat="1" applyFont="1" applyFill="1" applyBorder="1" applyAlignment="1">
      <alignment horizontal="center" vertical="center"/>
    </xf>
    <xf numFmtId="193" fontId="36" fillId="8" borderId="84" xfId="0" applyNumberFormat="1" applyFont="1" applyFill="1" applyBorder="1" applyAlignment="1">
      <alignment horizontal="center" vertical="center"/>
    </xf>
    <xf numFmtId="192" fontId="36" fillId="8" borderId="2" xfId="0" applyNumberFormat="1" applyFont="1" applyFill="1" applyBorder="1" applyAlignment="1">
      <alignment horizontal="center" vertical="center"/>
    </xf>
    <xf numFmtId="193" fontId="36" fillId="8" borderId="0" xfId="0" applyNumberFormat="1" applyFont="1" applyFill="1" applyBorder="1" applyAlignment="1">
      <alignment horizontal="center" vertical="center"/>
    </xf>
    <xf numFmtId="192" fontId="36" fillId="8" borderId="44" xfId="0" applyNumberFormat="1" applyFont="1" applyFill="1" applyBorder="1" applyAlignment="1">
      <alignment horizontal="center" vertical="center"/>
    </xf>
    <xf numFmtId="193" fontId="36" fillId="8" borderId="210" xfId="0" applyNumberFormat="1" applyFont="1" applyFill="1" applyBorder="1" applyAlignment="1">
      <alignment horizontal="center" vertical="center"/>
    </xf>
    <xf numFmtId="192" fontId="36" fillId="11" borderId="67" xfId="0" applyNumberFormat="1" applyFont="1" applyFill="1" applyBorder="1" applyAlignment="1">
      <alignment horizontal="center" vertical="center"/>
    </xf>
    <xf numFmtId="192" fontId="36" fillId="11" borderId="66" xfId="0" applyNumberFormat="1" applyFont="1" applyFill="1" applyBorder="1" applyAlignment="1">
      <alignment horizontal="center" vertical="center"/>
    </xf>
    <xf numFmtId="192" fontId="36" fillId="11" borderId="609" xfId="0" applyNumberFormat="1" applyFont="1" applyFill="1" applyBorder="1" applyAlignment="1">
      <alignment horizontal="center" vertical="center"/>
    </xf>
    <xf numFmtId="193" fontId="36" fillId="11" borderId="69" xfId="0" applyNumberFormat="1" applyFont="1" applyFill="1" applyBorder="1" applyAlignment="1">
      <alignment horizontal="center" vertical="center"/>
    </xf>
    <xf numFmtId="193" fontId="36" fillId="11" borderId="86" xfId="0" applyNumberFormat="1" applyFont="1" applyFill="1" applyBorder="1" applyAlignment="1">
      <alignment horizontal="center" vertical="center"/>
    </xf>
    <xf numFmtId="192" fontId="36" fillId="11" borderId="68" xfId="0" applyNumberFormat="1" applyFont="1" applyFill="1" applyBorder="1" applyAlignment="1">
      <alignment horizontal="center" vertical="center"/>
    </xf>
    <xf numFmtId="193" fontId="36" fillId="11" borderId="66" xfId="0" applyNumberFormat="1" applyFont="1" applyFill="1" applyBorder="1" applyAlignment="1">
      <alignment horizontal="center" vertical="center"/>
    </xf>
    <xf numFmtId="192" fontId="36" fillId="11" borderId="69" xfId="0" applyNumberFormat="1" applyFont="1" applyFill="1" applyBorder="1" applyAlignment="1">
      <alignment horizontal="center" vertical="center"/>
    </xf>
    <xf numFmtId="193" fontId="36" fillId="11" borderId="211" xfId="0" applyNumberFormat="1" applyFont="1" applyFill="1" applyBorder="1" applyAlignment="1">
      <alignment horizontal="center" vertical="center"/>
    </xf>
    <xf numFmtId="0" fontId="43" fillId="8" borderId="35" xfId="0" applyFont="1" applyFill="1" applyBorder="1">
      <alignment vertical="center"/>
    </xf>
    <xf numFmtId="192" fontId="36" fillId="8" borderId="36" xfId="0" applyNumberFormat="1" applyFont="1" applyFill="1" applyBorder="1" applyAlignment="1">
      <alignment horizontal="center" vertical="center"/>
    </xf>
    <xf numFmtId="193" fontId="36" fillId="8" borderId="70" xfId="0" applyNumberFormat="1" applyFont="1" applyFill="1" applyBorder="1" applyAlignment="1">
      <alignment horizontal="center" vertical="center"/>
    </xf>
    <xf numFmtId="193" fontId="36" fillId="8" borderId="87" xfId="0" applyNumberFormat="1" applyFont="1" applyFill="1" applyBorder="1" applyAlignment="1">
      <alignment horizontal="center" vertical="center"/>
    </xf>
    <xf numFmtId="192" fontId="36" fillId="8" borderId="37" xfId="0" applyNumberFormat="1" applyFont="1" applyFill="1" applyBorder="1" applyAlignment="1">
      <alignment horizontal="center" vertical="center"/>
    </xf>
    <xf numFmtId="193" fontId="36" fillId="8" borderId="35" xfId="0" applyNumberFormat="1" applyFont="1" applyFill="1" applyBorder="1" applyAlignment="1">
      <alignment horizontal="center" vertical="center"/>
    </xf>
    <xf numFmtId="192" fontId="36" fillId="8" borderId="70" xfId="0" applyNumberFormat="1" applyFont="1" applyFill="1" applyBorder="1" applyAlignment="1">
      <alignment horizontal="center" vertical="center"/>
    </xf>
    <xf numFmtId="193" fontId="36" fillId="8" borderId="212" xfId="0" applyNumberFormat="1" applyFont="1" applyFill="1" applyBorder="1" applyAlignment="1">
      <alignment horizontal="center" vertical="center"/>
    </xf>
    <xf numFmtId="192" fontId="36" fillId="11" borderId="11" xfId="0" applyNumberFormat="1" applyFont="1" applyFill="1" applyBorder="1" applyAlignment="1">
      <alignment horizontal="center" vertical="center"/>
    </xf>
    <xf numFmtId="192" fontId="36" fillId="11" borderId="0" xfId="0" applyNumberFormat="1" applyFont="1" applyFill="1" applyBorder="1" applyAlignment="1">
      <alignment horizontal="center" vertical="center"/>
    </xf>
    <xf numFmtId="192" fontId="36" fillId="11" borderId="437" xfId="0" applyNumberFormat="1" applyFont="1" applyFill="1" applyBorder="1" applyAlignment="1">
      <alignment horizontal="center" vertical="center"/>
    </xf>
    <xf numFmtId="193" fontId="36" fillId="11" borderId="44" xfId="0" applyNumberFormat="1" applyFont="1" applyFill="1" applyBorder="1" applyAlignment="1">
      <alignment horizontal="center" vertical="center"/>
    </xf>
    <xf numFmtId="193" fontId="36" fillId="11" borderId="84" xfId="0" applyNumberFormat="1" applyFont="1" applyFill="1" applyBorder="1" applyAlignment="1">
      <alignment horizontal="center" vertical="center"/>
    </xf>
    <xf numFmtId="193" fontId="36" fillId="11" borderId="0" xfId="0" applyNumberFormat="1" applyFont="1" applyFill="1" applyBorder="1" applyAlignment="1">
      <alignment horizontal="center" vertical="center"/>
    </xf>
    <xf numFmtId="193" fontId="36" fillId="11" borderId="210" xfId="0" applyNumberFormat="1" applyFont="1" applyFill="1" applyBorder="1" applyAlignment="1">
      <alignment horizontal="center" vertical="center"/>
    </xf>
    <xf numFmtId="0" fontId="43" fillId="8" borderId="6" xfId="0" applyFont="1" applyFill="1" applyBorder="1">
      <alignment vertical="center"/>
    </xf>
    <xf numFmtId="192" fontId="36" fillId="8" borderId="46" xfId="0" applyNumberFormat="1" applyFont="1" applyFill="1" applyBorder="1" applyAlignment="1">
      <alignment horizontal="center" vertical="center"/>
    </xf>
    <xf numFmtId="192" fontId="36" fillId="8" borderId="6" xfId="0" applyNumberFormat="1" applyFont="1" applyFill="1" applyBorder="1" applyAlignment="1">
      <alignment horizontal="center" vertical="center"/>
    </xf>
    <xf numFmtId="192" fontId="36" fillId="8" borderId="459" xfId="0" applyNumberFormat="1" applyFont="1" applyFill="1" applyBorder="1" applyAlignment="1">
      <alignment horizontal="center" vertical="center"/>
    </xf>
    <xf numFmtId="0" fontId="36" fillId="29" borderId="6" xfId="0" applyFont="1" applyFill="1" applyBorder="1" applyAlignment="1">
      <alignment horizontal="center" vertical="center"/>
    </xf>
    <xf numFmtId="0" fontId="36" fillId="29" borderId="39" xfId="0" applyFont="1" applyFill="1" applyBorder="1" applyAlignment="1">
      <alignment horizontal="center" vertical="center"/>
    </xf>
    <xf numFmtId="193" fontId="36" fillId="8" borderId="41" xfId="0" applyNumberFormat="1" applyFont="1" applyFill="1" applyBorder="1" applyAlignment="1">
      <alignment horizontal="center" vertical="center"/>
    </xf>
    <xf numFmtId="193" fontId="36" fillId="8" borderId="88" xfId="0" applyNumberFormat="1" applyFont="1" applyFill="1" applyBorder="1" applyAlignment="1">
      <alignment horizontal="center" vertical="center"/>
    </xf>
    <xf numFmtId="192" fontId="36" fillId="8" borderId="47" xfId="0" applyNumberFormat="1" applyFont="1" applyFill="1" applyBorder="1" applyAlignment="1">
      <alignment horizontal="center" vertical="center"/>
    </xf>
    <xf numFmtId="0" fontId="36" fillId="29" borderId="197" xfId="0" applyFont="1" applyFill="1" applyBorder="1" applyAlignment="1">
      <alignment horizontal="center" vertical="center"/>
    </xf>
    <xf numFmtId="193" fontId="36" fillId="8" borderId="6" xfId="0" applyNumberFormat="1" applyFont="1" applyFill="1" applyBorder="1" applyAlignment="1">
      <alignment horizontal="center" vertical="center"/>
    </xf>
    <xf numFmtId="192" fontId="36" fillId="8" borderId="41" xfId="0" applyNumberFormat="1" applyFont="1" applyFill="1" applyBorder="1" applyAlignment="1">
      <alignment horizontal="center" vertical="center"/>
    </xf>
    <xf numFmtId="193" fontId="36" fillId="8" borderId="215" xfId="0" applyNumberFormat="1" applyFont="1" applyFill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43" fillId="6" borderId="71" xfId="0" applyFont="1" applyFill="1" applyBorder="1">
      <alignment vertical="center"/>
    </xf>
    <xf numFmtId="0" fontId="43" fillId="6" borderId="32" xfId="0" applyFont="1" applyFill="1" applyBorder="1">
      <alignment vertical="center"/>
    </xf>
    <xf numFmtId="192" fontId="36" fillId="6" borderId="48" xfId="2" applyNumberFormat="1" applyFont="1" applyFill="1" applyBorder="1" applyAlignment="1">
      <alignment horizontal="center" vertical="center"/>
    </xf>
    <xf numFmtId="192" fontId="36" fillId="6" borderId="32" xfId="2" applyNumberFormat="1" applyFont="1" applyFill="1" applyBorder="1" applyAlignment="1">
      <alignment horizontal="center" vertical="center"/>
    </xf>
    <xf numFmtId="192" fontId="36" fillId="6" borderId="484" xfId="2" applyNumberFormat="1" applyFont="1" applyFill="1" applyBorder="1" applyAlignment="1">
      <alignment horizontal="center" vertical="center"/>
    </xf>
    <xf numFmtId="193" fontId="36" fillId="6" borderId="32" xfId="0" applyNumberFormat="1" applyFont="1" applyFill="1" applyBorder="1" applyAlignment="1">
      <alignment horizontal="center" vertical="center"/>
    </xf>
    <xf numFmtId="187" fontId="36" fillId="6" borderId="32" xfId="0" applyNumberFormat="1" applyFont="1" applyFill="1" applyBorder="1" applyAlignment="1">
      <alignment horizontal="center" vertical="center"/>
    </xf>
    <xf numFmtId="202" fontId="36" fillId="6" borderId="49" xfId="2" applyNumberFormat="1" applyFont="1" applyFill="1" applyBorder="1" applyAlignment="1">
      <alignment horizontal="center" vertical="center"/>
    </xf>
    <xf numFmtId="186" fontId="36" fillId="6" borderId="89" xfId="0" applyNumberFormat="1" applyFont="1" applyFill="1" applyBorder="1" applyAlignment="1">
      <alignment horizontal="center" vertical="center"/>
    </xf>
    <xf numFmtId="202" fontId="36" fillId="6" borderId="33" xfId="2" applyNumberFormat="1" applyFont="1" applyFill="1" applyBorder="1" applyAlignment="1">
      <alignment horizontal="center" vertical="center"/>
    </xf>
    <xf numFmtId="186" fontId="36" fillId="6" borderId="463" xfId="2" applyNumberFormat="1" applyFont="1" applyFill="1" applyBorder="1" applyAlignment="1">
      <alignment horizontal="center" vertical="center"/>
    </xf>
    <xf numFmtId="202" fontId="36" fillId="6" borderId="571" xfId="2" applyNumberFormat="1" applyFont="1" applyFill="1" applyBorder="1" applyAlignment="1">
      <alignment horizontal="center" vertical="center"/>
    </xf>
    <xf numFmtId="186" fontId="36" fillId="6" borderId="170" xfId="2" applyNumberFormat="1" applyFont="1" applyFill="1" applyBorder="1" applyAlignment="1">
      <alignment horizontal="center" vertical="center"/>
    </xf>
    <xf numFmtId="192" fontId="36" fillId="0" borderId="11" xfId="2" applyNumberFormat="1" applyFont="1" applyFill="1" applyBorder="1" applyAlignment="1">
      <alignment horizontal="center" vertical="center"/>
    </xf>
    <xf numFmtId="192" fontId="36" fillId="0" borderId="0" xfId="2" applyNumberFormat="1" applyFont="1" applyFill="1" applyBorder="1" applyAlignment="1">
      <alignment horizontal="center" vertical="center"/>
    </xf>
    <xf numFmtId="192" fontId="36" fillId="0" borderId="437" xfId="2" applyNumberFormat="1" applyFont="1" applyFill="1" applyBorder="1" applyAlignment="1">
      <alignment horizontal="center" vertical="center"/>
    </xf>
    <xf numFmtId="187" fontId="36" fillId="0" borderId="0" xfId="0" applyNumberFormat="1" applyFont="1" applyFill="1" applyBorder="1" applyAlignment="1">
      <alignment horizontal="center" vertical="center"/>
    </xf>
    <xf numFmtId="186" fontId="36" fillId="0" borderId="44" xfId="0" applyNumberFormat="1" applyFont="1" applyFill="1" applyBorder="1" applyAlignment="1">
      <alignment horizontal="center" vertical="center"/>
    </xf>
    <xf numFmtId="186" fontId="36" fillId="0" borderId="84" xfId="0" applyNumberFormat="1" applyFont="1" applyFill="1" applyBorder="1" applyAlignment="1">
      <alignment horizontal="center" vertical="center"/>
    </xf>
    <xf numFmtId="202" fontId="36" fillId="0" borderId="2" xfId="2" applyNumberFormat="1" applyFont="1" applyFill="1" applyBorder="1" applyAlignment="1">
      <alignment horizontal="center" vertical="center"/>
    </xf>
    <xf numFmtId="186" fontId="36" fillId="0" borderId="462" xfId="2" applyNumberFormat="1" applyFont="1" applyFill="1" applyBorder="1" applyAlignment="1">
      <alignment horizontal="center" vertical="center"/>
    </xf>
    <xf numFmtId="186" fontId="36" fillId="0" borderId="248" xfId="2" applyNumberFormat="1" applyFont="1" applyFill="1" applyBorder="1" applyAlignment="1">
      <alignment horizontal="center" vertical="center"/>
    </xf>
    <xf numFmtId="0" fontId="43" fillId="9" borderId="72" xfId="0" applyFont="1" applyFill="1" applyBorder="1">
      <alignment vertical="center"/>
    </xf>
    <xf numFmtId="0" fontId="43" fillId="9" borderId="0" xfId="0" applyFont="1" applyFill="1" applyBorder="1">
      <alignment vertical="center"/>
    </xf>
    <xf numFmtId="192" fontId="36" fillId="9" borderId="437" xfId="2" applyNumberFormat="1" applyFont="1" applyFill="1" applyBorder="1" applyAlignment="1">
      <alignment horizontal="center" vertical="center"/>
    </xf>
    <xf numFmtId="41" fontId="36" fillId="29" borderId="0" xfId="2" applyFont="1" applyFill="1" applyBorder="1" applyAlignment="1">
      <alignment horizontal="center" vertical="center"/>
    </xf>
    <xf numFmtId="186" fontId="36" fillId="9" borderId="44" xfId="0" applyNumberFormat="1" applyFont="1" applyFill="1" applyBorder="1" applyAlignment="1">
      <alignment horizontal="center" vertical="center"/>
    </xf>
    <xf numFmtId="186" fontId="36" fillId="9" borderId="84" xfId="0" applyNumberFormat="1" applyFont="1" applyFill="1" applyBorder="1" applyAlignment="1">
      <alignment horizontal="center" vertical="center"/>
    </xf>
    <xf numFmtId="202" fontId="36" fillId="9" borderId="2" xfId="2" applyNumberFormat="1" applyFont="1" applyFill="1" applyBorder="1" applyAlignment="1">
      <alignment horizontal="center" vertical="center"/>
    </xf>
    <xf numFmtId="186" fontId="36" fillId="9" borderId="38" xfId="2" applyNumberFormat="1" applyFont="1" applyFill="1" applyBorder="1" applyAlignment="1">
      <alignment horizontal="center" vertical="center"/>
    </xf>
    <xf numFmtId="202" fontId="36" fillId="9" borderId="44" xfId="2" applyNumberFormat="1" applyFont="1" applyFill="1" applyBorder="1" applyAlignment="1">
      <alignment horizontal="center" vertical="center"/>
    </xf>
    <xf numFmtId="186" fontId="36" fillId="9" borderId="248" xfId="2" applyNumberFormat="1" applyFont="1" applyFill="1" applyBorder="1" applyAlignment="1">
      <alignment horizontal="center" vertical="center"/>
    </xf>
    <xf numFmtId="186" fontId="36" fillId="0" borderId="38" xfId="2" applyNumberFormat="1" applyFont="1" applyFill="1" applyBorder="1" applyAlignment="1">
      <alignment horizontal="center" vertical="center"/>
    </xf>
    <xf numFmtId="202" fontId="36" fillId="0" borderId="44" xfId="2" applyNumberFormat="1" applyFont="1" applyFill="1" applyBorder="1" applyAlignment="1">
      <alignment horizontal="center" vertical="center"/>
    </xf>
    <xf numFmtId="0" fontId="36" fillId="0" borderId="72" xfId="0" applyFont="1" applyFill="1" applyBorder="1">
      <alignment vertical="center"/>
    </xf>
    <xf numFmtId="192" fontId="36" fillId="3" borderId="11" xfId="2" applyNumberFormat="1" applyFont="1" applyFill="1" applyBorder="1" applyAlignment="1">
      <alignment horizontal="center" vertical="center"/>
    </xf>
    <xf numFmtId="192" fontId="36" fillId="3" borderId="0" xfId="2" applyNumberFormat="1" applyFont="1" applyFill="1" applyBorder="1" applyAlignment="1">
      <alignment horizontal="center" vertical="center"/>
    </xf>
    <xf numFmtId="192" fontId="36" fillId="3" borderId="437" xfId="2" applyNumberFormat="1" applyFont="1" applyFill="1" applyBorder="1" applyAlignment="1">
      <alignment horizontal="center" vertical="center"/>
    </xf>
    <xf numFmtId="186" fontId="36" fillId="3" borderId="44" xfId="0" applyNumberFormat="1" applyFont="1" applyFill="1" applyBorder="1" applyAlignment="1">
      <alignment horizontal="center" vertical="center"/>
    </xf>
    <xf numFmtId="186" fontId="36" fillId="3" borderId="84" xfId="0" applyNumberFormat="1" applyFont="1" applyFill="1" applyBorder="1" applyAlignment="1">
      <alignment horizontal="center" vertical="center"/>
    </xf>
    <xf numFmtId="202" fontId="36" fillId="3" borderId="2" xfId="2" applyNumberFormat="1" applyFont="1" applyFill="1" applyBorder="1" applyAlignment="1">
      <alignment horizontal="center" vertical="center"/>
    </xf>
    <xf numFmtId="186" fontId="36" fillId="3" borderId="38" xfId="2" applyNumberFormat="1" applyFont="1" applyFill="1" applyBorder="1" applyAlignment="1">
      <alignment horizontal="center" vertical="center"/>
    </xf>
    <xf numFmtId="202" fontId="36" fillId="3" borderId="44" xfId="2" applyNumberFormat="1" applyFont="1" applyFill="1" applyBorder="1" applyAlignment="1">
      <alignment horizontal="center" vertical="center"/>
    </xf>
    <xf numFmtId="186" fontId="36" fillId="3" borderId="248" xfId="2" applyNumberFormat="1" applyFont="1" applyFill="1" applyBorder="1" applyAlignment="1">
      <alignment horizontal="center" vertical="center"/>
    </xf>
    <xf numFmtId="0" fontId="60" fillId="0" borderId="72" xfId="0" applyFont="1" applyFill="1" applyBorder="1">
      <alignment vertical="center"/>
    </xf>
    <xf numFmtId="0" fontId="60" fillId="3" borderId="0" xfId="0" quotePrefix="1" applyFont="1" applyFill="1" applyBorder="1" applyAlignment="1">
      <alignment horizontal="center" vertical="center"/>
    </xf>
    <xf numFmtId="192" fontId="60" fillId="3" borderId="11" xfId="2" applyNumberFormat="1" applyFont="1" applyFill="1" applyBorder="1" applyAlignment="1">
      <alignment horizontal="center" vertical="center"/>
    </xf>
    <xf numFmtId="192" fontId="60" fillId="3" borderId="0" xfId="2" applyNumberFormat="1" applyFont="1" applyFill="1" applyBorder="1" applyAlignment="1">
      <alignment horizontal="center" vertical="center"/>
    </xf>
    <xf numFmtId="192" fontId="60" fillId="3" borderId="437" xfId="2" applyNumberFormat="1" applyFont="1" applyFill="1" applyBorder="1" applyAlignment="1">
      <alignment horizontal="center" vertical="center"/>
    </xf>
    <xf numFmtId="41" fontId="60" fillId="29" borderId="0" xfId="2" applyFont="1" applyFill="1" applyBorder="1" applyAlignment="1">
      <alignment horizontal="center" vertical="center"/>
    </xf>
    <xf numFmtId="186" fontId="60" fillId="3" borderId="44" xfId="0" applyNumberFormat="1" applyFont="1" applyFill="1" applyBorder="1" applyAlignment="1">
      <alignment horizontal="center" vertical="center"/>
    </xf>
    <xf numFmtId="186" fontId="60" fillId="3" borderId="84" xfId="0" applyNumberFormat="1" applyFont="1" applyFill="1" applyBorder="1" applyAlignment="1">
      <alignment horizontal="center" vertical="center"/>
    </xf>
    <xf numFmtId="202" fontId="60" fillId="3" borderId="2" xfId="2" applyNumberFormat="1" applyFont="1" applyFill="1" applyBorder="1" applyAlignment="1">
      <alignment horizontal="center" vertical="center"/>
    </xf>
    <xf numFmtId="186" fontId="60" fillId="3" borderId="38" xfId="2" applyNumberFormat="1" applyFont="1" applyFill="1" applyBorder="1" applyAlignment="1">
      <alignment horizontal="center" vertical="center"/>
    </xf>
    <xf numFmtId="202" fontId="60" fillId="3" borderId="44" xfId="2" applyNumberFormat="1" applyFont="1" applyFill="1" applyBorder="1" applyAlignment="1">
      <alignment horizontal="center" vertical="center"/>
    </xf>
    <xf numFmtId="186" fontId="60" fillId="3" borderId="248" xfId="2" applyNumberFormat="1" applyFont="1" applyFill="1" applyBorder="1" applyAlignment="1">
      <alignment horizontal="center" vertical="center"/>
    </xf>
    <xf numFmtId="0" fontId="89" fillId="22" borderId="0" xfId="0" applyFont="1" applyFill="1">
      <alignment vertical="center"/>
    </xf>
    <xf numFmtId="0" fontId="90" fillId="23" borderId="0" xfId="0" applyFont="1" applyFill="1">
      <alignment vertical="center"/>
    </xf>
    <xf numFmtId="192" fontId="55" fillId="0" borderId="11" xfId="2" applyNumberFormat="1" applyFont="1" applyFill="1" applyBorder="1" applyAlignment="1">
      <alignment horizontal="center" vertical="center"/>
    </xf>
    <xf numFmtId="192" fontId="55" fillId="0" borderId="0" xfId="2" applyNumberFormat="1" applyFont="1" applyFill="1" applyBorder="1" applyAlignment="1">
      <alignment horizontal="center" vertical="center"/>
    </xf>
    <xf numFmtId="192" fontId="55" fillId="0" borderId="437" xfId="2" applyNumberFormat="1" applyFont="1" applyFill="1" applyBorder="1" applyAlignment="1">
      <alignment horizontal="center" vertical="center"/>
    </xf>
    <xf numFmtId="41" fontId="55" fillId="29" borderId="0" xfId="2" applyFont="1" applyFill="1" applyBorder="1" applyAlignment="1">
      <alignment horizontal="center" vertical="center"/>
    </xf>
    <xf numFmtId="186" fontId="55" fillId="0" borderId="44" xfId="0" applyNumberFormat="1" applyFont="1" applyFill="1" applyBorder="1" applyAlignment="1">
      <alignment horizontal="center" vertical="center"/>
    </xf>
    <xf numFmtId="186" fontId="55" fillId="0" borderId="84" xfId="0" applyNumberFormat="1" applyFont="1" applyFill="1" applyBorder="1" applyAlignment="1">
      <alignment horizontal="center" vertical="center"/>
    </xf>
    <xf numFmtId="0" fontId="55" fillId="0" borderId="73" xfId="0" applyFont="1" applyBorder="1">
      <alignment vertical="center"/>
    </xf>
    <xf numFmtId="0" fontId="55" fillId="0" borderId="494" xfId="0" applyFont="1" applyBorder="1">
      <alignment vertical="center"/>
    </xf>
    <xf numFmtId="0" fontId="55" fillId="0" borderId="73" xfId="0" applyFont="1" applyBorder="1" applyAlignment="1">
      <alignment horizontal="center" vertical="center"/>
    </xf>
    <xf numFmtId="192" fontId="55" fillId="0" borderId="34" xfId="2" applyNumberFormat="1" applyFont="1" applyFill="1" applyBorder="1" applyAlignment="1">
      <alignment horizontal="center" vertical="center"/>
    </xf>
    <xf numFmtId="192" fontId="55" fillId="0" borderId="1028" xfId="2" applyNumberFormat="1" applyFont="1" applyFill="1" applyBorder="1" applyAlignment="1">
      <alignment horizontal="center" vertical="center"/>
    </xf>
    <xf numFmtId="41" fontId="55" fillId="29" borderId="34" xfId="2" applyFont="1" applyFill="1" applyBorder="1" applyAlignment="1">
      <alignment horizontal="center" vertical="center"/>
    </xf>
    <xf numFmtId="186" fontId="55" fillId="0" borderId="52" xfId="0" applyNumberFormat="1" applyFont="1" applyFill="1" applyBorder="1" applyAlignment="1">
      <alignment horizontal="center" vertical="center"/>
    </xf>
    <xf numFmtId="186" fontId="55" fillId="0" borderId="90" xfId="0" applyNumberFormat="1" applyFont="1" applyFill="1" applyBorder="1" applyAlignment="1">
      <alignment horizontal="center" vertical="center"/>
    </xf>
    <xf numFmtId="202" fontId="55" fillId="0" borderId="51" xfId="2" applyNumberFormat="1" applyFont="1" applyFill="1" applyBorder="1" applyAlignment="1">
      <alignment horizontal="center" vertical="center"/>
    </xf>
    <xf numFmtId="241" fontId="55" fillId="5" borderId="34" xfId="2" applyNumberFormat="1" applyFont="1" applyFill="1" applyBorder="1" applyAlignment="1">
      <alignment horizontal="center" vertical="center"/>
    </xf>
    <xf numFmtId="202" fontId="36" fillId="0" borderId="52" xfId="2" applyNumberFormat="1" applyFont="1" applyFill="1" applyBorder="1" applyAlignment="1">
      <alignment horizontal="center" vertical="center"/>
    </xf>
    <xf numFmtId="186" fontId="36" fillId="0" borderId="250" xfId="2" applyNumberFormat="1" applyFont="1" applyFill="1" applyBorder="1" applyAlignment="1">
      <alignment horizontal="center" vertical="center"/>
    </xf>
    <xf numFmtId="0" fontId="57" fillId="6" borderId="32" xfId="0" applyFont="1" applyFill="1" applyBorder="1">
      <alignment vertical="center"/>
    </xf>
    <xf numFmtId="192" fontId="55" fillId="6" borderId="484" xfId="2" applyNumberFormat="1" applyFont="1" applyFill="1" applyBorder="1" applyAlignment="1">
      <alignment horizontal="center" vertical="center"/>
    </xf>
    <xf numFmtId="193" fontId="55" fillId="6" borderId="32" xfId="2" applyNumberFormat="1" applyFont="1" applyFill="1" applyBorder="1" applyAlignment="1">
      <alignment horizontal="center" vertical="center"/>
    </xf>
    <xf numFmtId="187" fontId="55" fillId="6" borderId="32" xfId="2" applyNumberFormat="1" applyFont="1" applyFill="1" applyBorder="1" applyAlignment="1">
      <alignment horizontal="center" vertical="center"/>
    </xf>
    <xf numFmtId="186" fontId="55" fillId="6" borderId="49" xfId="2" applyNumberFormat="1" applyFont="1" applyFill="1" applyBorder="1" applyAlignment="1">
      <alignment horizontal="center" vertical="center"/>
    </xf>
    <xf numFmtId="186" fontId="55" fillId="6" borderId="89" xfId="2" applyNumberFormat="1" applyFont="1" applyFill="1" applyBorder="1" applyAlignment="1">
      <alignment horizontal="center" vertical="center"/>
    </xf>
    <xf numFmtId="192" fontId="55" fillId="6" borderId="33" xfId="2" applyNumberFormat="1" applyFont="1" applyFill="1" applyBorder="1" applyAlignment="1">
      <alignment horizontal="center" vertical="center"/>
    </xf>
    <xf numFmtId="186" fontId="36" fillId="6" borderId="32" xfId="2" applyNumberFormat="1" applyFont="1" applyFill="1" applyBorder="1" applyAlignment="1">
      <alignment horizontal="center" vertical="center"/>
    </xf>
    <xf numFmtId="192" fontId="36" fillId="6" borderId="49" xfId="2" applyNumberFormat="1" applyFont="1" applyFill="1" applyBorder="1" applyAlignment="1">
      <alignment horizontal="center" vertical="center"/>
    </xf>
    <xf numFmtId="193" fontId="55" fillId="0" borderId="0" xfId="2" applyNumberFormat="1" applyFont="1" applyFill="1" applyBorder="1" applyAlignment="1">
      <alignment horizontal="center" vertical="center"/>
    </xf>
    <xf numFmtId="187" fontId="55" fillId="0" borderId="0" xfId="2" applyNumberFormat="1" applyFont="1" applyFill="1" applyBorder="1" applyAlignment="1">
      <alignment horizontal="center" vertical="center"/>
    </xf>
    <xf numFmtId="192" fontId="55" fillId="0" borderId="2" xfId="2" applyNumberFormat="1" applyFont="1" applyFill="1" applyBorder="1" applyAlignment="1">
      <alignment horizontal="center" vertical="center"/>
    </xf>
    <xf numFmtId="192" fontId="36" fillId="0" borderId="44" xfId="2" applyNumberFormat="1" applyFont="1" applyFill="1" applyBorder="1" applyAlignment="1">
      <alignment horizontal="center" vertical="center"/>
    </xf>
    <xf numFmtId="0" fontId="83" fillId="0" borderId="0" xfId="4" applyFont="1">
      <alignment vertical="center"/>
    </xf>
    <xf numFmtId="0" fontId="55" fillId="0" borderId="30" xfId="0" applyFont="1" applyFill="1" applyBorder="1">
      <alignment vertical="center"/>
    </xf>
    <xf numFmtId="192" fontId="55" fillId="0" borderId="54" xfId="2" applyNumberFormat="1" applyFont="1" applyFill="1" applyBorder="1" applyAlignment="1">
      <alignment horizontal="center" vertical="center"/>
    </xf>
    <xf numFmtId="192" fontId="55" fillId="0" borderId="30" xfId="2" applyNumberFormat="1" applyFont="1" applyFill="1" applyBorder="1" applyAlignment="1">
      <alignment horizontal="center" vertical="center"/>
    </xf>
    <xf numFmtId="192" fontId="55" fillId="0" borderId="866" xfId="2" applyNumberFormat="1" applyFont="1" applyFill="1" applyBorder="1" applyAlignment="1">
      <alignment horizontal="center" vertical="center"/>
    </xf>
    <xf numFmtId="193" fontId="55" fillId="0" borderId="30" xfId="2" applyNumberFormat="1" applyFont="1" applyFill="1" applyBorder="1" applyAlignment="1">
      <alignment horizontal="center" vertical="center"/>
    </xf>
    <xf numFmtId="187" fontId="55" fillId="0" borderId="30" xfId="2" applyNumberFormat="1" applyFont="1" applyFill="1" applyBorder="1" applyAlignment="1">
      <alignment horizontal="center" vertical="center"/>
    </xf>
    <xf numFmtId="186" fontId="55" fillId="0" borderId="55" xfId="2" applyNumberFormat="1" applyFont="1" applyFill="1" applyBorder="1" applyAlignment="1">
      <alignment horizontal="center" vertical="center"/>
    </xf>
    <xf numFmtId="186" fontId="55" fillId="0" borderId="91" xfId="2" applyNumberFormat="1" applyFont="1" applyFill="1" applyBorder="1" applyAlignment="1">
      <alignment horizontal="center" vertical="center"/>
    </xf>
    <xf numFmtId="192" fontId="55" fillId="0" borderId="31" xfId="2" applyNumberFormat="1" applyFont="1" applyFill="1" applyBorder="1" applyAlignment="1">
      <alignment horizontal="center" vertical="center"/>
    </xf>
    <xf numFmtId="186" fontId="36" fillId="0" borderId="30" xfId="2" applyNumberFormat="1" applyFont="1" applyFill="1" applyBorder="1" applyAlignment="1">
      <alignment horizontal="center" vertical="center"/>
    </xf>
    <xf numFmtId="192" fontId="36" fillId="0" borderId="55" xfId="2" applyNumberFormat="1" applyFont="1" applyFill="1" applyBorder="1" applyAlignment="1">
      <alignment horizontal="center" vertical="center"/>
    </xf>
    <xf numFmtId="186" fontId="36" fillId="0" borderId="251" xfId="2" applyNumberFormat="1" applyFont="1" applyFill="1" applyBorder="1" applyAlignment="1">
      <alignment horizontal="center" vertical="center"/>
    </xf>
    <xf numFmtId="0" fontId="55" fillId="0" borderId="0" xfId="0" quotePrefix="1" applyFont="1" applyBorder="1">
      <alignment vertical="center"/>
    </xf>
    <xf numFmtId="193" fontId="36" fillId="0" borderId="0" xfId="2" applyNumberFormat="1" applyFont="1" applyFill="1" applyBorder="1" applyAlignment="1">
      <alignment horizontal="center" vertical="center"/>
    </xf>
    <xf numFmtId="187" fontId="36" fillId="0" borderId="0" xfId="2" applyNumberFormat="1" applyFont="1" applyFill="1" applyBorder="1" applyAlignment="1">
      <alignment horizontal="center" vertical="center"/>
    </xf>
    <xf numFmtId="186" fontId="36" fillId="0" borderId="84" xfId="2" applyNumberFormat="1" applyFont="1" applyFill="1" applyBorder="1" applyAlignment="1">
      <alignment horizontal="center" vertical="center"/>
    </xf>
    <xf numFmtId="192" fontId="36" fillId="0" borderId="2" xfId="2" applyNumberFormat="1" applyFont="1" applyFill="1" applyBorder="1" applyAlignment="1">
      <alignment horizontal="center" vertical="center"/>
    </xf>
    <xf numFmtId="0" fontId="55" fillId="0" borderId="34" xfId="0" applyFont="1" applyFill="1" applyBorder="1">
      <alignment vertical="center"/>
    </xf>
    <xf numFmtId="192" fontId="55" fillId="0" borderId="50" xfId="2" applyNumberFormat="1" applyFont="1" applyFill="1" applyBorder="1" applyAlignment="1">
      <alignment horizontal="center" vertical="center"/>
    </xf>
    <xf numFmtId="193" fontId="55" fillId="0" borderId="34" xfId="2" applyNumberFormat="1" applyFont="1" applyFill="1" applyBorder="1" applyAlignment="1">
      <alignment horizontal="center" vertical="center"/>
    </xf>
    <xf numFmtId="187" fontId="55" fillId="0" borderId="34" xfId="2" applyNumberFormat="1" applyFont="1" applyFill="1" applyBorder="1" applyAlignment="1">
      <alignment horizontal="center" vertical="center"/>
    </xf>
    <xf numFmtId="186" fontId="55" fillId="0" borderId="52" xfId="2" applyNumberFormat="1" applyFont="1" applyFill="1" applyBorder="1" applyAlignment="1">
      <alignment horizontal="center" vertical="center"/>
    </xf>
    <xf numFmtId="186" fontId="55" fillId="0" borderId="90" xfId="2" applyNumberFormat="1" applyFont="1" applyFill="1" applyBorder="1" applyAlignment="1">
      <alignment horizontal="center" vertical="center"/>
    </xf>
    <xf numFmtId="192" fontId="55" fillId="0" borderId="51" xfId="2" applyNumberFormat="1" applyFont="1" applyFill="1" applyBorder="1" applyAlignment="1">
      <alignment horizontal="center" vertical="center"/>
    </xf>
    <xf numFmtId="186" fontId="36" fillId="0" borderId="34" xfId="2" applyNumberFormat="1" applyFont="1" applyFill="1" applyBorder="1" applyAlignment="1">
      <alignment horizontal="center" vertical="center"/>
    </xf>
    <xf numFmtId="192" fontId="36" fillId="0" borderId="52" xfId="2" applyNumberFormat="1" applyFont="1" applyFill="1" applyBorder="1" applyAlignment="1">
      <alignment horizontal="center" vertical="center"/>
    </xf>
    <xf numFmtId="202" fontId="55" fillId="6" borderId="48" xfId="2" applyNumberFormat="1" applyFont="1" applyFill="1" applyBorder="1" applyAlignment="1">
      <alignment horizontal="center" vertical="center"/>
    </xf>
    <xf numFmtId="202" fontId="55" fillId="6" borderId="32" xfId="2" applyNumberFormat="1" applyFont="1" applyFill="1" applyBorder="1" applyAlignment="1">
      <alignment horizontal="center" vertical="center"/>
    </xf>
    <xf numFmtId="202" fontId="55" fillId="6" borderId="484" xfId="2" applyNumberFormat="1" applyFont="1" applyFill="1" applyBorder="1" applyAlignment="1">
      <alignment horizontal="center" vertical="center"/>
    </xf>
    <xf numFmtId="202" fontId="55" fillId="6" borderId="33" xfId="2" applyNumberFormat="1" applyFont="1" applyFill="1" applyBorder="1" applyAlignment="1">
      <alignment horizontal="center" vertical="center"/>
    </xf>
    <xf numFmtId="202" fontId="55" fillId="0" borderId="437" xfId="2" applyNumberFormat="1" applyFont="1" applyFill="1" applyBorder="1" applyAlignment="1">
      <alignment horizontal="center" vertical="center"/>
    </xf>
    <xf numFmtId="202" fontId="55" fillId="0" borderId="54" xfId="2" applyNumberFormat="1" applyFont="1" applyFill="1" applyBorder="1" applyAlignment="1">
      <alignment horizontal="center" vertical="center"/>
    </xf>
    <xf numFmtId="202" fontId="55" fillId="0" borderId="30" xfId="2" applyNumberFormat="1" applyFont="1" applyFill="1" applyBorder="1" applyAlignment="1">
      <alignment horizontal="center" vertical="center"/>
    </xf>
    <xf numFmtId="202" fontId="55" fillId="0" borderId="866" xfId="2" applyNumberFormat="1" applyFont="1" applyFill="1" applyBorder="1" applyAlignment="1">
      <alignment horizontal="center" vertical="center"/>
    </xf>
    <xf numFmtId="202" fontId="55" fillId="0" borderId="31" xfId="2" applyNumberFormat="1" applyFont="1" applyFill="1" applyBorder="1" applyAlignment="1">
      <alignment horizontal="center" vertical="center"/>
    </xf>
    <xf numFmtId="202" fontId="36" fillId="0" borderId="55" xfId="2" applyNumberFormat="1" applyFont="1" applyFill="1" applyBorder="1" applyAlignment="1">
      <alignment horizontal="center" vertical="center"/>
    </xf>
    <xf numFmtId="202" fontId="55" fillId="0" borderId="50" xfId="2" applyNumberFormat="1" applyFont="1" applyFill="1" applyBorder="1" applyAlignment="1">
      <alignment horizontal="center" vertical="center"/>
    </xf>
    <xf numFmtId="202" fontId="55" fillId="0" borderId="34" xfId="2" applyNumberFormat="1" applyFont="1" applyFill="1" applyBorder="1" applyAlignment="1">
      <alignment horizontal="center" vertical="center"/>
    </xf>
    <xf numFmtId="202" fontId="55" fillId="0" borderId="1028" xfId="2" applyNumberFormat="1" applyFont="1" applyFill="1" applyBorder="1" applyAlignment="1">
      <alignment horizontal="center" vertical="center"/>
    </xf>
    <xf numFmtId="0" fontId="57" fillId="3" borderId="56" xfId="0" applyFont="1" applyFill="1" applyBorder="1">
      <alignment vertical="center"/>
    </xf>
    <xf numFmtId="176" fontId="55" fillId="3" borderId="57" xfId="3" applyNumberFormat="1" applyFont="1" applyFill="1" applyBorder="1" applyAlignment="1">
      <alignment horizontal="center" vertical="center"/>
    </xf>
    <xf numFmtId="176" fontId="55" fillId="3" borderId="56" xfId="3" applyNumberFormat="1" applyFont="1" applyFill="1" applyBorder="1" applyAlignment="1">
      <alignment horizontal="center" vertical="center"/>
    </xf>
    <xf numFmtId="176" fontId="55" fillId="3" borderId="1035" xfId="3" applyNumberFormat="1" applyFont="1" applyFill="1" applyBorder="1" applyAlignment="1">
      <alignment horizontal="center" vertical="center"/>
    </xf>
    <xf numFmtId="188" fontId="55" fillId="29" borderId="56" xfId="3" applyNumberFormat="1" applyFont="1" applyFill="1" applyBorder="1" applyAlignment="1">
      <alignment horizontal="center" vertical="center"/>
    </xf>
    <xf numFmtId="176" fontId="55" fillId="29" borderId="56" xfId="3" applyNumberFormat="1" applyFont="1" applyFill="1" applyBorder="1" applyAlignment="1">
      <alignment horizontal="center" vertical="center"/>
    </xf>
    <xf numFmtId="188" fontId="55" fillId="3" borderId="59" xfId="3" applyNumberFormat="1" applyFont="1" applyFill="1" applyBorder="1" applyAlignment="1">
      <alignment horizontal="center" vertical="center"/>
    </xf>
    <xf numFmtId="188" fontId="55" fillId="3" borderId="92" xfId="3" applyNumberFormat="1" applyFont="1" applyFill="1" applyBorder="1" applyAlignment="1">
      <alignment horizontal="center" vertical="center"/>
    </xf>
    <xf numFmtId="176" fontId="55" fillId="3" borderId="58" xfId="3" applyNumberFormat="1" applyFont="1" applyFill="1" applyBorder="1" applyAlignment="1">
      <alignment horizontal="center" vertical="center"/>
    </xf>
    <xf numFmtId="188" fontId="36" fillId="3" borderId="56" xfId="3" applyNumberFormat="1" applyFont="1" applyFill="1" applyBorder="1" applyAlignment="1">
      <alignment horizontal="center" vertical="center"/>
    </xf>
    <xf numFmtId="176" fontId="36" fillId="3" borderId="59" xfId="3" applyNumberFormat="1" applyFont="1" applyFill="1" applyBorder="1" applyAlignment="1">
      <alignment horizontal="center" vertical="center"/>
    </xf>
    <xf numFmtId="188" fontId="36" fillId="3" borderId="223" xfId="3" applyNumberFormat="1" applyFont="1" applyFill="1" applyBorder="1" applyAlignment="1">
      <alignment horizontal="center" vertical="center"/>
    </xf>
    <xf numFmtId="176" fontId="55" fillId="0" borderId="11" xfId="3" applyNumberFormat="1" applyFont="1" applyFill="1" applyBorder="1" applyAlignment="1">
      <alignment horizontal="center" vertical="center"/>
    </xf>
    <xf numFmtId="176" fontId="55" fillId="0" borderId="0" xfId="3" applyNumberFormat="1" applyFont="1" applyFill="1" applyBorder="1" applyAlignment="1">
      <alignment horizontal="center" vertical="center"/>
    </xf>
    <xf numFmtId="176" fontId="55" fillId="0" borderId="437" xfId="3" applyNumberFormat="1" applyFont="1" applyFill="1" applyBorder="1" applyAlignment="1">
      <alignment horizontal="center" vertical="center"/>
    </xf>
    <xf numFmtId="188" fontId="55" fillId="29" borderId="0" xfId="3" applyNumberFormat="1" applyFont="1" applyFill="1" applyBorder="1" applyAlignment="1">
      <alignment horizontal="center" vertical="center"/>
    </xf>
    <xf numFmtId="176" fontId="55" fillId="29" borderId="0" xfId="3" applyNumberFormat="1" applyFont="1" applyFill="1" applyBorder="1" applyAlignment="1">
      <alignment horizontal="center" vertical="center"/>
    </xf>
    <xf numFmtId="188" fontId="55" fillId="0" borderId="44" xfId="3" applyNumberFormat="1" applyFont="1" applyFill="1" applyBorder="1" applyAlignment="1">
      <alignment horizontal="center" vertical="center"/>
    </xf>
    <xf numFmtId="176" fontId="55" fillId="0" borderId="2" xfId="3" applyNumberFormat="1" applyFont="1" applyFill="1" applyBorder="1" applyAlignment="1">
      <alignment horizontal="center" vertical="center"/>
    </xf>
    <xf numFmtId="188" fontId="36" fillId="0" borderId="0" xfId="3" applyNumberFormat="1" applyFont="1" applyFill="1" applyBorder="1" applyAlignment="1">
      <alignment horizontal="center" vertical="center"/>
    </xf>
    <xf numFmtId="176" fontId="36" fillId="0" borderId="44" xfId="3" applyNumberFormat="1" applyFont="1" applyFill="1" applyBorder="1" applyAlignment="1">
      <alignment horizontal="center" vertical="center"/>
    </xf>
    <xf numFmtId="188" fontId="36" fillId="0" borderId="224" xfId="3" applyNumberFormat="1" applyFont="1" applyFill="1" applyBorder="1" applyAlignment="1">
      <alignment horizontal="center" vertical="center"/>
    </xf>
    <xf numFmtId="0" fontId="57" fillId="2" borderId="0" xfId="0" applyFont="1" applyFill="1" applyBorder="1">
      <alignment vertical="center"/>
    </xf>
    <xf numFmtId="176" fontId="55" fillId="2" borderId="11" xfId="3" applyNumberFormat="1" applyFont="1" applyFill="1" applyBorder="1" applyAlignment="1">
      <alignment horizontal="center" vertical="center"/>
    </xf>
    <xf numFmtId="176" fontId="55" fillId="2" borderId="0" xfId="3" applyNumberFormat="1" applyFont="1" applyFill="1" applyBorder="1" applyAlignment="1">
      <alignment horizontal="center" vertical="center"/>
    </xf>
    <xf numFmtId="176" fontId="55" fillId="2" borderId="437" xfId="3" applyNumberFormat="1" applyFont="1" applyFill="1" applyBorder="1" applyAlignment="1">
      <alignment horizontal="center" vertical="center"/>
    </xf>
    <xf numFmtId="188" fontId="55" fillId="2" borderId="44" xfId="3" applyNumberFormat="1" applyFont="1" applyFill="1" applyBorder="1" applyAlignment="1">
      <alignment horizontal="center" vertical="center"/>
    </xf>
    <xf numFmtId="188" fontId="55" fillId="2" borderId="84" xfId="3" applyNumberFormat="1" applyFont="1" applyFill="1" applyBorder="1" applyAlignment="1">
      <alignment horizontal="center" vertical="center"/>
    </xf>
    <xf numFmtId="176" fontId="55" fillId="2" borderId="2" xfId="3" applyNumberFormat="1" applyFont="1" applyFill="1" applyBorder="1" applyAlignment="1">
      <alignment horizontal="center" vertical="center"/>
    </xf>
    <xf numFmtId="188" fontId="36" fillId="2" borderId="0" xfId="3" applyNumberFormat="1" applyFont="1" applyFill="1" applyBorder="1" applyAlignment="1">
      <alignment horizontal="center" vertical="center"/>
    </xf>
    <xf numFmtId="176" fontId="36" fillId="2" borderId="44" xfId="3" applyNumberFormat="1" applyFont="1" applyFill="1" applyBorder="1" applyAlignment="1">
      <alignment horizontal="center" vertical="center"/>
    </xf>
    <xf numFmtId="188" fontId="36" fillId="2" borderId="224" xfId="3" applyNumberFormat="1" applyFont="1" applyFill="1" applyBorder="1" applyAlignment="1">
      <alignment horizontal="center" vertical="center"/>
    </xf>
    <xf numFmtId="0" fontId="57" fillId="3" borderId="0" xfId="0" applyFont="1" applyFill="1" applyBorder="1">
      <alignment vertical="center"/>
    </xf>
    <xf numFmtId="0" fontId="57" fillId="3" borderId="0" xfId="0" quotePrefix="1" applyFont="1" applyFill="1" applyBorder="1">
      <alignment vertical="center"/>
    </xf>
    <xf numFmtId="176" fontId="55" fillId="3" borderId="11" xfId="3" applyNumberFormat="1" applyFont="1" applyFill="1" applyBorder="1" applyAlignment="1">
      <alignment horizontal="center" vertical="center"/>
    </xf>
    <xf numFmtId="176" fontId="55" fillId="3" borderId="0" xfId="3" applyNumberFormat="1" applyFont="1" applyFill="1" applyBorder="1" applyAlignment="1">
      <alignment horizontal="center" vertical="center"/>
    </xf>
    <xf numFmtId="176" fontId="55" fillId="3" borderId="437" xfId="3" applyNumberFormat="1" applyFont="1" applyFill="1" applyBorder="1" applyAlignment="1">
      <alignment horizontal="center" vertical="center"/>
    </xf>
    <xf numFmtId="188" fontId="55" fillId="3" borderId="44" xfId="3" applyNumberFormat="1" applyFont="1" applyFill="1" applyBorder="1" applyAlignment="1">
      <alignment horizontal="center" vertical="center"/>
    </xf>
    <xf numFmtId="188" fontId="55" fillId="3" borderId="84" xfId="3" applyNumberFormat="1" applyFont="1" applyFill="1" applyBorder="1" applyAlignment="1">
      <alignment horizontal="center" vertical="center"/>
    </xf>
    <xf numFmtId="176" fontId="55" fillId="3" borderId="2" xfId="3" applyNumberFormat="1" applyFont="1" applyFill="1" applyBorder="1" applyAlignment="1">
      <alignment horizontal="center" vertical="center"/>
    </xf>
    <xf numFmtId="188" fontId="36" fillId="3" borderId="0" xfId="3" applyNumberFormat="1" applyFont="1" applyFill="1" applyBorder="1" applyAlignment="1">
      <alignment horizontal="center" vertical="center"/>
    </xf>
    <xf numFmtId="176" fontId="36" fillId="3" borderId="44" xfId="3" applyNumberFormat="1" applyFont="1" applyFill="1" applyBorder="1" applyAlignment="1">
      <alignment horizontal="center" vertical="center"/>
    </xf>
    <xf numFmtId="188" fontId="36" fillId="3" borderId="224" xfId="3" applyNumberFormat="1" applyFont="1" applyFill="1" applyBorder="1" applyAlignment="1">
      <alignment horizontal="center" vertical="center"/>
    </xf>
    <xf numFmtId="176" fontId="55" fillId="29" borderId="38" xfId="3" applyNumberFormat="1" applyFont="1" applyFill="1" applyBorder="1" applyAlignment="1">
      <alignment horizontal="center" vertical="center"/>
    </xf>
    <xf numFmtId="176" fontId="55" fillId="29" borderId="173" xfId="3" applyNumberFormat="1" applyFont="1" applyFill="1" applyBorder="1" applyAlignment="1">
      <alignment horizontal="center" vertical="center"/>
    </xf>
    <xf numFmtId="0" fontId="57" fillId="3" borderId="79" xfId="0" applyFont="1" applyFill="1" applyBorder="1">
      <alignment vertical="center"/>
    </xf>
    <xf numFmtId="0" fontId="57" fillId="3" borderId="79" xfId="0" quotePrefix="1" applyFont="1" applyFill="1" applyBorder="1">
      <alignment vertical="center"/>
    </xf>
    <xf numFmtId="176" fontId="55" fillId="3" borderId="80" xfId="3" applyNumberFormat="1" applyFont="1" applyFill="1" applyBorder="1" applyAlignment="1">
      <alignment horizontal="center" vertical="center"/>
    </xf>
    <xf numFmtId="176" fontId="55" fillId="3" borderId="79" xfId="3" applyNumberFormat="1" applyFont="1" applyFill="1" applyBorder="1" applyAlignment="1">
      <alignment horizontal="center" vertical="center"/>
    </xf>
    <xf numFmtId="176" fontId="55" fillId="3" borderId="1036" xfId="3" applyNumberFormat="1" applyFont="1" applyFill="1" applyBorder="1" applyAlignment="1">
      <alignment horizontal="center" vertical="center"/>
    </xf>
    <xf numFmtId="192" fontId="55" fillId="29" borderId="0" xfId="3" applyNumberFormat="1" applyFont="1" applyFill="1" applyBorder="1" applyAlignment="1">
      <alignment horizontal="center" vertical="center"/>
    </xf>
    <xf numFmtId="192" fontId="55" fillId="29" borderId="38" xfId="3" applyNumberFormat="1" applyFont="1" applyFill="1" applyBorder="1" applyAlignment="1">
      <alignment horizontal="center" vertical="center"/>
    </xf>
    <xf numFmtId="188" fontId="55" fillId="3" borderId="82" xfId="3" applyNumberFormat="1" applyFont="1" applyFill="1" applyBorder="1" applyAlignment="1">
      <alignment horizontal="center" vertical="center"/>
    </xf>
    <xf numFmtId="188" fontId="55" fillId="3" borderId="93" xfId="3" applyNumberFormat="1" applyFont="1" applyFill="1" applyBorder="1" applyAlignment="1">
      <alignment horizontal="center" vertical="center"/>
    </xf>
    <xf numFmtId="176" fontId="55" fillId="3" borderId="81" xfId="3" applyNumberFormat="1" applyFont="1" applyFill="1" applyBorder="1" applyAlignment="1">
      <alignment horizontal="center" vertical="center"/>
    </xf>
    <xf numFmtId="192" fontId="55" fillId="29" borderId="173" xfId="3" applyNumberFormat="1" applyFont="1" applyFill="1" applyBorder="1" applyAlignment="1">
      <alignment horizontal="center" vertical="center"/>
    </xf>
    <xf numFmtId="188" fontId="36" fillId="3" borderId="79" xfId="3" applyNumberFormat="1" applyFont="1" applyFill="1" applyBorder="1" applyAlignment="1">
      <alignment horizontal="center" vertical="center"/>
    </xf>
    <xf numFmtId="176" fontId="36" fillId="3" borderId="82" xfId="3" applyNumberFormat="1" applyFont="1" applyFill="1" applyBorder="1" applyAlignment="1">
      <alignment horizontal="center" vertical="center"/>
    </xf>
    <xf numFmtId="188" fontId="36" fillId="3" borderId="255" xfId="3" applyNumberFormat="1" applyFont="1" applyFill="1" applyBorder="1" applyAlignment="1">
      <alignment horizontal="center" vertical="center"/>
    </xf>
    <xf numFmtId="0" fontId="60" fillId="0" borderId="0" xfId="0" applyFont="1" applyFill="1" applyBorder="1">
      <alignment vertical="center"/>
    </xf>
    <xf numFmtId="192" fontId="55" fillId="29" borderId="0" xfId="2" applyNumberFormat="1" applyFont="1" applyFill="1" applyBorder="1" applyAlignment="1">
      <alignment horizontal="center" vertical="center"/>
    </xf>
    <xf numFmtId="186" fontId="36" fillId="0" borderId="224" xfId="2" applyNumberFormat="1" applyFont="1" applyFill="1" applyBorder="1" applyAlignment="1">
      <alignment horizontal="center" vertical="center"/>
    </xf>
    <xf numFmtId="176" fontId="55" fillId="0" borderId="11" xfId="0" applyNumberFormat="1" applyFont="1" applyFill="1" applyBorder="1" applyAlignment="1">
      <alignment horizontal="center" vertical="center"/>
    </xf>
    <xf numFmtId="176" fontId="55" fillId="0" borderId="0" xfId="0" applyNumberFormat="1" applyFont="1" applyFill="1" applyBorder="1" applyAlignment="1">
      <alignment horizontal="center" vertical="center"/>
    </xf>
    <xf numFmtId="176" fontId="55" fillId="0" borderId="437" xfId="0" applyNumberFormat="1" applyFont="1" applyFill="1" applyBorder="1" applyAlignment="1">
      <alignment horizontal="center" vertical="center"/>
    </xf>
    <xf numFmtId="188" fontId="55" fillId="29" borderId="0" xfId="0" applyNumberFormat="1" applyFont="1" applyFill="1" applyBorder="1" applyAlignment="1">
      <alignment horizontal="center" vertical="center"/>
    </xf>
    <xf numFmtId="187" fontId="55" fillId="29" borderId="0" xfId="0" applyNumberFormat="1" applyFont="1" applyFill="1" applyBorder="1" applyAlignment="1">
      <alignment horizontal="center" vertical="center"/>
    </xf>
    <xf numFmtId="188" fontId="55" fillId="0" borderId="44" xfId="0" applyNumberFormat="1" applyFont="1" applyFill="1" applyBorder="1" applyAlignment="1">
      <alignment horizontal="center" vertical="center"/>
    </xf>
    <xf numFmtId="188" fontId="55" fillId="0" borderId="84" xfId="0" applyNumberFormat="1" applyFont="1" applyFill="1" applyBorder="1" applyAlignment="1">
      <alignment horizontal="center" vertical="center"/>
    </xf>
    <xf numFmtId="176" fontId="55" fillId="0" borderId="2" xfId="0" applyNumberFormat="1" applyFont="1" applyFill="1" applyBorder="1" applyAlignment="1">
      <alignment horizontal="center" vertical="center"/>
    </xf>
    <xf numFmtId="176" fontId="36" fillId="0" borderId="44" xfId="0" applyNumberFormat="1" applyFont="1" applyFill="1" applyBorder="1" applyAlignment="1">
      <alignment horizontal="center" vertical="center"/>
    </xf>
    <xf numFmtId="188" fontId="36" fillId="0" borderId="224" xfId="0" applyNumberFormat="1" applyFont="1" applyFill="1" applyBorder="1" applyAlignment="1">
      <alignment horizontal="center" vertical="center"/>
    </xf>
    <xf numFmtId="9" fontId="36" fillId="0" borderId="0" xfId="0" applyNumberFormat="1" applyFont="1">
      <alignment vertical="center"/>
    </xf>
    <xf numFmtId="0" fontId="60" fillId="0" borderId="0" xfId="0" quotePrefix="1" applyFont="1" applyBorder="1">
      <alignment vertical="center"/>
    </xf>
    <xf numFmtId="202" fontId="60" fillId="0" borderId="11" xfId="2" applyNumberFormat="1" applyFont="1" applyFill="1" applyBorder="1" applyAlignment="1">
      <alignment horizontal="center" vertical="center"/>
    </xf>
    <xf numFmtId="202" fontId="60" fillId="0" borderId="0" xfId="2" applyNumberFormat="1" applyFont="1" applyFill="1" applyBorder="1" applyAlignment="1">
      <alignment horizontal="center" vertical="center"/>
    </xf>
    <xf numFmtId="202" fontId="60" fillId="0" borderId="437" xfId="2" applyNumberFormat="1" applyFont="1" applyFill="1" applyBorder="1" applyAlignment="1">
      <alignment horizontal="center" vertical="center"/>
    </xf>
    <xf numFmtId="192" fontId="60" fillId="29" borderId="0" xfId="2" applyNumberFormat="1" applyFont="1" applyFill="1" applyBorder="1" applyAlignment="1">
      <alignment horizontal="center" vertical="center"/>
    </xf>
    <xf numFmtId="186" fontId="60" fillId="0" borderId="44" xfId="2" applyNumberFormat="1" applyFont="1" applyFill="1" applyBorder="1" applyAlignment="1">
      <alignment horizontal="center" vertical="center"/>
    </xf>
    <xf numFmtId="186" fontId="60" fillId="0" borderId="84" xfId="2" applyNumberFormat="1" applyFont="1" applyFill="1" applyBorder="1" applyAlignment="1">
      <alignment horizontal="center" vertical="center"/>
    </xf>
    <xf numFmtId="202" fontId="60" fillId="0" borderId="2" xfId="2" applyNumberFormat="1" applyFont="1" applyFill="1" applyBorder="1" applyAlignment="1">
      <alignment horizontal="center" vertical="center"/>
    </xf>
    <xf numFmtId="186" fontId="47" fillId="0" borderId="0" xfId="2" applyNumberFormat="1" applyFont="1" applyFill="1" applyBorder="1" applyAlignment="1">
      <alignment horizontal="center" vertical="center"/>
    </xf>
    <xf numFmtId="202" fontId="47" fillId="0" borderId="44" xfId="2" applyNumberFormat="1" applyFont="1" applyFill="1" applyBorder="1" applyAlignment="1">
      <alignment horizontal="center" vertical="center"/>
    </xf>
    <xf numFmtId="186" fontId="47" fillId="0" borderId="224" xfId="2" applyNumberFormat="1" applyFont="1" applyFill="1" applyBorder="1" applyAlignment="1">
      <alignment horizontal="center" vertical="center"/>
    </xf>
    <xf numFmtId="0" fontId="60" fillId="0" borderId="61" xfId="0" applyFont="1" applyFill="1" applyBorder="1">
      <alignment vertical="center"/>
    </xf>
    <xf numFmtId="202" fontId="60" fillId="0" borderId="62" xfId="2" applyNumberFormat="1" applyFont="1" applyFill="1" applyBorder="1" applyAlignment="1">
      <alignment horizontal="center" vertical="center"/>
    </xf>
    <xf numFmtId="202" fontId="60" fillId="0" borderId="61" xfId="2" applyNumberFormat="1" applyFont="1" applyFill="1" applyBorder="1" applyAlignment="1">
      <alignment horizontal="center" vertical="center"/>
    </xf>
    <xf numFmtId="202" fontId="60" fillId="0" borderId="1037" xfId="2" applyNumberFormat="1" applyFont="1" applyFill="1" applyBorder="1" applyAlignment="1">
      <alignment horizontal="center" vertical="center"/>
    </xf>
    <xf numFmtId="192" fontId="60" fillId="29" borderId="61" xfId="2" applyNumberFormat="1" applyFont="1" applyFill="1" applyBorder="1" applyAlignment="1">
      <alignment horizontal="center" vertical="center"/>
    </xf>
    <xf numFmtId="186" fontId="60" fillId="0" borderId="64" xfId="2" applyNumberFormat="1" applyFont="1" applyFill="1" applyBorder="1" applyAlignment="1">
      <alignment horizontal="center" vertical="center"/>
    </xf>
    <xf numFmtId="186" fontId="60" fillId="0" borderId="94" xfId="2" applyNumberFormat="1" applyFont="1" applyFill="1" applyBorder="1" applyAlignment="1">
      <alignment horizontal="center" vertical="center"/>
    </xf>
    <xf numFmtId="202" fontId="60" fillId="0" borderId="3" xfId="2" applyNumberFormat="1" applyFont="1" applyFill="1" applyBorder="1" applyAlignment="1">
      <alignment horizontal="center" vertical="center"/>
    </xf>
    <xf numFmtId="186" fontId="47" fillId="0" borderId="61" xfId="2" applyNumberFormat="1" applyFont="1" applyFill="1" applyBorder="1" applyAlignment="1">
      <alignment horizontal="center" vertical="center"/>
    </xf>
    <xf numFmtId="202" fontId="47" fillId="0" borderId="64" xfId="2" applyNumberFormat="1" applyFont="1" applyFill="1" applyBorder="1" applyAlignment="1">
      <alignment horizontal="center" vertical="center"/>
    </xf>
    <xf numFmtId="186" fontId="47" fillId="0" borderId="233" xfId="2" applyNumberFormat="1" applyFont="1" applyFill="1" applyBorder="1" applyAlignment="1">
      <alignment horizontal="center" vertical="center"/>
    </xf>
    <xf numFmtId="9" fontId="55" fillId="0" borderId="0" xfId="0" applyNumberFormat="1" applyFont="1">
      <alignment vertical="center"/>
    </xf>
    <xf numFmtId="41" fontId="36" fillId="0" borderId="0" xfId="0" applyNumberFormat="1" applyFont="1" applyAlignment="1">
      <alignment horizontal="center" vertical="center"/>
    </xf>
    <xf numFmtId="0" fontId="91" fillId="5" borderId="0" xfId="0" applyFont="1" applyFill="1" applyAlignment="1">
      <alignment horizontal="center" vertical="center"/>
    </xf>
    <xf numFmtId="41" fontId="66" fillId="0" borderId="0" xfId="0" applyNumberFormat="1" applyFont="1">
      <alignment vertical="center"/>
    </xf>
    <xf numFmtId="41" fontId="92" fillId="5" borderId="0" xfId="0" applyNumberFormat="1" applyFont="1" applyFill="1">
      <alignment vertical="center"/>
    </xf>
    <xf numFmtId="41" fontId="92" fillId="0" borderId="0" xfId="0" applyNumberFormat="1" applyFont="1">
      <alignment vertical="center"/>
    </xf>
    <xf numFmtId="0" fontId="36" fillId="4" borderId="425" xfId="0" applyFont="1" applyFill="1" applyBorder="1">
      <alignment vertical="center"/>
    </xf>
    <xf numFmtId="0" fontId="37" fillId="4" borderId="376" xfId="0" quotePrefix="1" applyFont="1" applyFill="1" applyBorder="1" applyAlignment="1">
      <alignment horizontal="center" vertical="center"/>
    </xf>
    <xf numFmtId="0" fontId="37" fillId="4" borderId="565" xfId="0" quotePrefix="1" applyFont="1" applyFill="1" applyBorder="1" applyAlignment="1">
      <alignment horizontal="center" vertical="center"/>
    </xf>
    <xf numFmtId="0" fontId="37" fillId="4" borderId="564" xfId="0" quotePrefix="1" applyFont="1" applyFill="1" applyBorder="1" applyAlignment="1">
      <alignment horizontal="center" vertical="center"/>
    </xf>
    <xf numFmtId="0" fontId="43" fillId="11" borderId="451" xfId="0" applyFont="1" applyFill="1" applyBorder="1">
      <alignment vertical="center"/>
    </xf>
    <xf numFmtId="0" fontId="36" fillId="11" borderId="451" xfId="0" applyFont="1" applyFill="1" applyBorder="1">
      <alignment vertical="center"/>
    </xf>
    <xf numFmtId="41" fontId="36" fillId="11" borderId="451" xfId="2" applyFont="1" applyFill="1" applyBorder="1">
      <alignment vertical="center"/>
    </xf>
    <xf numFmtId="41" fontId="36" fillId="11" borderId="1096" xfId="2" applyFont="1" applyFill="1" applyBorder="1">
      <alignment vertical="center"/>
    </xf>
    <xf numFmtId="202" fontId="36" fillId="11" borderId="451" xfId="2" applyNumberFormat="1" applyFont="1" applyFill="1" applyBorder="1">
      <alignment vertical="center"/>
    </xf>
    <xf numFmtId="202" fontId="36" fillId="11" borderId="1096" xfId="2" applyNumberFormat="1" applyFont="1" applyFill="1" applyBorder="1">
      <alignment vertical="center"/>
    </xf>
    <xf numFmtId="202" fontId="36" fillId="11" borderId="452" xfId="2" applyNumberFormat="1" applyFont="1" applyFill="1" applyBorder="1">
      <alignment vertical="center"/>
    </xf>
    <xf numFmtId="41" fontId="36" fillId="11" borderId="437" xfId="2" applyFont="1" applyFill="1" applyBorder="1">
      <alignment vertical="center"/>
    </xf>
    <xf numFmtId="41" fontId="36" fillId="5" borderId="11" xfId="2" applyFont="1" applyFill="1" applyBorder="1">
      <alignment vertical="center"/>
    </xf>
    <xf numFmtId="41" fontId="36" fillId="5" borderId="0" xfId="2" applyFont="1" applyFill="1" applyBorder="1">
      <alignment vertical="center"/>
    </xf>
    <xf numFmtId="202" fontId="36" fillId="11" borderId="561" xfId="2" applyNumberFormat="1" applyFont="1" applyFill="1" applyBorder="1">
      <alignment vertical="center"/>
    </xf>
    <xf numFmtId="202" fontId="36" fillId="9" borderId="410" xfId="2" applyNumberFormat="1" applyFont="1" applyFill="1" applyBorder="1">
      <alignment vertical="center"/>
    </xf>
    <xf numFmtId="202" fontId="36" fillId="0" borderId="410" xfId="2" applyNumberFormat="1" applyFont="1" applyFill="1" applyBorder="1">
      <alignment vertical="center"/>
    </xf>
    <xf numFmtId="41" fontId="55" fillId="0" borderId="0" xfId="2" applyFont="1" applyBorder="1">
      <alignment vertical="center"/>
    </xf>
    <xf numFmtId="202" fontId="36" fillId="0" borderId="0" xfId="2" applyNumberFormat="1" applyFont="1" applyFill="1" applyBorder="1" applyAlignment="1">
      <alignment horizontal="right" vertical="center"/>
    </xf>
    <xf numFmtId="202" fontId="36" fillId="0" borderId="376" xfId="2" applyNumberFormat="1" applyFont="1" applyFill="1" applyBorder="1" applyAlignment="1">
      <alignment horizontal="right" vertical="center"/>
    </xf>
    <xf numFmtId="0" fontId="57" fillId="8" borderId="0" xfId="0" applyFont="1" applyFill="1" applyBorder="1">
      <alignment vertical="center"/>
    </xf>
    <xf numFmtId="202" fontId="36" fillId="8" borderId="410" xfId="2" applyNumberFormat="1" applyFont="1" applyFill="1" applyBorder="1">
      <alignment vertical="center"/>
    </xf>
    <xf numFmtId="0" fontId="57" fillId="11" borderId="451" xfId="0" applyFont="1" applyFill="1" applyBorder="1">
      <alignment vertical="center"/>
    </xf>
    <xf numFmtId="0" fontId="55" fillId="11" borderId="451" xfId="0" applyFont="1" applyFill="1" applyBorder="1">
      <alignment vertical="center"/>
    </xf>
    <xf numFmtId="41" fontId="55" fillId="11" borderId="451" xfId="2" applyFont="1" applyFill="1" applyBorder="1">
      <alignment vertical="center"/>
    </xf>
    <xf numFmtId="41" fontId="55" fillId="11" borderId="1096" xfId="2" applyFont="1" applyFill="1" applyBorder="1">
      <alignment vertical="center"/>
    </xf>
    <xf numFmtId="202" fontId="36" fillId="4" borderId="451" xfId="2" applyNumberFormat="1" applyFont="1" applyFill="1" applyBorder="1">
      <alignment vertical="center"/>
    </xf>
    <xf numFmtId="41" fontId="36" fillId="11" borderId="561" xfId="2" applyFont="1" applyFill="1" applyBorder="1">
      <alignment vertical="center"/>
    </xf>
    <xf numFmtId="202" fontId="36" fillId="4" borderId="0" xfId="2" applyNumberFormat="1" applyFont="1" applyFill="1" applyBorder="1">
      <alignment vertical="center"/>
    </xf>
    <xf numFmtId="0" fontId="36" fillId="0" borderId="0" xfId="2" applyNumberFormat="1" applyFont="1" applyFill="1" applyBorder="1">
      <alignment vertical="center"/>
    </xf>
    <xf numFmtId="41" fontId="36" fillId="5" borderId="410" xfId="0" applyNumberFormat="1" applyFont="1" applyFill="1" applyBorder="1" applyAlignment="1"/>
    <xf numFmtId="41" fontId="36" fillId="5" borderId="0" xfId="0" applyNumberFormat="1" applyFont="1" applyFill="1" applyBorder="1" applyAlignment="1"/>
    <xf numFmtId="41" fontId="36" fillId="5" borderId="0" xfId="0" applyNumberFormat="1" applyFont="1" applyFill="1" applyAlignment="1"/>
    <xf numFmtId="202" fontId="36" fillId="4" borderId="431" xfId="2" applyNumberFormat="1" applyFont="1" applyFill="1" applyBorder="1">
      <alignment vertical="center"/>
    </xf>
    <xf numFmtId="202" fontId="36" fillId="72" borderId="604" xfId="2" applyNumberFormat="1" applyFont="1" applyFill="1" applyBorder="1">
      <alignment vertical="center"/>
    </xf>
    <xf numFmtId="0" fontId="57" fillId="11" borderId="0" xfId="0" applyFont="1" applyFill="1" applyBorder="1">
      <alignment vertical="center"/>
    </xf>
    <xf numFmtId="41" fontId="55" fillId="5" borderId="11" xfId="2" applyFont="1" applyFill="1" applyBorder="1">
      <alignment vertical="center"/>
    </xf>
    <xf numFmtId="41" fontId="55" fillId="5" borderId="0" xfId="2" applyFont="1" applyFill="1" applyBorder="1">
      <alignment vertical="center"/>
    </xf>
    <xf numFmtId="0" fontId="57" fillId="38" borderId="0" xfId="0" applyFont="1" applyFill="1" applyBorder="1">
      <alignment vertical="center"/>
    </xf>
    <xf numFmtId="0" fontId="55" fillId="38" borderId="0" xfId="0" applyFont="1" applyFill="1" applyBorder="1">
      <alignment vertical="center"/>
    </xf>
    <xf numFmtId="41" fontId="55" fillId="38" borderId="0" xfId="2" applyFont="1" applyFill="1" applyBorder="1">
      <alignment vertical="center"/>
    </xf>
    <xf numFmtId="41" fontId="55" fillId="38" borderId="11" xfId="2" applyFont="1" applyFill="1" applyBorder="1">
      <alignment vertical="center"/>
    </xf>
    <xf numFmtId="41" fontId="36" fillId="38" borderId="0" xfId="2" applyFont="1" applyFill="1" applyBorder="1">
      <alignment vertical="center"/>
    </xf>
    <xf numFmtId="202" fontId="36" fillId="38" borderId="0" xfId="2" applyNumberFormat="1" applyFont="1" applyFill="1" applyBorder="1">
      <alignment vertical="center"/>
    </xf>
    <xf numFmtId="202" fontId="36" fillId="38" borderId="11" xfId="2" applyNumberFormat="1" applyFont="1" applyFill="1" applyBorder="1">
      <alignment vertical="center"/>
    </xf>
    <xf numFmtId="202" fontId="36" fillId="38" borderId="376" xfId="2" applyNumberFormat="1" applyFont="1" applyFill="1" applyBorder="1" applyAlignment="1">
      <alignment horizontal="right" vertical="center"/>
    </xf>
    <xf numFmtId="0" fontId="57" fillId="8" borderId="564" xfId="0" applyFont="1" applyFill="1" applyBorder="1">
      <alignment vertical="center"/>
    </xf>
    <xf numFmtId="0" fontId="55" fillId="8" borderId="564" xfId="0" applyFont="1" applyFill="1" applyBorder="1">
      <alignment vertical="center"/>
    </xf>
    <xf numFmtId="41" fontId="55" fillId="8" borderId="564" xfId="2" applyFont="1" applyFill="1" applyBorder="1">
      <alignment vertical="center"/>
    </xf>
    <xf numFmtId="41" fontId="55" fillId="8" borderId="1099" xfId="2" applyFont="1" applyFill="1" applyBorder="1">
      <alignment vertical="center"/>
    </xf>
    <xf numFmtId="41" fontId="36" fillId="8" borderId="564" xfId="2" applyFont="1" applyFill="1" applyBorder="1">
      <alignment vertical="center"/>
    </xf>
    <xf numFmtId="202" fontId="36" fillId="8" borderId="564" xfId="2" applyNumberFormat="1" applyFont="1" applyFill="1" applyBorder="1">
      <alignment vertical="center"/>
    </xf>
    <xf numFmtId="202" fontId="36" fillId="8" borderId="1099" xfId="2" applyNumberFormat="1" applyFont="1" applyFill="1" applyBorder="1">
      <alignment vertical="center"/>
    </xf>
    <xf numFmtId="202" fontId="36" fillId="8" borderId="566" xfId="2" applyNumberFormat="1" applyFont="1" applyFill="1" applyBorder="1">
      <alignment vertical="center"/>
    </xf>
    <xf numFmtId="202" fontId="36" fillId="0" borderId="0" xfId="2" applyNumberFormat="1" applyFont="1" applyBorder="1">
      <alignment vertical="center"/>
    </xf>
    <xf numFmtId="202" fontId="36" fillId="8" borderId="6" xfId="2" applyNumberFormat="1" applyFont="1" applyFill="1" applyBorder="1">
      <alignment vertical="center"/>
    </xf>
    <xf numFmtId="41" fontId="52" fillId="0" borderId="0" xfId="0" applyNumberFormat="1" applyFont="1">
      <alignment vertical="center"/>
    </xf>
    <xf numFmtId="0" fontId="39" fillId="5" borderId="786" xfId="0" applyFont="1" applyFill="1" applyBorder="1" applyAlignment="1">
      <alignment vertical="center"/>
    </xf>
    <xf numFmtId="0" fontId="40" fillId="39" borderId="0" xfId="0" applyFont="1" applyFill="1" applyAlignment="1">
      <alignment vertical="center"/>
    </xf>
    <xf numFmtId="0" fontId="36" fillId="0" borderId="431" xfId="0" quotePrefix="1" applyFont="1" applyBorder="1">
      <alignment vertical="center"/>
    </xf>
    <xf numFmtId="0" fontId="47" fillId="0" borderId="376" xfId="0" quotePrefix="1" applyFont="1" applyBorder="1" applyAlignment="1">
      <alignment horizontal="right" vertical="center"/>
    </xf>
    <xf numFmtId="0" fontId="43" fillId="4" borderId="353" xfId="0" quotePrefix="1" applyFont="1" applyFill="1" applyBorder="1" applyAlignment="1">
      <alignment horizontal="center" vertical="center"/>
    </xf>
    <xf numFmtId="0" fontId="43" fillId="11" borderId="735" xfId="0" applyFont="1" applyFill="1" applyBorder="1">
      <alignment vertical="center"/>
    </xf>
    <xf numFmtId="41" fontId="36" fillId="11" borderId="736" xfId="2" applyFont="1" applyFill="1" applyBorder="1">
      <alignment vertical="center"/>
    </xf>
    <xf numFmtId="41" fontId="36" fillId="11" borderId="735" xfId="2" applyFont="1" applyFill="1" applyBorder="1">
      <alignment vertical="center"/>
    </xf>
    <xf numFmtId="41" fontId="36" fillId="11" borderId="1029" xfId="2" applyFont="1" applyFill="1" applyBorder="1">
      <alignment vertical="center"/>
    </xf>
    <xf numFmtId="41" fontId="36" fillId="29" borderId="735" xfId="2" applyFont="1" applyFill="1" applyBorder="1">
      <alignment vertical="center"/>
    </xf>
    <xf numFmtId="193" fontId="36" fillId="11" borderId="737" xfId="0" applyNumberFormat="1" applyFont="1" applyFill="1" applyBorder="1">
      <alignment vertical="center"/>
    </xf>
    <xf numFmtId="193" fontId="36" fillId="11" borderId="735" xfId="0" applyNumberFormat="1" applyFont="1" applyFill="1" applyBorder="1">
      <alignment vertical="center"/>
    </xf>
    <xf numFmtId="192" fontId="36" fillId="11" borderId="1101" xfId="2" applyNumberFormat="1" applyFont="1" applyFill="1" applyBorder="1">
      <alignment vertical="center"/>
    </xf>
    <xf numFmtId="194" fontId="36" fillId="29" borderId="735" xfId="0" applyNumberFormat="1" applyFont="1" applyFill="1" applyBorder="1" applyAlignment="1">
      <alignment horizontal="right" vertical="center"/>
    </xf>
    <xf numFmtId="192" fontId="36" fillId="11" borderId="737" xfId="2" applyNumberFormat="1" applyFont="1" applyFill="1" applyBorder="1">
      <alignment vertical="center"/>
    </xf>
    <xf numFmtId="193" fontId="36" fillId="11" borderId="738" xfId="0" applyNumberFormat="1" applyFont="1" applyFill="1" applyBorder="1">
      <alignment vertical="center"/>
    </xf>
    <xf numFmtId="41" fontId="47" fillId="9" borderId="11" xfId="2" applyFont="1" applyFill="1" applyBorder="1">
      <alignment vertical="center"/>
    </xf>
    <xf numFmtId="41" fontId="47" fillId="9" borderId="0" xfId="2" applyFont="1" applyFill="1" applyBorder="1">
      <alignment vertical="center"/>
    </xf>
    <xf numFmtId="41" fontId="47" fillId="9" borderId="437" xfId="2" applyFont="1" applyFill="1" applyBorder="1">
      <alignment vertical="center"/>
    </xf>
    <xf numFmtId="41" fontId="47" fillId="29" borderId="0" xfId="2" applyFont="1" applyFill="1" applyBorder="1">
      <alignment vertical="center"/>
    </xf>
    <xf numFmtId="193" fontId="47" fillId="9" borderId="44" xfId="2" applyNumberFormat="1" applyFont="1" applyFill="1" applyBorder="1">
      <alignment vertical="center"/>
    </xf>
    <xf numFmtId="193" fontId="47" fillId="9" borderId="0" xfId="2" applyNumberFormat="1" applyFont="1" applyFill="1" applyBorder="1">
      <alignment vertical="center"/>
    </xf>
    <xf numFmtId="192" fontId="47" fillId="9" borderId="2" xfId="2" applyNumberFormat="1" applyFont="1" applyFill="1" applyBorder="1">
      <alignment vertical="center"/>
    </xf>
    <xf numFmtId="194" fontId="47" fillId="29" borderId="0" xfId="2" applyNumberFormat="1" applyFont="1" applyFill="1" applyBorder="1" applyAlignment="1">
      <alignment horizontal="right" vertical="center"/>
    </xf>
    <xf numFmtId="194" fontId="47" fillId="29" borderId="0" xfId="0" applyNumberFormat="1" applyFont="1" applyFill="1" applyBorder="1" applyAlignment="1">
      <alignment horizontal="right" vertical="center"/>
    </xf>
    <xf numFmtId="192" fontId="47" fillId="9" borderId="44" xfId="2" applyNumberFormat="1" applyFont="1" applyFill="1" applyBorder="1">
      <alignment vertical="center"/>
    </xf>
    <xf numFmtId="193" fontId="47" fillId="9" borderId="740" xfId="2" applyNumberFormat="1" applyFont="1" applyFill="1" applyBorder="1">
      <alignment vertical="center"/>
    </xf>
    <xf numFmtId="41" fontId="47" fillId="0" borderId="11" xfId="2" applyFont="1" applyFill="1" applyBorder="1">
      <alignment vertical="center"/>
    </xf>
    <xf numFmtId="41" fontId="47" fillId="0" borderId="0" xfId="2" applyFont="1" applyFill="1" applyBorder="1">
      <alignment vertical="center"/>
    </xf>
    <xf numFmtId="41" fontId="47" fillId="0" borderId="437" xfId="2" applyFont="1" applyFill="1" applyBorder="1">
      <alignment vertical="center"/>
    </xf>
    <xf numFmtId="193" fontId="47" fillId="0" borderId="44" xfId="0" applyNumberFormat="1" applyFont="1" applyFill="1" applyBorder="1">
      <alignment vertical="center"/>
    </xf>
    <xf numFmtId="193" fontId="47" fillId="0" borderId="0" xfId="0" applyNumberFormat="1" applyFont="1" applyFill="1" applyBorder="1">
      <alignment vertical="center"/>
    </xf>
    <xf numFmtId="192" fontId="47" fillId="0" borderId="2" xfId="0" applyNumberFormat="1" applyFont="1" applyFill="1" applyBorder="1">
      <alignment vertical="center"/>
    </xf>
    <xf numFmtId="192" fontId="47" fillId="0" borderId="44" xfId="0" applyNumberFormat="1" applyFont="1" applyFill="1" applyBorder="1">
      <alignment vertical="center"/>
    </xf>
    <xf numFmtId="193" fontId="47" fillId="0" borderId="740" xfId="0" applyNumberFormat="1" applyFont="1" applyFill="1" applyBorder="1">
      <alignment vertical="center"/>
    </xf>
    <xf numFmtId="41" fontId="47" fillId="0" borderId="374" xfId="2" applyFont="1" applyFill="1" applyBorder="1">
      <alignment vertical="center"/>
    </xf>
    <xf numFmtId="41" fontId="36" fillId="0" borderId="374" xfId="2" applyFont="1" applyFill="1" applyBorder="1">
      <alignment vertical="center"/>
    </xf>
    <xf numFmtId="41" fontId="36" fillId="29" borderId="0" xfId="2" applyFont="1" applyFill="1" applyBorder="1">
      <alignment vertical="center"/>
    </xf>
    <xf numFmtId="193" fontId="36" fillId="0" borderId="44" xfId="0" applyNumberFormat="1" applyFont="1" applyFill="1" applyBorder="1">
      <alignment vertical="center"/>
    </xf>
    <xf numFmtId="193" fontId="36" fillId="0" borderId="0" xfId="0" applyNumberFormat="1" applyFont="1" applyFill="1" applyBorder="1">
      <alignment vertical="center"/>
    </xf>
    <xf numFmtId="192" fontId="36" fillId="0" borderId="2" xfId="0" applyNumberFormat="1" applyFont="1" applyFill="1" applyBorder="1">
      <alignment vertical="center"/>
    </xf>
    <xf numFmtId="194" fontId="36" fillId="29" borderId="0" xfId="0" applyNumberFormat="1" applyFont="1" applyFill="1" applyBorder="1" applyAlignment="1">
      <alignment horizontal="right" vertical="center"/>
    </xf>
    <xf numFmtId="192" fontId="36" fillId="0" borderId="44" xfId="0" applyNumberFormat="1" applyFont="1" applyFill="1" applyBorder="1">
      <alignment vertical="center"/>
    </xf>
    <xf numFmtId="193" fontId="36" fillId="0" borderId="740" xfId="0" applyNumberFormat="1" applyFont="1" applyFill="1" applyBorder="1">
      <alignment vertical="center"/>
    </xf>
    <xf numFmtId="41" fontId="36" fillId="2" borderId="0" xfId="2" applyFont="1" applyFill="1" applyBorder="1">
      <alignment vertical="center"/>
    </xf>
    <xf numFmtId="41" fontId="36" fillId="2" borderId="437" xfId="2" applyFont="1" applyFill="1" applyBorder="1">
      <alignment vertical="center"/>
    </xf>
    <xf numFmtId="41" fontId="36" fillId="2" borderId="2" xfId="2" applyFont="1" applyFill="1" applyBorder="1">
      <alignment vertical="center"/>
    </xf>
    <xf numFmtId="41" fontId="36" fillId="2" borderId="462" xfId="2" applyFont="1" applyFill="1" applyBorder="1">
      <alignment vertical="center"/>
    </xf>
    <xf numFmtId="41" fontId="36" fillId="70" borderId="0" xfId="2" applyFont="1" applyFill="1" applyBorder="1">
      <alignment vertical="center"/>
    </xf>
    <xf numFmtId="192" fontId="36" fillId="8" borderId="11" xfId="2" applyNumberFormat="1" applyFont="1" applyFill="1" applyBorder="1">
      <alignment vertical="center"/>
    </xf>
    <xf numFmtId="192" fontId="36" fillId="8" borderId="0" xfId="2" applyNumberFormat="1" applyFont="1" applyFill="1" applyBorder="1">
      <alignment vertical="center"/>
    </xf>
    <xf numFmtId="192" fontId="36" fillId="8" borderId="437" xfId="2" applyNumberFormat="1" applyFont="1" applyFill="1" applyBorder="1">
      <alignment vertical="center"/>
    </xf>
    <xf numFmtId="192" fontId="36" fillId="29" borderId="0" xfId="2" applyNumberFormat="1" applyFont="1" applyFill="1" applyBorder="1">
      <alignment vertical="center"/>
    </xf>
    <xf numFmtId="193" fontId="36" fillId="8" borderId="44" xfId="0" applyNumberFormat="1" applyFont="1" applyFill="1" applyBorder="1">
      <alignment vertical="center"/>
    </xf>
    <xf numFmtId="193" fontId="36" fillId="8" borderId="0" xfId="0" applyNumberFormat="1" applyFont="1" applyFill="1" applyBorder="1">
      <alignment vertical="center"/>
    </xf>
    <xf numFmtId="192" fontId="36" fillId="8" borderId="2" xfId="0" applyNumberFormat="1" applyFont="1" applyFill="1" applyBorder="1">
      <alignment vertical="center"/>
    </xf>
    <xf numFmtId="192" fontId="36" fillId="8" borderId="44" xfId="0" applyNumberFormat="1" applyFont="1" applyFill="1" applyBorder="1">
      <alignment vertical="center"/>
    </xf>
    <xf numFmtId="193" fontId="36" fillId="8" borderId="740" xfId="0" applyNumberFormat="1" applyFont="1" applyFill="1" applyBorder="1">
      <alignment vertical="center"/>
    </xf>
    <xf numFmtId="41" fontId="36" fillId="11" borderId="609" xfId="2" applyFont="1" applyFill="1" applyBorder="1">
      <alignment vertical="center"/>
    </xf>
    <xf numFmtId="41" fontId="36" fillId="29" borderId="66" xfId="2" applyFont="1" applyFill="1" applyBorder="1">
      <alignment vertical="center"/>
    </xf>
    <xf numFmtId="193" fontId="36" fillId="11" borderId="69" xfId="0" applyNumberFormat="1" applyFont="1" applyFill="1" applyBorder="1">
      <alignment vertical="center"/>
    </xf>
    <xf numFmtId="193" fontId="36" fillId="11" borderId="66" xfId="0" applyNumberFormat="1" applyFont="1" applyFill="1" applyBorder="1">
      <alignment vertical="center"/>
    </xf>
    <xf numFmtId="192" fontId="36" fillId="11" borderId="68" xfId="0" applyNumberFormat="1" applyFont="1" applyFill="1" applyBorder="1">
      <alignment vertical="center"/>
    </xf>
    <xf numFmtId="194" fontId="36" fillId="29" borderId="66" xfId="0" applyNumberFormat="1" applyFont="1" applyFill="1" applyBorder="1" applyAlignment="1">
      <alignment horizontal="right" vertical="center"/>
    </xf>
    <xf numFmtId="192" fontId="36" fillId="11" borderId="69" xfId="0" applyNumberFormat="1" applyFont="1" applyFill="1" applyBorder="1">
      <alignment vertical="center"/>
    </xf>
    <xf numFmtId="193" fontId="36" fillId="11" borderId="742" xfId="0" applyNumberFormat="1" applyFont="1" applyFill="1" applyBorder="1">
      <alignment vertical="center"/>
    </xf>
    <xf numFmtId="41" fontId="36" fillId="9" borderId="437" xfId="2" applyFont="1" applyFill="1" applyBorder="1">
      <alignment vertical="center"/>
    </xf>
    <xf numFmtId="193" fontId="36" fillId="9" borderId="44" xfId="0" applyNumberFormat="1" applyFont="1" applyFill="1" applyBorder="1">
      <alignment vertical="center"/>
    </xf>
    <xf numFmtId="193" fontId="36" fillId="9" borderId="0" xfId="0" applyNumberFormat="1" applyFont="1" applyFill="1" applyBorder="1">
      <alignment vertical="center"/>
    </xf>
    <xf numFmtId="192" fontId="36" fillId="9" borderId="2" xfId="0" applyNumberFormat="1" applyFont="1" applyFill="1" applyBorder="1">
      <alignment vertical="center"/>
    </xf>
    <xf numFmtId="192" fontId="36" fillId="9" borderId="44" xfId="0" applyNumberFormat="1" applyFont="1" applyFill="1" applyBorder="1">
      <alignment vertical="center"/>
    </xf>
    <xf numFmtId="193" fontId="36" fillId="9" borderId="740" xfId="0" applyNumberFormat="1" applyFont="1" applyFill="1" applyBorder="1">
      <alignment vertical="center"/>
    </xf>
    <xf numFmtId="202" fontId="36" fillId="0" borderId="437" xfId="2" applyNumberFormat="1" applyFont="1" applyFill="1" applyBorder="1">
      <alignment vertical="center"/>
    </xf>
    <xf numFmtId="202" fontId="36" fillId="29" borderId="0" xfId="2" applyNumberFormat="1" applyFont="1" applyFill="1" applyBorder="1">
      <alignment vertical="center"/>
    </xf>
    <xf numFmtId="192" fontId="36" fillId="8" borderId="36" xfId="2" applyNumberFormat="1" applyFont="1" applyFill="1" applyBorder="1">
      <alignment vertical="center"/>
    </xf>
    <xf numFmtId="192" fontId="36" fillId="8" borderId="35" xfId="2" applyNumberFormat="1" applyFont="1" applyFill="1" applyBorder="1">
      <alignment vertical="center"/>
    </xf>
    <xf numFmtId="192" fontId="36" fillId="8" borderId="433" xfId="2" applyNumberFormat="1" applyFont="1" applyFill="1" applyBorder="1">
      <alignment vertical="center"/>
    </xf>
    <xf numFmtId="192" fontId="36" fillId="29" borderId="35" xfId="2" applyNumberFormat="1" applyFont="1" applyFill="1" applyBorder="1">
      <alignment vertical="center"/>
    </xf>
    <xf numFmtId="193" fontId="36" fillId="8" borderId="70" xfId="0" applyNumberFormat="1" applyFont="1" applyFill="1" applyBorder="1">
      <alignment vertical="center"/>
    </xf>
    <xf numFmtId="193" fontId="36" fillId="8" borderId="35" xfId="0" applyNumberFormat="1" applyFont="1" applyFill="1" applyBorder="1">
      <alignment vertical="center"/>
    </xf>
    <xf numFmtId="192" fontId="36" fillId="8" borderId="37" xfId="0" applyNumberFormat="1" applyFont="1" applyFill="1" applyBorder="1">
      <alignment vertical="center"/>
    </xf>
    <xf numFmtId="194" fontId="36" fillId="29" borderId="35" xfId="0" applyNumberFormat="1" applyFont="1" applyFill="1" applyBorder="1" applyAlignment="1">
      <alignment horizontal="right" vertical="center"/>
    </xf>
    <xf numFmtId="192" fontId="36" fillId="8" borderId="70" xfId="0" applyNumberFormat="1" applyFont="1" applyFill="1" applyBorder="1">
      <alignment vertical="center"/>
    </xf>
    <xf numFmtId="193" fontId="36" fillId="8" borderId="744" xfId="0" applyNumberFormat="1" applyFont="1" applyFill="1" applyBorder="1">
      <alignment vertical="center"/>
    </xf>
    <xf numFmtId="0" fontId="43" fillId="8" borderId="746" xfId="0" applyFont="1" applyFill="1" applyBorder="1">
      <alignment vertical="center"/>
    </xf>
    <xf numFmtId="192" fontId="36" fillId="8" borderId="747" xfId="2" applyNumberFormat="1" applyFont="1" applyFill="1" applyBorder="1">
      <alignment vertical="center"/>
    </xf>
    <xf numFmtId="192" fontId="36" fillId="8" borderId="746" xfId="2" applyNumberFormat="1" applyFont="1" applyFill="1" applyBorder="1">
      <alignment vertical="center"/>
    </xf>
    <xf numFmtId="192" fontId="36" fillId="8" borderId="1030" xfId="2" applyNumberFormat="1" applyFont="1" applyFill="1" applyBorder="1">
      <alignment vertical="center"/>
    </xf>
    <xf numFmtId="192" fontId="36" fillId="29" borderId="746" xfId="2" applyNumberFormat="1" applyFont="1" applyFill="1" applyBorder="1">
      <alignment vertical="center"/>
    </xf>
    <xf numFmtId="193" fontId="36" fillId="8" borderId="748" xfId="0" applyNumberFormat="1" applyFont="1" applyFill="1" applyBorder="1">
      <alignment vertical="center"/>
    </xf>
    <xf numFmtId="193" fontId="36" fillId="8" borderId="746" xfId="0" applyNumberFormat="1" applyFont="1" applyFill="1" applyBorder="1">
      <alignment vertical="center"/>
    </xf>
    <xf numFmtId="192" fontId="36" fillId="8" borderId="1102" xfId="0" applyNumberFormat="1" applyFont="1" applyFill="1" applyBorder="1">
      <alignment vertical="center"/>
    </xf>
    <xf numFmtId="194" fontId="36" fillId="29" borderId="746" xfId="0" applyNumberFormat="1" applyFont="1" applyFill="1" applyBorder="1" applyAlignment="1">
      <alignment horizontal="right" vertical="center"/>
    </xf>
    <xf numFmtId="192" fontId="36" fillId="8" borderId="748" xfId="0" applyNumberFormat="1" applyFont="1" applyFill="1" applyBorder="1">
      <alignment vertical="center"/>
    </xf>
    <xf numFmtId="193" fontId="36" fillId="8" borderId="749" xfId="0" applyNumberFormat="1" applyFont="1" applyFill="1" applyBorder="1">
      <alignment vertical="center"/>
    </xf>
    <xf numFmtId="0" fontId="43" fillId="0" borderId="0" xfId="0" applyFont="1" applyFill="1">
      <alignment vertical="center"/>
    </xf>
    <xf numFmtId="0" fontId="36" fillId="0" borderId="0" xfId="0" applyFont="1" applyFill="1">
      <alignment vertical="center"/>
    </xf>
    <xf numFmtId="41" fontId="36" fillId="0" borderId="0" xfId="2" applyFont="1" applyFill="1">
      <alignment vertical="center"/>
    </xf>
    <xf numFmtId="194" fontId="36" fillId="0" borderId="0" xfId="0" applyNumberFormat="1" applyFont="1" applyFill="1" applyAlignment="1">
      <alignment horizontal="right" vertical="center"/>
    </xf>
    <xf numFmtId="193" fontId="36" fillId="0" borderId="0" xfId="0" applyNumberFormat="1" applyFont="1" applyFill="1">
      <alignment vertical="center"/>
    </xf>
    <xf numFmtId="192" fontId="36" fillId="0" borderId="0" xfId="0" applyNumberFormat="1" applyFont="1" applyFill="1">
      <alignment vertical="center"/>
    </xf>
    <xf numFmtId="0" fontId="65" fillId="0" borderId="0" xfId="0" applyFont="1" applyFill="1">
      <alignment vertical="center"/>
    </xf>
    <xf numFmtId="0" fontId="88" fillId="0" borderId="0" xfId="0" applyFont="1" applyFill="1">
      <alignment vertical="center"/>
    </xf>
    <xf numFmtId="192" fontId="36" fillId="11" borderId="1101" xfId="0" applyNumberFormat="1" applyFont="1" applyFill="1" applyBorder="1">
      <alignment vertical="center"/>
    </xf>
    <xf numFmtId="192" fontId="36" fillId="11" borderId="737" xfId="0" applyNumberFormat="1" applyFont="1" applyFill="1" applyBorder="1">
      <alignment vertical="center"/>
    </xf>
    <xf numFmtId="0" fontId="36" fillId="0" borderId="437" xfId="0" applyFont="1" applyBorder="1">
      <alignment vertical="center"/>
    </xf>
    <xf numFmtId="0" fontId="36" fillId="0" borderId="2" xfId="0" applyFont="1" applyBorder="1">
      <alignment vertical="center"/>
    </xf>
    <xf numFmtId="0" fontId="43" fillId="6" borderId="751" xfId="0" applyFont="1" applyFill="1" applyBorder="1">
      <alignment vertical="center"/>
    </xf>
    <xf numFmtId="41" fontId="36" fillId="6" borderId="752" xfId="2" applyFont="1" applyFill="1" applyBorder="1">
      <alignment vertical="center"/>
    </xf>
    <xf numFmtId="41" fontId="36" fillId="6" borderId="751" xfId="2" applyFont="1" applyFill="1" applyBorder="1">
      <alignment vertical="center"/>
    </xf>
    <xf numFmtId="41" fontId="36" fillId="6" borderId="1031" xfId="2" applyFont="1" applyFill="1" applyBorder="1">
      <alignment vertical="center"/>
    </xf>
    <xf numFmtId="186" fontId="36" fillId="6" borderId="751" xfId="2" applyNumberFormat="1" applyFont="1" applyFill="1" applyBorder="1">
      <alignment vertical="center"/>
    </xf>
    <xf numFmtId="187" fontId="36" fillId="6" borderId="751" xfId="2" applyNumberFormat="1" applyFont="1" applyFill="1" applyBorder="1">
      <alignment vertical="center"/>
    </xf>
    <xf numFmtId="193" fontId="36" fillId="6" borderId="753" xfId="2" applyNumberFormat="1" applyFont="1" applyFill="1" applyBorder="1">
      <alignment vertical="center"/>
    </xf>
    <xf numFmtId="41" fontId="36" fillId="6" borderId="1103" xfId="2" applyFont="1" applyFill="1" applyBorder="1">
      <alignment vertical="center"/>
    </xf>
    <xf numFmtId="41" fontId="36" fillId="6" borderId="753" xfId="2" applyFont="1" applyFill="1" applyBorder="1">
      <alignment vertical="center"/>
    </xf>
    <xf numFmtId="186" fontId="36" fillId="6" borderId="754" xfId="2" applyNumberFormat="1" applyFont="1" applyFill="1" applyBorder="1">
      <alignment vertical="center"/>
    </xf>
    <xf numFmtId="186" fontId="36" fillId="0" borderId="0" xfId="2" applyNumberFormat="1" applyFont="1" applyFill="1" applyBorder="1">
      <alignment vertical="center"/>
    </xf>
    <xf numFmtId="187" fontId="36" fillId="0" borderId="0" xfId="2" applyNumberFormat="1" applyFont="1" applyFill="1" applyBorder="1">
      <alignment vertical="center"/>
    </xf>
    <xf numFmtId="186" fontId="36" fillId="0" borderId="44" xfId="2" applyNumberFormat="1" applyFont="1" applyFill="1" applyBorder="1">
      <alignment vertical="center"/>
    </xf>
    <xf numFmtId="41" fontId="36" fillId="0" borderId="2" xfId="2" applyFont="1" applyFill="1" applyBorder="1">
      <alignment vertical="center"/>
    </xf>
    <xf numFmtId="41" fontId="36" fillId="0" borderId="44" xfId="2" applyFont="1" applyFill="1" applyBorder="1">
      <alignment vertical="center"/>
    </xf>
    <xf numFmtId="186" fontId="36" fillId="0" borderId="698" xfId="2" applyNumberFormat="1" applyFont="1" applyFill="1" applyBorder="1">
      <alignment vertical="center"/>
    </xf>
    <xf numFmtId="187" fontId="60" fillId="0" borderId="11" xfId="0" applyNumberFormat="1" applyFont="1" applyFill="1" applyBorder="1">
      <alignment vertical="center"/>
    </xf>
    <xf numFmtId="187" fontId="60" fillId="0" borderId="0" xfId="0" applyNumberFormat="1" applyFont="1" applyFill="1" applyBorder="1">
      <alignment vertical="center"/>
    </xf>
    <xf numFmtId="187" fontId="60" fillId="0" borderId="437" xfId="0" applyNumberFormat="1" applyFont="1" applyFill="1" applyBorder="1">
      <alignment vertical="center"/>
    </xf>
    <xf numFmtId="186" fontId="60" fillId="29" borderId="0" xfId="0" applyNumberFormat="1" applyFont="1" applyFill="1" applyBorder="1" applyAlignment="1">
      <alignment horizontal="right" vertical="center"/>
    </xf>
    <xf numFmtId="187" fontId="60" fillId="29" borderId="0" xfId="0" applyNumberFormat="1" applyFont="1" applyFill="1" applyBorder="1" applyAlignment="1">
      <alignment horizontal="right" vertical="center"/>
    </xf>
    <xf numFmtId="188" fontId="60" fillId="0" borderId="44" xfId="0" applyNumberFormat="1" applyFont="1" applyFill="1" applyBorder="1">
      <alignment vertical="center"/>
    </xf>
    <xf numFmtId="188" fontId="60" fillId="0" borderId="0" xfId="0" applyNumberFormat="1" applyFont="1" applyFill="1" applyBorder="1">
      <alignment vertical="center"/>
    </xf>
    <xf numFmtId="187" fontId="60" fillId="0" borderId="2" xfId="0" applyNumberFormat="1" applyFont="1" applyFill="1" applyBorder="1">
      <alignment vertical="center"/>
    </xf>
    <xf numFmtId="188" fontId="47" fillId="0" borderId="0" xfId="0" applyNumberFormat="1" applyFont="1" applyFill="1" applyBorder="1">
      <alignment vertical="center"/>
    </xf>
    <xf numFmtId="187" fontId="47" fillId="0" borderId="44" xfId="0" applyNumberFormat="1" applyFont="1" applyFill="1" applyBorder="1">
      <alignment vertical="center"/>
    </xf>
    <xf numFmtId="188" fontId="47" fillId="0" borderId="698" xfId="0" applyNumberFormat="1" applyFont="1" applyFill="1" applyBorder="1">
      <alignment vertical="center"/>
    </xf>
    <xf numFmtId="41" fontId="55" fillId="3" borderId="11" xfId="2" applyFont="1" applyFill="1" applyBorder="1">
      <alignment vertical="center"/>
    </xf>
    <xf numFmtId="41" fontId="55" fillId="3" borderId="0" xfId="2" applyFont="1" applyFill="1" applyBorder="1">
      <alignment vertical="center"/>
    </xf>
    <xf numFmtId="41" fontId="55" fillId="3" borderId="437" xfId="2" applyFont="1" applyFill="1" applyBorder="1">
      <alignment vertical="center"/>
    </xf>
    <xf numFmtId="186" fontId="55" fillId="29" borderId="0" xfId="2" applyNumberFormat="1" applyFont="1" applyFill="1" applyBorder="1" applyAlignment="1">
      <alignment horizontal="right" vertical="center"/>
    </xf>
    <xf numFmtId="187" fontId="55" fillId="29" borderId="0" xfId="2" applyNumberFormat="1" applyFont="1" applyFill="1" applyBorder="1" applyAlignment="1">
      <alignment horizontal="right" vertical="center"/>
    </xf>
    <xf numFmtId="186" fontId="55" fillId="3" borderId="44" xfId="2" applyNumberFormat="1" applyFont="1" applyFill="1" applyBorder="1">
      <alignment vertical="center"/>
    </xf>
    <xf numFmtId="186" fontId="55" fillId="3" borderId="0" xfId="2" applyNumberFormat="1" applyFont="1" applyFill="1" applyBorder="1">
      <alignment vertical="center"/>
    </xf>
    <xf numFmtId="41" fontId="55" fillId="3" borderId="2" xfId="2" applyFont="1" applyFill="1" applyBorder="1">
      <alignment vertical="center"/>
    </xf>
    <xf numFmtId="186" fontId="36" fillId="3" borderId="0" xfId="2" applyNumberFormat="1" applyFont="1" applyFill="1" applyBorder="1">
      <alignment vertical="center"/>
    </xf>
    <xf numFmtId="41" fontId="36" fillId="3" borderId="44" xfId="2" applyFont="1" applyFill="1" applyBorder="1">
      <alignment vertical="center"/>
    </xf>
    <xf numFmtId="186" fontId="36" fillId="3" borderId="698" xfId="2" applyNumberFormat="1" applyFont="1" applyFill="1" applyBorder="1">
      <alignment vertical="center"/>
    </xf>
    <xf numFmtId="0" fontId="60" fillId="3" borderId="0" xfId="0" applyFont="1" applyFill="1" applyBorder="1">
      <alignment vertical="center"/>
    </xf>
    <xf numFmtId="187" fontId="60" fillId="3" borderId="11" xfId="0" applyNumberFormat="1" applyFont="1" applyFill="1" applyBorder="1">
      <alignment vertical="center"/>
    </xf>
    <xf numFmtId="187" fontId="60" fillId="3" borderId="0" xfId="0" applyNumberFormat="1" applyFont="1" applyFill="1" applyBorder="1">
      <alignment vertical="center"/>
    </xf>
    <xf numFmtId="187" fontId="60" fillId="3" borderId="437" xfId="0" applyNumberFormat="1" applyFont="1" applyFill="1" applyBorder="1">
      <alignment vertical="center"/>
    </xf>
    <xf numFmtId="188" fontId="60" fillId="3" borderId="44" xfId="0" applyNumberFormat="1" applyFont="1" applyFill="1" applyBorder="1">
      <alignment vertical="center"/>
    </xf>
    <xf numFmtId="188" fontId="60" fillId="3" borderId="0" xfId="0" applyNumberFormat="1" applyFont="1" applyFill="1" applyBorder="1">
      <alignment vertical="center"/>
    </xf>
    <xf numFmtId="187" fontId="60" fillId="3" borderId="2" xfId="0" applyNumberFormat="1" applyFont="1" applyFill="1" applyBorder="1">
      <alignment vertical="center"/>
    </xf>
    <xf numFmtId="188" fontId="47" fillId="3" borderId="0" xfId="0" applyNumberFormat="1" applyFont="1" applyFill="1" applyBorder="1">
      <alignment vertical="center"/>
    </xf>
    <xf numFmtId="187" fontId="47" fillId="3" borderId="44" xfId="0" applyNumberFormat="1" applyFont="1" applyFill="1" applyBorder="1">
      <alignment vertical="center"/>
    </xf>
    <xf numFmtId="188" fontId="47" fillId="3" borderId="698" xfId="0" applyNumberFormat="1" applyFont="1" applyFill="1" applyBorder="1">
      <alignment vertical="center"/>
    </xf>
    <xf numFmtId="41" fontId="55" fillId="0" borderId="437" xfId="2" applyFont="1" applyFill="1" applyBorder="1">
      <alignment vertical="center"/>
    </xf>
    <xf numFmtId="186" fontId="55" fillId="0" borderId="44" xfId="2" applyNumberFormat="1" applyFont="1" applyFill="1" applyBorder="1">
      <alignment vertical="center"/>
    </xf>
    <xf numFmtId="186" fontId="55" fillId="0" borderId="0" xfId="2" applyNumberFormat="1" applyFont="1" applyFill="1" applyBorder="1">
      <alignment vertical="center"/>
    </xf>
    <xf numFmtId="41" fontId="55" fillId="0" borderId="2" xfId="2" applyFont="1" applyFill="1" applyBorder="1">
      <alignment vertical="center"/>
    </xf>
    <xf numFmtId="0" fontId="55" fillId="0" borderId="53" xfId="0" applyFont="1" applyFill="1" applyBorder="1">
      <alignment vertical="center"/>
    </xf>
    <xf numFmtId="41" fontId="55" fillId="0" borderId="54" xfId="2" applyFont="1" applyFill="1" applyBorder="1">
      <alignment vertical="center"/>
    </xf>
    <xf numFmtId="41" fontId="55" fillId="0" borderId="30" xfId="2" applyFont="1" applyFill="1" applyBorder="1">
      <alignment vertical="center"/>
    </xf>
    <xf numFmtId="41" fontId="55" fillId="0" borderId="866" xfId="2" applyFont="1" applyFill="1" applyBorder="1">
      <alignment vertical="center"/>
    </xf>
    <xf numFmtId="186" fontId="55" fillId="0" borderId="30" xfId="2" applyNumberFormat="1" applyFont="1" applyFill="1" applyBorder="1">
      <alignment vertical="center"/>
    </xf>
    <xf numFmtId="187" fontId="55" fillId="0" borderId="30" xfId="2" applyNumberFormat="1" applyFont="1" applyFill="1" applyBorder="1">
      <alignment vertical="center"/>
    </xf>
    <xf numFmtId="186" fontId="55" fillId="0" borderId="55" xfId="2" applyNumberFormat="1" applyFont="1" applyFill="1" applyBorder="1">
      <alignment vertical="center"/>
    </xf>
    <xf numFmtId="41" fontId="55" fillId="0" borderId="31" xfId="2" applyFont="1" applyFill="1" applyBorder="1">
      <alignment vertical="center"/>
    </xf>
    <xf numFmtId="186" fontId="36" fillId="0" borderId="30" xfId="2" applyNumberFormat="1" applyFont="1" applyFill="1" applyBorder="1">
      <alignment vertical="center"/>
    </xf>
    <xf numFmtId="41" fontId="36" fillId="0" borderId="55" xfId="2" applyFont="1" applyFill="1" applyBorder="1">
      <alignment vertical="center"/>
    </xf>
    <xf numFmtId="186" fontId="36" fillId="0" borderId="756" xfId="2" applyNumberFormat="1" applyFont="1" applyFill="1" applyBorder="1">
      <alignment vertical="center"/>
    </xf>
    <xf numFmtId="187" fontId="55" fillId="0" borderId="0" xfId="2" applyNumberFormat="1" applyFont="1" applyFill="1" applyBorder="1">
      <alignment vertical="center"/>
    </xf>
    <xf numFmtId="0" fontId="55" fillId="0" borderId="706" xfId="0" applyFont="1" applyFill="1" applyBorder="1">
      <alignment vertical="center"/>
    </xf>
    <xf numFmtId="41" fontId="55" fillId="0" borderId="707" xfId="2" applyFont="1" applyFill="1" applyBorder="1">
      <alignment vertical="center"/>
    </xf>
    <xf numFmtId="41" fontId="55" fillId="0" borderId="706" xfId="2" applyFont="1" applyFill="1" applyBorder="1">
      <alignment vertical="center"/>
    </xf>
    <xf numFmtId="41" fontId="55" fillId="0" borderId="775" xfId="2" applyFont="1" applyFill="1" applyBorder="1">
      <alignment vertical="center"/>
    </xf>
    <xf numFmtId="186" fontId="55" fillId="0" borderId="709" xfId="2" applyNumberFormat="1" applyFont="1" applyFill="1" applyBorder="1">
      <alignment vertical="center"/>
    </xf>
    <xf numFmtId="186" fontId="55" fillId="0" borderId="706" xfId="2" applyNumberFormat="1" applyFont="1" applyFill="1" applyBorder="1">
      <alignment vertical="center"/>
    </xf>
    <xf numFmtId="41" fontId="55" fillId="0" borderId="3" xfId="2" applyFont="1" applyFill="1" applyBorder="1">
      <alignment vertical="center"/>
    </xf>
    <xf numFmtId="186" fontId="36" fillId="0" borderId="706" xfId="2" applyNumberFormat="1" applyFont="1" applyFill="1" applyBorder="1">
      <alignment vertical="center"/>
    </xf>
    <xf numFmtId="41" fontId="36" fillId="0" borderId="709" xfId="2" applyFont="1" applyFill="1" applyBorder="1">
      <alignment vertical="center"/>
    </xf>
    <xf numFmtId="186" fontId="36" fillId="0" borderId="710" xfId="2" applyNumberFormat="1" applyFont="1" applyFill="1" applyBorder="1">
      <alignment vertical="center"/>
    </xf>
    <xf numFmtId="0" fontId="55" fillId="0" borderId="437" xfId="0" applyFont="1" applyBorder="1">
      <alignment vertical="center"/>
    </xf>
    <xf numFmtId="0" fontId="57" fillId="6" borderId="751" xfId="0" applyFont="1" applyFill="1" applyBorder="1">
      <alignment vertical="center"/>
    </xf>
    <xf numFmtId="41" fontId="55" fillId="6" borderId="751" xfId="2" applyFont="1" applyFill="1" applyBorder="1">
      <alignment vertical="center"/>
    </xf>
    <xf numFmtId="41" fontId="55" fillId="6" borderId="1031" xfId="2" applyFont="1" applyFill="1" applyBorder="1">
      <alignment vertical="center"/>
    </xf>
    <xf numFmtId="186" fontId="55" fillId="6" borderId="751" xfId="2" applyNumberFormat="1" applyFont="1" applyFill="1" applyBorder="1">
      <alignment vertical="center"/>
    </xf>
    <xf numFmtId="187" fontId="55" fillId="6" borderId="751" xfId="0" applyNumberFormat="1" applyFont="1" applyFill="1" applyBorder="1">
      <alignment vertical="center"/>
    </xf>
    <xf numFmtId="186" fontId="55" fillId="6" borderId="753" xfId="0" applyNumberFormat="1" applyFont="1" applyFill="1" applyBorder="1">
      <alignment vertical="center"/>
    </xf>
    <xf numFmtId="186" fontId="55" fillId="6" borderId="751" xfId="0" applyNumberFormat="1" applyFont="1" applyFill="1" applyBorder="1">
      <alignment vertical="center"/>
    </xf>
    <xf numFmtId="41" fontId="55" fillId="6" borderId="1" xfId="0" applyNumberFormat="1" applyFont="1" applyFill="1" applyBorder="1">
      <alignment vertical="center"/>
    </xf>
    <xf numFmtId="186" fontId="36" fillId="6" borderId="751" xfId="0" applyNumberFormat="1" applyFont="1" applyFill="1" applyBorder="1">
      <alignment vertical="center"/>
    </xf>
    <xf numFmtId="41" fontId="36" fillId="6" borderId="753" xfId="0" applyNumberFormat="1" applyFont="1" applyFill="1" applyBorder="1">
      <alignment vertical="center"/>
    </xf>
    <xf numFmtId="186" fontId="36" fillId="6" borderId="754" xfId="0" applyNumberFormat="1" applyFont="1" applyFill="1" applyBorder="1">
      <alignment vertical="center"/>
    </xf>
    <xf numFmtId="41" fontId="43" fillId="0" borderId="0" xfId="2" applyFont="1">
      <alignment vertical="center"/>
    </xf>
    <xf numFmtId="0" fontId="55" fillId="24" borderId="0" xfId="0" applyFont="1" applyFill="1" applyBorder="1">
      <alignment vertical="center"/>
    </xf>
    <xf numFmtId="41" fontId="55" fillId="24" borderId="0" xfId="2" applyFont="1" applyFill="1" applyBorder="1">
      <alignment vertical="center"/>
    </xf>
    <xf numFmtId="41" fontId="55" fillId="24" borderId="437" xfId="2" applyFont="1" applyFill="1" applyBorder="1">
      <alignment vertical="center"/>
    </xf>
    <xf numFmtId="186" fontId="55" fillId="24" borderId="0" xfId="2" applyNumberFormat="1" applyFont="1" applyFill="1" applyBorder="1">
      <alignment vertical="center"/>
    </xf>
    <xf numFmtId="187" fontId="55" fillId="24" borderId="0" xfId="0" applyNumberFormat="1" applyFont="1" applyFill="1" applyBorder="1">
      <alignment vertical="center"/>
    </xf>
    <xf numFmtId="186" fontId="55" fillId="24" borderId="44" xfId="0" applyNumberFormat="1" applyFont="1" applyFill="1" applyBorder="1">
      <alignment vertical="center"/>
    </xf>
    <xf numFmtId="186" fontId="55" fillId="24" borderId="0" xfId="0" applyNumberFormat="1" applyFont="1" applyFill="1" applyBorder="1">
      <alignment vertical="center"/>
    </xf>
    <xf numFmtId="41" fontId="55" fillId="24" borderId="2" xfId="2" applyFont="1" applyFill="1" applyBorder="1">
      <alignment vertical="center"/>
    </xf>
    <xf numFmtId="41" fontId="55" fillId="24" borderId="44" xfId="2" applyFont="1" applyFill="1" applyBorder="1">
      <alignment vertical="center"/>
    </xf>
    <xf numFmtId="186" fontId="55" fillId="24" borderId="698" xfId="0" applyNumberFormat="1" applyFont="1" applyFill="1" applyBorder="1">
      <alignment vertical="center"/>
    </xf>
    <xf numFmtId="0" fontId="36" fillId="24" borderId="0" xfId="0" applyFont="1" applyFill="1" applyBorder="1">
      <alignment vertical="center"/>
    </xf>
    <xf numFmtId="41" fontId="36" fillId="14" borderId="11" xfId="2" applyFont="1" applyFill="1" applyBorder="1">
      <alignment vertical="center"/>
    </xf>
    <xf numFmtId="0" fontId="55" fillId="24" borderId="53" xfId="0" applyFont="1" applyFill="1" applyBorder="1">
      <alignment vertical="center"/>
    </xf>
    <xf numFmtId="0" fontId="55" fillId="24" borderId="30" xfId="0" applyFont="1" applyFill="1" applyBorder="1">
      <alignment vertical="center"/>
    </xf>
    <xf numFmtId="41" fontId="55" fillId="24" borderId="30" xfId="2" applyFont="1" applyFill="1" applyBorder="1">
      <alignment vertical="center"/>
    </xf>
    <xf numFmtId="41" fontId="55" fillId="24" borderId="866" xfId="2" applyFont="1" applyFill="1" applyBorder="1">
      <alignment vertical="center"/>
    </xf>
    <xf numFmtId="186" fontId="55" fillId="24" borderId="30" xfId="2" applyNumberFormat="1" applyFont="1" applyFill="1" applyBorder="1">
      <alignment vertical="center"/>
    </xf>
    <xf numFmtId="187" fontId="55" fillId="24" borderId="30" xfId="0" applyNumberFormat="1" applyFont="1" applyFill="1" applyBorder="1">
      <alignment vertical="center"/>
    </xf>
    <xf numFmtId="186" fontId="55" fillId="24" borderId="55" xfId="0" applyNumberFormat="1" applyFont="1" applyFill="1" applyBorder="1">
      <alignment vertical="center"/>
    </xf>
    <xf numFmtId="186" fontId="55" fillId="24" borderId="30" xfId="0" applyNumberFormat="1" applyFont="1" applyFill="1" applyBorder="1">
      <alignment vertical="center"/>
    </xf>
    <xf numFmtId="41" fontId="55" fillId="24" borderId="31" xfId="2" applyFont="1" applyFill="1" applyBorder="1">
      <alignment vertical="center"/>
    </xf>
    <xf numFmtId="41" fontId="55" fillId="24" borderId="55" xfId="2" applyFont="1" applyFill="1" applyBorder="1">
      <alignment vertical="center"/>
    </xf>
    <xf numFmtId="186" fontId="55" fillId="24" borderId="756" xfId="0" applyNumberFormat="1" applyFont="1" applyFill="1" applyBorder="1">
      <alignment vertical="center"/>
    </xf>
    <xf numFmtId="187" fontId="55" fillId="0" borderId="0" xfId="0" applyNumberFormat="1" applyFont="1" applyFill="1" applyBorder="1">
      <alignment vertical="center"/>
    </xf>
    <xf numFmtId="186" fontId="55" fillId="0" borderId="44" xfId="0" applyNumberFormat="1" applyFont="1" applyFill="1" applyBorder="1">
      <alignment vertical="center"/>
    </xf>
    <xf numFmtId="186" fontId="55" fillId="0" borderId="0" xfId="0" applyNumberFormat="1" applyFont="1" applyFill="1" applyBorder="1">
      <alignment vertical="center"/>
    </xf>
    <xf numFmtId="186" fontId="36" fillId="0" borderId="0" xfId="0" applyNumberFormat="1" applyFont="1" applyFill="1" applyBorder="1">
      <alignment vertical="center"/>
    </xf>
    <xf numFmtId="186" fontId="36" fillId="0" borderId="698" xfId="0" applyNumberFormat="1" applyFont="1" applyFill="1" applyBorder="1">
      <alignment vertical="center"/>
    </xf>
    <xf numFmtId="187" fontId="55" fillId="0" borderId="30" xfId="0" applyNumberFormat="1" applyFont="1" applyFill="1" applyBorder="1">
      <alignment vertical="center"/>
    </xf>
    <xf numFmtId="186" fontId="55" fillId="0" borderId="55" xfId="0" applyNumberFormat="1" applyFont="1" applyFill="1" applyBorder="1">
      <alignment vertical="center"/>
    </xf>
    <xf numFmtId="186" fontId="55" fillId="0" borderId="30" xfId="0" applyNumberFormat="1" applyFont="1" applyFill="1" applyBorder="1">
      <alignment vertical="center"/>
    </xf>
    <xf numFmtId="186" fontId="36" fillId="0" borderId="30" xfId="0" applyNumberFormat="1" applyFont="1" applyFill="1" applyBorder="1">
      <alignment vertical="center"/>
    </xf>
    <xf numFmtId="186" fontId="36" fillId="0" borderId="756" xfId="0" applyNumberFormat="1" applyFont="1" applyFill="1" applyBorder="1">
      <alignment vertical="center"/>
    </xf>
    <xf numFmtId="0" fontId="43" fillId="0" borderId="704" xfId="0" applyFont="1" applyBorder="1">
      <alignment vertical="center"/>
    </xf>
    <xf numFmtId="41" fontId="55" fillId="0" borderId="437" xfId="2" applyFont="1" applyBorder="1">
      <alignment vertical="center"/>
    </xf>
    <xf numFmtId="186" fontId="55" fillId="0" borderId="0" xfId="2" applyNumberFormat="1" applyFont="1" applyBorder="1">
      <alignment vertical="center"/>
    </xf>
    <xf numFmtId="187" fontId="55" fillId="0" borderId="0" xfId="0" applyNumberFormat="1" applyFont="1" applyBorder="1">
      <alignment vertical="center"/>
    </xf>
    <xf numFmtId="186" fontId="55" fillId="0" borderId="0" xfId="0" applyNumberFormat="1" applyFont="1" applyBorder="1">
      <alignment vertical="center"/>
    </xf>
    <xf numFmtId="41" fontId="55" fillId="0" borderId="2" xfId="2" applyFont="1" applyBorder="1">
      <alignment vertical="center"/>
    </xf>
    <xf numFmtId="186" fontId="36" fillId="0" borderId="0" xfId="0" applyNumberFormat="1" applyFont="1" applyBorder="1">
      <alignment vertical="center"/>
    </xf>
    <xf numFmtId="186" fontId="36" fillId="0" borderId="698" xfId="0" applyNumberFormat="1" applyFont="1" applyBorder="1">
      <alignment vertical="center"/>
    </xf>
    <xf numFmtId="0" fontId="57" fillId="6" borderId="29" xfId="0" applyFont="1" applyFill="1" applyBorder="1">
      <alignment vertical="center"/>
    </xf>
    <xf numFmtId="41" fontId="55" fillId="6" borderId="29" xfId="2" applyFont="1" applyFill="1" applyBorder="1">
      <alignment vertical="center"/>
    </xf>
    <xf numFmtId="41" fontId="55" fillId="6" borderId="870" xfId="2" applyFont="1" applyFill="1" applyBorder="1">
      <alignment vertical="center"/>
    </xf>
    <xf numFmtId="186" fontId="55" fillId="6" borderId="29" xfId="2" applyNumberFormat="1" applyFont="1" applyFill="1" applyBorder="1">
      <alignment vertical="center"/>
    </xf>
    <xf numFmtId="187" fontId="55" fillId="6" borderId="29" xfId="0" applyNumberFormat="1" applyFont="1" applyFill="1" applyBorder="1">
      <alignment vertical="center"/>
    </xf>
    <xf numFmtId="186" fontId="55" fillId="6" borderId="99" xfId="0" applyNumberFormat="1" applyFont="1" applyFill="1" applyBorder="1">
      <alignment vertical="center"/>
    </xf>
    <xf numFmtId="186" fontId="55" fillId="6" borderId="29" xfId="0" applyNumberFormat="1" applyFont="1" applyFill="1" applyBorder="1">
      <alignment vertical="center"/>
    </xf>
    <xf numFmtId="41" fontId="55" fillId="6" borderId="1104" xfId="2" applyFont="1" applyFill="1" applyBorder="1">
      <alignment vertical="center"/>
    </xf>
    <xf numFmtId="186" fontId="36" fillId="6" borderId="29" xfId="0" applyNumberFormat="1" applyFont="1" applyFill="1" applyBorder="1">
      <alignment vertical="center"/>
    </xf>
    <xf numFmtId="41" fontId="36" fillId="6" borderId="99" xfId="2" applyFont="1" applyFill="1" applyBorder="1">
      <alignment vertical="center"/>
    </xf>
    <xf numFmtId="186" fontId="36" fillId="6" borderId="760" xfId="0" applyNumberFormat="1" applyFont="1" applyFill="1" applyBorder="1">
      <alignment vertical="center"/>
    </xf>
    <xf numFmtId="186" fontId="36" fillId="24" borderId="0" xfId="0" applyNumberFormat="1" applyFont="1" applyFill="1" applyBorder="1">
      <alignment vertical="center"/>
    </xf>
    <xf numFmtId="41" fontId="36" fillId="24" borderId="44" xfId="2" applyFont="1" applyFill="1" applyBorder="1">
      <alignment vertical="center"/>
    </xf>
    <xf numFmtId="186" fontId="36" fillId="24" borderId="698" xfId="0" applyNumberFormat="1" applyFont="1" applyFill="1" applyBorder="1">
      <alignment vertical="center"/>
    </xf>
    <xf numFmtId="186" fontId="36" fillId="24" borderId="30" xfId="0" applyNumberFormat="1" applyFont="1" applyFill="1" applyBorder="1">
      <alignment vertical="center"/>
    </xf>
    <xf numFmtId="41" fontId="36" fillId="24" borderId="55" xfId="2" applyFont="1" applyFill="1" applyBorder="1">
      <alignment vertical="center"/>
    </xf>
    <xf numFmtId="186" fontId="36" fillId="24" borderId="756" xfId="0" applyNumberFormat="1" applyFont="1" applyFill="1" applyBorder="1">
      <alignment vertical="center"/>
    </xf>
    <xf numFmtId="186" fontId="55" fillId="73" borderId="0" xfId="2" applyNumberFormat="1" applyFont="1" applyFill="1" applyBorder="1">
      <alignment vertical="center"/>
    </xf>
    <xf numFmtId="187" fontId="55" fillId="0" borderId="706" xfId="0" applyNumberFormat="1" applyFont="1" applyFill="1" applyBorder="1">
      <alignment vertical="center"/>
    </xf>
    <xf numFmtId="186" fontId="55" fillId="0" borderId="709" xfId="0" applyNumberFormat="1" applyFont="1" applyFill="1" applyBorder="1">
      <alignment vertical="center"/>
    </xf>
    <xf numFmtId="186" fontId="55" fillId="0" borderId="706" xfId="0" applyNumberFormat="1" applyFont="1" applyFill="1" applyBorder="1">
      <alignment vertical="center"/>
    </xf>
    <xf numFmtId="41" fontId="55" fillId="0" borderId="708" xfId="2" applyFont="1" applyFill="1" applyBorder="1">
      <alignment vertical="center"/>
    </xf>
    <xf numFmtId="186" fontId="36" fillId="0" borderId="706" xfId="0" applyNumberFormat="1" applyFont="1" applyFill="1" applyBorder="1">
      <alignment vertical="center"/>
    </xf>
    <xf numFmtId="186" fontId="36" fillId="0" borderId="710" xfId="0" applyNumberFormat="1" applyFont="1" applyFill="1" applyBorder="1">
      <alignment vertical="center"/>
    </xf>
    <xf numFmtId="0" fontId="43" fillId="0" borderId="1025" xfId="0" applyFont="1" applyBorder="1">
      <alignment vertical="center"/>
    </xf>
    <xf numFmtId="0" fontId="55" fillId="0" borderId="1025" xfId="0" applyFont="1" applyBorder="1">
      <alignment vertical="center"/>
    </xf>
    <xf numFmtId="0" fontId="55" fillId="0" borderId="1032" xfId="0" applyFont="1" applyBorder="1">
      <alignment vertical="center"/>
    </xf>
    <xf numFmtId="0" fontId="55" fillId="0" borderId="1105" xfId="0" applyFont="1" applyBorder="1">
      <alignment vertical="center"/>
    </xf>
    <xf numFmtId="0" fontId="36" fillId="0" borderId="1025" xfId="0" applyFont="1" applyBorder="1">
      <alignment vertical="center"/>
    </xf>
    <xf numFmtId="41" fontId="55" fillId="9" borderId="630" xfId="2" applyFont="1" applyFill="1" applyBorder="1">
      <alignment vertical="center"/>
    </xf>
    <xf numFmtId="41" fontId="55" fillId="9" borderId="629" xfId="2" applyFont="1" applyFill="1" applyBorder="1">
      <alignment vertical="center"/>
    </xf>
    <xf numFmtId="41" fontId="55" fillId="9" borderId="1033" xfId="2" applyFont="1" applyFill="1" applyBorder="1">
      <alignment vertical="center"/>
    </xf>
    <xf numFmtId="186" fontId="55" fillId="9" borderId="629" xfId="0" applyNumberFormat="1" applyFont="1" applyFill="1" applyBorder="1">
      <alignment vertical="center"/>
    </xf>
    <xf numFmtId="187" fontId="55" fillId="9" borderId="629" xfId="0" applyNumberFormat="1" applyFont="1" applyFill="1" applyBorder="1">
      <alignment vertical="center"/>
    </xf>
    <xf numFmtId="186" fontId="55" fillId="9" borderId="635" xfId="0" applyNumberFormat="1" applyFont="1" applyFill="1" applyBorder="1">
      <alignment vertical="center"/>
    </xf>
    <xf numFmtId="41" fontId="55" fillId="9" borderId="685" xfId="2" applyFont="1" applyFill="1" applyBorder="1">
      <alignment vertical="center"/>
    </xf>
    <xf numFmtId="186" fontId="36" fillId="9" borderId="629" xfId="0" applyNumberFormat="1" applyFont="1" applyFill="1" applyBorder="1">
      <alignment vertical="center"/>
    </xf>
    <xf numFmtId="41" fontId="36" fillId="9" borderId="635" xfId="2" applyFont="1" applyFill="1" applyBorder="1">
      <alignment vertical="center"/>
    </xf>
    <xf numFmtId="186" fontId="36" fillId="9" borderId="1024" xfId="0" applyNumberFormat="1" applyFont="1" applyFill="1" applyBorder="1">
      <alignment vertical="center"/>
    </xf>
    <xf numFmtId="186" fontId="36" fillId="0" borderId="725" xfId="0" applyNumberFormat="1" applyFont="1" applyFill="1" applyBorder="1">
      <alignment vertical="center"/>
    </xf>
    <xf numFmtId="0" fontId="55" fillId="0" borderId="645" xfId="0" applyFont="1" applyFill="1" applyBorder="1">
      <alignment vertical="center"/>
    </xf>
    <xf numFmtId="41" fontId="55" fillId="0" borderId="646" xfId="2" applyFont="1" applyFill="1" applyBorder="1">
      <alignment vertical="center"/>
    </xf>
    <xf numFmtId="41" fontId="55" fillId="0" borderId="645" xfId="2" applyFont="1" applyFill="1" applyBorder="1">
      <alignment vertical="center"/>
    </xf>
    <xf numFmtId="41" fontId="55" fillId="0" borderId="1034" xfId="2" applyFont="1" applyFill="1" applyBorder="1">
      <alignment vertical="center"/>
    </xf>
    <xf numFmtId="186" fontId="55" fillId="0" borderId="645" xfId="0" applyNumberFormat="1" applyFont="1" applyFill="1" applyBorder="1">
      <alignment vertical="center"/>
    </xf>
    <xf numFmtId="187" fontId="55" fillId="0" borderId="645" xfId="0" applyNumberFormat="1" applyFont="1" applyFill="1" applyBorder="1">
      <alignment vertical="center"/>
    </xf>
    <xf numFmtId="186" fontId="55" fillId="0" borderId="652" xfId="0" applyNumberFormat="1" applyFont="1" applyFill="1" applyBorder="1">
      <alignment vertical="center"/>
    </xf>
    <xf numFmtId="186" fontId="36" fillId="0" borderId="645" xfId="0" applyNumberFormat="1" applyFont="1" applyFill="1" applyBorder="1">
      <alignment vertical="center"/>
    </xf>
    <xf numFmtId="41" fontId="36" fillId="0" borderId="652" xfId="2" applyFont="1" applyFill="1" applyBorder="1">
      <alignment vertical="center"/>
    </xf>
    <xf numFmtId="186" fontId="36" fillId="0" borderId="1022" xfId="0" applyNumberFormat="1" applyFont="1" applyFill="1" applyBorder="1">
      <alignment vertical="center"/>
    </xf>
    <xf numFmtId="190" fontId="55" fillId="9" borderId="11" xfId="0" applyNumberFormat="1" applyFont="1" applyFill="1" applyBorder="1">
      <alignment vertical="center"/>
    </xf>
    <xf numFmtId="190" fontId="55" fillId="9" borderId="0" xfId="0" applyNumberFormat="1" applyFont="1" applyFill="1" applyBorder="1">
      <alignment vertical="center"/>
    </xf>
    <xf numFmtId="191" fontId="55" fillId="29" borderId="0" xfId="0" applyNumberFormat="1" applyFont="1" applyFill="1" applyBorder="1">
      <alignment vertical="center"/>
    </xf>
    <xf numFmtId="187" fontId="55" fillId="29" borderId="0" xfId="3" applyNumberFormat="1" applyFont="1" applyFill="1" applyBorder="1">
      <alignment vertical="center"/>
    </xf>
    <xf numFmtId="191" fontId="55" fillId="9" borderId="44" xfId="0" applyNumberFormat="1" applyFont="1" applyFill="1" applyBorder="1">
      <alignment vertical="center"/>
    </xf>
    <xf numFmtId="191" fontId="55" fillId="9" borderId="0" xfId="0" applyNumberFormat="1" applyFont="1" applyFill="1" applyBorder="1">
      <alignment vertical="center"/>
    </xf>
    <xf numFmtId="190" fontId="55" fillId="9" borderId="763" xfId="0" applyNumberFormat="1" applyFont="1" applyFill="1" applyBorder="1">
      <alignment vertical="center"/>
    </xf>
    <xf numFmtId="187" fontId="55" fillId="29" borderId="0" xfId="0" applyNumberFormat="1" applyFont="1" applyFill="1" applyBorder="1">
      <alignment vertical="center"/>
    </xf>
    <xf numFmtId="191" fontId="36" fillId="9" borderId="0" xfId="0" applyNumberFormat="1" applyFont="1" applyFill="1" applyBorder="1">
      <alignment vertical="center"/>
    </xf>
    <xf numFmtId="190" fontId="36" fillId="9" borderId="44" xfId="0" applyNumberFormat="1" applyFont="1" applyFill="1" applyBorder="1">
      <alignment vertical="center"/>
    </xf>
    <xf numFmtId="191" fontId="36" fillId="9" borderId="725" xfId="0" applyNumberFormat="1" applyFont="1" applyFill="1" applyBorder="1">
      <alignment vertical="center"/>
    </xf>
    <xf numFmtId="41" fontId="55" fillId="0" borderId="11" xfId="2" applyFont="1" applyFill="1" applyBorder="1" applyAlignment="1">
      <alignment vertical="center" shrinkToFit="1"/>
    </xf>
    <xf numFmtId="41" fontId="55" fillId="0" borderId="0" xfId="2" applyFont="1" applyFill="1" applyBorder="1" applyAlignment="1">
      <alignment vertical="center" shrinkToFit="1"/>
    </xf>
    <xf numFmtId="41" fontId="55" fillId="29" borderId="0" xfId="2" applyFont="1" applyFill="1" applyBorder="1" applyAlignment="1">
      <alignment horizontal="right" vertical="center" shrinkToFit="1"/>
    </xf>
    <xf numFmtId="186" fontId="55" fillId="0" borderId="44" xfId="2" applyNumberFormat="1" applyFont="1" applyFill="1" applyBorder="1" applyAlignment="1">
      <alignment vertical="center" shrinkToFit="1"/>
    </xf>
    <xf numFmtId="186" fontId="55" fillId="0" borderId="0" xfId="2" applyNumberFormat="1" applyFont="1" applyFill="1" applyBorder="1" applyAlignment="1">
      <alignment vertical="center" shrinkToFit="1"/>
    </xf>
    <xf numFmtId="41" fontId="55" fillId="0" borderId="763" xfId="2" applyFont="1" applyFill="1" applyBorder="1" applyAlignment="1">
      <alignment vertical="center" shrinkToFit="1"/>
    </xf>
    <xf numFmtId="186" fontId="55" fillId="29" borderId="0" xfId="2" applyNumberFormat="1" applyFont="1" applyFill="1" applyBorder="1" applyAlignment="1">
      <alignment horizontal="right" vertical="center" shrinkToFit="1"/>
    </xf>
    <xf numFmtId="186" fontId="36" fillId="0" borderId="0" xfId="2" applyNumberFormat="1" applyFont="1" applyFill="1" applyBorder="1" applyAlignment="1">
      <alignment vertical="center" shrinkToFit="1"/>
    </xf>
    <xf numFmtId="41" fontId="36" fillId="0" borderId="44" xfId="2" applyFont="1" applyFill="1" applyBorder="1" applyAlignment="1">
      <alignment vertical="center" shrinkToFit="1"/>
    </xf>
    <xf numFmtId="186" fontId="36" fillId="0" borderId="725" xfId="2" applyNumberFormat="1" applyFont="1" applyFill="1" applyBorder="1" applyAlignment="1">
      <alignment vertical="center" shrinkToFit="1"/>
    </xf>
    <xf numFmtId="0" fontId="55" fillId="0" borderId="727" xfId="0" applyFont="1" applyFill="1" applyBorder="1">
      <alignment vertical="center"/>
    </xf>
    <xf numFmtId="41" fontId="55" fillId="0" borderId="728" xfId="2" applyFont="1" applyFill="1" applyBorder="1" applyAlignment="1">
      <alignment vertical="center" shrinkToFit="1"/>
    </xf>
    <xf numFmtId="41" fontId="55" fillId="0" borderId="727" xfId="2" applyFont="1" applyFill="1" applyBorder="1" applyAlignment="1">
      <alignment vertical="center" shrinkToFit="1"/>
    </xf>
    <xf numFmtId="41" fontId="55" fillId="29" borderId="727" xfId="2" applyFont="1" applyFill="1" applyBorder="1" applyAlignment="1">
      <alignment horizontal="right" vertical="center" shrinkToFit="1"/>
    </xf>
    <xf numFmtId="186" fontId="55" fillId="0" borderId="730" xfId="2" applyNumberFormat="1" applyFont="1" applyFill="1" applyBorder="1" applyAlignment="1">
      <alignment vertical="center" shrinkToFit="1"/>
    </xf>
    <xf numFmtId="186" fontId="55" fillId="0" borderId="727" xfId="2" applyNumberFormat="1" applyFont="1" applyFill="1" applyBorder="1" applyAlignment="1">
      <alignment vertical="center" shrinkToFit="1"/>
    </xf>
    <xf numFmtId="41" fontId="55" fillId="0" borderId="764" xfId="2" applyFont="1" applyFill="1" applyBorder="1" applyAlignment="1">
      <alignment vertical="center" shrinkToFit="1"/>
    </xf>
    <xf numFmtId="186" fontId="55" fillId="29" borderId="727" xfId="2" applyNumberFormat="1" applyFont="1" applyFill="1" applyBorder="1" applyAlignment="1">
      <alignment horizontal="right" vertical="center" shrinkToFit="1"/>
    </xf>
    <xf numFmtId="186" fontId="36" fillId="0" borderId="727" xfId="2" applyNumberFormat="1" applyFont="1" applyFill="1" applyBorder="1" applyAlignment="1">
      <alignment vertical="center" shrinkToFit="1"/>
    </xf>
    <xf numFmtId="41" fontId="36" fillId="0" borderId="730" xfId="2" applyFont="1" applyFill="1" applyBorder="1" applyAlignment="1">
      <alignment vertical="center" shrinkToFit="1"/>
    </xf>
    <xf numFmtId="186" fontId="36" fillId="0" borderId="731" xfId="2" applyNumberFormat="1" applyFont="1" applyFill="1" applyBorder="1" applyAlignment="1">
      <alignment vertical="center" shrinkToFit="1"/>
    </xf>
    <xf numFmtId="176" fontId="55" fillId="0" borderId="0" xfId="3" applyNumberFormat="1" applyFont="1">
      <alignment vertical="center"/>
    </xf>
    <xf numFmtId="41" fontId="55" fillId="11" borderId="4" xfId="2" applyFont="1" applyFill="1" applyBorder="1">
      <alignment vertical="center"/>
    </xf>
    <xf numFmtId="41" fontId="60" fillId="9" borderId="0" xfId="2" applyFont="1" applyFill="1" applyBorder="1">
      <alignment vertical="center"/>
    </xf>
    <xf numFmtId="41" fontId="60" fillId="0" borderId="0" xfId="2" applyFont="1" applyFill="1" applyBorder="1">
      <alignment vertical="center"/>
    </xf>
    <xf numFmtId="192" fontId="36" fillId="8" borderId="6" xfId="2" applyNumberFormat="1" applyFont="1" applyFill="1" applyBorder="1">
      <alignment vertical="center"/>
    </xf>
    <xf numFmtId="41" fontId="36" fillId="6" borderId="32" xfId="2" applyFont="1" applyFill="1" applyBorder="1">
      <alignment vertical="center"/>
    </xf>
    <xf numFmtId="41" fontId="36" fillId="6" borderId="0" xfId="2" applyFont="1" applyFill="1" applyBorder="1">
      <alignment vertical="center"/>
    </xf>
    <xf numFmtId="187" fontId="47" fillId="0" borderId="0" xfId="0" applyNumberFormat="1" applyFont="1" applyFill="1" applyBorder="1">
      <alignment vertical="center"/>
    </xf>
    <xf numFmtId="41" fontId="36" fillId="3" borderId="0" xfId="2" applyFont="1" applyFill="1" applyBorder="1">
      <alignment vertical="center"/>
    </xf>
    <xf numFmtId="187" fontId="47" fillId="3" borderId="0" xfId="0" applyNumberFormat="1" applyFont="1" applyFill="1" applyBorder="1">
      <alignment vertical="center"/>
    </xf>
    <xf numFmtId="41" fontId="36" fillId="0" borderId="30" xfId="2" applyFont="1" applyFill="1" applyBorder="1">
      <alignment vertical="center"/>
    </xf>
    <xf numFmtId="41" fontId="36" fillId="6" borderId="29" xfId="2" applyFont="1" applyFill="1" applyBorder="1">
      <alignment vertical="center"/>
    </xf>
    <xf numFmtId="41" fontId="36" fillId="24" borderId="0" xfId="2" applyFont="1" applyFill="1" applyBorder="1">
      <alignment vertical="center"/>
    </xf>
    <xf numFmtId="41" fontId="36" fillId="24" borderId="30" xfId="2" applyFont="1" applyFill="1" applyBorder="1">
      <alignment vertical="center"/>
    </xf>
    <xf numFmtId="41" fontId="36" fillId="0" borderId="34" xfId="2" applyFont="1" applyFill="1" applyBorder="1">
      <alignment vertical="center"/>
    </xf>
    <xf numFmtId="41" fontId="36" fillId="9" borderId="56" xfId="2" applyFont="1" applyFill="1" applyBorder="1">
      <alignment vertical="center"/>
    </xf>
    <xf numFmtId="190" fontId="36" fillId="9" borderId="74" xfId="0" applyNumberFormat="1" applyFont="1" applyFill="1" applyBorder="1">
      <alignment vertical="center"/>
    </xf>
    <xf numFmtId="190" fontId="36" fillId="9" borderId="0" xfId="0" applyNumberFormat="1" applyFont="1" applyFill="1" applyBorder="1">
      <alignment vertical="center"/>
    </xf>
    <xf numFmtId="41" fontId="36" fillId="0" borderId="0" xfId="2" applyFont="1" applyFill="1" applyBorder="1" applyAlignment="1">
      <alignment vertical="center" shrinkToFit="1"/>
    </xf>
    <xf numFmtId="41" fontId="36" fillId="0" borderId="61" xfId="2" applyFont="1" applyFill="1" applyBorder="1" applyAlignment="1">
      <alignment vertical="center" shrinkToFit="1"/>
    </xf>
    <xf numFmtId="0" fontId="52" fillId="0" borderId="0" xfId="0" applyFont="1" applyBorder="1">
      <alignment vertical="center"/>
    </xf>
    <xf numFmtId="208" fontId="36" fillId="0" borderId="0" xfId="0" applyNumberFormat="1" applyFont="1">
      <alignment vertical="center"/>
    </xf>
    <xf numFmtId="209" fontId="36" fillId="0" borderId="0" xfId="2" applyNumberFormat="1" applyFont="1" applyFill="1" applyBorder="1" applyAlignment="1">
      <alignment horizontal="right" vertical="center"/>
    </xf>
    <xf numFmtId="0" fontId="94" fillId="0" borderId="0" xfId="0" applyFont="1">
      <alignment vertical="center"/>
    </xf>
    <xf numFmtId="0" fontId="94" fillId="0" borderId="0" xfId="0" applyFont="1" applyBorder="1">
      <alignment vertical="center"/>
    </xf>
    <xf numFmtId="202" fontId="94" fillId="0" borderId="0" xfId="0" applyNumberFormat="1" applyFont="1">
      <alignment vertical="center"/>
    </xf>
    <xf numFmtId="0" fontId="43" fillId="0" borderId="0" xfId="0" applyFont="1" applyFill="1" applyAlignment="1">
      <alignment horizontal="left" vertical="center"/>
    </xf>
    <xf numFmtId="202" fontId="52" fillId="0" borderId="0" xfId="0" applyNumberFormat="1" applyFont="1">
      <alignment vertical="center"/>
    </xf>
    <xf numFmtId="0" fontId="96" fillId="13" borderId="424" xfId="0" quotePrefix="1" applyFont="1" applyFill="1" applyBorder="1" applyAlignment="1">
      <alignment horizontal="left" vertical="center"/>
    </xf>
    <xf numFmtId="0" fontId="95" fillId="13" borderId="417" xfId="0" quotePrefix="1" applyFont="1" applyFill="1" applyBorder="1" applyAlignment="1">
      <alignment horizontal="right" vertical="center"/>
    </xf>
    <xf numFmtId="0" fontId="41" fillId="13" borderId="417" xfId="0" quotePrefix="1" applyFont="1" applyFill="1" applyBorder="1" applyAlignment="1">
      <alignment horizontal="right" vertical="center"/>
    </xf>
    <xf numFmtId="219" fontId="97" fillId="13" borderId="417" xfId="0" quotePrefix="1" applyNumberFormat="1" applyFont="1" applyFill="1" applyBorder="1" applyAlignment="1">
      <alignment horizontal="right" vertical="center"/>
    </xf>
    <xf numFmtId="0" fontId="41" fillId="13" borderId="425" xfId="0" quotePrefix="1" applyFont="1" applyFill="1" applyBorder="1" applyAlignment="1">
      <alignment horizontal="right" vertical="center"/>
    </xf>
    <xf numFmtId="0" fontId="96" fillId="15" borderId="417" xfId="0" quotePrefix="1" applyFont="1" applyFill="1" applyBorder="1" applyAlignment="1">
      <alignment horizontal="left" vertical="center"/>
    </xf>
    <xf numFmtId="0" fontId="41" fillId="15" borderId="417" xfId="0" quotePrefix="1" applyFont="1" applyFill="1" applyBorder="1" applyAlignment="1">
      <alignment horizontal="right" vertical="center"/>
    </xf>
    <xf numFmtId="219" fontId="98" fillId="15" borderId="417" xfId="0" quotePrefix="1" applyNumberFormat="1" applyFont="1" applyFill="1" applyBorder="1" applyAlignment="1">
      <alignment horizontal="right" vertical="center"/>
    </xf>
    <xf numFmtId="0" fontId="96" fillId="28" borderId="424" xfId="0" quotePrefix="1" applyFont="1" applyFill="1" applyBorder="1" applyAlignment="1">
      <alignment horizontal="left" vertical="center"/>
    </xf>
    <xf numFmtId="0" fontId="41" fillId="28" borderId="417" xfId="0" quotePrefix="1" applyFont="1" applyFill="1" applyBorder="1" applyAlignment="1">
      <alignment horizontal="right" vertical="center"/>
    </xf>
    <xf numFmtId="219" fontId="99" fillId="28" borderId="417" xfId="0" quotePrefix="1" applyNumberFormat="1" applyFont="1" applyFill="1" applyBorder="1" applyAlignment="1">
      <alignment horizontal="right" vertical="center"/>
    </xf>
    <xf numFmtId="0" fontId="95" fillId="28" borderId="417" xfId="0" quotePrefix="1" applyFont="1" applyFill="1" applyBorder="1" applyAlignment="1">
      <alignment horizontal="right" vertical="center"/>
    </xf>
    <xf numFmtId="0" fontId="100" fillId="3" borderId="14" xfId="0" applyFont="1" applyFill="1" applyBorder="1" applyAlignment="1">
      <alignment vertical="center"/>
    </xf>
    <xf numFmtId="0" fontId="36" fillId="3" borderId="417" xfId="0" applyFont="1" applyFill="1" applyBorder="1">
      <alignment vertical="center"/>
    </xf>
    <xf numFmtId="0" fontId="36" fillId="3" borderId="425" xfId="0" applyFont="1" applyFill="1" applyBorder="1">
      <alignment vertical="center"/>
    </xf>
    <xf numFmtId="0" fontId="100" fillId="7" borderId="14" xfId="0" applyFont="1" applyFill="1" applyBorder="1" applyAlignment="1">
      <alignment vertical="center"/>
    </xf>
    <xf numFmtId="0" fontId="37" fillId="7" borderId="14" xfId="0" applyFont="1" applyFill="1" applyBorder="1" applyAlignment="1">
      <alignment vertical="center"/>
    </xf>
    <xf numFmtId="0" fontId="37" fillId="7" borderId="612" xfId="0" applyFont="1" applyFill="1" applyBorder="1" applyAlignment="1">
      <alignment vertical="center"/>
    </xf>
    <xf numFmtId="0" fontId="100" fillId="4" borderId="14" xfId="0" applyFont="1" applyFill="1" applyBorder="1" applyAlignment="1">
      <alignment vertical="center"/>
    </xf>
    <xf numFmtId="209" fontId="37" fillId="4" borderId="14" xfId="0" applyNumberFormat="1" applyFont="1" applyFill="1" applyBorder="1" applyAlignment="1">
      <alignment vertical="center"/>
    </xf>
    <xf numFmtId="0" fontId="37" fillId="4" borderId="14" xfId="0" applyFont="1" applyFill="1" applyBorder="1" applyAlignment="1">
      <alignment vertical="center"/>
    </xf>
    <xf numFmtId="0" fontId="37" fillId="4" borderId="14" xfId="0" applyFont="1" applyFill="1" applyBorder="1" applyAlignment="1">
      <alignment horizontal="center" vertical="center"/>
    </xf>
    <xf numFmtId="0" fontId="43" fillId="4" borderId="429" xfId="0" quotePrefix="1" applyFont="1" applyFill="1" applyBorder="1" applyAlignment="1">
      <alignment horizontal="center" vertical="center"/>
    </xf>
    <xf numFmtId="0" fontId="37" fillId="13" borderId="430" xfId="0" quotePrefix="1" applyFont="1" applyFill="1" applyBorder="1" applyAlignment="1">
      <alignment horizontal="center" vertical="center"/>
    </xf>
    <xf numFmtId="0" fontId="37" fillId="13" borderId="431" xfId="0" quotePrefix="1" applyFont="1" applyFill="1" applyBorder="1" applyAlignment="1">
      <alignment horizontal="center" vertical="center"/>
    </xf>
    <xf numFmtId="0" fontId="37" fillId="13" borderId="432" xfId="0" quotePrefix="1" applyFont="1" applyFill="1" applyBorder="1" applyAlignment="1">
      <alignment horizontal="center" vertical="center"/>
    </xf>
    <xf numFmtId="0" fontId="37" fillId="15" borderId="431" xfId="0" quotePrefix="1" applyFont="1" applyFill="1" applyBorder="1" applyAlignment="1">
      <alignment horizontal="center" vertical="center"/>
    </xf>
    <xf numFmtId="0" fontId="37" fillId="28" borderId="430" xfId="0" quotePrefix="1" applyFont="1" applyFill="1" applyBorder="1" applyAlignment="1">
      <alignment horizontal="center" vertical="center"/>
    </xf>
    <xf numFmtId="0" fontId="37" fillId="28" borderId="431" xfId="0" quotePrefix="1" applyFont="1" applyFill="1" applyBorder="1" applyAlignment="1">
      <alignment horizontal="center" vertical="center"/>
    </xf>
    <xf numFmtId="0" fontId="37" fillId="41" borderId="431" xfId="0" quotePrefix="1" applyFont="1" applyFill="1" applyBorder="1" applyAlignment="1">
      <alignment horizontal="center" vertical="center"/>
    </xf>
    <xf numFmtId="0" fontId="36" fillId="3" borderId="430" xfId="0" quotePrefix="1" applyFont="1" applyFill="1" applyBorder="1" applyAlignment="1">
      <alignment horizontal="center" vertical="center"/>
    </xf>
    <xf numFmtId="0" fontId="36" fillId="3" borderId="431" xfId="0" quotePrefix="1" applyFont="1" applyFill="1" applyBorder="1" applyAlignment="1">
      <alignment horizontal="center" vertical="center"/>
    </xf>
    <xf numFmtId="0" fontId="36" fillId="7" borderId="432" xfId="0" quotePrefix="1" applyFont="1" applyFill="1" applyBorder="1" applyAlignment="1">
      <alignment horizontal="center" vertical="center"/>
    </xf>
    <xf numFmtId="0" fontId="37" fillId="7" borderId="358" xfId="0" quotePrefix="1" applyFont="1" applyFill="1" applyBorder="1" applyAlignment="1">
      <alignment horizontal="center" vertical="center"/>
    </xf>
    <xf numFmtId="208" fontId="37" fillId="7" borderId="358" xfId="0" quotePrefix="1" applyNumberFormat="1" applyFont="1" applyFill="1" applyBorder="1" applyAlignment="1">
      <alignment horizontal="center" vertical="center"/>
    </xf>
    <xf numFmtId="0" fontId="44" fillId="59" borderId="956" xfId="0" quotePrefix="1" applyFont="1" applyFill="1" applyBorder="1" applyAlignment="1">
      <alignment horizontal="center" vertical="center"/>
    </xf>
    <xf numFmtId="0" fontId="37" fillId="4" borderId="358" xfId="0" quotePrefix="1" applyFont="1" applyFill="1" applyBorder="1" applyAlignment="1">
      <alignment horizontal="center" vertical="center"/>
    </xf>
    <xf numFmtId="209" fontId="37" fillId="4" borderId="358" xfId="0" quotePrefix="1" applyNumberFormat="1" applyFont="1" applyFill="1" applyBorder="1" applyAlignment="1">
      <alignment horizontal="center" vertical="center"/>
    </xf>
    <xf numFmtId="0" fontId="37" fillId="6" borderId="359" xfId="0" quotePrefix="1" applyFont="1" applyFill="1" applyBorder="1" applyAlignment="1">
      <alignment horizontal="center" vertical="center"/>
    </xf>
    <xf numFmtId="0" fontId="37" fillId="6" borderId="361" xfId="0" applyFont="1" applyFill="1" applyBorder="1" applyAlignment="1">
      <alignment horizontal="center" vertical="center" shrinkToFit="1"/>
    </xf>
    <xf numFmtId="0" fontId="37" fillId="4" borderId="505" xfId="0" quotePrefix="1" applyFont="1" applyFill="1" applyBorder="1" applyAlignment="1">
      <alignment horizontal="center" vertical="center"/>
    </xf>
    <xf numFmtId="0" fontId="36" fillId="0" borderId="505" xfId="0" quotePrefix="1" applyFont="1" applyBorder="1" applyAlignment="1">
      <alignment horizontal="center" vertical="center"/>
    </xf>
    <xf numFmtId="0" fontId="43" fillId="8" borderId="256" xfId="0" applyFont="1" applyFill="1" applyBorder="1">
      <alignment vertical="center"/>
    </xf>
    <xf numFmtId="210" fontId="36" fillId="5" borderId="433" xfId="0" applyNumberFormat="1" applyFont="1" applyFill="1" applyBorder="1">
      <alignment vertical="center"/>
    </xf>
    <xf numFmtId="210" fontId="36" fillId="5" borderId="35" xfId="0" applyNumberFormat="1" applyFont="1" applyFill="1" applyBorder="1">
      <alignment vertical="center"/>
    </xf>
    <xf numFmtId="210" fontId="36" fillId="5" borderId="434" xfId="0" applyNumberFormat="1" applyFont="1" applyFill="1" applyBorder="1">
      <alignment vertical="center"/>
    </xf>
    <xf numFmtId="2" fontId="36" fillId="5" borderId="35" xfId="0" applyNumberFormat="1" applyFont="1" applyFill="1" applyBorder="1">
      <alignment vertical="center"/>
    </xf>
    <xf numFmtId="226" fontId="36" fillId="8" borderId="435" xfId="0" applyNumberFormat="1" applyFont="1" applyFill="1" applyBorder="1" applyAlignment="1">
      <alignment horizontal="right" vertical="center"/>
    </xf>
    <xf numFmtId="226" fontId="36" fillId="8" borderId="102" xfId="0" applyNumberFormat="1" applyFont="1" applyFill="1" applyBorder="1" applyAlignment="1">
      <alignment horizontal="right" vertical="center"/>
    </xf>
    <xf numFmtId="226" fontId="46" fillId="8" borderId="436" xfId="0" applyNumberFormat="1" applyFont="1" applyFill="1" applyBorder="1" applyAlignment="1">
      <alignment horizontal="right" vertical="center"/>
    </xf>
    <xf numFmtId="208" fontId="36" fillId="8" borderId="35" xfId="2" applyNumberFormat="1" applyFont="1" applyFill="1" applyBorder="1" applyAlignment="1">
      <alignment horizontal="right" vertical="center"/>
    </xf>
    <xf numFmtId="195" fontId="36" fillId="8" borderId="35" xfId="2" applyNumberFormat="1" applyFont="1" applyFill="1" applyBorder="1" applyAlignment="1">
      <alignment horizontal="right" vertical="center"/>
    </xf>
    <xf numFmtId="209" fontId="36" fillId="8" borderId="35" xfId="2" applyNumberFormat="1" applyFont="1" applyFill="1" applyBorder="1" applyAlignment="1">
      <alignment horizontal="right" vertical="center"/>
    </xf>
    <xf numFmtId="189" fontId="36" fillId="8" borderId="70" xfId="0" applyNumberFormat="1" applyFont="1" applyFill="1" applyBorder="1" applyAlignment="1">
      <alignment horizontal="right" vertical="center"/>
    </xf>
    <xf numFmtId="187" fontId="47" fillId="8" borderId="35" xfId="3" applyNumberFormat="1" applyFont="1" applyFill="1" applyBorder="1" applyAlignment="1">
      <alignment horizontal="right" vertical="center"/>
    </xf>
    <xf numFmtId="186" fontId="36" fillId="8" borderId="35" xfId="0" applyNumberFormat="1" applyFont="1" applyFill="1" applyBorder="1" applyAlignment="1">
      <alignment horizontal="right" vertical="center"/>
    </xf>
    <xf numFmtId="246" fontId="36" fillId="0" borderId="505" xfId="0" applyNumberFormat="1" applyFont="1" applyBorder="1" applyAlignment="1">
      <alignment horizontal="center" vertical="center"/>
    </xf>
    <xf numFmtId="202" fontId="46" fillId="0" borderId="505" xfId="0" applyNumberFormat="1" applyFont="1" applyBorder="1" applyAlignment="1">
      <alignment horizontal="center" vertical="center"/>
    </xf>
    <xf numFmtId="0" fontId="36" fillId="0" borderId="242" xfId="0" applyFont="1" applyBorder="1">
      <alignment vertical="center"/>
    </xf>
    <xf numFmtId="210" fontId="36" fillId="5" borderId="437" xfId="0" applyNumberFormat="1" applyFont="1" applyFill="1" applyBorder="1">
      <alignment vertical="center"/>
    </xf>
    <xf numFmtId="210" fontId="36" fillId="5" borderId="0" xfId="0" applyNumberFormat="1" applyFont="1" applyFill="1">
      <alignment vertical="center"/>
    </xf>
    <xf numFmtId="210" fontId="36" fillId="5" borderId="376" xfId="0" applyNumberFormat="1" applyFont="1" applyFill="1" applyBorder="1">
      <alignment vertical="center"/>
    </xf>
    <xf numFmtId="210" fontId="36" fillId="5" borderId="0" xfId="0" applyNumberFormat="1" applyFont="1" applyFill="1" applyBorder="1">
      <alignment vertical="center"/>
    </xf>
    <xf numFmtId="226" fontId="36" fillId="5" borderId="437" xfId="0" applyNumberFormat="1" applyFont="1" applyFill="1" applyBorder="1" applyAlignment="1">
      <alignment horizontal="right" vertical="center"/>
    </xf>
    <xf numFmtId="226" fontId="36" fillId="5" borderId="0" xfId="0" applyNumberFormat="1" applyFont="1" applyFill="1" applyAlignment="1">
      <alignment horizontal="right" vertical="center"/>
    </xf>
    <xf numFmtId="226" fontId="36" fillId="5" borderId="376" xfId="0" applyNumberFormat="1" applyFont="1" applyFill="1" applyBorder="1" applyAlignment="1">
      <alignment horizontal="right" vertical="center"/>
    </xf>
    <xf numFmtId="208" fontId="36" fillId="0" borderId="0" xfId="2" applyNumberFormat="1" applyFont="1" applyFill="1" applyAlignment="1">
      <alignment horizontal="right" vertical="center"/>
    </xf>
    <xf numFmtId="195" fontId="36" fillId="0" borderId="0" xfId="2" applyNumberFormat="1" applyFont="1" applyFill="1" applyBorder="1" applyAlignment="1">
      <alignment horizontal="right" vertical="center"/>
    </xf>
    <xf numFmtId="198" fontId="36" fillId="0" borderId="410" xfId="0" applyNumberFormat="1" applyFont="1" applyBorder="1" applyAlignment="1">
      <alignment horizontal="right" vertical="center"/>
    </xf>
    <xf numFmtId="187" fontId="47" fillId="0" borderId="0" xfId="3" applyNumberFormat="1" applyFont="1" applyBorder="1" applyAlignment="1">
      <alignment horizontal="right" vertical="center"/>
    </xf>
    <xf numFmtId="246" fontId="36" fillId="15" borderId="0" xfId="0" applyNumberFormat="1" applyFont="1" applyFill="1" applyAlignment="1">
      <alignment horizontal="center" vertical="center"/>
    </xf>
    <xf numFmtId="226" fontId="46" fillId="5" borderId="376" xfId="0" applyNumberFormat="1" applyFont="1" applyFill="1" applyBorder="1" applyAlignment="1">
      <alignment horizontal="right" vertical="center"/>
    </xf>
    <xf numFmtId="209" fontId="36" fillId="0" borderId="0" xfId="2" applyNumberFormat="1" applyFont="1" applyFill="1" applyAlignment="1">
      <alignment horizontal="right" vertical="center"/>
    </xf>
    <xf numFmtId="195" fontId="36" fillId="0" borderId="0" xfId="2" applyNumberFormat="1" applyFont="1" applyFill="1" applyAlignment="1">
      <alignment horizontal="right" vertical="center"/>
    </xf>
    <xf numFmtId="0" fontId="36" fillId="0" borderId="1112" xfId="0" applyFont="1" applyBorder="1">
      <alignment vertical="center"/>
    </xf>
    <xf numFmtId="210" fontId="36" fillId="5" borderId="609" xfId="0" applyNumberFormat="1" applyFont="1" applyFill="1" applyBorder="1">
      <alignment vertical="center"/>
    </xf>
    <xf numFmtId="210" fontId="36" fillId="5" borderId="66" xfId="0" applyNumberFormat="1" applyFont="1" applyFill="1" applyBorder="1">
      <alignment vertical="center"/>
    </xf>
    <xf numFmtId="210" fontId="36" fillId="5" borderId="443" xfId="0" applyNumberFormat="1" applyFont="1" applyFill="1" applyBorder="1">
      <alignment vertical="center"/>
    </xf>
    <xf numFmtId="226" fontId="36" fillId="5" borderId="609" xfId="0" applyNumberFormat="1" applyFont="1" applyFill="1" applyBorder="1" applyAlignment="1">
      <alignment horizontal="right" vertical="center"/>
    </xf>
    <xf numFmtId="226" fontId="36" fillId="5" borderId="66" xfId="0" applyNumberFormat="1" applyFont="1" applyFill="1" applyBorder="1" applyAlignment="1">
      <alignment horizontal="right" vertical="center"/>
    </xf>
    <xf numFmtId="226" fontId="36" fillId="5" borderId="443" xfId="0" applyNumberFormat="1" applyFont="1" applyFill="1" applyBorder="1" applyAlignment="1">
      <alignment horizontal="right" vertical="center"/>
    </xf>
    <xf numFmtId="208" fontId="36" fillId="5" borderId="66" xfId="2" applyNumberFormat="1" applyFont="1" applyFill="1" applyBorder="1" applyAlignment="1">
      <alignment horizontal="right" vertical="center"/>
    </xf>
    <xf numFmtId="208" fontId="36" fillId="0" borderId="66" xfId="2" applyNumberFormat="1" applyFont="1" applyFill="1" applyBorder="1" applyAlignment="1">
      <alignment horizontal="right" vertical="center"/>
    </xf>
    <xf numFmtId="195" fontId="36" fillId="0" borderId="66" xfId="2" applyNumberFormat="1" applyFont="1" applyFill="1" applyBorder="1" applyAlignment="1">
      <alignment horizontal="right" vertical="center"/>
    </xf>
    <xf numFmtId="209" fontId="36" fillId="0" borderId="66" xfId="2" applyNumberFormat="1" applyFont="1" applyFill="1" applyBorder="1" applyAlignment="1">
      <alignment horizontal="right" vertical="center"/>
    </xf>
    <xf numFmtId="198" fontId="36" fillId="0" borderId="493" xfId="0" applyNumberFormat="1" applyFont="1" applyBorder="1" applyAlignment="1">
      <alignment horizontal="right" vertical="center"/>
    </xf>
    <xf numFmtId="187" fontId="47" fillId="18" borderId="66" xfId="3" applyNumberFormat="1" applyFont="1" applyFill="1" applyBorder="1" applyAlignment="1">
      <alignment horizontal="right" vertical="center"/>
    </xf>
    <xf numFmtId="189" fontId="36" fillId="0" borderId="66" xfId="0" applyNumberFormat="1" applyFont="1" applyBorder="1" applyAlignment="1">
      <alignment horizontal="right" vertical="center"/>
    </xf>
    <xf numFmtId="246" fontId="36" fillId="0" borderId="0" xfId="0" applyNumberFormat="1" applyFont="1" applyAlignment="1">
      <alignment horizontal="center" vertical="center"/>
    </xf>
    <xf numFmtId="0" fontId="47" fillId="0" borderId="242" xfId="0" applyFont="1" applyBorder="1">
      <alignment vertical="center"/>
    </xf>
    <xf numFmtId="210" fontId="101" fillId="32" borderId="437" xfId="0" applyNumberFormat="1" applyFont="1" applyFill="1" applyBorder="1">
      <alignment vertical="center"/>
    </xf>
    <xf numFmtId="210" fontId="101" fillId="32" borderId="0" xfId="0" applyNumberFormat="1" applyFont="1" applyFill="1" applyBorder="1">
      <alignment vertical="center"/>
    </xf>
    <xf numFmtId="210" fontId="101" fillId="32" borderId="376" xfId="0" applyNumberFormat="1" applyFont="1" applyFill="1" applyBorder="1">
      <alignment vertical="center"/>
    </xf>
    <xf numFmtId="210" fontId="47" fillId="5" borderId="0" xfId="0" applyNumberFormat="1" applyFont="1" applyFill="1" applyBorder="1">
      <alignment vertical="center"/>
    </xf>
    <xf numFmtId="210" fontId="47" fillId="5" borderId="437" xfId="0" applyNumberFormat="1" applyFont="1" applyFill="1" applyBorder="1">
      <alignment vertical="center"/>
    </xf>
    <xf numFmtId="210" fontId="47" fillId="5" borderId="376" xfId="0" applyNumberFormat="1" applyFont="1" applyFill="1" applyBorder="1">
      <alignment vertical="center"/>
    </xf>
    <xf numFmtId="226" fontId="47" fillId="5" borderId="437" xfId="0" applyNumberFormat="1" applyFont="1" applyFill="1" applyBorder="1" applyAlignment="1">
      <alignment horizontal="right" vertical="center"/>
    </xf>
    <xf numFmtId="226" fontId="47" fillId="5" borderId="0" xfId="0" applyNumberFormat="1" applyFont="1" applyFill="1" applyBorder="1" applyAlignment="1">
      <alignment horizontal="right" vertical="center"/>
    </xf>
    <xf numFmtId="226" fontId="47" fillId="5" borderId="376" xfId="0" applyNumberFormat="1" applyFont="1" applyFill="1" applyBorder="1" applyAlignment="1">
      <alignment horizontal="right" vertical="center"/>
    </xf>
    <xf numFmtId="208" fontId="47" fillId="5" borderId="0" xfId="2" applyNumberFormat="1" applyFont="1" applyFill="1" applyBorder="1" applyAlignment="1">
      <alignment horizontal="right" vertical="center"/>
    </xf>
    <xf numFmtId="208" fontId="47" fillId="0" borderId="0" xfId="2" applyNumberFormat="1" applyFont="1" applyFill="1" applyBorder="1" applyAlignment="1">
      <alignment horizontal="right" vertical="center"/>
    </xf>
    <xf numFmtId="209" fontId="47" fillId="0" borderId="0" xfId="2" applyNumberFormat="1" applyFont="1" applyFill="1" applyBorder="1" applyAlignment="1">
      <alignment horizontal="right" vertical="center"/>
    </xf>
    <xf numFmtId="195" fontId="47" fillId="0" borderId="0" xfId="2" applyNumberFormat="1" applyFont="1" applyFill="1" applyBorder="1" applyAlignment="1">
      <alignment horizontal="right" vertical="center"/>
    </xf>
    <xf numFmtId="198" fontId="47" fillId="0" borderId="410" xfId="0" applyNumberFormat="1" applyFont="1" applyBorder="1" applyAlignment="1">
      <alignment horizontal="right" vertical="center"/>
    </xf>
    <xf numFmtId="187" fontId="47" fillId="18" borderId="0" xfId="3" applyNumberFormat="1" applyFont="1" applyFill="1" applyBorder="1" applyAlignment="1">
      <alignment horizontal="right" vertical="center"/>
    </xf>
    <xf numFmtId="189" fontId="47" fillId="0" borderId="0" xfId="0" applyNumberFormat="1" applyFont="1" applyBorder="1" applyAlignment="1">
      <alignment horizontal="right" vertical="center"/>
    </xf>
    <xf numFmtId="202" fontId="47" fillId="0" borderId="505" xfId="0" applyNumberFormat="1" applyFont="1" applyBorder="1">
      <alignment vertical="center"/>
    </xf>
    <xf numFmtId="202" fontId="47" fillId="15" borderId="505" xfId="0" applyNumberFormat="1" applyFont="1" applyFill="1" applyBorder="1" applyAlignment="1">
      <alignment horizontal="center" vertical="center"/>
    </xf>
    <xf numFmtId="202" fontId="47" fillId="0" borderId="505" xfId="0" applyNumberFormat="1" applyFont="1" applyBorder="1" applyAlignment="1">
      <alignment horizontal="center" vertical="center"/>
    </xf>
    <xf numFmtId="0" fontId="43" fillId="0" borderId="1112" xfId="0" applyFont="1" applyBorder="1">
      <alignment vertical="center"/>
    </xf>
    <xf numFmtId="0" fontId="47" fillId="0" borderId="66" xfId="0" applyFont="1" applyBorder="1">
      <alignment vertical="center"/>
    </xf>
    <xf numFmtId="210" fontId="51" fillId="0" borderId="609" xfId="0" applyNumberFormat="1" applyFont="1" applyBorder="1">
      <alignment vertical="center"/>
    </xf>
    <xf numFmtId="210" fontId="101" fillId="0" borderId="66" xfId="0" applyNumberFormat="1" applyFont="1" applyBorder="1">
      <alignment vertical="center"/>
    </xf>
    <xf numFmtId="210" fontId="101" fillId="0" borderId="443" xfId="0" applyNumberFormat="1" applyFont="1" applyBorder="1">
      <alignment vertical="center"/>
    </xf>
    <xf numFmtId="210" fontId="47" fillId="5" borderId="66" xfId="0" applyNumberFormat="1" applyFont="1" applyFill="1" applyBorder="1">
      <alignment vertical="center"/>
    </xf>
    <xf numFmtId="210" fontId="47" fillId="5" borderId="609" xfId="0" applyNumberFormat="1" applyFont="1" applyFill="1" applyBorder="1">
      <alignment vertical="center"/>
    </xf>
    <xf numFmtId="210" fontId="47" fillId="5" borderId="443" xfId="0" applyNumberFormat="1" applyFont="1" applyFill="1" applyBorder="1">
      <alignment vertical="center"/>
    </xf>
    <xf numFmtId="187" fontId="47" fillId="0" borderId="66" xfId="3" applyNumberFormat="1" applyFont="1" applyBorder="1" applyAlignment="1">
      <alignment horizontal="right" vertical="center"/>
    </xf>
    <xf numFmtId="246" fontId="47" fillId="15" borderId="0" xfId="0" applyNumberFormat="1" applyFont="1" applyFill="1" applyAlignment="1">
      <alignment horizontal="center" vertical="center"/>
    </xf>
    <xf numFmtId="0" fontId="43" fillId="0" borderId="242" xfId="0" applyFont="1" applyBorder="1">
      <alignment vertical="center"/>
    </xf>
    <xf numFmtId="242" fontId="36" fillId="0" borderId="0" xfId="2" applyNumberFormat="1" applyFont="1" applyFill="1" applyBorder="1" applyAlignment="1">
      <alignment horizontal="right" vertical="center"/>
    </xf>
    <xf numFmtId="210" fontId="36" fillId="5" borderId="0" xfId="2" applyNumberFormat="1" applyFont="1" applyFill="1" applyBorder="1">
      <alignment vertical="center"/>
    </xf>
    <xf numFmtId="210" fontId="36" fillId="5" borderId="376" xfId="2" applyNumberFormat="1" applyFont="1" applyFill="1" applyBorder="1">
      <alignment vertical="center"/>
    </xf>
    <xf numFmtId="210" fontId="36" fillId="5" borderId="0" xfId="2" applyNumberFormat="1" applyFont="1" applyFill="1">
      <alignment vertical="center"/>
    </xf>
    <xf numFmtId="0" fontId="36" fillId="0" borderId="451" xfId="0" applyFont="1" applyBorder="1" applyAlignment="1">
      <alignment horizontal="left" vertical="center"/>
    </xf>
    <xf numFmtId="210" fontId="36" fillId="5" borderId="450" xfId="0" applyNumberFormat="1" applyFont="1" applyFill="1" applyBorder="1" applyAlignment="1">
      <alignment horizontal="right" vertical="center"/>
    </xf>
    <xf numFmtId="210" fontId="36" fillId="5" borderId="451" xfId="0" applyNumberFormat="1" applyFont="1" applyFill="1" applyBorder="1" applyAlignment="1">
      <alignment horizontal="right" vertical="center"/>
    </xf>
    <xf numFmtId="210" fontId="36" fillId="5" borderId="452" xfId="0" applyNumberFormat="1" applyFont="1" applyFill="1" applyBorder="1" applyAlignment="1">
      <alignment horizontal="right" vertical="center"/>
    </xf>
    <xf numFmtId="210" fontId="36" fillId="5" borderId="450" xfId="0" applyNumberFormat="1" applyFont="1" applyFill="1" applyBorder="1">
      <alignment vertical="center"/>
    </xf>
    <xf numFmtId="210" fontId="36" fillId="5" borderId="451" xfId="2" applyNumberFormat="1" applyFont="1" applyFill="1" applyBorder="1" applyAlignment="1">
      <alignment horizontal="right" vertical="center"/>
    </xf>
    <xf numFmtId="226" fontId="36" fillId="5" borderId="450" xfId="0" applyNumberFormat="1" applyFont="1" applyFill="1" applyBorder="1" applyAlignment="1">
      <alignment horizontal="right" vertical="center"/>
    </xf>
    <xf numFmtId="226" fontId="36" fillId="5" borderId="451" xfId="0" applyNumberFormat="1" applyFont="1" applyFill="1" applyBorder="1" applyAlignment="1">
      <alignment horizontal="right" vertical="center"/>
    </xf>
    <xf numFmtId="226" fontId="36" fillId="5" borderId="452" xfId="0" applyNumberFormat="1" applyFont="1" applyFill="1" applyBorder="1" applyAlignment="1">
      <alignment horizontal="right" vertical="center"/>
    </xf>
    <xf numFmtId="208" fontId="36" fillId="5" borderId="451" xfId="2" applyNumberFormat="1" applyFont="1" applyFill="1" applyBorder="1" applyAlignment="1">
      <alignment horizontal="right" vertical="center"/>
    </xf>
    <xf numFmtId="208" fontId="36" fillId="0" borderId="451" xfId="2" applyNumberFormat="1" applyFont="1" applyFill="1" applyBorder="1" applyAlignment="1">
      <alignment horizontal="right" vertical="center"/>
    </xf>
    <xf numFmtId="195" fontId="36" fillId="0" borderId="451" xfId="2" applyNumberFormat="1" applyFont="1" applyFill="1" applyBorder="1" applyAlignment="1">
      <alignment horizontal="right" vertical="center"/>
    </xf>
    <xf numFmtId="209" fontId="36" fillId="0" borderId="451" xfId="2" applyNumberFormat="1" applyFont="1" applyFill="1" applyBorder="1" applyAlignment="1">
      <alignment horizontal="right" vertical="center"/>
    </xf>
    <xf numFmtId="198" fontId="36" fillId="0" borderId="561" xfId="0" applyNumberFormat="1" applyFont="1" applyBorder="1" applyAlignment="1">
      <alignment horizontal="right" vertical="center"/>
    </xf>
    <xf numFmtId="187" fontId="47" fillId="0" borderId="451" xfId="3" applyNumberFormat="1" applyFont="1" applyBorder="1" applyAlignment="1">
      <alignment horizontal="right" vertical="center"/>
    </xf>
    <xf numFmtId="189" fontId="36" fillId="0" borderId="451" xfId="0" applyNumberFormat="1" applyFont="1" applyBorder="1" applyAlignment="1">
      <alignment horizontal="right" vertical="center"/>
    </xf>
    <xf numFmtId="0" fontId="36" fillId="0" borderId="564" xfId="0" applyFont="1" applyBorder="1" applyAlignment="1">
      <alignment horizontal="right" vertical="center"/>
    </xf>
    <xf numFmtId="0" fontId="36" fillId="0" borderId="564" xfId="0" applyFont="1" applyBorder="1" applyAlignment="1">
      <alignment horizontal="left" vertical="center"/>
    </xf>
    <xf numFmtId="210" fontId="36" fillId="5" borderId="565" xfId="0" applyNumberFormat="1" applyFont="1" applyFill="1" applyBorder="1" applyAlignment="1">
      <alignment horizontal="right" vertical="center"/>
    </xf>
    <xf numFmtId="210" fontId="36" fillId="5" borderId="564" xfId="0" applyNumberFormat="1" applyFont="1" applyFill="1" applyBorder="1" applyAlignment="1">
      <alignment horizontal="right" vertical="center"/>
    </xf>
    <xf numFmtId="210" fontId="36" fillId="5" borderId="566" xfId="0" applyNumberFormat="1" applyFont="1" applyFill="1" applyBorder="1" applyAlignment="1">
      <alignment horizontal="right" vertical="center"/>
    </xf>
    <xf numFmtId="210" fontId="36" fillId="5" borderId="565" xfId="0" applyNumberFormat="1" applyFont="1" applyFill="1" applyBorder="1">
      <alignment vertical="center"/>
    </xf>
    <xf numFmtId="210" fontId="36" fillId="5" borderId="564" xfId="2" applyNumberFormat="1" applyFont="1" applyFill="1" applyBorder="1" applyAlignment="1">
      <alignment horizontal="right" vertical="center"/>
    </xf>
    <xf numFmtId="226" fontId="36" fillId="5" borderId="565" xfId="0" applyNumberFormat="1" applyFont="1" applyFill="1" applyBorder="1" applyAlignment="1">
      <alignment horizontal="right" vertical="center"/>
    </xf>
    <xf numFmtId="226" fontId="36" fillId="5" borderId="564" xfId="0" applyNumberFormat="1" applyFont="1" applyFill="1" applyBorder="1" applyAlignment="1">
      <alignment horizontal="right" vertical="center"/>
    </xf>
    <xf numFmtId="226" fontId="36" fillId="5" borderId="566" xfId="0" applyNumberFormat="1" applyFont="1" applyFill="1" applyBorder="1" applyAlignment="1">
      <alignment horizontal="right" vertical="center"/>
    </xf>
    <xf numFmtId="208" fontId="36" fillId="5" borderId="564" xfId="2" applyNumberFormat="1" applyFont="1" applyFill="1" applyBorder="1" applyAlignment="1">
      <alignment horizontal="right" vertical="center"/>
    </xf>
    <xf numFmtId="208" fontId="36" fillId="0" borderId="564" xfId="2" applyNumberFormat="1" applyFont="1" applyFill="1" applyBorder="1" applyAlignment="1">
      <alignment horizontal="right" vertical="center"/>
    </xf>
    <xf numFmtId="195" fontId="36" fillId="0" borderId="564" xfId="2" applyNumberFormat="1" applyFont="1" applyFill="1" applyBorder="1" applyAlignment="1">
      <alignment horizontal="right" vertical="center"/>
    </xf>
    <xf numFmtId="209" fontId="36" fillId="0" borderId="564" xfId="2" applyNumberFormat="1" applyFont="1" applyFill="1" applyBorder="1" applyAlignment="1">
      <alignment horizontal="right" vertical="center"/>
    </xf>
    <xf numFmtId="198" fontId="36" fillId="0" borderId="567" xfId="0" applyNumberFormat="1" applyFont="1" applyBorder="1" applyAlignment="1">
      <alignment horizontal="right" vertical="center"/>
    </xf>
    <xf numFmtId="187" fontId="47" fillId="0" borderId="564" xfId="3" applyNumberFormat="1" applyFont="1" applyBorder="1" applyAlignment="1">
      <alignment horizontal="right" vertical="center"/>
    </xf>
    <xf numFmtId="208" fontId="36" fillId="0" borderId="564" xfId="0" applyNumberFormat="1" applyFont="1" applyBorder="1" applyAlignment="1">
      <alignment horizontal="right" vertical="center"/>
    </xf>
    <xf numFmtId="210" fontId="36" fillId="5" borderId="437" xfId="0" applyNumberFormat="1" applyFont="1" applyFill="1" applyBorder="1" applyAlignment="1">
      <alignment horizontal="right" vertical="center"/>
    </xf>
    <xf numFmtId="210" fontId="36" fillId="5" borderId="0" xfId="0" applyNumberFormat="1" applyFont="1" applyFill="1" applyAlignment="1">
      <alignment horizontal="right" vertical="center"/>
    </xf>
    <xf numFmtId="210" fontId="36" fillId="5" borderId="376" xfId="0" applyNumberFormat="1" applyFont="1" applyFill="1" applyBorder="1" applyAlignment="1">
      <alignment horizontal="right" vertical="center"/>
    </xf>
    <xf numFmtId="210" fontId="36" fillId="5" borderId="0" xfId="2" applyNumberFormat="1" applyFont="1" applyFill="1" applyBorder="1" applyAlignment="1">
      <alignment horizontal="right" vertical="center"/>
    </xf>
    <xf numFmtId="210" fontId="36" fillId="5" borderId="0" xfId="0" applyNumberFormat="1" applyFont="1" applyFill="1" applyBorder="1" applyAlignment="1">
      <alignment horizontal="right" vertical="center"/>
    </xf>
    <xf numFmtId="242" fontId="36" fillId="0" borderId="0" xfId="2" applyNumberFormat="1" applyFont="1" applyFill="1" applyAlignment="1">
      <alignment horizontal="right" vertical="center"/>
    </xf>
    <xf numFmtId="198" fontId="36" fillId="29" borderId="410" xfId="0" applyNumberFormat="1" applyFont="1" applyFill="1" applyBorder="1" applyAlignment="1">
      <alignment horizontal="right" vertical="center"/>
    </xf>
    <xf numFmtId="208" fontId="36" fillId="0" borderId="0" xfId="0" applyNumberFormat="1" applyFont="1" applyAlignment="1">
      <alignment horizontal="right" vertical="center"/>
    </xf>
    <xf numFmtId="202" fontId="36" fillId="4" borderId="0" xfId="0" applyNumberFormat="1" applyFont="1" applyFill="1" applyAlignment="1">
      <alignment horizontal="center" vertical="center"/>
    </xf>
    <xf numFmtId="195" fontId="36" fillId="5" borderId="0" xfId="2" applyNumberFormat="1" applyFont="1" applyFill="1" applyBorder="1" applyAlignment="1">
      <alignment horizontal="right" vertical="center"/>
    </xf>
    <xf numFmtId="0" fontId="43" fillId="2" borderId="479" xfId="0" applyFont="1" applyFill="1" applyBorder="1">
      <alignment vertical="center"/>
    </xf>
    <xf numFmtId="0" fontId="36" fillId="2" borderId="479" xfId="0" applyFont="1" applyFill="1" applyBorder="1">
      <alignment vertical="center"/>
    </xf>
    <xf numFmtId="210" fontId="36" fillId="2" borderId="480" xfId="0" applyNumberFormat="1" applyFont="1" applyFill="1" applyBorder="1">
      <alignment vertical="center"/>
    </xf>
    <xf numFmtId="210" fontId="36" fillId="2" borderId="479" xfId="0" applyNumberFormat="1" applyFont="1" applyFill="1" applyBorder="1">
      <alignment vertical="center"/>
    </xf>
    <xf numFmtId="210" fontId="36" fillId="2" borderId="481" xfId="0" applyNumberFormat="1" applyFont="1" applyFill="1" applyBorder="1">
      <alignment vertical="center"/>
    </xf>
    <xf numFmtId="226" fontId="36" fillId="2" borderId="480" xfId="0" applyNumberFormat="1" applyFont="1" applyFill="1" applyBorder="1" applyAlignment="1">
      <alignment horizontal="right" vertical="center"/>
    </xf>
    <xf numFmtId="226" fontId="36" fillId="2" borderId="479" xfId="0" applyNumberFormat="1" applyFont="1" applyFill="1" applyBorder="1" applyAlignment="1">
      <alignment horizontal="right" vertical="center"/>
    </xf>
    <xf numFmtId="226" fontId="36" fillId="2" borderId="481" xfId="0" applyNumberFormat="1" applyFont="1" applyFill="1" applyBorder="1" applyAlignment="1">
      <alignment horizontal="right" vertical="center"/>
    </xf>
    <xf numFmtId="208" fontId="36" fillId="2" borderId="479" xfId="2" applyNumberFormat="1" applyFont="1" applyFill="1" applyBorder="1" applyAlignment="1">
      <alignment horizontal="right" vertical="center"/>
    </xf>
    <xf numFmtId="195" fontId="36" fillId="2" borderId="479" xfId="2" applyNumberFormat="1" applyFont="1" applyFill="1" applyBorder="1" applyAlignment="1">
      <alignment horizontal="right" vertical="center"/>
    </xf>
    <xf numFmtId="209" fontId="36" fillId="2" borderId="479" xfId="2" applyNumberFormat="1" applyFont="1" applyFill="1" applyBorder="1" applyAlignment="1">
      <alignment horizontal="right" vertical="center"/>
    </xf>
    <xf numFmtId="198" fontId="36" fillId="2" borderId="560" xfId="0" applyNumberFormat="1" applyFont="1" applyFill="1" applyBorder="1" applyAlignment="1">
      <alignment horizontal="right" vertical="center"/>
    </xf>
    <xf numFmtId="187" fontId="47" fillId="2" borderId="479" xfId="3" applyNumberFormat="1" applyFont="1" applyFill="1" applyBorder="1" applyAlignment="1">
      <alignment horizontal="right" vertical="center"/>
    </xf>
    <xf numFmtId="189" fontId="36" fillId="2" borderId="479" xfId="0" applyNumberFormat="1" applyFont="1" applyFill="1" applyBorder="1" applyAlignment="1">
      <alignment horizontal="right" vertical="center"/>
    </xf>
    <xf numFmtId="247" fontId="36" fillId="15" borderId="0" xfId="0" applyNumberFormat="1" applyFont="1" applyFill="1" applyAlignment="1">
      <alignment horizontal="center" vertical="center"/>
    </xf>
    <xf numFmtId="210" fontId="36" fillId="2" borderId="437" xfId="0" applyNumberFormat="1" applyFont="1" applyFill="1" applyBorder="1">
      <alignment vertical="center"/>
    </xf>
    <xf numFmtId="210" fontId="36" fillId="2" borderId="0" xfId="0" applyNumberFormat="1" applyFont="1" applyFill="1" applyBorder="1">
      <alignment vertical="center"/>
    </xf>
    <xf numFmtId="210" fontId="36" fillId="2" borderId="376" xfId="0" applyNumberFormat="1" applyFont="1" applyFill="1" applyBorder="1">
      <alignment vertical="center"/>
    </xf>
    <xf numFmtId="226" fontId="36" fillId="2" borderId="0" xfId="0" applyNumberFormat="1" applyFont="1" applyFill="1" applyBorder="1" applyAlignment="1">
      <alignment horizontal="right" vertical="center"/>
    </xf>
    <xf numFmtId="226" fontId="36" fillId="2" borderId="376" xfId="0" applyNumberFormat="1" applyFont="1" applyFill="1" applyBorder="1" applyAlignment="1">
      <alignment horizontal="right" vertical="center"/>
    </xf>
    <xf numFmtId="208" fontId="36" fillId="2" borderId="376" xfId="2" applyNumberFormat="1" applyFont="1" applyFill="1" applyBorder="1" applyAlignment="1">
      <alignment horizontal="right" vertical="center"/>
    </xf>
    <xf numFmtId="242" fontId="36" fillId="2" borderId="0" xfId="0" applyNumberFormat="1" applyFont="1" applyFill="1" applyBorder="1" applyAlignment="1">
      <alignment horizontal="right" vertical="center"/>
    </xf>
    <xf numFmtId="209" fontId="36" fillId="2" borderId="0" xfId="2" applyNumberFormat="1" applyFont="1" applyFill="1" applyBorder="1" applyAlignment="1">
      <alignment horizontal="right" vertical="center"/>
    </xf>
    <xf numFmtId="209" fontId="36" fillId="2" borderId="0" xfId="0" applyNumberFormat="1" applyFont="1" applyFill="1" applyBorder="1" applyAlignment="1">
      <alignment horizontal="right" vertical="center"/>
    </xf>
    <xf numFmtId="195" fontId="36" fillId="2" borderId="0" xfId="2" applyNumberFormat="1" applyFont="1" applyFill="1" applyBorder="1" applyAlignment="1">
      <alignment horizontal="right" vertical="center"/>
    </xf>
    <xf numFmtId="189" fontId="36" fillId="2" borderId="0" xfId="0" applyNumberFormat="1" applyFont="1" applyFill="1" applyBorder="1" applyAlignment="1">
      <alignment horizontal="right" vertical="center"/>
    </xf>
    <xf numFmtId="195" fontId="36" fillId="2" borderId="0" xfId="0" applyNumberFormat="1" applyFont="1" applyFill="1" applyBorder="1" applyAlignment="1">
      <alignment horizontal="right" vertical="center"/>
    </xf>
    <xf numFmtId="0" fontId="43" fillId="2" borderId="417" xfId="0" applyFont="1" applyFill="1" applyBorder="1">
      <alignment vertical="center"/>
    </xf>
    <xf numFmtId="0" fontId="36" fillId="2" borderId="417" xfId="0" applyFont="1" applyFill="1" applyBorder="1">
      <alignment vertical="center"/>
    </xf>
    <xf numFmtId="210" fontId="36" fillId="2" borderId="417" xfId="0" applyNumberFormat="1" applyFont="1" applyFill="1" applyBorder="1">
      <alignment vertical="center"/>
    </xf>
    <xf numFmtId="208" fontId="36" fillId="2" borderId="417" xfId="2" applyNumberFormat="1" applyFont="1" applyFill="1" applyBorder="1" applyAlignment="1">
      <alignment horizontal="right" vertical="center"/>
    </xf>
    <xf numFmtId="208" fontId="36" fillId="2" borderId="425" xfId="2" applyNumberFormat="1" applyFont="1" applyFill="1" applyBorder="1" applyAlignment="1">
      <alignment horizontal="right" vertical="center"/>
    </xf>
    <xf numFmtId="242" fontId="36" fillId="2" borderId="417" xfId="2" applyNumberFormat="1" applyFont="1" applyFill="1" applyBorder="1" applyAlignment="1">
      <alignment horizontal="right" vertical="center"/>
    </xf>
    <xf numFmtId="209" fontId="36" fillId="2" borderId="417" xfId="2" applyNumberFormat="1" applyFont="1" applyFill="1" applyBorder="1" applyAlignment="1">
      <alignment horizontal="right" vertical="center"/>
    </xf>
    <xf numFmtId="195" fontId="36" fillId="2" borderId="417" xfId="2" applyNumberFormat="1" applyFont="1" applyFill="1" applyBorder="1" applyAlignment="1">
      <alignment horizontal="right" vertical="center"/>
    </xf>
    <xf numFmtId="198" fontId="36" fillId="29" borderId="557" xfId="0" applyNumberFormat="1" applyFont="1" applyFill="1" applyBorder="1" applyAlignment="1">
      <alignment horizontal="right" vertical="center"/>
    </xf>
    <xf numFmtId="187" fontId="47" fillId="29" borderId="417" xfId="3" applyNumberFormat="1" applyFont="1" applyFill="1" applyBorder="1" applyAlignment="1">
      <alignment horizontal="right" vertical="center"/>
    </xf>
    <xf numFmtId="189" fontId="36" fillId="2" borderId="417" xfId="0" applyNumberFormat="1" applyFont="1" applyFill="1" applyBorder="1" applyAlignment="1">
      <alignment horizontal="right" vertical="center"/>
    </xf>
    <xf numFmtId="226" fontId="36" fillId="2" borderId="437" xfId="0" applyNumberFormat="1" applyFont="1" applyFill="1" applyBorder="1" applyAlignment="1">
      <alignment horizontal="right" vertical="center"/>
    </xf>
    <xf numFmtId="242" fontId="36" fillId="2" borderId="0" xfId="2" applyNumberFormat="1" applyFont="1" applyFill="1" applyBorder="1" applyAlignment="1">
      <alignment horizontal="right" vertical="center"/>
    </xf>
    <xf numFmtId="210" fontId="103" fillId="2" borderId="437" xfId="5" applyNumberFormat="1" applyFont="1" applyFill="1" applyBorder="1"/>
    <xf numFmtId="210" fontId="103" fillId="2" borderId="0" xfId="5" applyNumberFormat="1" applyFont="1" applyFill="1" applyBorder="1"/>
    <xf numFmtId="210" fontId="103" fillId="2" borderId="376" xfId="5" applyNumberFormat="1" applyFont="1" applyFill="1" applyBorder="1"/>
    <xf numFmtId="0" fontId="36" fillId="2" borderId="431" xfId="0" applyFont="1" applyFill="1" applyBorder="1">
      <alignment vertical="center"/>
    </xf>
    <xf numFmtId="210" fontId="103" fillId="2" borderId="430" xfId="5" applyNumberFormat="1" applyFont="1" applyFill="1" applyBorder="1"/>
    <xf numFmtId="210" fontId="103" fillId="2" borderId="431" xfId="5" applyNumberFormat="1" applyFont="1" applyFill="1" applyBorder="1"/>
    <xf numFmtId="210" fontId="103" fillId="2" borderId="432" xfId="5" applyNumberFormat="1" applyFont="1" applyFill="1" applyBorder="1"/>
    <xf numFmtId="210" fontId="36" fillId="2" borderId="430" xfId="0" applyNumberFormat="1" applyFont="1" applyFill="1" applyBorder="1">
      <alignment vertical="center"/>
    </xf>
    <xf numFmtId="210" fontId="36" fillId="2" borderId="431" xfId="0" applyNumberFormat="1" applyFont="1" applyFill="1" applyBorder="1">
      <alignment vertical="center"/>
    </xf>
    <xf numFmtId="210" fontId="36" fillId="2" borderId="432" xfId="0" applyNumberFormat="1" applyFont="1" applyFill="1" applyBorder="1">
      <alignment vertical="center"/>
    </xf>
    <xf numFmtId="226" fontId="36" fillId="2" borderId="430" xfId="0" applyNumberFormat="1" applyFont="1" applyFill="1" applyBorder="1" applyAlignment="1">
      <alignment horizontal="right" vertical="center"/>
    </xf>
    <xf numFmtId="226" fontId="36" fillId="2" borderId="431" xfId="0" applyNumberFormat="1" applyFont="1" applyFill="1" applyBorder="1" applyAlignment="1">
      <alignment horizontal="right" vertical="center"/>
    </xf>
    <xf numFmtId="226" fontId="36" fillId="2" borderId="432" xfId="0" applyNumberFormat="1" applyFont="1" applyFill="1" applyBorder="1" applyAlignment="1">
      <alignment horizontal="right" vertical="center"/>
    </xf>
    <xf numFmtId="195" fontId="36" fillId="2" borderId="431" xfId="2" applyNumberFormat="1" applyFont="1" applyFill="1" applyBorder="1" applyAlignment="1">
      <alignment horizontal="right" vertical="center"/>
    </xf>
    <xf numFmtId="209" fontId="36" fillId="2" borderId="431" xfId="2" applyNumberFormat="1" applyFont="1" applyFill="1" applyBorder="1" applyAlignment="1">
      <alignment horizontal="right" vertical="center"/>
    </xf>
    <xf numFmtId="198" fontId="36" fillId="29" borderId="559" xfId="0" applyNumberFormat="1" applyFont="1" applyFill="1" applyBorder="1" applyAlignment="1">
      <alignment horizontal="right" vertical="center"/>
    </xf>
    <xf numFmtId="187" fontId="47" fillId="29" borderId="431" xfId="3" applyNumberFormat="1" applyFont="1" applyFill="1" applyBorder="1" applyAlignment="1">
      <alignment horizontal="right" vertical="center"/>
    </xf>
    <xf numFmtId="189" fontId="36" fillId="2" borderId="431" xfId="0" applyNumberFormat="1" applyFont="1" applyFill="1" applyBorder="1" applyAlignment="1">
      <alignment horizontal="right" vertical="center"/>
    </xf>
    <xf numFmtId="0" fontId="36" fillId="2" borderId="438" xfId="0" applyFont="1" applyFill="1" applyBorder="1">
      <alignment vertical="center"/>
    </xf>
    <xf numFmtId="0" fontId="104" fillId="2" borderId="438" xfId="0" applyFont="1" applyFill="1" applyBorder="1">
      <alignment vertical="center"/>
    </xf>
    <xf numFmtId="210" fontId="36" fillId="2" borderId="439" xfId="0" applyNumberFormat="1" applyFont="1" applyFill="1" applyBorder="1">
      <alignment vertical="center"/>
    </xf>
    <xf numFmtId="210" fontId="36" fillId="2" borderId="438" xfId="0" applyNumberFormat="1" applyFont="1" applyFill="1" applyBorder="1">
      <alignment vertical="center"/>
    </xf>
    <xf numFmtId="210" fontId="36" fillId="2" borderId="440" xfId="0" applyNumberFormat="1" applyFont="1" applyFill="1" applyBorder="1">
      <alignment vertical="center"/>
    </xf>
    <xf numFmtId="226" fontId="36" fillId="2" borderId="439" xfId="0" applyNumberFormat="1" applyFont="1" applyFill="1" applyBorder="1" applyAlignment="1">
      <alignment horizontal="right" vertical="center"/>
    </xf>
    <xf numFmtId="226" fontId="36" fillId="2" borderId="438" xfId="0" applyNumberFormat="1" applyFont="1" applyFill="1" applyBorder="1" applyAlignment="1">
      <alignment horizontal="right" vertical="center"/>
    </xf>
    <xf numFmtId="226" fontId="36" fillId="2" borderId="440" xfId="0" applyNumberFormat="1" applyFont="1" applyFill="1" applyBorder="1" applyAlignment="1">
      <alignment horizontal="right" vertical="center"/>
    </xf>
    <xf numFmtId="208" fontId="36" fillId="2" borderId="438" xfId="2" applyNumberFormat="1" applyFont="1" applyFill="1" applyBorder="1" applyAlignment="1">
      <alignment horizontal="right" vertical="center"/>
    </xf>
    <xf numFmtId="209" fontId="36" fillId="2" borderId="438" xfId="2" applyNumberFormat="1" applyFont="1" applyFill="1" applyBorder="1" applyAlignment="1">
      <alignment horizontal="right" vertical="center"/>
    </xf>
    <xf numFmtId="198" fontId="36" fillId="29" borderId="492" xfId="0" applyNumberFormat="1" applyFont="1" applyFill="1" applyBorder="1" applyAlignment="1">
      <alignment horizontal="right" vertical="center"/>
    </xf>
    <xf numFmtId="187" fontId="47" fillId="29" borderId="438" xfId="3" applyNumberFormat="1" applyFont="1" applyFill="1" applyBorder="1" applyAlignment="1">
      <alignment horizontal="right" vertical="center"/>
    </xf>
    <xf numFmtId="189" fontId="36" fillId="2" borderId="438" xfId="0" applyNumberFormat="1" applyFont="1" applyFill="1" applyBorder="1" applyAlignment="1">
      <alignment horizontal="right" vertical="center"/>
    </xf>
    <xf numFmtId="214" fontId="36" fillId="0" borderId="0" xfId="2" applyNumberFormat="1" applyFont="1" applyFill="1" applyBorder="1" applyAlignment="1">
      <alignment horizontal="right" vertical="center"/>
    </xf>
    <xf numFmtId="246" fontId="36" fillId="28" borderId="0" xfId="0" applyNumberFormat="1" applyFont="1" applyFill="1" applyAlignment="1">
      <alignment horizontal="center" vertical="center"/>
    </xf>
    <xf numFmtId="0" fontId="104" fillId="0" borderId="0" xfId="0" applyFont="1">
      <alignment vertical="center"/>
    </xf>
    <xf numFmtId="210" fontId="104" fillId="5" borderId="437" xfId="0" applyNumberFormat="1" applyFont="1" applyFill="1" applyBorder="1">
      <alignment vertical="center"/>
    </xf>
    <xf numFmtId="210" fontId="104" fillId="5" borderId="0" xfId="0" applyNumberFormat="1" applyFont="1" applyFill="1">
      <alignment vertical="center"/>
    </xf>
    <xf numFmtId="210" fontId="104" fillId="5" borderId="376" xfId="0" applyNumberFormat="1" applyFont="1" applyFill="1" applyBorder="1">
      <alignment vertical="center"/>
    </xf>
    <xf numFmtId="210" fontId="104" fillId="5" borderId="0" xfId="0" applyNumberFormat="1" applyFont="1" applyFill="1" applyBorder="1">
      <alignment vertical="center"/>
    </xf>
    <xf numFmtId="226" fontId="36" fillId="5" borderId="435" xfId="0" applyNumberFormat="1" applyFont="1" applyFill="1" applyBorder="1" applyAlignment="1">
      <alignment horizontal="right" vertical="center"/>
    </xf>
    <xf numFmtId="226" fontId="36" fillId="5" borderId="102" xfId="0" applyNumberFormat="1" applyFont="1" applyFill="1" applyBorder="1" applyAlignment="1">
      <alignment horizontal="right" vertical="center"/>
    </xf>
    <xf numFmtId="226" fontId="36" fillId="5" borderId="436" xfId="0" applyNumberFormat="1" applyFont="1" applyFill="1" applyBorder="1" applyAlignment="1">
      <alignment horizontal="right" vertical="center"/>
    </xf>
    <xf numFmtId="210" fontId="101" fillId="32" borderId="0" xfId="0" applyNumberFormat="1" applyFont="1" applyFill="1">
      <alignment vertical="center"/>
    </xf>
    <xf numFmtId="192" fontId="36" fillId="15" borderId="0" xfId="0" applyNumberFormat="1" applyFont="1" applyFill="1" applyAlignment="1">
      <alignment horizontal="center" vertical="center"/>
    </xf>
    <xf numFmtId="226" fontId="36" fillId="3" borderId="437" xfId="0" applyNumberFormat="1" applyFont="1" applyFill="1" applyBorder="1" applyAlignment="1">
      <alignment horizontal="right" vertical="center"/>
    </xf>
    <xf numFmtId="226" fontId="36" fillId="3" borderId="0" xfId="0" applyNumberFormat="1" applyFont="1" applyFill="1" applyAlignment="1">
      <alignment horizontal="right" vertical="center"/>
    </xf>
    <xf numFmtId="226" fontId="36" fillId="3" borderId="376" xfId="0" applyNumberFormat="1" applyFont="1" applyFill="1" applyBorder="1" applyAlignment="1">
      <alignment horizontal="right" vertical="center"/>
    </xf>
    <xf numFmtId="208" fontId="36" fillId="3" borderId="0" xfId="2" applyNumberFormat="1" applyFont="1" applyFill="1" applyAlignment="1">
      <alignment horizontal="right" vertical="center"/>
    </xf>
    <xf numFmtId="208" fontId="36" fillId="3" borderId="376" xfId="2" applyNumberFormat="1" applyFont="1" applyFill="1" applyBorder="1" applyAlignment="1">
      <alignment horizontal="right" vertical="center"/>
    </xf>
    <xf numFmtId="195" fontId="36" fillId="3" borderId="0" xfId="2" applyNumberFormat="1" applyFont="1" applyFill="1" applyBorder="1" applyAlignment="1">
      <alignment horizontal="right" vertical="center"/>
    </xf>
    <xf numFmtId="198" fontId="36" fillId="3" borderId="410" xfId="0" applyNumberFormat="1" applyFont="1" applyFill="1" applyBorder="1" applyAlignment="1">
      <alignment horizontal="right" vertical="center"/>
    </xf>
    <xf numFmtId="187" fontId="47" fillId="3" borderId="0" xfId="3" applyNumberFormat="1" applyFont="1" applyFill="1" applyBorder="1" applyAlignment="1">
      <alignment horizontal="right" vertical="center"/>
    </xf>
    <xf numFmtId="187" fontId="36" fillId="3" borderId="0" xfId="0" applyNumberFormat="1" applyFont="1" applyFill="1" applyAlignment="1">
      <alignment horizontal="right" vertical="center"/>
    </xf>
    <xf numFmtId="192" fontId="36" fillId="0" borderId="0" xfId="0" applyNumberFormat="1" applyFont="1" applyAlignment="1">
      <alignment horizontal="center" vertical="center"/>
    </xf>
    <xf numFmtId="187" fontId="47" fillId="57" borderId="0" xfId="3" applyNumberFormat="1" applyFont="1" applyFill="1" applyBorder="1" applyAlignment="1">
      <alignment horizontal="right" vertical="center"/>
    </xf>
    <xf numFmtId="209" fontId="36" fillId="3" borderId="0" xfId="2" applyNumberFormat="1" applyFont="1" applyFill="1" applyAlignment="1">
      <alignment horizontal="right" vertical="center"/>
    </xf>
    <xf numFmtId="0" fontId="36" fillId="0" borderId="244" xfId="0" applyFont="1" applyBorder="1">
      <alignment vertical="center"/>
    </xf>
    <xf numFmtId="0" fontId="36" fillId="3" borderId="6" xfId="0" applyFont="1" applyFill="1" applyBorder="1">
      <alignment vertical="center"/>
    </xf>
    <xf numFmtId="226" fontId="36" fillId="3" borderId="444" xfId="0" applyNumberFormat="1" applyFont="1" applyFill="1" applyBorder="1" applyAlignment="1">
      <alignment horizontal="right" vertical="center"/>
    </xf>
    <xf numFmtId="226" fontId="36" fillId="3" borderId="363" xfId="0" applyNumberFormat="1" applyFont="1" applyFill="1" applyBorder="1" applyAlignment="1">
      <alignment horizontal="right" vertical="center"/>
    </xf>
    <xf numFmtId="226" fontId="36" fillId="3" borderId="445" xfId="0" applyNumberFormat="1" applyFont="1" applyFill="1" applyBorder="1" applyAlignment="1">
      <alignment horizontal="right" vertical="center"/>
    </xf>
    <xf numFmtId="208" fontId="36" fillId="3" borderId="6" xfId="2" applyNumberFormat="1" applyFont="1" applyFill="1" applyBorder="1" applyAlignment="1">
      <alignment horizontal="right" vertical="center"/>
    </xf>
    <xf numFmtId="195" fontId="36" fillId="3" borderId="6" xfId="2" applyNumberFormat="1" applyFont="1" applyFill="1" applyBorder="1" applyAlignment="1">
      <alignment horizontal="right" vertical="center"/>
    </xf>
    <xf numFmtId="209" fontId="36" fillId="3" borderId="6" xfId="2" applyNumberFormat="1" applyFont="1" applyFill="1" applyBorder="1" applyAlignment="1">
      <alignment horizontal="right" vertical="center"/>
    </xf>
    <xf numFmtId="198" fontId="36" fillId="3" borderId="408" xfId="0" applyNumberFormat="1" applyFont="1" applyFill="1" applyBorder="1" applyAlignment="1">
      <alignment horizontal="right" vertical="center"/>
    </xf>
    <xf numFmtId="187" fontId="47" fillId="3" borderId="6" xfId="3" applyNumberFormat="1" applyFont="1" applyFill="1" applyBorder="1" applyAlignment="1">
      <alignment horizontal="right" vertical="center"/>
    </xf>
    <xf numFmtId="189" fontId="36" fillId="3" borderId="6" xfId="0" applyNumberFormat="1" applyFont="1" applyFill="1" applyBorder="1" applyAlignment="1">
      <alignment horizontal="right" vertical="center"/>
    </xf>
    <xf numFmtId="246" fontId="36" fillId="15" borderId="363" xfId="0" applyNumberFormat="1" applyFont="1" applyFill="1" applyBorder="1" applyAlignment="1">
      <alignment horizontal="center" vertical="center"/>
    </xf>
    <xf numFmtId="226" fontId="36" fillId="5" borderId="0" xfId="2" applyNumberFormat="1" applyFont="1" applyFill="1" applyBorder="1" applyAlignment="1">
      <alignment horizontal="right" vertical="center"/>
    </xf>
    <xf numFmtId="204" fontId="36" fillId="5" borderId="0" xfId="2" applyNumberFormat="1" applyFont="1" applyFill="1" applyBorder="1" applyAlignment="1">
      <alignment horizontal="right" vertical="center"/>
    </xf>
    <xf numFmtId="204" fontId="36" fillId="0" borderId="0" xfId="2" applyNumberFormat="1" applyFont="1" applyAlignment="1">
      <alignment horizontal="right" vertical="center"/>
    </xf>
    <xf numFmtId="204" fontId="36" fillId="0" borderId="376" xfId="2" applyNumberFormat="1" applyFont="1" applyBorder="1" applyAlignment="1">
      <alignment horizontal="right" vertical="center"/>
    </xf>
    <xf numFmtId="209" fontId="36" fillId="0" borderId="0" xfId="2" applyNumberFormat="1" applyFont="1" applyAlignment="1">
      <alignment horizontal="right" vertical="center"/>
    </xf>
    <xf numFmtId="0" fontId="36" fillId="0" borderId="0" xfId="2" applyNumberFormat="1" applyFont="1" applyBorder="1" applyAlignment="1">
      <alignment horizontal="right" vertical="center"/>
    </xf>
    <xf numFmtId="198" fontId="36" fillId="0" borderId="0" xfId="0" applyNumberFormat="1" applyFont="1" applyAlignment="1">
      <alignment horizontal="right" vertical="center"/>
    </xf>
    <xf numFmtId="187" fontId="47" fillId="0" borderId="0" xfId="0" applyNumberFormat="1" applyFont="1" applyAlignment="1">
      <alignment horizontal="right" vertical="center"/>
    </xf>
    <xf numFmtId="0" fontId="43" fillId="4" borderId="238" xfId="0" applyFont="1" applyFill="1" applyBorder="1">
      <alignment vertical="center"/>
    </xf>
    <xf numFmtId="0" fontId="36" fillId="4" borderId="0" xfId="0" applyFont="1" applyFill="1">
      <alignment vertical="center"/>
    </xf>
    <xf numFmtId="210" fontId="36" fillId="4" borderId="437" xfId="0" applyNumberFormat="1" applyFont="1" applyFill="1" applyBorder="1">
      <alignment vertical="center"/>
    </xf>
    <xf numFmtId="210" fontId="36" fillId="4" borderId="0" xfId="0" applyNumberFormat="1" applyFont="1" applyFill="1">
      <alignment vertical="center"/>
    </xf>
    <xf numFmtId="210" fontId="36" fillId="4" borderId="376" xfId="0" applyNumberFormat="1" applyFont="1" applyFill="1" applyBorder="1">
      <alignment vertical="center"/>
    </xf>
    <xf numFmtId="2" fontId="36" fillId="4" borderId="0" xfId="0" applyNumberFormat="1" applyFont="1" applyFill="1">
      <alignment vertical="center"/>
    </xf>
    <xf numFmtId="210" fontId="36" fillId="4" borderId="0" xfId="0" applyNumberFormat="1" applyFont="1" applyFill="1" applyBorder="1">
      <alignment vertical="center"/>
    </xf>
    <xf numFmtId="226" fontId="36" fillId="4" borderId="437" xfId="0" applyNumberFormat="1" applyFont="1" applyFill="1" applyBorder="1" applyAlignment="1">
      <alignment horizontal="right" vertical="center"/>
    </xf>
    <xf numFmtId="226" fontId="36" fillId="4" borderId="0" xfId="0" applyNumberFormat="1" applyFont="1" applyFill="1" applyAlignment="1">
      <alignment horizontal="right" vertical="center"/>
    </xf>
    <xf numFmtId="226" fontId="46" fillId="4" borderId="376" xfId="0" applyNumberFormat="1" applyFont="1" applyFill="1" applyBorder="1" applyAlignment="1">
      <alignment horizontal="right" vertical="center"/>
    </xf>
    <xf numFmtId="208" fontId="36" fillId="4" borderId="0" xfId="2" applyNumberFormat="1" applyFont="1" applyFill="1" applyBorder="1" applyAlignment="1">
      <alignment horizontal="right" vertical="center"/>
    </xf>
    <xf numFmtId="208" fontId="36" fillId="4" borderId="0" xfId="2" applyNumberFormat="1" applyFont="1" applyFill="1" applyAlignment="1">
      <alignment horizontal="right" vertical="center"/>
    </xf>
    <xf numFmtId="195" fontId="36" fillId="4" borderId="0" xfId="2" applyNumberFormat="1" applyFont="1" applyFill="1" applyBorder="1" applyAlignment="1">
      <alignment horizontal="right" vertical="center"/>
    </xf>
    <xf numFmtId="0" fontId="36" fillId="0" borderId="238" xfId="0" applyFont="1" applyBorder="1">
      <alignment vertical="center"/>
    </xf>
    <xf numFmtId="0" fontId="43" fillId="5" borderId="0" xfId="0" applyFont="1" applyFill="1">
      <alignment vertical="center"/>
    </xf>
    <xf numFmtId="208" fontId="36" fillId="0" borderId="0" xfId="2" applyNumberFormat="1" applyFont="1" applyAlignment="1">
      <alignment horizontal="right" vertical="center"/>
    </xf>
    <xf numFmtId="208" fontId="36" fillId="0" borderId="376" xfId="2" applyNumberFormat="1" applyFont="1" applyBorder="1" applyAlignment="1">
      <alignment horizontal="right" vertical="center"/>
    </xf>
    <xf numFmtId="0" fontId="51" fillId="5" borderId="0" xfId="0" applyFont="1" applyFill="1">
      <alignment vertical="center"/>
    </xf>
    <xf numFmtId="242" fontId="36" fillId="0" borderId="0" xfId="2" applyNumberFormat="1" applyFont="1" applyBorder="1" applyAlignment="1">
      <alignment horizontal="right" vertical="center"/>
    </xf>
    <xf numFmtId="195" fontId="36" fillId="0" borderId="0" xfId="2" applyNumberFormat="1" applyFont="1" applyBorder="1" applyAlignment="1">
      <alignment horizontal="right" vertical="center"/>
    </xf>
    <xf numFmtId="221" fontId="36" fillId="0" borderId="0" xfId="0" applyNumberFormat="1" applyFont="1" applyAlignment="1"/>
    <xf numFmtId="210" fontId="36" fillId="0" borderId="0" xfId="0" applyNumberFormat="1" applyFont="1" applyAlignment="1"/>
    <xf numFmtId="0" fontId="51" fillId="5" borderId="515" xfId="0" applyFont="1" applyFill="1" applyBorder="1">
      <alignment vertical="center"/>
    </xf>
    <xf numFmtId="0" fontId="90" fillId="5" borderId="515" xfId="0" applyFont="1" applyFill="1" applyBorder="1" applyAlignment="1">
      <alignment horizontal="left" vertical="center"/>
    </xf>
    <xf numFmtId="0" fontId="36" fillId="0" borderId="515" xfId="0" applyFont="1" applyBorder="1">
      <alignment vertical="center"/>
    </xf>
    <xf numFmtId="210" fontId="36" fillId="5" borderId="516" xfId="0" applyNumberFormat="1" applyFont="1" applyFill="1" applyBorder="1">
      <alignment vertical="center"/>
    </xf>
    <xf numFmtId="210" fontId="36" fillId="5" borderId="515" xfId="0" applyNumberFormat="1" applyFont="1" applyFill="1" applyBorder="1">
      <alignment vertical="center"/>
    </xf>
    <xf numFmtId="210" fontId="36" fillId="5" borderId="517" xfId="0" applyNumberFormat="1" applyFont="1" applyFill="1" applyBorder="1">
      <alignment vertical="center"/>
    </xf>
    <xf numFmtId="226" fontId="36" fillId="5" borderId="516" xfId="0" applyNumberFormat="1" applyFont="1" applyFill="1" applyBorder="1" applyAlignment="1">
      <alignment horizontal="right" vertical="center"/>
    </xf>
    <xf numFmtId="226" fontId="36" fillId="5" borderId="515" xfId="0" applyNumberFormat="1" applyFont="1" applyFill="1" applyBorder="1" applyAlignment="1">
      <alignment horizontal="right" vertical="center"/>
    </xf>
    <xf numFmtId="226" fontId="36" fillId="5" borderId="517" xfId="0" applyNumberFormat="1" applyFont="1" applyFill="1" applyBorder="1" applyAlignment="1">
      <alignment horizontal="right" vertical="center"/>
    </xf>
    <xf numFmtId="208" fontId="36" fillId="5" borderId="515" xfId="2" applyNumberFormat="1" applyFont="1" applyFill="1" applyBorder="1" applyAlignment="1">
      <alignment horizontal="right" vertical="center"/>
    </xf>
    <xf numFmtId="208" fontId="36" fillId="0" borderId="515" xfId="2" applyNumberFormat="1" applyFont="1" applyBorder="1" applyAlignment="1">
      <alignment horizontal="right" vertical="center"/>
    </xf>
    <xf numFmtId="242" fontId="36" fillId="0" borderId="515" xfId="2" applyNumberFormat="1" applyFont="1" applyFill="1" applyBorder="1" applyAlignment="1">
      <alignment horizontal="right" vertical="center"/>
    </xf>
    <xf numFmtId="242" fontId="36" fillId="0" borderId="515" xfId="2" applyNumberFormat="1" applyFont="1" applyBorder="1" applyAlignment="1">
      <alignment horizontal="right" vertical="center"/>
    </xf>
    <xf numFmtId="208" fontId="36" fillId="0" borderId="515" xfId="2" applyNumberFormat="1" applyFont="1" applyFill="1" applyBorder="1" applyAlignment="1">
      <alignment horizontal="right" vertical="center"/>
    </xf>
    <xf numFmtId="198" fontId="36" fillId="0" borderId="519" xfId="0" applyNumberFormat="1" applyFont="1" applyBorder="1" applyAlignment="1">
      <alignment horizontal="right" vertical="center"/>
    </xf>
    <xf numFmtId="189" fontId="36" fillId="0" borderId="515" xfId="0" applyNumberFormat="1" applyFont="1" applyBorder="1" applyAlignment="1">
      <alignment horizontal="right" vertical="center"/>
    </xf>
    <xf numFmtId="0" fontId="36" fillId="5" borderId="515" xfId="0" applyFont="1" applyFill="1" applyBorder="1">
      <alignment vertical="center"/>
    </xf>
    <xf numFmtId="195" fontId="36" fillId="0" borderId="515" xfId="2" applyNumberFormat="1" applyFont="1" applyFill="1" applyBorder="1" applyAlignment="1">
      <alignment horizontal="right" vertical="center"/>
    </xf>
    <xf numFmtId="195" fontId="36" fillId="0" borderId="515" xfId="2" applyNumberFormat="1" applyFont="1" applyBorder="1" applyAlignment="1">
      <alignment horizontal="right" vertical="center"/>
    </xf>
    <xf numFmtId="0" fontId="43" fillId="5" borderId="522" xfId="0" applyFont="1" applyFill="1" applyBorder="1">
      <alignment vertical="center"/>
    </xf>
    <xf numFmtId="0" fontId="36" fillId="5" borderId="522" xfId="0" applyFont="1" applyFill="1" applyBorder="1">
      <alignment vertical="center"/>
    </xf>
    <xf numFmtId="0" fontId="36" fillId="0" borderId="522" xfId="0" applyFont="1" applyBorder="1">
      <alignment vertical="center"/>
    </xf>
    <xf numFmtId="210" fontId="36" fillId="5" borderId="523" xfId="0" applyNumberFormat="1" applyFont="1" applyFill="1" applyBorder="1">
      <alignment vertical="center"/>
    </xf>
    <xf numFmtId="210" fontId="36" fillId="5" borderId="522" xfId="0" applyNumberFormat="1" applyFont="1" applyFill="1" applyBorder="1">
      <alignment vertical="center"/>
    </xf>
    <xf numFmtId="210" fontId="36" fillId="5" borderId="524" xfId="0" applyNumberFormat="1" applyFont="1" applyFill="1" applyBorder="1">
      <alignment vertical="center"/>
    </xf>
    <xf numFmtId="226" fontId="36" fillId="5" borderId="523" xfId="0" applyNumberFormat="1" applyFont="1" applyFill="1" applyBorder="1" applyAlignment="1">
      <alignment horizontal="right" vertical="center"/>
    </xf>
    <xf numFmtId="226" fontId="36" fillId="5" borderId="522" xfId="0" applyNumberFormat="1" applyFont="1" applyFill="1" applyBorder="1" applyAlignment="1">
      <alignment horizontal="right" vertical="center"/>
    </xf>
    <xf numFmtId="226" fontId="36" fillId="5" borderId="524" xfId="0" applyNumberFormat="1" applyFont="1" applyFill="1" applyBorder="1" applyAlignment="1">
      <alignment horizontal="right" vertical="center"/>
    </xf>
    <xf numFmtId="208" fontId="36" fillId="5" borderId="522" xfId="2" applyNumberFormat="1" applyFont="1" applyFill="1" applyBorder="1" applyAlignment="1">
      <alignment horizontal="right" vertical="center"/>
    </xf>
    <xf numFmtId="208" fontId="36" fillId="0" borderId="522" xfId="2" applyNumberFormat="1" applyFont="1" applyBorder="1" applyAlignment="1">
      <alignment horizontal="right" vertical="center"/>
    </xf>
    <xf numFmtId="242" fontId="36" fillId="0" borderId="522" xfId="2" applyNumberFormat="1" applyFont="1" applyBorder="1" applyAlignment="1">
      <alignment horizontal="right" vertical="center"/>
    </xf>
    <xf numFmtId="242" fontId="36" fillId="0" borderId="522" xfId="2" applyNumberFormat="1" applyFont="1" applyFill="1" applyBorder="1" applyAlignment="1">
      <alignment horizontal="right" vertical="center"/>
    </xf>
    <xf numFmtId="208" fontId="36" fillId="0" borderId="522" xfId="2" applyNumberFormat="1" applyFont="1" applyFill="1" applyBorder="1" applyAlignment="1">
      <alignment horizontal="right" vertical="center"/>
    </xf>
    <xf numFmtId="198" fontId="36" fillId="0" borderId="526" xfId="0" applyNumberFormat="1" applyFont="1" applyBorder="1" applyAlignment="1">
      <alignment horizontal="right" vertical="center"/>
    </xf>
    <xf numFmtId="189" fontId="36" fillId="0" borderId="522" xfId="0" applyNumberFormat="1" applyFont="1" applyBorder="1" applyAlignment="1">
      <alignment horizontal="right" vertical="center"/>
    </xf>
    <xf numFmtId="0" fontId="105" fillId="5" borderId="0" xfId="0" applyFont="1" applyFill="1">
      <alignment vertical="center"/>
    </xf>
    <xf numFmtId="0" fontId="106" fillId="0" borderId="0" xfId="0" applyFont="1">
      <alignment vertical="center"/>
    </xf>
    <xf numFmtId="210" fontId="106" fillId="5" borderId="437" xfId="0" applyNumberFormat="1" applyFont="1" applyFill="1" applyBorder="1">
      <alignment vertical="center"/>
    </xf>
    <xf numFmtId="210" fontId="106" fillId="5" borderId="0" xfId="0" applyNumberFormat="1" applyFont="1" applyFill="1">
      <alignment vertical="center"/>
    </xf>
    <xf numFmtId="0" fontId="36" fillId="5" borderId="454" xfId="0" applyFont="1" applyFill="1" applyBorder="1">
      <alignment vertical="center"/>
    </xf>
    <xf numFmtId="210" fontId="36" fillId="5" borderId="595" xfId="0" applyNumberFormat="1" applyFont="1" applyFill="1" applyBorder="1">
      <alignment vertical="center"/>
    </xf>
    <xf numFmtId="210" fontId="36" fillId="5" borderId="19" xfId="0" applyNumberFormat="1" applyFont="1" applyFill="1" applyBorder="1">
      <alignment vertical="center"/>
    </xf>
    <xf numFmtId="210" fontId="36" fillId="5" borderId="581" xfId="0" applyNumberFormat="1" applyFont="1" applyFill="1" applyBorder="1">
      <alignment vertical="center"/>
    </xf>
    <xf numFmtId="210" fontId="106" fillId="5" borderId="595" xfId="0" applyNumberFormat="1" applyFont="1" applyFill="1" applyBorder="1">
      <alignment vertical="center"/>
    </xf>
    <xf numFmtId="210" fontId="106" fillId="5" borderId="19" xfId="0" applyNumberFormat="1" applyFont="1" applyFill="1" applyBorder="1">
      <alignment vertical="center"/>
    </xf>
    <xf numFmtId="226" fontId="36" fillId="5" borderId="595" xfId="0" applyNumberFormat="1" applyFont="1" applyFill="1" applyBorder="1" applyAlignment="1">
      <alignment horizontal="right" vertical="center"/>
    </xf>
    <xf numFmtId="226" fontId="36" fillId="5" borderId="19" xfId="0" applyNumberFormat="1" applyFont="1" applyFill="1" applyBorder="1" applyAlignment="1">
      <alignment horizontal="right" vertical="center"/>
    </xf>
    <xf numFmtId="226" fontId="36" fillId="5" borderId="581" xfId="0" applyNumberFormat="1" applyFont="1" applyFill="1" applyBorder="1" applyAlignment="1">
      <alignment horizontal="right" vertical="center"/>
    </xf>
    <xf numFmtId="208" fontId="36" fillId="5" borderId="19" xfId="2" applyNumberFormat="1" applyFont="1" applyFill="1" applyBorder="1" applyAlignment="1">
      <alignment horizontal="right" vertical="center"/>
    </xf>
    <xf numFmtId="208" fontId="36" fillId="0" borderId="19" xfId="2" applyNumberFormat="1" applyFont="1" applyBorder="1" applyAlignment="1">
      <alignment horizontal="right" vertical="center"/>
    </xf>
    <xf numFmtId="208" fontId="36" fillId="0" borderId="19" xfId="2" applyNumberFormat="1" applyFont="1" applyFill="1" applyBorder="1" applyAlignment="1">
      <alignment horizontal="right" vertical="center"/>
    </xf>
    <xf numFmtId="198" fontId="36" fillId="0" borderId="809" xfId="0" applyNumberFormat="1" applyFont="1" applyBorder="1" applyAlignment="1">
      <alignment horizontal="right" vertical="center"/>
    </xf>
    <xf numFmtId="187" fontId="47" fillId="18" borderId="19" xfId="3" applyNumberFormat="1" applyFont="1" applyFill="1" applyBorder="1" applyAlignment="1">
      <alignment horizontal="right" vertical="center"/>
    </xf>
    <xf numFmtId="204" fontId="36" fillId="0" borderId="11" xfId="2" applyNumberFormat="1" applyFont="1" applyBorder="1" applyAlignment="1">
      <alignment horizontal="right" vertical="center"/>
    </xf>
    <xf numFmtId="202" fontId="36" fillId="0" borderId="0" xfId="0" applyNumberFormat="1" applyFont="1" applyBorder="1" applyAlignment="1">
      <alignment horizontal="center" vertical="center"/>
    </xf>
    <xf numFmtId="226" fontId="36" fillId="0" borderId="0" xfId="0" applyNumberFormat="1" applyFont="1" applyAlignment="1">
      <alignment horizontal="center" vertical="center"/>
    </xf>
    <xf numFmtId="226" fontId="36" fillId="0" borderId="0" xfId="0" applyNumberFormat="1" applyFont="1">
      <alignment vertical="center"/>
    </xf>
    <xf numFmtId="226" fontId="36" fillId="0" borderId="0" xfId="0" applyNumberFormat="1" applyFont="1" applyAlignment="1">
      <alignment horizontal="right" vertical="center"/>
    </xf>
    <xf numFmtId="209" fontId="36" fillId="0" borderId="0" xfId="0" applyNumberFormat="1" applyFont="1" applyAlignment="1">
      <alignment horizontal="right" vertical="center"/>
    </xf>
    <xf numFmtId="242" fontId="36" fillId="0" borderId="0" xfId="0" applyNumberFormat="1" applyFont="1" applyAlignment="1">
      <alignment horizontal="right" vertical="center"/>
    </xf>
    <xf numFmtId="0" fontId="43" fillId="7" borderId="16" xfId="0" applyFont="1" applyFill="1" applyBorder="1">
      <alignment vertical="center"/>
    </xf>
    <xf numFmtId="0" fontId="36" fillId="7" borderId="17" xfId="0" applyFont="1" applyFill="1" applyBorder="1">
      <alignment vertical="center"/>
    </xf>
    <xf numFmtId="0" fontId="36" fillId="7" borderId="446" xfId="0" applyFont="1" applyFill="1" applyBorder="1">
      <alignment vertical="center"/>
    </xf>
    <xf numFmtId="210" fontId="36" fillId="7" borderId="17" xfId="0" applyNumberFormat="1" applyFont="1" applyFill="1" applyBorder="1">
      <alignment vertical="center"/>
    </xf>
    <xf numFmtId="210" fontId="36" fillId="7" borderId="446" xfId="0" applyNumberFormat="1" applyFont="1" applyFill="1" applyBorder="1">
      <alignment vertical="center"/>
    </xf>
    <xf numFmtId="210" fontId="51" fillId="7" borderId="17" xfId="0" applyNumberFormat="1" applyFont="1" applyFill="1" applyBorder="1">
      <alignment vertical="center"/>
    </xf>
    <xf numFmtId="210" fontId="36" fillId="7" borderId="447" xfId="0" applyNumberFormat="1" applyFont="1" applyFill="1" applyBorder="1">
      <alignment vertical="center"/>
    </xf>
    <xf numFmtId="210" fontId="36" fillId="7" borderId="17" xfId="2" applyNumberFormat="1" applyFont="1" applyFill="1" applyBorder="1">
      <alignment vertical="center"/>
    </xf>
    <xf numFmtId="226" fontId="36" fillId="7" borderId="447" xfId="0" applyNumberFormat="1" applyFont="1" applyFill="1" applyBorder="1" applyAlignment="1">
      <alignment horizontal="right" vertical="center"/>
    </xf>
    <xf numFmtId="226" fontId="36" fillId="7" borderId="17" xfId="0" applyNumberFormat="1" applyFont="1" applyFill="1" applyBorder="1" applyAlignment="1">
      <alignment horizontal="right" vertical="center"/>
    </xf>
    <xf numFmtId="226" fontId="46" fillId="7" borderId="446" xfId="0" applyNumberFormat="1" applyFont="1" applyFill="1" applyBorder="1" applyAlignment="1">
      <alignment horizontal="right" vertical="center"/>
    </xf>
    <xf numFmtId="208" fontId="36" fillId="7" borderId="352" xfId="2" applyNumberFormat="1" applyFont="1" applyFill="1" applyBorder="1" applyAlignment="1">
      <alignment horizontal="right" vertical="center"/>
    </xf>
    <xf numFmtId="208" fontId="36" fillId="7" borderId="17" xfId="2" applyNumberFormat="1" applyFont="1" applyFill="1" applyBorder="1" applyAlignment="1">
      <alignment horizontal="right" vertical="center"/>
    </xf>
    <xf numFmtId="198" fontId="36" fillId="18" borderId="495" xfId="0" applyNumberFormat="1" applyFont="1" applyFill="1" applyBorder="1" applyAlignment="1">
      <alignment horizontal="right" vertical="center"/>
    </xf>
    <xf numFmtId="187" fontId="47" fillId="18" borderId="810" xfId="3" applyNumberFormat="1" applyFont="1" applyFill="1" applyBorder="1" applyAlignment="1">
      <alignment horizontal="right" vertical="center"/>
    </xf>
    <xf numFmtId="0" fontId="36" fillId="0" borderId="234" xfId="0" applyFont="1" applyBorder="1">
      <alignment vertical="center"/>
    </xf>
    <xf numFmtId="0" fontId="43" fillId="0" borderId="18" xfId="0" applyFont="1" applyBorder="1">
      <alignment vertical="center"/>
    </xf>
    <xf numFmtId="0" fontId="36" fillId="0" borderId="18" xfId="0" applyFont="1" applyBorder="1">
      <alignment vertical="center"/>
    </xf>
    <xf numFmtId="210" fontId="36" fillId="5" borderId="448" xfId="0" applyNumberFormat="1" applyFont="1" applyFill="1" applyBorder="1">
      <alignment vertical="center"/>
    </xf>
    <xf numFmtId="210" fontId="36" fillId="5" borderId="18" xfId="0" applyNumberFormat="1" applyFont="1" applyFill="1" applyBorder="1">
      <alignment vertical="center"/>
    </xf>
    <xf numFmtId="210" fontId="36" fillId="5" borderId="449" xfId="0" applyNumberFormat="1" applyFont="1" applyFill="1" applyBorder="1">
      <alignment vertical="center"/>
    </xf>
    <xf numFmtId="226" fontId="36" fillId="5" borderId="448" xfId="0" applyNumberFormat="1" applyFont="1" applyFill="1" applyBorder="1" applyAlignment="1">
      <alignment horizontal="right" vertical="center"/>
    </xf>
    <xf numFmtId="226" fontId="36" fillId="5" borderId="18" xfId="0" applyNumberFormat="1" applyFont="1" applyFill="1" applyBorder="1" applyAlignment="1">
      <alignment horizontal="right" vertical="center"/>
    </xf>
    <xf numFmtId="226" fontId="36" fillId="5" borderId="449" xfId="0" applyNumberFormat="1" applyFont="1" applyFill="1" applyBorder="1" applyAlignment="1">
      <alignment horizontal="right" vertical="center"/>
    </xf>
    <xf numFmtId="208" fontId="36" fillId="0" borderId="448" xfId="2" applyNumberFormat="1" applyFont="1" applyBorder="1" applyAlignment="1">
      <alignment horizontal="right" vertical="center"/>
    </xf>
    <xf numFmtId="208" fontId="36" fillId="0" borderId="18" xfId="2" applyNumberFormat="1" applyFont="1" applyBorder="1" applyAlignment="1">
      <alignment horizontal="right" vertical="center"/>
    </xf>
    <xf numFmtId="209" fontId="36" fillId="0" borderId="18" xfId="2" applyNumberFormat="1" applyFont="1" applyFill="1" applyBorder="1" applyAlignment="1">
      <alignment horizontal="right" vertical="center"/>
    </xf>
    <xf numFmtId="193" fontId="36" fillId="29" borderId="18" xfId="0" applyNumberFormat="1" applyFont="1" applyFill="1" applyBorder="1" applyAlignment="1">
      <alignment horizontal="right" vertical="center"/>
    </xf>
    <xf numFmtId="187" fontId="36" fillId="29" borderId="18" xfId="3" applyNumberFormat="1" applyFont="1" applyFill="1" applyBorder="1" applyAlignment="1">
      <alignment horizontal="right" vertical="center"/>
    </xf>
    <xf numFmtId="189" fontId="36" fillId="0" borderId="18" xfId="0" applyNumberFormat="1" applyFont="1" applyBorder="1" applyAlignment="1">
      <alignment horizontal="right" vertical="center"/>
    </xf>
    <xf numFmtId="193" fontId="36" fillId="29" borderId="0" xfId="0" applyNumberFormat="1" applyFont="1" applyFill="1" applyAlignment="1">
      <alignment horizontal="right" vertical="center"/>
    </xf>
    <xf numFmtId="210" fontId="103" fillId="0" borderId="437" xfId="5" applyNumberFormat="1" applyFont="1" applyBorder="1"/>
    <xf numFmtId="210" fontId="103" fillId="0" borderId="0" xfId="5" applyNumberFormat="1" applyFont="1"/>
    <xf numFmtId="210" fontId="103" fillId="0" borderId="376" xfId="5" applyNumberFormat="1" applyFont="1" applyBorder="1"/>
    <xf numFmtId="208" fontId="36" fillId="0" borderId="11" xfId="2" applyNumberFormat="1" applyFont="1" applyBorder="1" applyAlignment="1">
      <alignment horizontal="right" vertical="center"/>
    </xf>
    <xf numFmtId="209" fontId="36" fillId="0" borderId="0" xfId="2" applyNumberFormat="1" applyFont="1" applyBorder="1" applyAlignment="1">
      <alignment horizontal="right" vertical="center"/>
    </xf>
    <xf numFmtId="242" fontId="36" fillId="0" borderId="0" xfId="0" applyNumberFormat="1" applyFont="1">
      <alignment vertical="center"/>
    </xf>
    <xf numFmtId="0" fontId="107" fillId="0" borderId="0" xfId="0" applyFont="1" applyFill="1">
      <alignment vertical="center"/>
    </xf>
    <xf numFmtId="210" fontId="41" fillId="32" borderId="437" xfId="0" applyNumberFormat="1" applyFont="1" applyFill="1" applyBorder="1">
      <alignment vertical="center"/>
    </xf>
    <xf numFmtId="210" fontId="41" fillId="32" borderId="0" xfId="0" applyNumberFormat="1" applyFont="1" applyFill="1">
      <alignment vertical="center"/>
    </xf>
    <xf numFmtId="210" fontId="41" fillId="32" borderId="376" xfId="0" applyNumberFormat="1" applyFont="1" applyFill="1" applyBorder="1">
      <alignment vertical="center"/>
    </xf>
    <xf numFmtId="210" fontId="41" fillId="32" borderId="450" xfId="0" applyNumberFormat="1" applyFont="1" applyFill="1" applyBorder="1">
      <alignment vertical="center"/>
    </xf>
    <xf numFmtId="210" fontId="41" fillId="32" borderId="451" xfId="0" applyNumberFormat="1" applyFont="1" applyFill="1" applyBorder="1">
      <alignment vertical="center"/>
    </xf>
    <xf numFmtId="210" fontId="41" fillId="32" borderId="452" xfId="0" applyNumberFormat="1" applyFont="1" applyFill="1" applyBorder="1">
      <alignment vertical="center"/>
    </xf>
    <xf numFmtId="226" fontId="41" fillId="32" borderId="451" xfId="0" applyNumberFormat="1" applyFont="1" applyFill="1" applyBorder="1">
      <alignment vertical="center"/>
    </xf>
    <xf numFmtId="208" fontId="41" fillId="32" borderId="451" xfId="0" applyNumberFormat="1" applyFont="1" applyFill="1" applyBorder="1">
      <alignment vertical="center"/>
    </xf>
    <xf numFmtId="0" fontId="41" fillId="32" borderId="451" xfId="0" applyFont="1" applyFill="1" applyBorder="1">
      <alignment vertical="center"/>
    </xf>
    <xf numFmtId="210" fontId="51" fillId="5" borderId="450" xfId="0" applyNumberFormat="1" applyFont="1" applyFill="1" applyBorder="1">
      <alignment vertical="center"/>
    </xf>
    <xf numFmtId="210" fontId="51" fillId="5" borderId="451" xfId="0" applyNumberFormat="1" applyFont="1" applyFill="1" applyBorder="1">
      <alignment vertical="center"/>
    </xf>
    <xf numFmtId="210" fontId="51" fillId="5" borderId="452" xfId="0" applyNumberFormat="1" applyFont="1" applyFill="1" applyBorder="1">
      <alignment vertical="center"/>
    </xf>
    <xf numFmtId="210" fontId="36" fillId="0" borderId="451" xfId="0" applyNumberFormat="1" applyFont="1" applyBorder="1">
      <alignment vertical="center"/>
    </xf>
    <xf numFmtId="210" fontId="36" fillId="0" borderId="452" xfId="0" applyNumberFormat="1" applyFont="1" applyBorder="1">
      <alignment vertical="center"/>
    </xf>
    <xf numFmtId="210" fontId="101" fillId="32" borderId="453" xfId="0" applyNumberFormat="1" applyFont="1" applyFill="1" applyBorder="1">
      <alignment vertical="center"/>
    </xf>
    <xf numFmtId="210" fontId="41" fillId="32" borderId="0" xfId="0" applyNumberFormat="1" applyFont="1" applyFill="1" applyBorder="1">
      <alignment vertical="center"/>
    </xf>
    <xf numFmtId="0" fontId="36" fillId="0" borderId="454" xfId="0" applyFont="1" applyBorder="1">
      <alignment vertical="center"/>
    </xf>
    <xf numFmtId="0" fontId="43" fillId="0" borderId="454" xfId="0" applyFont="1" applyBorder="1">
      <alignment vertical="center"/>
    </xf>
    <xf numFmtId="210" fontId="36" fillId="5" borderId="455" xfId="0" applyNumberFormat="1" applyFont="1" applyFill="1" applyBorder="1">
      <alignment vertical="center"/>
    </xf>
    <xf numFmtId="210" fontId="36" fillId="0" borderId="455" xfId="0" applyNumberFormat="1" applyFont="1" applyBorder="1">
      <alignment vertical="center"/>
    </xf>
    <xf numFmtId="210" fontId="36" fillId="0" borderId="456" xfId="0" applyNumberFormat="1" applyFont="1" applyBorder="1">
      <alignment vertical="center"/>
    </xf>
    <xf numFmtId="210" fontId="36" fillId="0" borderId="457" xfId="0" applyNumberFormat="1" applyFont="1" applyBorder="1">
      <alignment vertical="center"/>
    </xf>
    <xf numFmtId="210" fontId="36" fillId="0" borderId="454" xfId="0" applyNumberFormat="1" applyFont="1" applyBorder="1">
      <alignment vertical="center"/>
    </xf>
    <xf numFmtId="210" fontId="36" fillId="0" borderId="458" xfId="0" applyNumberFormat="1" applyFont="1" applyBorder="1">
      <alignment vertical="center"/>
    </xf>
    <xf numFmtId="226" fontId="36" fillId="5" borderId="459" xfId="0" applyNumberFormat="1" applyFont="1" applyFill="1" applyBorder="1" applyAlignment="1">
      <alignment horizontal="right" vertical="center"/>
    </xf>
    <xf numFmtId="226" fontId="36" fillId="5" borderId="6" xfId="0" applyNumberFormat="1" applyFont="1" applyFill="1" applyBorder="1" applyAlignment="1">
      <alignment horizontal="right" vertical="center"/>
    </xf>
    <xf numFmtId="226" fontId="36" fillId="5" borderId="460" xfId="0" applyNumberFormat="1" applyFont="1" applyFill="1" applyBorder="1" applyAlignment="1">
      <alignment horizontal="right" vertical="center"/>
    </xf>
    <xf numFmtId="208" fontId="36" fillId="0" borderId="113" xfId="2" applyNumberFormat="1" applyFont="1" applyBorder="1" applyAlignment="1">
      <alignment horizontal="right" vertical="center"/>
    </xf>
    <xf numFmtId="208" fontId="36" fillId="0" borderId="6" xfId="2" applyNumberFormat="1" applyFont="1" applyFill="1" applyBorder="1" applyAlignment="1">
      <alignment horizontal="right" vertical="center"/>
    </xf>
    <xf numFmtId="193" fontId="36" fillId="29" borderId="6" xfId="0" applyNumberFormat="1" applyFont="1" applyFill="1" applyBorder="1" applyAlignment="1">
      <alignment horizontal="right" vertical="center"/>
    </xf>
    <xf numFmtId="189" fontId="36" fillId="0" borderId="6" xfId="0" applyNumberFormat="1" applyFont="1" applyBorder="1" applyAlignment="1">
      <alignment horizontal="right" vertical="center"/>
    </xf>
    <xf numFmtId="2" fontId="36" fillId="0" borderId="0" xfId="0" applyNumberFormat="1" applyFont="1">
      <alignment vertical="center"/>
    </xf>
    <xf numFmtId="0" fontId="36" fillId="0" borderId="462" xfId="0" applyFont="1" applyBorder="1">
      <alignment vertical="center"/>
    </xf>
    <xf numFmtId="193" fontId="36" fillId="0" borderId="0" xfId="0" applyNumberFormat="1" applyFont="1" applyAlignment="1">
      <alignment horizontal="right" vertical="center"/>
    </xf>
    <xf numFmtId="0" fontId="43" fillId="0" borderId="246" xfId="0" applyFont="1" applyBorder="1">
      <alignment vertical="center"/>
    </xf>
    <xf numFmtId="0" fontId="43" fillId="0" borderId="32" xfId="0" applyFont="1" applyBorder="1">
      <alignment vertical="center"/>
    </xf>
    <xf numFmtId="0" fontId="36" fillId="0" borderId="32" xfId="0" applyFont="1" applyBorder="1">
      <alignment vertical="center"/>
    </xf>
    <xf numFmtId="0" fontId="36" fillId="0" borderId="32" xfId="0" applyFont="1" applyBorder="1" applyAlignment="1">
      <alignment horizontal="right" vertical="center"/>
    </xf>
    <xf numFmtId="213" fontId="36" fillId="0" borderId="32" xfId="0" applyNumberFormat="1" applyFont="1" applyBorder="1" applyAlignment="1">
      <alignment horizontal="right" vertical="center"/>
    </xf>
    <xf numFmtId="226" fontId="36" fillId="5" borderId="32" xfId="0" applyNumberFormat="1" applyFont="1" applyFill="1" applyBorder="1" applyAlignment="1">
      <alignment horizontal="right" vertical="center"/>
    </xf>
    <xf numFmtId="226" fontId="36" fillId="5" borderId="463" xfId="0" applyNumberFormat="1" applyFont="1" applyFill="1" applyBorder="1" applyAlignment="1">
      <alignment horizontal="right" vertical="center"/>
    </xf>
    <xf numFmtId="208" fontId="36" fillId="0" borderId="32" xfId="2" applyNumberFormat="1" applyFont="1" applyBorder="1" applyAlignment="1">
      <alignment horizontal="right" vertical="center"/>
    </xf>
    <xf numFmtId="208" fontId="36" fillId="0" borderId="485" xfId="2" applyNumberFormat="1" applyFont="1" applyBorder="1" applyAlignment="1">
      <alignment horizontal="right" vertical="center"/>
    </xf>
    <xf numFmtId="209" fontId="36" fillId="0" borderId="32" xfId="2" applyNumberFormat="1" applyFont="1" applyBorder="1" applyAlignment="1">
      <alignment horizontal="right" vertical="center"/>
    </xf>
    <xf numFmtId="193" fontId="36" fillId="29" borderId="32" xfId="0" applyNumberFormat="1" applyFont="1" applyFill="1" applyBorder="1" applyAlignment="1">
      <alignment horizontal="right" vertical="center"/>
    </xf>
    <xf numFmtId="187" fontId="36" fillId="29" borderId="319" xfId="3" applyNumberFormat="1" applyFont="1" applyFill="1" applyBorder="1" applyAlignment="1">
      <alignment horizontal="right" vertical="center"/>
    </xf>
    <xf numFmtId="204" fontId="36" fillId="0" borderId="247" xfId="0" applyNumberFormat="1" applyFont="1" applyBorder="1">
      <alignment vertical="center"/>
    </xf>
    <xf numFmtId="210" fontId="36" fillId="3" borderId="0" xfId="0" applyNumberFormat="1" applyFont="1" applyFill="1" applyBorder="1">
      <alignment vertical="center"/>
    </xf>
    <xf numFmtId="210" fontId="36" fillId="3" borderId="462" xfId="0" applyNumberFormat="1" applyFont="1" applyFill="1" applyBorder="1">
      <alignment vertical="center"/>
    </xf>
    <xf numFmtId="226" fontId="36" fillId="3" borderId="0" xfId="0" applyNumberFormat="1" applyFont="1" applyFill="1">
      <alignment vertical="center"/>
    </xf>
    <xf numFmtId="226" fontId="36" fillId="3" borderId="462" xfId="0" applyNumberFormat="1" applyFont="1" applyFill="1" applyBorder="1">
      <alignment vertical="center"/>
    </xf>
    <xf numFmtId="209" fontId="36" fillId="3" borderId="0" xfId="2" applyNumberFormat="1" applyFont="1" applyFill="1" applyBorder="1" applyAlignment="1">
      <alignment horizontal="right" vertical="center"/>
    </xf>
    <xf numFmtId="210" fontId="36" fillId="0" borderId="0" xfId="0" applyNumberFormat="1" applyFont="1" applyBorder="1">
      <alignment vertical="center"/>
    </xf>
    <xf numFmtId="210" fontId="36" fillId="0" borderId="462" xfId="0" applyNumberFormat="1" applyFont="1" applyBorder="1">
      <alignment vertical="center"/>
    </xf>
    <xf numFmtId="226" fontId="36" fillId="0" borderId="462" xfId="0" applyNumberFormat="1" applyFont="1" applyBorder="1">
      <alignment vertical="center"/>
    </xf>
    <xf numFmtId="209" fontId="36" fillId="5" borderId="0" xfId="2" applyNumberFormat="1" applyFont="1" applyFill="1" applyBorder="1" applyAlignment="1">
      <alignment horizontal="right" vertical="center"/>
    </xf>
    <xf numFmtId="0" fontId="36" fillId="0" borderId="247" xfId="0" applyFont="1" applyBorder="1">
      <alignment vertical="center"/>
    </xf>
    <xf numFmtId="210" fontId="36" fillId="2" borderId="23" xfId="0" applyNumberFormat="1" applyFont="1" applyFill="1" applyBorder="1">
      <alignment vertical="center"/>
    </xf>
    <xf numFmtId="210" fontId="36" fillId="2" borderId="464" xfId="0" applyNumberFormat="1" applyFont="1" applyFill="1" applyBorder="1">
      <alignment vertical="center"/>
    </xf>
    <xf numFmtId="226" fontId="36" fillId="2" borderId="23" xfId="0" applyNumberFormat="1" applyFont="1" applyFill="1" applyBorder="1">
      <alignment vertical="center"/>
    </xf>
    <xf numFmtId="226" fontId="36" fillId="2" borderId="464" xfId="0" applyNumberFormat="1" applyFont="1" applyFill="1" applyBorder="1">
      <alignment vertical="center"/>
    </xf>
    <xf numFmtId="208" fontId="36" fillId="2" borderId="486" xfId="2" applyNumberFormat="1" applyFont="1" applyFill="1" applyBorder="1" applyAlignment="1">
      <alignment horizontal="right" vertical="center"/>
    </xf>
    <xf numFmtId="209" fontId="36" fillId="2" borderId="23" xfId="2" applyNumberFormat="1" applyFont="1" applyFill="1" applyBorder="1" applyAlignment="1">
      <alignment horizontal="right" vertical="center"/>
    </xf>
    <xf numFmtId="0" fontId="36" fillId="2" borderId="0" xfId="0" applyFont="1" applyFill="1">
      <alignment vertical="center"/>
    </xf>
    <xf numFmtId="208" fontId="108" fillId="33" borderId="0" xfId="2" applyNumberFormat="1" applyFont="1" applyFill="1" applyBorder="1" applyAlignment="1">
      <alignment horizontal="right" vertical="center"/>
    </xf>
    <xf numFmtId="208" fontId="108" fillId="33" borderId="376" xfId="2" applyNumberFormat="1" applyFont="1" applyFill="1" applyBorder="1" applyAlignment="1">
      <alignment horizontal="right" vertical="center"/>
    </xf>
    <xf numFmtId="210" fontId="36" fillId="2" borderId="462" xfId="0" applyNumberFormat="1" applyFont="1" applyFill="1" applyBorder="1">
      <alignment vertical="center"/>
    </xf>
    <xf numFmtId="226" fontId="36" fillId="2" borderId="0" xfId="0" applyNumberFormat="1" applyFont="1" applyFill="1">
      <alignment vertical="center"/>
    </xf>
    <xf numFmtId="226" fontId="36" fillId="2" borderId="462" xfId="0" applyNumberFormat="1" applyFont="1" applyFill="1" applyBorder="1">
      <alignment vertical="center"/>
    </xf>
    <xf numFmtId="208" fontId="108" fillId="34" borderId="0" xfId="2" applyNumberFormat="1" applyFont="1" applyFill="1" applyBorder="1" applyAlignment="1">
      <alignment horizontal="right" vertical="center"/>
    </xf>
    <xf numFmtId="208" fontId="108" fillId="34" borderId="376" xfId="2" applyNumberFormat="1" applyFont="1" applyFill="1" applyBorder="1" applyAlignment="1">
      <alignment horizontal="right" vertical="center"/>
    </xf>
    <xf numFmtId="208" fontId="36" fillId="2" borderId="0" xfId="2" applyNumberFormat="1" applyFont="1" applyFill="1" applyAlignment="1">
      <alignment horizontal="right" vertical="center"/>
    </xf>
    <xf numFmtId="209" fontId="36" fillId="2" borderId="0" xfId="2" applyNumberFormat="1" applyFont="1" applyFill="1" applyAlignment="1">
      <alignment horizontal="right" vertical="center"/>
    </xf>
    <xf numFmtId="0" fontId="62" fillId="2" borderId="25" xfId="0" applyFont="1" applyFill="1" applyBorder="1">
      <alignment vertical="center"/>
    </xf>
    <xf numFmtId="210" fontId="62" fillId="2" borderId="25" xfId="0" applyNumberFormat="1" applyFont="1" applyFill="1" applyBorder="1">
      <alignment vertical="center"/>
    </xf>
    <xf numFmtId="210" fontId="62" fillId="2" borderId="465" xfId="0" applyNumberFormat="1" applyFont="1" applyFill="1" applyBorder="1">
      <alignment vertical="center"/>
    </xf>
    <xf numFmtId="226" fontId="51" fillId="2" borderId="25" xfId="0" applyNumberFormat="1" applyFont="1" applyFill="1" applyBorder="1">
      <alignment vertical="center"/>
    </xf>
    <xf numFmtId="226" fontId="51" fillId="2" borderId="465" xfId="0" applyNumberFormat="1" applyFont="1" applyFill="1" applyBorder="1">
      <alignment vertical="center"/>
    </xf>
    <xf numFmtId="209" fontId="36" fillId="2" borderId="25" xfId="2" applyNumberFormat="1" applyFont="1" applyFill="1" applyBorder="1" applyAlignment="1">
      <alignment horizontal="right" vertical="center"/>
    </xf>
    <xf numFmtId="0" fontId="43" fillId="7" borderId="0" xfId="0" applyFont="1" applyFill="1">
      <alignment vertical="center"/>
    </xf>
    <xf numFmtId="0" fontId="36" fillId="7" borderId="0" xfId="0" applyFont="1" applyFill="1">
      <alignment vertical="center"/>
    </xf>
    <xf numFmtId="210" fontId="36" fillId="7" borderId="0" xfId="0" applyNumberFormat="1" applyFont="1" applyFill="1" applyBorder="1">
      <alignment vertical="center"/>
    </xf>
    <xf numFmtId="210" fontId="36" fillId="7" borderId="462" xfId="0" applyNumberFormat="1" applyFont="1" applyFill="1" applyBorder="1">
      <alignment vertical="center"/>
    </xf>
    <xf numFmtId="226" fontId="36" fillId="7" borderId="0" xfId="0" applyNumberFormat="1" applyFont="1" applyFill="1">
      <alignment vertical="center"/>
    </xf>
    <xf numFmtId="226" fontId="36" fillId="7" borderId="462" xfId="0" applyNumberFormat="1" applyFont="1" applyFill="1" applyBorder="1">
      <alignment vertical="center"/>
    </xf>
    <xf numFmtId="208" fontId="108" fillId="35" borderId="0" xfId="2" applyNumberFormat="1" applyFont="1" applyFill="1" applyBorder="1" applyAlignment="1">
      <alignment horizontal="right" vertical="center"/>
    </xf>
    <xf numFmtId="208" fontId="108" fillId="35" borderId="376" xfId="2" applyNumberFormat="1" applyFont="1" applyFill="1" applyBorder="1" applyAlignment="1">
      <alignment horizontal="right" vertical="center"/>
    </xf>
    <xf numFmtId="209" fontId="36" fillId="7" borderId="0" xfId="2" applyNumberFormat="1" applyFont="1" applyFill="1" applyBorder="1" applyAlignment="1">
      <alignment horizontal="right" vertical="center"/>
    </xf>
    <xf numFmtId="0" fontId="109" fillId="3" borderId="0" xfId="0" applyFont="1" applyFill="1">
      <alignment vertical="center"/>
    </xf>
    <xf numFmtId="242" fontId="36" fillId="3" borderId="0" xfId="2" applyNumberFormat="1" applyFont="1" applyFill="1" applyBorder="1" applyAlignment="1">
      <alignment horizontal="right" vertical="center"/>
    </xf>
    <xf numFmtId="208" fontId="108" fillId="0" borderId="0" xfId="2" applyNumberFormat="1" applyFont="1" applyFill="1" applyBorder="1" applyAlignment="1">
      <alignment horizontal="right" vertical="center"/>
    </xf>
    <xf numFmtId="208" fontId="108" fillId="0" borderId="376" xfId="2" applyNumberFormat="1" applyFont="1" applyFill="1" applyBorder="1" applyAlignment="1">
      <alignment horizontal="right" vertical="center"/>
    </xf>
    <xf numFmtId="0" fontId="36" fillId="0" borderId="249" xfId="0" applyFont="1" applyBorder="1">
      <alignment vertical="center"/>
    </xf>
    <xf numFmtId="0" fontId="62" fillId="0" borderId="34" xfId="0" applyFont="1" applyBorder="1">
      <alignment vertical="center"/>
    </xf>
    <xf numFmtId="210" fontId="62" fillId="0" borderId="34" xfId="0" applyNumberFormat="1" applyFont="1" applyBorder="1">
      <alignment vertical="center"/>
    </xf>
    <xf numFmtId="210" fontId="62" fillId="0" borderId="466" xfId="0" applyNumberFormat="1" applyFont="1" applyBorder="1">
      <alignment vertical="center"/>
    </xf>
    <xf numFmtId="226" fontId="51" fillId="0" borderId="34" xfId="0" applyNumberFormat="1" applyFont="1" applyBorder="1">
      <alignment vertical="center"/>
    </xf>
    <xf numFmtId="226" fontId="51" fillId="0" borderId="466" xfId="0" applyNumberFormat="1" applyFont="1" applyBorder="1">
      <alignment vertical="center"/>
    </xf>
    <xf numFmtId="208" fontId="36" fillId="0" borderId="34" xfId="2" applyNumberFormat="1" applyFont="1" applyBorder="1" applyAlignment="1">
      <alignment horizontal="right" vertical="center"/>
    </xf>
    <xf numFmtId="208" fontId="108" fillId="0" borderId="467" xfId="2" applyNumberFormat="1" applyFont="1" applyFill="1" applyBorder="1" applyAlignment="1">
      <alignment horizontal="right" vertical="center"/>
    </xf>
    <xf numFmtId="208" fontId="108" fillId="0" borderId="957" xfId="2" applyNumberFormat="1" applyFont="1" applyFill="1" applyBorder="1" applyAlignment="1">
      <alignment horizontal="right" vertical="center"/>
    </xf>
    <xf numFmtId="209" fontId="36" fillId="0" borderId="34" xfId="2" applyNumberFormat="1" applyFont="1" applyBorder="1" applyAlignment="1">
      <alignment horizontal="right" vertical="center"/>
    </xf>
    <xf numFmtId="0" fontId="43" fillId="0" borderId="247" xfId="0" applyFont="1" applyBorder="1">
      <alignment vertical="center"/>
    </xf>
    <xf numFmtId="226" fontId="36" fillId="0" borderId="0" xfId="0" applyNumberFormat="1" applyFont="1" applyBorder="1">
      <alignment vertical="center"/>
    </xf>
    <xf numFmtId="215" fontId="36" fillId="0" borderId="0" xfId="2" applyNumberFormat="1" applyFont="1" applyBorder="1" applyAlignment="1">
      <alignment horizontal="right" vertical="center"/>
    </xf>
    <xf numFmtId="210" fontId="36" fillId="2" borderId="555" xfId="0" applyNumberFormat="1" applyFont="1" applyFill="1" applyBorder="1">
      <alignment vertical="center"/>
    </xf>
    <xf numFmtId="226" fontId="36" fillId="2" borderId="417" xfId="0" applyNumberFormat="1" applyFont="1" applyFill="1" applyBorder="1">
      <alignment vertical="center"/>
    </xf>
    <xf numFmtId="226" fontId="36" fillId="2" borderId="555" xfId="0" applyNumberFormat="1" applyFont="1" applyFill="1" applyBorder="1">
      <alignment vertical="center"/>
    </xf>
    <xf numFmtId="210" fontId="36" fillId="2" borderId="15" xfId="0" applyNumberFormat="1" applyFont="1" applyFill="1" applyBorder="1">
      <alignment vertical="center"/>
    </xf>
    <xf numFmtId="210" fontId="36" fillId="2" borderId="469" xfId="0" applyNumberFormat="1" applyFont="1" applyFill="1" applyBorder="1">
      <alignment vertical="center"/>
    </xf>
    <xf numFmtId="226" fontId="51" fillId="2" borderId="15" xfId="0" applyNumberFormat="1" applyFont="1" applyFill="1" applyBorder="1">
      <alignment vertical="center"/>
    </xf>
    <xf numFmtId="226" fontId="51" fillId="2" borderId="469" xfId="0" applyNumberFormat="1" applyFont="1" applyFill="1" applyBorder="1">
      <alignment vertical="center"/>
    </xf>
    <xf numFmtId="208" fontId="36" fillId="2" borderId="958" xfId="2" applyNumberFormat="1" applyFont="1" applyFill="1" applyBorder="1" applyAlignment="1">
      <alignment horizontal="right" vertical="center"/>
    </xf>
    <xf numFmtId="209" fontId="36" fillId="2" borderId="15" xfId="2" applyNumberFormat="1" applyFont="1" applyFill="1" applyBorder="1" applyAlignment="1">
      <alignment horizontal="right" vertical="center"/>
    </xf>
    <xf numFmtId="195" fontId="36" fillId="2" borderId="15" xfId="2" applyNumberFormat="1" applyFont="1" applyFill="1" applyBorder="1" applyAlignment="1">
      <alignment horizontal="right" vertical="center"/>
    </xf>
    <xf numFmtId="0" fontId="36" fillId="7" borderId="14" xfId="0" applyFont="1" applyFill="1" applyBorder="1">
      <alignment vertical="center"/>
    </xf>
    <xf numFmtId="226" fontId="51" fillId="7" borderId="0" xfId="0" applyNumberFormat="1" applyFont="1" applyFill="1">
      <alignment vertical="center"/>
    </xf>
    <xf numFmtId="226" fontId="51" fillId="7" borderId="462" xfId="0" applyNumberFormat="1" applyFont="1" applyFill="1" applyBorder="1">
      <alignment vertical="center"/>
    </xf>
    <xf numFmtId="208" fontId="36" fillId="7" borderId="376" xfId="2" applyNumberFormat="1" applyFont="1" applyFill="1" applyBorder="1" applyAlignment="1">
      <alignment horizontal="right" vertical="center"/>
    </xf>
    <xf numFmtId="226" fontId="51" fillId="3" borderId="0" xfId="0" applyNumberFormat="1" applyFont="1" applyFill="1">
      <alignment vertical="center"/>
    </xf>
    <xf numFmtId="226" fontId="51" fillId="3" borderId="462" xfId="0" applyNumberFormat="1" applyFont="1" applyFill="1" applyBorder="1">
      <alignment vertical="center"/>
    </xf>
    <xf numFmtId="215" fontId="36" fillId="3" borderId="0" xfId="2" applyNumberFormat="1" applyFont="1" applyFill="1" applyBorder="1" applyAlignment="1">
      <alignment horizontal="right" vertical="center"/>
    </xf>
    <xf numFmtId="226" fontId="51" fillId="0" borderId="0" xfId="0" applyNumberFormat="1" applyFont="1">
      <alignment vertical="center"/>
    </xf>
    <xf numFmtId="226" fontId="51" fillId="0" borderId="462" xfId="0" applyNumberFormat="1" applyFont="1" applyBorder="1">
      <alignment vertical="center"/>
    </xf>
    <xf numFmtId="208" fontId="36" fillId="5" borderId="34" xfId="2" applyNumberFormat="1" applyFont="1" applyFill="1" applyBorder="1" applyAlignment="1">
      <alignment horizontal="right" vertical="center"/>
    </xf>
    <xf numFmtId="208" fontId="36" fillId="0" borderId="959" xfId="2" applyNumberFormat="1" applyFont="1" applyBorder="1" applyAlignment="1">
      <alignment horizontal="right" vertical="center"/>
    </xf>
    <xf numFmtId="0" fontId="43" fillId="2" borderId="0" xfId="0" applyFont="1" applyFill="1">
      <alignment vertical="center"/>
    </xf>
    <xf numFmtId="226" fontId="51" fillId="2" borderId="0" xfId="0" applyNumberFormat="1" applyFont="1" applyFill="1">
      <alignment vertical="center"/>
    </xf>
    <xf numFmtId="226" fontId="51" fillId="2" borderId="462" xfId="0" applyNumberFormat="1" applyFont="1" applyFill="1" applyBorder="1">
      <alignment vertical="center"/>
    </xf>
    <xf numFmtId="215" fontId="36" fillId="2" borderId="0" xfId="2" applyNumberFormat="1" applyFont="1" applyFill="1" applyBorder="1" applyAlignment="1">
      <alignment horizontal="right" vertical="center"/>
    </xf>
    <xf numFmtId="226" fontId="36" fillId="7" borderId="0" xfId="0" applyNumberFormat="1" applyFont="1" applyFill="1" applyAlignment="1">
      <alignment horizontal="right" vertical="center"/>
    </xf>
    <xf numFmtId="226" fontId="36" fillId="7" borderId="462" xfId="0" applyNumberFormat="1" applyFont="1" applyFill="1" applyBorder="1" applyAlignment="1">
      <alignment horizontal="right" vertical="center"/>
    </xf>
    <xf numFmtId="0" fontId="36" fillId="0" borderId="466" xfId="0" applyFont="1" applyBorder="1">
      <alignment vertical="center"/>
    </xf>
    <xf numFmtId="226" fontId="36" fillId="5" borderId="34" xfId="0" applyNumberFormat="1" applyFont="1" applyFill="1" applyBorder="1" applyAlignment="1">
      <alignment horizontal="right" vertical="center"/>
    </xf>
    <xf numFmtId="226" fontId="36" fillId="5" borderId="466" xfId="0" applyNumberFormat="1" applyFont="1" applyFill="1" applyBorder="1" applyAlignment="1">
      <alignment horizontal="right" vertical="center"/>
    </xf>
    <xf numFmtId="208" fontId="36" fillId="0" borderId="470" xfId="2" applyNumberFormat="1" applyFont="1" applyBorder="1" applyAlignment="1">
      <alignment horizontal="right" vertical="center"/>
    </xf>
    <xf numFmtId="242" fontId="36" fillId="0" borderId="470" xfId="2" applyNumberFormat="1" applyFont="1" applyBorder="1" applyAlignment="1">
      <alignment horizontal="right" vertical="center"/>
    </xf>
    <xf numFmtId="193" fontId="36" fillId="29" borderId="470" xfId="0" applyNumberFormat="1" applyFont="1" applyFill="1" applyBorder="1" applyAlignment="1">
      <alignment horizontal="right" vertical="center"/>
    </xf>
    <xf numFmtId="187" fontId="36" fillId="29" borderId="320" xfId="3" applyNumberFormat="1" applyFont="1" applyFill="1" applyBorder="1" applyAlignment="1">
      <alignment horizontal="right" vertical="center"/>
    </xf>
    <xf numFmtId="220" fontId="36" fillId="0" borderId="0" xfId="0" applyNumberFormat="1" applyFont="1">
      <alignment vertical="center"/>
    </xf>
    <xf numFmtId="204" fontId="36" fillId="0" borderId="0" xfId="0" applyNumberFormat="1" applyFont="1">
      <alignment vertical="center"/>
    </xf>
    <xf numFmtId="0" fontId="37" fillId="13" borderId="471" xfId="0" quotePrefix="1" applyFont="1" applyFill="1" applyBorder="1" applyAlignment="1">
      <alignment horizontal="center" vertical="center"/>
    </xf>
    <xf numFmtId="0" fontId="37" fillId="13" borderId="429" xfId="0" quotePrefix="1" applyFont="1" applyFill="1" applyBorder="1" applyAlignment="1">
      <alignment horizontal="center" vertical="center"/>
    </xf>
    <xf numFmtId="0" fontId="37" fillId="13" borderId="472" xfId="0" quotePrefix="1" applyFont="1" applyFill="1" applyBorder="1" applyAlignment="1">
      <alignment horizontal="center" vertical="center"/>
    </xf>
    <xf numFmtId="0" fontId="37" fillId="15" borderId="429" xfId="0" quotePrefix="1" applyFont="1" applyFill="1" applyBorder="1" applyAlignment="1">
      <alignment horizontal="center" vertical="center"/>
    </xf>
    <xf numFmtId="0" fontId="37" fillId="28" borderId="471" xfId="0" quotePrefix="1" applyFont="1" applyFill="1" applyBorder="1" applyAlignment="1">
      <alignment horizontal="center" vertical="center"/>
    </xf>
    <xf numFmtId="0" fontId="37" fillId="28" borderId="429" xfId="0" quotePrefix="1" applyFont="1" applyFill="1" applyBorder="1" applyAlignment="1">
      <alignment horizontal="center" vertical="center"/>
    </xf>
    <xf numFmtId="0" fontId="36" fillId="3" borderId="471" xfId="0" quotePrefix="1" applyFont="1" applyFill="1" applyBorder="1" applyAlignment="1">
      <alignment horizontal="center" vertical="center"/>
    </xf>
    <xf numFmtId="0" fontId="36" fillId="3" borderId="429" xfId="0" quotePrefix="1" applyFont="1" applyFill="1" applyBorder="1" applyAlignment="1">
      <alignment horizontal="center" vertical="center"/>
    </xf>
    <xf numFmtId="0" fontId="36" fillId="7" borderId="472" xfId="0" quotePrefix="1" applyFont="1" applyFill="1" applyBorder="1" applyAlignment="1">
      <alignment horizontal="center" vertical="center"/>
    </xf>
    <xf numFmtId="0" fontId="37" fillId="4" borderId="473" xfId="0" quotePrefix="1" applyFont="1" applyFill="1" applyBorder="1" applyAlignment="1">
      <alignment horizontal="center" vertical="center"/>
    </xf>
    <xf numFmtId="208" fontId="37" fillId="4" borderId="473" xfId="0" quotePrefix="1" applyNumberFormat="1" applyFont="1" applyFill="1" applyBorder="1" applyAlignment="1">
      <alignment horizontal="center" vertical="center"/>
    </xf>
    <xf numFmtId="0" fontId="37" fillId="14" borderId="474" xfId="0" quotePrefix="1" applyFont="1" applyFill="1" applyBorder="1" applyAlignment="1">
      <alignment horizontal="center" vertical="center"/>
    </xf>
    <xf numFmtId="0" fontId="37" fillId="14" borderId="475" xfId="0" quotePrefix="1" applyFont="1" applyFill="1" applyBorder="1" applyAlignment="1">
      <alignment horizontal="center" vertical="center" shrinkToFit="1"/>
    </xf>
    <xf numFmtId="0" fontId="37" fillId="14" borderId="0" xfId="0" quotePrefix="1" applyFont="1" applyFill="1" applyAlignment="1">
      <alignment horizontal="center" vertical="center" shrinkToFit="1"/>
    </xf>
    <xf numFmtId="0" fontId="43" fillId="8" borderId="433" xfId="0" applyFont="1" applyFill="1" applyBorder="1">
      <alignment vertical="center"/>
    </xf>
    <xf numFmtId="210" fontId="36" fillId="5" borderId="476" xfId="0" applyNumberFormat="1" applyFont="1" applyFill="1" applyBorder="1">
      <alignment vertical="center"/>
    </xf>
    <xf numFmtId="210" fontId="36" fillId="5" borderId="477" xfId="0" applyNumberFormat="1" applyFont="1" applyFill="1" applyBorder="1">
      <alignment vertical="center"/>
    </xf>
    <xf numFmtId="210" fontId="36" fillId="5" borderId="478" xfId="0" applyNumberFormat="1" applyFont="1" applyFill="1" applyBorder="1">
      <alignment vertical="center"/>
    </xf>
    <xf numFmtId="210" fontId="36" fillId="8" borderId="435" xfId="0" applyNumberFormat="1" applyFont="1" applyFill="1" applyBorder="1" applyAlignment="1">
      <alignment horizontal="center" vertical="center"/>
    </xf>
    <xf numFmtId="210" fontId="36" fillId="8" borderId="102" xfId="0" applyNumberFormat="1" applyFont="1" applyFill="1" applyBorder="1" applyAlignment="1">
      <alignment horizontal="center" vertical="center"/>
    </xf>
    <xf numFmtId="210" fontId="46" fillId="8" borderId="436" xfId="0" applyNumberFormat="1" applyFont="1" applyFill="1" applyBorder="1" applyAlignment="1">
      <alignment horizontal="center" vertical="center"/>
    </xf>
    <xf numFmtId="208" fontId="36" fillId="8" borderId="35" xfId="2" applyNumberFormat="1" applyFont="1" applyFill="1" applyBorder="1" applyAlignment="1">
      <alignment horizontal="center" vertical="center"/>
    </xf>
    <xf numFmtId="209" fontId="36" fillId="8" borderId="35" xfId="2" applyNumberFormat="1" applyFont="1" applyFill="1" applyBorder="1" applyAlignment="1">
      <alignment horizontal="center" vertical="center"/>
    </xf>
    <xf numFmtId="187" fontId="36" fillId="29" borderId="35" xfId="3" applyNumberFormat="1" applyFont="1" applyFill="1" applyBorder="1" applyAlignment="1">
      <alignment horizontal="center" vertical="center"/>
    </xf>
    <xf numFmtId="186" fontId="36" fillId="8" borderId="70" xfId="0" applyNumberFormat="1" applyFont="1" applyFill="1" applyBorder="1" applyAlignment="1">
      <alignment horizontal="center" vertical="center"/>
    </xf>
    <xf numFmtId="186" fontId="36" fillId="8" borderId="434" xfId="0" applyNumberFormat="1" applyFont="1" applyFill="1" applyBorder="1" applyAlignment="1">
      <alignment horizontal="center" vertical="center"/>
    </xf>
    <xf numFmtId="186" fontId="36" fillId="8" borderId="0" xfId="0" applyNumberFormat="1" applyFont="1" applyFill="1" applyAlignment="1">
      <alignment horizontal="right" vertical="center"/>
    </xf>
    <xf numFmtId="210" fontId="36" fillId="5" borderId="0" xfId="0" applyNumberFormat="1" applyFont="1" applyFill="1" applyAlignment="1">
      <alignment horizontal="center" vertical="center"/>
    </xf>
    <xf numFmtId="210" fontId="36" fillId="5" borderId="376" xfId="0" applyNumberFormat="1" applyFont="1" applyFill="1" applyBorder="1" applyAlignment="1">
      <alignment horizontal="center" vertical="center"/>
    </xf>
    <xf numFmtId="208" fontId="36" fillId="5" borderId="0" xfId="2" applyNumberFormat="1" applyFont="1" applyFill="1" applyBorder="1" applyAlignment="1">
      <alignment horizontal="center" vertical="center"/>
    </xf>
    <xf numFmtId="208" fontId="36" fillId="0" borderId="0" xfId="2" applyNumberFormat="1" applyFont="1" applyFill="1" applyBorder="1" applyAlignment="1">
      <alignment horizontal="center" vertical="center"/>
    </xf>
    <xf numFmtId="209" fontId="36" fillId="0" borderId="0" xfId="2" applyNumberFormat="1" applyFont="1" applyFill="1" applyBorder="1" applyAlignment="1">
      <alignment horizontal="center" vertical="center"/>
    </xf>
    <xf numFmtId="193" fontId="36" fillId="0" borderId="0" xfId="0" applyNumberFormat="1" applyFont="1" applyAlignment="1">
      <alignment horizontal="center" vertical="center"/>
    </xf>
    <xf numFmtId="186" fontId="36" fillId="0" borderId="376" xfId="0" applyNumberFormat="1" applyFont="1" applyBorder="1" applyAlignment="1">
      <alignment horizontal="center" vertical="center"/>
    </xf>
    <xf numFmtId="210" fontId="46" fillId="5" borderId="376" xfId="0" applyNumberFormat="1" applyFont="1" applyFill="1" applyBorder="1" applyAlignment="1">
      <alignment horizontal="center" vertical="center"/>
    </xf>
    <xf numFmtId="195" fontId="36" fillId="5" borderId="0" xfId="2" applyNumberFormat="1" applyFont="1" applyFill="1" applyBorder="1">
      <alignment vertical="center"/>
    </xf>
    <xf numFmtId="195" fontId="36" fillId="5" borderId="376" xfId="2" applyNumberFormat="1" applyFont="1" applyFill="1" applyBorder="1">
      <alignment vertical="center"/>
    </xf>
    <xf numFmtId="189" fontId="36" fillId="0" borderId="376" xfId="0" applyNumberFormat="1" applyFont="1" applyBorder="1" applyAlignment="1">
      <alignment horizontal="center" vertical="center"/>
    </xf>
    <xf numFmtId="0" fontId="43" fillId="2" borderId="420" xfId="0" applyFont="1" applyFill="1" applyBorder="1">
      <alignment vertical="center"/>
    </xf>
    <xf numFmtId="210" fontId="36" fillId="2" borderId="480" xfId="0" applyNumberFormat="1" applyFont="1" applyFill="1" applyBorder="1" applyAlignment="1">
      <alignment horizontal="center" vertical="center"/>
    </xf>
    <xf numFmtId="210" fontId="36" fillId="2" borderId="479" xfId="0" applyNumberFormat="1" applyFont="1" applyFill="1" applyBorder="1" applyAlignment="1">
      <alignment horizontal="center" vertical="center"/>
    </xf>
    <xf numFmtId="210" fontId="36" fillId="2" borderId="481" xfId="0" applyNumberFormat="1" applyFont="1" applyFill="1" applyBorder="1" applyAlignment="1">
      <alignment horizontal="center" vertical="center"/>
    </xf>
    <xf numFmtId="208" fontId="36" fillId="2" borderId="479" xfId="2" applyNumberFormat="1" applyFont="1" applyFill="1" applyBorder="1" applyAlignment="1">
      <alignment horizontal="center" vertical="center"/>
    </xf>
    <xf numFmtId="209" fontId="36" fillId="2" borderId="479" xfId="2" applyNumberFormat="1" applyFont="1" applyFill="1" applyBorder="1" applyAlignment="1">
      <alignment horizontal="center" vertical="center"/>
    </xf>
    <xf numFmtId="193" fontId="36" fillId="29" borderId="479" xfId="0" applyNumberFormat="1" applyFont="1" applyFill="1" applyBorder="1" applyAlignment="1">
      <alignment horizontal="center" vertical="center"/>
    </xf>
    <xf numFmtId="187" fontId="36" fillId="29" borderId="479" xfId="3" applyNumberFormat="1" applyFont="1" applyFill="1" applyBorder="1" applyAlignment="1">
      <alignment horizontal="center" vertical="center"/>
    </xf>
    <xf numFmtId="189" fontId="36" fillId="2" borderId="483" xfId="0" applyNumberFormat="1" applyFont="1" applyFill="1" applyBorder="1" applyAlignment="1">
      <alignment horizontal="center" vertical="center"/>
    </xf>
    <xf numFmtId="189" fontId="36" fillId="2" borderId="481" xfId="0" applyNumberFormat="1" applyFont="1" applyFill="1" applyBorder="1" applyAlignment="1">
      <alignment horizontal="center" vertical="center"/>
    </xf>
    <xf numFmtId="208" fontId="36" fillId="5" borderId="66" xfId="2" applyNumberFormat="1" applyFont="1" applyFill="1" applyBorder="1" applyAlignment="1">
      <alignment horizontal="center" vertical="center"/>
    </xf>
    <xf numFmtId="208" fontId="36" fillId="0" borderId="66" xfId="2" applyNumberFormat="1" applyFont="1" applyFill="1" applyBorder="1" applyAlignment="1">
      <alignment horizontal="center" vertical="center"/>
    </xf>
    <xf numFmtId="209" fontId="36" fillId="0" borderId="66" xfId="2" applyNumberFormat="1" applyFont="1" applyFill="1" applyBorder="1" applyAlignment="1">
      <alignment horizontal="center" vertical="center"/>
    </xf>
    <xf numFmtId="193" fontId="36" fillId="0" borderId="66" xfId="0" applyNumberFormat="1" applyFont="1" applyBorder="1" applyAlignment="1">
      <alignment horizontal="center" vertical="center"/>
    </xf>
    <xf numFmtId="187" fontId="36" fillId="29" borderId="66" xfId="3" applyNumberFormat="1" applyFont="1" applyFill="1" applyBorder="1" applyAlignment="1">
      <alignment horizontal="center" vertical="center"/>
    </xf>
    <xf numFmtId="189" fontId="36" fillId="0" borderId="69" xfId="0" applyNumberFormat="1" applyFont="1" applyBorder="1" applyAlignment="1">
      <alignment horizontal="center" vertical="center"/>
    </xf>
    <xf numFmtId="189" fontId="36" fillId="0" borderId="443" xfId="0" applyNumberFormat="1" applyFont="1" applyBorder="1" applyAlignment="1">
      <alignment horizontal="center" vertical="center"/>
    </xf>
    <xf numFmtId="210" fontId="36" fillId="3" borderId="0" xfId="0" applyNumberFormat="1" applyFont="1" applyFill="1" applyAlignment="1">
      <alignment horizontal="center" vertical="center"/>
    </xf>
    <xf numFmtId="210" fontId="36" fillId="3" borderId="376" xfId="0" applyNumberFormat="1" applyFont="1" applyFill="1" applyBorder="1" applyAlignment="1">
      <alignment horizontal="center" vertical="center"/>
    </xf>
    <xf numFmtId="208" fontId="36" fillId="3" borderId="0" xfId="2" applyNumberFormat="1" applyFont="1" applyFill="1" applyBorder="1" applyAlignment="1">
      <alignment horizontal="center" vertical="center"/>
    </xf>
    <xf numFmtId="209" fontId="36" fillId="3" borderId="0" xfId="2" applyNumberFormat="1" applyFont="1" applyFill="1" applyBorder="1" applyAlignment="1">
      <alignment horizontal="center" vertical="center"/>
    </xf>
    <xf numFmtId="193" fontId="36" fillId="3" borderId="0" xfId="0" applyNumberFormat="1" applyFont="1" applyFill="1" applyAlignment="1">
      <alignment horizontal="center" vertical="center"/>
    </xf>
    <xf numFmtId="189" fontId="36" fillId="3" borderId="376" xfId="0" applyNumberFormat="1" applyFont="1" applyFill="1" applyBorder="1" applyAlignment="1">
      <alignment horizontal="center" vertical="center"/>
    </xf>
    <xf numFmtId="0" fontId="43" fillId="4" borderId="437" xfId="0" applyFont="1" applyFill="1" applyBorder="1">
      <alignment vertical="center"/>
    </xf>
    <xf numFmtId="208" fontId="36" fillId="4" borderId="0" xfId="2" applyNumberFormat="1" applyFont="1" applyFill="1" applyBorder="1" applyAlignment="1">
      <alignment horizontal="center" vertical="center"/>
    </xf>
    <xf numFmtId="209" fontId="36" fillId="4" borderId="0" xfId="2" applyNumberFormat="1" applyFont="1" applyFill="1" applyBorder="1" applyAlignment="1">
      <alignment horizontal="center" vertical="center"/>
    </xf>
    <xf numFmtId="208" fontId="36" fillId="0" borderId="0" xfId="2" applyNumberFormat="1" applyFont="1" applyBorder="1" applyAlignment="1">
      <alignment horizontal="center" vertical="center"/>
    </xf>
    <xf numFmtId="209" fontId="36" fillId="0" borderId="0" xfId="2" applyNumberFormat="1" applyFont="1" applyBorder="1" applyAlignment="1">
      <alignment horizontal="center" vertical="center"/>
    </xf>
    <xf numFmtId="0" fontId="43" fillId="7" borderId="447" xfId="0" applyFont="1" applyFill="1" applyBorder="1">
      <alignment vertical="center"/>
    </xf>
    <xf numFmtId="210" fontId="36" fillId="7" borderId="447" xfId="0" applyNumberFormat="1" applyFont="1" applyFill="1" applyBorder="1" applyAlignment="1">
      <alignment horizontal="center" vertical="center"/>
    </xf>
    <xf numFmtId="210" fontId="36" fillId="7" borderId="17" xfId="0" applyNumberFormat="1" applyFont="1" applyFill="1" applyBorder="1" applyAlignment="1">
      <alignment horizontal="center" vertical="center"/>
    </xf>
    <xf numFmtId="210" fontId="46" fillId="7" borderId="446" xfId="0" applyNumberFormat="1" applyFont="1" applyFill="1" applyBorder="1" applyAlignment="1">
      <alignment horizontal="center" vertical="center"/>
    </xf>
    <xf numFmtId="208" fontId="36" fillId="7" borderId="352" xfId="2" applyNumberFormat="1" applyFont="1" applyFill="1" applyBorder="1" applyAlignment="1">
      <alignment horizontal="center" vertical="center"/>
    </xf>
    <xf numFmtId="208" fontId="36" fillId="7" borderId="17" xfId="2" applyNumberFormat="1" applyFont="1" applyFill="1" applyBorder="1" applyAlignment="1">
      <alignment horizontal="center" vertical="center"/>
    </xf>
    <xf numFmtId="209" fontId="36" fillId="7" borderId="17" xfId="2" applyNumberFormat="1" applyFont="1" applyFill="1" applyBorder="1" applyAlignment="1">
      <alignment horizontal="center" vertical="center"/>
    </xf>
    <xf numFmtId="193" fontId="36" fillId="29" borderId="17" xfId="0" applyNumberFormat="1" applyFont="1" applyFill="1" applyBorder="1" applyAlignment="1">
      <alignment horizontal="center" vertical="center"/>
    </xf>
    <xf numFmtId="187" fontId="36" fillId="29" borderId="17" xfId="3" applyNumberFormat="1" applyFont="1" applyFill="1" applyBorder="1" applyAlignment="1">
      <alignment horizontal="center" vertical="center"/>
    </xf>
    <xf numFmtId="189" fontId="36" fillId="7" borderId="95" xfId="0" applyNumberFormat="1" applyFont="1" applyFill="1" applyBorder="1" applyAlignment="1">
      <alignment horizontal="center" vertical="center"/>
    </xf>
    <xf numFmtId="189" fontId="36" fillId="7" borderId="446" xfId="0" applyNumberFormat="1" applyFont="1" applyFill="1" applyBorder="1" applyAlignment="1">
      <alignment horizontal="center" vertical="center"/>
    </xf>
    <xf numFmtId="0" fontId="43" fillId="0" borderId="484" xfId="0" applyFont="1" applyBorder="1">
      <alignment vertical="center"/>
    </xf>
    <xf numFmtId="0" fontId="36" fillId="0" borderId="484" xfId="0" applyFont="1" applyBorder="1">
      <alignment vertical="center"/>
    </xf>
    <xf numFmtId="0" fontId="36" fillId="0" borderId="485" xfId="0" applyFont="1" applyBorder="1">
      <alignment vertical="center"/>
    </xf>
    <xf numFmtId="0" fontId="36" fillId="0" borderId="32" xfId="0" applyFont="1" applyBorder="1" applyAlignment="1">
      <alignment horizontal="center" vertical="center"/>
    </xf>
    <xf numFmtId="213" fontId="36" fillId="0" borderId="32" xfId="0" applyNumberFormat="1" applyFont="1" applyBorder="1" applyAlignment="1">
      <alignment horizontal="center" vertical="center"/>
    </xf>
    <xf numFmtId="210" fontId="36" fillId="5" borderId="32" xfId="0" applyNumberFormat="1" applyFont="1" applyFill="1" applyBorder="1" applyAlignment="1">
      <alignment horizontal="center" vertical="center"/>
    </xf>
    <xf numFmtId="210" fontId="36" fillId="5" borderId="463" xfId="0" applyNumberFormat="1" applyFont="1" applyFill="1" applyBorder="1" applyAlignment="1">
      <alignment horizontal="center" vertical="center"/>
    </xf>
    <xf numFmtId="208" fontId="36" fillId="0" borderId="32" xfId="2" applyNumberFormat="1" applyFont="1" applyBorder="1" applyAlignment="1">
      <alignment horizontal="center" vertical="center"/>
    </xf>
    <xf numFmtId="209" fontId="36" fillId="0" borderId="32" xfId="2" applyNumberFormat="1" applyFont="1" applyBorder="1" applyAlignment="1">
      <alignment horizontal="center" vertical="center"/>
    </xf>
    <xf numFmtId="193" fontId="36" fillId="29" borderId="32" xfId="0" applyNumberFormat="1" applyFont="1" applyFill="1" applyBorder="1" applyAlignment="1">
      <alignment horizontal="center" vertical="center"/>
    </xf>
    <xf numFmtId="187" fontId="36" fillId="29" borderId="319" xfId="3" applyNumberFormat="1" applyFont="1" applyFill="1" applyBorder="1" applyAlignment="1">
      <alignment horizontal="center" vertical="center"/>
    </xf>
    <xf numFmtId="189" fontId="36" fillId="0" borderId="49" xfId="0" applyNumberFormat="1" applyFont="1" applyBorder="1" applyAlignment="1">
      <alignment horizontal="center" vertical="center"/>
    </xf>
    <xf numFmtId="189" fontId="36" fillId="0" borderId="485" xfId="0" applyNumberFormat="1" applyFont="1" applyBorder="1" applyAlignment="1">
      <alignment horizontal="center" vertical="center"/>
    </xf>
    <xf numFmtId="204" fontId="36" fillId="0" borderId="437" xfId="0" applyNumberFormat="1" applyFont="1" applyBorder="1">
      <alignment vertical="center"/>
    </xf>
    <xf numFmtId="210" fontId="36" fillId="0" borderId="462" xfId="0" applyNumberFormat="1" applyFont="1" applyBorder="1" applyAlignment="1">
      <alignment horizontal="center" vertical="center"/>
    </xf>
    <xf numFmtId="193" fontId="36" fillId="29" borderId="0" xfId="0" applyNumberFormat="1" applyFont="1" applyFill="1" applyAlignment="1">
      <alignment horizontal="center" vertical="center"/>
    </xf>
    <xf numFmtId="187" fontId="36" fillId="29" borderId="38" xfId="3" applyNumberFormat="1" applyFont="1" applyFill="1" applyBorder="1" applyAlignment="1">
      <alignment horizontal="center" vertical="center"/>
    </xf>
    <xf numFmtId="0" fontId="36" fillId="2" borderId="486" xfId="0" applyFont="1" applyFill="1" applyBorder="1">
      <alignment vertical="center"/>
    </xf>
    <xf numFmtId="210" fontId="36" fillId="2" borderId="23" xfId="0" applyNumberFormat="1" applyFont="1" applyFill="1" applyBorder="1" applyAlignment="1">
      <alignment horizontal="center" vertical="center"/>
    </xf>
    <xf numFmtId="210" fontId="36" fillId="2" borderId="464" xfId="0" applyNumberFormat="1" applyFont="1" applyFill="1" applyBorder="1" applyAlignment="1">
      <alignment horizontal="center" vertical="center"/>
    </xf>
    <xf numFmtId="208" fontId="36" fillId="2" borderId="23" xfId="2" applyNumberFormat="1" applyFont="1" applyFill="1" applyBorder="1" applyAlignment="1">
      <alignment horizontal="center" vertical="center"/>
    </xf>
    <xf numFmtId="208" fontId="108" fillId="34" borderId="803" xfId="2" applyNumberFormat="1" applyFont="1" applyFill="1" applyBorder="1" applyAlignment="1">
      <alignment horizontal="center" vertical="center"/>
    </xf>
    <xf numFmtId="208" fontId="108" fillId="34" borderId="0" xfId="2" applyNumberFormat="1" applyFont="1" applyFill="1" applyBorder="1" applyAlignment="1">
      <alignment horizontal="center" vertical="center"/>
    </xf>
    <xf numFmtId="209" fontId="36" fillId="2" borderId="23" xfId="2" applyNumberFormat="1" applyFont="1" applyFill="1" applyBorder="1" applyAlignment="1">
      <alignment horizontal="center" vertical="center"/>
    </xf>
    <xf numFmtId="189" fontId="36" fillId="2" borderId="486" xfId="0" applyNumberFormat="1" applyFont="1" applyFill="1" applyBorder="1" applyAlignment="1">
      <alignment horizontal="center" vertical="center"/>
    </xf>
    <xf numFmtId="0" fontId="36" fillId="3" borderId="376" xfId="0" applyFont="1" applyFill="1" applyBorder="1">
      <alignment vertical="center"/>
    </xf>
    <xf numFmtId="210" fontId="36" fillId="3" borderId="462" xfId="0" applyNumberFormat="1" applyFont="1" applyFill="1" applyBorder="1" applyAlignment="1">
      <alignment horizontal="center" vertical="center"/>
    </xf>
    <xf numFmtId="208" fontId="108" fillId="33" borderId="0" xfId="2" applyNumberFormat="1" applyFont="1" applyFill="1" applyBorder="1" applyAlignment="1">
      <alignment horizontal="center" vertical="center"/>
    </xf>
    <xf numFmtId="0" fontId="36" fillId="2" borderId="376" xfId="0" applyFont="1" applyFill="1" applyBorder="1">
      <alignment vertical="center"/>
    </xf>
    <xf numFmtId="210" fontId="36" fillId="2" borderId="0" xfId="0" applyNumberFormat="1" applyFont="1" applyFill="1" applyAlignment="1">
      <alignment horizontal="center" vertical="center"/>
    </xf>
    <xf numFmtId="210" fontId="36" fillId="2" borderId="462" xfId="0" applyNumberFormat="1" applyFont="1" applyFill="1" applyBorder="1" applyAlignment="1">
      <alignment horizontal="center" vertical="center"/>
    </xf>
    <xf numFmtId="208" fontId="36" fillId="2" borderId="0" xfId="2" applyNumberFormat="1" applyFont="1" applyFill="1" applyBorder="1" applyAlignment="1">
      <alignment horizontal="center" vertical="center"/>
    </xf>
    <xf numFmtId="209" fontId="36" fillId="2" borderId="0" xfId="2" applyNumberFormat="1" applyFont="1" applyFill="1" applyBorder="1" applyAlignment="1">
      <alignment horizontal="center" vertical="center"/>
    </xf>
    <xf numFmtId="189" fontId="36" fillId="2" borderId="376" xfId="0" applyNumberFormat="1" applyFont="1" applyFill="1" applyBorder="1" applyAlignment="1">
      <alignment horizontal="center" vertical="center"/>
    </xf>
    <xf numFmtId="0" fontId="43" fillId="0" borderId="437" xfId="0" applyFont="1" applyBorder="1">
      <alignment vertical="center"/>
    </xf>
    <xf numFmtId="210" fontId="36" fillId="0" borderId="0" xfId="0" applyNumberFormat="1" applyFont="1" applyBorder="1" applyAlignment="1">
      <alignment horizontal="center" vertical="center"/>
    </xf>
    <xf numFmtId="0" fontId="36" fillId="2" borderId="437" xfId="0" applyFont="1" applyFill="1" applyBorder="1">
      <alignment vertical="center"/>
    </xf>
    <xf numFmtId="0" fontId="36" fillId="3" borderId="437" xfId="0" applyFont="1" applyFill="1" applyBorder="1">
      <alignment vertical="center"/>
    </xf>
    <xf numFmtId="210" fontId="51" fillId="3" borderId="0" xfId="0" applyNumberFormat="1" applyFont="1" applyFill="1" applyAlignment="1">
      <alignment horizontal="center" vertical="center"/>
    </xf>
    <xf numFmtId="210" fontId="51" fillId="3" borderId="462" xfId="0" applyNumberFormat="1" applyFont="1" applyFill="1" applyBorder="1" applyAlignment="1">
      <alignment horizontal="center" vertical="center"/>
    </xf>
    <xf numFmtId="204" fontId="36" fillId="0" borderId="430" xfId="0" applyNumberFormat="1" applyFont="1" applyBorder="1">
      <alignment vertical="center"/>
    </xf>
    <xf numFmtId="0" fontId="43" fillId="2" borderId="431" xfId="0" applyFont="1" applyFill="1" applyBorder="1">
      <alignment vertical="center"/>
    </xf>
    <xf numFmtId="0" fontId="36" fillId="2" borderId="432" xfId="0" applyFont="1" applyFill="1" applyBorder="1">
      <alignment vertical="center"/>
    </xf>
    <xf numFmtId="210" fontId="51" fillId="2" borderId="431" xfId="0" applyNumberFormat="1" applyFont="1" applyFill="1" applyBorder="1" applyAlignment="1">
      <alignment horizontal="center" vertical="center"/>
    </xf>
    <xf numFmtId="210" fontId="51" fillId="2" borderId="468" xfId="0" applyNumberFormat="1" applyFont="1" applyFill="1" applyBorder="1" applyAlignment="1">
      <alignment horizontal="center" vertical="center"/>
    </xf>
    <xf numFmtId="208" fontId="36" fillId="2" borderId="431" xfId="2" applyNumberFormat="1" applyFont="1" applyFill="1" applyBorder="1" applyAlignment="1">
      <alignment horizontal="center" vertical="center"/>
    </xf>
    <xf numFmtId="209" fontId="36" fillId="2" borderId="431" xfId="2" applyNumberFormat="1" applyFont="1" applyFill="1" applyBorder="1" applyAlignment="1">
      <alignment horizontal="center" vertical="center"/>
    </xf>
    <xf numFmtId="193" fontId="36" fillId="29" borderId="431" xfId="0" applyNumberFormat="1" applyFont="1" applyFill="1" applyBorder="1" applyAlignment="1">
      <alignment horizontal="center" vertical="center"/>
    </xf>
    <xf numFmtId="187" fontId="36" fillId="29" borderId="488" xfId="3" applyNumberFormat="1" applyFont="1" applyFill="1" applyBorder="1" applyAlignment="1">
      <alignment horizontal="center" vertical="center"/>
    </xf>
    <xf numFmtId="189" fontId="36" fillId="2" borderId="489" xfId="0" applyNumberFormat="1" applyFont="1" applyFill="1" applyBorder="1" applyAlignment="1">
      <alignment horizontal="center" vertical="center"/>
    </xf>
    <xf numFmtId="189" fontId="36" fillId="2" borderId="432" xfId="0" applyNumberFormat="1" applyFont="1" applyFill="1" applyBorder="1" applyAlignment="1">
      <alignment horizontal="center" vertical="center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41" fontId="112" fillId="0" borderId="0" xfId="2" applyFont="1">
      <alignment vertical="center"/>
    </xf>
    <xf numFmtId="202" fontId="112" fillId="0" borderId="0" xfId="2" applyNumberFormat="1" applyFont="1">
      <alignment vertical="center"/>
    </xf>
    <xf numFmtId="202" fontId="112" fillId="0" borderId="0" xfId="0" applyNumberFormat="1" applyFont="1">
      <alignment vertical="center"/>
    </xf>
    <xf numFmtId="202" fontId="113" fillId="0" borderId="0" xfId="0" applyNumberFormat="1" applyFont="1">
      <alignment vertical="center"/>
    </xf>
    <xf numFmtId="0" fontId="114" fillId="0" borderId="0" xfId="0" applyFont="1">
      <alignment vertical="center"/>
    </xf>
    <xf numFmtId="0" fontId="112" fillId="0" borderId="786" xfId="0" applyFont="1" applyBorder="1">
      <alignment vertical="center"/>
    </xf>
    <xf numFmtId="185" fontId="111" fillId="18" borderId="0" xfId="0" applyNumberFormat="1" applyFont="1" applyFill="1" applyAlignment="1">
      <alignment horizontal="center" vertical="center"/>
    </xf>
    <xf numFmtId="0" fontId="116" fillId="5" borderId="0" xfId="0" applyFont="1" applyFill="1">
      <alignment vertical="center"/>
    </xf>
    <xf numFmtId="0" fontId="114" fillId="5" borderId="0" xfId="0" applyFont="1" applyFill="1">
      <alignment vertical="center"/>
    </xf>
    <xf numFmtId="195" fontId="55" fillId="0" borderId="0" xfId="2" applyNumberFormat="1" applyFont="1">
      <alignment vertical="center"/>
    </xf>
    <xf numFmtId="249" fontId="36" fillId="3" borderId="0" xfId="2" applyNumberFormat="1" applyFont="1" applyFill="1" applyBorder="1" applyAlignment="1">
      <alignment horizontal="right" vertical="center"/>
    </xf>
    <xf numFmtId="249" fontId="36" fillId="18" borderId="0" xfId="2" applyNumberFormat="1" applyFont="1" applyFill="1" applyBorder="1" applyAlignment="1">
      <alignment horizontal="right" vertical="center"/>
    </xf>
    <xf numFmtId="249" fontId="36" fillId="3" borderId="0" xfId="2" applyNumberFormat="1" applyFont="1" applyFill="1" applyAlignment="1">
      <alignment horizontal="right" vertical="center"/>
    </xf>
    <xf numFmtId="0" fontId="117" fillId="3" borderId="0" xfId="0" applyFont="1" applyFill="1">
      <alignment vertical="center"/>
    </xf>
    <xf numFmtId="0" fontId="118" fillId="5" borderId="0" xfId="0" applyFont="1" applyFill="1">
      <alignment vertical="center"/>
    </xf>
    <xf numFmtId="202" fontId="118" fillId="5" borderId="0" xfId="0" applyNumberFormat="1" applyFont="1" applyFill="1">
      <alignment vertical="center"/>
    </xf>
    <xf numFmtId="9" fontId="118" fillId="5" borderId="0" xfId="3" applyFont="1" applyFill="1">
      <alignment vertical="center"/>
    </xf>
    <xf numFmtId="0" fontId="127" fillId="5" borderId="0" xfId="0" applyFont="1" applyFill="1" applyAlignment="1">
      <alignment horizontal="left" vertical="center"/>
    </xf>
    <xf numFmtId="0" fontId="128" fillId="5" borderId="0" xfId="0" applyFont="1" applyFill="1" applyAlignment="1">
      <alignment vertical="top"/>
    </xf>
    <xf numFmtId="0" fontId="128" fillId="5" borderId="0" xfId="0" applyFont="1" applyFill="1">
      <alignment vertical="center"/>
    </xf>
    <xf numFmtId="0" fontId="128" fillId="6" borderId="830" xfId="0" applyFont="1" applyFill="1" applyBorder="1">
      <alignment vertical="center"/>
    </xf>
    <xf numFmtId="0" fontId="36" fillId="5" borderId="0" xfId="0" applyFont="1" applyFill="1" applyAlignment="1">
      <alignment horizontal="center" vertical="center"/>
    </xf>
    <xf numFmtId="0" fontId="43" fillId="11" borderId="0" xfId="0" applyFont="1" applyFill="1" applyBorder="1" applyAlignment="1">
      <alignment horizontal="center" vertical="center" wrapText="1"/>
    </xf>
    <xf numFmtId="0" fontId="36" fillId="5" borderId="0" xfId="0" applyFont="1" applyFill="1" applyBorder="1" applyAlignment="1">
      <alignment horizontal="left" vertical="center"/>
    </xf>
    <xf numFmtId="0" fontId="36" fillId="5" borderId="0" xfId="0" applyFont="1" applyFill="1" applyAlignment="1">
      <alignment horizontal="center" vertical="center"/>
    </xf>
    <xf numFmtId="0" fontId="36" fillId="8" borderId="0" xfId="0" applyFont="1" applyFill="1" applyBorder="1" applyAlignment="1">
      <alignment horizontal="left" vertical="center"/>
    </xf>
    <xf numFmtId="0" fontId="0" fillId="5" borderId="0" xfId="0" applyFill="1" applyBorder="1" applyAlignment="1">
      <alignment horizontal="center" vertical="center"/>
    </xf>
    <xf numFmtId="3" fontId="36" fillId="0" borderId="0" xfId="0" applyNumberFormat="1" applyFont="1">
      <alignment vertical="center"/>
    </xf>
    <xf numFmtId="0" fontId="130" fillId="5" borderId="0" xfId="0" applyFont="1" applyFill="1" applyAlignment="1">
      <alignment horizontal="left" vertical="center"/>
    </xf>
    <xf numFmtId="41" fontId="48" fillId="5" borderId="0" xfId="2" applyFont="1" applyFill="1" applyAlignment="1">
      <alignment horizontal="center" vertical="center"/>
    </xf>
    <xf numFmtId="0" fontId="36" fillId="0" borderId="0" xfId="0" quotePrefix="1" applyFont="1" applyAlignment="1">
      <alignment horizontal="left" vertical="center"/>
    </xf>
    <xf numFmtId="0" fontId="47" fillId="0" borderId="0" xfId="0" quotePrefix="1" applyFont="1" applyAlignment="1">
      <alignment horizontal="center" vertical="center"/>
    </xf>
    <xf numFmtId="41" fontId="36" fillId="13" borderId="857" xfId="2" quotePrefix="1" applyFont="1" applyFill="1" applyBorder="1" applyAlignment="1">
      <alignment horizontal="center" vertical="center"/>
    </xf>
    <xf numFmtId="41" fontId="36" fillId="13" borderId="0" xfId="2" quotePrefix="1" applyFont="1" applyFill="1" applyBorder="1" applyAlignment="1">
      <alignment horizontal="center" vertical="center"/>
    </xf>
    <xf numFmtId="41" fontId="43" fillId="28" borderId="0" xfId="2" quotePrefix="1" applyFont="1" applyFill="1" applyBorder="1" applyAlignment="1">
      <alignment horizontal="center" vertical="center"/>
    </xf>
    <xf numFmtId="192" fontId="37" fillId="3" borderId="0" xfId="0" quotePrefix="1" applyNumberFormat="1" applyFont="1" applyFill="1" applyBorder="1" applyAlignment="1">
      <alignment horizontal="center" vertical="center"/>
    </xf>
    <xf numFmtId="0" fontId="37" fillId="3" borderId="0" xfId="0" quotePrefix="1" applyFont="1" applyFill="1" applyBorder="1" applyAlignment="1">
      <alignment horizontal="center" vertical="center"/>
    </xf>
    <xf numFmtId="41" fontId="44" fillId="9" borderId="0" xfId="2" quotePrefix="1" applyFont="1" applyFill="1" applyBorder="1" applyAlignment="1">
      <alignment horizontal="center" vertical="center"/>
    </xf>
    <xf numFmtId="0" fontId="44" fillId="38" borderId="0" xfId="0" quotePrefix="1" applyFont="1" applyFill="1" applyBorder="1" applyAlignment="1">
      <alignment horizontal="center" vertical="center"/>
    </xf>
    <xf numFmtId="41" fontId="44" fillId="38" borderId="0" xfId="2" quotePrefix="1" applyFont="1" applyFill="1" applyBorder="1" applyAlignment="1">
      <alignment horizontal="center" vertical="center"/>
    </xf>
    <xf numFmtId="0" fontId="44" fillId="6" borderId="859" xfId="0" quotePrefix="1" applyFont="1" applyFill="1" applyBorder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41" fontId="37" fillId="10" borderId="44" xfId="2" applyFont="1" applyFill="1" applyBorder="1" applyAlignment="1">
      <alignment horizontal="center" vertical="center"/>
    </xf>
    <xf numFmtId="0" fontId="37" fillId="10" borderId="354" xfId="0" applyFont="1" applyFill="1" applyBorder="1" applyAlignment="1">
      <alignment horizontal="center" vertical="center"/>
    </xf>
    <xf numFmtId="0" fontId="44" fillId="6" borderId="202" xfId="0" applyFont="1" applyFill="1" applyBorder="1" applyAlignment="1">
      <alignment vertical="center" wrapText="1"/>
    </xf>
    <xf numFmtId="0" fontId="43" fillId="8" borderId="860" xfId="0" applyFont="1" applyFill="1" applyBorder="1" applyAlignment="1">
      <alignment vertical="center"/>
    </xf>
    <xf numFmtId="0" fontId="43" fillId="8" borderId="861" xfId="0" applyFont="1" applyFill="1" applyBorder="1" applyAlignment="1">
      <alignment vertical="center"/>
    </xf>
    <xf numFmtId="41" fontId="36" fillId="8" borderId="67" xfId="2" applyFont="1" applyFill="1" applyBorder="1" applyAlignment="1">
      <alignment horizontal="center" vertical="center"/>
    </xf>
    <xf numFmtId="41" fontId="36" fillId="8" borderId="66" xfId="2" applyFont="1" applyFill="1" applyBorder="1" applyAlignment="1">
      <alignment horizontal="center" vertical="center"/>
    </xf>
    <xf numFmtId="41" fontId="108" fillId="47" borderId="960" xfId="2" applyFont="1" applyFill="1" applyBorder="1" applyAlignment="1">
      <alignment horizontal="center" vertical="center"/>
    </xf>
    <xf numFmtId="192" fontId="36" fillId="8" borderId="66" xfId="2" applyNumberFormat="1" applyFont="1" applyFill="1" applyBorder="1" applyAlignment="1">
      <alignment horizontal="center" vertical="center"/>
    </xf>
    <xf numFmtId="192" fontId="36" fillId="29" borderId="66" xfId="2" applyNumberFormat="1" applyFont="1" applyFill="1" applyBorder="1" applyAlignment="1">
      <alignment horizontal="center" vertical="center"/>
    </xf>
    <xf numFmtId="192" fontId="36" fillId="29" borderId="66" xfId="3" applyNumberFormat="1" applyFont="1" applyFill="1" applyBorder="1" applyAlignment="1">
      <alignment horizontal="center" vertical="center"/>
    </xf>
    <xf numFmtId="192" fontId="36" fillId="8" borderId="356" xfId="2" applyNumberFormat="1" applyFont="1" applyFill="1" applyBorder="1" applyAlignment="1">
      <alignment horizontal="center" vertical="center"/>
    </xf>
    <xf numFmtId="0" fontId="44" fillId="6" borderId="83" xfId="0" applyFont="1" applyFill="1" applyBorder="1" applyAlignment="1">
      <alignment vertical="center" wrapText="1"/>
    </xf>
    <xf numFmtId="41" fontId="36" fillId="0" borderId="11" xfId="2" applyFont="1" applyBorder="1" applyAlignment="1">
      <alignment horizontal="center" vertical="center"/>
    </xf>
    <xf numFmtId="41" fontId="36" fillId="0" borderId="0" xfId="2" applyFont="1" applyBorder="1" applyAlignment="1">
      <alignment horizontal="center" vertical="center"/>
    </xf>
    <xf numFmtId="41" fontId="108" fillId="0" borderId="0" xfId="2" applyFont="1" applyFill="1" applyBorder="1" applyAlignment="1">
      <alignment horizontal="center" vertical="center"/>
    </xf>
    <xf numFmtId="192" fontId="36" fillId="29" borderId="0" xfId="2" applyNumberFormat="1" applyFont="1" applyFill="1" applyBorder="1" applyAlignment="1">
      <alignment horizontal="center" vertical="center"/>
    </xf>
    <xf numFmtId="192" fontId="36" fillId="29" borderId="0" xfId="3" applyNumberFormat="1" applyFont="1" applyFill="1" applyBorder="1" applyAlignment="1">
      <alignment horizontal="center" vertical="center"/>
    </xf>
    <xf numFmtId="192" fontId="36" fillId="0" borderId="354" xfId="2" applyNumberFormat="1" applyFont="1" applyBorder="1" applyAlignment="1">
      <alignment horizontal="center" vertical="center"/>
    </xf>
    <xf numFmtId="41" fontId="36" fillId="0" borderId="0" xfId="2" applyFont="1" applyFill="1" applyBorder="1" applyAlignment="1">
      <alignment horizontal="center" vertical="center"/>
    </xf>
    <xf numFmtId="0" fontId="43" fillId="8" borderId="512" xfId="0" applyFont="1" applyFill="1" applyBorder="1" applyAlignment="1">
      <alignment vertical="center"/>
    </xf>
    <xf numFmtId="0" fontId="43" fillId="8" borderId="513" xfId="0" applyFont="1" applyFill="1" applyBorder="1" applyAlignment="1">
      <alignment vertical="center"/>
    </xf>
    <xf numFmtId="41" fontId="36" fillId="8" borderId="11" xfId="2" applyFont="1" applyFill="1" applyBorder="1" applyAlignment="1">
      <alignment horizontal="center" vertical="center"/>
    </xf>
    <xf numFmtId="41" fontId="108" fillId="47" borderId="0" xfId="2" applyFont="1" applyFill="1" applyBorder="1" applyAlignment="1">
      <alignment horizontal="center" vertical="center"/>
    </xf>
    <xf numFmtId="192" fontId="36" fillId="8" borderId="354" xfId="2" applyNumberFormat="1" applyFont="1" applyFill="1" applyBorder="1" applyAlignment="1">
      <alignment horizontal="center" vertical="center"/>
    </xf>
    <xf numFmtId="0" fontId="36" fillId="8" borderId="512" xfId="0" applyFont="1" applyFill="1" applyBorder="1" applyAlignment="1">
      <alignment horizontal="center" vertical="center"/>
    </xf>
    <xf numFmtId="41" fontId="36" fillId="14" borderId="0" xfId="2" applyFont="1" applyFill="1" applyBorder="1">
      <alignment vertical="center"/>
    </xf>
    <xf numFmtId="41" fontId="108" fillId="55" borderId="0" xfId="2" applyFont="1" applyFill="1" applyBorder="1" applyAlignment="1">
      <alignment horizontal="center" vertical="center"/>
    </xf>
    <xf numFmtId="192" fontId="36" fillId="5" borderId="354" xfId="2" applyNumberFormat="1" applyFont="1" applyFill="1" applyBorder="1" applyAlignment="1">
      <alignment horizontal="center" vertical="center"/>
    </xf>
    <xf numFmtId="41" fontId="43" fillId="11" borderId="66" xfId="2" applyFont="1" applyFill="1" applyBorder="1" applyAlignment="1">
      <alignment horizontal="center" vertical="center"/>
    </xf>
    <xf numFmtId="192" fontId="43" fillId="11" borderId="66" xfId="0" applyNumberFormat="1" applyFont="1" applyFill="1" applyBorder="1" applyAlignment="1">
      <alignment horizontal="center" vertical="center"/>
    </xf>
    <xf numFmtId="0" fontId="43" fillId="11" borderId="66" xfId="0" applyFont="1" applyFill="1" applyBorder="1" applyAlignment="1">
      <alignment horizontal="center" vertical="center"/>
    </xf>
    <xf numFmtId="192" fontId="43" fillId="11" borderId="609" xfId="0" applyNumberFormat="1" applyFont="1" applyFill="1" applyBorder="1" applyAlignment="1">
      <alignment horizontal="center" vertical="center"/>
    </xf>
    <xf numFmtId="192" fontId="36" fillId="29" borderId="66" xfId="0" applyNumberFormat="1" applyFont="1" applyFill="1" applyBorder="1">
      <alignment vertical="center"/>
    </xf>
    <xf numFmtId="192" fontId="36" fillId="29" borderId="66" xfId="0" applyNumberFormat="1" applyFont="1" applyFill="1" applyBorder="1" applyAlignment="1">
      <alignment horizontal="center" vertical="center"/>
    </xf>
    <xf numFmtId="192" fontId="43" fillId="11" borderId="356" xfId="0" applyNumberFormat="1" applyFont="1" applyFill="1" applyBorder="1" applyAlignment="1">
      <alignment horizontal="center" vertical="center"/>
    </xf>
    <xf numFmtId="41" fontId="43" fillId="5" borderId="0" xfId="2" applyFont="1" applyFill="1" applyBorder="1" applyAlignment="1">
      <alignment horizontal="center" vertical="center"/>
    </xf>
    <xf numFmtId="192" fontId="43" fillId="5" borderId="0" xfId="0" applyNumberFormat="1" applyFont="1" applyFill="1" applyBorder="1" applyAlignment="1">
      <alignment horizontal="center" vertical="center"/>
    </xf>
    <xf numFmtId="192" fontId="43" fillId="5" borderId="0" xfId="0" applyNumberFormat="1" applyFont="1" applyFill="1" applyAlignment="1">
      <alignment horizontal="center" vertical="center"/>
    </xf>
    <xf numFmtId="192" fontId="43" fillId="5" borderId="354" xfId="0" applyNumberFormat="1" applyFont="1" applyFill="1" applyBorder="1" applyAlignment="1">
      <alignment horizontal="center" vertical="center"/>
    </xf>
    <xf numFmtId="192" fontId="36" fillId="0" borderId="354" xfId="0" applyNumberFormat="1" applyFont="1" applyBorder="1" applyAlignment="1">
      <alignment horizontal="center" vertical="center"/>
    </xf>
    <xf numFmtId="192" fontId="36" fillId="14" borderId="437" xfId="0" applyNumberFormat="1" applyFont="1" applyFill="1" applyBorder="1" applyAlignment="1">
      <alignment horizontal="center" vertical="center"/>
    </xf>
    <xf numFmtId="192" fontId="36" fillId="14" borderId="0" xfId="0" applyNumberFormat="1" applyFont="1" applyFill="1" applyBorder="1" applyAlignment="1">
      <alignment horizontal="center" vertical="center"/>
    </xf>
    <xf numFmtId="41" fontId="36" fillId="13" borderId="0" xfId="2" applyFont="1" applyFill="1" applyBorder="1" applyAlignment="1">
      <alignment horizontal="center" vertical="center"/>
    </xf>
    <xf numFmtId="194" fontId="36" fillId="5" borderId="437" xfId="2" applyNumberFormat="1" applyFont="1" applyFill="1" applyBorder="1" applyAlignment="1">
      <alignment horizontal="center" vertical="center"/>
    </xf>
    <xf numFmtId="194" fontId="36" fillId="5" borderId="354" xfId="2" applyNumberFormat="1" applyFont="1" applyFill="1" applyBorder="1" applyAlignment="1">
      <alignment horizontal="center" vertical="center"/>
    </xf>
    <xf numFmtId="194" fontId="36" fillId="0" borderId="0" xfId="0" applyNumberFormat="1" applyFont="1" applyBorder="1" applyAlignment="1">
      <alignment horizontal="center" vertical="center"/>
    </xf>
    <xf numFmtId="192" fontId="36" fillId="0" borderId="544" xfId="2" applyNumberFormat="1" applyFont="1" applyFill="1" applyBorder="1" applyAlignment="1">
      <alignment horizontal="center" vertical="center"/>
    </xf>
    <xf numFmtId="192" fontId="36" fillId="0" borderId="544" xfId="0" applyNumberFormat="1" applyFont="1" applyBorder="1" applyAlignment="1">
      <alignment horizontal="center" vertical="center"/>
    </xf>
    <xf numFmtId="192" fontId="36" fillId="29" borderId="544" xfId="0" applyNumberFormat="1" applyFont="1" applyFill="1" applyBorder="1" applyAlignment="1">
      <alignment horizontal="center" vertical="center"/>
    </xf>
    <xf numFmtId="192" fontId="36" fillId="0" borderId="1117" xfId="0" applyNumberFormat="1" applyFont="1" applyBorder="1" applyAlignment="1">
      <alignment horizontal="center" vertical="center"/>
    </xf>
    <xf numFmtId="0" fontId="36" fillId="42" borderId="0" xfId="0" applyFont="1" applyFill="1" applyBorder="1" applyAlignment="1">
      <alignment horizontal="left" vertical="center"/>
    </xf>
    <xf numFmtId="0" fontId="36" fillId="42" borderId="0" xfId="0" applyFont="1" applyFill="1" applyBorder="1" applyAlignment="1">
      <alignment horizontal="center" vertical="center"/>
    </xf>
    <xf numFmtId="41" fontId="36" fillId="42" borderId="0" xfId="2" applyFont="1" applyFill="1" applyBorder="1" applyAlignment="1">
      <alignment horizontal="center" vertical="center"/>
    </xf>
    <xf numFmtId="192" fontId="36" fillId="42" borderId="0" xfId="0" applyNumberFormat="1" applyFont="1" applyFill="1" applyBorder="1" applyAlignment="1">
      <alignment horizontal="center" vertical="center"/>
    </xf>
    <xf numFmtId="192" fontId="36" fillId="42" borderId="0" xfId="0" applyNumberFormat="1" applyFont="1" applyFill="1" applyAlignment="1">
      <alignment horizontal="center" vertical="center"/>
    </xf>
    <xf numFmtId="192" fontId="36" fillId="42" borderId="0" xfId="0" applyNumberFormat="1" applyFont="1" applyFill="1" applyBorder="1">
      <alignment vertical="center"/>
    </xf>
    <xf numFmtId="192" fontId="36" fillId="42" borderId="354" xfId="0" applyNumberFormat="1" applyFont="1" applyFill="1" applyBorder="1" applyAlignment="1">
      <alignment horizontal="center" vertical="center"/>
    </xf>
    <xf numFmtId="192" fontId="36" fillId="0" borderId="1133" xfId="0" applyNumberFormat="1" applyFont="1" applyBorder="1" applyAlignment="1">
      <alignment horizontal="center" vertical="center"/>
    </xf>
    <xf numFmtId="192" fontId="43" fillId="0" borderId="0" xfId="0" applyNumberFormat="1" applyFont="1" applyBorder="1" applyAlignment="1">
      <alignment horizontal="center" vertical="center"/>
    </xf>
    <xf numFmtId="0" fontId="131" fillId="5" borderId="0" xfId="0" applyFont="1" applyFill="1">
      <alignment vertical="center"/>
    </xf>
    <xf numFmtId="14" fontId="131" fillId="5" borderId="0" xfId="0" applyNumberFormat="1" applyFont="1" applyFill="1" applyAlignment="1">
      <alignment horizontal="left" vertical="center"/>
    </xf>
    <xf numFmtId="0" fontId="100" fillId="74" borderId="14" xfId="0" applyFont="1" applyFill="1" applyBorder="1" applyAlignment="1">
      <alignment vertical="center"/>
    </xf>
    <xf numFmtId="209" fontId="37" fillId="74" borderId="14" xfId="0" applyNumberFormat="1" applyFont="1" applyFill="1" applyBorder="1" applyAlignment="1">
      <alignment vertical="center"/>
    </xf>
    <xf numFmtId="0" fontId="37" fillId="74" borderId="14" xfId="0" applyFont="1" applyFill="1" applyBorder="1" applyAlignment="1">
      <alignment vertical="center"/>
    </xf>
    <xf numFmtId="0" fontId="37" fillId="74" borderId="358" xfId="0" quotePrefix="1" applyFont="1" applyFill="1" applyBorder="1" applyAlignment="1">
      <alignment horizontal="center" vertical="center"/>
    </xf>
    <xf numFmtId="209" fontId="37" fillId="74" borderId="358" xfId="0" quotePrefix="1" applyNumberFormat="1" applyFont="1" applyFill="1" applyBorder="1" applyAlignment="1">
      <alignment horizontal="center" vertical="center"/>
    </xf>
    <xf numFmtId="0" fontId="44" fillId="75" borderId="956" xfId="0" quotePrefix="1" applyFont="1" applyFill="1" applyBorder="1" applyAlignment="1">
      <alignment horizontal="center" vertical="center"/>
    </xf>
    <xf numFmtId="14" fontId="93" fillId="18" borderId="0" xfId="0" applyNumberFormat="1" applyFont="1" applyFill="1" applyAlignment="1">
      <alignment horizontal="center" vertical="center"/>
    </xf>
    <xf numFmtId="14" fontId="94" fillId="0" borderId="0" xfId="0" applyNumberFormat="1" applyFont="1">
      <alignment vertical="center"/>
    </xf>
    <xf numFmtId="0" fontId="132" fillId="5" borderId="0" xfId="0" applyFont="1" applyFill="1">
      <alignment vertical="center"/>
    </xf>
    <xf numFmtId="0" fontId="132" fillId="2" borderId="0" xfId="0" applyFont="1" applyFill="1">
      <alignment vertical="center"/>
    </xf>
    <xf numFmtId="0" fontId="37" fillId="0" borderId="0" xfId="0" quotePrefix="1" applyFont="1" applyFill="1" applyAlignment="1">
      <alignment horizontal="center" vertical="center"/>
    </xf>
    <xf numFmtId="0" fontId="37" fillId="4" borderId="0" xfId="0" applyFont="1" applyFill="1" applyBorder="1" applyAlignment="1">
      <alignment horizontal="center" vertical="center"/>
    </xf>
    <xf numFmtId="0" fontId="37" fillId="21" borderId="0" xfId="0" applyFont="1" applyFill="1" applyBorder="1" applyAlignment="1">
      <alignment horizontal="center" vertical="center"/>
    </xf>
    <xf numFmtId="0" fontId="37" fillId="0" borderId="14" xfId="0" applyFont="1" applyFill="1" applyBorder="1" applyAlignment="1">
      <alignment horizontal="center" vertical="center"/>
    </xf>
    <xf numFmtId="0" fontId="37" fillId="4" borderId="46" xfId="0" quotePrefix="1" applyFont="1" applyFill="1" applyBorder="1" applyAlignment="1">
      <alignment horizontal="center" vertical="center"/>
    </xf>
    <xf numFmtId="3" fontId="52" fillId="0" borderId="0" xfId="0" applyNumberFormat="1" applyFont="1">
      <alignment vertical="center"/>
    </xf>
    <xf numFmtId="0" fontId="52" fillId="0" borderId="0" xfId="0" applyFont="1" applyAlignment="1">
      <alignment horizontal="center" vertical="center"/>
    </xf>
    <xf numFmtId="0" fontId="52" fillId="5" borderId="0" xfId="0" applyFont="1" applyFill="1" applyBorder="1" applyAlignment="1">
      <alignment horizontal="center" vertical="center"/>
    </xf>
    <xf numFmtId="202" fontId="37" fillId="4" borderId="0" xfId="0" applyNumberFormat="1" applyFont="1" applyFill="1" applyBorder="1" applyAlignment="1">
      <alignment horizontal="center" vertical="center"/>
    </xf>
    <xf numFmtId="0" fontId="37" fillId="4" borderId="566" xfId="0" quotePrefix="1" applyFont="1" applyFill="1" applyBorder="1" applyAlignment="1">
      <alignment horizontal="center" vertical="center"/>
    </xf>
    <xf numFmtId="41" fontId="36" fillId="0" borderId="0" xfId="0" applyNumberFormat="1" applyFont="1" applyBorder="1">
      <alignment vertical="center"/>
    </xf>
    <xf numFmtId="0" fontId="36" fillId="0" borderId="0" xfId="0" quotePrefix="1" applyFont="1" applyBorder="1" applyAlignment="1">
      <alignment horizontal="center" vertical="center"/>
    </xf>
    <xf numFmtId="0" fontId="64" fillId="5" borderId="424" xfId="0" applyFont="1" applyFill="1" applyBorder="1" applyAlignment="1">
      <alignment horizontal="left" vertical="center"/>
    </xf>
    <xf numFmtId="185" fontId="43" fillId="5" borderId="417" xfId="0" applyNumberFormat="1" applyFont="1" applyFill="1" applyBorder="1" applyAlignment="1">
      <alignment horizontal="center" vertical="center"/>
    </xf>
    <xf numFmtId="0" fontId="36" fillId="0" borderId="417" xfId="0" applyFont="1" applyBorder="1">
      <alignment vertical="center"/>
    </xf>
    <xf numFmtId="0" fontId="36" fillId="0" borderId="425" xfId="0" applyFont="1" applyBorder="1">
      <alignment vertical="center"/>
    </xf>
    <xf numFmtId="41" fontId="36" fillId="0" borderId="417" xfId="0" applyNumberFormat="1" applyFont="1" applyBorder="1">
      <alignment vertical="center"/>
    </xf>
    <xf numFmtId="41" fontId="36" fillId="11" borderId="452" xfId="2" applyFont="1" applyFill="1" applyBorder="1">
      <alignment vertical="center"/>
    </xf>
    <xf numFmtId="41" fontId="36" fillId="9" borderId="376" xfId="2" applyFont="1" applyFill="1" applyBorder="1">
      <alignment vertical="center"/>
    </xf>
    <xf numFmtId="41" fontId="36" fillId="0" borderId="376" xfId="2" applyFont="1" applyFill="1" applyBorder="1">
      <alignment vertical="center"/>
    </xf>
    <xf numFmtId="41" fontId="36" fillId="8" borderId="376" xfId="2" applyFont="1" applyFill="1" applyBorder="1">
      <alignment vertical="center"/>
    </xf>
    <xf numFmtId="202" fontId="36" fillId="4" borderId="376" xfId="2" applyNumberFormat="1" applyFont="1" applyFill="1" applyBorder="1">
      <alignment vertical="center"/>
    </xf>
    <xf numFmtId="202" fontId="36" fillId="0" borderId="376" xfId="2" applyNumberFormat="1" applyFont="1" applyBorder="1">
      <alignment vertical="center"/>
    </xf>
    <xf numFmtId="0" fontId="43" fillId="8" borderId="431" xfId="0" applyFont="1" applyFill="1" applyBorder="1">
      <alignment vertical="center"/>
    </xf>
    <xf numFmtId="0" fontId="36" fillId="8" borderId="431" xfId="0" applyFont="1" applyFill="1" applyBorder="1">
      <alignment vertical="center"/>
    </xf>
    <xf numFmtId="41" fontId="36" fillId="8" borderId="437" xfId="2" applyFont="1" applyFill="1" applyBorder="1">
      <alignment vertical="center"/>
    </xf>
    <xf numFmtId="41" fontId="36" fillId="11" borderId="450" xfId="2" applyFont="1" applyFill="1" applyBorder="1">
      <alignment vertical="center"/>
    </xf>
    <xf numFmtId="202" fontId="36" fillId="5" borderId="437" xfId="2" applyNumberFormat="1" applyFont="1" applyFill="1" applyBorder="1">
      <alignment vertical="center"/>
    </xf>
    <xf numFmtId="41" fontId="36" fillId="5" borderId="437" xfId="0" applyNumberFormat="1" applyFont="1" applyFill="1" applyBorder="1" applyAlignment="1"/>
    <xf numFmtId="3" fontId="36" fillId="0" borderId="437" xfId="2" applyNumberFormat="1" applyFont="1" applyFill="1" applyBorder="1">
      <alignment vertical="center"/>
    </xf>
    <xf numFmtId="41" fontId="36" fillId="5" borderId="437" xfId="2" applyFont="1" applyFill="1" applyBorder="1">
      <alignment vertical="center"/>
    </xf>
    <xf numFmtId="41" fontId="36" fillId="38" borderId="437" xfId="2" applyFont="1" applyFill="1" applyBorder="1">
      <alignment vertical="center"/>
    </xf>
    <xf numFmtId="41" fontId="36" fillId="8" borderId="565" xfId="2" applyFont="1" applyFill="1" applyBorder="1">
      <alignment vertical="center"/>
    </xf>
    <xf numFmtId="202" fontId="36" fillId="0" borderId="437" xfId="2" applyNumberFormat="1" applyFont="1" applyBorder="1">
      <alignment vertical="center"/>
    </xf>
    <xf numFmtId="202" fontId="36" fillId="8" borderId="430" xfId="2" applyNumberFormat="1" applyFont="1" applyFill="1" applyBorder="1">
      <alignment vertical="center"/>
    </xf>
    <xf numFmtId="14" fontId="36" fillId="30" borderId="0" xfId="0" applyNumberFormat="1" applyFont="1" applyFill="1" applyAlignment="1">
      <alignment horizontal="center" vertical="center"/>
    </xf>
    <xf numFmtId="14" fontId="36" fillId="18" borderId="0" xfId="0" applyNumberFormat="1" applyFont="1" applyFill="1" applyAlignment="1">
      <alignment horizontal="center" vertical="center"/>
    </xf>
    <xf numFmtId="186" fontId="36" fillId="5" borderId="0" xfId="0" applyNumberFormat="1" applyFont="1" applyFill="1" applyBorder="1" applyAlignment="1">
      <alignment horizontal="right" vertical="center"/>
    </xf>
    <xf numFmtId="9" fontId="36" fillId="5" borderId="0" xfId="3" applyFont="1" applyFill="1" applyBorder="1" applyAlignment="1">
      <alignment horizontal="right" vertical="center"/>
    </xf>
    <xf numFmtId="41" fontId="22" fillId="49" borderId="989" xfId="2" applyFont="1" applyFill="1" applyBorder="1" applyAlignment="1">
      <alignment horizontal="center" vertical="center"/>
    </xf>
    <xf numFmtId="41" fontId="22" fillId="49" borderId="990" xfId="2" applyFont="1" applyFill="1" applyBorder="1" applyAlignment="1">
      <alignment horizontal="center" vertical="center"/>
    </xf>
    <xf numFmtId="0" fontId="37" fillId="19" borderId="0" xfId="0" quotePrefix="1" applyFont="1" applyFill="1" applyBorder="1" applyAlignment="1">
      <alignment horizontal="center" vertical="center"/>
    </xf>
    <xf numFmtId="0" fontId="44" fillId="74" borderId="0" xfId="0" quotePrefix="1" applyFont="1" applyFill="1" applyBorder="1" applyAlignment="1">
      <alignment horizontal="center" vertical="center"/>
    </xf>
    <xf numFmtId="192" fontId="37" fillId="19" borderId="437" xfId="0" quotePrefix="1" applyNumberFormat="1" applyFont="1" applyFill="1" applyBorder="1" applyAlignment="1">
      <alignment horizontal="center" vertical="center"/>
    </xf>
    <xf numFmtId="41" fontId="44" fillId="74" borderId="376" xfId="2" quotePrefix="1" applyFont="1" applyFill="1" applyBorder="1" applyAlignment="1">
      <alignment horizontal="center" vertical="center"/>
    </xf>
    <xf numFmtId="41" fontId="36" fillId="8" borderId="609" xfId="2" applyFont="1" applyFill="1" applyBorder="1" applyAlignment="1">
      <alignment horizontal="center" vertical="center"/>
    </xf>
    <xf numFmtId="192" fontId="36" fillId="8" borderId="443" xfId="2" applyNumberFormat="1" applyFont="1" applyFill="1" applyBorder="1" applyAlignment="1">
      <alignment horizontal="center" vertical="center"/>
    </xf>
    <xf numFmtId="41" fontId="36" fillId="0" borderId="437" xfId="2" applyFont="1" applyBorder="1" applyAlignment="1">
      <alignment horizontal="center" vertical="center"/>
    </xf>
    <xf numFmtId="41" fontId="36" fillId="8" borderId="437" xfId="2" applyFont="1" applyFill="1" applyBorder="1" applyAlignment="1">
      <alignment horizontal="center" vertical="center"/>
    </xf>
    <xf numFmtId="41" fontId="36" fillId="5" borderId="437" xfId="2" applyFont="1" applyFill="1" applyBorder="1" applyAlignment="1">
      <alignment horizontal="center" vertical="center"/>
    </xf>
    <xf numFmtId="0" fontId="57" fillId="18" borderId="0" xfId="0" applyFont="1" applyFill="1">
      <alignment vertical="center"/>
    </xf>
    <xf numFmtId="0" fontId="57" fillId="18" borderId="0" xfId="0" applyFont="1" applyFill="1" applyAlignment="1">
      <alignment horizontal="center" vertical="center"/>
    </xf>
    <xf numFmtId="0" fontId="47" fillId="0" borderId="0" xfId="0" quotePrefix="1" applyFont="1" applyAlignment="1">
      <alignment horizontal="right" vertical="center"/>
    </xf>
    <xf numFmtId="0" fontId="36" fillId="4" borderId="407" xfId="0" applyFont="1" applyFill="1" applyBorder="1" applyAlignment="1">
      <alignment horizontal="center" vertical="center"/>
    </xf>
    <xf numFmtId="0" fontId="36" fillId="4" borderId="407" xfId="0" quotePrefix="1" applyFont="1" applyFill="1" applyBorder="1" applyAlignment="1">
      <alignment horizontal="center" vertical="center"/>
    </xf>
    <xf numFmtId="0" fontId="36" fillId="4" borderId="477" xfId="0" quotePrefix="1" applyFont="1" applyFill="1" applyBorder="1" applyAlignment="1">
      <alignment horizontal="center" vertical="center"/>
    </xf>
    <xf numFmtId="0" fontId="36" fillId="4" borderId="478" xfId="0" quotePrefix="1" applyFont="1" applyFill="1" applyBorder="1" applyAlignment="1">
      <alignment horizontal="center" vertical="center"/>
    </xf>
    <xf numFmtId="0" fontId="36" fillId="13" borderId="291" xfId="0" applyFont="1" applyFill="1" applyBorder="1" applyAlignment="1">
      <alignment vertical="center"/>
    </xf>
    <xf numFmtId="0" fontId="36" fillId="5" borderId="30" xfId="0" applyFont="1" applyFill="1" applyBorder="1">
      <alignment vertical="center"/>
    </xf>
    <xf numFmtId="0" fontId="36" fillId="6" borderId="299" xfId="0" applyFont="1" applyFill="1" applyBorder="1" applyAlignment="1">
      <alignment vertical="center"/>
    </xf>
    <xf numFmtId="0" fontId="36" fillId="6" borderId="300" xfId="0" applyFont="1" applyFill="1" applyBorder="1">
      <alignment vertical="center"/>
    </xf>
    <xf numFmtId="0" fontId="36" fillId="6" borderId="72" xfId="0" applyFont="1" applyFill="1" applyBorder="1" applyAlignment="1">
      <alignment vertical="center"/>
    </xf>
    <xf numFmtId="0" fontId="36" fillId="6" borderId="0" xfId="0" applyFont="1" applyFill="1" applyBorder="1" applyAlignment="1">
      <alignment horizontal="right" vertical="center"/>
    </xf>
    <xf numFmtId="0" fontId="36" fillId="2" borderId="0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6" fillId="0" borderId="0" xfId="0" applyFont="1" applyFill="1" applyBorder="1" applyAlignment="1">
      <alignment horizontal="left" vertical="center"/>
    </xf>
    <xf numFmtId="0" fontId="36" fillId="6" borderId="291" xfId="0" applyFont="1" applyFill="1" applyBorder="1" applyAlignment="1">
      <alignment vertical="center"/>
    </xf>
    <xf numFmtId="0" fontId="36" fillId="0" borderId="30" xfId="0" applyFont="1" applyFill="1" applyBorder="1" applyAlignment="1">
      <alignment horizontal="left" vertical="center"/>
    </xf>
    <xf numFmtId="0" fontId="36" fillId="6" borderId="0" xfId="0" applyFont="1" applyFill="1" applyBorder="1" applyAlignment="1">
      <alignment horizontal="left" vertical="center"/>
    </xf>
    <xf numFmtId="0" fontId="36" fillId="8" borderId="0" xfId="0" applyFont="1" applyFill="1" applyAlignment="1">
      <alignment horizontal="left" vertical="center"/>
    </xf>
    <xf numFmtId="41" fontId="36" fillId="0" borderId="235" xfId="2" quotePrefix="1" applyFont="1" applyFill="1" applyBorder="1" applyAlignment="1">
      <alignment horizontal="center" vertical="center"/>
    </xf>
    <xf numFmtId="41" fontId="36" fillId="0" borderId="18" xfId="2" quotePrefix="1" applyFont="1" applyFill="1" applyBorder="1" applyAlignment="1">
      <alignment horizontal="center" vertical="center"/>
    </xf>
    <xf numFmtId="41" fontId="36" fillId="0" borderId="411" xfId="2" quotePrefix="1" applyFont="1" applyFill="1" applyBorder="1" applyAlignment="1">
      <alignment horizontal="center" vertical="center"/>
    </xf>
    <xf numFmtId="41" fontId="36" fillId="0" borderId="437" xfId="2" quotePrefix="1" applyNumberFormat="1" applyFont="1" applyFill="1" applyBorder="1" applyAlignment="1">
      <alignment horizontal="center" vertical="center"/>
    </xf>
    <xf numFmtId="41" fontId="36" fillId="0" borderId="0" xfId="2" quotePrefix="1" applyFont="1" applyFill="1" applyBorder="1" applyAlignment="1">
      <alignment horizontal="center" vertical="center"/>
    </xf>
    <xf numFmtId="41" fontId="36" fillId="0" borderId="376" xfId="2" quotePrefix="1" applyFont="1" applyFill="1" applyBorder="1" applyAlignment="1">
      <alignment horizontal="center" vertical="center"/>
    </xf>
    <xf numFmtId="195" fontId="36" fillId="0" borderId="11" xfId="2" quotePrefix="1" applyNumberFormat="1" applyFont="1" applyFill="1" applyBorder="1" applyAlignment="1">
      <alignment horizontal="center" vertical="center"/>
    </xf>
    <xf numFmtId="195" fontId="36" fillId="0" borderId="0" xfId="2" quotePrefix="1" applyNumberFormat="1" applyFont="1" applyFill="1" applyBorder="1" applyAlignment="1">
      <alignment horizontal="center" vertical="center"/>
    </xf>
    <xf numFmtId="195" fontId="36" fillId="5" borderId="0" xfId="2" quotePrefix="1" applyNumberFormat="1" applyFont="1" applyFill="1" applyBorder="1" applyAlignment="1">
      <alignment horizontal="center" vertical="center"/>
    </xf>
    <xf numFmtId="195" fontId="36" fillId="0" borderId="437" xfId="2" quotePrefix="1" applyNumberFormat="1" applyFont="1" applyFill="1" applyBorder="1" applyAlignment="1">
      <alignment horizontal="center" vertical="center"/>
    </xf>
    <xf numFmtId="195" fontId="36" fillId="0" borderId="376" xfId="2" quotePrefix="1" applyNumberFormat="1" applyFont="1" applyFill="1" applyBorder="1" applyAlignment="1">
      <alignment horizontal="center" vertical="center"/>
    </xf>
    <xf numFmtId="212" fontId="36" fillId="0" borderId="0" xfId="0" applyNumberFormat="1" applyFont="1">
      <alignment vertical="center"/>
    </xf>
    <xf numFmtId="41" fontId="36" fillId="0" borderId="11" xfId="2" quotePrefix="1" applyFont="1" applyFill="1" applyBorder="1" applyAlignment="1">
      <alignment horizontal="center" vertical="center"/>
    </xf>
    <xf numFmtId="41" fontId="36" fillId="5" borderId="0" xfId="2" quotePrefix="1" applyFont="1" applyFill="1" applyBorder="1" applyAlignment="1">
      <alignment horizontal="center" vertical="center"/>
    </xf>
    <xf numFmtId="192" fontId="36" fillId="0" borderId="0" xfId="0" applyNumberFormat="1" applyFont="1">
      <alignment vertical="center"/>
    </xf>
    <xf numFmtId="41" fontId="36" fillId="11" borderId="11" xfId="2" quotePrefix="1" applyFont="1" applyFill="1" applyBorder="1" applyAlignment="1">
      <alignment horizontal="center" vertical="center"/>
    </xf>
    <xf numFmtId="41" fontId="36" fillId="11" borderId="0" xfId="2" quotePrefix="1" applyFont="1" applyFill="1" applyBorder="1" applyAlignment="1">
      <alignment horizontal="center" vertical="center"/>
    </xf>
    <xf numFmtId="41" fontId="36" fillId="11" borderId="437" xfId="2" quotePrefix="1" applyNumberFormat="1" applyFont="1" applyFill="1" applyBorder="1" applyAlignment="1">
      <alignment horizontal="center" vertical="center"/>
    </xf>
    <xf numFmtId="41" fontId="36" fillId="11" borderId="376" xfId="2" quotePrefix="1" applyFont="1" applyFill="1" applyBorder="1" applyAlignment="1">
      <alignment horizontal="center" vertical="center"/>
    </xf>
    <xf numFmtId="195" fontId="36" fillId="11" borderId="11" xfId="2" quotePrefix="1" applyNumberFormat="1" applyFont="1" applyFill="1" applyBorder="1" applyAlignment="1">
      <alignment horizontal="center" vertical="center"/>
    </xf>
    <xf numFmtId="195" fontId="36" fillId="11" borderId="0" xfId="2" quotePrefix="1" applyNumberFormat="1" applyFont="1" applyFill="1" applyBorder="1" applyAlignment="1">
      <alignment horizontal="center" vertical="center"/>
    </xf>
    <xf numFmtId="195" fontId="36" fillId="11" borderId="437" xfId="2" quotePrefix="1" applyNumberFormat="1" applyFont="1" applyFill="1" applyBorder="1" applyAlignment="1">
      <alignment horizontal="center" vertical="center"/>
    </xf>
    <xf numFmtId="195" fontId="36" fillId="11" borderId="376" xfId="2" quotePrefix="1" applyNumberFormat="1" applyFont="1" applyFill="1" applyBorder="1" applyAlignment="1">
      <alignment horizontal="center" vertical="center"/>
    </xf>
    <xf numFmtId="195" fontId="36" fillId="11" borderId="103" xfId="2" quotePrefix="1" applyNumberFormat="1" applyFont="1" applyFill="1" applyBorder="1" applyAlignment="1">
      <alignment horizontal="center" vertical="center"/>
    </xf>
    <xf numFmtId="195" fontId="36" fillId="11" borderId="102" xfId="2" quotePrefix="1" applyNumberFormat="1" applyFont="1" applyFill="1" applyBorder="1" applyAlignment="1">
      <alignment horizontal="center" vertical="center"/>
    </xf>
    <xf numFmtId="195" fontId="36" fillId="11" borderId="435" xfId="2" quotePrefix="1" applyNumberFormat="1" applyFont="1" applyFill="1" applyBorder="1" applyAlignment="1">
      <alignment horizontal="center" vertical="center"/>
    </xf>
    <xf numFmtId="195" fontId="36" fillId="11" borderId="436" xfId="2" quotePrefix="1" applyNumberFormat="1" applyFont="1" applyFill="1" applyBorder="1" applyAlignment="1">
      <alignment horizontal="center" vertical="center"/>
    </xf>
    <xf numFmtId="41" fontId="36" fillId="0" borderId="276" xfId="2" quotePrefix="1" applyFont="1" applyFill="1" applyBorder="1" applyAlignment="1">
      <alignment horizontal="center" vertical="center"/>
    </xf>
    <xf numFmtId="41" fontId="36" fillId="0" borderId="275" xfId="2" quotePrefix="1" applyFont="1" applyFill="1" applyBorder="1" applyAlignment="1">
      <alignment horizontal="center" vertical="center"/>
    </xf>
    <xf numFmtId="195" fontId="36" fillId="0" borderId="874" xfId="2" quotePrefix="1" applyNumberFormat="1" applyFont="1" applyFill="1" applyBorder="1" applyAlignment="1">
      <alignment horizontal="center" vertical="center"/>
    </xf>
    <xf numFmtId="41" fontId="36" fillId="0" borderId="875" xfId="2" quotePrefix="1" applyFont="1" applyFill="1" applyBorder="1" applyAlignment="1">
      <alignment horizontal="center" vertical="center"/>
    </xf>
    <xf numFmtId="41" fontId="36" fillId="2" borderId="11" xfId="2" quotePrefix="1" applyFont="1" applyFill="1" applyBorder="1" applyAlignment="1">
      <alignment horizontal="center" vertical="center"/>
    </xf>
    <xf numFmtId="41" fontId="36" fillId="2" borderId="0" xfId="2" quotePrefix="1" applyFont="1" applyFill="1" applyBorder="1" applyAlignment="1">
      <alignment horizontal="center" vertical="center"/>
    </xf>
    <xf numFmtId="195" fontId="36" fillId="2" borderId="437" xfId="2" quotePrefix="1" applyNumberFormat="1" applyFont="1" applyFill="1" applyBorder="1" applyAlignment="1">
      <alignment horizontal="center" vertical="center"/>
    </xf>
    <xf numFmtId="41" fontId="36" fillId="2" borderId="376" xfId="2" quotePrefix="1" applyFont="1" applyFill="1" applyBorder="1" applyAlignment="1">
      <alignment horizontal="center" vertical="center"/>
    </xf>
    <xf numFmtId="187" fontId="36" fillId="2" borderId="11" xfId="0" quotePrefix="1" applyNumberFormat="1" applyFont="1" applyFill="1" applyBorder="1" applyAlignment="1">
      <alignment horizontal="right" vertical="center"/>
    </xf>
    <xf numFmtId="187" fontId="36" fillId="2" borderId="0" xfId="0" quotePrefix="1" applyNumberFormat="1" applyFont="1" applyFill="1" applyBorder="1" applyAlignment="1">
      <alignment horizontal="right" vertical="center"/>
    </xf>
    <xf numFmtId="187" fontId="36" fillId="2" borderId="0" xfId="0" quotePrefix="1" applyNumberFormat="1" applyFont="1" applyFill="1" applyAlignment="1">
      <alignment horizontal="right" vertical="center"/>
    </xf>
    <xf numFmtId="187" fontId="36" fillId="8" borderId="0" xfId="0" quotePrefix="1" applyNumberFormat="1" applyFont="1" applyFill="1" applyBorder="1" applyAlignment="1">
      <alignment horizontal="right" vertical="center"/>
    </xf>
    <xf numFmtId="187" fontId="36" fillId="8" borderId="0" xfId="0" applyNumberFormat="1" applyFont="1" applyFill="1" applyBorder="1" applyAlignment="1">
      <alignment horizontal="right" vertical="center"/>
    </xf>
    <xf numFmtId="176" fontId="51" fillId="8" borderId="437" xfId="3" quotePrefix="1" applyNumberFormat="1" applyFont="1" applyFill="1" applyBorder="1" applyAlignment="1">
      <alignment horizontal="right" vertical="center"/>
    </xf>
    <xf numFmtId="176" fontId="36" fillId="8" borderId="0" xfId="0" quotePrefix="1" applyNumberFormat="1" applyFont="1" applyFill="1" applyBorder="1" applyAlignment="1">
      <alignment horizontal="right" vertical="center"/>
    </xf>
    <xf numFmtId="187" fontId="36" fillId="8" borderId="0" xfId="0" quotePrefix="1" applyNumberFormat="1" applyFont="1" applyFill="1" applyAlignment="1">
      <alignment horizontal="right" vertical="center"/>
    </xf>
    <xf numFmtId="187" fontId="36" fillId="8" borderId="376" xfId="0" applyNumberFormat="1" applyFont="1" applyFill="1" applyBorder="1" applyAlignment="1">
      <alignment horizontal="right" vertical="center"/>
    </xf>
    <xf numFmtId="187" fontId="36" fillId="0" borderId="11" xfId="0" quotePrefix="1" applyNumberFormat="1" applyFont="1" applyBorder="1" applyAlignment="1">
      <alignment horizontal="right" vertical="center"/>
    </xf>
    <xf numFmtId="187" fontId="36" fillId="0" borderId="0" xfId="0" quotePrefix="1" applyNumberFormat="1" applyFont="1" applyBorder="1" applyAlignment="1">
      <alignment horizontal="right" vertical="center"/>
    </xf>
    <xf numFmtId="187" fontId="36" fillId="0" borderId="0" xfId="0" quotePrefix="1" applyNumberFormat="1" applyFont="1" applyAlignment="1">
      <alignment horizontal="right" vertical="center"/>
    </xf>
    <xf numFmtId="187" fontId="36" fillId="5" borderId="0" xfId="0" quotePrefix="1" applyNumberFormat="1" applyFont="1" applyFill="1" applyAlignment="1">
      <alignment horizontal="right" vertical="center"/>
    </xf>
    <xf numFmtId="9" fontId="36" fillId="8" borderId="437" xfId="3" quotePrefix="1" applyFont="1" applyFill="1" applyBorder="1" applyAlignment="1">
      <alignment horizontal="right" vertical="center"/>
    </xf>
    <xf numFmtId="187" fontId="36" fillId="8" borderId="376" xfId="0" quotePrefix="1" applyNumberFormat="1" applyFont="1" applyFill="1" applyBorder="1" applyAlignment="1">
      <alignment horizontal="right" vertical="center"/>
    </xf>
    <xf numFmtId="0" fontId="36" fillId="11" borderId="109" xfId="0" quotePrefix="1" applyFont="1" applyFill="1" applyBorder="1" applyAlignment="1">
      <alignment horizontal="center" vertical="center"/>
    </xf>
    <xf numFmtId="41" fontId="36" fillId="11" borderId="107" xfId="2" quotePrefix="1" applyFont="1" applyFill="1" applyBorder="1" applyAlignment="1">
      <alignment horizontal="center" vertical="center"/>
    </xf>
    <xf numFmtId="41" fontId="36" fillId="11" borderId="876" xfId="2" quotePrefix="1" applyNumberFormat="1" applyFont="1" applyFill="1" applyBorder="1" applyAlignment="1">
      <alignment horizontal="center" vertical="center"/>
    </xf>
    <xf numFmtId="41" fontId="36" fillId="11" borderId="580" xfId="2" quotePrefix="1" applyFont="1" applyFill="1" applyBorder="1" applyAlignment="1">
      <alignment horizontal="center" vertical="center"/>
    </xf>
    <xf numFmtId="0" fontId="36" fillId="11" borderId="11" xfId="0" quotePrefix="1" applyFont="1" applyFill="1" applyBorder="1" applyAlignment="1">
      <alignment horizontal="center" vertical="center"/>
    </xf>
    <xf numFmtId="0" fontId="36" fillId="11" borderId="113" xfId="0" quotePrefix="1" applyFont="1" applyFill="1" applyBorder="1" applyAlignment="1">
      <alignment horizontal="center" vertical="center"/>
    </xf>
    <xf numFmtId="211" fontId="36" fillId="11" borderId="19" xfId="2" quotePrefix="1" applyNumberFormat="1" applyFont="1" applyFill="1" applyBorder="1" applyAlignment="1">
      <alignment horizontal="right" vertical="center"/>
    </xf>
    <xf numFmtId="195" fontId="36" fillId="11" borderId="19" xfId="2" quotePrefix="1" applyNumberFormat="1" applyFont="1" applyFill="1" applyBorder="1" applyAlignment="1">
      <alignment horizontal="center" vertical="center"/>
    </xf>
    <xf numFmtId="195" fontId="36" fillId="11" borderId="430" xfId="2" quotePrefix="1" applyNumberFormat="1" applyFont="1" applyFill="1" applyBorder="1" applyAlignment="1">
      <alignment horizontal="center" vertical="center"/>
    </xf>
    <xf numFmtId="211" fontId="36" fillId="11" borderId="431" xfId="2" quotePrefix="1" applyNumberFormat="1" applyFont="1" applyFill="1" applyBorder="1" applyAlignment="1">
      <alignment horizontal="right" vertical="center"/>
    </xf>
    <xf numFmtId="195" fontId="36" fillId="11" borderId="431" xfId="2" quotePrefix="1" applyNumberFormat="1" applyFont="1" applyFill="1" applyBorder="1" applyAlignment="1">
      <alignment horizontal="center" vertical="center"/>
    </xf>
    <xf numFmtId="195" fontId="36" fillId="11" borderId="432" xfId="2" quotePrefix="1" applyNumberFormat="1" applyFont="1" applyFill="1" applyBorder="1" applyAlignment="1">
      <alignment horizontal="center" vertical="center"/>
    </xf>
    <xf numFmtId="210" fontId="36" fillId="6" borderId="32" xfId="0" applyNumberFormat="1" applyFont="1" applyFill="1" applyBorder="1">
      <alignment vertical="center"/>
    </xf>
    <xf numFmtId="41" fontId="36" fillId="6" borderId="48" xfId="2" applyFont="1" applyFill="1" applyBorder="1">
      <alignment vertical="center"/>
    </xf>
    <xf numFmtId="41" fontId="36" fillId="6" borderId="412" xfId="2" applyFont="1" applyFill="1" applyBorder="1">
      <alignment vertical="center"/>
    </xf>
    <xf numFmtId="41" fontId="36" fillId="6" borderId="412" xfId="2" applyNumberFormat="1" applyFont="1" applyFill="1" applyBorder="1">
      <alignment vertical="center"/>
    </xf>
    <xf numFmtId="9" fontId="36" fillId="0" borderId="0" xfId="3" applyNumberFormat="1" applyFont="1">
      <alignment vertical="center"/>
    </xf>
    <xf numFmtId="41" fontId="36" fillId="6" borderId="424" xfId="2" applyFont="1" applyFill="1" applyBorder="1">
      <alignment vertical="center"/>
    </xf>
    <xf numFmtId="41" fontId="36" fillId="6" borderId="417" xfId="2" applyFont="1" applyFill="1" applyBorder="1">
      <alignment vertical="center"/>
    </xf>
    <xf numFmtId="41" fontId="36" fillId="6" borderId="417" xfId="2" applyNumberFormat="1" applyFont="1" applyFill="1" applyBorder="1">
      <alignment vertical="center"/>
    </xf>
    <xf numFmtId="41" fontId="36" fillId="6" borderId="425" xfId="2" applyNumberFormat="1" applyFont="1" applyFill="1" applyBorder="1">
      <alignment vertical="center"/>
    </xf>
    <xf numFmtId="41" fontId="36" fillId="6" borderId="11" xfId="2" applyFont="1" applyFill="1" applyBorder="1">
      <alignment vertical="center"/>
    </xf>
    <xf numFmtId="41" fontId="36" fillId="6" borderId="437" xfId="2" applyFont="1" applyFill="1" applyBorder="1">
      <alignment vertical="center"/>
    </xf>
    <xf numFmtId="41" fontId="36" fillId="6" borderId="376" xfId="2" applyFont="1" applyFill="1" applyBorder="1">
      <alignment vertical="center"/>
    </xf>
    <xf numFmtId="195" fontId="36" fillId="5" borderId="11" xfId="2" applyNumberFormat="1" applyFont="1" applyFill="1" applyBorder="1">
      <alignment vertical="center"/>
    </xf>
    <xf numFmtId="195" fontId="36" fillId="5" borderId="437" xfId="2" applyNumberFormat="1" applyFont="1" applyFill="1" applyBorder="1">
      <alignment vertical="center"/>
    </xf>
    <xf numFmtId="41" fontId="36" fillId="6" borderId="285" xfId="2" applyFont="1" applyFill="1" applyBorder="1">
      <alignment vertical="center"/>
    </xf>
    <xf numFmtId="41" fontId="36" fillId="6" borderId="284" xfId="2" applyFont="1" applyFill="1" applyBorder="1">
      <alignment vertical="center"/>
    </xf>
    <xf numFmtId="41" fontId="36" fillId="6" borderId="862" xfId="2" applyFont="1" applyFill="1" applyBorder="1">
      <alignment vertical="center"/>
    </xf>
    <xf numFmtId="41" fontId="36" fillId="6" borderId="863" xfId="2" applyFont="1" applyFill="1" applyBorder="1">
      <alignment vertical="center"/>
    </xf>
    <xf numFmtId="41" fontId="36" fillId="13" borderId="295" xfId="2" applyFont="1" applyFill="1" applyBorder="1">
      <alignment vertical="center"/>
    </xf>
    <xf numFmtId="41" fontId="36" fillId="13" borderId="294" xfId="2" applyFont="1" applyFill="1" applyBorder="1">
      <alignment vertical="center"/>
    </xf>
    <xf numFmtId="41" fontId="36" fillId="13" borderId="864" xfId="2" applyFont="1" applyFill="1" applyBorder="1">
      <alignment vertical="center"/>
    </xf>
    <xf numFmtId="41" fontId="36" fillId="13" borderId="865" xfId="2" applyFont="1" applyFill="1" applyBorder="1">
      <alignment vertical="center"/>
    </xf>
    <xf numFmtId="41" fontId="36" fillId="5" borderId="376" xfId="2" applyFont="1" applyFill="1" applyBorder="1">
      <alignment vertical="center"/>
    </xf>
    <xf numFmtId="41" fontId="36" fillId="5" borderId="54" xfId="2" applyFont="1" applyFill="1" applyBorder="1">
      <alignment vertical="center"/>
    </xf>
    <xf numFmtId="41" fontId="36" fillId="5" borderId="30" xfId="2" applyFont="1" applyFill="1" applyBorder="1">
      <alignment vertical="center"/>
    </xf>
    <xf numFmtId="41" fontId="36" fillId="5" borderId="866" xfId="2" applyFont="1" applyFill="1" applyBorder="1">
      <alignment vertical="center"/>
    </xf>
    <xf numFmtId="41" fontId="36" fillId="5" borderId="867" xfId="2" applyFont="1" applyFill="1" applyBorder="1">
      <alignment vertical="center"/>
    </xf>
    <xf numFmtId="41" fontId="36" fillId="6" borderId="301" xfId="2" applyFont="1" applyFill="1" applyBorder="1">
      <alignment vertical="center"/>
    </xf>
    <xf numFmtId="41" fontId="36" fillId="6" borderId="300" xfId="2" applyFont="1" applyFill="1" applyBorder="1">
      <alignment vertical="center"/>
    </xf>
    <xf numFmtId="41" fontId="36" fillId="6" borderId="868" xfId="2" applyFont="1" applyFill="1" applyBorder="1">
      <alignment vertical="center"/>
    </xf>
    <xf numFmtId="41" fontId="36" fillId="6" borderId="869" xfId="2" applyFont="1" applyFill="1" applyBorder="1">
      <alignment vertical="center"/>
    </xf>
    <xf numFmtId="0" fontId="36" fillId="6" borderId="11" xfId="0" applyFont="1" applyFill="1" applyBorder="1">
      <alignment vertical="center"/>
    </xf>
    <xf numFmtId="41" fontId="36" fillId="6" borderId="0" xfId="0" applyNumberFormat="1" applyFont="1" applyFill="1" applyBorder="1">
      <alignment vertical="center"/>
    </xf>
    <xf numFmtId="0" fontId="36" fillId="6" borderId="376" xfId="0" applyFont="1" applyFill="1" applyBorder="1">
      <alignment vertical="center"/>
    </xf>
    <xf numFmtId="0" fontId="36" fillId="2" borderId="11" xfId="0" applyFont="1" applyFill="1" applyBorder="1">
      <alignment vertical="center"/>
    </xf>
    <xf numFmtId="41" fontId="36" fillId="2" borderId="0" xfId="0" applyNumberFormat="1" applyFont="1" applyFill="1" applyBorder="1">
      <alignment vertical="center"/>
    </xf>
    <xf numFmtId="0" fontId="36" fillId="0" borderId="11" xfId="0" applyFont="1" applyFill="1" applyBorder="1">
      <alignment vertical="center"/>
    </xf>
    <xf numFmtId="41" fontId="36" fillId="0" borderId="0" xfId="0" applyNumberFormat="1" applyFont="1" applyFill="1" applyBorder="1">
      <alignment vertical="center"/>
    </xf>
    <xf numFmtId="0" fontId="36" fillId="0" borderId="376" xfId="0" applyFont="1" applyFill="1" applyBorder="1">
      <alignment vertical="center"/>
    </xf>
    <xf numFmtId="0" fontId="36" fillId="0" borderId="54" xfId="0" applyFont="1" applyFill="1" applyBorder="1">
      <alignment vertical="center"/>
    </xf>
    <xf numFmtId="0" fontId="36" fillId="0" borderId="30" xfId="0" applyFont="1" applyFill="1" applyBorder="1">
      <alignment vertical="center"/>
    </xf>
    <xf numFmtId="41" fontId="36" fillId="0" borderId="866" xfId="2" applyFont="1" applyFill="1" applyBorder="1">
      <alignment vertical="center"/>
    </xf>
    <xf numFmtId="0" fontId="36" fillId="0" borderId="30" xfId="0" applyFont="1" applyBorder="1">
      <alignment vertical="center"/>
    </xf>
    <xf numFmtId="0" fontId="36" fillId="29" borderId="11" xfId="0" applyFont="1" applyFill="1" applyBorder="1">
      <alignment vertical="center"/>
    </xf>
    <xf numFmtId="0" fontId="36" fillId="29" borderId="0" xfId="0" applyFont="1" applyFill="1" applyBorder="1">
      <alignment vertical="center"/>
    </xf>
    <xf numFmtId="204" fontId="36" fillId="6" borderId="29" xfId="0" applyNumberFormat="1" applyFont="1" applyFill="1" applyBorder="1">
      <alignment vertical="center"/>
    </xf>
    <xf numFmtId="41" fontId="36" fillId="6" borderId="870" xfId="2" applyFont="1" applyFill="1" applyBorder="1">
      <alignment vertical="center"/>
    </xf>
    <xf numFmtId="41" fontId="36" fillId="6" borderId="29" xfId="0" applyNumberFormat="1" applyFont="1" applyFill="1" applyBorder="1">
      <alignment vertical="center"/>
    </xf>
    <xf numFmtId="204" fontId="36" fillId="6" borderId="871" xfId="0" applyNumberFormat="1" applyFont="1" applyFill="1" applyBorder="1">
      <alignment vertical="center"/>
    </xf>
    <xf numFmtId="204" fontId="36" fillId="8" borderId="0" xfId="0" applyNumberFormat="1" applyFont="1" applyFill="1">
      <alignment vertical="center"/>
    </xf>
    <xf numFmtId="41" fontId="36" fillId="8" borderId="0" xfId="2" applyFont="1" applyFill="1">
      <alignment vertical="center"/>
    </xf>
    <xf numFmtId="204" fontId="36" fillId="8" borderId="0" xfId="0" applyNumberFormat="1" applyFont="1" applyFill="1" applyBorder="1">
      <alignment vertical="center"/>
    </xf>
    <xf numFmtId="41" fontId="36" fillId="8" borderId="0" xfId="0" applyNumberFormat="1" applyFont="1" applyFill="1" applyBorder="1">
      <alignment vertical="center"/>
    </xf>
    <xf numFmtId="204" fontId="36" fillId="8" borderId="376" xfId="0" applyNumberFormat="1" applyFont="1" applyFill="1" applyBorder="1">
      <alignment vertical="center"/>
    </xf>
    <xf numFmtId="41" fontId="36" fillId="0" borderId="437" xfId="2" applyFont="1" applyBorder="1">
      <alignment vertical="center"/>
    </xf>
    <xf numFmtId="204" fontId="36" fillId="0" borderId="376" xfId="0" applyNumberFormat="1" applyFont="1" applyBorder="1">
      <alignment vertical="center"/>
    </xf>
    <xf numFmtId="41" fontId="36" fillId="0" borderId="430" xfId="2" applyFont="1" applyBorder="1">
      <alignment vertical="center"/>
    </xf>
    <xf numFmtId="41" fontId="36" fillId="0" borderId="431" xfId="2" applyFont="1" applyBorder="1">
      <alignment vertical="center"/>
    </xf>
    <xf numFmtId="204" fontId="36" fillId="0" borderId="431" xfId="0" applyNumberFormat="1" applyFont="1" applyBorder="1">
      <alignment vertical="center"/>
    </xf>
    <xf numFmtId="41" fontId="36" fillId="0" borderId="431" xfId="0" applyNumberFormat="1" applyFont="1" applyBorder="1">
      <alignment vertical="center"/>
    </xf>
    <xf numFmtId="204" fontId="36" fillId="0" borderId="432" xfId="0" applyNumberFormat="1" applyFont="1" applyBorder="1">
      <alignment vertical="center"/>
    </xf>
    <xf numFmtId="41" fontId="0" fillId="11" borderId="192" xfId="2" applyFont="1" applyFill="1" applyBorder="1" applyAlignment="1">
      <alignment horizontal="center" vertical="center"/>
    </xf>
    <xf numFmtId="41" fontId="0" fillId="13" borderId="242" xfId="2" applyFont="1" applyFill="1" applyBorder="1" applyAlignment="1">
      <alignment horizontal="center" vertical="center"/>
    </xf>
    <xf numFmtId="176" fontId="0" fillId="13" borderId="242" xfId="3" applyNumberFormat="1" applyFont="1" applyFill="1" applyBorder="1" applyAlignment="1">
      <alignment horizontal="center" vertical="center"/>
    </xf>
    <xf numFmtId="41" fontId="0" fillId="8" borderId="1112" xfId="2" applyFont="1" applyFill="1" applyBorder="1" applyAlignment="1">
      <alignment horizontal="center" vertical="center"/>
    </xf>
    <xf numFmtId="41" fontId="0" fillId="8" borderId="242" xfId="2" applyFont="1" applyFill="1" applyBorder="1" applyAlignment="1">
      <alignment horizontal="center" vertical="center"/>
    </xf>
    <xf numFmtId="41" fontId="0" fillId="8" borderId="244" xfId="2" applyFont="1" applyFill="1" applyBorder="1" applyAlignment="1">
      <alignment horizontal="center" vertical="center"/>
    </xf>
    <xf numFmtId="41" fontId="0" fillId="8" borderId="355" xfId="2" applyFont="1" applyFill="1" applyBorder="1" applyAlignment="1">
      <alignment horizontal="center" vertical="center"/>
    </xf>
    <xf numFmtId="41" fontId="0" fillId="0" borderId="242" xfId="2" applyFont="1" applyFill="1" applyBorder="1" applyAlignment="1">
      <alignment horizontal="center" vertical="center"/>
    </xf>
    <xf numFmtId="41" fontId="0" fillId="0" borderId="244" xfId="2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left" vertical="center"/>
    </xf>
    <xf numFmtId="41" fontId="7" fillId="5" borderId="0" xfId="2" applyFont="1" applyFill="1" applyBorder="1" applyAlignment="1">
      <alignment horizontal="center" vertical="center"/>
    </xf>
    <xf numFmtId="192" fontId="37" fillId="4" borderId="46" xfId="0" quotePrefix="1" applyNumberFormat="1" applyFont="1" applyFill="1" applyBorder="1" applyAlignment="1">
      <alignment horizontal="center" vertical="center"/>
    </xf>
    <xf numFmtId="192" fontId="37" fillId="4" borderId="459" xfId="0" quotePrefix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3" fillId="11" borderId="66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37" fillId="4" borderId="417" xfId="0" quotePrefix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43" fillId="9" borderId="181" xfId="0" applyFont="1" applyFill="1" applyBorder="1" applyAlignment="1">
      <alignment horizontal="center" vertical="center"/>
    </xf>
    <xf numFmtId="0" fontId="9" fillId="11" borderId="1136" xfId="0" applyFont="1" applyFill="1" applyBorder="1" applyAlignment="1">
      <alignment horizontal="center" vertical="center" wrapText="1"/>
    </xf>
    <xf numFmtId="0" fontId="12" fillId="0" borderId="1137" xfId="0" applyFont="1" applyBorder="1" applyAlignment="1">
      <alignment horizontal="center" vertical="center"/>
    </xf>
    <xf numFmtId="0" fontId="7" fillId="2" borderId="1137" xfId="0" applyFont="1" applyFill="1" applyBorder="1" applyAlignment="1">
      <alignment horizontal="left" vertical="center"/>
    </xf>
    <xf numFmtId="41" fontId="7" fillId="2" borderId="1137" xfId="2" applyFont="1" applyFill="1" applyBorder="1" applyAlignment="1">
      <alignment horizontal="center" vertical="center"/>
    </xf>
    <xf numFmtId="41" fontId="7" fillId="2" borderId="1138" xfId="2" applyFont="1" applyFill="1" applyBorder="1" applyAlignment="1">
      <alignment horizontal="center" vertical="center"/>
    </xf>
    <xf numFmtId="0" fontId="9" fillId="11" borderId="1139" xfId="0" applyFont="1" applyFill="1" applyBorder="1" applyAlignment="1">
      <alignment horizontal="center" vertical="center" wrapText="1"/>
    </xf>
    <xf numFmtId="0" fontId="12" fillId="0" borderId="1140" xfId="0" applyFont="1" applyBorder="1" applyAlignment="1">
      <alignment horizontal="center" vertical="center"/>
    </xf>
    <xf numFmtId="0" fontId="7" fillId="2" borderId="1140" xfId="0" applyFont="1" applyFill="1" applyBorder="1" applyAlignment="1">
      <alignment horizontal="left" vertical="center"/>
    </xf>
    <xf numFmtId="41" fontId="7" fillId="2" borderId="1140" xfId="2" applyFont="1" applyFill="1" applyBorder="1" applyAlignment="1">
      <alignment horizontal="center" vertical="center"/>
    </xf>
    <xf numFmtId="41" fontId="7" fillId="2" borderId="1141" xfId="2" applyFont="1" applyFill="1" applyBorder="1" applyAlignment="1">
      <alignment horizontal="center" vertical="center"/>
    </xf>
    <xf numFmtId="0" fontId="80" fillId="52" borderId="0" xfId="0" quotePrefix="1" applyFont="1" applyFill="1" applyBorder="1" applyAlignment="1">
      <alignment horizontal="center" vertical="center"/>
    </xf>
    <xf numFmtId="209" fontId="37" fillId="4" borderId="0" xfId="0" quotePrefix="1" applyNumberFormat="1" applyFont="1" applyFill="1" applyBorder="1" applyAlignment="1">
      <alignment horizontal="center" vertical="center"/>
    </xf>
    <xf numFmtId="176" fontId="7" fillId="2" borderId="1136" xfId="2" applyNumberFormat="1" applyFont="1" applyFill="1" applyBorder="1" applyAlignment="1">
      <alignment horizontal="center" vertical="center"/>
    </xf>
    <xf numFmtId="176" fontId="7" fillId="2" borderId="1137" xfId="2" applyNumberFormat="1" applyFont="1" applyFill="1" applyBorder="1" applyAlignment="1">
      <alignment horizontal="center" vertical="center"/>
    </xf>
    <xf numFmtId="176" fontId="7" fillId="2" borderId="1138" xfId="2" applyNumberFormat="1" applyFont="1" applyFill="1" applyBorder="1" applyAlignment="1">
      <alignment horizontal="center" vertical="center"/>
    </xf>
    <xf numFmtId="176" fontId="7" fillId="2" borderId="1139" xfId="2" applyNumberFormat="1" applyFont="1" applyFill="1" applyBorder="1" applyAlignment="1">
      <alignment horizontal="center" vertical="center"/>
    </xf>
    <xf numFmtId="176" fontId="7" fillId="2" borderId="1140" xfId="2" applyNumberFormat="1" applyFont="1" applyFill="1" applyBorder="1" applyAlignment="1">
      <alignment horizontal="center" vertical="center"/>
    </xf>
    <xf numFmtId="176" fontId="7" fillId="2" borderId="1141" xfId="2" applyNumberFormat="1" applyFont="1" applyFill="1" applyBorder="1" applyAlignment="1">
      <alignment horizontal="center" vertical="center"/>
    </xf>
    <xf numFmtId="176" fontId="31" fillId="34" borderId="1136" xfId="3" applyNumberFormat="1" applyFont="1" applyFill="1" applyBorder="1" applyAlignment="1">
      <alignment horizontal="center" vertical="center"/>
    </xf>
    <xf numFmtId="176" fontId="7" fillId="2" borderId="1137" xfId="3" applyNumberFormat="1" applyFont="1" applyFill="1" applyBorder="1" applyAlignment="1">
      <alignment horizontal="center" vertical="center"/>
    </xf>
    <xf numFmtId="176" fontId="7" fillId="2" borderId="1138" xfId="3" applyNumberFormat="1" applyFont="1" applyFill="1" applyBorder="1" applyAlignment="1">
      <alignment horizontal="center" vertical="center"/>
    </xf>
    <xf numFmtId="176" fontId="31" fillId="34" borderId="1139" xfId="3" applyNumberFormat="1" applyFont="1" applyFill="1" applyBorder="1" applyAlignment="1">
      <alignment horizontal="center" vertical="center"/>
    </xf>
    <xf numFmtId="176" fontId="7" fillId="2" borderId="1140" xfId="3" applyNumberFormat="1" applyFont="1" applyFill="1" applyBorder="1" applyAlignment="1">
      <alignment horizontal="center" vertical="center"/>
    </xf>
    <xf numFmtId="176" fontId="7" fillId="2" borderId="1141" xfId="3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left" vertical="center"/>
    </xf>
    <xf numFmtId="0" fontId="22" fillId="76" borderId="0" xfId="0" applyFont="1" applyFill="1" applyAlignment="1">
      <alignment horizontal="center" vertical="center"/>
    </xf>
    <xf numFmtId="202" fontId="0" fillId="5" borderId="0" xfId="0" applyNumberFormat="1" applyFill="1" applyBorder="1">
      <alignment vertical="center"/>
    </xf>
    <xf numFmtId="192" fontId="43" fillId="11" borderId="443" xfId="0" applyNumberFormat="1" applyFont="1" applyFill="1" applyBorder="1" applyAlignment="1">
      <alignment horizontal="center" vertical="center"/>
    </xf>
    <xf numFmtId="192" fontId="43" fillId="0" borderId="376" xfId="0" applyNumberFormat="1" applyFont="1" applyBorder="1" applyAlignment="1">
      <alignment horizontal="center" vertical="center"/>
    </xf>
    <xf numFmtId="192" fontId="36" fillId="0" borderId="376" xfId="0" applyNumberFormat="1" applyFont="1" applyBorder="1" applyAlignment="1">
      <alignment horizontal="center" vertical="center"/>
    </xf>
    <xf numFmtId="192" fontId="36" fillId="0" borderId="430" xfId="0" applyNumberFormat="1" applyFont="1" applyBorder="1" applyAlignment="1">
      <alignment horizontal="center" vertical="center"/>
    </xf>
    <xf numFmtId="192" fontId="36" fillId="0" borderId="431" xfId="0" applyNumberFormat="1" applyFont="1" applyBorder="1" applyAlignment="1">
      <alignment horizontal="center" vertical="center"/>
    </xf>
    <xf numFmtId="192" fontId="36" fillId="0" borderId="432" xfId="0" applyNumberFormat="1" applyFont="1" applyBorder="1" applyAlignment="1">
      <alignment horizontal="center" vertical="center"/>
    </xf>
    <xf numFmtId="41" fontId="43" fillId="28" borderId="376" xfId="2" quotePrefix="1" applyFont="1" applyFill="1" applyBorder="1" applyAlignment="1">
      <alignment horizontal="center" vertical="center"/>
    </xf>
    <xf numFmtId="41" fontId="36" fillId="8" borderId="443" xfId="2" applyFont="1" applyFill="1" applyBorder="1" applyAlignment="1">
      <alignment horizontal="center" vertical="center"/>
    </xf>
    <xf numFmtId="41" fontId="36" fillId="0" borderId="376" xfId="2" applyFont="1" applyBorder="1" applyAlignment="1">
      <alignment horizontal="center" vertical="center"/>
    </xf>
    <xf numFmtId="41" fontId="36" fillId="8" borderId="376" xfId="2" applyFont="1" applyFill="1" applyBorder="1" applyAlignment="1">
      <alignment horizontal="center" vertical="center"/>
    </xf>
    <xf numFmtId="41" fontId="36" fillId="14" borderId="376" xfId="2" applyFont="1" applyFill="1" applyBorder="1">
      <alignment vertical="center"/>
    </xf>
    <xf numFmtId="41" fontId="36" fillId="0" borderId="376" xfId="2" applyFont="1" applyBorder="1">
      <alignment vertical="center"/>
    </xf>
    <xf numFmtId="41" fontId="43" fillId="11" borderId="443" xfId="2" applyFont="1" applyFill="1" applyBorder="1" applyAlignment="1">
      <alignment horizontal="center" vertical="center"/>
    </xf>
    <xf numFmtId="41" fontId="43" fillId="5" borderId="376" xfId="2" applyFont="1" applyFill="1" applyBorder="1" applyAlignment="1">
      <alignment horizontal="center" vertical="center"/>
    </xf>
    <xf numFmtId="41" fontId="36" fillId="0" borderId="376" xfId="2" applyFont="1" applyFill="1" applyBorder="1" applyAlignment="1">
      <alignment horizontal="center" vertical="center"/>
    </xf>
    <xf numFmtId="41" fontId="36" fillId="13" borderId="376" xfId="2" applyFont="1" applyFill="1" applyBorder="1" applyAlignment="1">
      <alignment horizontal="center" vertical="center"/>
    </xf>
    <xf numFmtId="192" fontId="36" fillId="0" borderId="889" xfId="2" applyNumberFormat="1" applyFont="1" applyFill="1" applyBorder="1" applyAlignment="1">
      <alignment horizontal="center" vertical="center"/>
    </xf>
    <xf numFmtId="0" fontId="36" fillId="0" borderId="1145" xfId="0" applyFont="1" applyBorder="1" applyAlignment="1">
      <alignment horizontal="center" vertical="center"/>
    </xf>
    <xf numFmtId="41" fontId="108" fillId="76" borderId="0" xfId="2" applyFont="1" applyFill="1" applyBorder="1" applyAlignment="1">
      <alignment horizontal="center" vertical="center"/>
    </xf>
    <xf numFmtId="0" fontId="36" fillId="0" borderId="566" xfId="0" applyFont="1" applyBorder="1" applyAlignment="1">
      <alignment horizontal="center" vertical="center"/>
    </xf>
    <xf numFmtId="41" fontId="36" fillId="14" borderId="564" xfId="2" applyFont="1" applyFill="1" applyBorder="1">
      <alignment vertical="center"/>
    </xf>
    <xf numFmtId="41" fontId="36" fillId="14" borderId="566" xfId="2" applyFont="1" applyFill="1" applyBorder="1">
      <alignment vertical="center"/>
    </xf>
    <xf numFmtId="41" fontId="36" fillId="5" borderId="564" xfId="2" applyFont="1" applyFill="1" applyBorder="1" applyAlignment="1">
      <alignment horizontal="center" vertical="center"/>
    </xf>
    <xf numFmtId="41" fontId="36" fillId="5" borderId="564" xfId="2" applyFont="1" applyFill="1" applyBorder="1">
      <alignment vertical="center"/>
    </xf>
    <xf numFmtId="41" fontId="36" fillId="5" borderId="565" xfId="2" applyFont="1" applyFill="1" applyBorder="1" applyAlignment="1">
      <alignment horizontal="center" vertical="center"/>
    </xf>
    <xf numFmtId="41" fontId="108" fillId="55" borderId="564" xfId="2" applyFont="1" applyFill="1" applyBorder="1" applyAlignment="1">
      <alignment horizontal="center" vertical="center"/>
    </xf>
    <xf numFmtId="192" fontId="36" fillId="5" borderId="564" xfId="2" applyNumberFormat="1" applyFont="1" applyFill="1" applyBorder="1" applyAlignment="1">
      <alignment horizontal="center" vertical="center"/>
    </xf>
    <xf numFmtId="192" fontId="36" fillId="5" borderId="566" xfId="2" applyNumberFormat="1" applyFont="1" applyFill="1" applyBorder="1" applyAlignment="1">
      <alignment horizontal="center" vertical="center"/>
    </xf>
    <xf numFmtId="192" fontId="36" fillId="29" borderId="564" xfId="2" applyNumberFormat="1" applyFont="1" applyFill="1" applyBorder="1" applyAlignment="1">
      <alignment horizontal="center" vertical="center"/>
    </xf>
    <xf numFmtId="192" fontId="36" fillId="29" borderId="564" xfId="3" applyNumberFormat="1" applyFont="1" applyFill="1" applyBorder="1" applyAlignment="1">
      <alignment horizontal="center" vertical="center"/>
    </xf>
    <xf numFmtId="192" fontId="36" fillId="0" borderId="564" xfId="2" applyNumberFormat="1" applyFont="1" applyBorder="1" applyAlignment="1">
      <alignment horizontal="center" vertical="center"/>
    </xf>
    <xf numFmtId="192" fontId="36" fillId="5" borderId="1146" xfId="2" applyNumberFormat="1" applyFont="1" applyFill="1" applyBorder="1" applyAlignment="1">
      <alignment horizontal="center" vertical="center"/>
    </xf>
    <xf numFmtId="41" fontId="108" fillId="8" borderId="0" xfId="2" applyFont="1" applyFill="1" applyBorder="1" applyAlignment="1">
      <alignment horizontal="center" vertical="center"/>
    </xf>
    <xf numFmtId="0" fontId="36" fillId="4" borderId="0" xfId="0" quotePrefix="1" applyFont="1" applyFill="1" applyBorder="1" applyAlignment="1">
      <alignment horizontal="center" vertical="center"/>
    </xf>
    <xf numFmtId="0" fontId="36" fillId="5" borderId="0" xfId="0" quotePrefix="1" applyFont="1" applyFill="1" applyBorder="1" applyAlignment="1">
      <alignment horizontal="center" vertical="center"/>
    </xf>
    <xf numFmtId="0" fontId="36" fillId="5" borderId="424" xfId="0" applyFont="1" applyFill="1" applyBorder="1">
      <alignment vertical="center"/>
    </xf>
    <xf numFmtId="0" fontId="36" fillId="5" borderId="417" xfId="0" applyFont="1" applyFill="1" applyBorder="1">
      <alignment vertical="center"/>
    </xf>
    <xf numFmtId="0" fontId="36" fillId="5" borderId="417" xfId="0" quotePrefix="1" applyFont="1" applyFill="1" applyBorder="1" applyAlignment="1">
      <alignment horizontal="center" vertical="center"/>
    </xf>
    <xf numFmtId="0" fontId="47" fillId="0" borderId="417" xfId="0" quotePrefix="1" applyFont="1" applyBorder="1" applyAlignment="1">
      <alignment horizontal="right" vertical="center"/>
    </xf>
    <xf numFmtId="0" fontId="36" fillId="4" borderId="471" xfId="0" quotePrefix="1" applyFont="1" applyFill="1" applyBorder="1" applyAlignment="1">
      <alignment horizontal="center" vertical="center"/>
    </xf>
    <xf numFmtId="0" fontId="36" fillId="4" borderId="429" xfId="0" applyFont="1" applyFill="1" applyBorder="1" applyAlignment="1">
      <alignment horizontal="center" vertical="center"/>
    </xf>
    <xf numFmtId="0" fontId="36" fillId="4" borderId="429" xfId="0" quotePrefix="1" applyFont="1" applyFill="1" applyBorder="1" applyAlignment="1">
      <alignment horizontal="center" vertical="center"/>
    </xf>
    <xf numFmtId="0" fontId="36" fillId="4" borderId="472" xfId="0" quotePrefix="1" applyFont="1" applyFill="1" applyBorder="1" applyAlignment="1">
      <alignment horizontal="center" vertical="center"/>
    </xf>
    <xf numFmtId="192" fontId="37" fillId="4" borderId="471" xfId="0" quotePrefix="1" applyNumberFormat="1" applyFont="1" applyFill="1" applyBorder="1" applyAlignment="1">
      <alignment horizontal="center" vertical="center"/>
    </xf>
    <xf numFmtId="0" fontId="37" fillId="4" borderId="429" xfId="0" quotePrefix="1" applyFont="1" applyFill="1" applyBorder="1" applyAlignment="1">
      <alignment horizontal="center" vertical="center"/>
    </xf>
    <xf numFmtId="0" fontId="43" fillId="11" borderId="417" xfId="0" applyFont="1" applyFill="1" applyBorder="1" applyAlignment="1">
      <alignment horizontal="center" vertical="center"/>
    </xf>
    <xf numFmtId="192" fontId="36" fillId="11" borderId="376" xfId="0" applyNumberFormat="1" applyFont="1" applyFill="1" applyBorder="1" applyAlignment="1">
      <alignment horizontal="center" vertical="center"/>
    </xf>
    <xf numFmtId="192" fontId="36" fillId="11" borderId="591" xfId="0" applyNumberFormat="1" applyFont="1" applyFill="1" applyBorder="1" applyAlignment="1">
      <alignment horizontal="center" vertical="center"/>
    </xf>
    <xf numFmtId="192" fontId="36" fillId="11" borderId="4" xfId="0" applyNumberFormat="1" applyFont="1" applyFill="1" applyBorder="1" applyAlignment="1">
      <alignment horizontal="center" vertical="center"/>
    </xf>
    <xf numFmtId="192" fontId="36" fillId="11" borderId="44" xfId="3" applyNumberFormat="1" applyFont="1" applyFill="1" applyBorder="1" applyAlignment="1">
      <alignment horizontal="center" vertical="center"/>
    </xf>
    <xf numFmtId="192" fontId="36" fillId="0" borderId="530" xfId="0" applyNumberFormat="1" applyFont="1" applyBorder="1" applyAlignment="1">
      <alignment horizontal="center" vertical="center"/>
    </xf>
    <xf numFmtId="192" fontId="36" fillId="11" borderId="0" xfId="0" applyNumberFormat="1" applyFont="1" applyFill="1" applyAlignment="1">
      <alignment horizontal="center" vertical="center"/>
    </xf>
    <xf numFmtId="192" fontId="36" fillId="0" borderId="531" xfId="0" applyNumberFormat="1" applyFont="1" applyBorder="1" applyAlignment="1">
      <alignment horizontal="center" vertical="center"/>
    </xf>
    <xf numFmtId="0" fontId="36" fillId="11" borderId="544" xfId="0" applyFont="1" applyFill="1" applyBorder="1" applyAlignment="1">
      <alignment horizontal="center" vertical="center"/>
    </xf>
    <xf numFmtId="41" fontId="36" fillId="11" borderId="544" xfId="2" applyFont="1" applyFill="1" applyBorder="1">
      <alignment vertical="center"/>
    </xf>
    <xf numFmtId="192" fontId="36" fillId="11" borderId="592" xfId="0" applyNumberFormat="1" applyFont="1" applyFill="1" applyBorder="1" applyAlignment="1">
      <alignment horizontal="center" vertical="center"/>
    </xf>
    <xf numFmtId="192" fontId="36" fillId="11" borderId="544" xfId="0" applyNumberFormat="1" applyFont="1" applyFill="1" applyBorder="1" applyAlignment="1">
      <alignment horizontal="center" vertical="center"/>
    </xf>
    <xf numFmtId="192" fontId="36" fillId="11" borderId="545" xfId="3" applyNumberFormat="1" applyFont="1" applyFill="1" applyBorder="1" applyAlignment="1">
      <alignment horizontal="center" vertical="center"/>
    </xf>
    <xf numFmtId="0" fontId="36" fillId="5" borderId="547" xfId="0" applyFont="1" applyFill="1" applyBorder="1" applyAlignment="1">
      <alignment horizontal="center" vertical="center"/>
    </xf>
    <xf numFmtId="41" fontId="36" fillId="5" borderId="547" xfId="2" applyFont="1" applyFill="1" applyBorder="1">
      <alignment vertical="center"/>
    </xf>
    <xf numFmtId="41" fontId="36" fillId="5" borderId="888" xfId="2" applyFont="1" applyFill="1" applyBorder="1">
      <alignment vertical="center"/>
    </xf>
    <xf numFmtId="41" fontId="36" fillId="5" borderId="593" xfId="2" applyFont="1" applyFill="1" applyBorder="1">
      <alignment vertical="center"/>
    </xf>
    <xf numFmtId="192" fontId="36" fillId="5" borderId="593" xfId="2" applyNumberFormat="1" applyFont="1" applyFill="1" applyBorder="1" applyAlignment="1">
      <alignment horizontal="center" vertical="center"/>
    </xf>
    <xf numFmtId="192" fontId="36" fillId="5" borderId="547" xfId="2" applyNumberFormat="1" applyFont="1" applyFill="1" applyBorder="1">
      <alignment vertical="center"/>
    </xf>
    <xf numFmtId="192" fontId="36" fillId="5" borderId="547" xfId="2" applyNumberFormat="1" applyFont="1" applyFill="1" applyBorder="1" applyAlignment="1">
      <alignment horizontal="center" vertical="center"/>
    </xf>
    <xf numFmtId="192" fontId="36" fillId="5" borderId="547" xfId="0" applyNumberFormat="1" applyFont="1" applyFill="1" applyBorder="1" applyAlignment="1">
      <alignment horizontal="center" vertical="center"/>
    </xf>
    <xf numFmtId="192" fontId="36" fillId="5" borderId="548" xfId="3" applyNumberFormat="1" applyFont="1" applyFill="1" applyBorder="1" applyAlignment="1">
      <alignment horizontal="center" vertical="center"/>
    </xf>
    <xf numFmtId="192" fontId="36" fillId="5" borderId="437" xfId="2" applyNumberFormat="1" applyFont="1" applyFill="1" applyBorder="1" applyAlignment="1">
      <alignment horizontal="center" vertical="center"/>
    </xf>
    <xf numFmtId="192" fontId="36" fillId="5" borderId="0" xfId="2" applyNumberFormat="1" applyFont="1" applyFill="1" applyBorder="1">
      <alignment vertical="center"/>
    </xf>
    <xf numFmtId="192" fontId="36" fillId="5" borderId="44" xfId="3" applyNumberFormat="1" applyFont="1" applyFill="1" applyBorder="1" applyAlignment="1">
      <alignment horizontal="center" vertical="center"/>
    </xf>
    <xf numFmtId="192" fontId="36" fillId="5" borderId="535" xfId="2" applyNumberFormat="1" applyFont="1" applyFill="1" applyBorder="1" applyAlignment="1">
      <alignment horizontal="center" vertical="center"/>
    </xf>
    <xf numFmtId="192" fontId="36" fillId="5" borderId="536" xfId="2" applyNumberFormat="1" applyFont="1" applyFill="1" applyBorder="1" applyAlignment="1">
      <alignment horizontal="center" vertical="center"/>
    </xf>
    <xf numFmtId="192" fontId="36" fillId="5" borderId="537" xfId="2" applyNumberFormat="1" applyFont="1" applyFill="1" applyBorder="1" applyAlignment="1">
      <alignment horizontal="center" vertical="center"/>
    </xf>
    <xf numFmtId="0" fontId="36" fillId="5" borderId="544" xfId="0" applyFont="1" applyFill="1" applyBorder="1" applyAlignment="1">
      <alignment horizontal="center" vertical="center"/>
    </xf>
    <xf numFmtId="41" fontId="36" fillId="5" borderId="544" xfId="2" applyFont="1" applyFill="1" applyBorder="1">
      <alignment vertical="center"/>
    </xf>
    <xf numFmtId="41" fontId="36" fillId="5" borderId="889" xfId="2" applyFont="1" applyFill="1" applyBorder="1">
      <alignment vertical="center"/>
    </xf>
    <xf numFmtId="41" fontId="36" fillId="5" borderId="592" xfId="2" applyFont="1" applyFill="1" applyBorder="1">
      <alignment vertical="center"/>
    </xf>
    <xf numFmtId="192" fontId="36" fillId="5" borderId="592" xfId="2" applyNumberFormat="1" applyFont="1" applyFill="1" applyBorder="1" applyAlignment="1">
      <alignment horizontal="center" vertical="center"/>
    </xf>
    <xf numFmtId="192" fontId="36" fillId="5" borderId="544" xfId="2" applyNumberFormat="1" applyFont="1" applyFill="1" applyBorder="1">
      <alignment vertical="center"/>
    </xf>
    <xf numFmtId="192" fontId="36" fillId="5" borderId="544" xfId="2" applyNumberFormat="1" applyFont="1" applyFill="1" applyBorder="1" applyAlignment="1">
      <alignment horizontal="center" vertical="center"/>
    </xf>
    <xf numFmtId="192" fontId="36" fillId="5" borderId="544" xfId="0" applyNumberFormat="1" applyFont="1" applyFill="1" applyBorder="1" applyAlignment="1">
      <alignment horizontal="center" vertical="center"/>
    </xf>
    <xf numFmtId="192" fontId="36" fillId="5" borderId="545" xfId="3" applyNumberFormat="1" applyFont="1" applyFill="1" applyBorder="1" applyAlignment="1">
      <alignment horizontal="center" vertical="center"/>
    </xf>
    <xf numFmtId="192" fontId="36" fillId="5" borderId="538" xfId="2" applyNumberFormat="1" applyFont="1" applyFill="1" applyBorder="1" applyAlignment="1">
      <alignment horizontal="center" vertical="center"/>
    </xf>
    <xf numFmtId="192" fontId="36" fillId="5" borderId="539" xfId="2" applyNumberFormat="1" applyFont="1" applyFill="1" applyBorder="1" applyAlignment="1">
      <alignment horizontal="center" vertical="center"/>
    </xf>
    <xf numFmtId="192" fontId="36" fillId="5" borderId="540" xfId="2" applyNumberFormat="1" applyFont="1" applyFill="1" applyBorder="1" applyAlignment="1">
      <alignment horizontal="center" vertical="center"/>
    </xf>
    <xf numFmtId="192" fontId="36" fillId="5" borderId="376" xfId="0" applyNumberFormat="1" applyFont="1" applyFill="1" applyBorder="1" applyAlignment="1">
      <alignment horizontal="center" vertical="center"/>
    </xf>
    <xf numFmtId="192" fontId="36" fillId="5" borderId="532" xfId="2" applyNumberFormat="1" applyFont="1" applyFill="1" applyBorder="1" applyAlignment="1">
      <alignment horizontal="center" vertical="center"/>
    </xf>
    <xf numFmtId="192" fontId="36" fillId="5" borderId="533" xfId="2" applyNumberFormat="1" applyFont="1" applyFill="1" applyBorder="1" applyAlignment="1">
      <alignment horizontal="center" vertical="center"/>
    </xf>
    <xf numFmtId="192" fontId="36" fillId="5" borderId="534" xfId="2" applyNumberFormat="1" applyFont="1" applyFill="1" applyBorder="1" applyAlignment="1">
      <alignment horizontal="center" vertical="center"/>
    </xf>
    <xf numFmtId="0" fontId="36" fillId="5" borderId="431" xfId="0" applyFont="1" applyFill="1" applyBorder="1" applyAlignment="1">
      <alignment horizontal="center" vertical="center"/>
    </xf>
    <xf numFmtId="41" fontId="36" fillId="5" borderId="431" xfId="2" applyFont="1" applyFill="1" applyBorder="1">
      <alignment vertical="center"/>
    </xf>
    <xf numFmtId="192" fontId="36" fillId="5" borderId="431" xfId="2" applyNumberFormat="1" applyFont="1" applyFill="1" applyBorder="1" applyAlignment="1">
      <alignment horizontal="center" vertical="center"/>
    </xf>
    <xf numFmtId="192" fontId="36" fillId="5" borderId="431" xfId="0" applyNumberFormat="1" applyFont="1" applyFill="1" applyBorder="1" applyAlignment="1">
      <alignment horizontal="center" vertical="center"/>
    </xf>
    <xf numFmtId="192" fontId="36" fillId="5" borderId="432" xfId="0" applyNumberFormat="1" applyFont="1" applyFill="1" applyBorder="1" applyAlignment="1">
      <alignment horizontal="center" vertical="center"/>
    </xf>
    <xf numFmtId="192" fontId="36" fillId="5" borderId="430" xfId="0" applyNumberFormat="1" applyFont="1" applyFill="1" applyBorder="1" applyAlignment="1">
      <alignment horizontal="center" vertical="center"/>
    </xf>
    <xf numFmtId="192" fontId="36" fillId="5" borderId="41" xfId="3" applyNumberFormat="1" applyFont="1" applyFill="1" applyBorder="1" applyAlignment="1">
      <alignment horizontal="center" vertical="center"/>
    </xf>
    <xf numFmtId="0" fontId="36" fillId="5" borderId="470" xfId="0" applyFont="1" applyFill="1" applyBorder="1">
      <alignment vertical="center"/>
    </xf>
    <xf numFmtId="0" fontId="36" fillId="5" borderId="470" xfId="0" quotePrefix="1" applyFont="1" applyFill="1" applyBorder="1" applyAlignment="1">
      <alignment horizontal="center" vertical="center"/>
    </xf>
    <xf numFmtId="0" fontId="47" fillId="5" borderId="470" xfId="0" quotePrefix="1" applyFont="1" applyFill="1" applyBorder="1" applyAlignment="1">
      <alignment horizontal="right" vertical="center"/>
    </xf>
    <xf numFmtId="192" fontId="37" fillId="4" borderId="424" xfId="0" quotePrefix="1" applyNumberFormat="1" applyFont="1" applyFill="1" applyBorder="1" applyAlignment="1">
      <alignment horizontal="center" vertical="center"/>
    </xf>
    <xf numFmtId="0" fontId="37" fillId="4" borderId="573" xfId="0" quotePrefix="1" applyFont="1" applyFill="1" applyBorder="1" applyAlignment="1">
      <alignment horizontal="center" vertical="center"/>
    </xf>
    <xf numFmtId="0" fontId="37" fillId="4" borderId="413" xfId="0" quotePrefix="1" applyFont="1" applyFill="1" applyBorder="1" applyAlignment="1">
      <alignment horizontal="center" vertical="center"/>
    </xf>
    <xf numFmtId="0" fontId="37" fillId="14" borderId="542" xfId="0" quotePrefix="1" applyFont="1" applyFill="1" applyBorder="1" applyAlignment="1">
      <alignment horizontal="center" vertical="center"/>
    </xf>
    <xf numFmtId="192" fontId="37" fillId="5" borderId="0" xfId="0" quotePrefix="1" applyNumberFormat="1" applyFont="1" applyFill="1" applyAlignment="1">
      <alignment horizontal="center" vertical="center"/>
    </xf>
    <xf numFmtId="192" fontId="36" fillId="8" borderId="0" xfId="0" applyNumberFormat="1" applyFont="1" applyFill="1" applyAlignment="1">
      <alignment horizontal="center" vertical="center"/>
    </xf>
    <xf numFmtId="192" fontId="36" fillId="8" borderId="44" xfId="3" applyNumberFormat="1" applyFont="1" applyFill="1" applyBorder="1" applyAlignment="1">
      <alignment horizontal="center" vertical="center"/>
    </xf>
    <xf numFmtId="192" fontId="36" fillId="8" borderId="541" xfId="0" applyNumberFormat="1" applyFont="1" applyFill="1" applyBorder="1" applyAlignment="1">
      <alignment horizontal="center" vertical="center"/>
    </xf>
    <xf numFmtId="192" fontId="36" fillId="8" borderId="542" xfId="3" applyNumberFormat="1" applyFont="1" applyFill="1" applyBorder="1" applyAlignment="1">
      <alignment horizontal="center" vertical="center"/>
    </xf>
    <xf numFmtId="192" fontId="36" fillId="5" borderId="11" xfId="0" applyNumberFormat="1" applyFont="1" applyFill="1" applyBorder="1" applyAlignment="1">
      <alignment horizontal="center" vertical="center"/>
    </xf>
    <xf numFmtId="192" fontId="36" fillId="5" borderId="541" xfId="0" applyNumberFormat="1" applyFont="1" applyFill="1" applyBorder="1" applyAlignment="1">
      <alignment horizontal="center" vertical="center"/>
    </xf>
    <xf numFmtId="192" fontId="36" fillId="5" borderId="542" xfId="3" applyNumberFormat="1" applyFont="1" applyFill="1" applyBorder="1" applyAlignment="1">
      <alignment horizontal="center" vertical="center"/>
    </xf>
    <xf numFmtId="41" fontId="36" fillId="5" borderId="551" xfId="2" applyFont="1" applyFill="1" applyBorder="1" applyAlignment="1">
      <alignment horizontal="center" vertical="center"/>
    </xf>
    <xf numFmtId="192" fontId="36" fillId="5" borderId="604" xfId="0" applyNumberFormat="1" applyFont="1" applyFill="1" applyBorder="1" applyAlignment="1">
      <alignment horizontal="center" vertical="center"/>
    </xf>
    <xf numFmtId="178" fontId="36" fillId="18" borderId="0" xfId="0" applyNumberFormat="1" applyFont="1" applyFill="1">
      <alignment vertical="center"/>
    </xf>
    <xf numFmtId="178" fontId="36" fillId="0" borderId="0" xfId="0" applyNumberFormat="1" applyFont="1">
      <alignment vertical="center"/>
    </xf>
    <xf numFmtId="178" fontId="36" fillId="5" borderId="0" xfId="0" applyNumberFormat="1" applyFont="1" applyFill="1">
      <alignment vertical="center"/>
    </xf>
    <xf numFmtId="0" fontId="108" fillId="52" borderId="804" xfId="0" applyFont="1" applyFill="1" applyBorder="1" applyAlignment="1">
      <alignment horizontal="center" vertical="center"/>
    </xf>
    <xf numFmtId="192" fontId="37" fillId="4" borderId="589" xfId="0" quotePrefix="1" applyNumberFormat="1" applyFont="1" applyFill="1" applyBorder="1" applyAlignment="1">
      <alignment horizontal="center" vertical="center"/>
    </xf>
    <xf numFmtId="0" fontId="36" fillId="4" borderId="872" xfId="0" quotePrefix="1" applyFont="1" applyFill="1" applyBorder="1" applyAlignment="1">
      <alignment horizontal="center" vertical="center"/>
    </xf>
    <xf numFmtId="0" fontId="36" fillId="4" borderId="873" xfId="0" quotePrefix="1" applyFont="1" applyFill="1" applyBorder="1" applyAlignment="1">
      <alignment horizontal="center" vertical="center"/>
    </xf>
    <xf numFmtId="0" fontId="37" fillId="10" borderId="182" xfId="0" quotePrefix="1" applyFont="1" applyFill="1" applyBorder="1" applyAlignment="1">
      <alignment horizontal="center" vertical="center"/>
    </xf>
    <xf numFmtId="0" fontId="37" fillId="10" borderId="364" xfId="0" quotePrefix="1" applyFont="1" applyFill="1" applyBorder="1" applyAlignment="1">
      <alignment horizontal="center" vertical="center"/>
    </xf>
    <xf numFmtId="0" fontId="37" fillId="10" borderId="365" xfId="0" quotePrefix="1" applyFont="1" applyFill="1" applyBorder="1" applyAlignment="1">
      <alignment horizontal="center" vertical="center"/>
    </xf>
    <xf numFmtId="0" fontId="37" fillId="10" borderId="183" xfId="0" quotePrefix="1" applyFont="1" applyFill="1" applyBorder="1" applyAlignment="1">
      <alignment horizontal="center" vertical="center"/>
    </xf>
    <xf numFmtId="0" fontId="37" fillId="10" borderId="184" xfId="0" quotePrefix="1" applyFont="1" applyFill="1" applyBorder="1" applyAlignment="1">
      <alignment horizontal="center" vertical="center"/>
    </xf>
    <xf numFmtId="178" fontId="36" fillId="11" borderId="0" xfId="0" applyNumberFormat="1" applyFont="1" applyFill="1">
      <alignment vertical="center"/>
    </xf>
    <xf numFmtId="0" fontId="36" fillId="11" borderId="0" xfId="0" applyFont="1" applyFill="1">
      <alignment vertical="center"/>
    </xf>
    <xf numFmtId="178" fontId="36" fillId="57" borderId="0" xfId="0" applyNumberFormat="1" applyFont="1" applyFill="1">
      <alignment vertical="center"/>
    </xf>
    <xf numFmtId="9" fontId="36" fillId="11" borderId="171" xfId="3" applyFont="1" applyFill="1" applyBorder="1" applyAlignment="1">
      <alignment horizontal="right" vertical="center"/>
    </xf>
    <xf numFmtId="178" fontId="108" fillId="53" borderId="971" xfId="0" applyNumberFormat="1" applyFont="1" applyFill="1" applyBorder="1" applyAlignment="1">
      <alignment horizontal="right" vertical="center"/>
    </xf>
    <xf numFmtId="9" fontId="36" fillId="11" borderId="366" xfId="3" applyFont="1" applyFill="1" applyBorder="1" applyAlignment="1">
      <alignment horizontal="right" vertical="center"/>
    </xf>
    <xf numFmtId="177" fontId="108" fillId="53" borderId="976" xfId="0" applyNumberFormat="1" applyFont="1" applyFill="1" applyBorder="1" applyAlignment="1">
      <alignment horizontal="right" vertical="center"/>
    </xf>
    <xf numFmtId="179" fontId="108" fillId="53" borderId="977" xfId="0" applyNumberFormat="1" applyFont="1" applyFill="1" applyBorder="1" applyAlignment="1">
      <alignment horizontal="right" vertical="center"/>
    </xf>
    <xf numFmtId="1" fontId="36" fillId="0" borderId="66" xfId="0" applyNumberFormat="1" applyFont="1" applyBorder="1">
      <alignment vertical="center"/>
    </xf>
    <xf numFmtId="178" fontId="36" fillId="0" borderId="66" xfId="0" applyNumberFormat="1" applyFont="1" applyBorder="1">
      <alignment vertical="center"/>
    </xf>
    <xf numFmtId="178" fontId="36" fillId="0" borderId="794" xfId="0" applyNumberFormat="1" applyFont="1" applyBorder="1">
      <alignment vertical="center"/>
    </xf>
    <xf numFmtId="41" fontId="36" fillId="0" borderId="66" xfId="2" applyFont="1" applyBorder="1">
      <alignment vertical="center"/>
    </xf>
    <xf numFmtId="178" fontId="36" fillId="0" borderId="960" xfId="0" applyNumberFormat="1" applyFont="1" applyBorder="1">
      <alignment vertical="center"/>
    </xf>
    <xf numFmtId="176" fontId="36" fillId="0" borderId="172" xfId="3" applyNumberFormat="1" applyFont="1" applyFill="1" applyBorder="1">
      <alignment vertical="center"/>
    </xf>
    <xf numFmtId="178" fontId="36" fillId="0" borderId="972" xfId="0" applyNumberFormat="1" applyFont="1" applyBorder="1">
      <alignment vertical="center"/>
    </xf>
    <xf numFmtId="9" fontId="36" fillId="0" borderId="368" xfId="3" applyFont="1" applyFill="1" applyBorder="1">
      <alignment vertical="center"/>
    </xf>
    <xf numFmtId="177" fontId="36" fillId="0" borderId="960" xfId="0" applyNumberFormat="1" applyFont="1" applyBorder="1">
      <alignment vertical="center"/>
    </xf>
    <xf numFmtId="179" fontId="36" fillId="0" borderId="978" xfId="0" applyNumberFormat="1" applyFont="1" applyBorder="1">
      <alignment vertical="center"/>
    </xf>
    <xf numFmtId="178" fontId="36" fillId="13" borderId="0" xfId="0" applyNumberFormat="1" applyFont="1" applyFill="1">
      <alignment vertical="center"/>
    </xf>
    <xf numFmtId="1" fontId="36" fillId="13" borderId="0" xfId="0" applyNumberFormat="1" applyFont="1" applyFill="1" applyBorder="1">
      <alignment vertical="center"/>
    </xf>
    <xf numFmtId="178" fontId="36" fillId="13" borderId="0" xfId="0" applyNumberFormat="1" applyFont="1" applyFill="1" applyBorder="1">
      <alignment vertical="center"/>
    </xf>
    <xf numFmtId="178" fontId="36" fillId="53" borderId="0" xfId="0" applyNumberFormat="1" applyFont="1" applyFill="1">
      <alignment vertical="center"/>
    </xf>
    <xf numFmtId="41" fontId="36" fillId="13" borderId="0" xfId="2" applyFont="1" applyFill="1" applyBorder="1">
      <alignment vertical="center"/>
    </xf>
    <xf numFmtId="178" fontId="36" fillId="60" borderId="0" xfId="0" applyNumberFormat="1" applyFont="1" applyFill="1">
      <alignment vertical="center"/>
    </xf>
    <xf numFmtId="9" fontId="36" fillId="13" borderId="173" xfId="3" applyFont="1" applyFill="1" applyBorder="1">
      <alignment vertical="center"/>
    </xf>
    <xf numFmtId="178" fontId="36" fillId="60" borderId="973" xfId="0" applyNumberFormat="1" applyFont="1" applyFill="1" applyBorder="1">
      <alignment vertical="center"/>
    </xf>
    <xf numFmtId="9" fontId="36" fillId="13" borderId="370" xfId="3" applyFont="1" applyFill="1" applyBorder="1">
      <alignment vertical="center"/>
    </xf>
    <xf numFmtId="177" fontId="36" fillId="60" borderId="0" xfId="0" applyNumberFormat="1" applyFont="1" applyFill="1">
      <alignment vertical="center"/>
    </xf>
    <xf numFmtId="179" fontId="36" fillId="60" borderId="979" xfId="0" applyNumberFormat="1" applyFont="1" applyFill="1" applyBorder="1">
      <alignment vertical="center"/>
    </xf>
    <xf numFmtId="1" fontId="36" fillId="0" borderId="0" xfId="0" applyNumberFormat="1" applyFont="1" applyBorder="1">
      <alignment vertical="center"/>
    </xf>
    <xf numFmtId="178" fontId="36" fillId="0" borderId="0" xfId="0" applyNumberFormat="1" applyFont="1" applyBorder="1">
      <alignment vertical="center"/>
    </xf>
    <xf numFmtId="9" fontId="36" fillId="0" borderId="173" xfId="3" applyFont="1" applyFill="1" applyBorder="1">
      <alignment vertical="center"/>
    </xf>
    <xf numFmtId="178" fontId="36" fillId="0" borderId="973" xfId="0" applyNumberFormat="1" applyFont="1" applyBorder="1">
      <alignment vertical="center"/>
    </xf>
    <xf numFmtId="9" fontId="36" fillId="0" borderId="370" xfId="3" applyFont="1" applyFill="1" applyBorder="1">
      <alignment vertical="center"/>
    </xf>
    <xf numFmtId="177" fontId="36" fillId="0" borderId="0" xfId="0" applyNumberFormat="1" applyFont="1">
      <alignment vertical="center"/>
    </xf>
    <xf numFmtId="179" fontId="36" fillId="0" borderId="979" xfId="0" applyNumberFormat="1" applyFont="1" applyBorder="1">
      <alignment vertical="center"/>
    </xf>
    <xf numFmtId="1" fontId="36" fillId="0" borderId="0" xfId="0" applyNumberFormat="1" applyFont="1" applyFill="1" applyBorder="1">
      <alignment vertical="center"/>
    </xf>
    <xf numFmtId="178" fontId="36" fillId="0" borderId="0" xfId="0" applyNumberFormat="1" applyFont="1" applyFill="1" applyBorder="1">
      <alignment vertical="center"/>
    </xf>
    <xf numFmtId="176" fontId="36" fillId="0" borderId="173" xfId="3" applyNumberFormat="1" applyFont="1" applyFill="1" applyBorder="1">
      <alignment vertical="center"/>
    </xf>
    <xf numFmtId="0" fontId="36" fillId="13" borderId="0" xfId="0" applyFont="1" applyFill="1">
      <alignment vertical="center"/>
    </xf>
    <xf numFmtId="1" fontId="36" fillId="13" borderId="6" xfId="0" applyNumberFormat="1" applyFont="1" applyFill="1" applyBorder="1">
      <alignment vertical="center"/>
    </xf>
    <xf numFmtId="178" fontId="36" fillId="13" borderId="6" xfId="0" applyNumberFormat="1" applyFont="1" applyFill="1" applyBorder="1">
      <alignment vertical="center"/>
    </xf>
    <xf numFmtId="178" fontId="36" fillId="53" borderId="789" xfId="0" applyNumberFormat="1" applyFont="1" applyFill="1" applyBorder="1">
      <alignment vertical="center"/>
    </xf>
    <xf numFmtId="41" fontId="36" fillId="13" borderId="6" xfId="2" applyFont="1" applyFill="1" applyBorder="1">
      <alignment vertical="center"/>
    </xf>
    <xf numFmtId="178" fontId="36" fillId="60" borderId="961" xfId="0" applyNumberFormat="1" applyFont="1" applyFill="1" applyBorder="1">
      <alignment vertical="center"/>
    </xf>
    <xf numFmtId="9" fontId="36" fillId="13" borderId="197" xfId="3" applyFont="1" applyFill="1" applyBorder="1">
      <alignment vertical="center"/>
    </xf>
    <xf numFmtId="178" fontId="36" fillId="60" borderId="974" xfId="0" applyNumberFormat="1" applyFont="1" applyFill="1" applyBorder="1">
      <alignment vertical="center"/>
    </xf>
    <xf numFmtId="9" fontId="36" fillId="13" borderId="372" xfId="3" applyFont="1" applyFill="1" applyBorder="1">
      <alignment vertical="center"/>
    </xf>
    <xf numFmtId="177" fontId="36" fillId="60" borderId="961" xfId="0" applyNumberFormat="1" applyFont="1" applyFill="1" applyBorder="1">
      <alignment vertical="center"/>
    </xf>
    <xf numFmtId="179" fontId="36" fillId="60" borderId="980" xfId="0" applyNumberFormat="1" applyFont="1" applyFill="1" applyBorder="1">
      <alignment vertical="center"/>
    </xf>
    <xf numFmtId="177" fontId="108" fillId="62" borderId="981" xfId="0" applyNumberFormat="1" applyFont="1" applyFill="1" applyBorder="1">
      <alignment vertical="center"/>
    </xf>
    <xf numFmtId="178" fontId="36" fillId="8" borderId="0" xfId="0" applyNumberFormat="1" applyFont="1" applyFill="1">
      <alignment vertical="center"/>
    </xf>
    <xf numFmtId="1" fontId="36" fillId="8" borderId="0" xfId="0" applyNumberFormat="1" applyFont="1" applyFill="1" applyBorder="1">
      <alignment vertical="center"/>
    </xf>
    <xf numFmtId="178" fontId="36" fillId="8" borderId="0" xfId="0" applyNumberFormat="1" applyFont="1" applyFill="1" applyBorder="1">
      <alignment vertical="center"/>
    </xf>
    <xf numFmtId="178" fontId="36" fillId="47" borderId="0" xfId="0" applyNumberFormat="1" applyFont="1" applyFill="1">
      <alignment vertical="center"/>
    </xf>
    <xf numFmtId="9" fontId="36" fillId="8" borderId="173" xfId="3" applyFont="1" applyFill="1" applyBorder="1">
      <alignment vertical="center"/>
    </xf>
    <xf numFmtId="178" fontId="36" fillId="47" borderId="973" xfId="0" applyNumberFormat="1" applyFont="1" applyFill="1" applyBorder="1">
      <alignment vertical="center"/>
    </xf>
    <xf numFmtId="9" fontId="36" fillId="8" borderId="370" xfId="3" applyFont="1" applyFill="1" applyBorder="1">
      <alignment vertical="center"/>
    </xf>
    <xf numFmtId="177" fontId="36" fillId="47" borderId="0" xfId="0" applyNumberFormat="1" applyFont="1" applyFill="1">
      <alignment vertical="center"/>
    </xf>
    <xf numFmtId="179" fontId="36" fillId="47" borderId="979" xfId="0" applyNumberFormat="1" applyFont="1" applyFill="1" applyBorder="1">
      <alignment vertical="center"/>
    </xf>
    <xf numFmtId="178" fontId="36" fillId="60" borderId="0" xfId="0" applyNumberFormat="1" applyFont="1" applyFill="1" applyBorder="1">
      <alignment vertical="center"/>
    </xf>
    <xf numFmtId="9" fontId="36" fillId="13" borderId="1113" xfId="3" applyFont="1" applyFill="1" applyBorder="1">
      <alignment vertical="center"/>
    </xf>
    <xf numFmtId="0" fontId="43" fillId="13" borderId="213" xfId="0" applyFont="1" applyFill="1" applyBorder="1">
      <alignment vertical="center"/>
    </xf>
    <xf numFmtId="178" fontId="36" fillId="60" borderId="6" xfId="0" applyNumberFormat="1" applyFont="1" applyFill="1" applyBorder="1">
      <alignment vertical="center"/>
    </xf>
    <xf numFmtId="9" fontId="36" fillId="13" borderId="186" xfId="3" applyFont="1" applyFill="1" applyBorder="1">
      <alignment vertical="center"/>
    </xf>
    <xf numFmtId="178" fontId="36" fillId="60" borderId="975" xfId="0" applyNumberFormat="1" applyFont="1" applyFill="1" applyBorder="1">
      <alignment vertical="center"/>
    </xf>
    <xf numFmtId="9" fontId="36" fillId="13" borderId="373" xfId="3" applyFont="1" applyFill="1" applyBorder="1">
      <alignment vertical="center"/>
    </xf>
    <xf numFmtId="177" fontId="36" fillId="60" borderId="198" xfId="0" applyNumberFormat="1" applyFont="1" applyFill="1" applyBorder="1">
      <alignment vertical="center"/>
    </xf>
    <xf numFmtId="179" fontId="36" fillId="60" borderId="982" xfId="0" applyNumberFormat="1" applyFont="1" applyFill="1" applyBorder="1">
      <alignment vertical="center"/>
    </xf>
    <xf numFmtId="0" fontId="108" fillId="0" borderId="0" xfId="0" quotePrefix="1" applyFont="1">
      <alignment vertical="center"/>
    </xf>
    <xf numFmtId="41" fontId="36" fillId="0" borderId="0" xfId="2" quotePrefix="1" applyFont="1">
      <alignment vertical="center"/>
    </xf>
    <xf numFmtId="0" fontId="36" fillId="18" borderId="0" xfId="0" applyFont="1" applyFill="1">
      <alignment vertical="center"/>
    </xf>
    <xf numFmtId="178" fontId="108" fillId="18" borderId="0" xfId="0" quotePrefix="1" applyNumberFormat="1" applyFont="1" applyFill="1">
      <alignment vertical="center"/>
    </xf>
    <xf numFmtId="178" fontId="108" fillId="0" borderId="0" xfId="0" quotePrefix="1" applyNumberFormat="1" applyFont="1">
      <alignment vertical="center"/>
    </xf>
    <xf numFmtId="0" fontId="36" fillId="10" borderId="0" xfId="0" applyFont="1" applyFill="1" applyAlignment="1">
      <alignment horizontal="center" vertical="center" shrinkToFit="1"/>
    </xf>
    <xf numFmtId="0" fontId="36" fillId="18" borderId="0" xfId="0" applyFont="1" applyFill="1" applyAlignment="1">
      <alignment horizontal="center" vertical="center" shrinkToFit="1"/>
    </xf>
    <xf numFmtId="238" fontId="51" fillId="8" borderId="915" xfId="0" applyNumberFormat="1" applyFont="1" applyFill="1" applyBorder="1" applyAlignment="1">
      <alignment horizontal="center" vertical="center"/>
    </xf>
    <xf numFmtId="238" fontId="51" fillId="8" borderId="574" xfId="0" applyNumberFormat="1" applyFont="1" applyFill="1" applyBorder="1" applyAlignment="1">
      <alignment horizontal="center" vertical="center"/>
    </xf>
    <xf numFmtId="240" fontId="51" fillId="8" borderId="916" xfId="0" applyNumberFormat="1" applyFont="1" applyFill="1" applyBorder="1" applyAlignment="1">
      <alignment horizontal="center" vertical="center"/>
    </xf>
    <xf numFmtId="238" fontId="51" fillId="8" borderId="920" xfId="0" applyNumberFormat="1" applyFont="1" applyFill="1" applyBorder="1" applyAlignment="1">
      <alignment horizontal="center" vertical="center"/>
    </xf>
    <xf numFmtId="240" fontId="51" fillId="8" borderId="918" xfId="0" applyNumberFormat="1" applyFont="1" applyFill="1" applyBorder="1" applyAlignment="1">
      <alignment horizontal="center" vertical="center"/>
    </xf>
    <xf numFmtId="238" fontId="51" fillId="47" borderId="962" xfId="0" applyNumberFormat="1" applyFont="1" applyFill="1" applyBorder="1" applyAlignment="1">
      <alignment horizontal="center" vertical="center"/>
    </xf>
    <xf numFmtId="238" fontId="82" fillId="8" borderId="893" xfId="0" applyNumberFormat="1" applyFont="1" applyFill="1" applyBorder="1" applyAlignment="1">
      <alignment horizontal="center" vertical="center"/>
    </xf>
    <xf numFmtId="238" fontId="82" fillId="8" borderId="894" xfId="0" applyNumberFormat="1" applyFont="1" applyFill="1" applyBorder="1" applyAlignment="1">
      <alignment horizontal="center" vertical="center"/>
    </xf>
    <xf numFmtId="238" fontId="82" fillId="8" borderId="895" xfId="0" applyNumberFormat="1" applyFont="1" applyFill="1" applyBorder="1" applyAlignment="1">
      <alignment horizontal="center" vertical="center"/>
    </xf>
    <xf numFmtId="238" fontId="82" fillId="8" borderId="896" xfId="0" applyNumberFormat="1" applyFont="1" applyFill="1" applyBorder="1" applyAlignment="1">
      <alignment horizontal="center" vertical="center"/>
    </xf>
    <xf numFmtId="239" fontId="103" fillId="0" borderId="917" xfId="0" applyNumberFormat="1" applyFont="1" applyBorder="1" applyAlignment="1">
      <alignment horizontal="center" vertical="center"/>
    </xf>
    <xf numFmtId="239" fontId="103" fillId="0" borderId="0" xfId="0" applyNumberFormat="1" applyFont="1" applyAlignment="1">
      <alignment horizontal="center" vertical="center"/>
    </xf>
    <xf numFmtId="238" fontId="103" fillId="0" borderId="0" xfId="0" applyNumberFormat="1" applyFont="1" applyAlignment="1">
      <alignment horizontal="center" vertical="center"/>
    </xf>
    <xf numFmtId="240" fontId="103" fillId="0" borderId="0" xfId="0" applyNumberFormat="1" applyFont="1" applyAlignment="1">
      <alignment horizontal="center" vertical="center"/>
    </xf>
    <xf numFmtId="240" fontId="103" fillId="0" borderId="587" xfId="0" applyNumberFormat="1" applyFont="1" applyBorder="1" applyAlignment="1">
      <alignment horizontal="center" vertical="center"/>
    </xf>
    <xf numFmtId="239" fontId="108" fillId="0" borderId="963" xfId="0" applyNumberFormat="1" applyFont="1" applyBorder="1" applyAlignment="1">
      <alignment horizontal="center" vertical="center"/>
    </xf>
    <xf numFmtId="239" fontId="103" fillId="0" borderId="897" xfId="0" applyNumberFormat="1" applyFont="1" applyBorder="1" applyAlignment="1">
      <alignment horizontal="center" vertical="center"/>
    </xf>
    <xf numFmtId="194" fontId="36" fillId="0" borderId="0" xfId="2" applyNumberFormat="1" applyFont="1" applyAlignment="1">
      <alignment horizontal="center" vertical="center"/>
    </xf>
    <xf numFmtId="239" fontId="103" fillId="0" borderId="884" xfId="0" applyNumberFormat="1" applyFont="1" applyBorder="1" applyAlignment="1">
      <alignment horizontal="center" vertical="center"/>
    </xf>
    <xf numFmtId="239" fontId="103" fillId="0" borderId="885" xfId="0" applyNumberFormat="1" applyFont="1" applyBorder="1" applyAlignment="1">
      <alignment horizontal="center" vertical="center"/>
    </xf>
    <xf numFmtId="238" fontId="67" fillId="0" borderId="898" xfId="0" applyNumberFormat="1" applyFont="1" applyBorder="1" applyAlignment="1">
      <alignment horizontal="center" vertical="center"/>
    </xf>
    <xf numFmtId="239" fontId="103" fillId="0" borderId="899" xfId="0" applyNumberFormat="1" applyFont="1" applyBorder="1" applyAlignment="1">
      <alignment horizontal="center" vertical="center"/>
    </xf>
    <xf numFmtId="239" fontId="103" fillId="0" borderId="886" xfId="0" applyNumberFormat="1" applyFont="1" applyBorder="1" applyAlignment="1">
      <alignment horizontal="center" vertical="center"/>
    </xf>
    <xf numFmtId="239" fontId="103" fillId="0" borderId="887" xfId="0" applyNumberFormat="1" applyFont="1" applyBorder="1" applyAlignment="1">
      <alignment horizontal="center" vertical="center"/>
    </xf>
    <xf numFmtId="238" fontId="67" fillId="0" borderId="900" xfId="0" applyNumberFormat="1" applyFont="1" applyBorder="1" applyAlignment="1">
      <alignment horizontal="center" vertical="center"/>
    </xf>
    <xf numFmtId="233" fontId="51" fillId="8" borderId="933" xfId="0" applyNumberFormat="1" applyFont="1" applyFill="1" applyBorder="1" applyAlignment="1">
      <alignment horizontal="center" vertical="center"/>
    </xf>
    <xf numFmtId="233" fontId="51" fillId="8" borderId="821" xfId="0" applyNumberFormat="1" applyFont="1" applyFill="1" applyBorder="1" applyAlignment="1">
      <alignment horizontal="center" vertical="center"/>
    </xf>
    <xf numFmtId="233" fontId="51" fillId="47" borderId="964" xfId="0" applyNumberFormat="1" applyFont="1" applyFill="1" applyBorder="1" applyAlignment="1">
      <alignment horizontal="center" vertical="center"/>
    </xf>
    <xf numFmtId="233" fontId="82" fillId="8" borderId="901" xfId="0" applyNumberFormat="1" applyFont="1" applyFill="1" applyBorder="1" applyAlignment="1">
      <alignment horizontal="center" vertical="center"/>
    </xf>
    <xf numFmtId="233" fontId="82" fillId="8" borderId="877" xfId="0" applyNumberFormat="1" applyFont="1" applyFill="1" applyBorder="1" applyAlignment="1">
      <alignment horizontal="center" vertical="center"/>
    </xf>
    <xf numFmtId="233" fontId="82" fillId="8" borderId="878" xfId="0" applyNumberFormat="1" applyFont="1" applyFill="1" applyBorder="1" applyAlignment="1">
      <alignment horizontal="center" vertical="center"/>
    </xf>
    <xf numFmtId="233" fontId="82" fillId="8" borderId="902" xfId="0" applyNumberFormat="1" applyFont="1" applyFill="1" applyBorder="1" applyAlignment="1">
      <alignment horizontal="center" vertical="center"/>
    </xf>
    <xf numFmtId="0" fontId="134" fillId="8" borderId="926" xfId="0" applyFont="1" applyFill="1" applyBorder="1" applyAlignment="1">
      <alignment horizontal="center" vertical="center"/>
    </xf>
    <xf numFmtId="0" fontId="135" fillId="8" borderId="927" xfId="0" applyFont="1" applyFill="1" applyBorder="1" applyAlignment="1">
      <alignment horizontal="center" vertical="center"/>
    </xf>
    <xf numFmtId="234" fontId="61" fillId="8" borderId="928" xfId="0" applyNumberFormat="1" applyFont="1" applyFill="1" applyBorder="1" applyAlignment="1">
      <alignment horizontal="center" vertical="center"/>
    </xf>
    <xf numFmtId="234" fontId="136" fillId="47" borderId="965" xfId="0" applyNumberFormat="1" applyFont="1" applyFill="1" applyBorder="1" applyAlignment="1">
      <alignment horizontal="center" vertical="center"/>
    </xf>
    <xf numFmtId="234" fontId="61" fillId="8" borderId="903" xfId="0" applyNumberFormat="1" applyFont="1" applyFill="1" applyBorder="1" applyAlignment="1">
      <alignment horizontal="center" vertical="center"/>
    </xf>
    <xf numFmtId="234" fontId="61" fillId="8" borderId="879" xfId="0" applyNumberFormat="1" applyFont="1" applyFill="1" applyBorder="1" applyAlignment="1">
      <alignment horizontal="center" vertical="center"/>
    </xf>
    <xf numFmtId="234" fontId="61" fillId="8" borderId="880" xfId="0" applyNumberFormat="1" applyFont="1" applyFill="1" applyBorder="1" applyAlignment="1">
      <alignment horizontal="center" vertical="center"/>
    </xf>
    <xf numFmtId="234" fontId="61" fillId="8" borderId="904" xfId="0" applyNumberFormat="1" applyFont="1" applyFill="1" applyBorder="1" applyAlignment="1">
      <alignment horizontal="center" vertical="center"/>
    </xf>
    <xf numFmtId="0" fontId="103" fillId="0" borderId="925" xfId="0" applyFont="1" applyBorder="1" applyAlignment="1">
      <alignment horizontal="left" vertical="center"/>
    </xf>
    <xf numFmtId="0" fontId="137" fillId="0" borderId="919" xfId="0" applyFont="1" applyBorder="1" applyAlignment="1">
      <alignment horizontal="center" vertical="center"/>
    </xf>
    <xf numFmtId="1" fontId="103" fillId="0" borderId="917" xfId="0" applyNumberFormat="1" applyFont="1" applyBorder="1" applyAlignment="1">
      <alignment horizontal="center" vertical="center"/>
    </xf>
    <xf numFmtId="1" fontId="103" fillId="0" borderId="0" xfId="0" applyNumberFormat="1" applyFont="1" applyAlignment="1">
      <alignment horizontal="center" vertical="center"/>
    </xf>
    <xf numFmtId="178" fontId="103" fillId="0" borderId="0" xfId="0" applyNumberFormat="1" applyFont="1" applyAlignment="1">
      <alignment horizontal="center" vertical="center"/>
    </xf>
    <xf numFmtId="235" fontId="103" fillId="0" borderId="0" xfId="0" applyNumberFormat="1" applyFont="1" applyAlignment="1">
      <alignment horizontal="center" vertical="center"/>
    </xf>
    <xf numFmtId="236" fontId="108" fillId="0" borderId="963" xfId="0" applyNumberFormat="1" applyFont="1" applyBorder="1" applyAlignment="1">
      <alignment horizontal="center" vertical="center"/>
    </xf>
    <xf numFmtId="236" fontId="103" fillId="0" borderId="0" xfId="0" applyNumberFormat="1" applyFont="1" applyAlignment="1">
      <alignment horizontal="center" vertical="center"/>
    </xf>
    <xf numFmtId="236" fontId="103" fillId="0" borderId="905" xfId="0" applyNumberFormat="1" applyFont="1" applyBorder="1" applyAlignment="1">
      <alignment horizontal="center" vertical="center"/>
    </xf>
    <xf numFmtId="236" fontId="103" fillId="0" borderId="881" xfId="0" applyNumberFormat="1" applyFont="1" applyBorder="1" applyAlignment="1">
      <alignment horizontal="center" vertical="center"/>
    </xf>
    <xf numFmtId="236" fontId="103" fillId="0" borderId="882" xfId="0" applyNumberFormat="1" applyFont="1" applyBorder="1" applyAlignment="1">
      <alignment horizontal="center" vertical="center"/>
    </xf>
    <xf numFmtId="235" fontId="103" fillId="0" borderId="906" xfId="0" applyNumberFormat="1" applyFont="1" applyBorder="1" applyAlignment="1">
      <alignment horizontal="center" vertical="center"/>
    </xf>
    <xf numFmtId="0" fontId="134" fillId="0" borderId="926" xfId="0" applyFont="1" applyBorder="1" applyAlignment="1">
      <alignment horizontal="center" vertical="center"/>
    </xf>
    <xf numFmtId="0" fontId="137" fillId="0" borderId="927" xfId="0" applyFont="1" applyBorder="1" applyAlignment="1">
      <alignment horizontal="center" vertical="center"/>
    </xf>
    <xf numFmtId="234" fontId="61" fillId="0" borderId="928" xfId="0" applyNumberFormat="1" applyFont="1" applyBorder="1" applyAlignment="1">
      <alignment horizontal="center" vertical="center"/>
    </xf>
    <xf numFmtId="178" fontId="61" fillId="0" borderId="929" xfId="0" applyNumberFormat="1" applyFont="1" applyBorder="1" applyAlignment="1">
      <alignment horizontal="center" vertical="center"/>
    </xf>
    <xf numFmtId="234" fontId="136" fillId="0" borderId="965" xfId="0" applyNumberFormat="1" applyFont="1" applyBorder="1" applyAlignment="1">
      <alignment horizontal="center" vertical="center"/>
    </xf>
    <xf numFmtId="234" fontId="61" fillId="0" borderId="903" xfId="0" applyNumberFormat="1" applyFont="1" applyBorder="1" applyAlignment="1">
      <alignment horizontal="center" vertical="center"/>
    </xf>
    <xf numFmtId="234" fontId="61" fillId="0" borderId="879" xfId="0" applyNumberFormat="1" applyFont="1" applyBorder="1" applyAlignment="1">
      <alignment horizontal="center" vertical="center"/>
    </xf>
    <xf numFmtId="234" fontId="61" fillId="0" borderId="880" xfId="0" applyNumberFormat="1" applyFont="1" applyBorder="1" applyAlignment="1">
      <alignment horizontal="center" vertical="center"/>
    </xf>
    <xf numFmtId="234" fontId="61" fillId="0" borderId="904" xfId="0" applyNumberFormat="1" applyFont="1" applyBorder="1" applyAlignment="1">
      <alignment horizontal="center" vertical="center"/>
    </xf>
    <xf numFmtId="237" fontId="103" fillId="0" borderId="0" xfId="0" applyNumberFormat="1" applyFont="1" applyAlignment="1">
      <alignment horizontal="center" vertical="center"/>
    </xf>
    <xf numFmtId="237" fontId="103" fillId="0" borderId="906" xfId="0" applyNumberFormat="1" applyFont="1" applyBorder="1" applyAlignment="1">
      <alignment horizontal="center" vertical="center"/>
    </xf>
    <xf numFmtId="0" fontId="134" fillId="0" borderId="925" xfId="0" applyFont="1" applyBorder="1" applyAlignment="1">
      <alignment horizontal="center" vertical="center"/>
    </xf>
    <xf numFmtId="234" fontId="61" fillId="0" borderId="917" xfId="0" applyNumberFormat="1" applyFont="1" applyBorder="1" applyAlignment="1">
      <alignment horizontal="center" vertical="center"/>
    </xf>
    <xf numFmtId="234" fontId="61" fillId="0" borderId="0" xfId="0" applyNumberFormat="1" applyFont="1" applyAlignment="1">
      <alignment horizontal="center" vertical="center"/>
    </xf>
    <xf numFmtId="234" fontId="136" fillId="0" borderId="963" xfId="0" applyNumberFormat="1" applyFont="1" applyBorder="1" applyAlignment="1">
      <alignment horizontal="center" vertical="center"/>
    </xf>
    <xf numFmtId="0" fontId="134" fillId="8" borderId="925" xfId="0" applyFont="1" applyFill="1" applyBorder="1" applyAlignment="1">
      <alignment horizontal="center" vertical="center"/>
    </xf>
    <xf numFmtId="0" fontId="82" fillId="8" borderId="919" xfId="0" applyFont="1" applyFill="1" applyBorder="1" applyAlignment="1">
      <alignment horizontal="left" vertical="center"/>
    </xf>
    <xf numFmtId="234" fontId="73" fillId="8" borderId="917" xfId="0" applyNumberFormat="1" applyFont="1" applyFill="1" applyBorder="1" applyAlignment="1">
      <alignment horizontal="center" vertical="center"/>
    </xf>
    <xf numFmtId="234" fontId="73" fillId="8" borderId="0" xfId="0" applyNumberFormat="1" applyFont="1" applyFill="1" applyAlignment="1">
      <alignment horizontal="center" vertical="center"/>
    </xf>
    <xf numFmtId="234" fontId="138" fillId="47" borderId="963" xfId="0" applyNumberFormat="1" applyFont="1" applyFill="1" applyBorder="1" applyAlignment="1">
      <alignment horizontal="center" vertical="center"/>
    </xf>
    <xf numFmtId="234" fontId="61" fillId="8" borderId="0" xfId="0" applyNumberFormat="1" applyFont="1" applyFill="1" applyAlignment="1">
      <alignment horizontal="center" vertical="center"/>
    </xf>
    <xf numFmtId="233" fontId="51" fillId="8" borderId="0" xfId="0" applyNumberFormat="1" applyFont="1" applyFill="1" applyAlignment="1">
      <alignment horizontal="center" vertical="center"/>
    </xf>
    <xf numFmtId="233" fontId="82" fillId="8" borderId="909" xfId="0" applyNumberFormat="1" applyFont="1" applyFill="1" applyBorder="1" applyAlignment="1">
      <alignment horizontal="center" vertical="center"/>
    </xf>
    <xf numFmtId="233" fontId="82" fillId="8" borderId="910" xfId="0" applyNumberFormat="1" applyFont="1" applyFill="1" applyBorder="1" applyAlignment="1">
      <alignment horizontal="center" vertical="center"/>
    </xf>
    <xf numFmtId="0" fontId="134" fillId="5" borderId="925" xfId="0" applyFont="1" applyFill="1" applyBorder="1" applyAlignment="1">
      <alignment horizontal="center" vertical="center"/>
    </xf>
    <xf numFmtId="0" fontId="51" fillId="5" borderId="919" xfId="0" applyFont="1" applyFill="1" applyBorder="1" applyAlignment="1">
      <alignment horizontal="left" vertical="center"/>
    </xf>
    <xf numFmtId="233" fontId="51" fillId="5" borderId="917" xfId="0" applyNumberFormat="1" applyFont="1" applyFill="1" applyBorder="1" applyAlignment="1">
      <alignment horizontal="center" vertical="center"/>
    </xf>
    <xf numFmtId="233" fontId="51" fillId="5" borderId="0" xfId="0" applyNumberFormat="1" applyFont="1" applyFill="1" applyAlignment="1">
      <alignment horizontal="center" vertical="center"/>
    </xf>
    <xf numFmtId="233" fontId="51" fillId="57" borderId="963" xfId="0" applyNumberFormat="1" applyFont="1" applyFill="1" applyBorder="1" applyAlignment="1">
      <alignment horizontal="center" vertical="center"/>
    </xf>
    <xf numFmtId="233" fontId="51" fillId="18" borderId="0" xfId="0" applyNumberFormat="1" applyFont="1" applyFill="1" applyAlignment="1">
      <alignment horizontal="center" vertical="center"/>
    </xf>
    <xf numFmtId="233" fontId="82" fillId="5" borderId="909" xfId="0" applyNumberFormat="1" applyFont="1" applyFill="1" applyBorder="1" applyAlignment="1">
      <alignment horizontal="center" vertical="center"/>
    </xf>
    <xf numFmtId="233" fontId="82" fillId="5" borderId="907" xfId="0" applyNumberFormat="1" applyFont="1" applyFill="1" applyBorder="1" applyAlignment="1">
      <alignment horizontal="center" vertical="center"/>
    </xf>
    <xf numFmtId="233" fontId="82" fillId="5" borderId="908" xfId="0" applyNumberFormat="1" applyFont="1" applyFill="1" applyBorder="1" applyAlignment="1">
      <alignment horizontal="center" vertical="center"/>
    </xf>
    <xf numFmtId="233" fontId="82" fillId="5" borderId="910" xfId="0" applyNumberFormat="1" applyFont="1" applyFill="1" applyBorder="1" applyAlignment="1">
      <alignment horizontal="center" vertical="center"/>
    </xf>
    <xf numFmtId="0" fontId="134" fillId="5" borderId="926" xfId="0" applyFont="1" applyFill="1" applyBorder="1" applyAlignment="1">
      <alignment horizontal="center" vertical="center"/>
    </xf>
    <xf numFmtId="0" fontId="134" fillId="5" borderId="927" xfId="0" applyFont="1" applyFill="1" applyBorder="1" applyAlignment="1">
      <alignment horizontal="center" vertical="center"/>
    </xf>
    <xf numFmtId="234" fontId="61" fillId="5" borderId="928" xfId="0" applyNumberFormat="1" applyFont="1" applyFill="1" applyBorder="1" applyAlignment="1">
      <alignment horizontal="center" vertical="center"/>
    </xf>
    <xf numFmtId="234" fontId="136" fillId="57" borderId="965" xfId="0" applyNumberFormat="1" applyFont="1" applyFill="1" applyBorder="1" applyAlignment="1">
      <alignment horizontal="center" vertical="center"/>
    </xf>
    <xf numFmtId="234" fontId="61" fillId="18" borderId="929" xfId="0" applyNumberFormat="1" applyFont="1" applyFill="1" applyBorder="1" applyAlignment="1">
      <alignment horizontal="center" vertical="center"/>
    </xf>
    <xf numFmtId="234" fontId="61" fillId="5" borderId="903" xfId="0" applyNumberFormat="1" applyFont="1" applyFill="1" applyBorder="1" applyAlignment="1">
      <alignment horizontal="center" vertical="center"/>
    </xf>
    <xf numFmtId="234" fontId="61" fillId="5" borderId="879" xfId="0" applyNumberFormat="1" applyFont="1" applyFill="1" applyBorder="1" applyAlignment="1">
      <alignment horizontal="center" vertical="center"/>
    </xf>
    <xf numFmtId="234" fontId="61" fillId="5" borderId="880" xfId="0" applyNumberFormat="1" applyFont="1" applyFill="1" applyBorder="1" applyAlignment="1">
      <alignment horizontal="center" vertical="center"/>
    </xf>
    <xf numFmtId="234" fontId="61" fillId="5" borderId="904" xfId="0" applyNumberFormat="1" applyFont="1" applyFill="1" applyBorder="1" applyAlignment="1">
      <alignment horizontal="center" vertical="center"/>
    </xf>
    <xf numFmtId="0" fontId="67" fillId="58" borderId="925" xfId="0" applyFont="1" applyFill="1" applyBorder="1" applyAlignment="1">
      <alignment horizontal="left" vertical="center"/>
    </xf>
    <xf numFmtId="0" fontId="137" fillId="58" borderId="919" xfId="0" applyFont="1" applyFill="1" applyBorder="1" applyAlignment="1">
      <alignment horizontal="center" vertical="center"/>
    </xf>
    <xf numFmtId="1" fontId="103" fillId="58" borderId="917" xfId="0" applyNumberFormat="1" applyFont="1" applyFill="1" applyBorder="1" applyAlignment="1">
      <alignment horizontal="center" vertical="center"/>
    </xf>
    <xf numFmtId="1" fontId="103" fillId="58" borderId="0" xfId="0" applyNumberFormat="1" applyFont="1" applyFill="1" applyAlignment="1">
      <alignment horizontal="center" vertical="center"/>
    </xf>
    <xf numFmtId="178" fontId="103" fillId="58" borderId="0" xfId="0" applyNumberFormat="1" applyFont="1" applyFill="1" applyAlignment="1">
      <alignment horizontal="center" vertical="center"/>
    </xf>
    <xf numFmtId="235" fontId="103" fillId="58" borderId="0" xfId="0" applyNumberFormat="1" applyFont="1" applyFill="1" applyAlignment="1">
      <alignment horizontal="center" vertical="center"/>
    </xf>
    <xf numFmtId="1" fontId="108" fillId="61" borderId="963" xfId="0" applyNumberFormat="1" applyFont="1" applyFill="1" applyBorder="1" applyAlignment="1">
      <alignment horizontal="center" vertical="center"/>
    </xf>
    <xf numFmtId="1" fontId="108" fillId="61" borderId="1087" xfId="0" applyNumberFormat="1" applyFont="1" applyFill="1" applyBorder="1" applyAlignment="1">
      <alignment horizontal="center" vertical="center"/>
    </xf>
    <xf numFmtId="236" fontId="103" fillId="58" borderId="0" xfId="0" applyNumberFormat="1" applyFont="1" applyFill="1" applyAlignment="1">
      <alignment horizontal="center" vertical="center"/>
    </xf>
    <xf numFmtId="236" fontId="103" fillId="58" borderId="905" xfId="0" applyNumberFormat="1" applyFont="1" applyFill="1" applyBorder="1" applyAlignment="1">
      <alignment horizontal="center" vertical="center"/>
    </xf>
    <xf numFmtId="236" fontId="103" fillId="58" borderId="881" xfId="0" applyNumberFormat="1" applyFont="1" applyFill="1" applyBorder="1" applyAlignment="1">
      <alignment horizontal="center" vertical="center"/>
    </xf>
    <xf numFmtId="236" fontId="103" fillId="58" borderId="882" xfId="0" applyNumberFormat="1" applyFont="1" applyFill="1" applyBorder="1" applyAlignment="1">
      <alignment horizontal="center" vertical="center"/>
    </xf>
    <xf numFmtId="235" fontId="103" fillId="58" borderId="906" xfId="0" applyNumberFormat="1" applyFont="1" applyFill="1" applyBorder="1" applyAlignment="1">
      <alignment horizontal="center" vertical="center"/>
    </xf>
    <xf numFmtId="0" fontId="134" fillId="58" borderId="925" xfId="0" applyFont="1" applyFill="1" applyBorder="1" applyAlignment="1">
      <alignment horizontal="center" vertical="center"/>
    </xf>
    <xf numFmtId="234" fontId="73" fillId="58" borderId="917" xfId="0" applyNumberFormat="1" applyFont="1" applyFill="1" applyBorder="1" applyAlignment="1">
      <alignment horizontal="center" vertical="center"/>
    </xf>
    <xf numFmtId="234" fontId="73" fillId="58" borderId="0" xfId="0" applyNumberFormat="1" applyFont="1" applyFill="1" applyAlignment="1">
      <alignment horizontal="center" vertical="center"/>
    </xf>
    <xf numFmtId="234" fontId="138" fillId="61" borderId="963" xfId="0" applyNumberFormat="1" applyFont="1" applyFill="1" applyBorder="1" applyAlignment="1">
      <alignment horizontal="center" vertical="center"/>
    </xf>
    <xf numFmtId="234" fontId="138" fillId="61" borderId="0" xfId="0" applyNumberFormat="1" applyFont="1" applyFill="1" applyAlignment="1">
      <alignment horizontal="center" vertical="center"/>
    </xf>
    <xf numFmtId="236" fontId="103" fillId="58" borderId="909" xfId="0" applyNumberFormat="1" applyFont="1" applyFill="1" applyBorder="1" applyAlignment="1">
      <alignment horizontal="center" vertical="center"/>
    </xf>
    <xf numFmtId="236" fontId="103" fillId="58" borderId="907" xfId="0" applyNumberFormat="1" applyFont="1" applyFill="1" applyBorder="1" applyAlignment="1">
      <alignment horizontal="center" vertical="center"/>
    </xf>
    <xf numFmtId="236" fontId="103" fillId="58" borderId="908" xfId="0" applyNumberFormat="1" applyFont="1" applyFill="1" applyBorder="1" applyAlignment="1">
      <alignment horizontal="center" vertical="center"/>
    </xf>
    <xf numFmtId="235" fontId="103" fillId="58" borderId="910" xfId="0" applyNumberFormat="1" applyFont="1" applyFill="1" applyBorder="1" applyAlignment="1">
      <alignment horizontal="center" vertical="center"/>
    </xf>
    <xf numFmtId="0" fontId="51" fillId="5" borderId="919" xfId="0" applyFont="1" applyFill="1" applyBorder="1" applyAlignment="1">
      <alignment horizontal="center" vertical="center"/>
    </xf>
    <xf numFmtId="236" fontId="103" fillId="5" borderId="917" xfId="0" applyNumberFormat="1" applyFont="1" applyFill="1" applyBorder="1" applyAlignment="1">
      <alignment horizontal="center" vertical="center"/>
    </xf>
    <xf numFmtId="236" fontId="103" fillId="5" borderId="0" xfId="0" applyNumberFormat="1" applyFont="1" applyFill="1" applyAlignment="1">
      <alignment horizontal="center" vertical="center"/>
    </xf>
    <xf numFmtId="178" fontId="103" fillId="5" borderId="0" xfId="0" applyNumberFormat="1" applyFont="1" applyFill="1" applyAlignment="1">
      <alignment horizontal="center" vertical="center"/>
    </xf>
    <xf numFmtId="235" fontId="103" fillId="5" borderId="0" xfId="0" applyNumberFormat="1" applyFont="1" applyFill="1" applyAlignment="1">
      <alignment horizontal="center" vertical="center"/>
    </xf>
    <xf numFmtId="236" fontId="51" fillId="55" borderId="963" xfId="0" applyNumberFormat="1" applyFont="1" applyFill="1" applyBorder="1" applyAlignment="1">
      <alignment horizontal="center" vertical="center"/>
    </xf>
    <xf numFmtId="236" fontId="103" fillId="5" borderId="909" xfId="0" applyNumberFormat="1" applyFont="1" applyFill="1" applyBorder="1" applyAlignment="1">
      <alignment horizontal="center" vertical="center"/>
    </xf>
    <xf numFmtId="236" fontId="103" fillId="5" borderId="907" xfId="0" applyNumberFormat="1" applyFont="1" applyFill="1" applyBorder="1" applyAlignment="1">
      <alignment horizontal="center" vertical="center"/>
    </xf>
    <xf numFmtId="0" fontId="103" fillId="5" borderId="908" xfId="0" applyNumberFormat="1" applyFont="1" applyFill="1" applyBorder="1" applyAlignment="1">
      <alignment horizontal="center" vertical="center"/>
    </xf>
    <xf numFmtId="235" fontId="103" fillId="5" borderId="910" xfId="0" applyNumberFormat="1" applyFont="1" applyFill="1" applyBorder="1" applyAlignment="1">
      <alignment horizontal="center" vertical="center"/>
    </xf>
    <xf numFmtId="234" fontId="136" fillId="55" borderId="965" xfId="0" applyNumberFormat="1" applyFont="1" applyFill="1" applyBorder="1" applyAlignment="1">
      <alignment horizontal="center" vertical="center"/>
    </xf>
    <xf numFmtId="178" fontId="61" fillId="5" borderId="929" xfId="0" applyNumberFormat="1" applyFont="1" applyFill="1" applyBorder="1" applyAlignment="1">
      <alignment horizontal="center" vertical="center"/>
    </xf>
    <xf numFmtId="236" fontId="103" fillId="58" borderId="917" xfId="0" applyNumberFormat="1" applyFont="1" applyFill="1" applyBorder="1" applyAlignment="1">
      <alignment horizontal="center" vertical="center"/>
    </xf>
    <xf numFmtId="237" fontId="103" fillId="58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236" fontId="108" fillId="61" borderId="963" xfId="0" applyNumberFormat="1" applyFont="1" applyFill="1" applyBorder="1" applyAlignment="1">
      <alignment horizontal="center" vertical="center"/>
    </xf>
    <xf numFmtId="237" fontId="103" fillId="58" borderId="906" xfId="0" applyNumberFormat="1" applyFont="1" applyFill="1" applyBorder="1" applyAlignment="1">
      <alignment horizontal="center" vertical="center"/>
    </xf>
    <xf numFmtId="237" fontId="103" fillId="58" borderId="910" xfId="0" applyNumberFormat="1" applyFont="1" applyFill="1" applyBorder="1" applyAlignment="1">
      <alignment horizontal="center" vertical="center"/>
    </xf>
    <xf numFmtId="236" fontId="108" fillId="57" borderId="963" xfId="0" applyNumberFormat="1" applyFont="1" applyFill="1" applyBorder="1" applyAlignment="1">
      <alignment horizontal="center" vertical="center"/>
    </xf>
    <xf numFmtId="236" fontId="103" fillId="18" borderId="0" xfId="0" applyNumberFormat="1" applyFont="1" applyFill="1" applyAlignment="1">
      <alignment horizontal="center" vertical="center"/>
    </xf>
    <xf numFmtId="236" fontId="103" fillId="5" borderId="908" xfId="0" applyNumberFormat="1" applyFont="1" applyFill="1" applyBorder="1" applyAlignment="1">
      <alignment horizontal="center" vertical="center"/>
    </xf>
    <xf numFmtId="0" fontId="134" fillId="5" borderId="919" xfId="0" applyFont="1" applyFill="1" applyBorder="1" applyAlignment="1">
      <alignment horizontal="center" vertical="center"/>
    </xf>
    <xf numFmtId="234" fontId="61" fillId="5" borderId="917" xfId="0" applyNumberFormat="1" applyFont="1" applyFill="1" applyBorder="1" applyAlignment="1">
      <alignment horizontal="center" vertical="center"/>
    </xf>
    <xf numFmtId="234" fontId="61" fillId="5" borderId="0" xfId="0" applyNumberFormat="1" applyFont="1" applyFill="1" applyAlignment="1">
      <alignment horizontal="center" vertical="center"/>
    </xf>
    <xf numFmtId="178" fontId="61" fillId="5" borderId="0" xfId="0" applyNumberFormat="1" applyFont="1" applyFill="1" applyAlignment="1">
      <alignment horizontal="center" vertical="center"/>
    </xf>
    <xf numFmtId="234" fontId="136" fillId="57" borderId="963" xfId="0" applyNumberFormat="1" applyFont="1" applyFill="1" applyBorder="1" applyAlignment="1">
      <alignment horizontal="center" vertical="center"/>
    </xf>
    <xf numFmtId="234" fontId="61" fillId="18" borderId="0" xfId="0" applyNumberFormat="1" applyFont="1" applyFill="1" applyAlignment="1">
      <alignment horizontal="center" vertical="center"/>
    </xf>
    <xf numFmtId="234" fontId="61" fillId="5" borderId="940" xfId="0" applyNumberFormat="1" applyFont="1" applyFill="1" applyBorder="1" applyAlignment="1">
      <alignment horizontal="center" vertical="center"/>
    </xf>
    <xf numFmtId="234" fontId="61" fillId="5" borderId="913" xfId="0" applyNumberFormat="1" applyFont="1" applyFill="1" applyBorder="1" applyAlignment="1">
      <alignment horizontal="center" vertical="center"/>
    </xf>
    <xf numFmtId="234" fontId="61" fillId="5" borderId="914" xfId="0" applyNumberFormat="1" applyFont="1" applyFill="1" applyBorder="1" applyAlignment="1">
      <alignment horizontal="center" vertical="center"/>
    </xf>
    <xf numFmtId="234" fontId="61" fillId="5" borderId="941" xfId="0" applyNumberFormat="1" applyFont="1" applyFill="1" applyBorder="1" applyAlignment="1">
      <alignment horizontal="center" vertical="center"/>
    </xf>
    <xf numFmtId="0" fontId="82" fillId="58" borderId="942" xfId="0" applyFont="1" applyFill="1" applyBorder="1" applyAlignment="1">
      <alignment horizontal="left" vertical="center"/>
    </xf>
    <xf numFmtId="236" fontId="103" fillId="58" borderId="943" xfId="0" applyNumberFormat="1" applyFont="1" applyFill="1" applyBorder="1" applyAlignment="1">
      <alignment horizontal="center" vertical="center"/>
    </xf>
    <xf numFmtId="236" fontId="103" fillId="58" borderId="944" xfId="0" applyNumberFormat="1" applyFont="1" applyFill="1" applyBorder="1" applyAlignment="1">
      <alignment horizontal="center" vertical="center"/>
    </xf>
    <xf numFmtId="178" fontId="103" fillId="58" borderId="944" xfId="0" applyNumberFormat="1" applyFont="1" applyFill="1" applyBorder="1" applyAlignment="1">
      <alignment horizontal="center" vertical="center"/>
    </xf>
    <xf numFmtId="237" fontId="103" fillId="58" borderId="944" xfId="0" applyNumberFormat="1" applyFont="1" applyFill="1" applyBorder="1" applyAlignment="1">
      <alignment horizontal="center" vertical="center"/>
    </xf>
    <xf numFmtId="236" fontId="108" fillId="57" borderId="966" xfId="0" applyNumberFormat="1" applyFont="1" applyFill="1" applyBorder="1" applyAlignment="1">
      <alignment horizontal="center" vertical="center"/>
    </xf>
    <xf numFmtId="236" fontId="103" fillId="18" borderId="944" xfId="0" applyNumberFormat="1" applyFont="1" applyFill="1" applyBorder="1" applyAlignment="1">
      <alignment horizontal="center" vertical="center"/>
    </xf>
    <xf numFmtId="236" fontId="103" fillId="58" borderId="945" xfId="0" applyNumberFormat="1" applyFont="1" applyFill="1" applyBorder="1" applyAlignment="1">
      <alignment horizontal="center" vertical="center"/>
    </xf>
    <xf numFmtId="236" fontId="103" fillId="58" borderId="946" xfId="0" applyNumberFormat="1" applyFont="1" applyFill="1" applyBorder="1" applyAlignment="1">
      <alignment horizontal="center" vertical="center"/>
    </xf>
    <xf numFmtId="236" fontId="103" fillId="58" borderId="947" xfId="0" applyNumberFormat="1" applyFont="1" applyFill="1" applyBorder="1" applyAlignment="1">
      <alignment horizontal="center" vertical="center"/>
    </xf>
    <xf numFmtId="237" fontId="103" fillId="58" borderId="948" xfId="0" applyNumberFormat="1" applyFont="1" applyFill="1" applyBorder="1" applyAlignment="1">
      <alignment horizontal="center" vertical="center"/>
    </xf>
    <xf numFmtId="0" fontId="103" fillId="0" borderId="925" xfId="0" applyFont="1" applyBorder="1" applyAlignment="1">
      <alignment horizontal="right" vertical="center"/>
    </xf>
    <xf numFmtId="0" fontId="51" fillId="0" borderId="919" xfId="0" applyFont="1" applyBorder="1" applyAlignment="1">
      <alignment horizontal="center" vertical="center"/>
    </xf>
    <xf numFmtId="236" fontId="103" fillId="0" borderId="917" xfId="0" applyNumberFormat="1" applyFont="1" applyBorder="1" applyAlignment="1">
      <alignment horizontal="center" vertical="center"/>
    </xf>
    <xf numFmtId="236" fontId="108" fillId="18" borderId="963" xfId="0" applyNumberFormat="1" applyFont="1" applyFill="1" applyBorder="1" applyAlignment="1">
      <alignment horizontal="center" vertical="center"/>
    </xf>
    <xf numFmtId="236" fontId="103" fillId="0" borderId="909" xfId="0" applyNumberFormat="1" applyFont="1" applyBorder="1" applyAlignment="1">
      <alignment horizontal="center" vertical="center"/>
    </xf>
    <xf numFmtId="236" fontId="103" fillId="0" borderId="907" xfId="0" applyNumberFormat="1" applyFont="1" applyBorder="1" applyAlignment="1">
      <alignment horizontal="center" vertical="center"/>
    </xf>
    <xf numFmtId="236" fontId="103" fillId="0" borderId="908" xfId="0" applyNumberFormat="1" applyFont="1" applyBorder="1" applyAlignment="1">
      <alignment horizontal="center" vertical="center"/>
    </xf>
    <xf numFmtId="237" fontId="103" fillId="0" borderId="910" xfId="0" applyNumberFormat="1" applyFont="1" applyBorder="1" applyAlignment="1">
      <alignment horizontal="center" vertical="center"/>
    </xf>
    <xf numFmtId="0" fontId="134" fillId="0" borderId="934" xfId="0" applyFont="1" applyBorder="1" applyAlignment="1">
      <alignment horizontal="center" vertical="center"/>
    </xf>
    <xf numFmtId="236" fontId="103" fillId="0" borderId="935" xfId="0" applyNumberFormat="1" applyFont="1" applyBorder="1" applyAlignment="1">
      <alignment horizontal="center" vertical="center"/>
    </xf>
    <xf numFmtId="236" fontId="103" fillId="0" borderId="936" xfId="0" applyNumberFormat="1" applyFont="1" applyBorder="1" applyAlignment="1">
      <alignment horizontal="center" vertical="center"/>
    </xf>
    <xf numFmtId="178" fontId="103" fillId="0" borderId="936" xfId="0" applyNumberFormat="1" applyFont="1" applyBorder="1" applyAlignment="1">
      <alignment horizontal="center" vertical="center"/>
    </xf>
    <xf numFmtId="237" fontId="103" fillId="0" borderId="936" xfId="0" applyNumberFormat="1" applyFont="1" applyBorder="1" applyAlignment="1">
      <alignment horizontal="center" vertical="center"/>
    </xf>
    <xf numFmtId="244" fontId="61" fillId="5" borderId="0" xfId="0" applyNumberFormat="1" applyFont="1" applyFill="1" applyAlignment="1">
      <alignment horizontal="center" vertical="center"/>
    </xf>
    <xf numFmtId="234" fontId="139" fillId="18" borderId="967" xfId="0" applyNumberFormat="1" applyFont="1" applyFill="1" applyBorder="1" applyAlignment="1">
      <alignment horizontal="center" vertical="center"/>
    </xf>
    <xf numFmtId="234" fontId="61" fillId="18" borderId="1088" xfId="0" applyNumberFormat="1" applyFont="1" applyFill="1" applyBorder="1" applyAlignment="1">
      <alignment horizontal="center" vertical="center"/>
    </xf>
    <xf numFmtId="236" fontId="103" fillId="18" borderId="936" xfId="0" applyNumberFormat="1" applyFont="1" applyFill="1" applyBorder="1" applyAlignment="1">
      <alignment horizontal="center" vertical="center"/>
    </xf>
    <xf numFmtId="234" fontId="103" fillId="18" borderId="936" xfId="0" applyNumberFormat="1" applyFont="1" applyFill="1" applyBorder="1" applyAlignment="1">
      <alignment horizontal="center" vertical="center"/>
    </xf>
    <xf numFmtId="236" fontId="103" fillId="0" borderId="937" xfId="0" applyNumberFormat="1" applyFont="1" applyBorder="1" applyAlignment="1">
      <alignment horizontal="center" vertical="center"/>
    </xf>
    <xf numFmtId="236" fontId="103" fillId="0" borderId="938" xfId="0" applyNumberFormat="1" applyFont="1" applyBorder="1" applyAlignment="1">
      <alignment horizontal="center" vertical="center"/>
    </xf>
    <xf numFmtId="0" fontId="82" fillId="58" borderId="919" xfId="0" applyFont="1" applyFill="1" applyBorder="1" applyAlignment="1">
      <alignment horizontal="left" vertical="center"/>
    </xf>
    <xf numFmtId="236" fontId="103" fillId="58" borderId="1089" xfId="0" applyNumberFormat="1" applyFont="1" applyFill="1" applyBorder="1" applyAlignment="1">
      <alignment horizontal="center" vertical="center"/>
    </xf>
    <xf numFmtId="236" fontId="103" fillId="58" borderId="1090" xfId="0" applyNumberFormat="1" applyFont="1" applyFill="1" applyBorder="1" applyAlignment="1">
      <alignment horizontal="center" vertical="center"/>
    </xf>
    <xf numFmtId="237" fontId="103" fillId="58" borderId="1091" xfId="0" applyNumberFormat="1" applyFont="1" applyFill="1" applyBorder="1" applyAlignment="1">
      <alignment horizontal="center" vertical="center"/>
    </xf>
    <xf numFmtId="236" fontId="103" fillId="58" borderId="1091" xfId="0" applyNumberFormat="1" applyFont="1" applyFill="1" applyBorder="1" applyAlignment="1">
      <alignment horizontal="center" vertical="center"/>
    </xf>
    <xf numFmtId="236" fontId="103" fillId="0" borderId="939" xfId="0" applyNumberFormat="1" applyFont="1" applyBorder="1" applyAlignment="1">
      <alignment horizontal="center" vertical="center"/>
    </xf>
    <xf numFmtId="178" fontId="103" fillId="58" borderId="1090" xfId="0" applyNumberFormat="1" applyFont="1" applyFill="1" applyBorder="1" applyAlignment="1">
      <alignment horizontal="center" vertical="center"/>
    </xf>
    <xf numFmtId="237" fontId="103" fillId="58" borderId="1090" xfId="0" applyNumberFormat="1" applyFont="1" applyFill="1" applyBorder="1" applyAlignment="1">
      <alignment horizontal="center" vertical="center"/>
    </xf>
    <xf numFmtId="0" fontId="134" fillId="0" borderId="919" xfId="0" applyFont="1" applyBorder="1" applyAlignment="1">
      <alignment horizontal="center" vertical="center"/>
    </xf>
    <xf numFmtId="234" fontId="139" fillId="18" borderId="963" xfId="0" applyNumberFormat="1" applyFont="1" applyFill="1" applyBorder="1" applyAlignment="1">
      <alignment horizontal="center" vertical="center"/>
    </xf>
    <xf numFmtId="0" fontId="67" fillId="58" borderId="931" xfId="0" applyFont="1" applyFill="1" applyBorder="1" applyAlignment="1">
      <alignment horizontal="left" vertical="center"/>
    </xf>
    <xf numFmtId="0" fontId="137" fillId="58" borderId="932" xfId="0" applyFont="1" applyFill="1" applyBorder="1" applyAlignment="1">
      <alignment horizontal="center" vertical="center"/>
    </xf>
    <xf numFmtId="236" fontId="103" fillId="58" borderId="933" xfId="0" applyNumberFormat="1" applyFont="1" applyFill="1" applyBorder="1" applyAlignment="1">
      <alignment horizontal="center" vertical="center"/>
    </xf>
    <xf numFmtId="236" fontId="103" fillId="58" borderId="821" xfId="0" applyNumberFormat="1" applyFont="1" applyFill="1" applyBorder="1" applyAlignment="1">
      <alignment horizontal="center" vertical="center"/>
    </xf>
    <xf numFmtId="178" fontId="103" fillId="58" borderId="821" xfId="0" applyNumberFormat="1" applyFont="1" applyFill="1" applyBorder="1" applyAlignment="1">
      <alignment horizontal="center" vertical="center"/>
    </xf>
    <xf numFmtId="237" fontId="103" fillId="58" borderId="821" xfId="0" applyNumberFormat="1" applyFont="1" applyFill="1" applyBorder="1" applyAlignment="1">
      <alignment horizontal="center" vertical="center"/>
    </xf>
    <xf numFmtId="236" fontId="108" fillId="61" borderId="964" xfId="0" applyNumberFormat="1" applyFont="1" applyFill="1" applyBorder="1" applyAlignment="1">
      <alignment horizontal="center" vertical="center"/>
    </xf>
    <xf numFmtId="236" fontId="103" fillId="58" borderId="949" xfId="0" applyNumberFormat="1" applyFont="1" applyFill="1" applyBorder="1" applyAlignment="1">
      <alignment horizontal="center" vertical="center"/>
    </xf>
    <xf numFmtId="236" fontId="103" fillId="58" borderId="950" xfId="0" applyNumberFormat="1" applyFont="1" applyFill="1" applyBorder="1" applyAlignment="1">
      <alignment horizontal="center" vertical="center"/>
    </xf>
    <xf numFmtId="236" fontId="103" fillId="58" borderId="951" xfId="0" applyNumberFormat="1" applyFont="1" applyFill="1" applyBorder="1" applyAlignment="1">
      <alignment horizontal="center" vertical="center"/>
    </xf>
    <xf numFmtId="237" fontId="103" fillId="58" borderId="952" xfId="0" applyNumberFormat="1" applyFont="1" applyFill="1" applyBorder="1" applyAlignment="1">
      <alignment horizontal="center" vertical="center"/>
    </xf>
    <xf numFmtId="0" fontId="134" fillId="0" borderId="954" xfId="0" applyFont="1" applyBorder="1" applyAlignment="1">
      <alignment horizontal="center" vertical="center"/>
    </xf>
    <xf numFmtId="0" fontId="134" fillId="5" borderId="955" xfId="0" applyFont="1" applyFill="1" applyBorder="1" applyAlignment="1">
      <alignment horizontal="center" vertical="center"/>
    </xf>
    <xf numFmtId="234" fontId="61" fillId="5" borderId="921" xfId="0" applyNumberFormat="1" applyFont="1" applyFill="1" applyBorder="1" applyAlignment="1">
      <alignment horizontal="center" vertical="center"/>
    </xf>
    <xf numFmtId="178" fontId="61" fillId="5" borderId="470" xfId="0" applyNumberFormat="1" applyFont="1" applyFill="1" applyBorder="1" applyAlignment="1">
      <alignment horizontal="center" vertical="center"/>
    </xf>
    <xf numFmtId="234" fontId="136" fillId="57" borderId="968" xfId="0" applyNumberFormat="1" applyFont="1" applyFill="1" applyBorder="1" applyAlignment="1">
      <alignment horizontal="center" vertical="center"/>
    </xf>
    <xf numFmtId="234" fontId="61" fillId="18" borderId="470" xfId="0" applyNumberFormat="1" applyFont="1" applyFill="1" applyBorder="1" applyAlignment="1">
      <alignment horizontal="center" vertical="center"/>
    </xf>
    <xf numFmtId="234" fontId="36" fillId="0" borderId="0" xfId="0" quotePrefix="1" applyNumberFormat="1" applyFont="1">
      <alignment vertical="center"/>
    </xf>
    <xf numFmtId="0" fontId="37" fillId="10" borderId="419" xfId="0" quotePrefix="1" applyFont="1" applyFill="1" applyBorder="1" applyAlignment="1">
      <alignment horizontal="center" vertical="center"/>
    </xf>
    <xf numFmtId="0" fontId="43" fillId="9" borderId="139" xfId="0" applyFont="1" applyFill="1" applyBorder="1">
      <alignment vertical="center"/>
    </xf>
    <xf numFmtId="0" fontId="36" fillId="9" borderId="56" xfId="0" applyFont="1" applyFill="1" applyBorder="1">
      <alignment vertical="center"/>
    </xf>
    <xf numFmtId="178" fontId="36" fillId="9" borderId="56" xfId="0" applyNumberFormat="1" applyFont="1" applyFill="1" applyBorder="1">
      <alignment vertical="center"/>
    </xf>
    <xf numFmtId="229" fontId="36" fillId="9" borderId="56" xfId="0" applyNumberFormat="1" applyFont="1" applyFill="1" applyBorder="1">
      <alignment vertical="center"/>
    </xf>
    <xf numFmtId="178" fontId="36" fillId="9" borderId="418" xfId="0" applyNumberFormat="1" applyFont="1" applyFill="1" applyBorder="1">
      <alignment vertical="center"/>
    </xf>
    <xf numFmtId="178" fontId="36" fillId="54" borderId="805" xfId="0" applyNumberFormat="1" applyFont="1" applyFill="1" applyBorder="1">
      <alignment vertical="center"/>
    </xf>
    <xf numFmtId="178" fontId="36" fillId="54" borderId="969" xfId="0" applyNumberFormat="1" applyFont="1" applyFill="1" applyBorder="1">
      <alignment vertical="center"/>
    </xf>
    <xf numFmtId="41" fontId="36" fillId="54" borderId="983" xfId="0" applyNumberFormat="1" applyFont="1" applyFill="1" applyBorder="1">
      <alignment vertical="center"/>
    </xf>
    <xf numFmtId="199" fontId="36" fillId="9" borderId="59" xfId="0" applyNumberFormat="1" applyFont="1" applyFill="1" applyBorder="1">
      <alignment vertical="center"/>
    </xf>
    <xf numFmtId="9" fontId="36" fillId="9" borderId="59" xfId="3" applyFont="1" applyFill="1" applyBorder="1">
      <alignment vertical="center"/>
    </xf>
    <xf numFmtId="182" fontId="36" fillId="9" borderId="59" xfId="0" applyNumberFormat="1" applyFont="1" applyFill="1" applyBorder="1">
      <alignment vertical="center"/>
    </xf>
    <xf numFmtId="181" fontId="36" fillId="9" borderId="188" xfId="0" applyNumberFormat="1" applyFont="1" applyFill="1" applyBorder="1">
      <alignment vertical="center"/>
    </xf>
    <xf numFmtId="0" fontId="70" fillId="8" borderId="143" xfId="0" applyFont="1" applyFill="1" applyBorder="1" applyAlignment="1">
      <alignment horizontal="left" vertical="center"/>
    </xf>
    <xf numFmtId="178" fontId="36" fillId="8" borderId="74" xfId="0" applyNumberFormat="1" applyFont="1" applyFill="1" applyBorder="1">
      <alignment vertical="center"/>
    </xf>
    <xf numFmtId="229" fontId="36" fillId="8" borderId="74" xfId="0" applyNumberFormat="1" applyFont="1" applyFill="1" applyBorder="1">
      <alignment vertical="center"/>
    </xf>
    <xf numFmtId="41" fontId="36" fillId="8" borderId="74" xfId="2" applyFont="1" applyFill="1" applyBorder="1">
      <alignment vertical="center"/>
    </xf>
    <xf numFmtId="178" fontId="36" fillId="47" borderId="970" xfId="0" applyNumberFormat="1" applyFont="1" applyFill="1" applyBorder="1">
      <alignment vertical="center"/>
    </xf>
    <xf numFmtId="41" fontId="36" fillId="47" borderId="984" xfId="0" applyNumberFormat="1" applyFont="1" applyFill="1" applyBorder="1">
      <alignment vertical="center"/>
    </xf>
    <xf numFmtId="199" fontId="36" fillId="8" borderId="77" xfId="0" applyNumberFormat="1" applyFont="1" applyFill="1" applyBorder="1">
      <alignment vertical="center"/>
    </xf>
    <xf numFmtId="9" fontId="36" fillId="8" borderId="77" xfId="3" applyFont="1" applyFill="1" applyBorder="1">
      <alignment vertical="center"/>
    </xf>
    <xf numFmtId="182" fontId="36" fillId="8" borderId="77" xfId="0" applyNumberFormat="1" applyFont="1" applyFill="1" applyBorder="1">
      <alignment vertical="center"/>
    </xf>
    <xf numFmtId="181" fontId="36" fillId="8" borderId="189" xfId="0" applyNumberFormat="1" applyFont="1" applyFill="1" applyBorder="1">
      <alignment vertical="center"/>
    </xf>
    <xf numFmtId="0" fontId="70" fillId="8" borderId="140" xfId="0" applyFont="1" applyFill="1" applyBorder="1" applyAlignment="1">
      <alignment horizontal="left" vertical="center"/>
    </xf>
    <xf numFmtId="229" fontId="36" fillId="8" borderId="0" xfId="0" applyNumberFormat="1" applyFont="1" applyFill="1" applyBorder="1">
      <alignment vertical="center"/>
    </xf>
    <xf numFmtId="41" fontId="36" fillId="47" borderId="173" xfId="0" applyNumberFormat="1" applyFont="1" applyFill="1" applyBorder="1">
      <alignment vertical="center"/>
    </xf>
    <xf numFmtId="199" fontId="36" fillId="8" borderId="44" xfId="0" applyNumberFormat="1" applyFont="1" applyFill="1" applyBorder="1">
      <alignment vertical="center"/>
    </xf>
    <xf numFmtId="9" fontId="36" fillId="8" borderId="44" xfId="3" applyFont="1" applyFill="1" applyBorder="1">
      <alignment vertical="center"/>
    </xf>
    <xf numFmtId="182" fontId="36" fillId="8" borderId="44" xfId="0" applyNumberFormat="1" applyFont="1" applyFill="1" applyBorder="1">
      <alignment vertical="center"/>
    </xf>
    <xf numFmtId="181" fontId="36" fillId="8" borderId="185" xfId="0" applyNumberFormat="1" applyFont="1" applyFill="1" applyBorder="1">
      <alignment vertical="center"/>
    </xf>
    <xf numFmtId="0" fontId="70" fillId="8" borderId="142" xfId="0" applyFont="1" applyFill="1" applyBorder="1" applyAlignment="1">
      <alignment horizontal="left" vertical="center"/>
    </xf>
    <xf numFmtId="178" fontId="36" fillId="8" borderId="114" xfId="0" applyNumberFormat="1" applyFont="1" applyFill="1" applyBorder="1">
      <alignment vertical="center"/>
    </xf>
    <xf numFmtId="229" fontId="36" fillId="8" borderId="114" xfId="0" applyNumberFormat="1" applyFont="1" applyFill="1" applyBorder="1">
      <alignment vertical="center"/>
    </xf>
    <xf numFmtId="178" fontId="36" fillId="47" borderId="806" xfId="0" applyNumberFormat="1" applyFont="1" applyFill="1" applyBorder="1">
      <alignment vertical="center"/>
    </xf>
    <xf numFmtId="41" fontId="36" fillId="8" borderId="114" xfId="2" applyFont="1" applyFill="1" applyBorder="1">
      <alignment vertical="center"/>
    </xf>
    <xf numFmtId="41" fontId="36" fillId="47" borderId="985" xfId="0" applyNumberFormat="1" applyFont="1" applyFill="1" applyBorder="1">
      <alignment vertical="center"/>
    </xf>
    <xf numFmtId="199" fontId="36" fillId="8" borderId="118" xfId="0" applyNumberFormat="1" applyFont="1" applyFill="1" applyBorder="1">
      <alignment vertical="center"/>
    </xf>
    <xf numFmtId="9" fontId="36" fillId="8" borderId="118" xfId="3" applyFont="1" applyFill="1" applyBorder="1">
      <alignment vertical="center"/>
    </xf>
    <xf numFmtId="182" fontId="36" fillId="8" borderId="118" xfId="0" applyNumberFormat="1" applyFont="1" applyFill="1" applyBorder="1">
      <alignment vertical="center"/>
    </xf>
    <xf numFmtId="181" fontId="36" fillId="8" borderId="190" xfId="0" applyNumberFormat="1" applyFont="1" applyFill="1" applyBorder="1">
      <alignment vertical="center"/>
    </xf>
    <xf numFmtId="0" fontId="70" fillId="0" borderId="175" xfId="0" applyFont="1" applyBorder="1" applyAlignment="1">
      <alignment horizontal="left" vertical="center"/>
    </xf>
    <xf numFmtId="41" fontId="36" fillId="0" borderId="173" xfId="0" applyNumberFormat="1" applyFont="1" applyBorder="1">
      <alignment vertical="center"/>
    </xf>
    <xf numFmtId="199" fontId="36" fillId="0" borderId="44" xfId="0" applyNumberFormat="1" applyFont="1" applyBorder="1">
      <alignment vertical="center"/>
    </xf>
    <xf numFmtId="9" fontId="36" fillId="0" borderId="44" xfId="3" applyFont="1" applyFill="1" applyBorder="1">
      <alignment vertical="center"/>
    </xf>
    <xf numFmtId="182" fontId="36" fillId="0" borderId="44" xfId="0" applyNumberFormat="1" applyFont="1" applyBorder="1">
      <alignment vertical="center"/>
    </xf>
    <xf numFmtId="181" fontId="36" fillId="0" borderId="185" xfId="0" applyNumberFormat="1" applyFont="1" applyBorder="1">
      <alignment vertical="center"/>
    </xf>
    <xf numFmtId="0" fontId="70" fillId="0" borderId="144" xfId="0" applyFont="1" applyBorder="1" applyAlignment="1">
      <alignment horizontal="center" vertical="center"/>
    </xf>
    <xf numFmtId="0" fontId="70" fillId="0" borderId="178" xfId="0" applyFont="1" applyBorder="1" applyAlignment="1">
      <alignment horizontal="left" vertical="center"/>
    </xf>
    <xf numFmtId="0" fontId="36" fillId="0" borderId="61" xfId="0" applyFont="1" applyFill="1" applyBorder="1">
      <alignment vertical="center"/>
    </xf>
    <xf numFmtId="1" fontId="36" fillId="0" borderId="61" xfId="0" applyNumberFormat="1" applyFont="1" applyFill="1" applyBorder="1">
      <alignment vertical="center"/>
    </xf>
    <xf numFmtId="178" fontId="36" fillId="0" borderId="61" xfId="0" applyNumberFormat="1" applyFont="1" applyBorder="1">
      <alignment vertical="center"/>
    </xf>
    <xf numFmtId="178" fontId="36" fillId="0" borderId="61" xfId="0" applyNumberFormat="1" applyFont="1" applyFill="1" applyBorder="1">
      <alignment vertical="center"/>
    </xf>
    <xf numFmtId="41" fontId="36" fillId="0" borderId="61" xfId="2" applyFont="1" applyFill="1" applyBorder="1">
      <alignment vertical="center"/>
    </xf>
    <xf numFmtId="178" fontId="36" fillId="0" borderId="807" xfId="0" applyNumberFormat="1" applyFont="1" applyBorder="1">
      <alignment vertical="center"/>
    </xf>
    <xf numFmtId="41" fontId="36" fillId="0" borderId="986" xfId="0" applyNumberFormat="1" applyFont="1" applyBorder="1">
      <alignment vertical="center"/>
    </xf>
    <xf numFmtId="182" fontId="36" fillId="0" borderId="64" xfId="0" applyNumberFormat="1" applyFont="1" applyBorder="1">
      <alignment vertical="center"/>
    </xf>
    <xf numFmtId="181" fontId="36" fillId="0" borderId="191" xfId="0" applyNumberFormat="1" applyFont="1" applyBorder="1">
      <alignment vertical="center"/>
    </xf>
    <xf numFmtId="1" fontId="36" fillId="9" borderId="56" xfId="0" applyNumberFormat="1" applyFont="1" applyFill="1" applyBorder="1">
      <alignment vertical="center"/>
    </xf>
    <xf numFmtId="180" fontId="36" fillId="54" borderId="983" xfId="0" applyNumberFormat="1" applyFont="1" applyFill="1" applyBorder="1">
      <alignment vertical="center"/>
    </xf>
    <xf numFmtId="183" fontId="36" fillId="9" borderId="59" xfId="0" applyNumberFormat="1" applyFont="1" applyFill="1" applyBorder="1">
      <alignment vertical="center"/>
    </xf>
    <xf numFmtId="1" fontId="36" fillId="8" borderId="74" xfId="0" applyNumberFormat="1" applyFont="1" applyFill="1" applyBorder="1">
      <alignment vertical="center"/>
    </xf>
    <xf numFmtId="180" fontId="36" fillId="47" borderId="984" xfId="0" applyNumberFormat="1" applyFont="1" applyFill="1" applyBorder="1">
      <alignment vertical="center"/>
    </xf>
    <xf numFmtId="183" fontId="36" fillId="8" borderId="77" xfId="0" applyNumberFormat="1" applyFont="1" applyFill="1" applyBorder="1">
      <alignment vertical="center"/>
    </xf>
    <xf numFmtId="180" fontId="36" fillId="47" borderId="173" xfId="0" applyNumberFormat="1" applyFont="1" applyFill="1" applyBorder="1">
      <alignment vertical="center"/>
    </xf>
    <xf numFmtId="183" fontId="36" fillId="8" borderId="44" xfId="0" applyNumberFormat="1" applyFont="1" applyFill="1" applyBorder="1">
      <alignment vertical="center"/>
    </xf>
    <xf numFmtId="1" fontId="36" fillId="8" borderId="114" xfId="0" applyNumberFormat="1" applyFont="1" applyFill="1" applyBorder="1">
      <alignment vertical="center"/>
    </xf>
    <xf numFmtId="180" fontId="36" fillId="47" borderId="985" xfId="0" applyNumberFormat="1" applyFont="1" applyFill="1" applyBorder="1">
      <alignment vertical="center"/>
    </xf>
    <xf numFmtId="183" fontId="36" fillId="8" borderId="118" xfId="0" applyNumberFormat="1" applyFont="1" applyFill="1" applyBorder="1">
      <alignment vertical="center"/>
    </xf>
    <xf numFmtId="178" fontId="36" fillId="55" borderId="0" xfId="0" applyNumberFormat="1" applyFont="1" applyFill="1">
      <alignment vertical="center"/>
    </xf>
    <xf numFmtId="180" fontId="36" fillId="0" borderId="173" xfId="0" applyNumberFormat="1" applyFont="1" applyBorder="1">
      <alignment vertical="center"/>
    </xf>
    <xf numFmtId="183" fontId="36" fillId="0" borderId="44" xfId="0" applyNumberFormat="1" applyFont="1" applyBorder="1">
      <alignment vertical="center"/>
    </xf>
    <xf numFmtId="0" fontId="47" fillId="0" borderId="0" xfId="0" applyFont="1" applyFill="1" applyBorder="1">
      <alignment vertical="center"/>
    </xf>
    <xf numFmtId="1" fontId="47" fillId="0" borderId="0" xfId="0" applyNumberFormat="1" applyFont="1" applyFill="1" applyBorder="1">
      <alignment vertical="center"/>
    </xf>
    <xf numFmtId="178" fontId="47" fillId="0" borderId="0" xfId="0" applyNumberFormat="1" applyFont="1" applyFill="1" applyBorder="1">
      <alignment vertical="center"/>
    </xf>
    <xf numFmtId="199" fontId="36" fillId="38" borderId="44" xfId="0" applyNumberFormat="1" applyFont="1" applyFill="1" applyBorder="1">
      <alignment vertical="center"/>
    </xf>
    <xf numFmtId="9" fontId="36" fillId="38" borderId="44" xfId="3" applyFont="1" applyFill="1" applyBorder="1">
      <alignment vertical="center"/>
    </xf>
    <xf numFmtId="183" fontId="36" fillId="38" borderId="44" xfId="0" applyNumberFormat="1" applyFont="1" applyFill="1" applyBorder="1">
      <alignment vertical="center"/>
    </xf>
    <xf numFmtId="183" fontId="36" fillId="38" borderId="185" xfId="0" applyNumberFormat="1" applyFont="1" applyFill="1" applyBorder="1">
      <alignment vertical="center"/>
    </xf>
    <xf numFmtId="0" fontId="36" fillId="12" borderId="175" xfId="0" applyFont="1" applyFill="1" applyBorder="1">
      <alignment vertical="center"/>
    </xf>
    <xf numFmtId="0" fontId="47" fillId="12" borderId="0" xfId="0" applyFont="1" applyFill="1">
      <alignment vertical="center"/>
    </xf>
    <xf numFmtId="0" fontId="47" fillId="12" borderId="0" xfId="0" applyFont="1" applyFill="1" applyBorder="1">
      <alignment vertical="center"/>
    </xf>
    <xf numFmtId="1" fontId="47" fillId="12" borderId="0" xfId="0" applyNumberFormat="1" applyFont="1" applyFill="1" applyBorder="1">
      <alignment vertical="center"/>
    </xf>
    <xf numFmtId="178" fontId="36" fillId="12" borderId="0" xfId="0" applyNumberFormat="1" applyFont="1" applyFill="1" applyBorder="1">
      <alignment vertical="center"/>
    </xf>
    <xf numFmtId="178" fontId="36" fillId="12" borderId="0" xfId="0" applyNumberFormat="1" applyFont="1" applyFill="1">
      <alignment vertical="center"/>
    </xf>
    <xf numFmtId="178" fontId="36" fillId="56" borderId="0" xfId="0" applyNumberFormat="1" applyFont="1" applyFill="1">
      <alignment vertical="center"/>
    </xf>
    <xf numFmtId="178" fontId="47" fillId="12" borderId="0" xfId="0" applyNumberFormat="1" applyFont="1" applyFill="1" applyBorder="1">
      <alignment vertical="center"/>
    </xf>
    <xf numFmtId="41" fontId="47" fillId="12" borderId="0" xfId="2" applyFont="1" applyFill="1" applyBorder="1">
      <alignment vertical="center"/>
    </xf>
    <xf numFmtId="0" fontId="47" fillId="12" borderId="175" xfId="0" applyFont="1" applyFill="1" applyBorder="1">
      <alignment vertical="center"/>
    </xf>
    <xf numFmtId="0" fontId="36" fillId="0" borderId="175" xfId="0" applyFont="1" applyFill="1" applyBorder="1">
      <alignment vertical="center"/>
    </xf>
    <xf numFmtId="0" fontId="47" fillId="0" borderId="175" xfId="0" applyFont="1" applyFill="1" applyBorder="1">
      <alignment vertical="center"/>
    </xf>
    <xf numFmtId="180" fontId="36" fillId="56" borderId="173" xfId="0" applyNumberFormat="1" applyFont="1" applyFill="1" applyBorder="1">
      <alignment vertical="center"/>
    </xf>
    <xf numFmtId="183" fontId="36" fillId="12" borderId="44" xfId="0" applyNumberFormat="1" applyFont="1" applyFill="1" applyBorder="1">
      <alignment vertical="center"/>
    </xf>
    <xf numFmtId="183" fontId="36" fillId="12" borderId="326" xfId="0" applyNumberFormat="1" applyFont="1" applyFill="1" applyBorder="1">
      <alignment vertical="center"/>
    </xf>
    <xf numFmtId="0" fontId="47" fillId="0" borderId="144" xfId="0" applyFont="1" applyBorder="1">
      <alignment vertical="center"/>
    </xf>
    <xf numFmtId="0" fontId="47" fillId="12" borderId="178" xfId="0" applyFont="1" applyFill="1" applyBorder="1">
      <alignment vertical="center"/>
    </xf>
    <xf numFmtId="0" fontId="47" fillId="12" borderId="61" xfId="0" applyFont="1" applyFill="1" applyBorder="1">
      <alignment vertical="center"/>
    </xf>
    <xf numFmtId="1" fontId="47" fillId="12" borderId="61" xfId="0" applyNumberFormat="1" applyFont="1" applyFill="1" applyBorder="1">
      <alignment vertical="center"/>
    </xf>
    <xf numFmtId="178" fontId="36" fillId="12" borderId="61" xfId="0" applyNumberFormat="1" applyFont="1" applyFill="1" applyBorder="1">
      <alignment vertical="center"/>
    </xf>
    <xf numFmtId="178" fontId="36" fillId="56" borderId="807" xfId="0" applyNumberFormat="1" applyFont="1" applyFill="1" applyBorder="1">
      <alignment vertical="center"/>
    </xf>
    <xf numFmtId="178" fontId="47" fillId="12" borderId="61" xfId="0" applyNumberFormat="1" applyFont="1" applyFill="1" applyBorder="1">
      <alignment vertical="center"/>
    </xf>
    <xf numFmtId="41" fontId="47" fillId="12" borderId="61" xfId="2" applyFont="1" applyFill="1" applyBorder="1">
      <alignment vertical="center"/>
    </xf>
    <xf numFmtId="180" fontId="36" fillId="56" borderId="186" xfId="0" applyNumberFormat="1" applyFont="1" applyFill="1" applyBorder="1">
      <alignment vertical="center"/>
    </xf>
    <xf numFmtId="199" fontId="36" fillId="38" borderId="672" xfId="0" applyNumberFormat="1" applyFont="1" applyFill="1" applyBorder="1">
      <alignment vertical="center"/>
    </xf>
    <xf numFmtId="9" fontId="36" fillId="38" borderId="672" xfId="3" applyFont="1" applyFill="1" applyBorder="1">
      <alignment vertical="center"/>
    </xf>
    <xf numFmtId="183" fontId="36" fillId="38" borderId="672" xfId="0" applyNumberFormat="1" applyFont="1" applyFill="1" applyBorder="1">
      <alignment vertical="center"/>
    </xf>
    <xf numFmtId="183" fontId="36" fillId="38" borderId="187" xfId="0" applyNumberFormat="1" applyFont="1" applyFill="1" applyBorder="1">
      <alignment vertical="center"/>
    </xf>
    <xf numFmtId="41" fontId="36" fillId="11" borderId="305" xfId="2" applyFont="1" applyFill="1" applyBorder="1" applyAlignment="1">
      <alignment horizontal="center" vertical="center"/>
    </xf>
    <xf numFmtId="41" fontId="36" fillId="11" borderId="4" xfId="2" applyFont="1" applyFill="1" applyBorder="1" applyAlignment="1">
      <alignment horizontal="center" vertical="center"/>
    </xf>
    <xf numFmtId="41" fontId="36" fillId="11" borderId="209" xfId="2" applyFont="1" applyFill="1" applyBorder="1" applyAlignment="1">
      <alignment horizontal="center" vertical="center"/>
    </xf>
    <xf numFmtId="41" fontId="36" fillId="11" borderId="192" xfId="2" applyFont="1" applyFill="1" applyBorder="1" applyAlignment="1">
      <alignment horizontal="center" vertical="center"/>
    </xf>
    <xf numFmtId="41" fontId="36" fillId="13" borderId="306" xfId="2" applyFont="1" applyFill="1" applyBorder="1" applyAlignment="1">
      <alignment horizontal="center" vertical="center"/>
    </xf>
    <xf numFmtId="41" fontId="36" fillId="13" borderId="210" xfId="2" applyFont="1" applyFill="1" applyBorder="1" applyAlignment="1">
      <alignment horizontal="center" vertical="center"/>
    </xf>
    <xf numFmtId="41" fontId="36" fillId="13" borderId="242" xfId="2" applyFont="1" applyFill="1" applyBorder="1" applyAlignment="1">
      <alignment horizontal="center" vertical="center"/>
    </xf>
    <xf numFmtId="41" fontId="36" fillId="8" borderId="307" xfId="2" applyFont="1" applyFill="1" applyBorder="1" applyAlignment="1">
      <alignment horizontal="center" vertical="center"/>
    </xf>
    <xf numFmtId="41" fontId="36" fillId="8" borderId="211" xfId="2" applyFont="1" applyFill="1" applyBorder="1" applyAlignment="1">
      <alignment horizontal="center" vertical="center"/>
    </xf>
    <xf numFmtId="41" fontId="36" fillId="8" borderId="1112" xfId="2" applyFont="1" applyFill="1" applyBorder="1" applyAlignment="1">
      <alignment horizontal="center" vertical="center"/>
    </xf>
    <xf numFmtId="41" fontId="36" fillId="8" borderId="306" xfId="2" applyFont="1" applyFill="1" applyBorder="1" applyAlignment="1">
      <alignment horizontal="center" vertical="center"/>
    </xf>
    <xf numFmtId="41" fontId="36" fillId="8" borderId="210" xfId="2" applyFont="1" applyFill="1" applyBorder="1" applyAlignment="1">
      <alignment horizontal="center" vertical="center"/>
    </xf>
    <xf numFmtId="41" fontId="36" fillId="8" borderId="242" xfId="2" applyFont="1" applyFill="1" applyBorder="1" applyAlignment="1">
      <alignment horizontal="center" vertical="center"/>
    </xf>
    <xf numFmtId="41" fontId="36" fillId="8" borderId="308" xfId="2" applyFont="1" applyFill="1" applyBorder="1" applyAlignment="1">
      <alignment horizontal="center" vertical="center"/>
    </xf>
    <xf numFmtId="41" fontId="36" fillId="8" borderId="35" xfId="2" applyFont="1" applyFill="1" applyBorder="1" applyAlignment="1">
      <alignment horizontal="center" vertical="center"/>
    </xf>
    <xf numFmtId="41" fontId="36" fillId="8" borderId="212" xfId="2" applyFont="1" applyFill="1" applyBorder="1" applyAlignment="1">
      <alignment horizontal="center" vertical="center"/>
    </xf>
    <xf numFmtId="41" fontId="36" fillId="8" borderId="256" xfId="2" applyFont="1" applyFill="1" applyBorder="1" applyAlignment="1">
      <alignment horizontal="center" vertical="center"/>
    </xf>
    <xf numFmtId="0" fontId="70" fillId="0" borderId="314" xfId="0" applyFont="1" applyBorder="1" applyAlignment="1">
      <alignment horizontal="center" vertical="center"/>
    </xf>
    <xf numFmtId="41" fontId="70" fillId="0" borderId="307" xfId="2" applyFont="1" applyBorder="1" applyAlignment="1">
      <alignment horizontal="center" vertical="center"/>
    </xf>
    <xf numFmtId="41" fontId="70" fillId="0" borderId="66" xfId="2" applyFont="1" applyBorder="1" applyAlignment="1">
      <alignment horizontal="center" vertical="center"/>
    </xf>
    <xf numFmtId="41" fontId="70" fillId="0" borderId="211" xfId="2" applyFont="1" applyBorder="1" applyAlignment="1">
      <alignment horizontal="center" vertical="center"/>
    </xf>
    <xf numFmtId="41" fontId="70" fillId="0" borderId="1112" xfId="2" applyFont="1" applyBorder="1" applyAlignment="1">
      <alignment horizontal="center" vertical="center"/>
    </xf>
    <xf numFmtId="0" fontId="70" fillId="0" borderId="315" xfId="0" applyFont="1" applyBorder="1" applyAlignment="1">
      <alignment horizontal="center" vertical="center"/>
    </xf>
    <xf numFmtId="41" fontId="70" fillId="0" borderId="306" xfId="2" applyFont="1" applyBorder="1" applyAlignment="1">
      <alignment horizontal="center" vertical="center"/>
    </xf>
    <xf numFmtId="41" fontId="70" fillId="0" borderId="0" xfId="2" applyFont="1" applyBorder="1" applyAlignment="1">
      <alignment horizontal="center" vertical="center"/>
    </xf>
    <xf numFmtId="41" fontId="70" fillId="0" borderId="210" xfId="2" applyFont="1" applyBorder="1" applyAlignment="1">
      <alignment horizontal="center" vertical="center"/>
    </xf>
    <xf numFmtId="41" fontId="70" fillId="0" borderId="242" xfId="2" applyFont="1" applyBorder="1" applyAlignment="1">
      <alignment horizontal="center" vertical="center"/>
    </xf>
    <xf numFmtId="0" fontId="70" fillId="2" borderId="315" xfId="0" applyFont="1" applyFill="1" applyBorder="1" applyAlignment="1">
      <alignment horizontal="center" vertical="center"/>
    </xf>
    <xf numFmtId="41" fontId="70" fillId="2" borderId="306" xfId="2" applyFont="1" applyFill="1" applyBorder="1" applyAlignment="1">
      <alignment horizontal="center" vertical="center"/>
    </xf>
    <xf numFmtId="41" fontId="70" fillId="2" borderId="0" xfId="2" applyFont="1" applyFill="1" applyBorder="1" applyAlignment="1">
      <alignment horizontal="center" vertical="center"/>
    </xf>
    <xf numFmtId="41" fontId="70" fillId="2" borderId="210" xfId="2" applyFont="1" applyFill="1" applyBorder="1" applyAlignment="1">
      <alignment horizontal="center" vertical="center"/>
    </xf>
    <xf numFmtId="41" fontId="70" fillId="2" borderId="242" xfId="2" applyFont="1" applyFill="1" applyBorder="1" applyAlignment="1">
      <alignment horizontal="center" vertical="center"/>
    </xf>
    <xf numFmtId="0" fontId="74" fillId="0" borderId="213" xfId="0" applyFont="1" applyBorder="1" applyAlignment="1">
      <alignment horizontal="center" vertical="center"/>
    </xf>
    <xf numFmtId="0" fontId="70" fillId="0" borderId="316" xfId="0" applyFont="1" applyBorder="1" applyAlignment="1">
      <alignment horizontal="center" vertical="center"/>
    </xf>
    <xf numFmtId="41" fontId="70" fillId="0" borderId="309" xfId="2" applyFont="1" applyBorder="1" applyAlignment="1">
      <alignment horizontal="center" vertical="center"/>
    </xf>
    <xf numFmtId="41" fontId="70" fillId="0" borderId="6" xfId="2" applyFont="1" applyBorder="1" applyAlignment="1">
      <alignment horizontal="center" vertical="center"/>
    </xf>
    <xf numFmtId="41" fontId="70" fillId="0" borderId="215" xfId="2" applyFont="1" applyBorder="1" applyAlignment="1">
      <alignment horizontal="center" vertical="center"/>
    </xf>
    <xf numFmtId="41" fontId="70" fillId="0" borderId="244" xfId="2" applyFont="1" applyBorder="1" applyAlignment="1">
      <alignment horizontal="center" vertical="center"/>
    </xf>
    <xf numFmtId="41" fontId="70" fillId="0" borderId="311" xfId="2" applyFont="1" applyBorder="1" applyAlignment="1">
      <alignment horizontal="center" vertical="center"/>
    </xf>
    <xf numFmtId="41" fontId="70" fillId="0" borderId="238" xfId="2" applyFont="1" applyBorder="1" applyAlignment="1">
      <alignment horizontal="center" vertical="center"/>
    </xf>
    <xf numFmtId="41" fontId="70" fillId="2" borderId="238" xfId="2" applyFont="1" applyFill="1" applyBorder="1" applyAlignment="1">
      <alignment horizontal="center" vertical="center"/>
    </xf>
    <xf numFmtId="41" fontId="70" fillId="0" borderId="313" xfId="2" applyFont="1" applyBorder="1" applyAlignment="1">
      <alignment horizontal="center" vertical="center"/>
    </xf>
    <xf numFmtId="192" fontId="36" fillId="11" borderId="305" xfId="2" applyNumberFormat="1" applyFont="1" applyFill="1" applyBorder="1" applyAlignment="1">
      <alignment horizontal="right" vertical="center"/>
    </xf>
    <xf numFmtId="192" fontId="36" fillId="11" borderId="4" xfId="2" applyNumberFormat="1" applyFont="1" applyFill="1" applyBorder="1" applyAlignment="1">
      <alignment horizontal="right" vertical="center"/>
    </xf>
    <xf numFmtId="192" fontId="36" fillId="11" borderId="209" xfId="2" applyNumberFormat="1" applyFont="1" applyFill="1" applyBorder="1" applyAlignment="1">
      <alignment horizontal="right" vertical="center"/>
    </xf>
    <xf numFmtId="192" fontId="36" fillId="5" borderId="0" xfId="2" applyNumberFormat="1" applyFont="1" applyFill="1" applyAlignment="1">
      <alignment horizontal="right" vertical="center"/>
    </xf>
    <xf numFmtId="192" fontId="36" fillId="11" borderId="310" xfId="2" applyNumberFormat="1" applyFont="1" applyFill="1" applyBorder="1" applyAlignment="1">
      <alignment horizontal="right" vertical="center"/>
    </xf>
    <xf numFmtId="192" fontId="36" fillId="13" borderId="306" xfId="2" applyNumberFormat="1" applyFont="1" applyFill="1" applyBorder="1" applyAlignment="1">
      <alignment horizontal="right" vertical="center"/>
    </xf>
    <xf numFmtId="192" fontId="36" fillId="13" borderId="0" xfId="2" applyNumberFormat="1" applyFont="1" applyFill="1" applyBorder="1" applyAlignment="1">
      <alignment horizontal="right" vertical="center"/>
    </xf>
    <xf numFmtId="192" fontId="36" fillId="13" borderId="210" xfId="2" applyNumberFormat="1" applyFont="1" applyFill="1" applyBorder="1" applyAlignment="1">
      <alignment horizontal="right" vertical="center"/>
    </xf>
    <xf numFmtId="192" fontId="36" fillId="13" borderId="238" xfId="2" applyNumberFormat="1" applyFont="1" applyFill="1" applyBorder="1" applyAlignment="1">
      <alignment horizontal="right" vertical="center"/>
    </xf>
    <xf numFmtId="192" fontId="36" fillId="8" borderId="307" xfId="2" applyNumberFormat="1" applyFont="1" applyFill="1" applyBorder="1" applyAlignment="1">
      <alignment horizontal="right" vertical="center"/>
    </xf>
    <xf numFmtId="192" fontId="36" fillId="8" borderId="66" xfId="2" applyNumberFormat="1" applyFont="1" applyFill="1" applyBorder="1" applyAlignment="1">
      <alignment horizontal="right" vertical="center"/>
    </xf>
    <xf numFmtId="192" fontId="36" fillId="8" borderId="211" xfId="2" applyNumberFormat="1" applyFont="1" applyFill="1" applyBorder="1" applyAlignment="1">
      <alignment horizontal="right" vertical="center"/>
    </xf>
    <xf numFmtId="192" fontId="36" fillId="8" borderId="311" xfId="2" applyNumberFormat="1" applyFont="1" applyFill="1" applyBorder="1" applyAlignment="1">
      <alignment horizontal="right" vertical="center"/>
    </xf>
    <xf numFmtId="192" fontId="36" fillId="8" borderId="306" xfId="2" applyNumberFormat="1" applyFont="1" applyFill="1" applyBorder="1" applyAlignment="1">
      <alignment horizontal="right" vertical="center"/>
    </xf>
    <xf numFmtId="192" fontId="36" fillId="8" borderId="0" xfId="2" applyNumberFormat="1" applyFont="1" applyFill="1" applyBorder="1" applyAlignment="1">
      <alignment horizontal="right" vertical="center"/>
    </xf>
    <xf numFmtId="192" fontId="36" fillId="8" borderId="210" xfId="2" applyNumberFormat="1" applyFont="1" applyFill="1" applyBorder="1" applyAlignment="1">
      <alignment horizontal="right" vertical="center"/>
    </xf>
    <xf numFmtId="192" fontId="36" fillId="8" borderId="238" xfId="2" applyNumberFormat="1" applyFont="1" applyFill="1" applyBorder="1" applyAlignment="1">
      <alignment horizontal="right" vertical="center"/>
    </xf>
    <xf numFmtId="192" fontId="36" fillId="8" borderId="308" xfId="2" applyNumberFormat="1" applyFont="1" applyFill="1" applyBorder="1" applyAlignment="1">
      <alignment horizontal="right" vertical="center"/>
    </xf>
    <xf numFmtId="192" fontId="36" fillId="8" borderId="35" xfId="2" applyNumberFormat="1" applyFont="1" applyFill="1" applyBorder="1" applyAlignment="1">
      <alignment horizontal="right" vertical="center"/>
    </xf>
    <xf numFmtId="192" fontId="36" fillId="8" borderId="212" xfId="2" applyNumberFormat="1" applyFont="1" applyFill="1" applyBorder="1" applyAlignment="1">
      <alignment horizontal="right" vertical="center"/>
    </xf>
    <xf numFmtId="192" fontId="36" fillId="8" borderId="312" xfId="2" applyNumberFormat="1" applyFont="1" applyFill="1" applyBorder="1" applyAlignment="1">
      <alignment horizontal="right" vertical="center"/>
    </xf>
    <xf numFmtId="192" fontId="70" fillId="0" borderId="66" xfId="2" applyNumberFormat="1" applyFont="1" applyBorder="1" applyAlignment="1">
      <alignment horizontal="right" vertical="center"/>
    </xf>
    <xf numFmtId="192" fontId="70" fillId="0" borderId="211" xfId="2" applyNumberFormat="1" applyFont="1" applyBorder="1" applyAlignment="1">
      <alignment horizontal="right" vertical="center"/>
    </xf>
    <xf numFmtId="192" fontId="70" fillId="0" borderId="311" xfId="2" applyNumberFormat="1" applyFont="1" applyBorder="1" applyAlignment="1">
      <alignment horizontal="right" vertical="center"/>
    </xf>
    <xf numFmtId="192" fontId="70" fillId="0" borderId="0" xfId="2" applyNumberFormat="1" applyFont="1" applyBorder="1" applyAlignment="1">
      <alignment horizontal="right" vertical="center"/>
    </xf>
    <xf numFmtId="192" fontId="70" fillId="0" borderId="210" xfId="2" applyNumberFormat="1" applyFont="1" applyBorder="1" applyAlignment="1">
      <alignment horizontal="right" vertical="center"/>
    </xf>
    <xf numFmtId="192" fontId="70" fillId="0" borderId="238" xfId="2" applyNumberFormat="1" applyFont="1" applyBorder="1" applyAlignment="1">
      <alignment horizontal="right" vertical="center"/>
    </xf>
    <xf numFmtId="192" fontId="70" fillId="2" borderId="0" xfId="2" applyNumberFormat="1" applyFont="1" applyFill="1" applyBorder="1" applyAlignment="1">
      <alignment horizontal="right" vertical="center"/>
    </xf>
    <xf numFmtId="192" fontId="70" fillId="2" borderId="210" xfId="2" applyNumberFormat="1" applyFont="1" applyFill="1" applyBorder="1" applyAlignment="1">
      <alignment horizontal="right" vertical="center"/>
    </xf>
    <xf numFmtId="192" fontId="70" fillId="2" borderId="238" xfId="2" applyNumberFormat="1" applyFont="1" applyFill="1" applyBorder="1" applyAlignment="1">
      <alignment horizontal="right" vertical="center"/>
    </xf>
    <xf numFmtId="192" fontId="70" fillId="0" borderId="6" xfId="2" applyNumberFormat="1" applyFont="1" applyBorder="1" applyAlignment="1">
      <alignment horizontal="right" vertical="center"/>
    </xf>
    <xf numFmtId="192" fontId="70" fillId="0" borderId="215" xfId="2" applyNumberFormat="1" applyFont="1" applyBorder="1" applyAlignment="1">
      <alignment horizontal="right" vertical="center"/>
    </xf>
    <xf numFmtId="192" fontId="70" fillId="0" borderId="313" xfId="2" applyNumberFormat="1" applyFont="1" applyBorder="1" applyAlignment="1">
      <alignment horizontal="right" vertical="center"/>
    </xf>
    <xf numFmtId="41" fontId="70" fillId="0" borderId="6" xfId="2" applyFont="1" applyFill="1" applyBorder="1" applyAlignment="1">
      <alignment horizontal="center" vertical="center"/>
    </xf>
    <xf numFmtId="41" fontId="36" fillId="42" borderId="4" xfId="2" applyFont="1" applyFill="1" applyBorder="1" applyAlignment="1">
      <alignment horizontal="center" vertical="center"/>
    </xf>
    <xf numFmtId="236" fontId="36" fillId="11" borderId="305" xfId="2" applyNumberFormat="1" applyFont="1" applyFill="1" applyBorder="1" applyAlignment="1">
      <alignment horizontal="center" vertical="center"/>
    </xf>
    <xf numFmtId="236" fontId="36" fillId="11" borderId="192" xfId="2" applyNumberFormat="1" applyFont="1" applyFill="1" applyBorder="1" applyAlignment="1">
      <alignment horizontal="center" vertical="center"/>
    </xf>
    <xf numFmtId="194" fontId="36" fillId="13" borderId="306" xfId="2" applyNumberFormat="1" applyFont="1" applyFill="1" applyBorder="1" applyAlignment="1">
      <alignment horizontal="center" vertical="center"/>
    </xf>
    <xf numFmtId="194" fontId="36" fillId="13" borderId="242" xfId="2" applyNumberFormat="1" applyFont="1" applyFill="1" applyBorder="1" applyAlignment="1">
      <alignment horizontal="center" vertical="center"/>
    </xf>
    <xf numFmtId="41" fontId="36" fillId="42" borderId="66" xfId="2" applyFont="1" applyFill="1" applyBorder="1" applyAlignment="1">
      <alignment horizontal="center" vertical="center"/>
    </xf>
    <xf numFmtId="0" fontId="36" fillId="8" borderId="307" xfId="2" applyNumberFormat="1" applyFont="1" applyFill="1" applyBorder="1" applyAlignment="1">
      <alignment horizontal="center" vertical="center"/>
    </xf>
    <xf numFmtId="0" fontId="36" fillId="8" borderId="1112" xfId="2" applyNumberFormat="1" applyFont="1" applyFill="1" applyBorder="1" applyAlignment="1">
      <alignment horizontal="center" vertical="center"/>
    </xf>
    <xf numFmtId="0" fontId="36" fillId="8" borderId="306" xfId="2" applyNumberFormat="1" applyFont="1" applyFill="1" applyBorder="1" applyAlignment="1">
      <alignment horizontal="center" vertical="center"/>
    </xf>
    <xf numFmtId="0" fontId="36" fillId="8" borderId="242" xfId="2" applyNumberFormat="1" applyFont="1" applyFill="1" applyBorder="1" applyAlignment="1">
      <alignment horizontal="center" vertical="center"/>
    </xf>
    <xf numFmtId="41" fontId="36" fillId="42" borderId="35" xfId="2" applyFont="1" applyFill="1" applyBorder="1" applyAlignment="1">
      <alignment horizontal="center" vertical="center"/>
    </xf>
    <xf numFmtId="0" fontId="36" fillId="8" borderId="308" xfId="2" applyNumberFormat="1" applyFont="1" applyFill="1" applyBorder="1" applyAlignment="1">
      <alignment horizontal="center" vertical="center"/>
    </xf>
    <xf numFmtId="0" fontId="36" fillId="8" borderId="256" xfId="2" applyNumberFormat="1" applyFont="1" applyFill="1" applyBorder="1" applyAlignment="1">
      <alignment horizontal="center" vertical="center"/>
    </xf>
    <xf numFmtId="41" fontId="70" fillId="42" borderId="66" xfId="2" applyFont="1" applyFill="1" applyBorder="1" applyAlignment="1">
      <alignment horizontal="center" vertical="center"/>
    </xf>
    <xf numFmtId="236" fontId="70" fillId="0" borderId="311" xfId="2" applyNumberFormat="1" applyFont="1" applyBorder="1" applyAlignment="1">
      <alignment horizontal="center" vertical="center"/>
    </xf>
    <xf numFmtId="236" fontId="70" fillId="0" borderId="1112" xfId="2" applyNumberFormat="1" applyFont="1" applyBorder="1" applyAlignment="1">
      <alignment horizontal="center" vertical="center"/>
    </xf>
    <xf numFmtId="41" fontId="70" fillId="42" borderId="0" xfId="2" applyFont="1" applyFill="1" applyBorder="1" applyAlignment="1">
      <alignment horizontal="center" vertical="center"/>
    </xf>
    <xf numFmtId="236" fontId="70" fillId="0" borderId="238" xfId="2" applyNumberFormat="1" applyFont="1" applyBorder="1" applyAlignment="1">
      <alignment horizontal="center" vertical="center"/>
    </xf>
    <xf numFmtId="236" fontId="70" fillId="0" borderId="242" xfId="2" applyNumberFormat="1" applyFont="1" applyBorder="1" applyAlignment="1">
      <alignment horizontal="center" vertical="center"/>
    </xf>
    <xf numFmtId="236" fontId="70" fillId="2" borderId="238" xfId="2" applyNumberFormat="1" applyFont="1" applyFill="1" applyBorder="1" applyAlignment="1">
      <alignment horizontal="center" vertical="center"/>
    </xf>
    <xf numFmtId="236" fontId="70" fillId="2" borderId="242" xfId="2" applyNumberFormat="1" applyFont="1" applyFill="1" applyBorder="1" applyAlignment="1">
      <alignment horizontal="center" vertical="center"/>
    </xf>
    <xf numFmtId="41" fontId="70" fillId="42" borderId="6" xfId="2" applyFont="1" applyFill="1" applyBorder="1" applyAlignment="1">
      <alignment horizontal="center" vertical="center"/>
    </xf>
    <xf numFmtId="236" fontId="70" fillId="0" borderId="313" xfId="2" applyNumberFormat="1" applyFont="1" applyBorder="1" applyAlignment="1">
      <alignment horizontal="center" vertical="center"/>
    </xf>
    <xf numFmtId="236" fontId="70" fillId="0" borderId="244" xfId="2" applyNumberFormat="1" applyFont="1" applyBorder="1" applyAlignment="1">
      <alignment horizontal="center" vertical="center"/>
    </xf>
    <xf numFmtId="41" fontId="36" fillId="11" borderId="305" xfId="2" applyFont="1" applyFill="1" applyBorder="1" applyAlignment="1">
      <alignment vertical="center"/>
    </xf>
    <xf numFmtId="41" fontId="36" fillId="11" borderId="192" xfId="2" applyFont="1" applyFill="1" applyBorder="1" applyAlignment="1">
      <alignment vertical="center"/>
    </xf>
    <xf numFmtId="41" fontId="36" fillId="13" borderId="306" xfId="2" applyFont="1" applyFill="1" applyBorder="1" applyAlignment="1">
      <alignment vertical="center"/>
    </xf>
    <xf numFmtId="41" fontId="36" fillId="13" borderId="0" xfId="2" applyFont="1" applyFill="1" applyBorder="1" applyAlignment="1">
      <alignment horizontal="right" vertical="center"/>
    </xf>
    <xf numFmtId="41" fontId="36" fillId="13" borderId="242" xfId="2" applyFont="1" applyFill="1" applyBorder="1" applyAlignment="1">
      <alignment vertical="center"/>
    </xf>
    <xf numFmtId="195" fontId="36" fillId="11" borderId="305" xfId="2" applyNumberFormat="1" applyFont="1" applyFill="1" applyBorder="1" applyAlignment="1">
      <alignment horizontal="center" vertical="center"/>
    </xf>
    <xf numFmtId="195" fontId="36" fillId="11" borderId="4" xfId="2" applyNumberFormat="1" applyFont="1" applyFill="1" applyBorder="1" applyAlignment="1">
      <alignment horizontal="center" vertical="center"/>
    </xf>
    <xf numFmtId="195" fontId="36" fillId="11" borderId="209" xfId="2" applyNumberFormat="1" applyFont="1" applyFill="1" applyBorder="1" applyAlignment="1">
      <alignment horizontal="center" vertical="center"/>
    </xf>
    <xf numFmtId="221" fontId="36" fillId="11" borderId="305" xfId="2" applyNumberFormat="1" applyFont="1" applyFill="1" applyBorder="1" applyAlignment="1">
      <alignment horizontal="center" vertical="center"/>
    </xf>
    <xf numFmtId="221" fontId="36" fillId="11" borderId="4" xfId="2" applyNumberFormat="1" applyFont="1" applyFill="1" applyBorder="1" applyAlignment="1">
      <alignment horizontal="center" vertical="center"/>
    </xf>
    <xf numFmtId="221" fontId="36" fillId="11" borderId="192" xfId="2" applyNumberFormat="1" applyFont="1" applyFill="1" applyBorder="1" applyAlignment="1">
      <alignment horizontal="center" vertical="center"/>
    </xf>
    <xf numFmtId="195" fontId="36" fillId="8" borderId="307" xfId="2" applyNumberFormat="1" applyFont="1" applyFill="1" applyBorder="1" applyAlignment="1">
      <alignment horizontal="center" vertical="center"/>
    </xf>
    <xf numFmtId="195" fontId="36" fillId="8" borderId="66" xfId="2" applyNumberFormat="1" applyFont="1" applyFill="1" applyBorder="1" applyAlignment="1">
      <alignment horizontal="center" vertical="center"/>
    </xf>
    <xf numFmtId="195" fontId="36" fillId="8" borderId="211" xfId="2" applyNumberFormat="1" applyFont="1" applyFill="1" applyBorder="1" applyAlignment="1">
      <alignment horizontal="center" vertical="center"/>
    </xf>
    <xf numFmtId="221" fontId="36" fillId="8" borderId="307" xfId="2" applyNumberFormat="1" applyFont="1" applyFill="1" applyBorder="1" applyAlignment="1">
      <alignment horizontal="center" vertical="center"/>
    </xf>
    <xf numFmtId="221" fontId="36" fillId="8" borderId="66" xfId="2" applyNumberFormat="1" applyFont="1" applyFill="1" applyBorder="1" applyAlignment="1">
      <alignment horizontal="center" vertical="center"/>
    </xf>
    <xf numFmtId="221" fontId="36" fillId="8" borderId="1112" xfId="2" applyNumberFormat="1" applyFont="1" applyFill="1" applyBorder="1" applyAlignment="1">
      <alignment horizontal="center" vertical="center"/>
    </xf>
    <xf numFmtId="215" fontId="36" fillId="8" borderId="66" xfId="2" applyNumberFormat="1" applyFont="1" applyFill="1" applyBorder="1" applyAlignment="1">
      <alignment horizontal="center" vertical="center"/>
    </xf>
    <xf numFmtId="195" fontId="36" fillId="8" borderId="306" xfId="2" applyNumberFormat="1" applyFont="1" applyFill="1" applyBorder="1" applyAlignment="1">
      <alignment horizontal="center" vertical="center"/>
    </xf>
    <xf numFmtId="195" fontId="36" fillId="8" borderId="0" xfId="2" applyNumberFormat="1" applyFont="1" applyFill="1" applyBorder="1" applyAlignment="1">
      <alignment horizontal="center" vertical="center"/>
    </xf>
    <xf numFmtId="195" fontId="36" fillId="8" borderId="210" xfId="2" applyNumberFormat="1" applyFont="1" applyFill="1" applyBorder="1" applyAlignment="1">
      <alignment horizontal="center" vertical="center"/>
    </xf>
    <xf numFmtId="221" fontId="36" fillId="8" borderId="306" xfId="2" applyNumberFormat="1" applyFont="1" applyFill="1" applyBorder="1" applyAlignment="1">
      <alignment horizontal="center" vertical="center"/>
    </xf>
    <xf numFmtId="221" fontId="36" fillId="8" borderId="0" xfId="2" applyNumberFormat="1" applyFont="1" applyFill="1" applyBorder="1" applyAlignment="1">
      <alignment horizontal="center" vertical="center"/>
    </xf>
    <xf numFmtId="221" fontId="36" fillId="8" borderId="242" xfId="2" applyNumberFormat="1" applyFont="1" applyFill="1" applyBorder="1" applyAlignment="1">
      <alignment horizontal="center" vertical="center"/>
    </xf>
    <xf numFmtId="215" fontId="36" fillId="8" borderId="0" xfId="2" applyNumberFormat="1" applyFont="1" applyFill="1" applyBorder="1" applyAlignment="1">
      <alignment horizontal="center" vertical="center"/>
    </xf>
    <xf numFmtId="195" fontId="36" fillId="8" borderId="308" xfId="2" applyNumberFormat="1" applyFont="1" applyFill="1" applyBorder="1" applyAlignment="1">
      <alignment horizontal="center" vertical="center"/>
    </xf>
    <xf numFmtId="195" fontId="36" fillId="8" borderId="35" xfId="2" applyNumberFormat="1" applyFont="1" applyFill="1" applyBorder="1" applyAlignment="1">
      <alignment horizontal="center" vertical="center"/>
    </xf>
    <xf numFmtId="195" fontId="36" fillId="8" borderId="212" xfId="2" applyNumberFormat="1" applyFont="1" applyFill="1" applyBorder="1" applyAlignment="1">
      <alignment horizontal="center" vertical="center"/>
    </xf>
    <xf numFmtId="221" fontId="36" fillId="8" borderId="308" xfId="2" applyNumberFormat="1" applyFont="1" applyFill="1" applyBorder="1" applyAlignment="1">
      <alignment horizontal="center" vertical="center"/>
    </xf>
    <xf numFmtId="221" fontId="36" fillId="8" borderId="35" xfId="2" applyNumberFormat="1" applyFont="1" applyFill="1" applyBorder="1" applyAlignment="1">
      <alignment horizontal="center" vertical="center"/>
    </xf>
    <xf numFmtId="221" fontId="36" fillId="8" borderId="256" xfId="2" applyNumberFormat="1" applyFont="1" applyFill="1" applyBorder="1" applyAlignment="1">
      <alignment horizontal="center" vertical="center"/>
    </xf>
    <xf numFmtId="215" fontId="36" fillId="8" borderId="35" xfId="2" applyNumberFormat="1" applyFont="1" applyFill="1" applyBorder="1" applyAlignment="1">
      <alignment horizontal="center" vertical="center"/>
    </xf>
    <xf numFmtId="195" fontId="70" fillId="0" borderId="66" xfId="2" applyNumberFormat="1" applyFont="1" applyBorder="1" applyAlignment="1">
      <alignment horizontal="center" vertical="center"/>
    </xf>
    <xf numFmtId="195" fontId="70" fillId="0" borderId="211" xfId="2" applyNumberFormat="1" applyFont="1" applyBorder="1" applyAlignment="1">
      <alignment horizontal="center" vertical="center"/>
    </xf>
    <xf numFmtId="195" fontId="70" fillId="0" borderId="311" xfId="2" applyNumberFormat="1" applyFont="1" applyBorder="1" applyAlignment="1">
      <alignment horizontal="center" vertical="center"/>
    </xf>
    <xf numFmtId="221" fontId="70" fillId="0" borderId="311" xfId="2" applyNumberFormat="1" applyFont="1" applyBorder="1" applyAlignment="1">
      <alignment horizontal="center" vertical="center"/>
    </xf>
    <xf numFmtId="221" fontId="70" fillId="0" borderId="66" xfId="2" applyNumberFormat="1" applyFont="1" applyBorder="1" applyAlignment="1">
      <alignment horizontal="center" vertical="center"/>
    </xf>
    <xf numFmtId="221" fontId="70" fillId="0" borderId="66" xfId="2" applyNumberFormat="1" applyFont="1" applyBorder="1" applyAlignment="1">
      <alignment vertical="center"/>
    </xf>
    <xf numFmtId="221" fontId="70" fillId="0" borderId="1112" xfId="2" applyNumberFormat="1" applyFont="1" applyBorder="1" applyAlignment="1">
      <alignment horizontal="center" vertical="center"/>
    </xf>
    <xf numFmtId="209" fontId="70" fillId="0" borderId="66" xfId="2" applyNumberFormat="1" applyFont="1" applyBorder="1" applyAlignment="1">
      <alignment vertical="center"/>
    </xf>
    <xf numFmtId="195" fontId="70" fillId="0" borderId="0" xfId="2" applyNumberFormat="1" applyFont="1" applyBorder="1" applyAlignment="1">
      <alignment horizontal="center" vertical="center"/>
    </xf>
    <xf numFmtId="195" fontId="70" fillId="0" borderId="210" xfId="2" applyNumberFormat="1" applyFont="1" applyBorder="1" applyAlignment="1">
      <alignment horizontal="center" vertical="center"/>
    </xf>
    <xf numFmtId="195" fontId="70" fillId="0" borderId="238" xfId="2" applyNumberFormat="1" applyFont="1" applyBorder="1" applyAlignment="1">
      <alignment horizontal="center" vertical="center"/>
    </xf>
    <xf numFmtId="221" fontId="70" fillId="0" borderId="238" xfId="2" applyNumberFormat="1" applyFont="1" applyBorder="1" applyAlignment="1">
      <alignment horizontal="center" vertical="center"/>
    </xf>
    <xf numFmtId="221" fontId="70" fillId="0" borderId="0" xfId="2" applyNumberFormat="1" applyFont="1" applyBorder="1" applyAlignment="1">
      <alignment horizontal="center" vertical="center"/>
    </xf>
    <xf numFmtId="221" fontId="70" fillId="0" borderId="0" xfId="2" applyNumberFormat="1" applyFont="1" applyBorder="1" applyAlignment="1">
      <alignment vertical="center"/>
    </xf>
    <xf numFmtId="221" fontId="70" fillId="0" borderId="242" xfId="2" applyNumberFormat="1" applyFont="1" applyBorder="1" applyAlignment="1">
      <alignment horizontal="center" vertical="center"/>
    </xf>
    <xf numFmtId="209" fontId="70" fillId="0" borderId="0" xfId="2" applyNumberFormat="1" applyFont="1" applyBorder="1" applyAlignment="1">
      <alignment vertical="center"/>
    </xf>
    <xf numFmtId="195" fontId="70" fillId="2" borderId="0" xfId="2" applyNumberFormat="1" applyFont="1" applyFill="1" applyBorder="1" applyAlignment="1">
      <alignment horizontal="center" vertical="center"/>
    </xf>
    <xf numFmtId="195" fontId="70" fillId="2" borderId="210" xfId="2" applyNumberFormat="1" applyFont="1" applyFill="1" applyBorder="1" applyAlignment="1">
      <alignment horizontal="center" vertical="center"/>
    </xf>
    <xf numFmtId="195" fontId="70" fillId="2" borderId="238" xfId="2" applyNumberFormat="1" applyFont="1" applyFill="1" applyBorder="1" applyAlignment="1">
      <alignment horizontal="center" vertical="center"/>
    </xf>
    <xf numFmtId="221" fontId="70" fillId="2" borderId="238" xfId="2" applyNumberFormat="1" applyFont="1" applyFill="1" applyBorder="1" applyAlignment="1">
      <alignment horizontal="center" vertical="center"/>
    </xf>
    <xf numFmtId="221" fontId="70" fillId="2" borderId="0" xfId="2" applyNumberFormat="1" applyFont="1" applyFill="1" applyBorder="1" applyAlignment="1">
      <alignment horizontal="center" vertical="center"/>
    </xf>
    <xf numFmtId="221" fontId="70" fillId="2" borderId="0" xfId="2" applyNumberFormat="1" applyFont="1" applyFill="1" applyBorder="1" applyAlignment="1">
      <alignment vertical="center"/>
    </xf>
    <xf numFmtId="221" fontId="70" fillId="2" borderId="242" xfId="2" applyNumberFormat="1" applyFont="1" applyFill="1" applyBorder="1" applyAlignment="1">
      <alignment horizontal="center" vertical="center"/>
    </xf>
    <xf numFmtId="209" fontId="70" fillId="2" borderId="0" xfId="2" applyNumberFormat="1" applyFont="1" applyFill="1" applyBorder="1" applyAlignment="1">
      <alignment vertical="center"/>
    </xf>
    <xf numFmtId="195" fontId="70" fillId="0" borderId="6" xfId="2" applyNumberFormat="1" applyFont="1" applyBorder="1" applyAlignment="1">
      <alignment horizontal="center" vertical="center"/>
    </xf>
    <xf numFmtId="195" fontId="70" fillId="0" borderId="215" xfId="2" applyNumberFormat="1" applyFont="1" applyBorder="1" applyAlignment="1">
      <alignment horizontal="center" vertical="center"/>
    </xf>
    <xf numFmtId="195" fontId="70" fillId="0" borderId="313" xfId="2" applyNumberFormat="1" applyFont="1" applyBorder="1" applyAlignment="1">
      <alignment horizontal="center" vertical="center"/>
    </xf>
    <xf numFmtId="221" fontId="70" fillId="0" borderId="313" xfId="2" applyNumberFormat="1" applyFont="1" applyBorder="1" applyAlignment="1">
      <alignment horizontal="center" vertical="center"/>
    </xf>
    <xf numFmtId="221" fontId="70" fillId="0" borderId="6" xfId="2" applyNumberFormat="1" applyFont="1" applyBorder="1" applyAlignment="1">
      <alignment horizontal="center" vertical="center"/>
    </xf>
    <xf numFmtId="221" fontId="70" fillId="0" borderId="6" xfId="2" applyNumberFormat="1" applyFont="1" applyBorder="1" applyAlignment="1">
      <alignment vertical="center"/>
    </xf>
    <xf numFmtId="221" fontId="70" fillId="0" borderId="244" xfId="2" applyNumberFormat="1" applyFont="1" applyBorder="1" applyAlignment="1">
      <alignment horizontal="center" vertical="center"/>
    </xf>
    <xf numFmtId="209" fontId="70" fillId="0" borderId="6" xfId="2" applyNumberFormat="1" applyFont="1" applyBorder="1" applyAlignment="1">
      <alignment vertical="center"/>
    </xf>
    <xf numFmtId="195" fontId="36" fillId="11" borderId="192" xfId="2" applyNumberFormat="1" applyFont="1" applyFill="1" applyBorder="1" applyAlignment="1">
      <alignment horizontal="center" vertical="center"/>
    </xf>
    <xf numFmtId="43" fontId="36" fillId="8" borderId="307" xfId="2" applyNumberFormat="1" applyFont="1" applyFill="1" applyBorder="1" applyAlignment="1">
      <alignment horizontal="center" vertical="center"/>
    </xf>
    <xf numFmtId="43" fontId="36" fillId="8" borderId="66" xfId="2" applyNumberFormat="1" applyFont="1" applyFill="1" applyBorder="1" applyAlignment="1">
      <alignment horizontal="center" vertical="center"/>
    </xf>
    <xf numFmtId="195" fontId="36" fillId="8" borderId="1112" xfId="2" applyNumberFormat="1" applyFont="1" applyFill="1" applyBorder="1" applyAlignment="1">
      <alignment horizontal="center" vertical="center"/>
    </xf>
    <xf numFmtId="43" fontId="36" fillId="8" borderId="306" xfId="2" applyNumberFormat="1" applyFont="1" applyFill="1" applyBorder="1" applyAlignment="1">
      <alignment horizontal="center" vertical="center"/>
    </xf>
    <xf numFmtId="43" fontId="36" fillId="8" borderId="0" xfId="2" applyNumberFormat="1" applyFont="1" applyFill="1" applyBorder="1" applyAlignment="1">
      <alignment horizontal="center" vertical="center"/>
    </xf>
    <xf numFmtId="195" fontId="36" fillId="8" borderId="242" xfId="2" applyNumberFormat="1" applyFont="1" applyFill="1" applyBorder="1" applyAlignment="1">
      <alignment horizontal="center" vertical="center"/>
    </xf>
    <xf numFmtId="43" fontId="36" fillId="8" borderId="308" xfId="2" applyNumberFormat="1" applyFont="1" applyFill="1" applyBorder="1" applyAlignment="1">
      <alignment horizontal="center" vertical="center"/>
    </xf>
    <xf numFmtId="43" fontId="36" fillId="8" borderId="35" xfId="2" applyNumberFormat="1" applyFont="1" applyFill="1" applyBorder="1" applyAlignment="1">
      <alignment horizontal="center" vertical="center"/>
    </xf>
    <xf numFmtId="195" fontId="36" fillId="8" borderId="256" xfId="2" applyNumberFormat="1" applyFont="1" applyFill="1" applyBorder="1" applyAlignment="1">
      <alignment horizontal="center" vertical="center"/>
    </xf>
    <xf numFmtId="195" fontId="70" fillId="0" borderId="1112" xfId="2" applyNumberFormat="1" applyFont="1" applyBorder="1" applyAlignment="1">
      <alignment horizontal="center" vertical="center"/>
    </xf>
    <xf numFmtId="195" fontId="70" fillId="0" borderId="242" xfId="2" applyNumberFormat="1" applyFont="1" applyBorder="1" applyAlignment="1">
      <alignment horizontal="center" vertical="center"/>
    </xf>
    <xf numFmtId="195" fontId="70" fillId="2" borderId="242" xfId="2" applyNumberFormat="1" applyFont="1" applyFill="1" applyBorder="1" applyAlignment="1">
      <alignment horizontal="center" vertical="center"/>
    </xf>
    <xf numFmtId="195" fontId="70" fillId="0" borderId="244" xfId="2" applyNumberFormat="1" applyFont="1" applyBorder="1" applyAlignment="1">
      <alignment horizontal="center" vertical="center"/>
    </xf>
    <xf numFmtId="195" fontId="36" fillId="0" borderId="0" xfId="2" applyNumberFormat="1" applyFont="1" applyAlignment="1">
      <alignment horizontal="center" vertical="center"/>
    </xf>
    <xf numFmtId="214" fontId="36" fillId="11" borderId="4" xfId="2" applyNumberFormat="1" applyFont="1" applyFill="1" applyBorder="1" applyAlignment="1">
      <alignment horizontal="center" vertical="center"/>
    </xf>
    <xf numFmtId="214" fontId="70" fillId="0" borderId="66" xfId="2" applyNumberFormat="1" applyFont="1" applyBorder="1" applyAlignment="1">
      <alignment horizontal="center" vertical="center"/>
    </xf>
    <xf numFmtId="214" fontId="70" fillId="0" borderId="0" xfId="2" applyNumberFormat="1" applyFont="1" applyBorder="1" applyAlignment="1">
      <alignment horizontal="center" vertical="center"/>
    </xf>
    <xf numFmtId="214" fontId="70" fillId="2" borderId="0" xfId="2" applyNumberFormat="1" applyFont="1" applyFill="1" applyBorder="1" applyAlignment="1">
      <alignment horizontal="center" vertical="center"/>
    </xf>
    <xf numFmtId="214" fontId="70" fillId="0" borderId="6" xfId="2" applyNumberFormat="1" applyFont="1" applyBorder="1" applyAlignment="1">
      <alignment horizontal="center" vertical="center"/>
    </xf>
    <xf numFmtId="242" fontId="36" fillId="8" borderId="307" xfId="2" applyNumberFormat="1" applyFont="1" applyFill="1" applyBorder="1" applyAlignment="1">
      <alignment horizontal="center" vertical="center"/>
    </xf>
    <xf numFmtId="242" fontId="36" fillId="8" borderId="66" xfId="2" applyNumberFormat="1" applyFont="1" applyFill="1" applyBorder="1" applyAlignment="1">
      <alignment horizontal="center" vertical="center"/>
    </xf>
    <xf numFmtId="242" fontId="36" fillId="8" borderId="211" xfId="2" applyNumberFormat="1" applyFont="1" applyFill="1" applyBorder="1" applyAlignment="1">
      <alignment horizontal="center" vertical="center"/>
    </xf>
    <xf numFmtId="242" fontId="36" fillId="8" borderId="1112" xfId="2" applyNumberFormat="1" applyFont="1" applyFill="1" applyBorder="1" applyAlignment="1">
      <alignment horizontal="center" vertical="center"/>
    </xf>
    <xf numFmtId="242" fontId="36" fillId="8" borderId="306" xfId="2" applyNumberFormat="1" applyFont="1" applyFill="1" applyBorder="1" applyAlignment="1">
      <alignment horizontal="center" vertical="center"/>
    </xf>
    <xf numFmtId="242" fontId="36" fillId="8" borderId="0" xfId="2" applyNumberFormat="1" applyFont="1" applyFill="1" applyBorder="1" applyAlignment="1">
      <alignment horizontal="center" vertical="center"/>
    </xf>
    <xf numFmtId="242" fontId="36" fillId="8" borderId="210" xfId="2" applyNumberFormat="1" applyFont="1" applyFill="1" applyBorder="1" applyAlignment="1">
      <alignment horizontal="center" vertical="center"/>
    </xf>
    <xf numFmtId="242" fontId="36" fillId="8" borderId="242" xfId="2" applyNumberFormat="1" applyFont="1" applyFill="1" applyBorder="1" applyAlignment="1">
      <alignment horizontal="center" vertical="center"/>
    </xf>
    <xf numFmtId="242" fontId="36" fillId="8" borderId="308" xfId="2" applyNumberFormat="1" applyFont="1" applyFill="1" applyBorder="1" applyAlignment="1">
      <alignment horizontal="center" vertical="center"/>
    </xf>
    <xf numFmtId="242" fontId="36" fillId="8" borderId="35" xfId="2" applyNumberFormat="1" applyFont="1" applyFill="1" applyBorder="1" applyAlignment="1">
      <alignment horizontal="center" vertical="center"/>
    </xf>
    <xf numFmtId="242" fontId="36" fillId="8" borderId="212" xfId="2" applyNumberFormat="1" applyFont="1" applyFill="1" applyBorder="1" applyAlignment="1">
      <alignment horizontal="center" vertical="center"/>
    </xf>
    <xf numFmtId="242" fontId="36" fillId="8" borderId="256" xfId="2" applyNumberFormat="1" applyFont="1" applyFill="1" applyBorder="1" applyAlignment="1">
      <alignment horizontal="center" vertical="center"/>
    </xf>
    <xf numFmtId="242" fontId="70" fillId="0" borderId="311" xfId="2" applyNumberFormat="1" applyFont="1" applyBorder="1" applyAlignment="1">
      <alignment horizontal="center" vertical="center"/>
    </xf>
    <xf numFmtId="242" fontId="70" fillId="0" borderId="66" xfId="2" applyNumberFormat="1" applyFont="1" applyBorder="1" applyAlignment="1">
      <alignment horizontal="center" vertical="center"/>
    </xf>
    <xf numFmtId="242" fontId="70" fillId="0" borderId="211" xfId="2" applyNumberFormat="1" applyFont="1" applyBorder="1" applyAlignment="1">
      <alignment horizontal="center" vertical="center"/>
    </xf>
    <xf numFmtId="242" fontId="70" fillId="0" borderId="1112" xfId="2" applyNumberFormat="1" applyFont="1" applyBorder="1" applyAlignment="1">
      <alignment horizontal="center" vertical="center"/>
    </xf>
    <xf numFmtId="242" fontId="70" fillId="0" borderId="238" xfId="2" applyNumberFormat="1" applyFont="1" applyBorder="1" applyAlignment="1">
      <alignment horizontal="center" vertical="center"/>
    </xf>
    <xf numFmtId="242" fontId="70" fillId="0" borderId="0" xfId="2" applyNumberFormat="1" applyFont="1" applyBorder="1" applyAlignment="1">
      <alignment horizontal="center" vertical="center"/>
    </xf>
    <xf numFmtId="242" fontId="70" fillId="0" borderId="210" xfId="2" applyNumberFormat="1" applyFont="1" applyBorder="1" applyAlignment="1">
      <alignment horizontal="center" vertical="center"/>
    </xf>
    <xf numFmtId="242" fontId="70" fillId="0" borderId="242" xfId="2" applyNumberFormat="1" applyFont="1" applyBorder="1" applyAlignment="1">
      <alignment horizontal="center" vertical="center"/>
    </xf>
    <xf numFmtId="242" fontId="70" fillId="2" borderId="238" xfId="2" applyNumberFormat="1" applyFont="1" applyFill="1" applyBorder="1" applyAlignment="1">
      <alignment horizontal="center" vertical="center"/>
    </xf>
    <xf numFmtId="242" fontId="70" fillId="2" borderId="0" xfId="2" applyNumberFormat="1" applyFont="1" applyFill="1" applyBorder="1" applyAlignment="1">
      <alignment horizontal="center" vertical="center"/>
    </xf>
    <xf numFmtId="242" fontId="70" fillId="2" borderId="210" xfId="2" applyNumberFormat="1" applyFont="1" applyFill="1" applyBorder="1" applyAlignment="1">
      <alignment horizontal="center" vertical="center"/>
    </xf>
    <xf numFmtId="242" fontId="70" fillId="2" borderId="242" xfId="2" applyNumberFormat="1" applyFont="1" applyFill="1" applyBorder="1" applyAlignment="1">
      <alignment horizontal="center" vertical="center"/>
    </xf>
    <xf numFmtId="242" fontId="70" fillId="0" borderId="313" xfId="2" applyNumberFormat="1" applyFont="1" applyBorder="1" applyAlignment="1">
      <alignment horizontal="center" vertical="center"/>
    </xf>
    <xf numFmtId="242" fontId="70" fillId="0" borderId="6" xfId="2" applyNumberFormat="1" applyFont="1" applyBorder="1" applyAlignment="1">
      <alignment horizontal="center" vertical="center"/>
    </xf>
    <xf numFmtId="242" fontId="70" fillId="0" borderId="215" xfId="2" applyNumberFormat="1" applyFont="1" applyBorder="1" applyAlignment="1">
      <alignment horizontal="center" vertical="center"/>
    </xf>
    <xf numFmtId="242" fontId="70" fillId="0" borderId="244" xfId="2" applyNumberFormat="1" applyFont="1" applyBorder="1" applyAlignment="1">
      <alignment horizontal="center" vertical="center"/>
    </xf>
    <xf numFmtId="41" fontId="36" fillId="0" borderId="0" xfId="2" applyFont="1" applyFill="1" applyAlignment="1">
      <alignment horizontal="center" vertical="center"/>
    </xf>
    <xf numFmtId="242" fontId="36" fillId="0" borderId="0" xfId="2" applyNumberFormat="1" applyFont="1" applyFill="1" applyAlignment="1">
      <alignment horizontal="center" vertical="center"/>
    </xf>
    <xf numFmtId="242" fontId="36" fillId="0" borderId="0" xfId="0" applyNumberFormat="1" applyFont="1" applyFill="1">
      <alignment vertical="center"/>
    </xf>
    <xf numFmtId="0" fontId="44" fillId="17" borderId="0" xfId="0" applyFont="1" applyFill="1" applyBorder="1" applyAlignment="1">
      <alignment horizontal="center" vertical="center" wrapText="1"/>
    </xf>
    <xf numFmtId="0" fontId="74" fillId="17" borderId="0" xfId="0" applyFont="1" applyFill="1" applyBorder="1" applyAlignment="1">
      <alignment horizontal="center" vertical="center"/>
    </xf>
    <xf numFmtId="0" fontId="70" fillId="17" borderId="0" xfId="0" applyFont="1" applyFill="1" applyBorder="1" applyAlignment="1">
      <alignment horizontal="center" vertical="center"/>
    </xf>
    <xf numFmtId="41" fontId="70" fillId="17" borderId="0" xfId="2" applyFont="1" applyFill="1" applyBorder="1" applyAlignment="1">
      <alignment horizontal="center" vertical="center"/>
    </xf>
    <xf numFmtId="41" fontId="36" fillId="17" borderId="0" xfId="2" applyFont="1" applyFill="1" applyAlignment="1">
      <alignment horizontal="center" vertical="center"/>
    </xf>
    <xf numFmtId="41" fontId="36" fillId="9" borderId="176" xfId="2" applyFont="1" applyFill="1" applyBorder="1" applyAlignment="1">
      <alignment horizontal="center" vertical="center"/>
    </xf>
    <xf numFmtId="41" fontId="36" fillId="9" borderId="56" xfId="2" applyFont="1" applyFill="1" applyBorder="1" applyAlignment="1">
      <alignment horizontal="center" vertical="center"/>
    </xf>
    <xf numFmtId="41" fontId="36" fillId="9" borderId="223" xfId="2" applyFont="1" applyFill="1" applyBorder="1" applyAlignment="1">
      <alignment horizontal="center" vertical="center"/>
    </xf>
    <xf numFmtId="1" fontId="36" fillId="0" borderId="0" xfId="0" applyNumberFormat="1" applyFont="1">
      <alignment vertical="center"/>
    </xf>
    <xf numFmtId="0" fontId="43" fillId="9" borderId="140" xfId="0" applyFont="1" applyFill="1" applyBorder="1">
      <alignment vertical="center"/>
    </xf>
    <xf numFmtId="41" fontId="36" fillId="3" borderId="174" xfId="2" applyFont="1" applyFill="1" applyBorder="1" applyAlignment="1">
      <alignment horizontal="center" vertical="center"/>
    </xf>
    <xf numFmtId="41" fontId="36" fillId="3" borderId="0" xfId="2" applyFont="1" applyFill="1" applyBorder="1" applyAlignment="1">
      <alignment horizontal="center" vertical="center"/>
    </xf>
    <xf numFmtId="41" fontId="36" fillId="3" borderId="224" xfId="2" applyFont="1" applyFill="1" applyBorder="1" applyAlignment="1">
      <alignment horizontal="center" vertical="center"/>
    </xf>
    <xf numFmtId="0" fontId="74" fillId="8" borderId="143" xfId="0" applyFont="1" applyFill="1" applyBorder="1" applyAlignment="1">
      <alignment horizontal="center" vertical="center"/>
    </xf>
    <xf numFmtId="41" fontId="36" fillId="8" borderId="228" xfId="2" applyFont="1" applyFill="1" applyBorder="1" applyAlignment="1">
      <alignment horizontal="center" vertical="center"/>
    </xf>
    <xf numFmtId="41" fontId="36" fillId="8" borderId="74" xfId="2" applyFont="1" applyFill="1" applyBorder="1" applyAlignment="1">
      <alignment horizontal="center" vertical="center"/>
    </xf>
    <xf numFmtId="41" fontId="36" fillId="8" borderId="229" xfId="2" applyFont="1" applyFill="1" applyBorder="1" applyAlignment="1">
      <alignment horizontal="center" vertical="center"/>
    </xf>
    <xf numFmtId="0" fontId="74" fillId="8" borderId="140" xfId="0" applyFont="1" applyFill="1" applyBorder="1" applyAlignment="1">
      <alignment horizontal="center" vertical="center"/>
    </xf>
    <xf numFmtId="41" fontId="36" fillId="8" borderId="174" xfId="2" applyFont="1" applyFill="1" applyBorder="1" applyAlignment="1">
      <alignment horizontal="center" vertical="center"/>
    </xf>
    <xf numFmtId="41" fontId="36" fillId="8" borderId="224" xfId="2" applyFont="1" applyFill="1" applyBorder="1" applyAlignment="1">
      <alignment horizontal="center" vertical="center"/>
    </xf>
    <xf numFmtId="0" fontId="74" fillId="8" borderId="142" xfId="0" applyFont="1" applyFill="1" applyBorder="1" applyAlignment="1">
      <alignment horizontal="center" vertical="center"/>
    </xf>
    <xf numFmtId="41" fontId="36" fillId="8" borderId="226" xfId="2" applyFont="1" applyFill="1" applyBorder="1" applyAlignment="1">
      <alignment horizontal="center" vertical="center"/>
    </xf>
    <xf numFmtId="41" fontId="36" fillId="8" borderId="114" xfId="2" applyFont="1" applyFill="1" applyBorder="1" applyAlignment="1">
      <alignment horizontal="center" vertical="center"/>
    </xf>
    <xf numFmtId="41" fontId="36" fillId="8" borderId="227" xfId="2" applyFont="1" applyFill="1" applyBorder="1" applyAlignment="1">
      <alignment horizontal="center" vertical="center"/>
    </xf>
    <xf numFmtId="0" fontId="57" fillId="0" borderId="143" xfId="0" applyFont="1" applyBorder="1">
      <alignment vertical="center"/>
    </xf>
    <xf numFmtId="41" fontId="55" fillId="2" borderId="228" xfId="2" applyFont="1" applyFill="1" applyBorder="1" applyAlignment="1">
      <alignment horizontal="center" vertical="center"/>
    </xf>
    <xf numFmtId="41" fontId="55" fillId="2" borderId="74" xfId="2" applyFont="1" applyFill="1" applyBorder="1" applyAlignment="1">
      <alignment horizontal="center" vertical="center"/>
    </xf>
    <xf numFmtId="41" fontId="55" fillId="2" borderId="229" xfId="2" applyFont="1" applyFill="1" applyBorder="1" applyAlignment="1">
      <alignment horizontal="center" vertical="center"/>
    </xf>
    <xf numFmtId="41" fontId="55" fillId="5" borderId="0" xfId="2" applyFont="1" applyFill="1" applyAlignment="1">
      <alignment horizontal="center" vertical="center"/>
    </xf>
    <xf numFmtId="0" fontId="57" fillId="0" borderId="140" xfId="0" applyFont="1" applyBorder="1">
      <alignment vertical="center"/>
    </xf>
    <xf numFmtId="41" fontId="55" fillId="0" borderId="174" xfId="2" applyFont="1" applyBorder="1" applyAlignment="1">
      <alignment horizontal="center" vertical="center"/>
    </xf>
    <xf numFmtId="41" fontId="55" fillId="0" borderId="0" xfId="2" applyFont="1" applyBorder="1" applyAlignment="1">
      <alignment horizontal="center" vertical="center"/>
    </xf>
    <xf numFmtId="41" fontId="55" fillId="0" borderId="224" xfId="2" applyFont="1" applyBorder="1" applyAlignment="1">
      <alignment horizontal="center" vertical="center"/>
    </xf>
    <xf numFmtId="41" fontId="55" fillId="2" borderId="174" xfId="2" applyFont="1" applyFill="1" applyBorder="1" applyAlignment="1">
      <alignment horizontal="center" vertical="center"/>
    </xf>
    <xf numFmtId="41" fontId="55" fillId="2" borderId="0" xfId="2" applyFont="1" applyFill="1" applyBorder="1" applyAlignment="1">
      <alignment horizontal="center" vertical="center"/>
    </xf>
    <xf numFmtId="41" fontId="55" fillId="2" borderId="224" xfId="2" applyFont="1" applyFill="1" applyBorder="1" applyAlignment="1">
      <alignment horizontal="center" vertical="center"/>
    </xf>
    <xf numFmtId="0" fontId="57" fillId="0" borderId="142" xfId="0" applyFont="1" applyBorder="1">
      <alignment vertical="center"/>
    </xf>
    <xf numFmtId="41" fontId="55" fillId="2" borderId="226" xfId="2" applyFont="1" applyFill="1" applyBorder="1" applyAlignment="1">
      <alignment horizontal="center" vertical="center"/>
    </xf>
    <xf numFmtId="41" fontId="55" fillId="2" borderId="114" xfId="2" applyFont="1" applyFill="1" applyBorder="1" applyAlignment="1">
      <alignment horizontal="center" vertical="center"/>
    </xf>
    <xf numFmtId="41" fontId="55" fillId="2" borderId="227" xfId="2" applyFont="1" applyFill="1" applyBorder="1" applyAlignment="1">
      <alignment horizontal="center" vertical="center"/>
    </xf>
    <xf numFmtId="0" fontId="57" fillId="0" borderId="144" xfId="0" applyFont="1" applyBorder="1">
      <alignment vertical="center"/>
    </xf>
    <xf numFmtId="0" fontId="55" fillId="2" borderId="61" xfId="0" applyFont="1" applyFill="1" applyBorder="1">
      <alignment vertical="center"/>
    </xf>
    <xf numFmtId="41" fontId="55" fillId="2" borderId="177" xfId="2" applyFont="1" applyFill="1" applyBorder="1" applyAlignment="1">
      <alignment horizontal="center" vertical="center"/>
    </xf>
    <xf numFmtId="41" fontId="55" fillId="2" borderId="61" xfId="2" applyFont="1" applyFill="1" applyBorder="1" applyAlignment="1">
      <alignment horizontal="center" vertical="center"/>
    </xf>
    <xf numFmtId="41" fontId="55" fillId="2" borderId="233" xfId="2" applyFont="1" applyFill="1" applyBorder="1" applyAlignment="1">
      <alignment horizontal="center" vertical="center"/>
    </xf>
    <xf numFmtId="41" fontId="36" fillId="9" borderId="0" xfId="2" applyFont="1" applyFill="1" applyBorder="1" applyAlignment="1">
      <alignment horizontal="center" vertical="center"/>
    </xf>
    <xf numFmtId="192" fontId="36" fillId="9" borderId="176" xfId="2" applyNumberFormat="1" applyFont="1" applyFill="1" applyBorder="1" applyAlignment="1">
      <alignment horizontal="right" vertical="center"/>
    </xf>
    <xf numFmtId="192" fontId="36" fillId="9" borderId="56" xfId="2" applyNumberFormat="1" applyFont="1" applyFill="1" applyBorder="1" applyAlignment="1">
      <alignment horizontal="right" vertical="center"/>
    </xf>
    <xf numFmtId="192" fontId="36" fillId="9" borderId="223" xfId="2" applyNumberFormat="1" applyFont="1" applyFill="1" applyBorder="1" applyAlignment="1">
      <alignment horizontal="right" vertical="center"/>
    </xf>
    <xf numFmtId="41" fontId="36" fillId="9" borderId="56" xfId="2" applyFont="1" applyFill="1" applyBorder="1" applyAlignment="1">
      <alignment horizontal="right" vertical="center"/>
    </xf>
    <xf numFmtId="192" fontId="36" fillId="3" borderId="174" xfId="2" applyNumberFormat="1" applyFont="1" applyFill="1" applyBorder="1" applyAlignment="1">
      <alignment horizontal="right" vertical="center"/>
    </xf>
    <xf numFmtId="192" fontId="36" fillId="3" borderId="0" xfId="2" applyNumberFormat="1" applyFont="1" applyFill="1" applyBorder="1" applyAlignment="1">
      <alignment horizontal="right" vertical="center"/>
    </xf>
    <xf numFmtId="192" fontId="36" fillId="3" borderId="224" xfId="2" applyNumberFormat="1" applyFont="1" applyFill="1" applyBorder="1" applyAlignment="1">
      <alignment horizontal="right" vertical="center"/>
    </xf>
    <xf numFmtId="41" fontId="36" fillId="3" borderId="0" xfId="2" applyFont="1" applyFill="1" applyBorder="1" applyAlignment="1">
      <alignment horizontal="right" vertical="center"/>
    </xf>
    <xf numFmtId="192" fontId="36" fillId="8" borderId="228" xfId="2" applyNumberFormat="1" applyFont="1" applyFill="1" applyBorder="1" applyAlignment="1">
      <alignment horizontal="right" vertical="center"/>
    </xf>
    <xf numFmtId="192" fontId="36" fillId="8" borderId="74" xfId="2" applyNumberFormat="1" applyFont="1" applyFill="1" applyBorder="1" applyAlignment="1">
      <alignment horizontal="right" vertical="center"/>
    </xf>
    <xf numFmtId="192" fontId="36" fillId="8" borderId="229" xfId="2" applyNumberFormat="1" applyFont="1" applyFill="1" applyBorder="1" applyAlignment="1">
      <alignment horizontal="right" vertical="center"/>
    </xf>
    <xf numFmtId="41" fontId="36" fillId="8" borderId="74" xfId="2" applyFont="1" applyFill="1" applyBorder="1" applyAlignment="1">
      <alignment horizontal="right" vertical="center"/>
    </xf>
    <xf numFmtId="192" fontId="36" fillId="8" borderId="174" xfId="2" applyNumberFormat="1" applyFont="1" applyFill="1" applyBorder="1" applyAlignment="1">
      <alignment horizontal="right" vertical="center"/>
    </xf>
    <xf numFmtId="192" fontId="36" fillId="8" borderId="224" xfId="2" applyNumberFormat="1" applyFont="1" applyFill="1" applyBorder="1" applyAlignment="1">
      <alignment horizontal="right" vertical="center"/>
    </xf>
    <xf numFmtId="41" fontId="36" fillId="8" borderId="0" xfId="2" applyFont="1" applyFill="1" applyBorder="1" applyAlignment="1">
      <alignment horizontal="right" vertical="center"/>
    </xf>
    <xf numFmtId="192" fontId="36" fillId="8" borderId="226" xfId="2" applyNumberFormat="1" applyFont="1" applyFill="1" applyBorder="1" applyAlignment="1">
      <alignment horizontal="right" vertical="center"/>
    </xf>
    <xf numFmtId="192" fontId="36" fillId="8" borderId="114" xfId="2" applyNumberFormat="1" applyFont="1" applyFill="1" applyBorder="1" applyAlignment="1">
      <alignment horizontal="right" vertical="center"/>
    </xf>
    <xf numFmtId="192" fontId="36" fillId="8" borderId="227" xfId="2" applyNumberFormat="1" applyFont="1" applyFill="1" applyBorder="1" applyAlignment="1">
      <alignment horizontal="right" vertical="center"/>
    </xf>
    <xf numFmtId="41" fontId="36" fillId="8" borderId="114" xfId="2" applyFont="1" applyFill="1" applyBorder="1" applyAlignment="1">
      <alignment horizontal="right" vertical="center"/>
    </xf>
    <xf numFmtId="192" fontId="55" fillId="2" borderId="228" xfId="2" applyNumberFormat="1" applyFont="1" applyFill="1" applyBorder="1" applyAlignment="1">
      <alignment horizontal="right" vertical="center"/>
    </xf>
    <xf numFmtId="192" fontId="55" fillId="2" borderId="74" xfId="2" applyNumberFormat="1" applyFont="1" applyFill="1" applyBorder="1" applyAlignment="1">
      <alignment horizontal="right" vertical="center"/>
    </xf>
    <xf numFmtId="192" fontId="55" fillId="2" borderId="229" xfId="2" applyNumberFormat="1" applyFont="1" applyFill="1" applyBorder="1" applyAlignment="1">
      <alignment horizontal="right" vertical="center"/>
    </xf>
    <xf numFmtId="192" fontId="55" fillId="5" borderId="0" xfId="2" applyNumberFormat="1" applyFont="1" applyFill="1" applyAlignment="1">
      <alignment horizontal="right" vertical="center"/>
    </xf>
    <xf numFmtId="192" fontId="55" fillId="0" borderId="174" xfId="2" applyNumberFormat="1" applyFont="1" applyBorder="1" applyAlignment="1">
      <alignment horizontal="right" vertical="center"/>
    </xf>
    <xf numFmtId="192" fontId="55" fillId="0" borderId="0" xfId="2" applyNumberFormat="1" applyFont="1" applyBorder="1" applyAlignment="1">
      <alignment horizontal="right" vertical="center"/>
    </xf>
    <xf numFmtId="192" fontId="55" fillId="0" borderId="224" xfId="2" applyNumberFormat="1" applyFont="1" applyBorder="1" applyAlignment="1">
      <alignment horizontal="right" vertical="center"/>
    </xf>
    <xf numFmtId="192" fontId="55" fillId="2" borderId="174" xfId="2" applyNumberFormat="1" applyFont="1" applyFill="1" applyBorder="1" applyAlignment="1">
      <alignment horizontal="right" vertical="center"/>
    </xf>
    <xf numFmtId="192" fontId="55" fillId="2" borderId="0" xfId="2" applyNumberFormat="1" applyFont="1" applyFill="1" applyBorder="1" applyAlignment="1">
      <alignment horizontal="right" vertical="center"/>
    </xf>
    <xf numFmtId="192" fontId="55" fillId="2" borderId="224" xfId="2" applyNumberFormat="1" applyFont="1" applyFill="1" applyBorder="1" applyAlignment="1">
      <alignment horizontal="right" vertical="center"/>
    </xf>
    <xf numFmtId="192" fontId="55" fillId="2" borderId="226" xfId="2" applyNumberFormat="1" applyFont="1" applyFill="1" applyBorder="1" applyAlignment="1">
      <alignment horizontal="right" vertical="center"/>
    </xf>
    <xf numFmtId="192" fontId="55" fillId="2" borderId="114" xfId="2" applyNumberFormat="1" applyFont="1" applyFill="1" applyBorder="1" applyAlignment="1">
      <alignment horizontal="right" vertical="center"/>
    </xf>
    <xf numFmtId="192" fontId="55" fillId="2" borderId="227" xfId="2" applyNumberFormat="1" applyFont="1" applyFill="1" applyBorder="1" applyAlignment="1">
      <alignment horizontal="right" vertical="center"/>
    </xf>
    <xf numFmtId="192" fontId="55" fillId="2" borderId="177" xfId="2" applyNumberFormat="1" applyFont="1" applyFill="1" applyBorder="1" applyAlignment="1">
      <alignment horizontal="right" vertical="center"/>
    </xf>
    <xf numFmtId="192" fontId="55" fillId="2" borderId="61" xfId="2" applyNumberFormat="1" applyFont="1" applyFill="1" applyBorder="1" applyAlignment="1">
      <alignment horizontal="right" vertical="center"/>
    </xf>
    <xf numFmtId="192" fontId="55" fillId="2" borderId="233" xfId="2" applyNumberFormat="1" applyFont="1" applyFill="1" applyBorder="1" applyAlignment="1">
      <alignment horizontal="right" vertical="center"/>
    </xf>
    <xf numFmtId="195" fontId="36" fillId="9" borderId="176" xfId="2" applyNumberFormat="1" applyFont="1" applyFill="1" applyBorder="1" applyAlignment="1">
      <alignment horizontal="center" vertical="center"/>
    </xf>
    <xf numFmtId="195" fontId="36" fillId="9" borderId="56" xfId="2" applyNumberFormat="1" applyFont="1" applyFill="1" applyBorder="1" applyAlignment="1">
      <alignment horizontal="center" vertical="center"/>
    </xf>
    <xf numFmtId="195" fontId="36" fillId="9" borderId="223" xfId="2" applyNumberFormat="1" applyFont="1" applyFill="1" applyBorder="1" applyAlignment="1">
      <alignment horizontal="center" vertical="center"/>
    </xf>
    <xf numFmtId="209" fontId="36" fillId="9" borderId="56" xfId="2" applyNumberFormat="1" applyFont="1" applyFill="1" applyBorder="1" applyAlignment="1">
      <alignment horizontal="right" vertical="center"/>
    </xf>
    <xf numFmtId="195" fontId="36" fillId="3" borderId="174" xfId="2" applyNumberFormat="1" applyFont="1" applyFill="1" applyBorder="1" applyAlignment="1">
      <alignment horizontal="center" vertical="center"/>
    </xf>
    <xf numFmtId="195" fontId="36" fillId="3" borderId="0" xfId="2" applyNumberFormat="1" applyFont="1" applyFill="1" applyBorder="1" applyAlignment="1">
      <alignment horizontal="center" vertical="center"/>
    </xf>
    <xf numFmtId="195" fontId="36" fillId="8" borderId="228" xfId="2" applyNumberFormat="1" applyFont="1" applyFill="1" applyBorder="1" applyAlignment="1">
      <alignment horizontal="center" vertical="center"/>
    </xf>
    <xf numFmtId="195" fontId="36" fillId="8" borderId="74" xfId="2" applyNumberFormat="1" applyFont="1" applyFill="1" applyBorder="1" applyAlignment="1">
      <alignment horizontal="center" vertical="center"/>
    </xf>
    <xf numFmtId="195" fontId="36" fillId="8" borderId="229" xfId="2" applyNumberFormat="1" applyFont="1" applyFill="1" applyBorder="1" applyAlignment="1">
      <alignment horizontal="center" vertical="center"/>
    </xf>
    <xf numFmtId="209" fontId="36" fillId="8" borderId="74" xfId="2" applyNumberFormat="1" applyFont="1" applyFill="1" applyBorder="1" applyAlignment="1">
      <alignment horizontal="right" vertical="center"/>
    </xf>
    <xf numFmtId="195" fontId="36" fillId="8" borderId="174" xfId="2" applyNumberFormat="1" applyFont="1" applyFill="1" applyBorder="1" applyAlignment="1">
      <alignment horizontal="center" vertical="center"/>
    </xf>
    <xf numFmtId="195" fontId="36" fillId="8" borderId="224" xfId="2" applyNumberFormat="1" applyFont="1" applyFill="1" applyBorder="1" applyAlignment="1">
      <alignment horizontal="center" vertical="center"/>
    </xf>
    <xf numFmtId="209" fontId="36" fillId="8" borderId="0" xfId="2" applyNumberFormat="1" applyFont="1" applyFill="1" applyBorder="1" applyAlignment="1">
      <alignment horizontal="right" vertical="center"/>
    </xf>
    <xf numFmtId="195" fontId="36" fillId="8" borderId="226" xfId="2" applyNumberFormat="1" applyFont="1" applyFill="1" applyBorder="1" applyAlignment="1">
      <alignment horizontal="center" vertical="center"/>
    </xf>
    <xf numFmtId="195" fontId="36" fillId="8" borderId="114" xfId="2" applyNumberFormat="1" applyFont="1" applyFill="1" applyBorder="1" applyAlignment="1">
      <alignment horizontal="center" vertical="center"/>
    </xf>
    <xf numFmtId="195" fontId="36" fillId="8" borderId="227" xfId="2" applyNumberFormat="1" applyFont="1" applyFill="1" applyBorder="1" applyAlignment="1">
      <alignment horizontal="center" vertical="center"/>
    </xf>
    <xf numFmtId="209" fontId="36" fillId="8" borderId="114" xfId="2" applyNumberFormat="1" applyFont="1" applyFill="1" applyBorder="1" applyAlignment="1">
      <alignment horizontal="right" vertical="center"/>
    </xf>
    <xf numFmtId="195" fontId="55" fillId="2" borderId="228" xfId="2" applyNumberFormat="1" applyFont="1" applyFill="1" applyBorder="1" applyAlignment="1">
      <alignment horizontal="center" vertical="center"/>
    </xf>
    <xf numFmtId="195" fontId="55" fillId="2" borderId="74" xfId="2" applyNumberFormat="1" applyFont="1" applyFill="1" applyBorder="1" applyAlignment="1">
      <alignment horizontal="center" vertical="center"/>
    </xf>
    <xf numFmtId="195" fontId="55" fillId="2" borderId="229" xfId="2" applyNumberFormat="1" applyFont="1" applyFill="1" applyBorder="1" applyAlignment="1">
      <alignment horizontal="center" vertical="center"/>
    </xf>
    <xf numFmtId="209" fontId="55" fillId="2" borderId="74" xfId="2" applyNumberFormat="1" applyFont="1" applyFill="1" applyBorder="1" applyAlignment="1">
      <alignment horizontal="right" vertical="center"/>
    </xf>
    <xf numFmtId="195" fontId="55" fillId="0" borderId="174" xfId="2" applyNumberFormat="1" applyFont="1" applyBorder="1" applyAlignment="1">
      <alignment horizontal="center" vertical="center"/>
    </xf>
    <xf numFmtId="195" fontId="55" fillId="0" borderId="0" xfId="2" applyNumberFormat="1" applyFont="1" applyBorder="1" applyAlignment="1">
      <alignment horizontal="center" vertical="center"/>
    </xf>
    <xf numFmtId="195" fontId="55" fillId="0" borderId="224" xfId="2" applyNumberFormat="1" applyFont="1" applyBorder="1" applyAlignment="1">
      <alignment horizontal="center" vertical="center"/>
    </xf>
    <xf numFmtId="209" fontId="55" fillId="0" borderId="0" xfId="2" applyNumberFormat="1" applyFont="1" applyBorder="1" applyAlignment="1">
      <alignment horizontal="right" vertical="center"/>
    </xf>
    <xf numFmtId="195" fontId="55" fillId="2" borderId="174" xfId="2" applyNumberFormat="1" applyFont="1" applyFill="1" applyBorder="1" applyAlignment="1">
      <alignment horizontal="center" vertical="center"/>
    </xf>
    <xf numFmtId="195" fontId="55" fillId="2" borderId="0" xfId="2" applyNumberFormat="1" applyFont="1" applyFill="1" applyBorder="1" applyAlignment="1">
      <alignment horizontal="center" vertical="center"/>
    </xf>
    <xf numFmtId="195" fontId="55" fillId="2" borderId="224" xfId="2" applyNumberFormat="1" applyFont="1" applyFill="1" applyBorder="1" applyAlignment="1">
      <alignment horizontal="center" vertical="center"/>
    </xf>
    <xf numFmtId="209" fontId="55" fillId="2" borderId="0" xfId="2" applyNumberFormat="1" applyFont="1" applyFill="1" applyBorder="1" applyAlignment="1">
      <alignment horizontal="right" vertical="center"/>
    </xf>
    <xf numFmtId="195" fontId="55" fillId="2" borderId="226" xfId="2" applyNumberFormat="1" applyFont="1" applyFill="1" applyBorder="1" applyAlignment="1">
      <alignment horizontal="center" vertical="center"/>
    </xf>
    <xf numFmtId="195" fontId="55" fillId="2" borderId="114" xfId="2" applyNumberFormat="1" applyFont="1" applyFill="1" applyBorder="1" applyAlignment="1">
      <alignment horizontal="center" vertical="center"/>
    </xf>
    <xf numFmtId="195" fontId="55" fillId="2" borderId="227" xfId="2" applyNumberFormat="1" applyFont="1" applyFill="1" applyBorder="1" applyAlignment="1">
      <alignment horizontal="center" vertical="center"/>
    </xf>
    <xf numFmtId="209" fontId="55" fillId="2" borderId="114" xfId="2" applyNumberFormat="1" applyFont="1" applyFill="1" applyBorder="1" applyAlignment="1">
      <alignment horizontal="right" vertical="center"/>
    </xf>
    <xf numFmtId="195" fontId="36" fillId="5" borderId="0" xfId="2" applyNumberFormat="1" applyFont="1" applyFill="1" applyAlignment="1">
      <alignment horizontal="center" vertical="center"/>
    </xf>
    <xf numFmtId="195" fontId="36" fillId="3" borderId="224" xfId="2" applyNumberFormat="1" applyFont="1" applyFill="1" applyBorder="1" applyAlignment="1">
      <alignment horizontal="center" vertical="center"/>
    </xf>
    <xf numFmtId="195" fontId="55" fillId="2" borderId="177" xfId="2" applyNumberFormat="1" applyFont="1" applyFill="1" applyBorder="1" applyAlignment="1">
      <alignment horizontal="center" vertical="center"/>
    </xf>
    <xf numFmtId="195" fontId="55" fillId="2" borderId="61" xfId="2" applyNumberFormat="1" applyFont="1" applyFill="1" applyBorder="1" applyAlignment="1">
      <alignment horizontal="center" vertical="center"/>
    </xf>
    <xf numFmtId="195" fontId="55" fillId="2" borderId="233" xfId="2" applyNumberFormat="1" applyFont="1" applyFill="1" applyBorder="1" applyAlignment="1">
      <alignment horizontal="center" vertical="center"/>
    </xf>
    <xf numFmtId="209" fontId="55" fillId="2" borderId="61" xfId="2" applyNumberFormat="1" applyFont="1" applyFill="1" applyBorder="1" applyAlignment="1">
      <alignment horizontal="right" vertical="center"/>
    </xf>
    <xf numFmtId="195" fontId="36" fillId="9" borderId="56" xfId="2" applyNumberFormat="1" applyFont="1" applyFill="1" applyBorder="1" applyAlignment="1">
      <alignment horizontal="right" vertical="center"/>
    </xf>
    <xf numFmtId="195" fontId="36" fillId="8" borderId="74" xfId="2" applyNumberFormat="1" applyFont="1" applyFill="1" applyBorder="1" applyAlignment="1">
      <alignment horizontal="right" vertical="center"/>
    </xf>
    <xf numFmtId="195" fontId="36" fillId="8" borderId="0" xfId="2" applyNumberFormat="1" applyFont="1" applyFill="1" applyBorder="1" applyAlignment="1">
      <alignment horizontal="right" vertical="center"/>
    </xf>
    <xf numFmtId="195" fontId="36" fillId="8" borderId="114" xfId="2" applyNumberFormat="1" applyFont="1" applyFill="1" applyBorder="1" applyAlignment="1">
      <alignment horizontal="right" vertical="center"/>
    </xf>
    <xf numFmtId="195" fontId="55" fillId="2" borderId="74" xfId="2" applyNumberFormat="1" applyFont="1" applyFill="1" applyBorder="1" applyAlignment="1">
      <alignment horizontal="right" vertical="center"/>
    </xf>
    <xf numFmtId="195" fontId="55" fillId="0" borderId="0" xfId="2" applyNumberFormat="1" applyFont="1" applyBorder="1" applyAlignment="1">
      <alignment horizontal="right" vertical="center"/>
    </xf>
    <xf numFmtId="195" fontId="55" fillId="2" borderId="0" xfId="2" applyNumberFormat="1" applyFont="1" applyFill="1" applyBorder="1" applyAlignment="1">
      <alignment horizontal="right" vertical="center"/>
    </xf>
    <xf numFmtId="195" fontId="55" fillId="2" borderId="61" xfId="2" applyNumberFormat="1" applyFont="1" applyFill="1" applyBorder="1" applyAlignment="1">
      <alignment horizontal="right" vertical="center"/>
    </xf>
    <xf numFmtId="0" fontId="44" fillId="0" borderId="0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9" fillId="0" borderId="1147" xfId="0" applyFont="1" applyFill="1" applyBorder="1" applyAlignment="1">
      <alignment horizontal="center" vertical="center" wrapText="1"/>
    </xf>
    <xf numFmtId="0" fontId="12" fillId="0" borderId="976" xfId="0" applyFont="1" applyFill="1" applyBorder="1" applyAlignment="1">
      <alignment horizontal="center" vertical="center"/>
    </xf>
    <xf numFmtId="0" fontId="10" fillId="0" borderId="976" xfId="0" applyFont="1" applyFill="1" applyBorder="1" applyAlignment="1">
      <alignment horizontal="left" vertical="center"/>
    </xf>
    <xf numFmtId="0" fontId="0" fillId="0" borderId="976" xfId="0" applyFill="1" applyBorder="1" applyAlignment="1">
      <alignment horizontal="center" vertical="center"/>
    </xf>
    <xf numFmtId="0" fontId="0" fillId="0" borderId="1150" xfId="0" applyFill="1" applyBorder="1" applyAlignment="1">
      <alignment horizontal="center" vertical="center"/>
    </xf>
    <xf numFmtId="0" fontId="9" fillId="0" borderId="1149" xfId="0" applyFont="1" applyFill="1" applyBorder="1" applyAlignment="1">
      <alignment horizontal="center" vertical="center" wrapText="1"/>
    </xf>
    <xf numFmtId="0" fontId="12" fillId="0" borderId="961" xfId="0" applyFont="1" applyFill="1" applyBorder="1" applyAlignment="1">
      <alignment horizontal="center" vertical="center"/>
    </xf>
    <xf numFmtId="0" fontId="10" fillId="0" borderId="961" xfId="0" applyFont="1" applyFill="1" applyBorder="1" applyAlignment="1">
      <alignment horizontal="left" vertical="center"/>
    </xf>
    <xf numFmtId="0" fontId="0" fillId="0" borderId="961" xfId="0" applyFill="1" applyBorder="1" applyAlignment="1">
      <alignment horizontal="center" vertical="center"/>
    </xf>
    <xf numFmtId="0" fontId="0" fillId="0" borderId="1151" xfId="0" applyFill="1" applyBorder="1" applyAlignment="1">
      <alignment horizontal="center" vertical="center"/>
    </xf>
    <xf numFmtId="0" fontId="0" fillId="0" borderId="1147" xfId="0" applyFill="1" applyBorder="1" applyAlignment="1">
      <alignment horizontal="center" vertical="center"/>
    </xf>
    <xf numFmtId="0" fontId="0" fillId="0" borderId="1149" xfId="0" applyFill="1" applyBorder="1" applyAlignment="1">
      <alignment horizontal="center" vertical="center"/>
    </xf>
    <xf numFmtId="0" fontId="0" fillId="0" borderId="976" xfId="0" applyBorder="1" applyAlignment="1">
      <alignment horizontal="center" vertical="center"/>
    </xf>
    <xf numFmtId="0" fontId="0" fillId="0" borderId="961" xfId="0" applyBorder="1" applyAlignment="1">
      <alignment horizontal="center" vertical="center"/>
    </xf>
    <xf numFmtId="0" fontId="22" fillId="0" borderId="1147" xfId="0" applyFont="1" applyBorder="1" applyAlignment="1">
      <alignment horizontal="center" vertical="center"/>
    </xf>
    <xf numFmtId="0" fontId="22" fillId="0" borderId="1149" xfId="0" applyFont="1" applyBorder="1" applyAlignment="1">
      <alignment horizontal="center" vertical="center"/>
    </xf>
    <xf numFmtId="0" fontId="36" fillId="12" borderId="327" xfId="0" applyFont="1" applyFill="1" applyBorder="1">
      <alignment vertical="center"/>
    </xf>
    <xf numFmtId="0" fontId="36" fillId="12" borderId="0" xfId="0" applyFont="1" applyFill="1">
      <alignment vertical="center"/>
    </xf>
    <xf numFmtId="0" fontId="36" fillId="12" borderId="0" xfId="0" applyFont="1" applyFill="1" applyBorder="1">
      <alignment vertical="center"/>
    </xf>
    <xf numFmtId="1" fontId="36" fillId="12" borderId="0" xfId="0" applyNumberFormat="1" applyFont="1" applyFill="1" applyBorder="1">
      <alignment vertical="center"/>
    </xf>
    <xf numFmtId="41" fontId="36" fillId="12" borderId="0" xfId="2" applyFont="1" applyFill="1" applyBorder="1">
      <alignment vertical="center"/>
    </xf>
    <xf numFmtId="178" fontId="36" fillId="77" borderId="0" xfId="0" applyNumberFormat="1" applyFont="1" applyFill="1">
      <alignment vertical="center"/>
    </xf>
    <xf numFmtId="233" fontId="51" fillId="76" borderId="963" xfId="0" applyNumberFormat="1" applyFont="1" applyFill="1" applyBorder="1" applyAlignment="1">
      <alignment horizontal="center" vertical="center"/>
    </xf>
    <xf numFmtId="234" fontId="136" fillId="76" borderId="965" xfId="0" applyNumberFormat="1" applyFont="1" applyFill="1" applyBorder="1" applyAlignment="1">
      <alignment horizontal="center" vertical="center"/>
    </xf>
    <xf numFmtId="236" fontId="108" fillId="76" borderId="963" xfId="0" applyNumberFormat="1" applyFont="1" applyFill="1" applyBorder="1" applyAlignment="1">
      <alignment horizontal="center" vertical="center"/>
    </xf>
    <xf numFmtId="234" fontId="136" fillId="76" borderId="963" xfId="0" applyNumberFormat="1" applyFont="1" applyFill="1" applyBorder="1" applyAlignment="1">
      <alignment horizontal="center" vertical="center"/>
    </xf>
    <xf numFmtId="236" fontId="108" fillId="76" borderId="966" xfId="0" applyNumberFormat="1" applyFont="1" applyFill="1" applyBorder="1" applyAlignment="1">
      <alignment horizontal="center" vertical="center"/>
    </xf>
    <xf numFmtId="236" fontId="103" fillId="5" borderId="944" xfId="0" applyNumberFormat="1" applyFont="1" applyFill="1" applyBorder="1" applyAlignment="1">
      <alignment horizontal="center" vertical="center"/>
    </xf>
    <xf numFmtId="236" fontId="108" fillId="5" borderId="963" xfId="0" applyNumberFormat="1" applyFont="1" applyFill="1" applyBorder="1" applyAlignment="1">
      <alignment horizontal="center" vertical="center"/>
    </xf>
    <xf numFmtId="234" fontId="139" fillId="5" borderId="967" xfId="0" applyNumberFormat="1" applyFont="1" applyFill="1" applyBorder="1" applyAlignment="1">
      <alignment horizontal="center" vertical="center"/>
    </xf>
    <xf numFmtId="234" fontId="61" fillId="5" borderId="1088" xfId="0" applyNumberFormat="1" applyFont="1" applyFill="1" applyBorder="1" applyAlignment="1">
      <alignment horizontal="center" vertical="center"/>
    </xf>
    <xf numFmtId="236" fontId="103" fillId="5" borderId="936" xfId="0" applyNumberFormat="1" applyFont="1" applyFill="1" applyBorder="1" applyAlignment="1">
      <alignment horizontal="center" vertical="center"/>
    </xf>
    <xf numFmtId="234" fontId="103" fillId="5" borderId="936" xfId="0" applyNumberFormat="1" applyFont="1" applyFill="1" applyBorder="1" applyAlignment="1">
      <alignment horizontal="center" vertical="center"/>
    </xf>
    <xf numFmtId="234" fontId="139" fillId="5" borderId="963" xfId="0" applyNumberFormat="1" applyFont="1" applyFill="1" applyBorder="1" applyAlignment="1">
      <alignment horizontal="center" vertical="center"/>
    </xf>
    <xf numFmtId="234" fontId="136" fillId="76" borderId="968" xfId="0" applyNumberFormat="1" applyFont="1" applyFill="1" applyBorder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41" fontId="36" fillId="6" borderId="376" xfId="0" applyNumberFormat="1" applyFont="1" applyFill="1" applyBorder="1">
      <alignment vertical="center"/>
    </xf>
    <xf numFmtId="41" fontId="36" fillId="2" borderId="376" xfId="0" applyNumberFormat="1" applyFont="1" applyFill="1" applyBorder="1">
      <alignment vertical="center"/>
    </xf>
    <xf numFmtId="41" fontId="36" fillId="0" borderId="376" xfId="0" applyNumberFormat="1" applyFont="1" applyFill="1" applyBorder="1">
      <alignment vertical="center"/>
    </xf>
    <xf numFmtId="192" fontId="36" fillId="0" borderId="0" xfId="2" applyNumberFormat="1" applyFont="1">
      <alignment vertical="center"/>
    </xf>
    <xf numFmtId="0" fontId="36" fillId="4" borderId="61" xfId="0" quotePrefix="1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/>
    </xf>
    <xf numFmtId="202" fontId="36" fillId="3" borderId="56" xfId="0" applyNumberFormat="1" applyFont="1" applyFill="1" applyBorder="1">
      <alignment vertical="center"/>
    </xf>
    <xf numFmtId="202" fontId="36" fillId="3" borderId="0" xfId="0" applyNumberFormat="1" applyFont="1" applyFill="1">
      <alignment vertical="center"/>
    </xf>
    <xf numFmtId="203" fontId="36" fillId="3" borderId="0" xfId="0" applyNumberFormat="1" applyFont="1" applyFill="1">
      <alignment vertical="center"/>
    </xf>
    <xf numFmtId="41" fontId="36" fillId="3" borderId="0" xfId="0" applyNumberFormat="1" applyFont="1" applyFill="1">
      <alignment vertical="center"/>
    </xf>
    <xf numFmtId="41" fontId="36" fillId="3" borderId="0" xfId="2" applyFont="1" applyFill="1">
      <alignment vertical="center"/>
    </xf>
    <xf numFmtId="203" fontId="36" fillId="0" borderId="0" xfId="0" applyNumberFormat="1" applyFont="1">
      <alignment vertical="center"/>
    </xf>
    <xf numFmtId="222" fontId="36" fillId="0" borderId="0" xfId="0" applyNumberFormat="1" applyFont="1">
      <alignment vertical="center"/>
    </xf>
    <xf numFmtId="207" fontId="36" fillId="3" borderId="114" xfId="0" applyNumberFormat="1" applyFont="1" applyFill="1" applyBorder="1">
      <alignment vertical="center"/>
    </xf>
    <xf numFmtId="202" fontId="36" fillId="0" borderId="74" xfId="0" applyNumberFormat="1" applyFont="1" applyBorder="1">
      <alignment vertical="center"/>
    </xf>
    <xf numFmtId="203" fontId="36" fillId="0" borderId="74" xfId="0" applyNumberFormat="1" applyFont="1" applyBorder="1">
      <alignment vertical="center"/>
    </xf>
    <xf numFmtId="207" fontId="36" fillId="3" borderId="61" xfId="0" applyNumberFormat="1" applyFont="1" applyFill="1" applyBorder="1">
      <alignment vertical="center"/>
    </xf>
    <xf numFmtId="207" fontId="36" fillId="3" borderId="0" xfId="0" applyNumberFormat="1" applyFont="1" applyFill="1">
      <alignment vertical="center"/>
    </xf>
    <xf numFmtId="207" fontId="36" fillId="0" borderId="0" xfId="0" applyNumberFormat="1" applyFont="1">
      <alignment vertical="center"/>
    </xf>
    <xf numFmtId="41" fontId="36" fillId="3" borderId="56" xfId="2" applyFont="1" applyFill="1" applyBorder="1">
      <alignment vertical="center"/>
    </xf>
    <xf numFmtId="41" fontId="36" fillId="3" borderId="74" xfId="2" applyFont="1" applyFill="1" applyBorder="1">
      <alignment vertical="center"/>
    </xf>
    <xf numFmtId="176" fontId="36" fillId="3" borderId="74" xfId="2" applyNumberFormat="1" applyFont="1" applyFill="1" applyBorder="1">
      <alignment vertical="center"/>
    </xf>
    <xf numFmtId="176" fontId="36" fillId="0" borderId="0" xfId="3" applyNumberFormat="1" applyFont="1" applyFill="1" applyBorder="1">
      <alignment vertical="center"/>
    </xf>
    <xf numFmtId="176" fontId="36" fillId="0" borderId="61" xfId="3" applyNumberFormat="1" applyFont="1" applyFill="1" applyBorder="1">
      <alignment vertical="center"/>
    </xf>
    <xf numFmtId="202" fontId="36" fillId="0" borderId="56" xfId="0" applyNumberFormat="1" applyFont="1" applyBorder="1">
      <alignment vertical="center"/>
    </xf>
    <xf numFmtId="203" fontId="36" fillId="0" borderId="56" xfId="0" applyNumberFormat="1" applyFont="1" applyBorder="1">
      <alignment vertical="center"/>
    </xf>
    <xf numFmtId="0" fontId="43" fillId="0" borderId="629" xfId="0" applyFont="1" applyBorder="1" applyAlignment="1">
      <alignment horizontal="left" vertical="center"/>
    </xf>
    <xf numFmtId="0" fontId="36" fillId="0" borderId="629" xfId="0" applyFont="1" applyBorder="1">
      <alignment vertical="center"/>
    </xf>
    <xf numFmtId="41" fontId="36" fillId="0" borderId="629" xfId="2" applyFont="1" applyBorder="1">
      <alignment vertical="center"/>
    </xf>
    <xf numFmtId="41" fontId="36" fillId="0" borderId="56" xfId="2" applyFont="1" applyBorder="1">
      <alignment vertical="center"/>
    </xf>
    <xf numFmtId="41" fontId="49" fillId="0" borderId="0" xfId="2" applyFont="1" applyAlignment="1">
      <alignment horizontal="center" vertical="center"/>
    </xf>
    <xf numFmtId="0" fontId="36" fillId="0" borderId="0" xfId="2" applyNumberFormat="1" applyFont="1">
      <alignment vertical="center"/>
    </xf>
    <xf numFmtId="248" fontId="36" fillId="0" borderId="0" xfId="0" applyNumberFormat="1" applyFont="1">
      <alignment vertical="center"/>
    </xf>
    <xf numFmtId="0" fontId="36" fillId="0" borderId="813" xfId="0" applyFont="1" applyBorder="1">
      <alignment vertical="center"/>
    </xf>
    <xf numFmtId="248" fontId="36" fillId="3" borderId="813" xfId="0" applyNumberFormat="1" applyFont="1" applyFill="1" applyBorder="1">
      <alignment vertical="center"/>
    </xf>
    <xf numFmtId="0" fontId="43" fillId="0" borderId="1132" xfId="0" applyFont="1" applyBorder="1">
      <alignment vertical="center"/>
    </xf>
    <xf numFmtId="0" fontId="36" fillId="0" borderId="1132" xfId="0" applyFont="1" applyBorder="1">
      <alignment vertical="center"/>
    </xf>
    <xf numFmtId="41" fontId="36" fillId="0" borderId="1132" xfId="2" applyFont="1" applyBorder="1">
      <alignment vertical="center"/>
    </xf>
    <xf numFmtId="0" fontId="43" fillId="0" borderId="813" xfId="0" applyFont="1" applyBorder="1">
      <alignment vertical="center"/>
    </xf>
    <xf numFmtId="248" fontId="36" fillId="3" borderId="645" xfId="0" applyNumberFormat="1" applyFont="1" applyFill="1" applyBorder="1">
      <alignment vertical="center"/>
    </xf>
    <xf numFmtId="176" fontId="36" fillId="11" borderId="0" xfId="3" applyNumberFormat="1" applyFont="1" applyFill="1" applyAlignment="1">
      <alignment horizontal="center" vertical="center"/>
    </xf>
    <xf numFmtId="41" fontId="43" fillId="11" borderId="0" xfId="0" applyNumberFormat="1" applyFont="1" applyFill="1">
      <alignment vertical="center"/>
    </xf>
    <xf numFmtId="41" fontId="43" fillId="11" borderId="4" xfId="2" applyFont="1" applyFill="1" applyBorder="1">
      <alignment vertical="center"/>
    </xf>
    <xf numFmtId="41" fontId="36" fillId="11" borderId="9" xfId="2" applyFont="1" applyFill="1" applyBorder="1">
      <alignment vertical="center"/>
    </xf>
    <xf numFmtId="41" fontId="36" fillId="11" borderId="4" xfId="2" applyFont="1" applyFill="1" applyBorder="1">
      <alignment vertical="center"/>
    </xf>
    <xf numFmtId="41" fontId="36" fillId="11" borderId="411" xfId="2" applyFont="1" applyFill="1" applyBorder="1">
      <alignment vertical="center"/>
    </xf>
    <xf numFmtId="202" fontId="36" fillId="11" borderId="4" xfId="0" applyNumberFormat="1" applyFont="1" applyFill="1" applyBorder="1">
      <alignment vertical="center"/>
    </xf>
    <xf numFmtId="202" fontId="108" fillId="53" borderId="976" xfId="0" applyNumberFormat="1" applyFont="1" applyFill="1" applyBorder="1">
      <alignment vertical="center"/>
    </xf>
    <xf numFmtId="0" fontId="108" fillId="53" borderId="976" xfId="0" applyFont="1" applyFill="1" applyBorder="1">
      <alignment vertical="center"/>
    </xf>
    <xf numFmtId="41" fontId="36" fillId="11" borderId="4" xfId="0" applyNumberFormat="1" applyFont="1" applyFill="1" applyBorder="1">
      <alignment vertical="center"/>
    </xf>
    <xf numFmtId="41" fontId="36" fillId="11" borderId="4" xfId="0" applyNumberFormat="1" applyFont="1" applyFill="1" applyBorder="1" applyAlignment="1">
      <alignment horizontal="right" vertical="center"/>
    </xf>
    <xf numFmtId="0" fontId="43" fillId="11" borderId="0" xfId="0" applyFont="1" applyFill="1">
      <alignment vertical="center"/>
    </xf>
    <xf numFmtId="41" fontId="43" fillId="11" borderId="0" xfId="2" applyFont="1" applyFill="1">
      <alignment vertical="center"/>
    </xf>
    <xf numFmtId="202" fontId="36" fillId="11" borderId="0" xfId="0" applyNumberFormat="1" applyFont="1" applyFill="1">
      <alignment vertical="center"/>
    </xf>
    <xf numFmtId="202" fontId="108" fillId="53" borderId="0" xfId="0" applyNumberFormat="1" applyFont="1" applyFill="1">
      <alignment vertical="center"/>
    </xf>
    <xf numFmtId="3" fontId="108" fillId="53" borderId="0" xfId="0" applyNumberFormat="1" applyFont="1" applyFill="1">
      <alignment vertical="center"/>
    </xf>
    <xf numFmtId="202" fontId="36" fillId="11" borderId="0" xfId="0" applyNumberFormat="1" applyFont="1" applyFill="1" applyAlignment="1">
      <alignment horizontal="right" vertical="center"/>
    </xf>
    <xf numFmtId="202" fontId="36" fillId="11" borderId="0" xfId="2" applyNumberFormat="1" applyFont="1" applyFill="1">
      <alignment vertical="center"/>
    </xf>
    <xf numFmtId="3" fontId="36" fillId="11" borderId="0" xfId="0" applyNumberFormat="1" applyFont="1" applyFill="1">
      <alignment vertical="center"/>
    </xf>
    <xf numFmtId="0" fontId="47" fillId="11" borderId="0" xfId="0" applyFont="1" applyFill="1" applyAlignment="1">
      <alignment horizontal="center" vertical="center"/>
    </xf>
    <xf numFmtId="176" fontId="47" fillId="11" borderId="0" xfId="3" applyNumberFormat="1" applyFont="1" applyFill="1" applyAlignment="1">
      <alignment horizontal="center" vertical="center"/>
    </xf>
    <xf numFmtId="187" fontId="36" fillId="11" borderId="11" xfId="0" applyNumberFormat="1" applyFont="1" applyFill="1" applyBorder="1" applyAlignment="1">
      <alignment horizontal="right" vertical="center"/>
    </xf>
    <xf numFmtId="187" fontId="36" fillId="11" borderId="0" xfId="0" applyNumberFormat="1" applyFont="1" applyFill="1" applyAlignment="1">
      <alignment horizontal="right" vertical="center"/>
    </xf>
    <xf numFmtId="176" fontId="36" fillId="11" borderId="0" xfId="3" applyNumberFormat="1" applyFont="1" applyFill="1" applyBorder="1" applyAlignment="1">
      <alignment horizontal="right" vertical="center"/>
    </xf>
    <xf numFmtId="176" fontId="108" fillId="53" borderId="0" xfId="3" applyNumberFormat="1" applyFont="1" applyFill="1" applyBorder="1" applyAlignment="1">
      <alignment horizontal="right" vertical="center"/>
    </xf>
    <xf numFmtId="176" fontId="140" fillId="53" borderId="0" xfId="0" applyNumberFormat="1" applyFont="1" applyFill="1" applyAlignment="1">
      <alignment horizontal="center" vertical="center"/>
    </xf>
    <xf numFmtId="176" fontId="36" fillId="11" borderId="0" xfId="0" applyNumberFormat="1" applyFont="1" applyFill="1" applyAlignment="1">
      <alignment horizontal="center" vertical="center"/>
    </xf>
    <xf numFmtId="176" fontId="36" fillId="11" borderId="0" xfId="0" applyNumberFormat="1" applyFont="1" applyFill="1" applyAlignment="1">
      <alignment horizontal="right" vertical="center"/>
    </xf>
    <xf numFmtId="176" fontId="47" fillId="11" borderId="0" xfId="0" applyNumberFormat="1" applyFont="1" applyFill="1" applyAlignment="1">
      <alignment horizontal="center" vertical="center"/>
    </xf>
    <xf numFmtId="176" fontId="36" fillId="3" borderId="0" xfId="3" applyNumberFormat="1" applyFont="1" applyFill="1">
      <alignment vertical="center"/>
    </xf>
    <xf numFmtId="176" fontId="36" fillId="3" borderId="147" xfId="3" applyNumberFormat="1" applyFont="1" applyFill="1" applyBorder="1">
      <alignment vertical="center"/>
    </xf>
    <xf numFmtId="187" fontId="36" fillId="3" borderId="148" xfId="0" applyNumberFormat="1" applyFont="1" applyFill="1" applyBorder="1" applyAlignment="1">
      <alignment horizontal="right" vertical="center"/>
    </xf>
    <xf numFmtId="187" fontId="36" fillId="3" borderId="147" xfId="0" applyNumberFormat="1" applyFont="1" applyFill="1" applyBorder="1" applyAlignment="1">
      <alignment horizontal="right" vertical="center"/>
    </xf>
    <xf numFmtId="176" fontId="36" fillId="33" borderId="992" xfId="3" applyNumberFormat="1" applyFont="1" applyFill="1" applyBorder="1">
      <alignment vertical="center"/>
    </xf>
    <xf numFmtId="176" fontId="36" fillId="33" borderId="992" xfId="0" applyNumberFormat="1" applyFont="1" applyFill="1" applyBorder="1">
      <alignment vertical="center"/>
    </xf>
    <xf numFmtId="176" fontId="36" fillId="3" borderId="147" xfId="0" applyNumberFormat="1" applyFont="1" applyFill="1" applyBorder="1">
      <alignment vertical="center"/>
    </xf>
    <xf numFmtId="187" fontId="36" fillId="0" borderId="11" xfId="0" applyNumberFormat="1" applyFont="1" applyBorder="1" applyAlignment="1">
      <alignment horizontal="right" vertical="center"/>
    </xf>
    <xf numFmtId="176" fontId="36" fillId="0" borderId="0" xfId="3" applyNumberFormat="1" applyFont="1" applyBorder="1">
      <alignment vertical="center"/>
    </xf>
    <xf numFmtId="176" fontId="36" fillId="0" borderId="0" xfId="0" applyNumberFormat="1" applyFont="1">
      <alignment vertical="center"/>
    </xf>
    <xf numFmtId="0" fontId="36" fillId="0" borderId="153" xfId="0" applyFont="1" applyBorder="1">
      <alignment vertical="center"/>
    </xf>
    <xf numFmtId="176" fontId="36" fillId="0" borderId="153" xfId="3" applyNumberFormat="1" applyFont="1" applyBorder="1">
      <alignment vertical="center"/>
    </xf>
    <xf numFmtId="187" fontId="36" fillId="0" borderId="154" xfId="0" applyNumberFormat="1" applyFont="1" applyBorder="1" applyAlignment="1">
      <alignment horizontal="right" vertical="center"/>
    </xf>
    <xf numFmtId="187" fontId="36" fillId="0" borderId="153" xfId="0" applyNumberFormat="1" applyFont="1" applyBorder="1" applyAlignment="1">
      <alignment horizontal="right" vertical="center"/>
    </xf>
    <xf numFmtId="176" fontId="36" fillId="0" borderId="153" xfId="3" applyNumberFormat="1" applyFont="1" applyFill="1" applyBorder="1">
      <alignment vertical="center"/>
    </xf>
    <xf numFmtId="176" fontId="36" fillId="0" borderId="993" xfId="3" applyNumberFormat="1" applyFont="1" applyFill="1" applyBorder="1">
      <alignment vertical="center"/>
    </xf>
    <xf numFmtId="176" fontId="36" fillId="0" borderId="993" xfId="0" applyNumberFormat="1" applyFont="1" applyBorder="1">
      <alignment vertical="center"/>
    </xf>
    <xf numFmtId="176" fontId="36" fillId="0" borderId="153" xfId="0" applyNumberFormat="1" applyFont="1" applyBorder="1">
      <alignment vertical="center"/>
    </xf>
    <xf numFmtId="187" fontId="36" fillId="3" borderId="11" xfId="0" applyNumberFormat="1" applyFont="1" applyFill="1" applyBorder="1" applyAlignment="1">
      <alignment horizontal="right" vertical="center"/>
    </xf>
    <xf numFmtId="176" fontId="36" fillId="33" borderId="0" xfId="3" applyNumberFormat="1" applyFont="1" applyFill="1" applyBorder="1">
      <alignment vertical="center"/>
    </xf>
    <xf numFmtId="176" fontId="36" fillId="33" borderId="0" xfId="0" applyNumberFormat="1" applyFont="1" applyFill="1">
      <alignment vertical="center"/>
    </xf>
    <xf numFmtId="176" fontId="36" fillId="3" borderId="0" xfId="0" applyNumberFormat="1" applyFont="1" applyFill="1">
      <alignment vertical="center"/>
    </xf>
    <xf numFmtId="176" fontId="36" fillId="3" borderId="0" xfId="3" applyNumberFormat="1" applyFont="1" applyFill="1" applyBorder="1">
      <alignment vertical="center"/>
    </xf>
    <xf numFmtId="41" fontId="108" fillId="53" borderId="976" xfId="2" applyFont="1" applyFill="1" applyBorder="1">
      <alignment vertical="center"/>
    </xf>
    <xf numFmtId="0" fontId="36" fillId="3" borderId="147" xfId="0" applyFont="1" applyFill="1" applyBorder="1" applyAlignment="1">
      <alignment horizontal="right" vertical="center"/>
    </xf>
    <xf numFmtId="176" fontId="47" fillId="2" borderId="134" xfId="3" applyNumberFormat="1" applyFont="1" applyFill="1" applyBorder="1" applyAlignment="1">
      <alignment horizontal="center" vertical="center"/>
    </xf>
    <xf numFmtId="187" fontId="36" fillId="2" borderId="135" xfId="0" applyNumberFormat="1" applyFont="1" applyFill="1" applyBorder="1" applyAlignment="1">
      <alignment horizontal="right" vertical="center"/>
    </xf>
    <xf numFmtId="187" fontId="36" fillId="2" borderId="134" xfId="0" applyNumberFormat="1" applyFont="1" applyFill="1" applyBorder="1" applyAlignment="1">
      <alignment horizontal="right" vertical="center"/>
    </xf>
    <xf numFmtId="187" fontId="108" fillId="34" borderId="992" xfId="0" applyNumberFormat="1" applyFont="1" applyFill="1" applyBorder="1" applyAlignment="1">
      <alignment horizontal="right" vertical="center"/>
    </xf>
    <xf numFmtId="176" fontId="140" fillId="34" borderId="992" xfId="0" applyNumberFormat="1" applyFont="1" applyFill="1" applyBorder="1" applyAlignment="1">
      <alignment horizontal="center" vertical="center"/>
    </xf>
    <xf numFmtId="176" fontId="36" fillId="2" borderId="134" xfId="0" applyNumberFormat="1" applyFont="1" applyFill="1" applyBorder="1" applyAlignment="1">
      <alignment horizontal="right" vertical="center"/>
    </xf>
    <xf numFmtId="176" fontId="47" fillId="2" borderId="134" xfId="0" applyNumberFormat="1" applyFont="1" applyFill="1" applyBorder="1" applyAlignment="1">
      <alignment horizontal="center" vertical="center"/>
    </xf>
    <xf numFmtId="200" fontId="36" fillId="5" borderId="46" xfId="0" applyNumberFormat="1" applyFont="1" applyFill="1" applyBorder="1" applyAlignment="1">
      <alignment horizontal="right" vertical="center"/>
    </xf>
    <xf numFmtId="200" fontId="36" fillId="5" borderId="6" xfId="0" applyNumberFormat="1" applyFont="1" applyFill="1" applyBorder="1" applyAlignment="1">
      <alignment horizontal="right" vertical="center"/>
    </xf>
    <xf numFmtId="200" fontId="108" fillId="55" borderId="961" xfId="0" applyNumberFormat="1" applyFont="1" applyFill="1" applyBorder="1" applyAlignment="1">
      <alignment horizontal="right" vertical="center"/>
    </xf>
    <xf numFmtId="200" fontId="140" fillId="55" borderId="961" xfId="0" applyNumberFormat="1" applyFont="1" applyFill="1" applyBorder="1" applyAlignment="1">
      <alignment horizontal="center" vertical="center"/>
    </xf>
    <xf numFmtId="200" fontId="36" fillId="5" borderId="1115" xfId="0" applyNumberFormat="1" applyFont="1" applyFill="1" applyBorder="1" applyAlignment="1">
      <alignment horizontal="right" vertical="center"/>
    </xf>
    <xf numFmtId="200" fontId="47" fillId="5" borderId="6" xfId="0" applyNumberFormat="1" applyFont="1" applyFill="1" applyBorder="1" applyAlignment="1">
      <alignment horizontal="center" vertical="center"/>
    </xf>
    <xf numFmtId="245" fontId="36" fillId="0" borderId="34" xfId="0" applyNumberFormat="1" applyFont="1" applyBorder="1">
      <alignment vertical="center"/>
    </xf>
    <xf numFmtId="41" fontId="36" fillId="8" borderId="32" xfId="0" applyNumberFormat="1" applyFont="1" applyFill="1" applyBorder="1">
      <alignment vertical="center"/>
    </xf>
    <xf numFmtId="41" fontId="36" fillId="8" borderId="48" xfId="2" applyFont="1" applyFill="1" applyBorder="1">
      <alignment vertical="center"/>
    </xf>
    <xf numFmtId="41" fontId="36" fillId="8" borderId="32" xfId="2" applyFont="1" applyFill="1" applyBorder="1">
      <alignment vertical="center"/>
    </xf>
    <xf numFmtId="41" fontId="108" fillId="47" borderId="994" xfId="2" applyFont="1" applyFill="1" applyBorder="1">
      <alignment vertical="center"/>
    </xf>
    <xf numFmtId="0" fontId="81" fillId="47" borderId="994" xfId="0" applyFont="1" applyFill="1" applyBorder="1">
      <alignment vertical="center"/>
    </xf>
    <xf numFmtId="41" fontId="36" fillId="8" borderId="0" xfId="0" applyNumberFormat="1" applyFont="1" applyFill="1">
      <alignment vertical="center"/>
    </xf>
    <xf numFmtId="1" fontId="36" fillId="8" borderId="0" xfId="0" applyNumberFormat="1" applyFont="1" applyFill="1">
      <alignment vertical="center"/>
    </xf>
    <xf numFmtId="0" fontId="108" fillId="47" borderId="0" xfId="0" applyFont="1" applyFill="1">
      <alignment vertical="center"/>
    </xf>
    <xf numFmtId="0" fontId="81" fillId="47" borderId="0" xfId="0" applyFont="1" applyFill="1">
      <alignment vertical="center"/>
    </xf>
    <xf numFmtId="0" fontId="47" fillId="8" borderId="0" xfId="0" applyFont="1" applyFill="1">
      <alignment vertical="center"/>
    </xf>
    <xf numFmtId="9" fontId="47" fillId="8" borderId="0" xfId="3" applyFont="1" applyFill="1">
      <alignment vertical="center"/>
    </xf>
    <xf numFmtId="187" fontId="36" fillId="8" borderId="11" xfId="0" applyNumberFormat="1" applyFont="1" applyFill="1" applyBorder="1">
      <alignment vertical="center"/>
    </xf>
    <xf numFmtId="187" fontId="36" fillId="8" borderId="0" xfId="0" applyNumberFormat="1" applyFont="1" applyFill="1">
      <alignment vertical="center"/>
    </xf>
    <xf numFmtId="187" fontId="108" fillId="47" borderId="0" xfId="0" applyNumberFormat="1" applyFont="1" applyFill="1">
      <alignment vertical="center"/>
    </xf>
    <xf numFmtId="187" fontId="140" fillId="47" borderId="0" xfId="0" applyNumberFormat="1" applyFont="1" applyFill="1">
      <alignment vertical="center"/>
    </xf>
    <xf numFmtId="176" fontId="47" fillId="8" borderId="0" xfId="0" applyNumberFormat="1" applyFont="1" applyFill="1">
      <alignment vertical="center"/>
    </xf>
    <xf numFmtId="187" fontId="36" fillId="8" borderId="0" xfId="2" applyNumberFormat="1" applyFont="1" applyFill="1" applyBorder="1">
      <alignment vertical="center"/>
    </xf>
    <xf numFmtId="41" fontId="36" fillId="11" borderId="158" xfId="2" applyFont="1" applyFill="1" applyBorder="1" applyAlignment="1">
      <alignment horizontal="right" vertical="center"/>
    </xf>
    <xf numFmtId="41" fontId="36" fillId="11" borderId="158" xfId="2" applyFont="1" applyFill="1" applyBorder="1">
      <alignment vertical="center"/>
    </xf>
    <xf numFmtId="41" fontId="36" fillId="11" borderId="159" xfId="2" applyFont="1" applyFill="1" applyBorder="1">
      <alignment vertical="center"/>
    </xf>
    <xf numFmtId="41" fontId="108" fillId="53" borderId="995" xfId="2" applyFont="1" applyFill="1" applyBorder="1">
      <alignment vertical="center"/>
    </xf>
    <xf numFmtId="0" fontId="36" fillId="53" borderId="995" xfId="0" applyFont="1" applyFill="1" applyBorder="1">
      <alignment vertical="center"/>
    </xf>
    <xf numFmtId="41" fontId="36" fillId="11" borderId="158" xfId="0" applyNumberFormat="1" applyFont="1" applyFill="1" applyBorder="1">
      <alignment vertical="center"/>
    </xf>
    <xf numFmtId="0" fontId="36" fillId="0" borderId="169" xfId="0" applyFont="1" applyBorder="1">
      <alignment vertical="center"/>
    </xf>
    <xf numFmtId="0" fontId="36" fillId="0" borderId="163" xfId="0" applyFont="1" applyBorder="1">
      <alignment vertical="center"/>
    </xf>
    <xf numFmtId="0" fontId="36" fillId="0" borderId="163" xfId="0" applyFont="1" applyBorder="1" applyAlignment="1">
      <alignment horizontal="right" vertical="center"/>
    </xf>
    <xf numFmtId="41" fontId="36" fillId="0" borderId="164" xfId="2" applyFont="1" applyFill="1" applyBorder="1">
      <alignment vertical="center"/>
    </xf>
    <xf numFmtId="41" fontId="36" fillId="0" borderId="163" xfId="2" applyFont="1" applyFill="1" applyBorder="1">
      <alignment vertical="center"/>
    </xf>
    <xf numFmtId="0" fontId="36" fillId="0" borderId="996" xfId="0" applyFont="1" applyBorder="1">
      <alignment vertical="center"/>
    </xf>
    <xf numFmtId="41" fontId="36" fillId="0" borderId="163" xfId="0" applyNumberFormat="1" applyFont="1" applyBorder="1">
      <alignment vertical="center"/>
    </xf>
    <xf numFmtId="202" fontId="36" fillId="0" borderId="163" xfId="0" applyNumberFormat="1" applyFont="1" applyBorder="1">
      <alignment vertical="center"/>
    </xf>
    <xf numFmtId="0" fontId="43" fillId="11" borderId="72" xfId="0" applyFont="1" applyFill="1" applyBorder="1">
      <alignment vertical="center"/>
    </xf>
    <xf numFmtId="41" fontId="36" fillId="11" borderId="0" xfId="2" applyFont="1" applyFill="1" applyBorder="1" applyAlignment="1">
      <alignment horizontal="right" vertical="center"/>
    </xf>
    <xf numFmtId="41" fontId="108" fillId="53" borderId="0" xfId="2" applyFont="1" applyFill="1" applyBorder="1">
      <alignment vertical="center"/>
    </xf>
    <xf numFmtId="0" fontId="36" fillId="53" borderId="0" xfId="0" applyFont="1" applyFill="1">
      <alignment vertical="center"/>
    </xf>
    <xf numFmtId="0" fontId="43" fillId="0" borderId="72" xfId="0" applyFont="1" applyBorder="1">
      <alignment vertical="center"/>
    </xf>
    <xf numFmtId="0" fontId="43" fillId="0" borderId="169" xfId="0" applyFont="1" applyBorder="1">
      <alignment vertical="center"/>
    </xf>
    <xf numFmtId="0" fontId="43" fillId="11" borderId="158" xfId="0" applyFont="1" applyFill="1" applyBorder="1" applyAlignment="1">
      <alignment horizontal="center" vertical="center"/>
    </xf>
    <xf numFmtId="41" fontId="36" fillId="11" borderId="0" xfId="0" applyNumberFormat="1" applyFont="1" applyFill="1" applyAlignment="1">
      <alignment horizontal="right" vertical="center"/>
    </xf>
    <xf numFmtId="41" fontId="36" fillId="11" borderId="158" xfId="0" applyNumberFormat="1" applyFont="1" applyFill="1" applyBorder="1" applyAlignment="1">
      <alignment horizontal="right" vertical="center"/>
    </xf>
    <xf numFmtId="41" fontId="36" fillId="11" borderId="158" xfId="0" applyNumberFormat="1" applyFont="1" applyFill="1" applyBorder="1" applyAlignment="1">
      <alignment horizontal="center" vertical="center"/>
    </xf>
    <xf numFmtId="0" fontId="81" fillId="53" borderId="995" xfId="0" applyFont="1" applyFill="1" applyBorder="1" applyAlignment="1">
      <alignment horizontal="right" vertical="center"/>
    </xf>
    <xf numFmtId="0" fontId="36" fillId="11" borderId="158" xfId="0" applyFont="1" applyFill="1" applyBorder="1" applyAlignment="1">
      <alignment horizontal="right" vertical="center"/>
    </xf>
    <xf numFmtId="202" fontId="36" fillId="11" borderId="158" xfId="0" applyNumberFormat="1" applyFont="1" applyFill="1" applyBorder="1" applyAlignment="1">
      <alignment horizontal="right" vertical="center"/>
    </xf>
    <xf numFmtId="41" fontId="36" fillId="0" borderId="11" xfId="2" applyFont="1" applyFill="1" applyBorder="1" applyAlignment="1">
      <alignment horizontal="right" vertical="center"/>
    </xf>
    <xf numFmtId="0" fontId="36" fillId="5" borderId="0" xfId="0" applyFont="1" applyFill="1" applyAlignment="1">
      <alignment horizontal="right" vertical="center"/>
    </xf>
    <xf numFmtId="41" fontId="36" fillId="5" borderId="0" xfId="0" applyNumberFormat="1" applyFont="1" applyFill="1" applyAlignment="1">
      <alignment horizontal="right" vertical="center"/>
    </xf>
    <xf numFmtId="202" fontId="36" fillId="5" borderId="0" xfId="0" applyNumberFormat="1" applyFont="1" applyFill="1" applyAlignment="1">
      <alignment horizontal="right" vertical="center"/>
    </xf>
    <xf numFmtId="0" fontId="108" fillId="55" borderId="0" xfId="0" applyFont="1" applyFill="1">
      <alignment vertical="center"/>
    </xf>
    <xf numFmtId="0" fontId="81" fillId="55" borderId="0" xfId="0" applyFont="1" applyFill="1" applyAlignment="1">
      <alignment horizontal="right" vertical="center"/>
    </xf>
    <xf numFmtId="0" fontId="43" fillId="5" borderId="34" xfId="0" applyFont="1" applyFill="1" applyBorder="1">
      <alignment vertical="center"/>
    </xf>
    <xf numFmtId="41" fontId="36" fillId="0" borderId="50" xfId="2" applyFont="1" applyFill="1" applyBorder="1" applyAlignment="1">
      <alignment horizontal="right" vertical="center"/>
    </xf>
    <xf numFmtId="0" fontId="36" fillId="5" borderId="34" xfId="0" applyFont="1" applyFill="1" applyBorder="1" applyAlignment="1">
      <alignment horizontal="right" vertical="center"/>
    </xf>
    <xf numFmtId="0" fontId="36" fillId="5" borderId="34" xfId="0" applyFont="1" applyFill="1" applyBorder="1">
      <alignment vertical="center"/>
    </xf>
    <xf numFmtId="41" fontId="36" fillId="5" borderId="34" xfId="0" applyNumberFormat="1" applyFont="1" applyFill="1" applyBorder="1">
      <alignment vertical="center"/>
    </xf>
    <xf numFmtId="202" fontId="36" fillId="5" borderId="34" xfId="0" applyNumberFormat="1" applyFont="1" applyFill="1" applyBorder="1" applyAlignment="1">
      <alignment horizontal="right" vertical="center"/>
    </xf>
    <xf numFmtId="41" fontId="36" fillId="0" borderId="50" xfId="2" applyFont="1" applyFill="1" applyBorder="1">
      <alignment vertical="center"/>
    </xf>
    <xf numFmtId="0" fontId="108" fillId="55" borderId="467" xfId="0" applyFont="1" applyFill="1" applyBorder="1">
      <alignment vertical="center"/>
    </xf>
    <xf numFmtId="0" fontId="81" fillId="55" borderId="467" xfId="0" applyFont="1" applyFill="1" applyBorder="1" applyAlignment="1">
      <alignment horizontal="right" vertical="center"/>
    </xf>
    <xf numFmtId="41" fontId="36" fillId="5" borderId="34" xfId="0" applyNumberFormat="1" applyFont="1" applyFill="1" applyBorder="1" applyAlignment="1">
      <alignment horizontal="right" vertical="center"/>
    </xf>
    <xf numFmtId="0" fontId="43" fillId="18" borderId="0" xfId="0" applyFont="1" applyFill="1" applyAlignment="1">
      <alignment horizontal="center" vertical="center"/>
    </xf>
    <xf numFmtId="0" fontId="43" fillId="9" borderId="56" xfId="0" applyFont="1" applyFill="1" applyBorder="1">
      <alignment vertical="center"/>
    </xf>
    <xf numFmtId="41" fontId="36" fillId="9" borderId="57" xfId="2" applyFont="1" applyFill="1" applyBorder="1">
      <alignment vertical="center"/>
    </xf>
    <xf numFmtId="0" fontId="108" fillId="54" borderId="969" xfId="0" applyFont="1" applyFill="1" applyBorder="1">
      <alignment vertical="center"/>
    </xf>
    <xf numFmtId="41" fontId="36" fillId="9" borderId="56" xfId="0" applyNumberFormat="1" applyFont="1" applyFill="1" applyBorder="1">
      <alignment vertical="center"/>
    </xf>
    <xf numFmtId="202" fontId="36" fillId="9" borderId="56" xfId="0" applyNumberFormat="1" applyFont="1" applyFill="1" applyBorder="1">
      <alignment vertical="center"/>
    </xf>
    <xf numFmtId="41" fontId="108" fillId="54" borderId="0" xfId="2" applyFont="1" applyFill="1" applyBorder="1">
      <alignment vertical="center"/>
    </xf>
    <xf numFmtId="41" fontId="108" fillId="54" borderId="0" xfId="0" applyNumberFormat="1" applyFont="1" applyFill="1">
      <alignment vertical="center"/>
    </xf>
    <xf numFmtId="202" fontId="36" fillId="9" borderId="0" xfId="0" applyNumberFormat="1" applyFont="1" applyFill="1">
      <alignment vertical="center"/>
    </xf>
    <xf numFmtId="41" fontId="36" fillId="9" borderId="0" xfId="0" applyNumberFormat="1" applyFont="1" applyFill="1">
      <alignment vertical="center"/>
    </xf>
    <xf numFmtId="187" fontId="36" fillId="9" borderId="0" xfId="0" applyNumberFormat="1" applyFont="1" applyFill="1">
      <alignment vertical="center"/>
    </xf>
    <xf numFmtId="187" fontId="36" fillId="9" borderId="11" xfId="0" applyNumberFormat="1" applyFont="1" applyFill="1" applyBorder="1">
      <alignment vertical="center"/>
    </xf>
    <xf numFmtId="176" fontId="36" fillId="9" borderId="0" xfId="3" applyNumberFormat="1" applyFont="1" applyFill="1" applyBorder="1">
      <alignment vertical="center"/>
    </xf>
    <xf numFmtId="176" fontId="108" fillId="54" borderId="0" xfId="3" applyNumberFormat="1" applyFont="1" applyFill="1" applyBorder="1">
      <alignment vertical="center"/>
    </xf>
    <xf numFmtId="176" fontId="108" fillId="54" borderId="0" xfId="0" applyNumberFormat="1" applyFont="1" applyFill="1">
      <alignment vertical="center"/>
    </xf>
    <xf numFmtId="176" fontId="36" fillId="9" borderId="0" xfId="0" applyNumberFormat="1" applyFont="1" applyFill="1">
      <alignment vertical="center"/>
    </xf>
    <xf numFmtId="0" fontId="36" fillId="9" borderId="0" xfId="0" quotePrefix="1" applyFont="1" applyFill="1">
      <alignment vertical="center"/>
    </xf>
    <xf numFmtId="0" fontId="36" fillId="54" borderId="0" xfId="0" quotePrefix="1" applyFont="1" applyFill="1">
      <alignment vertical="center"/>
    </xf>
    <xf numFmtId="0" fontId="108" fillId="54" borderId="0" xfId="0" quotePrefix="1" applyFont="1" applyFill="1">
      <alignment vertical="center"/>
    </xf>
    <xf numFmtId="202" fontId="36" fillId="9" borderId="0" xfId="0" quotePrefix="1" applyNumberFormat="1" applyFont="1" applyFill="1">
      <alignment vertical="center"/>
    </xf>
    <xf numFmtId="218" fontId="36" fillId="0" borderId="0" xfId="0" applyNumberFormat="1" applyFont="1">
      <alignment vertical="center"/>
    </xf>
    <xf numFmtId="0" fontId="43" fillId="13" borderId="140" xfId="0" applyFont="1" applyFill="1" applyBorder="1">
      <alignment vertical="center"/>
    </xf>
    <xf numFmtId="0" fontId="43" fillId="13" borderId="0" xfId="0" applyFont="1" applyFill="1">
      <alignment vertical="center"/>
    </xf>
    <xf numFmtId="41" fontId="36" fillId="13" borderId="11" xfId="2" applyFont="1" applyFill="1" applyBorder="1">
      <alignment vertical="center"/>
    </xf>
    <xf numFmtId="0" fontId="108" fillId="60" borderId="0" xfId="0" applyFont="1" applyFill="1">
      <alignment vertical="center"/>
    </xf>
    <xf numFmtId="202" fontId="36" fillId="13" borderId="0" xfId="2" applyNumberFormat="1" applyFont="1" applyFill="1" applyBorder="1" applyAlignment="1">
      <alignment horizontal="right" vertical="center"/>
    </xf>
    <xf numFmtId="202" fontId="36" fillId="13" borderId="0" xfId="0" applyNumberFormat="1" applyFont="1" applyFill="1">
      <alignment vertical="center"/>
    </xf>
    <xf numFmtId="0" fontId="47" fillId="13" borderId="140" xfId="0" applyFont="1" applyFill="1" applyBorder="1">
      <alignment vertical="center"/>
    </xf>
    <xf numFmtId="0" fontId="47" fillId="13" borderId="0" xfId="0" applyFont="1" applyFill="1">
      <alignment vertical="center"/>
    </xf>
    <xf numFmtId="187" fontId="36" fillId="13" borderId="0" xfId="3" applyNumberFormat="1" applyFont="1" applyFill="1" applyBorder="1">
      <alignment vertical="center"/>
    </xf>
    <xf numFmtId="187" fontId="36" fillId="13" borderId="11" xfId="3" applyNumberFormat="1" applyFont="1" applyFill="1" applyBorder="1">
      <alignment vertical="center"/>
    </xf>
    <xf numFmtId="187" fontId="108" fillId="60" borderId="0" xfId="3" applyNumberFormat="1" applyFont="1" applyFill="1" applyBorder="1">
      <alignment vertical="center"/>
    </xf>
    <xf numFmtId="187" fontId="140" fillId="60" borderId="0" xfId="0" applyNumberFormat="1" applyFont="1" applyFill="1">
      <alignment vertical="center"/>
    </xf>
    <xf numFmtId="187" fontId="47" fillId="13" borderId="0" xfId="0" applyNumberFormat="1" applyFont="1" applyFill="1">
      <alignment vertical="center"/>
    </xf>
    <xf numFmtId="176" fontId="36" fillId="13" borderId="0" xfId="0" applyNumberFormat="1" applyFont="1" applyFill="1">
      <alignment vertical="center"/>
    </xf>
    <xf numFmtId="187" fontId="36" fillId="0" borderId="0" xfId="3" applyNumberFormat="1" applyFont="1" applyFill="1" applyBorder="1">
      <alignment vertical="center"/>
    </xf>
    <xf numFmtId="187" fontId="36" fillId="0" borderId="11" xfId="3" applyNumberFormat="1" applyFont="1" applyFill="1" applyBorder="1">
      <alignment vertical="center"/>
    </xf>
    <xf numFmtId="176" fontId="108" fillId="0" borderId="0" xfId="3" applyNumberFormat="1" applyFont="1" applyFill="1" applyBorder="1">
      <alignment vertical="center"/>
    </xf>
    <xf numFmtId="176" fontId="108" fillId="0" borderId="0" xfId="0" applyNumberFormat="1" applyFont="1">
      <alignment vertical="center"/>
    </xf>
    <xf numFmtId="187" fontId="36" fillId="18" borderId="0" xfId="0" applyNumberFormat="1" applyFont="1" applyFill="1">
      <alignment vertical="center"/>
    </xf>
    <xf numFmtId="0" fontId="47" fillId="0" borderId="141" xfId="0" applyFont="1" applyBorder="1">
      <alignment vertical="center"/>
    </xf>
    <xf numFmtId="0" fontId="36" fillId="0" borderId="127" xfId="0" applyFont="1" applyBorder="1">
      <alignment vertical="center"/>
    </xf>
    <xf numFmtId="187" fontId="36" fillId="0" borderId="127" xfId="3" applyNumberFormat="1" applyFont="1" applyFill="1" applyBorder="1">
      <alignment vertical="center"/>
    </xf>
    <xf numFmtId="187" fontId="36" fillId="0" borderId="129" xfId="3" applyNumberFormat="1" applyFont="1" applyFill="1" applyBorder="1">
      <alignment vertical="center"/>
    </xf>
    <xf numFmtId="176" fontId="36" fillId="0" borderId="127" xfId="3" applyNumberFormat="1" applyFont="1" applyFill="1" applyBorder="1">
      <alignment vertical="center"/>
    </xf>
    <xf numFmtId="176" fontId="108" fillId="0" borderId="997" xfId="3" applyNumberFormat="1" applyFont="1" applyFill="1" applyBorder="1">
      <alignment vertical="center"/>
    </xf>
    <xf numFmtId="176" fontId="108" fillId="0" borderId="997" xfId="0" applyNumberFormat="1" applyFont="1" applyBorder="1">
      <alignment vertical="center"/>
    </xf>
    <xf numFmtId="176" fontId="36" fillId="0" borderId="127" xfId="0" applyNumberFormat="1" applyFont="1" applyBorder="1">
      <alignment vertical="center"/>
    </xf>
    <xf numFmtId="187" fontId="36" fillId="13" borderId="0" xfId="0" applyNumberFormat="1" applyFont="1" applyFill="1">
      <alignment vertical="center"/>
    </xf>
    <xf numFmtId="187" fontId="36" fillId="13" borderId="11" xfId="0" applyNumberFormat="1" applyFont="1" applyFill="1" applyBorder="1">
      <alignment vertical="center"/>
    </xf>
    <xf numFmtId="187" fontId="108" fillId="60" borderId="0" xfId="0" applyNumberFormat="1" applyFont="1" applyFill="1">
      <alignment vertical="center"/>
    </xf>
    <xf numFmtId="187" fontId="36" fillId="0" borderId="0" xfId="0" applyNumberFormat="1" applyFont="1">
      <alignment vertical="center"/>
    </xf>
    <xf numFmtId="187" fontId="36" fillId="0" borderId="11" xfId="0" applyNumberFormat="1" applyFont="1" applyBorder="1">
      <alignment vertical="center"/>
    </xf>
    <xf numFmtId="187" fontId="108" fillId="0" borderId="0" xfId="0" applyNumberFormat="1" applyFont="1">
      <alignment vertical="center"/>
    </xf>
    <xf numFmtId="187" fontId="47" fillId="18" borderId="0" xfId="0" applyNumberFormat="1" applyFont="1" applyFill="1">
      <alignment vertical="center"/>
    </xf>
    <xf numFmtId="0" fontId="47" fillId="0" borderId="142" xfId="0" applyFont="1" applyBorder="1">
      <alignment vertical="center"/>
    </xf>
    <xf numFmtId="0" fontId="36" fillId="0" borderId="114" xfId="0" applyFont="1" applyBorder="1">
      <alignment vertical="center"/>
    </xf>
    <xf numFmtId="187" fontId="36" fillId="0" borderId="114" xfId="0" applyNumberFormat="1" applyFont="1" applyBorder="1">
      <alignment vertical="center"/>
    </xf>
    <xf numFmtId="187" fontId="36" fillId="0" borderId="116" xfId="0" applyNumberFormat="1" applyFont="1" applyBorder="1">
      <alignment vertical="center"/>
    </xf>
    <xf numFmtId="187" fontId="108" fillId="0" borderId="806" xfId="0" applyNumberFormat="1" applyFont="1" applyBorder="1">
      <alignment vertical="center"/>
    </xf>
    <xf numFmtId="176" fontId="36" fillId="0" borderId="114" xfId="0" applyNumberFormat="1" applyFont="1" applyBorder="1">
      <alignment vertical="center"/>
    </xf>
    <xf numFmtId="176" fontId="36" fillId="11" borderId="74" xfId="3" applyNumberFormat="1" applyFont="1" applyFill="1" applyBorder="1" applyAlignment="1">
      <alignment horizontal="center" vertical="center"/>
    </xf>
    <xf numFmtId="176" fontId="108" fillId="53" borderId="970" xfId="3" applyNumberFormat="1" applyFont="1" applyFill="1" applyBorder="1" applyAlignment="1">
      <alignment horizontal="center" vertical="center"/>
    </xf>
    <xf numFmtId="176" fontId="108" fillId="53" borderId="970" xfId="0" applyNumberFormat="1" applyFont="1" applyFill="1" applyBorder="1" applyAlignment="1">
      <alignment horizontal="center" vertical="center"/>
    </xf>
    <xf numFmtId="187" fontId="47" fillId="11" borderId="74" xfId="0" applyNumberFormat="1" applyFont="1" applyFill="1" applyBorder="1">
      <alignment vertical="center"/>
    </xf>
    <xf numFmtId="176" fontId="36" fillId="11" borderId="74" xfId="0" applyNumberFormat="1" applyFont="1" applyFill="1" applyBorder="1" applyAlignment="1">
      <alignment horizontal="right" vertical="center"/>
    </xf>
    <xf numFmtId="176" fontId="43" fillId="11" borderId="74" xfId="0" applyNumberFormat="1" applyFont="1" applyFill="1" applyBorder="1" applyAlignment="1">
      <alignment horizontal="center" vertical="center"/>
    </xf>
    <xf numFmtId="0" fontId="43" fillId="11" borderId="74" xfId="0" applyFont="1" applyFill="1" applyBorder="1" applyAlignment="1">
      <alignment horizontal="center" vertical="center"/>
    </xf>
    <xf numFmtId="187" fontId="36" fillId="5" borderId="0" xfId="0" applyNumberFormat="1" applyFont="1" applyFill="1" applyAlignment="1">
      <alignment horizontal="right" vertical="center"/>
    </xf>
    <xf numFmtId="187" fontId="36" fillId="5" borderId="11" xfId="0" applyNumberFormat="1" applyFont="1" applyFill="1" applyBorder="1" applyAlignment="1">
      <alignment horizontal="right" vertical="center"/>
    </xf>
    <xf numFmtId="176" fontId="36" fillId="5" borderId="0" xfId="3" applyNumberFormat="1" applyFont="1" applyFill="1" applyBorder="1">
      <alignment vertical="center"/>
    </xf>
    <xf numFmtId="176" fontId="108" fillId="55" borderId="0" xfId="3" applyNumberFormat="1" applyFont="1" applyFill="1" applyBorder="1">
      <alignment vertical="center"/>
    </xf>
    <xf numFmtId="176" fontId="108" fillId="66" borderId="0" xfId="0" applyNumberFormat="1" applyFont="1" applyFill="1">
      <alignment vertical="center"/>
    </xf>
    <xf numFmtId="176" fontId="36" fillId="5" borderId="0" xfId="0" applyNumberFormat="1" applyFont="1" applyFill="1" applyAlignment="1">
      <alignment horizontal="right" vertical="center"/>
    </xf>
    <xf numFmtId="176" fontId="43" fillId="5" borderId="0" xfId="0" applyNumberFormat="1" applyFont="1" applyFill="1">
      <alignment vertical="center"/>
    </xf>
    <xf numFmtId="187" fontId="36" fillId="5" borderId="34" xfId="0" applyNumberFormat="1" applyFont="1" applyFill="1" applyBorder="1" applyAlignment="1">
      <alignment horizontal="right" vertical="center"/>
    </xf>
    <xf numFmtId="187" fontId="36" fillId="5" borderId="50" xfId="0" applyNumberFormat="1" applyFont="1" applyFill="1" applyBorder="1" applyAlignment="1">
      <alignment horizontal="right" vertical="center"/>
    </xf>
    <xf numFmtId="176" fontId="36" fillId="5" borderId="34" xfId="3" applyNumberFormat="1" applyFont="1" applyFill="1" applyBorder="1">
      <alignment vertical="center"/>
    </xf>
    <xf numFmtId="176" fontId="108" fillId="55" borderId="467" xfId="3" applyNumberFormat="1" applyFont="1" applyFill="1" applyBorder="1">
      <alignment vertical="center"/>
    </xf>
    <xf numFmtId="176" fontId="108" fillId="55" borderId="467" xfId="0" applyNumberFormat="1" applyFont="1" applyFill="1" applyBorder="1">
      <alignment vertical="center"/>
    </xf>
    <xf numFmtId="176" fontId="36" fillId="5" borderId="34" xfId="0" applyNumberFormat="1" applyFont="1" applyFill="1" applyBorder="1" applyAlignment="1">
      <alignment horizontal="right" vertical="center"/>
    </xf>
    <xf numFmtId="176" fontId="43" fillId="5" borderId="34" xfId="0" applyNumberFormat="1" applyFont="1" applyFill="1" applyBorder="1">
      <alignment vertical="center"/>
    </xf>
    <xf numFmtId="0" fontId="43" fillId="9" borderId="143" xfId="0" applyFont="1" applyFill="1" applyBorder="1" applyAlignment="1">
      <alignment vertical="center" wrapText="1"/>
    </xf>
    <xf numFmtId="0" fontId="43" fillId="9" borderId="74" xfId="0" applyFont="1" applyFill="1" applyBorder="1">
      <alignment vertical="center"/>
    </xf>
    <xf numFmtId="41" fontId="36" fillId="9" borderId="74" xfId="2" applyFont="1" applyFill="1" applyBorder="1">
      <alignment vertical="center"/>
    </xf>
    <xf numFmtId="41" fontId="36" fillId="9" borderId="75" xfId="2" applyFont="1" applyFill="1" applyBorder="1">
      <alignment vertical="center"/>
    </xf>
    <xf numFmtId="41" fontId="81" fillId="54" borderId="970" xfId="0" applyNumberFormat="1" applyFont="1" applyFill="1" applyBorder="1">
      <alignment vertical="center"/>
    </xf>
    <xf numFmtId="202" fontId="36" fillId="9" borderId="74" xfId="0" applyNumberFormat="1" applyFont="1" applyFill="1" applyBorder="1">
      <alignment vertical="center"/>
    </xf>
    <xf numFmtId="41" fontId="43" fillId="9" borderId="74" xfId="0" applyNumberFormat="1" applyFont="1" applyFill="1" applyBorder="1">
      <alignment vertical="center"/>
    </xf>
    <xf numFmtId="0" fontId="43" fillId="9" borderId="0" xfId="0" applyFont="1" applyFill="1">
      <alignment vertical="center"/>
    </xf>
    <xf numFmtId="41" fontId="81" fillId="54" borderId="0" xfId="0" applyNumberFormat="1" applyFont="1" applyFill="1">
      <alignment vertical="center"/>
    </xf>
    <xf numFmtId="41" fontId="43" fillId="9" borderId="0" xfId="0" applyNumberFormat="1" applyFont="1" applyFill="1">
      <alignment vertical="center"/>
    </xf>
    <xf numFmtId="0" fontId="47" fillId="9" borderId="0" xfId="0" applyFont="1" applyFill="1">
      <alignment vertical="center"/>
    </xf>
    <xf numFmtId="187" fontId="140" fillId="54" borderId="0" xfId="0" applyNumberFormat="1" applyFont="1" applyFill="1">
      <alignment vertical="center"/>
    </xf>
    <xf numFmtId="187" fontId="47" fillId="9" borderId="0" xfId="0" applyNumberFormat="1" applyFont="1" applyFill="1">
      <alignment vertical="center"/>
    </xf>
    <xf numFmtId="0" fontId="49" fillId="9" borderId="140" xfId="0" applyFont="1" applyFill="1" applyBorder="1">
      <alignment vertical="center"/>
    </xf>
    <xf numFmtId="0" fontId="43" fillId="13" borderId="145" xfId="0" applyFont="1" applyFill="1" applyBorder="1">
      <alignment vertical="center"/>
    </xf>
    <xf numFmtId="0" fontId="43" fillId="13" borderId="121" xfId="0" applyFont="1" applyFill="1" applyBorder="1">
      <alignment vertical="center"/>
    </xf>
    <xf numFmtId="41" fontId="36" fillId="13" borderId="121" xfId="2" applyFont="1" applyFill="1" applyBorder="1">
      <alignment vertical="center"/>
    </xf>
    <xf numFmtId="41" fontId="36" fillId="13" borderId="123" xfId="2" applyFont="1" applyFill="1" applyBorder="1">
      <alignment vertical="center"/>
    </xf>
    <xf numFmtId="41" fontId="81" fillId="60" borderId="998" xfId="0" applyNumberFormat="1" applyFont="1" applyFill="1" applyBorder="1">
      <alignment vertical="center"/>
    </xf>
    <xf numFmtId="202" fontId="36" fillId="13" borderId="121" xfId="0" applyNumberFormat="1" applyFont="1" applyFill="1" applyBorder="1">
      <alignment vertical="center"/>
    </xf>
    <xf numFmtId="41" fontId="43" fillId="13" borderId="121" xfId="0" applyNumberFormat="1" applyFont="1" applyFill="1" applyBorder="1">
      <alignment vertical="center"/>
    </xf>
    <xf numFmtId="187" fontId="36" fillId="13" borderId="0" xfId="0" applyNumberFormat="1" applyFont="1" applyFill="1" applyAlignment="1">
      <alignment horizontal="right" vertical="center"/>
    </xf>
    <xf numFmtId="187" fontId="36" fillId="13" borderId="11" xfId="0" applyNumberFormat="1" applyFont="1" applyFill="1" applyBorder="1" applyAlignment="1">
      <alignment horizontal="right" vertical="center"/>
    </xf>
    <xf numFmtId="41" fontId="36" fillId="0" borderId="127" xfId="2" applyFont="1" applyFill="1" applyBorder="1">
      <alignment vertical="center"/>
    </xf>
    <xf numFmtId="41" fontId="36" fillId="0" borderId="129" xfId="2" applyFont="1" applyFill="1" applyBorder="1">
      <alignment vertical="center"/>
    </xf>
    <xf numFmtId="41" fontId="36" fillId="0" borderId="997" xfId="0" applyNumberFormat="1" applyFont="1" applyBorder="1">
      <alignment vertical="center"/>
    </xf>
    <xf numFmtId="203" fontId="36" fillId="0" borderId="127" xfId="0" applyNumberFormat="1" applyFont="1" applyBorder="1">
      <alignment vertical="center"/>
    </xf>
    <xf numFmtId="41" fontId="36" fillId="13" borderId="121" xfId="0" applyNumberFormat="1" applyFont="1" applyFill="1" applyBorder="1">
      <alignment vertical="center"/>
    </xf>
    <xf numFmtId="203" fontId="36" fillId="13" borderId="121" xfId="0" applyNumberFormat="1" applyFont="1" applyFill="1" applyBorder="1">
      <alignment vertical="center"/>
    </xf>
    <xf numFmtId="187" fontId="36" fillId="2" borderId="121" xfId="0" applyNumberFormat="1" applyFont="1" applyFill="1" applyBorder="1" applyAlignment="1">
      <alignment horizontal="right" vertical="center"/>
    </xf>
    <xf numFmtId="187" fontId="36" fillId="2" borderId="123" xfId="0" applyNumberFormat="1" applyFont="1" applyFill="1" applyBorder="1" applyAlignment="1">
      <alignment horizontal="right" vertical="center"/>
    </xf>
    <xf numFmtId="187" fontId="140" fillId="34" borderId="992" xfId="0" applyNumberFormat="1" applyFont="1" applyFill="1" applyBorder="1" applyAlignment="1">
      <alignment horizontal="center" vertical="center"/>
    </xf>
    <xf numFmtId="187" fontId="47" fillId="2" borderId="394" xfId="0" applyNumberFormat="1" applyFont="1" applyFill="1" applyBorder="1">
      <alignment vertical="center"/>
    </xf>
    <xf numFmtId="187" fontId="47" fillId="2" borderId="134" xfId="0" applyNumberFormat="1" applyFont="1" applyFill="1" applyBorder="1" applyAlignment="1">
      <alignment horizontal="center" vertical="center"/>
    </xf>
    <xf numFmtId="0" fontId="47" fillId="2" borderId="134" xfId="0" applyFont="1" applyFill="1" applyBorder="1" applyAlignment="1">
      <alignment horizontal="center" vertical="center"/>
    </xf>
    <xf numFmtId="187" fontId="36" fillId="0" borderId="393" xfId="0" applyNumberFormat="1" applyFont="1" applyBorder="1" applyAlignment="1">
      <alignment horizontal="right" vertical="center"/>
    </xf>
    <xf numFmtId="187" fontId="36" fillId="0" borderId="392" xfId="0" applyNumberFormat="1" applyFont="1" applyBorder="1" applyAlignment="1">
      <alignment horizontal="right" vertical="center"/>
    </xf>
    <xf numFmtId="187" fontId="140" fillId="55" borderId="961" xfId="0" applyNumberFormat="1" applyFont="1" applyFill="1" applyBorder="1" applyAlignment="1">
      <alignment horizontal="center" vertical="center"/>
    </xf>
    <xf numFmtId="187" fontId="47" fillId="18" borderId="393" xfId="0" applyNumberFormat="1" applyFont="1" applyFill="1" applyBorder="1">
      <alignment vertical="center"/>
    </xf>
    <xf numFmtId="176" fontId="36" fillId="5" borderId="6" xfId="0" applyNumberFormat="1" applyFont="1" applyFill="1" applyBorder="1" applyAlignment="1">
      <alignment horizontal="right" vertical="center"/>
    </xf>
    <xf numFmtId="187" fontId="47" fillId="5" borderId="6" xfId="0" applyNumberFormat="1" applyFont="1" applyFill="1" applyBorder="1" applyAlignment="1">
      <alignment horizontal="center" vertical="center"/>
    </xf>
    <xf numFmtId="0" fontId="47" fillId="5" borderId="6" xfId="0" applyFont="1" applyFill="1" applyBorder="1" applyAlignment="1">
      <alignment horizontal="center" vertical="center"/>
    </xf>
    <xf numFmtId="41" fontId="36" fillId="13" borderId="1152" xfId="2" applyFont="1" applyFill="1" applyBorder="1">
      <alignment vertical="center"/>
    </xf>
    <xf numFmtId="41" fontId="36" fillId="0" borderId="1153" xfId="2" applyFont="1" applyFill="1" applyBorder="1">
      <alignment vertical="center"/>
    </xf>
    <xf numFmtId="41" fontId="36" fillId="0" borderId="1154" xfId="2" applyFont="1" applyFill="1" applyBorder="1">
      <alignment vertical="center"/>
    </xf>
    <xf numFmtId="41" fontId="36" fillId="13" borderId="1153" xfId="2" applyFont="1" applyFill="1" applyBorder="1">
      <alignment vertical="center"/>
    </xf>
    <xf numFmtId="0" fontId="47" fillId="0" borderId="1155" xfId="0" applyFont="1" applyBorder="1">
      <alignment vertical="center"/>
    </xf>
    <xf numFmtId="0" fontId="36" fillId="0" borderId="961" xfId="0" applyFont="1" applyBorder="1">
      <alignment vertical="center"/>
    </xf>
    <xf numFmtId="41" fontId="36" fillId="0" borderId="961" xfId="2" applyFont="1" applyFill="1" applyBorder="1">
      <alignment vertical="center"/>
    </xf>
    <xf numFmtId="41" fontId="36" fillId="0" borderId="1151" xfId="2" applyFont="1" applyFill="1" applyBorder="1">
      <alignment vertical="center"/>
    </xf>
    <xf numFmtId="41" fontId="36" fillId="13" borderId="1156" xfId="2" applyFont="1" applyFill="1" applyBorder="1">
      <alignment vertical="center"/>
    </xf>
    <xf numFmtId="202" fontId="36" fillId="13" borderId="1152" xfId="0" applyNumberFormat="1" applyFont="1" applyFill="1" applyBorder="1">
      <alignment vertical="center"/>
    </xf>
    <xf numFmtId="41" fontId="36" fillId="0" borderId="1148" xfId="2" applyFont="1" applyFill="1" applyBorder="1">
      <alignment vertical="center"/>
    </xf>
    <xf numFmtId="202" fontId="36" fillId="0" borderId="0" xfId="0" applyNumberFormat="1" applyFont="1" applyBorder="1">
      <alignment vertical="center"/>
    </xf>
    <xf numFmtId="203" fontId="36" fillId="0" borderId="1153" xfId="0" applyNumberFormat="1" applyFont="1" applyBorder="1">
      <alignment vertical="center"/>
    </xf>
    <xf numFmtId="41" fontId="36" fillId="0" borderId="1157" xfId="2" applyFont="1" applyFill="1" applyBorder="1">
      <alignment vertical="center"/>
    </xf>
    <xf numFmtId="203" fontId="36" fillId="0" borderId="1154" xfId="0" applyNumberFormat="1" applyFont="1" applyBorder="1">
      <alignment vertical="center"/>
    </xf>
    <xf numFmtId="41" fontId="36" fillId="13" borderId="1148" xfId="2" applyFont="1" applyFill="1" applyBorder="1">
      <alignment vertical="center"/>
    </xf>
    <xf numFmtId="203" fontId="36" fillId="13" borderId="1152" xfId="0" applyNumberFormat="1" applyFont="1" applyFill="1" applyBorder="1">
      <alignment vertical="center"/>
    </xf>
    <xf numFmtId="41" fontId="36" fillId="0" borderId="1149" xfId="2" applyFont="1" applyFill="1" applyBorder="1">
      <alignment vertical="center"/>
    </xf>
    <xf numFmtId="41" fontId="36" fillId="0" borderId="961" xfId="0" applyNumberFormat="1" applyFont="1" applyBorder="1">
      <alignment vertical="center"/>
    </xf>
    <xf numFmtId="203" fontId="36" fillId="0" borderId="1151" xfId="0" applyNumberFormat="1" applyFont="1" applyBorder="1">
      <alignment vertical="center"/>
    </xf>
    <xf numFmtId="0" fontId="43" fillId="11" borderId="976" xfId="0" applyFont="1" applyFill="1" applyBorder="1">
      <alignment vertical="center"/>
    </xf>
    <xf numFmtId="0" fontId="36" fillId="11" borderId="976" xfId="0" applyFont="1" applyFill="1" applyBorder="1">
      <alignment vertical="center"/>
    </xf>
    <xf numFmtId="0" fontId="36" fillId="11" borderId="1150" xfId="0" applyFont="1" applyFill="1" applyBorder="1">
      <alignment vertical="center"/>
    </xf>
    <xf numFmtId="0" fontId="36" fillId="11" borderId="1147" xfId="0" applyFont="1" applyFill="1" applyBorder="1">
      <alignment vertical="center"/>
    </xf>
    <xf numFmtId="41" fontId="36" fillId="11" borderId="0" xfId="0" applyNumberFormat="1" applyFont="1" applyFill="1" applyBorder="1">
      <alignment vertical="center"/>
    </xf>
    <xf numFmtId="41" fontId="36" fillId="11" borderId="0" xfId="0" applyNumberFormat="1" applyFont="1" applyFill="1" applyBorder="1" applyAlignment="1">
      <alignment horizontal="right" vertical="center"/>
    </xf>
    <xf numFmtId="0" fontId="36" fillId="4" borderId="1158" xfId="0" quotePrefix="1" applyFont="1" applyFill="1" applyBorder="1" applyAlignment="1">
      <alignment horizontal="center" vertical="center"/>
    </xf>
    <xf numFmtId="0" fontId="36" fillId="4" borderId="1159" xfId="0" quotePrefix="1" applyFont="1" applyFill="1" applyBorder="1" applyAlignment="1">
      <alignment horizontal="center" vertical="center"/>
    </xf>
    <xf numFmtId="202" fontId="36" fillId="11" borderId="0" xfId="0" applyNumberFormat="1" applyFont="1" applyFill="1" applyBorder="1">
      <alignment vertical="center"/>
    </xf>
    <xf numFmtId="192" fontId="37" fillId="4" borderId="1158" xfId="0" quotePrefix="1" applyNumberFormat="1" applyFont="1" applyFill="1" applyBorder="1" applyAlignment="1">
      <alignment horizontal="center" vertical="center"/>
    </xf>
    <xf numFmtId="0" fontId="37" fillId="4" borderId="1160" xfId="0" quotePrefix="1" applyFont="1" applyFill="1" applyBorder="1" applyAlignment="1">
      <alignment horizontal="center" vertical="center"/>
    </xf>
    <xf numFmtId="0" fontId="36" fillId="4" borderId="1160" xfId="0" quotePrefix="1" applyFont="1" applyFill="1" applyBorder="1" applyAlignment="1">
      <alignment horizontal="center" vertical="center"/>
    </xf>
    <xf numFmtId="192" fontId="36" fillId="5" borderId="0" xfId="2" applyNumberFormat="1" applyFont="1" applyFill="1">
      <alignment vertical="center"/>
    </xf>
    <xf numFmtId="192" fontId="36" fillId="11" borderId="0" xfId="2" applyNumberFormat="1" applyFont="1" applyFill="1">
      <alignment vertical="center"/>
    </xf>
    <xf numFmtId="0" fontId="36" fillId="0" borderId="1143" xfId="0" applyFont="1" applyBorder="1" applyAlignment="1">
      <alignment horizontal="center" vertical="center"/>
    </xf>
    <xf numFmtId="0" fontId="36" fillId="0" borderId="564" xfId="0" applyFont="1" applyBorder="1" applyAlignment="1">
      <alignment horizontal="center" vertical="center"/>
    </xf>
    <xf numFmtId="41" fontId="36" fillId="0" borderId="1148" xfId="2" applyFont="1" applyBorder="1" applyAlignment="1">
      <alignment horizontal="center" vertical="center"/>
    </xf>
    <xf numFmtId="41" fontId="36" fillId="0" borderId="1153" xfId="2" applyFont="1" applyBorder="1" applyAlignment="1">
      <alignment horizontal="center" vertical="center"/>
    </xf>
    <xf numFmtId="41" fontId="36" fillId="8" borderId="1148" xfId="2" applyFont="1" applyFill="1" applyBorder="1">
      <alignment vertical="center"/>
    </xf>
    <xf numFmtId="41" fontId="36" fillId="8" borderId="1153" xfId="2" applyFont="1" applyFill="1" applyBorder="1">
      <alignment vertical="center"/>
    </xf>
    <xf numFmtId="41" fontId="36" fillId="0" borderId="1148" xfId="2" applyFont="1" applyBorder="1">
      <alignment vertical="center"/>
    </xf>
    <xf numFmtId="41" fontId="36" fillId="0" borderId="1153" xfId="2" applyFont="1" applyBorder="1">
      <alignment vertical="center"/>
    </xf>
    <xf numFmtId="41" fontId="36" fillId="8" borderId="1153" xfId="2" applyFont="1" applyFill="1" applyBorder="1" applyAlignment="1">
      <alignment horizontal="center" vertical="center"/>
    </xf>
    <xf numFmtId="41" fontId="36" fillId="5" borderId="1148" xfId="2" applyFont="1" applyFill="1" applyBorder="1">
      <alignment vertical="center"/>
    </xf>
    <xf numFmtId="41" fontId="36" fillId="5" borderId="1153" xfId="2" applyFont="1" applyFill="1" applyBorder="1">
      <alignment vertical="center"/>
    </xf>
    <xf numFmtId="41" fontId="36" fillId="5" borderId="1149" xfId="2" applyFont="1" applyFill="1" applyBorder="1">
      <alignment vertical="center"/>
    </xf>
    <xf numFmtId="41" fontId="36" fillId="5" borderId="961" xfId="2" applyFont="1" applyFill="1" applyBorder="1">
      <alignment vertical="center"/>
    </xf>
    <xf numFmtId="41" fontId="36" fillId="5" borderId="1151" xfId="2" applyFont="1" applyFill="1" applyBorder="1">
      <alignment vertical="center"/>
    </xf>
    <xf numFmtId="192" fontId="37" fillId="4" borderId="1148" xfId="0" quotePrefix="1" applyNumberFormat="1" applyFont="1" applyFill="1" applyBorder="1" applyAlignment="1">
      <alignment horizontal="center" vertical="center"/>
    </xf>
    <xf numFmtId="41" fontId="43" fillId="4" borderId="1164" xfId="2" quotePrefix="1" applyFont="1" applyFill="1" applyBorder="1" applyAlignment="1">
      <alignment horizontal="center" vertical="center"/>
    </xf>
    <xf numFmtId="41" fontId="36" fillId="4" borderId="1165" xfId="2" quotePrefix="1" applyFont="1" applyFill="1" applyBorder="1" applyAlignment="1">
      <alignment horizontal="center" vertical="center"/>
    </xf>
    <xf numFmtId="0" fontId="43" fillId="8" borderId="1166" xfId="0" applyFont="1" applyFill="1" applyBorder="1" applyAlignment="1">
      <alignment horizontal="left" vertical="center"/>
    </xf>
    <xf numFmtId="0" fontId="36" fillId="8" borderId="1167" xfId="0" applyFont="1" applyFill="1" applyBorder="1" applyAlignment="1">
      <alignment horizontal="center" vertical="center"/>
    </xf>
    <xf numFmtId="41" fontId="36" fillId="8" borderId="1147" xfId="2" applyFont="1" applyFill="1" applyBorder="1" applyAlignment="1">
      <alignment horizontal="center" vertical="center"/>
    </xf>
    <xf numFmtId="41" fontId="36" fillId="8" borderId="976" xfId="2" applyFont="1" applyFill="1" applyBorder="1" applyAlignment="1">
      <alignment horizontal="center" vertical="center"/>
    </xf>
    <xf numFmtId="41" fontId="36" fillId="8" borderId="1150" xfId="2" applyFont="1" applyFill="1" applyBorder="1" applyAlignment="1">
      <alignment horizontal="center" vertical="center"/>
    </xf>
    <xf numFmtId="0" fontId="36" fillId="0" borderId="1148" xfId="0" applyFont="1" applyBorder="1" applyAlignment="1">
      <alignment horizontal="left" vertical="center"/>
    </xf>
    <xf numFmtId="0" fontId="43" fillId="8" borderId="1168" xfId="0" applyFont="1" applyFill="1" applyBorder="1" applyAlignment="1">
      <alignment horizontal="left" vertical="center"/>
    </xf>
    <xf numFmtId="0" fontId="43" fillId="5" borderId="1148" xfId="0" applyFont="1" applyFill="1" applyBorder="1" applyAlignment="1">
      <alignment horizontal="left" vertical="center"/>
    </xf>
    <xf numFmtId="0" fontId="43" fillId="8" borderId="1168" xfId="0" applyFont="1" applyFill="1" applyBorder="1" applyAlignment="1">
      <alignment vertical="center"/>
    </xf>
    <xf numFmtId="0" fontId="43" fillId="5" borderId="1149" xfId="0" applyFont="1" applyFill="1" applyBorder="1" applyAlignment="1">
      <alignment horizontal="center" vertical="center"/>
    </xf>
    <xf numFmtId="0" fontId="36" fillId="5" borderId="961" xfId="0" applyFont="1" applyFill="1" applyBorder="1" applyAlignment="1">
      <alignment horizontal="center" vertical="center"/>
    </xf>
    <xf numFmtId="0" fontId="36" fillId="3" borderId="629" xfId="0" applyFont="1" applyFill="1" applyBorder="1" applyAlignment="1">
      <alignment horizontal="center" vertical="center"/>
    </xf>
    <xf numFmtId="0" fontId="36" fillId="5" borderId="638" xfId="0" applyFont="1" applyFill="1" applyBorder="1">
      <alignment vertical="center"/>
    </xf>
    <xf numFmtId="0" fontId="36" fillId="5" borderId="645" xfId="0" applyFont="1" applyFill="1" applyBorder="1" applyAlignment="1">
      <alignment horizontal="center" vertical="center"/>
    </xf>
    <xf numFmtId="0" fontId="36" fillId="5" borderId="645" xfId="0" applyFont="1" applyFill="1" applyBorder="1">
      <alignment vertical="center"/>
    </xf>
    <xf numFmtId="0" fontId="36" fillId="5" borderId="653" xfId="0" applyFont="1" applyFill="1" applyBorder="1">
      <alignment vertical="center"/>
    </xf>
    <xf numFmtId="0" fontId="36" fillId="3" borderId="629" xfId="0" applyFont="1" applyFill="1" applyBorder="1">
      <alignment vertical="center"/>
    </xf>
    <xf numFmtId="0" fontId="36" fillId="3" borderId="636" xfId="0" applyFont="1" applyFill="1" applyBorder="1">
      <alignment vertical="center"/>
    </xf>
    <xf numFmtId="0" fontId="36" fillId="4" borderId="573" xfId="0" quotePrefix="1" applyFont="1" applyFill="1" applyBorder="1" applyAlignment="1">
      <alignment horizontal="center" vertical="center"/>
    </xf>
    <xf numFmtId="192" fontId="37" fillId="4" borderId="1169" xfId="0" quotePrefix="1" applyNumberFormat="1" applyFont="1" applyFill="1" applyBorder="1" applyAlignment="1">
      <alignment horizontal="center" vertical="center"/>
    </xf>
    <xf numFmtId="41" fontId="36" fillId="5" borderId="645" xfId="2" applyFont="1" applyFill="1" applyBorder="1">
      <alignment vertical="center"/>
    </xf>
    <xf numFmtId="41" fontId="36" fillId="3" borderId="629" xfId="2" applyFont="1" applyFill="1" applyBorder="1">
      <alignment vertical="center"/>
    </xf>
    <xf numFmtId="0" fontId="36" fillId="3" borderId="0" xfId="0" applyFont="1" applyFill="1" applyBorder="1" applyAlignment="1">
      <alignment horizontal="center" vertical="center"/>
    </xf>
    <xf numFmtId="0" fontId="36" fillId="5" borderId="645" xfId="0" quotePrefix="1" applyFont="1" applyFill="1" applyBorder="1" applyAlignment="1">
      <alignment horizontal="center" vertical="center"/>
    </xf>
    <xf numFmtId="0" fontId="47" fillId="5" borderId="645" xfId="0" quotePrefix="1" applyFont="1" applyFill="1" applyBorder="1" applyAlignment="1">
      <alignment horizontal="right" vertical="center"/>
    </xf>
    <xf numFmtId="192" fontId="37" fillId="4" borderId="1170" xfId="0" quotePrefix="1" applyNumberFormat="1" applyFont="1" applyFill="1" applyBorder="1" applyAlignment="1">
      <alignment horizontal="center" vertical="center"/>
    </xf>
    <xf numFmtId="0" fontId="37" fillId="4" borderId="656" xfId="0" quotePrefix="1" applyFont="1" applyFill="1" applyBorder="1" applyAlignment="1">
      <alignment horizontal="center" vertical="center"/>
    </xf>
    <xf numFmtId="0" fontId="36" fillId="4" borderId="656" xfId="0" quotePrefix="1" applyFont="1" applyFill="1" applyBorder="1" applyAlignment="1">
      <alignment horizontal="center" vertical="center"/>
    </xf>
    <xf numFmtId="192" fontId="37" fillId="4" borderId="656" xfId="0" quotePrefix="1" applyNumberFormat="1" applyFont="1" applyFill="1" applyBorder="1" applyAlignment="1">
      <alignment horizontal="center" vertical="center"/>
    </xf>
    <xf numFmtId="0" fontId="36" fillId="4" borderId="1171" xfId="0" quotePrefix="1" applyFont="1" applyFill="1" applyBorder="1" applyAlignment="1">
      <alignment horizontal="center" vertical="center"/>
    </xf>
    <xf numFmtId="0" fontId="36" fillId="3" borderId="638" xfId="0" applyFont="1" applyFill="1" applyBorder="1" applyAlignment="1">
      <alignment horizontal="center" vertical="center"/>
    </xf>
    <xf numFmtId="0" fontId="37" fillId="4" borderId="1171" xfId="0" quotePrefix="1" applyFont="1" applyFill="1" applyBorder="1" applyAlignment="1">
      <alignment horizontal="center" vertical="center"/>
    </xf>
    <xf numFmtId="192" fontId="37" fillId="4" borderId="573" xfId="0" quotePrefix="1" applyNumberFormat="1" applyFont="1" applyFill="1" applyBorder="1" applyAlignment="1">
      <alignment horizontal="center" vertical="center"/>
    </xf>
    <xf numFmtId="0" fontId="36" fillId="4" borderId="1077" xfId="0" quotePrefix="1" applyFont="1" applyFill="1" applyBorder="1" applyAlignment="1">
      <alignment horizontal="center" vertical="center"/>
    </xf>
    <xf numFmtId="41" fontId="36" fillId="8" borderId="576" xfId="2" applyFont="1" applyFill="1" applyBorder="1" applyAlignment="1">
      <alignment horizontal="center" vertical="center"/>
    </xf>
    <xf numFmtId="41" fontId="36" fillId="8" borderId="768" xfId="2" applyFont="1" applyFill="1" applyBorder="1" applyAlignment="1">
      <alignment horizontal="center" vertical="center"/>
    </xf>
    <xf numFmtId="41" fontId="36" fillId="5" borderId="576" xfId="2" applyFont="1" applyFill="1" applyBorder="1" applyAlignment="1">
      <alignment horizontal="center" vertical="center"/>
    </xf>
    <xf numFmtId="41" fontId="36" fillId="5" borderId="768" xfId="2" applyFont="1" applyFill="1" applyBorder="1" applyAlignment="1">
      <alignment horizontal="center" vertical="center"/>
    </xf>
    <xf numFmtId="41" fontId="36" fillId="5" borderId="1172" xfId="2" applyFont="1" applyFill="1" applyBorder="1" applyAlignment="1">
      <alignment horizontal="center" vertical="center"/>
    </xf>
    <xf numFmtId="0" fontId="37" fillId="4" borderId="1077" xfId="0" quotePrefix="1" applyFont="1" applyFill="1" applyBorder="1" applyAlignment="1">
      <alignment horizontal="center" vertical="center"/>
    </xf>
    <xf numFmtId="0" fontId="36" fillId="5" borderId="74" xfId="0" applyFont="1" applyFill="1" applyBorder="1">
      <alignment vertical="center"/>
    </xf>
    <xf numFmtId="0" fontId="36" fillId="5" borderId="114" xfId="0" applyFont="1" applyFill="1" applyBorder="1">
      <alignment vertical="center"/>
    </xf>
    <xf numFmtId="41" fontId="22" fillId="78" borderId="989" xfId="2" applyFont="1" applyFill="1" applyBorder="1" applyAlignment="1">
      <alignment horizontal="center" vertical="center"/>
    </xf>
    <xf numFmtId="41" fontId="22" fillId="78" borderId="988" xfId="2" applyFont="1" applyFill="1" applyBorder="1" applyAlignment="1">
      <alignment horizontal="center" vertical="center"/>
    </xf>
    <xf numFmtId="41" fontId="22" fillId="78" borderId="990" xfId="2" applyFont="1" applyFill="1" applyBorder="1" applyAlignment="1">
      <alignment horizontal="center" vertical="center"/>
    </xf>
    <xf numFmtId="0" fontId="43" fillId="4" borderId="417" xfId="0" quotePrefix="1" applyFont="1" applyFill="1" applyBorder="1" applyAlignment="1">
      <alignment horizontal="center" vertical="center"/>
    </xf>
    <xf numFmtId="0" fontId="36" fillId="5" borderId="0" xfId="0" applyFont="1" applyFill="1" applyBorder="1" applyAlignment="1">
      <alignment horizontal="center" vertical="center"/>
    </xf>
    <xf numFmtId="0" fontId="36" fillId="2" borderId="121" xfId="0" applyFont="1" applyFill="1" applyBorder="1" applyAlignment="1">
      <alignment horizontal="center" vertical="center"/>
    </xf>
    <xf numFmtId="210" fontId="36" fillId="9" borderId="56" xfId="0" applyNumberFormat="1" applyFont="1" applyFill="1" applyBorder="1">
      <alignment vertical="center"/>
    </xf>
    <xf numFmtId="210" fontId="36" fillId="5" borderId="74" xfId="0" applyNumberFormat="1" applyFont="1" applyFill="1" applyBorder="1">
      <alignment vertical="center"/>
    </xf>
    <xf numFmtId="210" fontId="36" fillId="5" borderId="114" xfId="0" applyNumberFormat="1" applyFont="1" applyFill="1" applyBorder="1">
      <alignment vertical="center"/>
    </xf>
    <xf numFmtId="210" fontId="36" fillId="5" borderId="645" xfId="0" applyNumberFormat="1" applyFont="1" applyFill="1" applyBorder="1">
      <alignment vertical="center"/>
    </xf>
    <xf numFmtId="0" fontId="36" fillId="4" borderId="0" xfId="0" applyFont="1" applyFill="1" applyBorder="1" applyAlignment="1">
      <alignment horizontal="center" vertical="center"/>
    </xf>
    <xf numFmtId="0" fontId="36" fillId="11" borderId="4" xfId="0" quotePrefix="1" applyFont="1" applyFill="1" applyBorder="1" applyAlignment="1">
      <alignment horizontal="center" vertical="center"/>
    </xf>
    <xf numFmtId="0" fontId="81" fillId="53" borderId="4" xfId="0" applyFont="1" applyFill="1" applyBorder="1">
      <alignment vertical="center"/>
    </xf>
    <xf numFmtId="0" fontId="81" fillId="53" borderId="1175" xfId="0" applyFont="1" applyFill="1" applyBorder="1">
      <alignment vertical="center"/>
    </xf>
    <xf numFmtId="210" fontId="81" fillId="53" borderId="4" xfId="0" applyNumberFormat="1" applyFont="1" applyFill="1" applyBorder="1" applyAlignment="1">
      <alignment horizontal="center" vertical="center"/>
    </xf>
    <xf numFmtId="194" fontId="81" fillId="53" borderId="1176" xfId="0" applyNumberFormat="1" applyFont="1" applyFill="1" applyBorder="1" applyAlignment="1">
      <alignment horizontal="center" vertical="center"/>
    </xf>
    <xf numFmtId="194" fontId="81" fillId="53" borderId="1174" xfId="0" applyNumberFormat="1" applyFont="1" applyFill="1" applyBorder="1" applyAlignment="1">
      <alignment horizontal="center" vertical="center"/>
    </xf>
    <xf numFmtId="194" fontId="81" fillId="53" borderId="0" xfId="0" applyNumberFormat="1" applyFont="1" applyFill="1" applyBorder="1" applyAlignment="1">
      <alignment horizontal="center" vertical="center"/>
    </xf>
    <xf numFmtId="0" fontId="43" fillId="5" borderId="12" xfId="0" applyFont="1" applyFill="1" applyBorder="1">
      <alignment vertical="center"/>
    </xf>
    <xf numFmtId="210" fontId="43" fillId="5" borderId="11" xfId="0" applyNumberFormat="1" applyFont="1" applyFill="1" applyBorder="1" applyAlignment="1">
      <alignment horizontal="center" vertical="center"/>
    </xf>
    <xf numFmtId="210" fontId="43" fillId="5" borderId="0" xfId="0" applyNumberFormat="1" applyFont="1" applyFill="1" applyBorder="1" applyAlignment="1">
      <alignment horizontal="center" vertical="center"/>
    </xf>
    <xf numFmtId="210" fontId="43" fillId="5" borderId="388" xfId="0" applyNumberFormat="1" applyFont="1" applyFill="1" applyBorder="1" applyAlignment="1">
      <alignment horizontal="center" vertical="center"/>
    </xf>
    <xf numFmtId="194" fontId="43" fillId="5" borderId="377" xfId="0" applyNumberFormat="1" applyFont="1" applyFill="1" applyBorder="1" applyAlignment="1">
      <alignment horizontal="center" vertical="center"/>
    </xf>
    <xf numFmtId="194" fontId="36" fillId="5" borderId="0" xfId="0" applyNumberFormat="1" applyFont="1" applyFill="1" applyBorder="1" applyAlignment="1">
      <alignment horizontal="center" vertical="center"/>
    </xf>
    <xf numFmtId="194" fontId="43" fillId="5" borderId="398" xfId="0" applyNumberFormat="1" applyFont="1" applyFill="1" applyBorder="1" applyAlignment="1">
      <alignment horizontal="center" vertical="center"/>
    </xf>
    <xf numFmtId="194" fontId="43" fillId="5" borderId="0" xfId="0" applyNumberFormat="1" applyFont="1" applyFill="1" applyBorder="1" applyAlignment="1">
      <alignment horizontal="center" vertical="center"/>
    </xf>
    <xf numFmtId="194" fontId="43" fillId="5" borderId="388" xfId="0" applyNumberFormat="1" applyFont="1" applyFill="1" applyBorder="1" applyAlignment="1">
      <alignment horizontal="center" vertical="center"/>
    </xf>
    <xf numFmtId="194" fontId="43" fillId="5" borderId="242" xfId="0" applyNumberFormat="1" applyFont="1" applyFill="1" applyBorder="1" applyAlignment="1">
      <alignment horizontal="center" vertical="center"/>
    </xf>
    <xf numFmtId="194" fontId="43" fillId="5" borderId="1178" xfId="0" applyNumberFormat="1" applyFont="1" applyFill="1" applyBorder="1" applyAlignment="1">
      <alignment horizontal="center" vertical="center"/>
    </xf>
    <xf numFmtId="0" fontId="36" fillId="5" borderId="12" xfId="0" applyFont="1" applyFill="1" applyBorder="1">
      <alignment vertical="center"/>
    </xf>
    <xf numFmtId="210" fontId="36" fillId="5" borderId="0" xfId="0" applyNumberFormat="1" applyFont="1" applyFill="1" applyBorder="1" applyAlignment="1">
      <alignment horizontal="center" vertical="center"/>
    </xf>
    <xf numFmtId="194" fontId="36" fillId="5" borderId="377" xfId="0" applyNumberFormat="1" applyFont="1" applyFill="1" applyBorder="1" applyAlignment="1">
      <alignment horizontal="center" vertical="center"/>
    </xf>
    <xf numFmtId="194" fontId="36" fillId="5" borderId="398" xfId="0" applyNumberFormat="1" applyFont="1" applyFill="1" applyBorder="1" applyAlignment="1">
      <alignment horizontal="center" vertical="center"/>
    </xf>
    <xf numFmtId="194" fontId="36" fillId="5" borderId="242" xfId="0" applyNumberFormat="1" applyFont="1" applyFill="1" applyBorder="1" applyAlignment="1">
      <alignment horizontal="center" vertical="center"/>
    </xf>
    <xf numFmtId="194" fontId="36" fillId="5" borderId="1178" xfId="0" applyNumberFormat="1" applyFont="1" applyFill="1" applyBorder="1" applyAlignment="1">
      <alignment horizontal="center" vertical="center"/>
    </xf>
    <xf numFmtId="0" fontId="43" fillId="5" borderId="107" xfId="0" applyFont="1" applyFill="1" applyBorder="1">
      <alignment vertical="center"/>
    </xf>
    <xf numFmtId="0" fontId="43" fillId="5" borderId="108" xfId="0" applyFont="1" applyFill="1" applyBorder="1">
      <alignment vertical="center"/>
    </xf>
    <xf numFmtId="210" fontId="43" fillId="5" borderId="396" xfId="0" applyNumberFormat="1" applyFont="1" applyFill="1" applyBorder="1" applyAlignment="1">
      <alignment horizontal="center" vertical="center"/>
    </xf>
    <xf numFmtId="194" fontId="43" fillId="5" borderId="379" xfId="0" applyNumberFormat="1" applyFont="1" applyFill="1" applyBorder="1" applyAlignment="1">
      <alignment horizontal="center" vertical="center"/>
    </xf>
    <xf numFmtId="194" fontId="43" fillId="5" borderId="399" xfId="0" applyNumberFormat="1" applyFont="1" applyFill="1" applyBorder="1" applyAlignment="1">
      <alignment horizontal="center" vertical="center"/>
    </xf>
    <xf numFmtId="194" fontId="43" fillId="5" borderId="396" xfId="0" applyNumberFormat="1" applyFont="1" applyFill="1" applyBorder="1" applyAlignment="1">
      <alignment horizontal="center" vertical="center"/>
    </xf>
    <xf numFmtId="194" fontId="43" fillId="5" borderId="1177" xfId="0" applyNumberFormat="1" applyFont="1" applyFill="1" applyBorder="1" applyAlignment="1">
      <alignment horizontal="center" vertical="center"/>
    </xf>
    <xf numFmtId="194" fontId="43" fillId="5" borderId="1179" xfId="0" applyNumberFormat="1" applyFont="1" applyFill="1" applyBorder="1" applyAlignment="1">
      <alignment horizontal="center" vertical="center"/>
    </xf>
    <xf numFmtId="0" fontId="36" fillId="5" borderId="6" xfId="0" applyFont="1" applyFill="1" applyBorder="1">
      <alignment vertical="center"/>
    </xf>
    <xf numFmtId="0" fontId="36" fillId="5" borderId="13" xfId="0" applyFont="1" applyFill="1" applyBorder="1">
      <alignment vertical="center"/>
    </xf>
    <xf numFmtId="210" fontId="36" fillId="5" borderId="6" xfId="0" applyNumberFormat="1" applyFont="1" applyFill="1" applyBorder="1" applyAlignment="1">
      <alignment horizontal="center" vertical="center"/>
    </xf>
    <xf numFmtId="194" fontId="36" fillId="5" borderId="378" xfId="0" applyNumberFormat="1" applyFont="1" applyFill="1" applyBorder="1" applyAlignment="1">
      <alignment horizontal="center" vertical="center"/>
    </xf>
    <xf numFmtId="194" fontId="36" fillId="5" borderId="244" xfId="0" applyNumberFormat="1" applyFont="1" applyFill="1" applyBorder="1" applyAlignment="1">
      <alignment horizontal="center" vertical="center"/>
    </xf>
    <xf numFmtId="194" fontId="36" fillId="5" borderId="6" xfId="0" applyNumberFormat="1" applyFont="1" applyFill="1" applyBorder="1" applyAlignment="1">
      <alignment horizontal="center" vertical="center"/>
    </xf>
    <xf numFmtId="194" fontId="36" fillId="5" borderId="1180" xfId="0" applyNumberFormat="1" applyFont="1" applyFill="1" applyBorder="1" applyAlignment="1">
      <alignment horizontal="center" vertical="center"/>
    </xf>
    <xf numFmtId="194" fontId="36" fillId="0" borderId="61" xfId="0" applyNumberFormat="1" applyFont="1" applyBorder="1" applyAlignment="1">
      <alignment horizontal="center" vertical="center"/>
    </xf>
    <xf numFmtId="194" fontId="36" fillId="0" borderId="0" xfId="0" applyNumberFormat="1" applyFont="1" applyAlignment="1">
      <alignment horizontal="center" vertical="center"/>
    </xf>
    <xf numFmtId="0" fontId="36" fillId="0" borderId="56" xfId="0" applyFont="1" applyFill="1" applyBorder="1">
      <alignment vertical="center"/>
    </xf>
    <xf numFmtId="0" fontId="36" fillId="0" borderId="60" xfId="0" applyFont="1" applyFill="1" applyBorder="1">
      <alignment vertical="center"/>
    </xf>
    <xf numFmtId="0" fontId="36" fillId="0" borderId="57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 vertical="center"/>
    </xf>
    <xf numFmtId="0" fontId="36" fillId="0" borderId="397" xfId="0" applyFont="1" applyBorder="1" applyAlignment="1">
      <alignment horizontal="center" vertical="center"/>
    </xf>
    <xf numFmtId="194" fontId="36" fillId="0" borderId="380" xfId="0" applyNumberFormat="1" applyFont="1" applyFill="1" applyBorder="1" applyAlignment="1">
      <alignment horizontal="center" vertical="center"/>
    </xf>
    <xf numFmtId="194" fontId="36" fillId="0" borderId="400" xfId="0" applyNumberFormat="1" applyFont="1" applyBorder="1" applyAlignment="1">
      <alignment horizontal="center" vertical="center"/>
    </xf>
    <xf numFmtId="194" fontId="36" fillId="0" borderId="56" xfId="0" applyNumberFormat="1" applyFont="1" applyBorder="1" applyAlignment="1">
      <alignment horizontal="center" vertical="center"/>
    </xf>
    <xf numFmtId="194" fontId="36" fillId="0" borderId="397" xfId="0" applyNumberFormat="1" applyFont="1" applyBorder="1" applyAlignment="1">
      <alignment horizontal="center" vertical="center"/>
    </xf>
    <xf numFmtId="194" fontId="36" fillId="0" borderId="377" xfId="0" applyNumberFormat="1" applyFont="1" applyFill="1" applyBorder="1" applyAlignment="1">
      <alignment horizontal="center" vertical="center"/>
    </xf>
    <xf numFmtId="194" fontId="36" fillId="0" borderId="398" xfId="0" applyNumberFormat="1" applyFont="1" applyBorder="1" applyAlignment="1">
      <alignment horizontal="center" vertical="center"/>
    </xf>
    <xf numFmtId="194" fontId="36" fillId="0" borderId="377" xfId="0" quotePrefix="1" applyNumberFormat="1" applyFont="1" applyFill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6" fillId="0" borderId="121" xfId="0" applyFont="1" applyBorder="1" applyAlignment="1">
      <alignment horizontal="center" vertical="center"/>
    </xf>
    <xf numFmtId="0" fontId="36" fillId="0" borderId="387" xfId="0" applyFont="1" applyBorder="1" applyAlignment="1">
      <alignment horizontal="center" vertical="center"/>
    </xf>
    <xf numFmtId="194" fontId="36" fillId="0" borderId="381" xfId="0" applyNumberFormat="1" applyFont="1" applyFill="1" applyBorder="1" applyAlignment="1">
      <alignment horizontal="center" vertical="center"/>
    </xf>
    <xf numFmtId="194" fontId="36" fillId="0" borderId="401" xfId="0" applyNumberFormat="1" applyFont="1" applyBorder="1" applyAlignment="1">
      <alignment horizontal="center" vertical="center"/>
    </xf>
    <xf numFmtId="194" fontId="36" fillId="0" borderId="121" xfId="0" applyNumberFormat="1" applyFont="1" applyBorder="1" applyAlignment="1">
      <alignment horizontal="center" vertical="center"/>
    </xf>
    <xf numFmtId="194" fontId="36" fillId="0" borderId="387" xfId="0" applyNumberFormat="1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388" xfId="0" applyFont="1" applyBorder="1" applyAlignment="1">
      <alignment horizontal="center" vertical="center"/>
    </xf>
    <xf numFmtId="194" fontId="36" fillId="0" borderId="388" xfId="0" applyNumberFormat="1" applyFont="1" applyBorder="1" applyAlignment="1">
      <alignment horizontal="center" vertical="center"/>
    </xf>
    <xf numFmtId="0" fontId="36" fillId="0" borderId="116" xfId="0" applyFont="1" applyBorder="1" applyAlignment="1">
      <alignment horizontal="center" vertical="center"/>
    </xf>
    <xf numFmtId="0" fontId="36" fillId="0" borderId="114" xfId="0" applyFont="1" applyBorder="1" applyAlignment="1">
      <alignment horizontal="center" vertical="center"/>
    </xf>
    <xf numFmtId="0" fontId="36" fillId="0" borderId="390" xfId="0" applyFont="1" applyBorder="1" applyAlignment="1">
      <alignment horizontal="center" vertical="center"/>
    </xf>
    <xf numFmtId="194" fontId="36" fillId="0" borderId="382" xfId="0" applyNumberFormat="1" applyFont="1" applyFill="1" applyBorder="1" applyAlignment="1">
      <alignment horizontal="center" vertical="center"/>
    </xf>
    <xf numFmtId="194" fontId="36" fillId="0" borderId="402" xfId="0" applyNumberFormat="1" applyFont="1" applyBorder="1" applyAlignment="1">
      <alignment horizontal="center" vertical="center"/>
    </xf>
    <xf numFmtId="194" fontId="36" fillId="0" borderId="114" xfId="0" applyNumberFormat="1" applyFont="1" applyBorder="1" applyAlignment="1">
      <alignment horizontal="center" vertical="center"/>
    </xf>
    <xf numFmtId="194" fontId="36" fillId="0" borderId="390" xfId="0" applyNumberFormat="1" applyFont="1" applyBorder="1" applyAlignment="1">
      <alignment horizontal="center" vertical="center"/>
    </xf>
    <xf numFmtId="194" fontId="36" fillId="0" borderId="406" xfId="0" applyNumberFormat="1" applyFont="1" applyFill="1" applyBorder="1" applyAlignment="1">
      <alignment horizontal="center" vertical="center"/>
    </xf>
    <xf numFmtId="194" fontId="36" fillId="0" borderId="0" xfId="0" applyNumberFormat="1" applyFont="1" applyFill="1" applyBorder="1" applyAlignment="1">
      <alignment horizontal="center" vertical="center"/>
    </xf>
    <xf numFmtId="0" fontId="36" fillId="0" borderId="75" xfId="0" applyFont="1" applyBorder="1" applyAlignment="1">
      <alignment horizontal="center" vertical="center"/>
    </xf>
    <xf numFmtId="0" fontId="36" fillId="0" borderId="74" xfId="0" applyFont="1" applyBorder="1" applyAlignment="1">
      <alignment horizontal="center" vertical="center"/>
    </xf>
    <xf numFmtId="0" fontId="36" fillId="0" borderId="391" xfId="0" applyFont="1" applyBorder="1" applyAlignment="1">
      <alignment horizontal="center" vertical="center"/>
    </xf>
    <xf numFmtId="194" fontId="36" fillId="0" borderId="383" xfId="0" applyNumberFormat="1" applyFont="1" applyFill="1" applyBorder="1" applyAlignment="1">
      <alignment horizontal="center" vertical="center"/>
    </xf>
    <xf numFmtId="194" fontId="36" fillId="0" borderId="403" xfId="0" applyNumberFormat="1" applyFont="1" applyBorder="1" applyAlignment="1">
      <alignment horizontal="center" vertical="center"/>
    </xf>
    <xf numFmtId="194" fontId="36" fillId="0" borderId="74" xfId="0" applyNumberFormat="1" applyFont="1" applyBorder="1" applyAlignment="1">
      <alignment horizontal="center" vertical="center"/>
    </xf>
    <xf numFmtId="194" fontId="36" fillId="0" borderId="391" xfId="0" applyNumberFormat="1" applyFont="1" applyBorder="1" applyAlignment="1">
      <alignment horizontal="center" vertical="center"/>
    </xf>
    <xf numFmtId="0" fontId="36" fillId="2" borderId="123" xfId="0" applyFont="1" applyFill="1" applyBorder="1" applyAlignment="1">
      <alignment horizontal="center" vertical="center"/>
    </xf>
    <xf numFmtId="0" fontId="36" fillId="2" borderId="387" xfId="0" applyFont="1" applyFill="1" applyBorder="1" applyAlignment="1">
      <alignment horizontal="center" vertical="center"/>
    </xf>
    <xf numFmtId="194" fontId="36" fillId="2" borderId="381" xfId="0" applyNumberFormat="1" applyFont="1" applyFill="1" applyBorder="1" applyAlignment="1">
      <alignment horizontal="center" vertical="center"/>
    </xf>
    <xf numFmtId="194" fontId="36" fillId="2" borderId="401" xfId="0" applyNumberFormat="1" applyFont="1" applyFill="1" applyBorder="1" applyAlignment="1">
      <alignment horizontal="center" vertical="center"/>
    </xf>
    <xf numFmtId="194" fontId="36" fillId="2" borderId="121" xfId="0" applyNumberFormat="1" applyFont="1" applyFill="1" applyBorder="1" applyAlignment="1">
      <alignment horizontal="center" vertical="center"/>
    </xf>
    <xf numFmtId="194" fontId="36" fillId="2" borderId="387" xfId="0" applyNumberFormat="1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/>
    </xf>
    <xf numFmtId="0" fontId="36" fillId="2" borderId="0" xfId="0" applyFont="1" applyFill="1" applyBorder="1" applyAlignment="1">
      <alignment horizontal="center" vertical="center"/>
    </xf>
    <xf numFmtId="0" fontId="36" fillId="2" borderId="388" xfId="0" applyFont="1" applyFill="1" applyBorder="1" applyAlignment="1">
      <alignment horizontal="center" vertical="center"/>
    </xf>
    <xf numFmtId="194" fontId="36" fillId="2" borderId="377" xfId="0" applyNumberFormat="1" applyFont="1" applyFill="1" applyBorder="1" applyAlignment="1">
      <alignment horizontal="center" vertical="center"/>
    </xf>
    <xf numFmtId="194" fontId="36" fillId="2" borderId="398" xfId="0" applyNumberFormat="1" applyFont="1" applyFill="1" applyBorder="1" applyAlignment="1">
      <alignment horizontal="center" vertical="center"/>
    </xf>
    <xf numFmtId="194" fontId="36" fillId="2" borderId="0" xfId="0" applyNumberFormat="1" applyFont="1" applyFill="1" applyBorder="1" applyAlignment="1">
      <alignment horizontal="center" vertical="center"/>
    </xf>
    <xf numFmtId="194" fontId="36" fillId="2" borderId="0" xfId="0" applyNumberFormat="1" applyFont="1" applyFill="1" applyAlignment="1">
      <alignment horizontal="center" vertical="center"/>
    </xf>
    <xf numFmtId="194" fontId="36" fillId="2" borderId="388" xfId="0" applyNumberFormat="1" applyFont="1" applyFill="1" applyBorder="1" applyAlignment="1">
      <alignment horizontal="center" vertical="center"/>
    </xf>
    <xf numFmtId="0" fontId="36" fillId="2" borderId="129" xfId="0" applyFont="1" applyFill="1" applyBorder="1" applyAlignment="1">
      <alignment horizontal="center" vertical="center"/>
    </xf>
    <xf numFmtId="0" fontId="36" fillId="2" borderId="127" xfId="0" applyFont="1" applyFill="1" applyBorder="1" applyAlignment="1">
      <alignment horizontal="center" vertical="center"/>
    </xf>
    <xf numFmtId="0" fontId="36" fillId="2" borderId="389" xfId="0" applyFont="1" applyFill="1" applyBorder="1" applyAlignment="1">
      <alignment horizontal="center" vertical="center"/>
    </xf>
    <xf numFmtId="194" fontId="36" fillId="2" borderId="384" xfId="0" applyNumberFormat="1" applyFont="1" applyFill="1" applyBorder="1" applyAlignment="1">
      <alignment horizontal="center" vertical="center"/>
    </xf>
    <xf numFmtId="194" fontId="36" fillId="2" borderId="404" xfId="0" applyNumberFormat="1" applyFont="1" applyFill="1" applyBorder="1" applyAlignment="1">
      <alignment horizontal="center" vertical="center"/>
    </xf>
    <xf numFmtId="194" fontId="36" fillId="2" borderId="127" xfId="0" applyNumberFormat="1" applyFont="1" applyFill="1" applyBorder="1" applyAlignment="1">
      <alignment horizontal="center" vertical="center"/>
    </xf>
    <xf numFmtId="194" fontId="36" fillId="2" borderId="389" xfId="0" applyNumberFormat="1" applyFont="1" applyFill="1" applyBorder="1" applyAlignment="1">
      <alignment horizontal="center" vertical="center"/>
    </xf>
    <xf numFmtId="194" fontId="36" fillId="5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6" fillId="2" borderId="62" xfId="0" applyFont="1" applyFill="1" applyBorder="1" applyAlignment="1">
      <alignment horizontal="center" vertical="center"/>
    </xf>
    <xf numFmtId="0" fontId="36" fillId="2" borderId="61" xfId="0" applyFont="1" applyFill="1" applyBorder="1" applyAlignment="1">
      <alignment horizontal="center" vertical="center"/>
    </xf>
    <xf numFmtId="0" fontId="36" fillId="2" borderId="386" xfId="0" applyFont="1" applyFill="1" applyBorder="1" applyAlignment="1">
      <alignment horizontal="center" vertical="center"/>
    </xf>
    <xf numFmtId="194" fontId="36" fillId="2" borderId="385" xfId="0" applyNumberFormat="1" applyFont="1" applyFill="1" applyBorder="1" applyAlignment="1">
      <alignment horizontal="center" vertical="center"/>
    </xf>
    <xf numFmtId="194" fontId="36" fillId="2" borderId="405" xfId="0" applyNumberFormat="1" applyFont="1" applyFill="1" applyBorder="1" applyAlignment="1">
      <alignment horizontal="center" vertical="center"/>
    </xf>
    <xf numFmtId="194" fontId="36" fillId="2" borderId="61" xfId="0" applyNumberFormat="1" applyFont="1" applyFill="1" applyBorder="1" applyAlignment="1">
      <alignment horizontal="center" vertical="center"/>
    </xf>
    <xf numFmtId="194" fontId="36" fillId="2" borderId="386" xfId="0" applyNumberFormat="1" applyFont="1" applyFill="1" applyBorder="1" applyAlignment="1">
      <alignment horizontal="center" vertical="center"/>
    </xf>
    <xf numFmtId="194" fontId="43" fillId="11" borderId="192" xfId="0" quotePrefix="1" applyNumberFormat="1" applyFont="1" applyFill="1" applyBorder="1" applyAlignment="1">
      <alignment horizontal="center" vertical="center"/>
    </xf>
    <xf numFmtId="0" fontId="43" fillId="11" borderId="4" xfId="0" applyFont="1" applyFill="1" applyBorder="1" applyAlignment="1">
      <alignment horizontal="center" vertical="center"/>
    </xf>
    <xf numFmtId="0" fontId="81" fillId="76" borderId="0" xfId="0" applyFont="1" applyFill="1" applyBorder="1" applyAlignment="1">
      <alignment horizontal="center" vertical="center"/>
    </xf>
    <xf numFmtId="0" fontId="36" fillId="0" borderId="1181" xfId="0" applyFont="1" applyBorder="1" applyAlignment="1">
      <alignment horizontal="center" vertical="center"/>
    </xf>
    <xf numFmtId="0" fontId="70" fillId="5" borderId="143" xfId="0" applyFont="1" applyFill="1" applyBorder="1" applyAlignment="1">
      <alignment horizontal="center" vertical="center"/>
    </xf>
    <xf numFmtId="0" fontId="70" fillId="5" borderId="140" xfId="0" applyFont="1" applyFill="1" applyBorder="1" applyAlignment="1">
      <alignment horizontal="center" vertical="center"/>
    </xf>
    <xf numFmtId="0" fontId="70" fillId="5" borderId="644" xfId="0" applyFont="1" applyFill="1" applyBorder="1" applyAlignment="1">
      <alignment horizontal="center" vertical="center"/>
    </xf>
    <xf numFmtId="0" fontId="70" fillId="5" borderId="142" xfId="0" applyFont="1" applyFill="1" applyBorder="1" applyAlignment="1">
      <alignment horizontal="center" vertical="center"/>
    </xf>
    <xf numFmtId="205" fontId="36" fillId="11" borderId="4" xfId="0" applyNumberFormat="1" applyFont="1" applyFill="1" applyBorder="1" applyAlignment="1">
      <alignment horizontal="center" vertical="center"/>
    </xf>
    <xf numFmtId="205" fontId="36" fillId="0" borderId="0" xfId="0" applyNumberFormat="1" applyFont="1" applyBorder="1" applyAlignment="1">
      <alignment horizontal="center" vertical="center"/>
    </xf>
    <xf numFmtId="205" fontId="36" fillId="0" borderId="1181" xfId="0" applyNumberFormat="1" applyFont="1" applyBorder="1" applyAlignment="1">
      <alignment horizontal="center" vertical="center"/>
    </xf>
    <xf numFmtId="205" fontId="36" fillId="13" borderId="0" xfId="0" applyNumberFormat="1" applyFont="1" applyFill="1" applyBorder="1" applyAlignment="1">
      <alignment horizontal="center" vertical="center"/>
    </xf>
    <xf numFmtId="202" fontId="36" fillId="0" borderId="1033" xfId="2" applyNumberFormat="1" applyFont="1" applyFill="1" applyBorder="1" applyAlignment="1">
      <alignment horizontal="center" vertical="center"/>
    </xf>
    <xf numFmtId="202" fontId="36" fillId="0" borderId="437" xfId="2" applyNumberFormat="1" applyFont="1" applyFill="1" applyBorder="1" applyAlignment="1">
      <alignment horizontal="center" vertical="center"/>
    </xf>
    <xf numFmtId="202" fontId="36" fillId="0" borderId="1185" xfId="2" applyNumberFormat="1" applyFont="1" applyFill="1" applyBorder="1" applyAlignment="1">
      <alignment horizontal="center" vertical="center"/>
    </xf>
    <xf numFmtId="202" fontId="36" fillId="0" borderId="1039" xfId="2" applyNumberFormat="1" applyFont="1" applyFill="1" applyBorder="1" applyAlignment="1">
      <alignment horizontal="center" vertical="center"/>
    </xf>
    <xf numFmtId="202" fontId="36" fillId="2" borderId="1038" xfId="2" applyNumberFormat="1" applyFont="1" applyFill="1" applyBorder="1" applyAlignment="1">
      <alignment horizontal="center" vertical="center"/>
    </xf>
    <xf numFmtId="202" fontId="36" fillId="2" borderId="437" xfId="2" applyNumberFormat="1" applyFont="1" applyFill="1" applyBorder="1" applyAlignment="1">
      <alignment horizontal="center" vertical="center"/>
    </xf>
    <xf numFmtId="202" fontId="36" fillId="0" borderId="1038" xfId="2" applyNumberFormat="1" applyFont="1" applyFill="1" applyBorder="1" applyAlignment="1">
      <alignment horizontal="center" vertical="center"/>
    </xf>
    <xf numFmtId="202" fontId="36" fillId="2" borderId="1185" xfId="2" applyNumberFormat="1" applyFont="1" applyFill="1" applyBorder="1" applyAlignment="1">
      <alignment horizontal="center" vertical="center"/>
    </xf>
    <xf numFmtId="202" fontId="36" fillId="2" borderId="1186" xfId="2" applyNumberFormat="1" applyFont="1" applyFill="1" applyBorder="1" applyAlignment="1">
      <alignment horizontal="center" vertical="center"/>
    </xf>
    <xf numFmtId="202" fontId="36" fillId="2" borderId="1037" xfId="2" applyNumberFormat="1" applyFont="1" applyFill="1" applyBorder="1" applyAlignment="1">
      <alignment horizontal="center" vertical="center"/>
    </xf>
    <xf numFmtId="205" fontId="36" fillId="11" borderId="591" xfId="0" applyNumberFormat="1" applyFont="1" applyFill="1" applyBorder="1" applyAlignment="1">
      <alignment horizontal="center" vertical="center"/>
    </xf>
    <xf numFmtId="205" fontId="36" fillId="0" borderId="437" xfId="0" applyNumberFormat="1" applyFont="1" applyBorder="1" applyAlignment="1">
      <alignment horizontal="center" vertical="center"/>
    </xf>
    <xf numFmtId="205" fontId="36" fillId="0" borderId="1187" xfId="0" applyNumberFormat="1" applyFont="1" applyBorder="1" applyAlignment="1">
      <alignment horizontal="center" vertical="center"/>
    </xf>
    <xf numFmtId="205" fontId="36" fillId="13" borderId="437" xfId="0" applyNumberFormat="1" applyFont="1" applyFill="1" applyBorder="1" applyAlignment="1">
      <alignment horizontal="center" vertical="center"/>
    </xf>
    <xf numFmtId="202" fontId="36" fillId="0" borderId="1188" xfId="2" applyNumberFormat="1" applyFont="1" applyFill="1" applyBorder="1" applyAlignment="1">
      <alignment horizontal="center" vertical="center"/>
    </xf>
    <xf numFmtId="202" fontId="36" fillId="0" borderId="1189" xfId="2" applyNumberFormat="1" applyFont="1" applyFill="1" applyBorder="1" applyAlignment="1">
      <alignment horizontal="center" vertical="center"/>
    </xf>
    <xf numFmtId="202" fontId="36" fillId="0" borderId="1190" xfId="2" applyNumberFormat="1" applyFont="1" applyFill="1" applyBorder="1" applyAlignment="1">
      <alignment horizontal="center" vertical="center"/>
    </xf>
    <xf numFmtId="202" fontId="36" fillId="0" borderId="1191" xfId="2" applyNumberFormat="1" applyFont="1" applyFill="1" applyBorder="1" applyAlignment="1">
      <alignment horizontal="center" vertical="center"/>
    </xf>
    <xf numFmtId="202" fontId="36" fillId="2" borderId="1192" xfId="2" applyNumberFormat="1" applyFont="1" applyFill="1" applyBorder="1" applyAlignment="1">
      <alignment horizontal="center" vertical="center"/>
    </xf>
    <xf numFmtId="202" fontId="36" fillId="2" borderId="1189" xfId="2" applyNumberFormat="1" applyFont="1" applyFill="1" applyBorder="1" applyAlignment="1">
      <alignment horizontal="center" vertical="center"/>
    </xf>
    <xf numFmtId="202" fontId="36" fillId="0" borderId="1192" xfId="2" applyNumberFormat="1" applyFont="1" applyFill="1" applyBorder="1" applyAlignment="1">
      <alignment horizontal="center" vertical="center"/>
    </xf>
    <xf numFmtId="202" fontId="36" fillId="2" borderId="1190" xfId="2" applyNumberFormat="1" applyFont="1" applyFill="1" applyBorder="1" applyAlignment="1">
      <alignment horizontal="center" vertical="center"/>
    </xf>
    <xf numFmtId="202" fontId="36" fillId="2" borderId="1193" xfId="2" applyNumberFormat="1" applyFont="1" applyFill="1" applyBorder="1" applyAlignment="1">
      <alignment horizontal="center" vertical="center"/>
    </xf>
    <xf numFmtId="202" fontId="36" fillId="2" borderId="1194" xfId="2" applyNumberFormat="1" applyFont="1" applyFill="1" applyBorder="1" applyAlignment="1">
      <alignment horizontal="center" vertical="center"/>
    </xf>
    <xf numFmtId="0" fontId="43" fillId="4" borderId="1195" xfId="0" quotePrefix="1" applyFont="1" applyFill="1" applyBorder="1" applyAlignment="1">
      <alignment horizontal="center" vertical="center"/>
    </xf>
    <xf numFmtId="205" fontId="36" fillId="11" borderId="1196" xfId="0" applyNumberFormat="1" applyFont="1" applyFill="1" applyBorder="1" applyAlignment="1">
      <alignment horizontal="center" vertical="center"/>
    </xf>
    <xf numFmtId="205" fontId="36" fillId="0" borderId="1189" xfId="0" applyNumberFormat="1" applyFont="1" applyBorder="1" applyAlignment="1">
      <alignment horizontal="center" vertical="center"/>
    </xf>
    <xf numFmtId="205" fontId="36" fillId="0" borderId="1197" xfId="0" applyNumberFormat="1" applyFont="1" applyBorder="1" applyAlignment="1">
      <alignment horizontal="center" vertical="center"/>
    </xf>
    <xf numFmtId="205" fontId="36" fillId="13" borderId="1189" xfId="0" applyNumberFormat="1" applyFont="1" applyFill="1" applyBorder="1" applyAlignment="1">
      <alignment horizontal="center" vertical="center"/>
    </xf>
    <xf numFmtId="205" fontId="36" fillId="11" borderId="5" xfId="0" applyNumberFormat="1" applyFont="1" applyFill="1" applyBorder="1" applyAlignment="1">
      <alignment horizontal="center" vertical="center"/>
    </xf>
    <xf numFmtId="205" fontId="36" fillId="0" borderId="2" xfId="0" applyNumberFormat="1" applyFont="1" applyBorder="1" applyAlignment="1">
      <alignment horizontal="center" vertical="center"/>
    </xf>
    <xf numFmtId="205" fontId="36" fillId="0" borderId="1198" xfId="0" applyNumberFormat="1" applyFont="1" applyBorder="1" applyAlignment="1">
      <alignment horizontal="center" vertical="center"/>
    </xf>
    <xf numFmtId="205" fontId="36" fillId="13" borderId="2" xfId="0" applyNumberFormat="1" applyFont="1" applyFill="1" applyBorder="1" applyAlignment="1">
      <alignment horizontal="center" vertical="center"/>
    </xf>
    <xf numFmtId="205" fontId="36" fillId="0" borderId="3" xfId="0" applyNumberFormat="1" applyFont="1" applyBorder="1" applyAlignment="1">
      <alignment horizontal="center" vertical="center"/>
    </xf>
    <xf numFmtId="0" fontId="36" fillId="0" borderId="454" xfId="0" applyFont="1" applyBorder="1" applyAlignment="1">
      <alignment horizontal="center" vertical="center"/>
    </xf>
    <xf numFmtId="205" fontId="36" fillId="0" borderId="454" xfId="0" applyNumberFormat="1" applyFont="1" applyBorder="1" applyAlignment="1">
      <alignment horizontal="center" vertical="center"/>
    </xf>
    <xf numFmtId="205" fontId="36" fillId="0" borderId="1199" xfId="0" applyNumberFormat="1" applyFont="1" applyBorder="1" applyAlignment="1">
      <alignment horizontal="center" vertical="center"/>
    </xf>
    <xf numFmtId="205" fontId="36" fillId="0" borderId="457" xfId="0" applyNumberFormat="1" applyFont="1" applyBorder="1" applyAlignment="1">
      <alignment horizontal="center" vertical="center"/>
    </xf>
    <xf numFmtId="0" fontId="43" fillId="5" borderId="0" xfId="0" applyFont="1" applyFill="1" applyBorder="1" applyAlignment="1">
      <alignment horizontal="center" vertical="center" wrapText="1"/>
    </xf>
    <xf numFmtId="205" fontId="36" fillId="5" borderId="0" xfId="0" applyNumberFormat="1" applyFont="1" applyFill="1" applyBorder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43" fillId="5" borderId="0" xfId="0" applyFont="1" applyFill="1" applyBorder="1" applyAlignment="1">
      <alignment horizontal="center" vertical="center"/>
    </xf>
    <xf numFmtId="0" fontId="43" fillId="11" borderId="547" xfId="0" applyFont="1" applyFill="1" applyBorder="1" applyAlignment="1">
      <alignment horizontal="center" vertical="center"/>
    </xf>
    <xf numFmtId="192" fontId="83" fillId="0" borderId="0" xfId="2" applyNumberFormat="1" applyFont="1" applyBorder="1" applyAlignment="1">
      <alignment horizontal="center" vertical="center"/>
    </xf>
    <xf numFmtId="192" fontId="36" fillId="79" borderId="0" xfId="2" applyNumberFormat="1" applyFont="1" applyFill="1" applyBorder="1" applyAlignment="1">
      <alignment horizontal="center" vertical="center"/>
    </xf>
    <xf numFmtId="192" fontId="36" fillId="80" borderId="0" xfId="2" applyNumberFormat="1" applyFont="1" applyFill="1" applyBorder="1" applyAlignment="1">
      <alignment horizontal="center" vertical="center"/>
    </xf>
    <xf numFmtId="0" fontId="44" fillId="6" borderId="0" xfId="0" applyFont="1" applyFill="1" applyBorder="1" applyAlignment="1">
      <alignment horizontal="center" vertical="center" wrapText="1"/>
    </xf>
    <xf numFmtId="223" fontId="36" fillId="8" borderId="0" xfId="2" applyNumberFormat="1" applyFont="1" applyFill="1" applyBorder="1" applyAlignment="1">
      <alignment vertical="center"/>
    </xf>
    <xf numFmtId="9" fontId="36" fillId="8" borderId="66" xfId="3" applyFont="1" applyFill="1" applyBorder="1" applyAlignment="1">
      <alignment horizontal="center" vertical="center"/>
    </xf>
    <xf numFmtId="9" fontId="36" fillId="0" borderId="0" xfId="3" applyFont="1" applyBorder="1" applyAlignment="1">
      <alignment horizontal="center" vertical="center"/>
    </xf>
    <xf numFmtId="9" fontId="36" fillId="8" borderId="0" xfId="3" applyFont="1" applyFill="1" applyBorder="1" applyAlignment="1">
      <alignment horizontal="center" vertical="center"/>
    </xf>
    <xf numFmtId="9" fontId="36" fillId="5" borderId="0" xfId="3" applyFont="1" applyFill="1" applyBorder="1" applyAlignment="1">
      <alignment horizontal="center" vertical="center"/>
    </xf>
    <xf numFmtId="9" fontId="36" fillId="5" borderId="564" xfId="3" applyFont="1" applyFill="1" applyBorder="1" applyAlignment="1">
      <alignment horizontal="center" vertical="center"/>
    </xf>
    <xf numFmtId="9" fontId="36" fillId="79" borderId="0" xfId="3" applyFont="1" applyFill="1" applyBorder="1" applyAlignment="1">
      <alignment horizontal="center" vertical="center"/>
    </xf>
    <xf numFmtId="9" fontId="36" fillId="80" borderId="0" xfId="3" applyFont="1" applyFill="1" applyBorder="1" applyAlignment="1">
      <alignment horizontal="center" vertical="center"/>
    </xf>
    <xf numFmtId="0" fontId="37" fillId="4" borderId="14" xfId="0" quotePrefix="1" applyFont="1" applyFill="1" applyBorder="1" applyAlignment="1">
      <alignment vertical="center"/>
    </xf>
    <xf numFmtId="192" fontId="37" fillId="4" borderId="1201" xfId="0" quotePrefix="1" applyNumberFormat="1" applyFont="1" applyFill="1" applyBorder="1" applyAlignment="1">
      <alignment horizontal="center" vertical="center"/>
    </xf>
    <xf numFmtId="192" fontId="36" fillId="8" borderId="1202" xfId="2" applyNumberFormat="1" applyFont="1" applyFill="1" applyBorder="1" applyAlignment="1">
      <alignment horizontal="center" vertical="center"/>
    </xf>
    <xf numFmtId="192" fontId="36" fillId="5" borderId="1201" xfId="2" applyNumberFormat="1" applyFont="1" applyFill="1" applyBorder="1" applyAlignment="1">
      <alignment horizontal="center" vertical="center"/>
    </xf>
    <xf numFmtId="192" fontId="36" fillId="8" borderId="1201" xfId="2" applyNumberFormat="1" applyFont="1" applyFill="1" applyBorder="1" applyAlignment="1">
      <alignment horizontal="center" vertical="center"/>
    </xf>
    <xf numFmtId="192" fontId="36" fillId="0" borderId="1201" xfId="2" applyNumberFormat="1" applyFont="1" applyBorder="1" applyAlignment="1">
      <alignment horizontal="center" vertical="center"/>
    </xf>
    <xf numFmtId="0" fontId="43" fillId="11" borderId="1203" xfId="0" applyFont="1" applyFill="1" applyBorder="1" applyAlignment="1">
      <alignment horizontal="center" vertical="center"/>
    </xf>
    <xf numFmtId="192" fontId="36" fillId="0" borderId="1201" xfId="0" applyNumberFormat="1" applyFont="1" applyBorder="1" applyAlignment="1">
      <alignment horizontal="center" vertical="center"/>
    </xf>
    <xf numFmtId="194" fontId="36" fillId="71" borderId="1201" xfId="2" applyNumberFormat="1" applyFont="1" applyFill="1" applyBorder="1" applyAlignment="1">
      <alignment horizontal="center" vertical="center"/>
    </xf>
    <xf numFmtId="194" fontId="36" fillId="5" borderId="1201" xfId="2" applyNumberFormat="1" applyFont="1" applyFill="1" applyBorder="1" applyAlignment="1">
      <alignment horizontal="center" vertical="center"/>
    </xf>
    <xf numFmtId="194" fontId="36" fillId="71" borderId="1204" xfId="2" applyNumberFormat="1" applyFont="1" applyFill="1" applyBorder="1" applyAlignment="1">
      <alignment horizontal="center" vertical="center"/>
    </xf>
    <xf numFmtId="0" fontId="47" fillId="5" borderId="6" xfId="0" applyFont="1" applyFill="1" applyBorder="1" applyAlignment="1">
      <alignment horizontal="center" vertical="center"/>
    </xf>
    <xf numFmtId="0" fontId="47" fillId="2" borderId="134" xfId="0" applyFont="1" applyFill="1" applyBorder="1" applyAlignment="1">
      <alignment horizontal="center" vertical="center"/>
    </xf>
    <xf numFmtId="1" fontId="108" fillId="0" borderId="963" xfId="0" applyNumberFormat="1" applyFont="1" applyBorder="1" applyAlignment="1">
      <alignment horizontal="center" vertical="center"/>
    </xf>
    <xf numFmtId="234" fontId="138" fillId="0" borderId="963" xfId="0" applyNumberFormat="1" applyFont="1" applyBorder="1" applyAlignment="1">
      <alignment horizontal="center" vertical="center"/>
    </xf>
    <xf numFmtId="0" fontId="36" fillId="8" borderId="32" xfId="0" applyFont="1" applyFill="1" applyBorder="1">
      <alignment vertical="center"/>
    </xf>
    <xf numFmtId="187" fontId="47" fillId="8" borderId="0" xfId="0" applyNumberFormat="1" applyFont="1" applyFill="1">
      <alignment vertical="center"/>
    </xf>
    <xf numFmtId="176" fontId="36" fillId="11" borderId="74" xfId="0" applyNumberFormat="1" applyFont="1" applyFill="1" applyBorder="1" applyAlignment="1">
      <alignment horizontal="center" vertical="center"/>
    </xf>
    <xf numFmtId="176" fontId="36" fillId="5" borderId="0" xfId="0" applyNumberFormat="1" applyFont="1" applyFill="1">
      <alignment vertical="center"/>
    </xf>
    <xf numFmtId="176" fontId="36" fillId="5" borderId="34" xfId="0" applyNumberFormat="1" applyFont="1" applyFill="1" applyBorder="1">
      <alignment vertical="center"/>
    </xf>
    <xf numFmtId="41" fontId="6" fillId="0" borderId="0" xfId="2" applyFont="1" applyFill="1" applyBorder="1">
      <alignment vertical="center"/>
    </xf>
    <xf numFmtId="187" fontId="6" fillId="2" borderId="121" xfId="0" applyNumberFormat="1" applyFont="1" applyFill="1" applyBorder="1" applyAlignment="1">
      <alignment horizontal="right" vertical="center"/>
    </xf>
    <xf numFmtId="176" fontId="4" fillId="5" borderId="6" xfId="3" applyNumberFormat="1" applyFont="1" applyFill="1" applyBorder="1" applyAlignment="1">
      <alignment horizontal="center" vertical="center"/>
    </xf>
    <xf numFmtId="192" fontId="36" fillId="0" borderId="961" xfId="0" applyNumberFormat="1" applyFont="1" applyBorder="1">
      <alignment vertical="center"/>
    </xf>
    <xf numFmtId="41" fontId="22" fillId="0" borderId="1147" xfId="2" applyFont="1" applyBorder="1" applyAlignment="1">
      <alignment horizontal="center" vertical="center"/>
    </xf>
    <xf numFmtId="41" fontId="22" fillId="0" borderId="1149" xfId="2" applyFont="1" applyBorder="1" applyAlignment="1">
      <alignment horizontal="center" vertical="center"/>
    </xf>
    <xf numFmtId="176" fontId="7" fillId="2" borderId="1205" xfId="2" applyNumberFormat="1" applyFont="1" applyFill="1" applyBorder="1" applyAlignment="1">
      <alignment horizontal="center" vertical="center"/>
    </xf>
    <xf numFmtId="176" fontId="7" fillId="2" borderId="1206" xfId="2" applyNumberFormat="1" applyFont="1" applyFill="1" applyBorder="1" applyAlignment="1">
      <alignment horizontal="center" vertical="center"/>
    </xf>
    <xf numFmtId="41" fontId="0" fillId="0" borderId="976" xfId="2" applyFont="1" applyFill="1" applyBorder="1" applyAlignment="1">
      <alignment horizontal="center" vertical="center"/>
    </xf>
    <xf numFmtId="41" fontId="0" fillId="0" borderId="976" xfId="2" applyFont="1" applyBorder="1" applyAlignment="1">
      <alignment horizontal="center" vertical="center"/>
    </xf>
    <xf numFmtId="41" fontId="0" fillId="0" borderId="961" xfId="2" applyFont="1" applyFill="1" applyBorder="1" applyAlignment="1">
      <alignment horizontal="center" vertical="center"/>
    </xf>
    <xf numFmtId="41" fontId="0" fillId="0" borderId="961" xfId="2" applyFont="1" applyBorder="1" applyAlignment="1">
      <alignment horizontal="center" vertical="center"/>
    </xf>
    <xf numFmtId="9" fontId="16" fillId="18" borderId="0" xfId="3" applyFont="1" applyFill="1">
      <alignment vertical="center"/>
    </xf>
    <xf numFmtId="41" fontId="36" fillId="9" borderId="74" xfId="0" applyNumberFormat="1" applyFont="1" applyFill="1" applyBorder="1">
      <alignment vertical="center"/>
    </xf>
    <xf numFmtId="49" fontId="51" fillId="8" borderId="437" xfId="3" quotePrefix="1" applyNumberFormat="1" applyFont="1" applyFill="1" applyBorder="1" applyAlignment="1">
      <alignment horizontal="right" vertical="center"/>
    </xf>
    <xf numFmtId="10" fontId="36" fillId="8" borderId="437" xfId="3" quotePrefix="1" applyNumberFormat="1" applyFont="1" applyFill="1" applyBorder="1" applyAlignment="1">
      <alignment horizontal="right" vertical="center"/>
    </xf>
    <xf numFmtId="202" fontId="36" fillId="0" borderId="437" xfId="2" quotePrefix="1" applyNumberFormat="1" applyFont="1" applyFill="1" applyBorder="1" applyAlignment="1">
      <alignment horizontal="right" vertical="center"/>
    </xf>
    <xf numFmtId="202" fontId="36" fillId="11" borderId="437" xfId="2" quotePrefix="1" applyNumberFormat="1" applyFont="1" applyFill="1" applyBorder="1" applyAlignment="1">
      <alignment horizontal="right" vertical="center"/>
    </xf>
    <xf numFmtId="202" fontId="36" fillId="11" borderId="435" xfId="2" quotePrefix="1" applyNumberFormat="1" applyFont="1" applyFill="1" applyBorder="1" applyAlignment="1">
      <alignment horizontal="right" vertical="center"/>
    </xf>
    <xf numFmtId="202" fontId="36" fillId="0" borderId="874" xfId="2" quotePrefix="1" applyNumberFormat="1" applyFont="1" applyFill="1" applyBorder="1" applyAlignment="1">
      <alignment horizontal="right" vertical="center"/>
    </xf>
    <xf numFmtId="202" fontId="36" fillId="2" borderId="437" xfId="2" quotePrefix="1" applyNumberFormat="1" applyFont="1" applyFill="1" applyBorder="1" applyAlignment="1">
      <alignment horizontal="right" vertical="center"/>
    </xf>
    <xf numFmtId="202" fontId="36" fillId="11" borderId="876" xfId="2" quotePrefix="1" applyNumberFormat="1" applyFont="1" applyFill="1" applyBorder="1" applyAlignment="1">
      <alignment horizontal="right" vertical="center"/>
    </xf>
    <xf numFmtId="202" fontId="36" fillId="11" borderId="430" xfId="2" quotePrefix="1" applyNumberFormat="1" applyFont="1" applyFill="1" applyBorder="1" applyAlignment="1">
      <alignment horizontal="right" vertical="center"/>
    </xf>
    <xf numFmtId="194" fontId="36" fillId="0" borderId="0" xfId="0" applyNumberFormat="1" applyFont="1">
      <alignment vertical="center"/>
    </xf>
    <xf numFmtId="195" fontId="36" fillId="9" borderId="56" xfId="2" applyNumberFormat="1" applyFont="1" applyFill="1" applyBorder="1">
      <alignment vertical="center"/>
    </xf>
    <xf numFmtId="195" fontId="36" fillId="5" borderId="74" xfId="2" applyNumberFormat="1" applyFont="1" applyFill="1" applyBorder="1">
      <alignment vertical="center"/>
    </xf>
    <xf numFmtId="195" fontId="36" fillId="5" borderId="114" xfId="2" applyNumberFormat="1" applyFont="1" applyFill="1" applyBorder="1">
      <alignment vertical="center"/>
    </xf>
    <xf numFmtId="195" fontId="36" fillId="5" borderId="645" xfId="2" applyNumberFormat="1" applyFont="1" applyFill="1" applyBorder="1">
      <alignment vertical="center"/>
    </xf>
    <xf numFmtId="195" fontId="36" fillId="0" borderId="0" xfId="2" applyNumberFormat="1" applyFont="1">
      <alignment vertical="center"/>
    </xf>
    <xf numFmtId="0" fontId="0" fillId="5" borderId="0" xfId="0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43" fillId="11" borderId="547" xfId="0" applyFont="1" applyFill="1" applyBorder="1" applyAlignment="1">
      <alignment horizontal="center" vertical="center"/>
    </xf>
    <xf numFmtId="0" fontId="43" fillId="11" borderId="66" xfId="0" applyFont="1" applyFill="1" applyBorder="1" applyAlignment="1">
      <alignment horizontal="center" vertical="center"/>
    </xf>
    <xf numFmtId="0" fontId="43" fillId="4" borderId="589" xfId="0" quotePrefix="1" applyFont="1" applyFill="1" applyBorder="1" applyAlignment="1">
      <alignment horizontal="center" vertical="center"/>
    </xf>
    <xf numFmtId="0" fontId="43" fillId="4" borderId="573" xfId="0" quotePrefix="1" applyFont="1" applyFill="1" applyBorder="1" applyAlignment="1">
      <alignment horizontal="center" vertical="center"/>
    </xf>
    <xf numFmtId="0" fontId="57" fillId="4" borderId="671" xfId="0" quotePrefix="1" applyFont="1" applyFill="1" applyBorder="1" applyAlignment="1">
      <alignment horizontal="center" vertical="center"/>
    </xf>
    <xf numFmtId="0" fontId="43" fillId="4" borderId="666" xfId="0" quotePrefix="1" applyFont="1" applyFill="1" applyBorder="1" applyAlignment="1">
      <alignment horizontal="center" vertical="center"/>
    </xf>
    <xf numFmtId="0" fontId="43" fillId="4" borderId="667" xfId="0" quotePrefix="1" applyFont="1" applyFill="1" applyBorder="1" applyAlignment="1">
      <alignment horizontal="center" vertical="center"/>
    </xf>
    <xf numFmtId="0" fontId="141" fillId="2" borderId="0" xfId="0" applyFont="1" applyFill="1">
      <alignment vertical="center"/>
    </xf>
    <xf numFmtId="208" fontId="36" fillId="2" borderId="0" xfId="0" applyNumberFormat="1" applyFont="1" applyFill="1">
      <alignment vertical="center"/>
    </xf>
    <xf numFmtId="0" fontId="44" fillId="4" borderId="1207" xfId="0" quotePrefix="1" applyFont="1" applyFill="1" applyBorder="1" applyAlignment="1">
      <alignment horizontal="center" vertical="center"/>
    </xf>
    <xf numFmtId="0" fontId="36" fillId="42" borderId="0" xfId="0" applyFont="1" applyFill="1" applyAlignment="1">
      <alignment horizontal="center" vertical="center"/>
    </xf>
    <xf numFmtId="192" fontId="37" fillId="4" borderId="0" xfId="0" quotePrefix="1" applyNumberFormat="1" applyFont="1" applyFill="1" applyAlignment="1">
      <alignment horizontal="center" vertical="center"/>
    </xf>
    <xf numFmtId="209" fontId="37" fillId="4" borderId="0" xfId="0" quotePrefix="1" applyNumberFormat="1" applyFont="1" applyFill="1" applyAlignment="1">
      <alignment horizontal="center" vertical="center"/>
    </xf>
    <xf numFmtId="194" fontId="36" fillId="11" borderId="4" xfId="0" quotePrefix="1" applyNumberFormat="1" applyFont="1" applyFill="1" applyBorder="1" applyAlignment="1">
      <alignment horizontal="center" vertical="center"/>
    </xf>
    <xf numFmtId="41" fontId="51" fillId="8" borderId="11" xfId="2" applyFont="1" applyFill="1" applyBorder="1">
      <alignment vertical="center"/>
    </xf>
    <xf numFmtId="187" fontId="51" fillId="8" borderId="11" xfId="0" applyNumberFormat="1" applyFont="1" applyFill="1" applyBorder="1">
      <alignment vertical="center"/>
    </xf>
    <xf numFmtId="187" fontId="36" fillId="6" borderId="0" xfId="0" applyNumberFormat="1" applyFont="1" applyFill="1">
      <alignment vertical="center"/>
    </xf>
    <xf numFmtId="0" fontId="37" fillId="4" borderId="1223" xfId="0" quotePrefix="1" applyFont="1" applyFill="1" applyBorder="1" applyAlignment="1">
      <alignment horizontal="center" vertical="center"/>
    </xf>
    <xf numFmtId="0" fontId="43" fillId="4" borderId="1224" xfId="0" quotePrefix="1" applyFont="1" applyFill="1" applyBorder="1" applyAlignment="1">
      <alignment horizontal="center" vertical="center"/>
    </xf>
    <xf numFmtId="192" fontId="36" fillId="11" borderId="1225" xfId="2" applyNumberFormat="1" applyFont="1" applyFill="1" applyBorder="1" applyAlignment="1">
      <alignment horizontal="center" vertical="center"/>
    </xf>
    <xf numFmtId="192" fontId="36" fillId="11" borderId="1226" xfId="2" applyNumberFormat="1" applyFont="1" applyFill="1" applyBorder="1" applyAlignment="1">
      <alignment horizontal="center" vertical="center"/>
    </xf>
    <xf numFmtId="187" fontId="36" fillId="11" borderId="1226" xfId="0" applyNumberFormat="1" applyFont="1" applyFill="1" applyBorder="1" applyAlignment="1">
      <alignment horizontal="center" vertical="center"/>
    </xf>
    <xf numFmtId="187" fontId="36" fillId="3" borderId="1227" xfId="0" applyNumberFormat="1" applyFont="1" applyFill="1" applyBorder="1" applyAlignment="1">
      <alignment horizontal="center" vertical="center"/>
    </xf>
    <xf numFmtId="187" fontId="36" fillId="0" borderId="1226" xfId="0" applyNumberFormat="1" applyFont="1" applyBorder="1" applyAlignment="1">
      <alignment horizontal="center" vertical="center"/>
    </xf>
    <xf numFmtId="187" fontId="36" fillId="0" borderId="1228" xfId="0" applyNumberFormat="1" applyFont="1" applyBorder="1" applyAlignment="1">
      <alignment horizontal="center" vertical="center"/>
    </xf>
    <xf numFmtId="187" fontId="36" fillId="3" borderId="1226" xfId="0" applyNumberFormat="1" applyFont="1" applyFill="1" applyBorder="1" applyAlignment="1">
      <alignment horizontal="center" vertical="center"/>
    </xf>
    <xf numFmtId="187" fontId="36" fillId="2" borderId="1229" xfId="0" applyNumberFormat="1" applyFont="1" applyFill="1" applyBorder="1" applyAlignment="1">
      <alignment horizontal="center" vertical="center"/>
    </xf>
    <xf numFmtId="200" fontId="36" fillId="5" borderId="1230" xfId="0" applyNumberFormat="1" applyFont="1" applyFill="1" applyBorder="1" applyAlignment="1">
      <alignment horizontal="center" vertical="center"/>
    </xf>
    <xf numFmtId="0" fontId="36" fillId="0" borderId="1231" xfId="0" applyFont="1" applyBorder="1">
      <alignment vertical="center"/>
    </xf>
    <xf numFmtId="230" fontId="36" fillId="8" borderId="1232" xfId="2" applyNumberFormat="1" applyFont="1" applyFill="1" applyBorder="1" applyAlignment="1">
      <alignment horizontal="center" vertical="center"/>
    </xf>
    <xf numFmtId="230" fontId="36" fillId="8" borderId="1226" xfId="2" applyNumberFormat="1" applyFont="1" applyFill="1" applyBorder="1" applyAlignment="1">
      <alignment horizontal="center" vertical="center"/>
    </xf>
    <xf numFmtId="187" fontId="36" fillId="8" borderId="1226" xfId="0" applyNumberFormat="1" applyFont="1" applyFill="1" applyBorder="1" applyAlignment="1">
      <alignment horizontal="center" vertical="center"/>
    </xf>
    <xf numFmtId="231" fontId="36" fillId="11" borderId="1233" xfId="2" applyNumberFormat="1" applyFont="1" applyFill="1" applyBorder="1" applyAlignment="1">
      <alignment horizontal="center" vertical="center"/>
    </xf>
    <xf numFmtId="217" fontId="36" fillId="0" borderId="1226" xfId="2" applyNumberFormat="1" applyFont="1" applyFill="1" applyBorder="1" applyAlignment="1">
      <alignment horizontal="center" vertical="center"/>
    </xf>
    <xf numFmtId="217" fontId="55" fillId="0" borderId="1226" xfId="2" applyNumberFormat="1" applyFont="1" applyFill="1" applyBorder="1" applyAlignment="1">
      <alignment horizontal="center" vertical="center"/>
    </xf>
    <xf numFmtId="217" fontId="55" fillId="0" borderId="1234" xfId="2" applyNumberFormat="1" applyFont="1" applyFill="1" applyBorder="1" applyAlignment="1">
      <alignment horizontal="center" vertical="center"/>
    </xf>
    <xf numFmtId="217" fontId="55" fillId="11" borderId="1226" xfId="2" applyNumberFormat="1" applyFont="1" applyFill="1" applyBorder="1" applyAlignment="1">
      <alignment horizontal="center" vertical="center"/>
    </xf>
    <xf numFmtId="217" fontId="55" fillId="0" borderId="1235" xfId="2" applyNumberFormat="1" applyFont="1" applyFill="1" applyBorder="1" applyAlignment="1">
      <alignment horizontal="center" vertical="center"/>
    </xf>
    <xf numFmtId="0" fontId="55" fillId="0" borderId="1201" xfId="0" applyFont="1" applyBorder="1" applyAlignment="1">
      <alignment horizontal="center" vertical="center"/>
    </xf>
    <xf numFmtId="192" fontId="55" fillId="9" borderId="1236" xfId="2" applyNumberFormat="1" applyFont="1" applyFill="1" applyBorder="1" applyAlignment="1">
      <alignment horizontal="center" vertical="center"/>
    </xf>
    <xf numFmtId="192" fontId="36" fillId="9" borderId="1226" xfId="2" applyNumberFormat="1" applyFont="1" applyFill="1" applyBorder="1" applyAlignment="1">
      <alignment horizontal="center" vertical="center"/>
    </xf>
    <xf numFmtId="187" fontId="55" fillId="9" borderId="1226" xfId="0" applyNumberFormat="1" applyFont="1" applyFill="1" applyBorder="1" applyAlignment="1">
      <alignment horizontal="center" vertical="center"/>
    </xf>
    <xf numFmtId="192" fontId="55" fillId="9" borderId="1226" xfId="2" applyNumberFormat="1" applyFont="1" applyFill="1" applyBorder="1" applyAlignment="1">
      <alignment horizontal="center" vertical="center"/>
    </xf>
    <xf numFmtId="192" fontId="55" fillId="13" borderId="1226" xfId="2" applyNumberFormat="1" applyFont="1" applyFill="1" applyBorder="1" applyAlignment="1">
      <alignment horizontal="center" vertical="center"/>
    </xf>
    <xf numFmtId="187" fontId="55" fillId="13" borderId="1226" xfId="3" applyNumberFormat="1" applyFont="1" applyFill="1" applyBorder="1" applyAlignment="1">
      <alignment horizontal="center" vertical="center"/>
    </xf>
    <xf numFmtId="187" fontId="55" fillId="0" borderId="1226" xfId="3" applyNumberFormat="1" applyFont="1" applyFill="1" applyBorder="1" applyAlignment="1">
      <alignment horizontal="center" vertical="center"/>
    </xf>
    <xf numFmtId="187" fontId="55" fillId="0" borderId="1237" xfId="3" applyNumberFormat="1" applyFont="1" applyFill="1" applyBorder="1" applyAlignment="1">
      <alignment horizontal="center" vertical="center"/>
    </xf>
    <xf numFmtId="187" fontId="55" fillId="13" borderId="1226" xfId="0" applyNumberFormat="1" applyFont="1" applyFill="1" applyBorder="1" applyAlignment="1">
      <alignment horizontal="center" vertical="center"/>
    </xf>
    <xf numFmtId="187" fontId="55" fillId="0" borderId="1226" xfId="0" applyNumberFormat="1" applyFont="1" applyBorder="1" applyAlignment="1">
      <alignment horizontal="center" vertical="center"/>
    </xf>
    <xf numFmtId="187" fontId="55" fillId="0" borderId="1238" xfId="0" applyNumberFormat="1" applyFont="1" applyBorder="1" applyAlignment="1">
      <alignment horizontal="center" vertical="center"/>
    </xf>
    <xf numFmtId="187" fontId="55" fillId="11" borderId="1226" xfId="0" applyNumberFormat="1" applyFont="1" applyFill="1" applyBorder="1" applyAlignment="1">
      <alignment horizontal="center" vertical="center"/>
    </xf>
    <xf numFmtId="187" fontId="55" fillId="5" borderId="1226" xfId="0" applyNumberFormat="1" applyFont="1" applyFill="1" applyBorder="1" applyAlignment="1">
      <alignment horizontal="center" vertical="center"/>
    </xf>
    <xf numFmtId="187" fontId="55" fillId="5" borderId="1235" xfId="0" applyNumberFormat="1" applyFont="1" applyFill="1" applyBorder="1" applyAlignment="1">
      <alignment horizontal="center" vertical="center"/>
    </xf>
    <xf numFmtId="202" fontId="55" fillId="9" borderId="1239" xfId="2" applyNumberFormat="1" applyFont="1" applyFill="1" applyBorder="1" applyAlignment="1">
      <alignment horizontal="center" vertical="center"/>
    </xf>
    <xf numFmtId="202" fontId="55" fillId="9" borderId="1226" xfId="2" applyNumberFormat="1" applyFont="1" applyFill="1" applyBorder="1" applyAlignment="1">
      <alignment horizontal="center" vertical="center"/>
    </xf>
    <xf numFmtId="202" fontId="55" fillId="13" borderId="1240" xfId="2" applyNumberFormat="1" applyFont="1" applyFill="1" applyBorder="1" applyAlignment="1">
      <alignment horizontal="center" vertical="center"/>
    </xf>
    <xf numFmtId="202" fontId="55" fillId="0" borderId="1226" xfId="2" applyNumberFormat="1" applyFont="1" applyFill="1" applyBorder="1" applyAlignment="1">
      <alignment horizontal="center" vertical="center"/>
    </xf>
    <xf numFmtId="202" fontId="55" fillId="0" borderId="1237" xfId="2" applyNumberFormat="1" applyFont="1" applyFill="1" applyBorder="1" applyAlignment="1">
      <alignment horizontal="center" vertical="center"/>
    </xf>
    <xf numFmtId="202" fontId="55" fillId="13" borderId="1226" xfId="2" applyNumberFormat="1" applyFont="1" applyFill="1" applyBorder="1" applyAlignment="1">
      <alignment horizontal="center" vertical="center"/>
    </xf>
    <xf numFmtId="187" fontId="36" fillId="2" borderId="1240" xfId="0" applyNumberFormat="1" applyFont="1" applyFill="1" applyBorder="1" applyAlignment="1">
      <alignment horizontal="center" vertical="center"/>
    </xf>
    <xf numFmtId="187" fontId="36" fillId="0" borderId="1241" xfId="0" applyNumberFormat="1" applyFont="1" applyBorder="1" applyAlignment="1">
      <alignment horizontal="center" vertical="center"/>
    </xf>
    <xf numFmtId="0" fontId="37" fillId="4" borderId="8" xfId="0" quotePrefix="1" applyFont="1" applyFill="1" applyBorder="1" applyAlignment="1">
      <alignment vertical="center"/>
    </xf>
    <xf numFmtId="0" fontId="37" fillId="4" borderId="1242" xfId="0" quotePrefix="1" applyFont="1" applyFill="1" applyBorder="1" applyAlignment="1">
      <alignment vertical="center"/>
    </xf>
    <xf numFmtId="0" fontId="37" fillId="4" borderId="1243" xfId="0" quotePrefix="1" applyFont="1" applyFill="1" applyBorder="1" applyAlignment="1">
      <alignment horizontal="center" vertical="center"/>
    </xf>
    <xf numFmtId="0" fontId="43" fillId="4" borderId="1244" xfId="0" quotePrefix="1" applyFont="1" applyFill="1" applyBorder="1" applyAlignment="1">
      <alignment horizontal="center" vertical="center"/>
    </xf>
    <xf numFmtId="201" fontId="36" fillId="11" borderId="1225" xfId="0" applyNumberFormat="1" applyFont="1" applyFill="1" applyBorder="1" applyAlignment="1">
      <alignment horizontal="center" vertical="center"/>
    </xf>
    <xf numFmtId="201" fontId="36" fillId="11" borderId="1226" xfId="0" applyNumberFormat="1" applyFont="1" applyFill="1" applyBorder="1" applyAlignment="1">
      <alignment horizontal="center" vertical="center"/>
    </xf>
    <xf numFmtId="201" fontId="36" fillId="0" borderId="1226" xfId="0" applyNumberFormat="1" applyFont="1" applyBorder="1" applyAlignment="1">
      <alignment horizontal="center" vertical="center"/>
    </xf>
    <xf numFmtId="201" fontId="36" fillId="0" borderId="1230" xfId="0" applyNumberFormat="1" applyFont="1" applyBorder="1" applyAlignment="1">
      <alignment horizontal="center" vertical="center"/>
    </xf>
    <xf numFmtId="0" fontId="36" fillId="0" borderId="1201" xfId="0" applyFont="1" applyBorder="1" applyAlignment="1">
      <alignment horizontal="center" vertical="center"/>
    </xf>
    <xf numFmtId="202" fontId="36" fillId="0" borderId="1245" xfId="0" applyNumberFormat="1" applyFont="1" applyBorder="1" applyAlignment="1">
      <alignment horizontal="center" vertical="center"/>
    </xf>
    <xf numFmtId="202" fontId="36" fillId="0" borderId="1246" xfId="0" applyNumberFormat="1" applyFont="1" applyBorder="1" applyAlignment="1">
      <alignment horizontal="center" vertical="center"/>
    </xf>
    <xf numFmtId="202" fontId="36" fillId="0" borderId="1226" xfId="0" applyNumberFormat="1" applyFont="1" applyBorder="1" applyAlignment="1">
      <alignment horizontal="center" vertical="center"/>
    </xf>
    <xf numFmtId="202" fontId="36" fillId="0" borderId="1249" xfId="0" applyNumberFormat="1" applyFont="1" applyBorder="1" applyAlignment="1">
      <alignment horizontal="center" vertical="center"/>
    </xf>
    <xf numFmtId="202" fontId="36" fillId="11" borderId="1247" xfId="0" applyNumberFormat="1" applyFont="1" applyFill="1" applyBorder="1" applyAlignment="1">
      <alignment horizontal="center" vertical="center"/>
    </xf>
    <xf numFmtId="202" fontId="55" fillId="0" borderId="1226" xfId="0" applyNumberFormat="1" applyFont="1" applyBorder="1" applyAlignment="1">
      <alignment horizontal="center" vertical="center"/>
    </xf>
    <xf numFmtId="202" fontId="55" fillId="11" borderId="1247" xfId="0" applyNumberFormat="1" applyFont="1" applyFill="1" applyBorder="1" applyAlignment="1">
      <alignment horizontal="center" vertical="center"/>
    </xf>
    <xf numFmtId="202" fontId="55" fillId="0" borderId="1246" xfId="0" applyNumberFormat="1" applyFont="1" applyBorder="1" applyAlignment="1">
      <alignment horizontal="center" vertical="center"/>
    </xf>
    <xf numFmtId="202" fontId="55" fillId="0" borderId="1230" xfId="0" applyNumberFormat="1" applyFont="1" applyBorder="1" applyAlignment="1">
      <alignment horizontal="center" vertical="center"/>
    </xf>
    <xf numFmtId="202" fontId="36" fillId="11" borderId="1225" xfId="0" applyNumberFormat="1" applyFont="1" applyFill="1" applyBorder="1" applyAlignment="1">
      <alignment horizontal="center" vertical="center"/>
    </xf>
    <xf numFmtId="202" fontId="36" fillId="11" borderId="1226" xfId="0" applyNumberFormat="1" applyFont="1" applyFill="1" applyBorder="1" applyAlignment="1">
      <alignment horizontal="center" vertical="center"/>
    </xf>
    <xf numFmtId="202" fontId="36" fillId="0" borderId="1248" xfId="0" applyNumberFormat="1" applyFont="1" applyBorder="1" applyAlignment="1">
      <alignment horizontal="center" vertical="center"/>
    </xf>
    <xf numFmtId="202" fontId="36" fillId="11" borderId="9" xfId="0" applyNumberFormat="1" applyFont="1" applyFill="1" applyBorder="1" applyAlignment="1">
      <alignment horizontal="center" vertical="center"/>
    </xf>
    <xf numFmtId="202" fontId="36" fillId="11" borderId="11" xfId="0" applyNumberFormat="1" applyFont="1" applyFill="1" applyBorder="1" applyAlignment="1">
      <alignment horizontal="center" vertical="center"/>
    </xf>
    <xf numFmtId="202" fontId="36" fillId="0" borderId="11" xfId="0" applyNumberFormat="1" applyFont="1" applyBorder="1" applyAlignment="1">
      <alignment horizontal="center" vertical="center"/>
    </xf>
    <xf numFmtId="202" fontId="36" fillId="0" borderId="336" xfId="0" applyNumberFormat="1" applyFont="1" applyBorder="1" applyAlignment="1">
      <alignment horizontal="center" vertical="center"/>
    </xf>
    <xf numFmtId="202" fontId="36" fillId="0" borderId="342" xfId="0" applyNumberFormat="1" applyFont="1" applyBorder="1" applyAlignment="1">
      <alignment horizontal="center" vertical="center"/>
    </xf>
    <xf numFmtId="202" fontId="36" fillId="11" borderId="109" xfId="0" applyNumberFormat="1" applyFont="1" applyFill="1" applyBorder="1" applyAlignment="1">
      <alignment horizontal="center" vertical="center"/>
    </xf>
    <xf numFmtId="202" fontId="36" fillId="0" borderId="348" xfId="0" applyNumberFormat="1" applyFont="1" applyBorder="1" applyAlignment="1">
      <alignment horizontal="center" vertical="center"/>
    </xf>
    <xf numFmtId="202" fontId="36" fillId="0" borderId="103" xfId="0" applyNumberFormat="1" applyFont="1" applyBorder="1" applyAlignment="1">
      <alignment horizontal="center" vertical="center"/>
    </xf>
    <xf numFmtId="202" fontId="55" fillId="0" borderId="11" xfId="0" applyNumberFormat="1" applyFont="1" applyBorder="1" applyAlignment="1">
      <alignment horizontal="center" vertical="center"/>
    </xf>
    <xf numFmtId="202" fontId="55" fillId="11" borderId="109" xfId="0" applyNumberFormat="1" applyFont="1" applyFill="1" applyBorder="1" applyAlignment="1">
      <alignment horizontal="center" vertical="center"/>
    </xf>
    <xf numFmtId="202" fontId="55" fillId="0" borderId="342" xfId="0" applyNumberFormat="1" applyFont="1" applyBorder="1" applyAlignment="1">
      <alignment horizontal="center" vertical="center"/>
    </xf>
    <xf numFmtId="202" fontId="55" fillId="0" borderId="46" xfId="0" applyNumberFormat="1" applyFont="1" applyBorder="1" applyAlignment="1">
      <alignment horizontal="center" vertical="center"/>
    </xf>
    <xf numFmtId="0" fontId="43" fillId="4" borderId="1250" xfId="0" quotePrefix="1" applyFont="1" applyFill="1" applyBorder="1" applyAlignment="1">
      <alignment horizontal="center" vertical="center"/>
    </xf>
    <xf numFmtId="223" fontId="36" fillId="3" borderId="1251" xfId="0" applyNumberFormat="1" applyFont="1" applyFill="1" applyBorder="1">
      <alignment vertical="center"/>
    </xf>
    <xf numFmtId="223" fontId="36" fillId="5" borderId="1252" xfId="2" applyNumberFormat="1" applyFont="1" applyFill="1" applyBorder="1">
      <alignment vertical="center"/>
    </xf>
    <xf numFmtId="223" fontId="36" fillId="3" borderId="1252" xfId="2" applyNumberFormat="1" applyFont="1" applyFill="1" applyBorder="1">
      <alignment vertical="center"/>
    </xf>
    <xf numFmtId="223" fontId="36" fillId="3" borderId="1253" xfId="2" applyNumberFormat="1" applyFont="1" applyFill="1" applyBorder="1">
      <alignment vertical="center"/>
    </xf>
    <xf numFmtId="224" fontId="36" fillId="3" borderId="1254" xfId="0" applyNumberFormat="1" applyFont="1" applyFill="1" applyBorder="1">
      <alignment vertical="center"/>
    </xf>
    <xf numFmtId="0" fontId="36" fillId="0" borderId="1252" xfId="0" applyFont="1" applyBorder="1">
      <alignment vertical="center"/>
    </xf>
    <xf numFmtId="224" fontId="36" fillId="0" borderId="1255" xfId="0" applyNumberFormat="1" applyFont="1" applyBorder="1">
      <alignment vertical="center"/>
    </xf>
    <xf numFmtId="224" fontId="36" fillId="3" borderId="1252" xfId="0" applyNumberFormat="1" applyFont="1" applyFill="1" applyBorder="1">
      <alignment vertical="center"/>
    </xf>
    <xf numFmtId="223" fontId="36" fillId="0" borderId="1256" xfId="2" applyNumberFormat="1" applyFont="1" applyFill="1" applyBorder="1">
      <alignment vertical="center"/>
    </xf>
    <xf numFmtId="223" fontId="36" fillId="0" borderId="1252" xfId="2" applyNumberFormat="1" applyFont="1" applyFill="1" applyBorder="1">
      <alignment vertical="center"/>
    </xf>
    <xf numFmtId="224" fontId="36" fillId="0" borderId="1252" xfId="0" applyNumberFormat="1" applyFont="1" applyBorder="1">
      <alignment vertical="center"/>
    </xf>
    <xf numFmtId="224" fontId="36" fillId="3" borderId="1257" xfId="0" applyNumberFormat="1" applyFont="1" applyFill="1" applyBorder="1">
      <alignment vertical="center"/>
    </xf>
    <xf numFmtId="224" fontId="36" fillId="3" borderId="1258" xfId="0" applyNumberFormat="1" applyFont="1" applyFill="1" applyBorder="1">
      <alignment vertical="center"/>
    </xf>
    <xf numFmtId="223" fontId="36" fillId="3" borderId="1255" xfId="2" applyNumberFormat="1" applyFont="1" applyFill="1" applyBorder="1">
      <alignment vertical="center"/>
    </xf>
    <xf numFmtId="223" fontId="36" fillId="3" borderId="1256" xfId="2" applyNumberFormat="1" applyFont="1" applyFill="1" applyBorder="1">
      <alignment vertical="center"/>
    </xf>
    <xf numFmtId="225" fontId="36" fillId="3" borderId="1256" xfId="2" applyNumberFormat="1" applyFont="1" applyFill="1" applyBorder="1">
      <alignment vertical="center"/>
    </xf>
    <xf numFmtId="225" fontId="36" fillId="0" borderId="1252" xfId="2" applyNumberFormat="1" applyFont="1" applyFill="1" applyBorder="1">
      <alignment vertical="center"/>
    </xf>
    <xf numFmtId="225" fontId="36" fillId="0" borderId="1258" xfId="2" applyNumberFormat="1" applyFont="1" applyFill="1" applyBorder="1">
      <alignment vertical="center"/>
    </xf>
    <xf numFmtId="223" fontId="36" fillId="0" borderId="1255" xfId="2" applyNumberFormat="1" applyFont="1" applyFill="1" applyBorder="1">
      <alignment vertical="center"/>
    </xf>
    <xf numFmtId="192" fontId="36" fillId="3" borderId="0" xfId="0" applyNumberFormat="1" applyFont="1" applyFill="1" applyAlignment="1">
      <alignment horizontal="center" vertical="center"/>
    </xf>
    <xf numFmtId="192" fontId="36" fillId="5" borderId="645" xfId="0" applyNumberFormat="1" applyFont="1" applyFill="1" applyBorder="1" applyAlignment="1">
      <alignment horizontal="center" vertical="center"/>
    </xf>
    <xf numFmtId="192" fontId="36" fillId="3" borderId="629" xfId="0" applyNumberFormat="1" applyFont="1" applyFill="1" applyBorder="1" applyAlignment="1">
      <alignment horizontal="center" vertical="center"/>
    </xf>
    <xf numFmtId="203" fontId="37" fillId="4" borderId="1223" xfId="0" quotePrefix="1" applyNumberFormat="1" applyFont="1" applyFill="1" applyBorder="1" applyAlignment="1">
      <alignment horizontal="center" vertical="center"/>
    </xf>
    <xf numFmtId="0" fontId="43" fillId="4" borderId="1259" xfId="0" quotePrefix="1" applyFont="1" applyFill="1" applyBorder="1" applyAlignment="1">
      <alignment horizontal="center" vertical="center"/>
    </xf>
    <xf numFmtId="203" fontId="37" fillId="4" borderId="1243" xfId="0" quotePrefix="1" applyNumberFormat="1" applyFont="1" applyFill="1" applyBorder="1" applyAlignment="1">
      <alignment horizontal="center" vertical="center"/>
    </xf>
    <xf numFmtId="38" fontId="36" fillId="11" borderId="1260" xfId="2" applyNumberFormat="1" applyFont="1" applyFill="1" applyBorder="1" applyAlignment="1">
      <alignment horizontal="center" vertical="center"/>
    </xf>
    <xf numFmtId="38" fontId="36" fillId="11" borderId="857" xfId="2" applyNumberFormat="1" applyFont="1" applyFill="1" applyBorder="1" applyAlignment="1">
      <alignment horizontal="center" vertical="center"/>
    </xf>
    <xf numFmtId="38" fontId="36" fillId="11" borderId="1261" xfId="2" applyNumberFormat="1" applyFont="1" applyFill="1" applyBorder="1" applyAlignment="1">
      <alignment horizontal="center" vertical="center"/>
    </xf>
    <xf numFmtId="38" fontId="36" fillId="5" borderId="1262" xfId="2" applyNumberFormat="1" applyFont="1" applyFill="1" applyBorder="1" applyAlignment="1">
      <alignment horizontal="center" vertical="center"/>
    </xf>
    <xf numFmtId="38" fontId="36" fillId="5" borderId="857" xfId="2" applyNumberFormat="1" applyFont="1" applyFill="1" applyBorder="1" applyAlignment="1">
      <alignment horizontal="center" vertical="center"/>
    </xf>
    <xf numFmtId="38" fontId="36" fillId="5" borderId="1261" xfId="2" applyNumberFormat="1" applyFont="1" applyFill="1" applyBorder="1" applyAlignment="1">
      <alignment horizontal="center" vertical="center"/>
    </xf>
    <xf numFmtId="38" fontId="36" fillId="5" borderId="1243" xfId="2" applyNumberFormat="1" applyFont="1" applyFill="1" applyBorder="1" applyAlignment="1">
      <alignment horizontal="center" vertical="center"/>
    </xf>
    <xf numFmtId="38" fontId="36" fillId="11" borderId="1263" xfId="2" applyNumberFormat="1" applyFont="1" applyFill="1" applyBorder="1" applyAlignment="1">
      <alignment horizontal="center" vertical="center"/>
    </xf>
    <xf numFmtId="38" fontId="36" fillId="11" borderId="1201" xfId="2" applyNumberFormat="1" applyFont="1" applyFill="1" applyBorder="1" applyAlignment="1">
      <alignment horizontal="center" vertical="center"/>
    </xf>
    <xf numFmtId="38" fontId="36" fillId="11" borderId="1204" xfId="2" applyNumberFormat="1" applyFont="1" applyFill="1" applyBorder="1" applyAlignment="1">
      <alignment horizontal="center" vertical="center"/>
    </xf>
    <xf numFmtId="38" fontId="36" fillId="5" borderId="1203" xfId="2" applyNumberFormat="1" applyFont="1" applyFill="1" applyBorder="1" applyAlignment="1">
      <alignment horizontal="center" vertical="center"/>
    </xf>
    <xf numFmtId="38" fontId="36" fillId="5" borderId="1201" xfId="2" applyNumberFormat="1" applyFont="1" applyFill="1" applyBorder="1" applyAlignment="1">
      <alignment horizontal="center" vertical="center"/>
    </xf>
    <xf numFmtId="38" fontId="36" fillId="5" borderId="1204" xfId="2" applyNumberFormat="1" applyFont="1" applyFill="1" applyBorder="1" applyAlignment="1">
      <alignment horizontal="center" vertical="center"/>
    </xf>
    <xf numFmtId="38" fontId="36" fillId="5" borderId="1223" xfId="2" applyNumberFormat="1" applyFont="1" applyFill="1" applyBorder="1" applyAlignment="1">
      <alignment horizontal="center" vertical="center"/>
    </xf>
    <xf numFmtId="41" fontId="36" fillId="11" borderId="0" xfId="2" applyFont="1" applyFill="1" applyBorder="1" applyAlignment="1">
      <alignment horizontal="center" vertical="center"/>
    </xf>
    <xf numFmtId="41" fontId="36" fillId="11" borderId="544" xfId="2" applyFont="1" applyFill="1" applyBorder="1" applyAlignment="1">
      <alignment horizontal="center" vertical="center"/>
    </xf>
    <xf numFmtId="41" fontId="36" fillId="5" borderId="547" xfId="2" applyFont="1" applyFill="1" applyBorder="1" applyAlignment="1">
      <alignment horizontal="center" vertical="center"/>
    </xf>
    <xf numFmtId="41" fontId="36" fillId="5" borderId="544" xfId="2" applyFont="1" applyFill="1" applyBorder="1" applyAlignment="1">
      <alignment horizontal="center" vertical="center"/>
    </xf>
    <xf numFmtId="41" fontId="36" fillId="5" borderId="6" xfId="2" applyFont="1" applyFill="1" applyBorder="1" applyAlignment="1">
      <alignment horizontal="center" vertical="center"/>
    </xf>
    <xf numFmtId="0" fontId="37" fillId="14" borderId="1223" xfId="0" quotePrefix="1" applyFont="1" applyFill="1" applyBorder="1" applyAlignment="1">
      <alignment horizontal="center" vertical="center"/>
    </xf>
    <xf numFmtId="192" fontId="36" fillId="11" borderId="1201" xfId="3" applyNumberFormat="1" applyFont="1" applyFill="1" applyBorder="1" applyAlignment="1">
      <alignment horizontal="center" vertical="center"/>
    </xf>
    <xf numFmtId="192" fontId="36" fillId="11" borderId="1204" xfId="3" applyNumberFormat="1" applyFont="1" applyFill="1" applyBorder="1" applyAlignment="1">
      <alignment horizontal="center" vertical="center"/>
    </xf>
    <xf numFmtId="192" fontId="36" fillId="5" borderId="1203" xfId="3" applyNumberFormat="1" applyFont="1" applyFill="1" applyBorder="1" applyAlignment="1">
      <alignment horizontal="center" vertical="center"/>
    </xf>
    <xf numFmtId="192" fontId="36" fillId="5" borderId="1201" xfId="3" applyNumberFormat="1" applyFont="1" applyFill="1" applyBorder="1" applyAlignment="1">
      <alignment horizontal="center" vertical="center"/>
    </xf>
    <xf numFmtId="192" fontId="36" fillId="5" borderId="1204" xfId="3" applyNumberFormat="1" applyFont="1" applyFill="1" applyBorder="1" applyAlignment="1">
      <alignment horizontal="center" vertical="center"/>
    </xf>
    <xf numFmtId="192" fontId="36" fillId="5" borderId="1223" xfId="3" applyNumberFormat="1" applyFont="1" applyFill="1" applyBorder="1" applyAlignment="1">
      <alignment horizontal="center" vertical="center"/>
    </xf>
    <xf numFmtId="0" fontId="37" fillId="14" borderId="1264" xfId="0" quotePrefix="1" applyFont="1" applyFill="1" applyBorder="1" applyAlignment="1">
      <alignment horizontal="center" vertical="center"/>
    </xf>
    <xf numFmtId="192" fontId="36" fillId="8" borderId="1201" xfId="3" applyNumberFormat="1" applyFont="1" applyFill="1" applyBorder="1" applyAlignment="1">
      <alignment horizontal="center" vertical="center"/>
    </xf>
    <xf numFmtId="192" fontId="36" fillId="8" borderId="1265" xfId="3" applyNumberFormat="1" applyFont="1" applyFill="1" applyBorder="1" applyAlignment="1">
      <alignment horizontal="center" vertical="center"/>
    </xf>
    <xf numFmtId="192" fontId="36" fillId="5" borderId="1265" xfId="3" applyNumberFormat="1" applyFont="1" applyFill="1" applyBorder="1" applyAlignment="1">
      <alignment horizontal="center" vertical="center"/>
    </xf>
    <xf numFmtId="192" fontId="36" fillId="11" borderId="4" xfId="3" applyNumberFormat="1" applyFont="1" applyFill="1" applyBorder="1" applyAlignment="1">
      <alignment horizontal="center" vertical="center"/>
    </xf>
    <xf numFmtId="192" fontId="36" fillId="11" borderId="0" xfId="3" applyNumberFormat="1" applyFont="1" applyFill="1" applyBorder="1" applyAlignment="1">
      <alignment horizontal="center" vertical="center"/>
    </xf>
    <xf numFmtId="192" fontId="36" fillId="11" borderId="544" xfId="3" applyNumberFormat="1" applyFont="1" applyFill="1" applyBorder="1" applyAlignment="1">
      <alignment horizontal="center" vertical="center"/>
    </xf>
    <xf numFmtId="192" fontId="36" fillId="5" borderId="547" xfId="3" applyNumberFormat="1" applyFont="1" applyFill="1" applyBorder="1" applyAlignment="1">
      <alignment horizontal="center" vertical="center"/>
    </xf>
    <xf numFmtId="192" fontId="36" fillId="5" borderId="544" xfId="3" applyNumberFormat="1" applyFont="1" applyFill="1" applyBorder="1" applyAlignment="1">
      <alignment horizontal="center" vertical="center"/>
    </xf>
    <xf numFmtId="192" fontId="36" fillId="5" borderId="6" xfId="3" applyNumberFormat="1" applyFont="1" applyFill="1" applyBorder="1" applyAlignment="1">
      <alignment horizontal="center" vertical="center"/>
    </xf>
    <xf numFmtId="241" fontId="36" fillId="11" borderId="544" xfId="3" applyNumberFormat="1" applyFont="1" applyFill="1" applyBorder="1" applyAlignment="1">
      <alignment horizontal="center" vertical="center"/>
    </xf>
    <xf numFmtId="241" fontId="36" fillId="5" borderId="544" xfId="3" applyNumberFormat="1" applyFont="1" applyFill="1" applyBorder="1" applyAlignment="1">
      <alignment horizontal="center" vertical="center"/>
    </xf>
    <xf numFmtId="241" fontId="36" fillId="5" borderId="6" xfId="3" applyNumberFormat="1" applyFont="1" applyFill="1" applyBorder="1" applyAlignment="1">
      <alignment horizontal="center" vertical="center"/>
    </xf>
    <xf numFmtId="9" fontId="36" fillId="8" borderId="574" xfId="3" applyNumberFormat="1" applyFont="1" applyFill="1" applyBorder="1" applyAlignment="1">
      <alignment horizontal="center" vertical="center"/>
    </xf>
    <xf numFmtId="9" fontId="36" fillId="5" borderId="0" xfId="3" applyNumberFormat="1" applyFont="1" applyFill="1" applyBorder="1" applyAlignment="1">
      <alignment horizontal="center" vertical="center"/>
    </xf>
    <xf numFmtId="9" fontId="36" fillId="8" borderId="0" xfId="3" applyNumberFormat="1" applyFont="1" applyFill="1" applyBorder="1" applyAlignment="1">
      <alignment horizontal="center" vertical="center"/>
    </xf>
    <xf numFmtId="9" fontId="36" fillId="0" borderId="0" xfId="3" applyNumberFormat="1" applyFont="1" applyBorder="1" applyAlignment="1">
      <alignment horizontal="center" vertical="center"/>
    </xf>
    <xf numFmtId="192" fontId="36" fillId="0" borderId="1204" xfId="2" applyNumberFormat="1" applyFont="1" applyBorder="1" applyAlignment="1">
      <alignment horizontal="center" vertical="center"/>
    </xf>
    <xf numFmtId="192" fontId="37" fillId="4" borderId="857" xfId="0" quotePrefix="1" applyNumberFormat="1" applyFont="1" applyFill="1" applyBorder="1" applyAlignment="1">
      <alignment horizontal="center" vertical="center"/>
    </xf>
    <xf numFmtId="0" fontId="37" fillId="14" borderId="1201" xfId="0" quotePrefix="1" applyFont="1" applyFill="1" applyBorder="1" applyAlignment="1">
      <alignment horizontal="center" vertical="center"/>
    </xf>
    <xf numFmtId="192" fontId="36" fillId="8" borderId="1266" xfId="2" applyNumberFormat="1" applyFont="1" applyFill="1" applyBorder="1" applyAlignment="1">
      <alignment horizontal="center" vertical="center"/>
    </xf>
    <xf numFmtId="192" fontId="36" fillId="5" borderId="857" xfId="2" applyNumberFormat="1" applyFont="1" applyFill="1" applyBorder="1" applyAlignment="1">
      <alignment horizontal="center" vertical="center"/>
    </xf>
    <xf numFmtId="192" fontId="36" fillId="8" borderId="857" xfId="2" applyNumberFormat="1" applyFont="1" applyFill="1" applyBorder="1" applyAlignment="1">
      <alignment horizontal="center" vertical="center"/>
    </xf>
    <xf numFmtId="192" fontId="36" fillId="0" borderId="857" xfId="2" applyNumberFormat="1" applyFont="1" applyBorder="1" applyAlignment="1">
      <alignment horizontal="center" vertical="center"/>
    </xf>
    <xf numFmtId="192" fontId="36" fillId="0" borderId="1261" xfId="2" applyNumberFormat="1" applyFont="1" applyBorder="1" applyAlignment="1">
      <alignment horizontal="center" vertical="center"/>
    </xf>
    <xf numFmtId="192" fontId="36" fillId="0" borderId="544" xfId="2" applyNumberFormat="1" applyFont="1" applyBorder="1" applyAlignment="1">
      <alignment horizontal="center" vertical="center"/>
    </xf>
    <xf numFmtId="9" fontId="36" fillId="0" borderId="544" xfId="3" applyNumberFormat="1" applyFont="1" applyBorder="1" applyAlignment="1">
      <alignment horizontal="center" vertical="center"/>
    </xf>
    <xf numFmtId="176" fontId="36" fillId="5" borderId="0" xfId="3" applyNumberFormat="1" applyFont="1" applyFill="1" applyBorder="1" applyAlignment="1">
      <alignment horizontal="right" vertical="center"/>
    </xf>
    <xf numFmtId="0" fontId="37" fillId="4" borderId="1201" xfId="0" quotePrefix="1" applyFont="1" applyFill="1" applyBorder="1" applyAlignment="1">
      <alignment horizontal="center" vertical="center"/>
    </xf>
    <xf numFmtId="0" fontId="57" fillId="4" borderId="1267" xfId="0" quotePrefix="1" applyFont="1" applyFill="1" applyBorder="1" applyAlignment="1">
      <alignment horizontal="center" vertical="center"/>
    </xf>
    <xf numFmtId="238" fontId="56" fillId="8" borderId="1252" xfId="0" applyNumberFormat="1" applyFont="1" applyFill="1" applyBorder="1" applyAlignment="1">
      <alignment horizontal="center" vertical="center"/>
    </xf>
    <xf numFmtId="239" fontId="70" fillId="0" borderId="1252" xfId="0" applyNumberFormat="1" applyFont="1" applyBorder="1" applyAlignment="1">
      <alignment horizontal="center" vertical="center"/>
    </xf>
    <xf numFmtId="233" fontId="56" fillId="8" borderId="1268" xfId="0" applyNumberFormat="1" applyFont="1" applyFill="1" applyBorder="1" applyAlignment="1">
      <alignment horizontal="center" vertical="center"/>
    </xf>
    <xf numFmtId="234" fontId="61" fillId="8" borderId="1269" xfId="0" applyNumberFormat="1" applyFont="1" applyFill="1" applyBorder="1" applyAlignment="1">
      <alignment horizontal="center" vertical="center"/>
    </xf>
    <xf numFmtId="1" fontId="70" fillId="0" borderId="1252" xfId="0" applyNumberFormat="1" applyFont="1" applyBorder="1" applyAlignment="1">
      <alignment horizontal="center" vertical="center"/>
    </xf>
    <xf numFmtId="234" fontId="61" fillId="0" borderId="1269" xfId="0" applyNumberFormat="1" applyFont="1" applyBorder="1" applyAlignment="1">
      <alignment horizontal="center" vertical="center"/>
    </xf>
    <xf numFmtId="234" fontId="61" fillId="0" borderId="1252" xfId="0" applyNumberFormat="1" applyFont="1" applyBorder="1" applyAlignment="1">
      <alignment horizontal="center" vertical="center"/>
    </xf>
    <xf numFmtId="234" fontId="73" fillId="8" borderId="1252" xfId="0" applyNumberFormat="1" applyFont="1" applyFill="1" applyBorder="1" applyAlignment="1">
      <alignment horizontal="center" vertical="center"/>
    </xf>
    <xf numFmtId="233" fontId="56" fillId="68" borderId="1252" xfId="0" applyNumberFormat="1" applyFont="1" applyFill="1" applyBorder="1" applyAlignment="1">
      <alignment horizontal="center" vertical="center"/>
    </xf>
    <xf numFmtId="234" fontId="61" fillId="68" borderId="1269" xfId="0" applyNumberFormat="1" applyFont="1" applyFill="1" applyBorder="1" applyAlignment="1">
      <alignment horizontal="center" vertical="center"/>
    </xf>
    <xf numFmtId="178" fontId="70" fillId="58" borderId="1252" xfId="0" applyNumberFormat="1" applyFont="1" applyFill="1" applyBorder="1" applyAlignment="1">
      <alignment horizontal="center" vertical="center"/>
    </xf>
    <xf numFmtId="234" fontId="73" fillId="58" borderId="1252" xfId="0" applyNumberFormat="1" applyFont="1" applyFill="1" applyBorder="1" applyAlignment="1">
      <alignment horizontal="center" vertical="center"/>
    </xf>
    <xf numFmtId="236" fontId="70" fillId="58" borderId="1270" xfId="0" applyNumberFormat="1" applyFont="1" applyFill="1" applyBorder="1" applyAlignment="1">
      <alignment horizontal="center" vertical="center"/>
    </xf>
    <xf numFmtId="236" fontId="70" fillId="0" borderId="1252" xfId="0" applyNumberFormat="1" applyFont="1" applyBorder="1" applyAlignment="1">
      <alignment horizontal="center" vertical="center"/>
    </xf>
    <xf numFmtId="234" fontId="61" fillId="5" borderId="1252" xfId="0" applyNumberFormat="1" applyFont="1" applyFill="1" applyBorder="1" applyAlignment="1">
      <alignment horizontal="center" vertical="center"/>
    </xf>
    <xf numFmtId="236" fontId="70" fillId="58" borderId="1252" xfId="0" applyNumberFormat="1" applyFont="1" applyFill="1" applyBorder="1" applyAlignment="1">
      <alignment horizontal="center" vertical="center"/>
    </xf>
    <xf numFmtId="178" fontId="70" fillId="58" borderId="1268" xfId="0" applyNumberFormat="1" applyFont="1" applyFill="1" applyBorder="1" applyAlignment="1">
      <alignment horizontal="center" vertical="center"/>
    </xf>
    <xf numFmtId="236" fontId="74" fillId="68" borderId="1252" xfId="0" applyNumberFormat="1" applyFont="1" applyFill="1" applyBorder="1" applyAlignment="1">
      <alignment horizontal="center" vertical="center"/>
    </xf>
    <xf numFmtId="234" fontId="75" fillId="68" borderId="1271" xfId="0" applyNumberFormat="1" applyFont="1" applyFill="1" applyBorder="1" applyAlignment="1">
      <alignment horizontal="center" vertical="center"/>
    </xf>
    <xf numFmtId="178" fontId="57" fillId="4" borderId="1272" xfId="0" quotePrefix="1" applyNumberFormat="1" applyFont="1" applyFill="1" applyBorder="1" applyAlignment="1">
      <alignment horizontal="center" vertical="center"/>
    </xf>
    <xf numFmtId="178" fontId="55" fillId="9" borderId="1236" xfId="0" applyNumberFormat="1" applyFont="1" applyFill="1" applyBorder="1" applyAlignment="1">
      <alignment horizontal="center" vertical="center"/>
    </xf>
    <xf numFmtId="178" fontId="55" fillId="8" borderId="1239" xfId="0" applyNumberFormat="1" applyFont="1" applyFill="1" applyBorder="1" applyAlignment="1">
      <alignment horizontal="center" vertical="center"/>
    </xf>
    <xf numFmtId="178" fontId="55" fillId="8" borderId="1226" xfId="0" applyNumberFormat="1" applyFont="1" applyFill="1" applyBorder="1" applyAlignment="1">
      <alignment horizontal="center" vertical="center"/>
    </xf>
    <xf numFmtId="178" fontId="55" fillId="8" borderId="1238" xfId="0" applyNumberFormat="1" applyFont="1" applyFill="1" applyBorder="1" applyAlignment="1">
      <alignment horizontal="center" vertical="center"/>
    </xf>
    <xf numFmtId="178" fontId="55" fillId="0" borderId="1226" xfId="0" applyNumberFormat="1" applyFont="1" applyBorder="1" applyAlignment="1">
      <alignment horizontal="center" vertical="center"/>
    </xf>
    <xf numFmtId="178" fontId="36" fillId="0" borderId="1226" xfId="0" applyNumberFormat="1" applyFont="1" applyBorder="1" applyAlignment="1">
      <alignment horizontal="center" vertical="center"/>
    </xf>
    <xf numFmtId="178" fontId="36" fillId="9" borderId="1273" xfId="0" applyNumberFormat="1" applyFont="1" applyFill="1" applyBorder="1" applyAlignment="1">
      <alignment horizontal="center" vertical="center"/>
    </xf>
    <xf numFmtId="178" fontId="36" fillId="8" borderId="1239" xfId="0" applyNumberFormat="1" applyFont="1" applyFill="1" applyBorder="1" applyAlignment="1">
      <alignment horizontal="center" vertical="center"/>
    </xf>
    <xf numFmtId="178" fontId="36" fillId="8" borderId="1226" xfId="0" applyNumberFormat="1" applyFont="1" applyFill="1" applyBorder="1" applyAlignment="1">
      <alignment horizontal="center" vertical="center"/>
    </xf>
    <xf numFmtId="178" fontId="36" fillId="8" borderId="1238" xfId="0" applyNumberFormat="1" applyFont="1" applyFill="1" applyBorder="1" applyAlignment="1">
      <alignment horizontal="center" vertical="center"/>
    </xf>
    <xf numFmtId="178" fontId="36" fillId="12" borderId="1226" xfId="0" applyNumberFormat="1" applyFont="1" applyFill="1" applyBorder="1" applyAlignment="1">
      <alignment horizontal="center" vertical="center"/>
    </xf>
    <xf numFmtId="178" fontId="36" fillId="12" borderId="1274" xfId="0" applyNumberFormat="1" applyFont="1" applyFill="1" applyBorder="1" applyAlignment="1">
      <alignment horizontal="center" vertical="center"/>
    </xf>
    <xf numFmtId="41" fontId="37" fillId="4" borderId="6" xfId="2" quotePrefix="1" applyFont="1" applyFill="1" applyBorder="1" applyAlignment="1">
      <alignment horizontal="center" vertical="center"/>
    </xf>
    <xf numFmtId="41" fontId="36" fillId="11" borderId="209" xfId="2" applyFont="1" applyFill="1" applyBorder="1" applyAlignment="1">
      <alignment horizontal="right" vertical="center"/>
    </xf>
    <xf numFmtId="41" fontId="36" fillId="13" borderId="210" xfId="2" applyFont="1" applyFill="1" applyBorder="1" applyAlignment="1">
      <alignment horizontal="right" vertical="center"/>
    </xf>
    <xf numFmtId="41" fontId="36" fillId="8" borderId="211" xfId="2" applyFont="1" applyFill="1" applyBorder="1" applyAlignment="1">
      <alignment horizontal="right" vertical="center"/>
    </xf>
    <xf numFmtId="41" fontId="36" fillId="8" borderId="210" xfId="2" applyFont="1" applyFill="1" applyBorder="1" applyAlignment="1">
      <alignment horizontal="right" vertical="center"/>
    </xf>
    <xf numFmtId="41" fontId="36" fillId="8" borderId="212" xfId="2" applyFont="1" applyFill="1" applyBorder="1" applyAlignment="1">
      <alignment horizontal="right" vertical="center"/>
    </xf>
    <xf numFmtId="41" fontId="70" fillId="0" borderId="211" xfId="2" applyFont="1" applyBorder="1" applyAlignment="1">
      <alignment horizontal="right" vertical="center"/>
    </xf>
    <xf numFmtId="41" fontId="70" fillId="0" borderId="210" xfId="2" applyFont="1" applyBorder="1" applyAlignment="1">
      <alignment horizontal="right" vertical="center"/>
    </xf>
    <xf numFmtId="41" fontId="70" fillId="2" borderId="210" xfId="2" applyFont="1" applyFill="1" applyBorder="1" applyAlignment="1">
      <alignment horizontal="right" vertical="center"/>
    </xf>
    <xf numFmtId="41" fontId="70" fillId="0" borderId="215" xfId="2" applyFont="1" applyBorder="1" applyAlignment="1">
      <alignment horizontal="right" vertical="center"/>
    </xf>
    <xf numFmtId="41" fontId="36" fillId="9" borderId="223" xfId="2" applyFont="1" applyFill="1" applyBorder="1" applyAlignment="1">
      <alignment horizontal="right" vertical="center"/>
    </xf>
    <xf numFmtId="41" fontId="36" fillId="3" borderId="224" xfId="2" applyFont="1" applyFill="1" applyBorder="1" applyAlignment="1">
      <alignment horizontal="right" vertical="center"/>
    </xf>
    <xf numFmtId="41" fontId="36" fillId="8" borderId="229" xfId="2" applyFont="1" applyFill="1" applyBorder="1" applyAlignment="1">
      <alignment horizontal="right" vertical="center"/>
    </xf>
    <xf numFmtId="41" fontId="36" fillId="8" borderId="224" xfId="2" applyFont="1" applyFill="1" applyBorder="1" applyAlignment="1">
      <alignment horizontal="right" vertical="center"/>
    </xf>
    <xf numFmtId="41" fontId="36" fillId="8" borderId="227" xfId="2" applyFont="1" applyFill="1" applyBorder="1" applyAlignment="1">
      <alignment horizontal="right" vertical="center"/>
    </xf>
    <xf numFmtId="41" fontId="55" fillId="2" borderId="229" xfId="2" applyFont="1" applyFill="1" applyBorder="1" applyAlignment="1">
      <alignment horizontal="right" vertical="center"/>
    </xf>
    <xf numFmtId="41" fontId="55" fillId="0" borderId="224" xfId="2" applyFont="1" applyBorder="1" applyAlignment="1">
      <alignment horizontal="right" vertical="center"/>
    </xf>
    <xf numFmtId="41" fontId="55" fillId="2" borderId="224" xfId="2" applyFont="1" applyFill="1" applyBorder="1" applyAlignment="1">
      <alignment horizontal="right" vertical="center"/>
    </xf>
    <xf numFmtId="41" fontId="55" fillId="2" borderId="227" xfId="2" applyFont="1" applyFill="1" applyBorder="1" applyAlignment="1">
      <alignment horizontal="right" vertical="center"/>
    </xf>
    <xf numFmtId="41" fontId="55" fillId="2" borderId="233" xfId="2" applyFont="1" applyFill="1" applyBorder="1" applyAlignment="1">
      <alignment horizontal="right" vertical="center"/>
    </xf>
    <xf numFmtId="196" fontId="36" fillId="11" borderId="1260" xfId="0" applyNumberFormat="1" applyFont="1" applyFill="1" applyBorder="1" applyAlignment="1">
      <alignment horizontal="center" vertical="center"/>
    </xf>
    <xf numFmtId="196" fontId="36" fillId="13" borderId="857" xfId="0" applyNumberFormat="1" applyFont="1" applyFill="1" applyBorder="1" applyAlignment="1">
      <alignment horizontal="center" vertical="center"/>
    </xf>
    <xf numFmtId="196" fontId="36" fillId="8" borderId="1275" xfId="0" applyNumberFormat="1" applyFont="1" applyFill="1" applyBorder="1" applyAlignment="1">
      <alignment horizontal="center" vertical="center"/>
    </xf>
    <xf numFmtId="196" fontId="36" fillId="8" borderId="857" xfId="0" applyNumberFormat="1" applyFont="1" applyFill="1" applyBorder="1" applyAlignment="1">
      <alignment horizontal="center" vertical="center"/>
    </xf>
    <xf numFmtId="196" fontId="36" fillId="8" borderId="1276" xfId="0" applyNumberFormat="1" applyFont="1" applyFill="1" applyBorder="1" applyAlignment="1">
      <alignment horizontal="center" vertical="center"/>
    </xf>
    <xf numFmtId="196" fontId="36" fillId="0" borderId="1275" xfId="0" applyNumberFormat="1" applyFont="1" applyFill="1" applyBorder="1" applyAlignment="1">
      <alignment horizontal="center" vertical="center"/>
    </xf>
    <xf numFmtId="196" fontId="36" fillId="0" borderId="857" xfId="0" applyNumberFormat="1" applyFont="1" applyFill="1" applyBorder="1" applyAlignment="1">
      <alignment horizontal="center" vertical="center"/>
    </xf>
    <xf numFmtId="196" fontId="36" fillId="2" borderId="857" xfId="0" applyNumberFormat="1" applyFont="1" applyFill="1" applyBorder="1" applyAlignment="1">
      <alignment horizontal="center" vertical="center"/>
    </xf>
    <xf numFmtId="196" fontId="36" fillId="0" borderId="1243" xfId="0" applyNumberFormat="1" applyFont="1" applyFill="1" applyBorder="1" applyAlignment="1">
      <alignment horizontal="center" vertical="center"/>
    </xf>
    <xf numFmtId="0" fontId="57" fillId="4" borderId="1278" xfId="0" quotePrefix="1" applyFont="1" applyFill="1" applyBorder="1" applyAlignment="1">
      <alignment horizontal="center" vertical="center"/>
    </xf>
    <xf numFmtId="0" fontId="55" fillId="4" borderId="857" xfId="0" quotePrefix="1" applyFont="1" applyFill="1" applyBorder="1" applyAlignment="1">
      <alignment horizontal="center" vertical="center"/>
    </xf>
    <xf numFmtId="196" fontId="55" fillId="9" borderId="1279" xfId="0" applyNumberFormat="1" applyFont="1" applyFill="1" applyBorder="1" applyAlignment="1">
      <alignment horizontal="center" vertical="center"/>
    </xf>
    <xf numFmtId="196" fontId="55" fillId="3" borderId="857" xfId="0" applyNumberFormat="1" applyFont="1" applyFill="1" applyBorder="1" applyAlignment="1">
      <alignment horizontal="center" vertical="center"/>
    </xf>
    <xf numFmtId="196" fontId="55" fillId="8" borderId="1280" xfId="0" applyNumberFormat="1" applyFont="1" applyFill="1" applyBorder="1" applyAlignment="1">
      <alignment horizontal="center" vertical="center"/>
    </xf>
    <xf numFmtId="196" fontId="55" fillId="8" borderId="857" xfId="0" applyNumberFormat="1" applyFont="1" applyFill="1" applyBorder="1" applyAlignment="1">
      <alignment horizontal="center" vertical="center"/>
    </xf>
    <xf numFmtId="196" fontId="55" fillId="8" borderId="1281" xfId="0" applyNumberFormat="1" applyFont="1" applyFill="1" applyBorder="1" applyAlignment="1">
      <alignment horizontal="center" vertical="center"/>
    </xf>
    <xf numFmtId="196" fontId="55" fillId="2" borderId="1280" xfId="0" applyNumberFormat="1" applyFont="1" applyFill="1" applyBorder="1" applyAlignment="1">
      <alignment horizontal="center" vertical="center"/>
    </xf>
    <xf numFmtId="196" fontId="55" fillId="2" borderId="857" xfId="0" applyNumberFormat="1" applyFont="1" applyFill="1" applyBorder="1" applyAlignment="1">
      <alignment horizontal="center" vertical="center"/>
    </xf>
    <xf numFmtId="196" fontId="55" fillId="0" borderId="857" xfId="0" applyNumberFormat="1" applyFont="1" applyFill="1" applyBorder="1" applyAlignment="1">
      <alignment horizontal="center" vertical="center"/>
    </xf>
    <xf numFmtId="196" fontId="55" fillId="2" borderId="1281" xfId="0" applyNumberFormat="1" applyFont="1" applyFill="1" applyBorder="1" applyAlignment="1">
      <alignment horizontal="center" vertical="center"/>
    </xf>
    <xf numFmtId="196" fontId="55" fillId="9" borderId="1282" xfId="0" applyNumberFormat="1" applyFont="1" applyFill="1" applyBorder="1" applyAlignment="1">
      <alignment horizontal="center" vertical="center"/>
    </xf>
    <xf numFmtId="196" fontId="55" fillId="2" borderId="1277" xfId="0" applyNumberFormat="1" applyFont="1" applyFill="1" applyBorder="1" applyAlignment="1">
      <alignment horizontal="center" vertical="center"/>
    </xf>
    <xf numFmtId="0" fontId="43" fillId="4" borderId="1283" xfId="0" quotePrefix="1" applyFont="1" applyFill="1" applyBorder="1" applyAlignment="1">
      <alignment horizontal="center" vertical="center"/>
    </xf>
    <xf numFmtId="203" fontId="36" fillId="0" borderId="1284" xfId="2" quotePrefix="1" applyNumberFormat="1" applyFont="1" applyFill="1" applyBorder="1" applyAlignment="1">
      <alignment horizontal="center" vertical="center"/>
    </xf>
    <xf numFmtId="209" fontId="36" fillId="0" borderId="1226" xfId="2" quotePrefix="1" applyNumberFormat="1" applyFont="1" applyFill="1" applyBorder="1" applyAlignment="1">
      <alignment horizontal="center" vertical="center"/>
    </xf>
    <xf numFmtId="203" fontId="36" fillId="0" borderId="1226" xfId="2" quotePrefix="1" applyNumberFormat="1" applyFont="1" applyFill="1" applyBorder="1" applyAlignment="1">
      <alignment horizontal="center" vertical="center"/>
    </xf>
    <xf numFmtId="203" fontId="36" fillId="11" borderId="1226" xfId="2" quotePrefix="1" applyNumberFormat="1" applyFont="1" applyFill="1" applyBorder="1" applyAlignment="1">
      <alignment horizontal="center" vertical="center"/>
    </xf>
    <xf numFmtId="214" fontId="36" fillId="11" borderId="1226" xfId="2" quotePrefix="1" applyNumberFormat="1" applyFont="1" applyFill="1" applyBorder="1" applyAlignment="1">
      <alignment horizontal="center" vertical="center"/>
    </xf>
    <xf numFmtId="214" fontId="55" fillId="11" borderId="1249" xfId="2" quotePrefix="1" applyNumberFormat="1" applyFont="1" applyFill="1" applyBorder="1" applyAlignment="1">
      <alignment horizontal="center" vertical="center"/>
    </xf>
    <xf numFmtId="203" fontId="55" fillId="11" borderId="1226" xfId="2" quotePrefix="1" applyNumberFormat="1" applyFont="1" applyFill="1" applyBorder="1" applyAlignment="1">
      <alignment horizontal="center" vertical="center"/>
    </xf>
    <xf numFmtId="209" fontId="55" fillId="11" borderId="1226" xfId="2" quotePrefix="1" applyNumberFormat="1" applyFont="1" applyFill="1" applyBorder="1" applyAlignment="1">
      <alignment horizontal="center" vertical="center"/>
    </xf>
    <xf numFmtId="203" fontId="55" fillId="0" borderId="1285" xfId="2" quotePrefix="1" applyNumberFormat="1" applyFont="1" applyFill="1" applyBorder="1" applyAlignment="1">
      <alignment horizontal="center" vertical="center"/>
    </xf>
    <xf numFmtId="203" fontId="55" fillId="0" borderId="1226" xfId="2" quotePrefix="1" applyNumberFormat="1" applyFont="1" applyFill="1" applyBorder="1" applyAlignment="1">
      <alignment horizontal="center" vertical="center"/>
    </xf>
    <xf numFmtId="203" fontId="55" fillId="2" borderId="1226" xfId="2" quotePrefix="1" applyNumberFormat="1" applyFont="1" applyFill="1" applyBorder="1" applyAlignment="1">
      <alignment horizontal="center" vertical="center"/>
    </xf>
    <xf numFmtId="187" fontId="55" fillId="2" borderId="1226" xfId="0" quotePrefix="1" applyNumberFormat="1" applyFont="1" applyFill="1" applyBorder="1" applyAlignment="1">
      <alignment horizontal="center" vertical="center"/>
    </xf>
    <xf numFmtId="187" fontId="55" fillId="0" borderId="1226" xfId="0" quotePrefix="1" applyNumberFormat="1" applyFont="1" applyBorder="1" applyAlignment="1">
      <alignment horizontal="center" vertical="center"/>
    </xf>
    <xf numFmtId="203" fontId="55" fillId="11" borderId="1247" xfId="0" quotePrefix="1" applyNumberFormat="1" applyFont="1" applyFill="1" applyBorder="1" applyAlignment="1">
      <alignment horizontal="center" vertical="center"/>
    </xf>
    <xf numFmtId="214" fontId="55" fillId="11" borderId="1226" xfId="0" quotePrefix="1" applyNumberFormat="1" applyFont="1" applyFill="1" applyBorder="1" applyAlignment="1">
      <alignment horizontal="center" vertical="center"/>
    </xf>
    <xf numFmtId="203" fontId="55" fillId="11" borderId="1226" xfId="0" quotePrefix="1" applyNumberFormat="1" applyFont="1" applyFill="1" applyBorder="1" applyAlignment="1">
      <alignment horizontal="center" vertical="center"/>
    </xf>
    <xf numFmtId="214" fontId="55" fillId="11" borderId="1286" xfId="0" quotePrefix="1" applyNumberFormat="1" applyFont="1" applyFill="1" applyBorder="1" applyAlignment="1">
      <alignment horizontal="center" vertical="center"/>
    </xf>
    <xf numFmtId="192" fontId="55" fillId="6" borderId="1232" xfId="2" applyNumberFormat="1" applyFont="1" applyFill="1" applyBorder="1" applyAlignment="1">
      <alignment horizontal="center" vertical="center"/>
    </xf>
    <xf numFmtId="192" fontId="55" fillId="6" borderId="1226" xfId="2" applyNumberFormat="1" applyFont="1" applyFill="1" applyBorder="1" applyAlignment="1">
      <alignment horizontal="center" vertical="center"/>
    </xf>
    <xf numFmtId="192" fontId="55" fillId="5" borderId="1226" xfId="2" applyNumberFormat="1" applyFont="1" applyFill="1" applyBorder="1" applyAlignment="1">
      <alignment horizontal="center" vertical="center"/>
    </xf>
    <xf numFmtId="192" fontId="55" fillId="6" borderId="1287" xfId="2" applyNumberFormat="1" applyFont="1" applyFill="1" applyBorder="1" applyAlignment="1">
      <alignment horizontal="center" vertical="center"/>
    </xf>
    <xf numFmtId="192" fontId="55" fillId="13" borderId="1288" xfId="2" applyNumberFormat="1" applyFont="1" applyFill="1" applyBorder="1" applyAlignment="1">
      <alignment horizontal="center" vertical="center"/>
    </xf>
    <xf numFmtId="192" fontId="55" fillId="5" borderId="1289" xfId="2" applyNumberFormat="1" applyFont="1" applyFill="1" applyBorder="1" applyAlignment="1">
      <alignment horizontal="center" vertical="center"/>
    </xf>
    <xf numFmtId="192" fontId="55" fillId="6" borderId="1290" xfId="2" applyNumberFormat="1" applyFont="1" applyFill="1" applyBorder="1" applyAlignment="1">
      <alignment horizontal="center" vertical="center"/>
    </xf>
    <xf numFmtId="202" fontId="55" fillId="6" borderId="1226" xfId="0" applyNumberFormat="1" applyFont="1" applyFill="1" applyBorder="1" applyAlignment="1">
      <alignment horizontal="center" vertical="center"/>
    </xf>
    <xf numFmtId="202" fontId="55" fillId="2" borderId="1226" xfId="0" applyNumberFormat="1" applyFont="1" applyFill="1" applyBorder="1" applyAlignment="1">
      <alignment horizontal="center" vertical="center"/>
    </xf>
    <xf numFmtId="202" fontId="55" fillId="0" borderId="1226" xfId="0" applyNumberFormat="1" applyFont="1" applyFill="1" applyBorder="1" applyAlignment="1">
      <alignment horizontal="center" vertical="center"/>
    </xf>
    <xf numFmtId="0" fontId="55" fillId="0" borderId="1226" xfId="0" applyFont="1" applyFill="1" applyBorder="1" applyAlignment="1">
      <alignment horizontal="center" vertical="center"/>
    </xf>
    <xf numFmtId="203" fontId="55" fillId="6" borderId="1291" xfId="0" applyNumberFormat="1" applyFont="1" applyFill="1" applyBorder="1" applyAlignment="1">
      <alignment horizontal="center" vertical="center"/>
    </xf>
    <xf numFmtId="203" fontId="55" fillId="8" borderId="1292" xfId="0" applyNumberFormat="1" applyFont="1" applyFill="1" applyBorder="1" applyAlignment="1">
      <alignment horizontal="center" vertical="center"/>
    </xf>
    <xf numFmtId="203" fontId="55" fillId="0" borderId="1292" xfId="0" applyNumberFormat="1" applyFont="1" applyFill="1" applyBorder="1" applyAlignment="1">
      <alignment horizontal="center" vertical="center"/>
    </xf>
    <xf numFmtId="203" fontId="55" fillId="4" borderId="1292" xfId="0" applyNumberFormat="1" applyFont="1" applyFill="1" applyBorder="1" applyAlignment="1">
      <alignment horizontal="center" vertical="center"/>
    </xf>
    <xf numFmtId="203" fontId="55" fillId="0" borderId="1293" xfId="0" applyNumberFormat="1" applyFont="1" applyFill="1" applyBorder="1" applyAlignment="1">
      <alignment horizontal="center" vertical="center"/>
    </xf>
    <xf numFmtId="209" fontId="46" fillId="2" borderId="479" xfId="2" applyNumberFormat="1" applyFont="1" applyFill="1" applyBorder="1" applyAlignment="1">
      <alignment horizontal="right" vertical="center"/>
    </xf>
    <xf numFmtId="195" fontId="46" fillId="2" borderId="479" xfId="2" applyNumberFormat="1" applyFont="1" applyFill="1" applyBorder="1" applyAlignment="1">
      <alignment horizontal="right" vertical="center"/>
    </xf>
    <xf numFmtId="209" fontId="46" fillId="2" borderId="0" xfId="2" applyNumberFormat="1" applyFont="1" applyFill="1" applyBorder="1" applyAlignment="1">
      <alignment horizontal="right" vertical="center"/>
    </xf>
    <xf numFmtId="209" fontId="46" fillId="2" borderId="0" xfId="0" applyNumberFormat="1" applyFont="1" applyFill="1" applyBorder="1" applyAlignment="1">
      <alignment horizontal="right" vertical="center"/>
    </xf>
    <xf numFmtId="195" fontId="46" fillId="2" borderId="0" xfId="2" applyNumberFormat="1" applyFont="1" applyFill="1" applyBorder="1" applyAlignment="1">
      <alignment horizontal="right" vertical="center"/>
    </xf>
    <xf numFmtId="195" fontId="46" fillId="2" borderId="0" xfId="0" applyNumberFormat="1" applyFont="1" applyFill="1" applyBorder="1" applyAlignment="1">
      <alignment horizontal="right" vertical="center"/>
    </xf>
    <xf numFmtId="242" fontId="46" fillId="2" borderId="0" xfId="0" applyNumberFormat="1" applyFont="1" applyFill="1" applyBorder="1" applyAlignment="1">
      <alignment horizontal="right" vertical="center"/>
    </xf>
    <xf numFmtId="208" fontId="46" fillId="2" borderId="417" xfId="2" applyNumberFormat="1" applyFont="1" applyFill="1" applyBorder="1" applyAlignment="1">
      <alignment horizontal="right" vertical="center"/>
    </xf>
    <xf numFmtId="209" fontId="46" fillId="2" borderId="431" xfId="2" applyNumberFormat="1" applyFont="1" applyFill="1" applyBorder="1" applyAlignment="1">
      <alignment horizontal="right" vertical="center"/>
    </xf>
    <xf numFmtId="195" fontId="46" fillId="2" borderId="431" xfId="2" applyNumberFormat="1" applyFont="1" applyFill="1" applyBorder="1" applyAlignment="1">
      <alignment horizontal="right" vertical="center"/>
    </xf>
    <xf numFmtId="208" fontId="46" fillId="2" borderId="438" xfId="2" applyNumberFormat="1" applyFont="1" applyFill="1" applyBorder="1" applyAlignment="1">
      <alignment horizontal="right" vertical="center"/>
    </xf>
    <xf numFmtId="209" fontId="46" fillId="2" borderId="438" xfId="2" applyNumberFormat="1" applyFont="1" applyFill="1" applyBorder="1" applyAlignment="1">
      <alignment horizontal="right" vertical="center"/>
    </xf>
    <xf numFmtId="195" fontId="46" fillId="0" borderId="0" xfId="2" applyNumberFormat="1" applyFont="1" applyFill="1" applyBorder="1" applyAlignment="1">
      <alignment horizontal="right" vertical="center"/>
    </xf>
    <xf numFmtId="209" fontId="46" fillId="0" borderId="0" xfId="2" applyNumberFormat="1" applyFont="1" applyFill="1" applyBorder="1" applyAlignment="1">
      <alignment horizontal="right" vertical="center"/>
    </xf>
    <xf numFmtId="208" fontId="46" fillId="0" borderId="0" xfId="2" applyNumberFormat="1" applyFont="1" applyFill="1" applyBorder="1" applyAlignment="1">
      <alignment horizontal="right" vertical="center"/>
    </xf>
    <xf numFmtId="208" fontId="46" fillId="0" borderId="66" xfId="2" applyNumberFormat="1" applyFont="1" applyFill="1" applyBorder="1" applyAlignment="1">
      <alignment horizontal="right" vertical="center"/>
    </xf>
    <xf numFmtId="195" fontId="46" fillId="0" borderId="66" xfId="2" applyNumberFormat="1" applyFont="1" applyFill="1" applyBorder="1" applyAlignment="1">
      <alignment horizontal="right" vertical="center"/>
    </xf>
    <xf numFmtId="209" fontId="46" fillId="0" borderId="66" xfId="2" applyNumberFormat="1" applyFont="1" applyFill="1" applyBorder="1" applyAlignment="1">
      <alignment horizontal="right" vertical="center"/>
    </xf>
    <xf numFmtId="209" fontId="142" fillId="0" borderId="0" xfId="2" applyNumberFormat="1" applyFont="1" applyFill="1" applyBorder="1" applyAlignment="1">
      <alignment horizontal="right" vertical="center"/>
    </xf>
    <xf numFmtId="208" fontId="142" fillId="0" borderId="0" xfId="2" applyNumberFormat="1" applyFont="1" applyFill="1" applyBorder="1" applyAlignment="1">
      <alignment horizontal="right" vertical="center"/>
    </xf>
    <xf numFmtId="242" fontId="46" fillId="0" borderId="0" xfId="2" applyNumberFormat="1" applyFont="1" applyFill="1" applyBorder="1" applyAlignment="1">
      <alignment horizontal="right" vertical="center"/>
    </xf>
    <xf numFmtId="208" fontId="46" fillId="0" borderId="451" xfId="2" applyNumberFormat="1" applyFont="1" applyFill="1" applyBorder="1" applyAlignment="1">
      <alignment horizontal="right" vertical="center"/>
    </xf>
    <xf numFmtId="209" fontId="46" fillId="0" borderId="451" xfId="2" applyNumberFormat="1" applyFont="1" applyFill="1" applyBorder="1" applyAlignment="1">
      <alignment horizontal="right" vertical="center"/>
    </xf>
    <xf numFmtId="209" fontId="46" fillId="0" borderId="564" xfId="2" applyNumberFormat="1" applyFont="1" applyFill="1" applyBorder="1" applyAlignment="1">
      <alignment horizontal="right" vertical="center"/>
    </xf>
    <xf numFmtId="208" fontId="46" fillId="0" borderId="564" xfId="2" applyNumberFormat="1" applyFont="1" applyFill="1" applyBorder="1" applyAlignment="1">
      <alignment horizontal="right" vertical="center"/>
    </xf>
    <xf numFmtId="195" fontId="46" fillId="0" borderId="564" xfId="2" applyNumberFormat="1" applyFont="1" applyFill="1" applyBorder="1" applyAlignment="1">
      <alignment horizontal="right" vertical="center"/>
    </xf>
    <xf numFmtId="209" fontId="46" fillId="8" borderId="1295" xfId="2" applyNumberFormat="1" applyFont="1" applyFill="1" applyBorder="1" applyAlignment="1">
      <alignment horizontal="right" vertical="center"/>
    </xf>
    <xf numFmtId="195" fontId="46" fillId="3" borderId="0" xfId="2" applyNumberFormat="1" applyFont="1" applyFill="1" applyBorder="1" applyAlignment="1">
      <alignment horizontal="right" vertical="center"/>
    </xf>
    <xf numFmtId="208" fontId="46" fillId="3" borderId="0" xfId="2" applyNumberFormat="1" applyFont="1" applyFill="1" applyBorder="1" applyAlignment="1">
      <alignment horizontal="right" vertical="center"/>
    </xf>
    <xf numFmtId="209" fontId="46" fillId="3" borderId="0" xfId="2" applyNumberFormat="1" applyFont="1" applyFill="1" applyBorder="1" applyAlignment="1">
      <alignment horizontal="right" vertical="center"/>
    </xf>
    <xf numFmtId="209" fontId="46" fillId="3" borderId="6" xfId="2" applyNumberFormat="1" applyFont="1" applyFill="1" applyBorder="1" applyAlignment="1">
      <alignment horizontal="right" vertical="center"/>
    </xf>
    <xf numFmtId="195" fontId="46" fillId="3" borderId="6" xfId="2" applyNumberFormat="1" applyFont="1" applyFill="1" applyBorder="1" applyAlignment="1">
      <alignment horizontal="right" vertical="center"/>
    </xf>
    <xf numFmtId="208" fontId="46" fillId="3" borderId="6" xfId="2" applyNumberFormat="1" applyFont="1" applyFill="1" applyBorder="1" applyAlignment="1">
      <alignment horizontal="right" vertical="center"/>
    </xf>
    <xf numFmtId="209" fontId="46" fillId="2" borderId="1304" xfId="2" applyNumberFormat="1" applyFont="1" applyFill="1" applyBorder="1" applyAlignment="1">
      <alignment horizontal="right" vertical="center"/>
    </xf>
    <xf numFmtId="209" fontId="46" fillId="2" borderId="1305" xfId="2" applyNumberFormat="1" applyFont="1" applyFill="1" applyBorder="1" applyAlignment="1">
      <alignment horizontal="right" vertical="center"/>
    </xf>
    <xf numFmtId="209" fontId="46" fillId="2" borderId="1312" xfId="0" applyNumberFormat="1" applyFont="1" applyFill="1" applyBorder="1" applyAlignment="1">
      <alignment horizontal="right" vertical="center"/>
    </xf>
    <xf numFmtId="209" fontId="46" fillId="2" borderId="1313" xfId="0" applyNumberFormat="1" applyFont="1" applyFill="1" applyBorder="1" applyAlignment="1">
      <alignment horizontal="right" vertical="center"/>
    </xf>
    <xf numFmtId="209" fontId="46" fillId="2" borderId="1314" xfId="0" applyNumberFormat="1" applyFont="1" applyFill="1" applyBorder="1" applyAlignment="1">
      <alignment horizontal="right" vertical="center"/>
    </xf>
    <xf numFmtId="209" fontId="46" fillId="2" borderId="1297" xfId="0" applyNumberFormat="1" applyFont="1" applyFill="1" applyBorder="1" applyAlignment="1">
      <alignment horizontal="right" vertical="center"/>
    </xf>
    <xf numFmtId="209" fontId="46" fillId="2" borderId="45" xfId="2" applyNumberFormat="1" applyFont="1" applyFill="1" applyBorder="1" applyAlignment="1">
      <alignment horizontal="right" vertical="center"/>
    </xf>
    <xf numFmtId="209" fontId="46" fillId="2" borderId="1306" xfId="2" applyNumberFormat="1" applyFont="1" applyFill="1" applyBorder="1" applyAlignment="1">
      <alignment horizontal="right" vertical="center"/>
    </xf>
    <xf numFmtId="209" fontId="46" fillId="2" borderId="417" xfId="2" applyNumberFormat="1" applyFont="1" applyFill="1" applyBorder="1" applyAlignment="1">
      <alignment horizontal="right" vertical="center"/>
    </xf>
    <xf numFmtId="209" fontId="46" fillId="2" borderId="1307" xfId="2" applyNumberFormat="1" applyFont="1" applyFill="1" applyBorder="1" applyAlignment="1">
      <alignment horizontal="right" vertical="center"/>
    </xf>
    <xf numFmtId="209" fontId="46" fillId="2" borderId="1297" xfId="2" applyNumberFormat="1" applyFont="1" applyFill="1" applyBorder="1" applyAlignment="1">
      <alignment horizontal="right" vertical="center"/>
    </xf>
    <xf numFmtId="209" fontId="46" fillId="2" borderId="1308" xfId="2" applyNumberFormat="1" applyFont="1" applyFill="1" applyBorder="1" applyAlignment="1">
      <alignment horizontal="right" vertical="center"/>
    </xf>
    <xf numFmtId="209" fontId="46" fillId="2" borderId="1309" xfId="2" applyNumberFormat="1" applyFont="1" applyFill="1" applyBorder="1" applyAlignment="1">
      <alignment horizontal="right" vertical="center"/>
    </xf>
    <xf numFmtId="209" fontId="46" fillId="2" borderId="1310" xfId="2" applyNumberFormat="1" applyFont="1" applyFill="1" applyBorder="1" applyAlignment="1">
      <alignment horizontal="right" vertical="center"/>
    </xf>
    <xf numFmtId="209" fontId="46" fillId="2" borderId="1311" xfId="2" applyNumberFormat="1" applyFont="1" applyFill="1" applyBorder="1" applyAlignment="1">
      <alignment horizontal="right" vertical="center"/>
    </xf>
    <xf numFmtId="209" fontId="46" fillId="0" borderId="1297" xfId="2" applyNumberFormat="1" applyFont="1" applyFill="1" applyBorder="1" applyAlignment="1">
      <alignment horizontal="right" vertical="center"/>
    </xf>
    <xf numFmtId="209" fontId="46" fillId="0" borderId="45" xfId="2" applyNumberFormat="1" applyFont="1" applyFill="1" applyBorder="1" applyAlignment="1">
      <alignment horizontal="right" vertical="center"/>
    </xf>
    <xf numFmtId="209" fontId="46" fillId="0" borderId="1298" xfId="2" applyNumberFormat="1" applyFont="1" applyFill="1" applyBorder="1" applyAlignment="1">
      <alignment horizontal="right" vertical="center"/>
    </xf>
    <xf numFmtId="209" fontId="46" fillId="0" borderId="1299" xfId="2" applyNumberFormat="1" applyFont="1" applyFill="1" applyBorder="1" applyAlignment="1">
      <alignment horizontal="right" vertical="center"/>
    </xf>
    <xf numFmtId="209" fontId="46" fillId="3" borderId="1297" xfId="2" applyNumberFormat="1" applyFont="1" applyFill="1" applyBorder="1" applyAlignment="1">
      <alignment horizontal="right" vertical="center"/>
    </xf>
    <xf numFmtId="209" fontId="46" fillId="3" borderId="45" xfId="2" applyNumberFormat="1" applyFont="1" applyFill="1" applyBorder="1" applyAlignment="1">
      <alignment horizontal="right" vertical="center"/>
    </xf>
    <xf numFmtId="209" fontId="46" fillId="3" borderId="1115" xfId="2" applyNumberFormat="1" applyFont="1" applyFill="1" applyBorder="1" applyAlignment="1">
      <alignment horizontal="right" vertical="center"/>
    </xf>
    <xf numFmtId="209" fontId="46" fillId="3" borderId="42" xfId="2" applyNumberFormat="1" applyFont="1" applyFill="1" applyBorder="1" applyAlignment="1">
      <alignment horizontal="right" vertical="center"/>
    </xf>
    <xf numFmtId="209" fontId="46" fillId="8" borderId="1294" xfId="2" applyNumberFormat="1" applyFont="1" applyFill="1" applyBorder="1" applyAlignment="1">
      <alignment horizontal="right" vertical="center"/>
    </xf>
    <xf numFmtId="209" fontId="46" fillId="8" borderId="1296" xfId="2" applyNumberFormat="1" applyFont="1" applyFill="1" applyBorder="1" applyAlignment="1">
      <alignment horizontal="right" vertical="center"/>
    </xf>
    <xf numFmtId="209" fontId="142" fillId="0" borderId="1297" xfId="2" applyNumberFormat="1" applyFont="1" applyFill="1" applyBorder="1" applyAlignment="1">
      <alignment horizontal="right" vertical="center"/>
    </xf>
    <xf numFmtId="209" fontId="142" fillId="0" borderId="45" xfId="2" applyNumberFormat="1" applyFont="1" applyFill="1" applyBorder="1" applyAlignment="1">
      <alignment horizontal="right" vertical="center"/>
    </xf>
    <xf numFmtId="209" fontId="46" fillId="0" borderId="1300" xfId="2" applyNumberFormat="1" applyFont="1" applyFill="1" applyBorder="1" applyAlignment="1">
      <alignment horizontal="right" vertical="center"/>
    </xf>
    <xf numFmtId="209" fontId="46" fillId="0" borderId="1301" xfId="2" applyNumberFormat="1" applyFont="1" applyFill="1" applyBorder="1" applyAlignment="1">
      <alignment horizontal="right" vertical="center"/>
    </xf>
    <xf numFmtId="209" fontId="46" fillId="0" borderId="1302" xfId="2" applyNumberFormat="1" applyFont="1" applyFill="1" applyBorder="1" applyAlignment="1">
      <alignment horizontal="right" vertical="center"/>
    </xf>
    <xf numFmtId="209" fontId="46" fillId="0" borderId="1303" xfId="2" applyNumberFormat="1" applyFont="1" applyFill="1" applyBorder="1" applyAlignment="1">
      <alignment horizontal="right" vertical="center"/>
    </xf>
    <xf numFmtId="195" fontId="46" fillId="4" borderId="0" xfId="2" applyNumberFormat="1" applyFont="1" applyFill="1" applyBorder="1" applyAlignment="1">
      <alignment horizontal="right" vertical="center"/>
    </xf>
    <xf numFmtId="208" fontId="46" fillId="4" borderId="376" xfId="2" applyNumberFormat="1" applyFont="1" applyFill="1" applyBorder="1" applyAlignment="1">
      <alignment horizontal="right" vertical="center"/>
    </xf>
    <xf numFmtId="209" fontId="46" fillId="0" borderId="0" xfId="2" applyNumberFormat="1" applyFont="1" applyAlignment="1">
      <alignment horizontal="right" vertical="center"/>
    </xf>
    <xf numFmtId="209" fontId="46" fillId="0" borderId="0" xfId="2" applyNumberFormat="1" applyFont="1" applyFill="1" applyAlignment="1">
      <alignment horizontal="right" vertical="center"/>
    </xf>
    <xf numFmtId="208" fontId="46" fillId="0" borderId="376" xfId="2" applyNumberFormat="1" applyFont="1" applyBorder="1" applyAlignment="1">
      <alignment horizontal="right" vertical="center"/>
    </xf>
    <xf numFmtId="208" fontId="46" fillId="0" borderId="0" xfId="2" applyNumberFormat="1" applyFont="1" applyAlignment="1">
      <alignment horizontal="right" vertical="center"/>
    </xf>
    <xf numFmtId="242" fontId="46" fillId="0" borderId="0" xfId="2" applyNumberFormat="1" applyFont="1" applyBorder="1" applyAlignment="1">
      <alignment horizontal="right" vertical="center"/>
    </xf>
    <xf numFmtId="195" fontId="46" fillId="0" borderId="0" xfId="2" applyNumberFormat="1" applyFont="1" applyBorder="1" applyAlignment="1">
      <alignment horizontal="right" vertical="center"/>
    </xf>
    <xf numFmtId="221" fontId="46" fillId="0" borderId="376" xfId="0" applyNumberFormat="1" applyFont="1" applyBorder="1" applyAlignment="1"/>
    <xf numFmtId="242" fontId="46" fillId="0" borderId="515" xfId="2" applyNumberFormat="1" applyFont="1" applyFill="1" applyBorder="1" applyAlignment="1">
      <alignment horizontal="right" vertical="center"/>
    </xf>
    <xf numFmtId="209" fontId="46" fillId="0" borderId="515" xfId="2" applyNumberFormat="1" applyFont="1" applyBorder="1" applyAlignment="1">
      <alignment horizontal="right" vertical="center"/>
    </xf>
    <xf numFmtId="208" fontId="46" fillId="0" borderId="515" xfId="2" applyNumberFormat="1" applyFont="1" applyBorder="1" applyAlignment="1">
      <alignment horizontal="right" vertical="center"/>
    </xf>
    <xf numFmtId="242" fontId="46" fillId="0" borderId="515" xfId="2" applyNumberFormat="1" applyFont="1" applyBorder="1" applyAlignment="1">
      <alignment horizontal="right" vertical="center"/>
    </xf>
    <xf numFmtId="208" fontId="46" fillId="0" borderId="515" xfId="2" applyNumberFormat="1" applyFont="1" applyFill="1" applyBorder="1" applyAlignment="1">
      <alignment horizontal="right" vertical="center"/>
    </xf>
    <xf numFmtId="208" fontId="46" fillId="0" borderId="517" xfId="2" applyNumberFormat="1" applyFont="1" applyBorder="1" applyAlignment="1">
      <alignment horizontal="right" vertical="center"/>
    </xf>
    <xf numFmtId="208" fontId="46" fillId="5" borderId="376" xfId="2" applyNumberFormat="1" applyFont="1" applyFill="1" applyBorder="1" applyAlignment="1">
      <alignment horizontal="right" vertical="center"/>
    </xf>
    <xf numFmtId="195" fontId="46" fillId="0" borderId="515" xfId="2" applyNumberFormat="1" applyFont="1" applyFill="1" applyBorder="1" applyAlignment="1">
      <alignment horizontal="right" vertical="center"/>
    </xf>
    <xf numFmtId="195" fontId="46" fillId="0" borderId="515" xfId="2" applyNumberFormat="1" applyFont="1" applyBorder="1" applyAlignment="1">
      <alignment horizontal="right" vertical="center"/>
    </xf>
    <xf numFmtId="195" fontId="46" fillId="5" borderId="515" xfId="2" applyNumberFormat="1" applyFont="1" applyFill="1" applyBorder="1" applyAlignment="1">
      <alignment horizontal="right" vertical="center"/>
    </xf>
    <xf numFmtId="242" fontId="46" fillId="5" borderId="522" xfId="2" applyNumberFormat="1" applyFont="1" applyFill="1" applyBorder="1" applyAlignment="1">
      <alignment horizontal="right" vertical="center"/>
    </xf>
    <xf numFmtId="209" fontId="46" fillId="0" borderId="522" xfId="2" applyNumberFormat="1" applyFont="1" applyBorder="1" applyAlignment="1">
      <alignment horizontal="right" vertical="center"/>
    </xf>
    <xf numFmtId="208" fontId="46" fillId="0" borderId="522" xfId="2" applyNumberFormat="1" applyFont="1" applyBorder="1" applyAlignment="1">
      <alignment horizontal="right" vertical="center"/>
    </xf>
    <xf numFmtId="242" fontId="46" fillId="0" borderId="522" xfId="2" applyNumberFormat="1" applyFont="1" applyBorder="1" applyAlignment="1">
      <alignment horizontal="right" vertical="center"/>
    </xf>
    <xf numFmtId="242" fontId="46" fillId="0" borderId="522" xfId="2" applyNumberFormat="1" applyFont="1" applyFill="1" applyBorder="1" applyAlignment="1">
      <alignment horizontal="right" vertical="center"/>
    </xf>
    <xf numFmtId="208" fontId="46" fillId="0" borderId="522" xfId="2" applyNumberFormat="1" applyFont="1" applyFill="1" applyBorder="1" applyAlignment="1">
      <alignment horizontal="right" vertical="center"/>
    </xf>
    <xf numFmtId="208" fontId="46" fillId="0" borderId="524" xfId="2" applyNumberFormat="1" applyFont="1" applyBorder="1" applyAlignment="1">
      <alignment horizontal="right" vertical="center"/>
    </xf>
    <xf numFmtId="242" fontId="46" fillId="5" borderId="0" xfId="2" applyNumberFormat="1" applyFont="1" applyFill="1" applyBorder="1" applyAlignment="1">
      <alignment horizontal="right" vertical="center"/>
    </xf>
    <xf numFmtId="195" fontId="46" fillId="5" borderId="0" xfId="2" applyNumberFormat="1" applyFont="1" applyFill="1" applyBorder="1" applyAlignment="1">
      <alignment horizontal="right" vertical="center"/>
    </xf>
    <xf numFmtId="208" fontId="46" fillId="0" borderId="19" xfId="2" applyNumberFormat="1" applyFont="1" applyBorder="1" applyAlignment="1">
      <alignment horizontal="right" vertical="center"/>
    </xf>
    <xf numFmtId="208" fontId="46" fillId="0" borderId="19" xfId="2" applyNumberFormat="1" applyFont="1" applyFill="1" applyBorder="1" applyAlignment="1">
      <alignment horizontal="right" vertical="center"/>
    </xf>
    <xf numFmtId="208" fontId="46" fillId="0" borderId="581" xfId="2" applyNumberFormat="1" applyFont="1" applyBorder="1" applyAlignment="1">
      <alignment horizontal="right" vertical="center"/>
    </xf>
    <xf numFmtId="208" fontId="46" fillId="7" borderId="17" xfId="2" applyNumberFormat="1" applyFont="1" applyFill="1" applyBorder="1" applyAlignment="1">
      <alignment horizontal="right" vertical="center"/>
    </xf>
    <xf numFmtId="208" fontId="46" fillId="7" borderId="446" xfId="2" applyNumberFormat="1" applyFont="1" applyFill="1" applyBorder="1" applyAlignment="1">
      <alignment horizontal="right" vertical="center"/>
    </xf>
    <xf numFmtId="209" fontId="46" fillId="0" borderId="18" xfId="2" applyNumberFormat="1" applyFont="1" applyFill="1" applyBorder="1" applyAlignment="1">
      <alignment horizontal="right" vertical="center"/>
    </xf>
    <xf numFmtId="208" fontId="46" fillId="0" borderId="449" xfId="2" applyNumberFormat="1" applyFont="1" applyBorder="1" applyAlignment="1">
      <alignment horizontal="right" vertical="center"/>
    </xf>
    <xf numFmtId="209" fontId="46" fillId="0" borderId="0" xfId="2" applyNumberFormat="1" applyFont="1" applyBorder="1" applyAlignment="1">
      <alignment horizontal="right" vertical="center"/>
    </xf>
    <xf numFmtId="208" fontId="46" fillId="0" borderId="0" xfId="2" applyNumberFormat="1" applyFont="1" applyBorder="1" applyAlignment="1">
      <alignment horizontal="right" vertical="center"/>
    </xf>
    <xf numFmtId="0" fontId="142" fillId="32" borderId="451" xfId="0" applyFont="1" applyFill="1" applyBorder="1">
      <alignment vertical="center"/>
    </xf>
    <xf numFmtId="209" fontId="142" fillId="32" borderId="451" xfId="0" applyNumberFormat="1" applyFont="1" applyFill="1" applyBorder="1">
      <alignment vertical="center"/>
    </xf>
    <xf numFmtId="210" fontId="142" fillId="32" borderId="451" xfId="0" applyNumberFormat="1" applyFont="1" applyFill="1" applyBorder="1">
      <alignment vertical="center"/>
    </xf>
    <xf numFmtId="210" fontId="142" fillId="32" borderId="452" xfId="0" applyNumberFormat="1" applyFont="1" applyFill="1" applyBorder="1">
      <alignment vertical="center"/>
    </xf>
    <xf numFmtId="208" fontId="46" fillId="0" borderId="376" xfId="2" applyNumberFormat="1" applyFont="1" applyFill="1" applyBorder="1" applyAlignment="1">
      <alignment horizontal="right" vertical="center"/>
    </xf>
    <xf numFmtId="208" fontId="46" fillId="0" borderId="460" xfId="2" applyNumberFormat="1" applyFont="1" applyFill="1" applyBorder="1" applyAlignment="1">
      <alignment horizontal="right" vertical="center"/>
    </xf>
    <xf numFmtId="208" fontId="46" fillId="3" borderId="376" xfId="2" applyNumberFormat="1" applyFont="1" applyFill="1" applyBorder="1" applyAlignment="1">
      <alignment horizontal="right" vertical="center"/>
    </xf>
    <xf numFmtId="209" fontId="46" fillId="3" borderId="0" xfId="2" applyNumberFormat="1" applyFont="1" applyFill="1" applyAlignment="1">
      <alignment horizontal="right" vertical="center"/>
    </xf>
    <xf numFmtId="208" fontId="46" fillId="3" borderId="0" xfId="2" applyNumberFormat="1" applyFont="1" applyFill="1" applyAlignment="1">
      <alignment horizontal="right" vertical="center"/>
    </xf>
    <xf numFmtId="242" fontId="46" fillId="3" borderId="0" xfId="2" applyNumberFormat="1" applyFont="1" applyFill="1" applyBorder="1" applyAlignment="1">
      <alignment horizontal="right" vertical="center"/>
    </xf>
    <xf numFmtId="208" fontId="46" fillId="2" borderId="0" xfId="2" applyNumberFormat="1" applyFont="1" applyFill="1" applyBorder="1" applyAlignment="1">
      <alignment horizontal="right" vertical="center"/>
    </xf>
    <xf numFmtId="208" fontId="46" fillId="2" borderId="376" xfId="2" applyNumberFormat="1" applyFont="1" applyFill="1" applyBorder="1" applyAlignment="1">
      <alignment horizontal="right" vertical="center"/>
    </xf>
    <xf numFmtId="209" fontId="46" fillId="2" borderId="0" xfId="2" applyNumberFormat="1" applyFont="1" applyFill="1" applyAlignment="1">
      <alignment horizontal="right" vertical="center"/>
    </xf>
    <xf numFmtId="242" fontId="46" fillId="2" borderId="0" xfId="2" applyNumberFormat="1" applyFont="1" applyFill="1" applyBorder="1" applyAlignment="1">
      <alignment horizontal="right" vertical="center"/>
    </xf>
    <xf numFmtId="208" fontId="46" fillId="7" borderId="0" xfId="2" applyNumberFormat="1" applyFont="1" applyFill="1" applyBorder="1" applyAlignment="1">
      <alignment horizontal="right" vertical="center"/>
    </xf>
    <xf numFmtId="208" fontId="46" fillId="7" borderId="376" xfId="2" applyNumberFormat="1" applyFont="1" applyFill="1" applyBorder="1" applyAlignment="1">
      <alignment horizontal="right" vertical="center"/>
    </xf>
    <xf numFmtId="209" fontId="46" fillId="0" borderId="34" xfId="2" applyNumberFormat="1" applyFont="1" applyBorder="1" applyAlignment="1">
      <alignment horizontal="right" vertical="center"/>
    </xf>
    <xf numFmtId="209" fontId="46" fillId="0" borderId="34" xfId="2" applyNumberFormat="1" applyFont="1" applyFill="1" applyBorder="1" applyAlignment="1">
      <alignment horizontal="right" vertical="center"/>
    </xf>
    <xf numFmtId="208" fontId="46" fillId="0" borderId="770" xfId="2" applyNumberFormat="1" applyFont="1" applyBorder="1" applyAlignment="1">
      <alignment horizontal="right" vertical="center"/>
    </xf>
    <xf numFmtId="209" fontId="46" fillId="7" borderId="17" xfId="2" applyNumberFormat="1" applyFont="1" applyFill="1" applyBorder="1" applyAlignment="1">
      <alignment horizontal="right" vertical="center"/>
    </xf>
    <xf numFmtId="209" fontId="46" fillId="7" borderId="446" xfId="2" applyNumberFormat="1" applyFont="1" applyFill="1" applyBorder="1" applyAlignment="1">
      <alignment horizontal="right" vertical="center"/>
    </xf>
    <xf numFmtId="209" fontId="46" fillId="0" borderId="449" xfId="2" applyNumberFormat="1" applyFont="1" applyBorder="1" applyAlignment="1">
      <alignment horizontal="right" vertical="center"/>
    </xf>
    <xf numFmtId="209" fontId="46" fillId="0" borderId="376" xfId="2" applyNumberFormat="1" applyFont="1" applyBorder="1" applyAlignment="1">
      <alignment horizontal="right" vertical="center"/>
    </xf>
    <xf numFmtId="209" fontId="46" fillId="0" borderId="376" xfId="2" applyNumberFormat="1" applyFont="1" applyFill="1" applyBorder="1" applyAlignment="1">
      <alignment horizontal="right" vertical="center"/>
    </xf>
    <xf numFmtId="209" fontId="46" fillId="0" borderId="19" xfId="2" applyNumberFormat="1" applyFont="1" applyFill="1" applyBorder="1" applyAlignment="1">
      <alignment horizontal="right" vertical="center"/>
    </xf>
    <xf numFmtId="209" fontId="46" fillId="0" borderId="460" xfId="2" applyNumberFormat="1" applyFont="1" applyFill="1" applyBorder="1" applyAlignment="1">
      <alignment horizontal="right" vertical="center"/>
    </xf>
    <xf numFmtId="209" fontId="36" fillId="0" borderId="376" xfId="2" applyNumberFormat="1" applyFont="1" applyBorder="1" applyAlignment="1">
      <alignment horizontal="right" vertical="center"/>
    </xf>
    <xf numFmtId="209" fontId="36" fillId="0" borderId="485" xfId="2" applyNumberFormat="1" applyFont="1" applyBorder="1" applyAlignment="1">
      <alignment horizontal="right" vertical="center"/>
    </xf>
    <xf numFmtId="209" fontId="36" fillId="3" borderId="376" xfId="2" applyNumberFormat="1" applyFont="1" applyFill="1" applyBorder="1" applyAlignment="1">
      <alignment horizontal="right" vertical="center"/>
    </xf>
    <xf numFmtId="209" fontId="36" fillId="2" borderId="486" xfId="2" applyNumberFormat="1" applyFont="1" applyFill="1" applyBorder="1" applyAlignment="1">
      <alignment horizontal="right" vertical="center"/>
    </xf>
    <xf numFmtId="209" fontId="108" fillId="33" borderId="376" xfId="2" applyNumberFormat="1" applyFont="1" applyFill="1" applyBorder="1" applyAlignment="1">
      <alignment horizontal="right" vertical="center"/>
    </xf>
    <xf numFmtId="209" fontId="108" fillId="33" borderId="0" xfId="2" applyNumberFormat="1" applyFont="1" applyFill="1" applyBorder="1" applyAlignment="1">
      <alignment horizontal="right" vertical="center"/>
    </xf>
    <xf numFmtId="209" fontId="108" fillId="34" borderId="376" xfId="2" applyNumberFormat="1" applyFont="1" applyFill="1" applyBorder="1" applyAlignment="1">
      <alignment horizontal="right" vertical="center"/>
    </xf>
    <xf numFmtId="209" fontId="108" fillId="34" borderId="0" xfId="2" applyNumberFormat="1" applyFont="1" applyFill="1" applyBorder="1" applyAlignment="1">
      <alignment horizontal="right" vertical="center"/>
    </xf>
    <xf numFmtId="209" fontId="108" fillId="35" borderId="376" xfId="2" applyNumberFormat="1" applyFont="1" applyFill="1" applyBorder="1" applyAlignment="1">
      <alignment horizontal="right" vertical="center"/>
    </xf>
    <xf numFmtId="209" fontId="108" fillId="0" borderId="0" xfId="2" applyNumberFormat="1" applyFont="1" applyFill="1" applyBorder="1" applyAlignment="1">
      <alignment horizontal="right" vertical="center"/>
    </xf>
    <xf numFmtId="209" fontId="108" fillId="0" borderId="376" xfId="2" applyNumberFormat="1" applyFont="1" applyFill="1" applyBorder="1" applyAlignment="1">
      <alignment horizontal="right" vertical="center"/>
    </xf>
    <xf numFmtId="209" fontId="108" fillId="0" borderId="467" xfId="2" applyNumberFormat="1" applyFont="1" applyFill="1" applyBorder="1" applyAlignment="1">
      <alignment horizontal="right" vertical="center"/>
    </xf>
    <xf numFmtId="209" fontId="108" fillId="0" borderId="957" xfId="2" applyNumberFormat="1" applyFont="1" applyFill="1" applyBorder="1" applyAlignment="1">
      <alignment horizontal="right" vertical="center"/>
    </xf>
    <xf numFmtId="209" fontId="36" fillId="2" borderId="425" xfId="2" applyNumberFormat="1" applyFont="1" applyFill="1" applyBorder="1" applyAlignment="1">
      <alignment horizontal="right" vertical="center"/>
    </xf>
    <xf numFmtId="209" fontId="36" fillId="2" borderId="376" xfId="2" applyNumberFormat="1" applyFont="1" applyFill="1" applyBorder="1" applyAlignment="1">
      <alignment horizontal="right" vertical="center"/>
    </xf>
    <xf numFmtId="209" fontId="36" fillId="2" borderId="958" xfId="2" applyNumberFormat="1" applyFont="1" applyFill="1" applyBorder="1" applyAlignment="1">
      <alignment horizontal="right" vertical="center"/>
    </xf>
    <xf numFmtId="209" fontId="36" fillId="7" borderId="376" xfId="2" applyNumberFormat="1" applyFont="1" applyFill="1" applyBorder="1" applyAlignment="1">
      <alignment horizontal="right" vertical="center"/>
    </xf>
    <xf numFmtId="209" fontId="36" fillId="5" borderId="34" xfId="2" applyNumberFormat="1" applyFont="1" applyFill="1" applyBorder="1" applyAlignment="1">
      <alignment horizontal="right" vertical="center"/>
    </xf>
    <xf numFmtId="209" fontId="36" fillId="0" borderId="959" xfId="2" applyNumberFormat="1" applyFont="1" applyBorder="1" applyAlignment="1">
      <alignment horizontal="right" vertical="center"/>
    </xf>
    <xf numFmtId="209" fontId="46" fillId="3" borderId="376" xfId="2" applyNumberFormat="1" applyFont="1" applyFill="1" applyBorder="1" applyAlignment="1">
      <alignment horizontal="right" vertical="center"/>
    </xf>
    <xf numFmtId="209" fontId="46" fillId="2" borderId="376" xfId="2" applyNumberFormat="1" applyFont="1" applyFill="1" applyBorder="1" applyAlignment="1">
      <alignment horizontal="right" vertical="center"/>
    </xf>
    <xf numFmtId="209" fontId="46" fillId="7" borderId="0" xfId="2" applyNumberFormat="1" applyFont="1" applyFill="1" applyBorder="1" applyAlignment="1">
      <alignment horizontal="right" vertical="center"/>
    </xf>
    <xf numFmtId="209" fontId="46" fillId="7" borderId="376" xfId="2" applyNumberFormat="1" applyFont="1" applyFill="1" applyBorder="1" applyAlignment="1">
      <alignment horizontal="right" vertical="center"/>
    </xf>
    <xf numFmtId="209" fontId="46" fillId="0" borderId="470" xfId="2" applyNumberFormat="1" applyFont="1" applyBorder="1" applyAlignment="1">
      <alignment horizontal="right" vertical="center"/>
    </xf>
    <xf numFmtId="209" fontId="46" fillId="0" borderId="770" xfId="2" applyNumberFormat="1" applyFont="1" applyBorder="1" applyAlignment="1">
      <alignment horizontal="right" vertical="center"/>
    </xf>
    <xf numFmtId="209" fontId="36" fillId="5" borderId="0" xfId="2" applyNumberFormat="1" applyFont="1" applyFill="1" applyBorder="1" applyAlignment="1">
      <alignment horizontal="center" vertical="center"/>
    </xf>
    <xf numFmtId="209" fontId="36" fillId="7" borderId="0" xfId="2" applyNumberFormat="1" applyFont="1" applyFill="1" applyBorder="1" applyAlignment="1">
      <alignment horizontal="center" vertical="center"/>
    </xf>
    <xf numFmtId="209" fontId="36" fillId="2" borderId="437" xfId="2" applyNumberFormat="1" applyFont="1" applyFill="1" applyBorder="1" applyAlignment="1">
      <alignment horizontal="center" vertical="center"/>
    </xf>
    <xf numFmtId="209" fontId="142" fillId="32" borderId="451" xfId="0" applyNumberFormat="1" applyFont="1" applyFill="1" applyBorder="1" applyAlignment="1">
      <alignment horizontal="right" vertical="center"/>
    </xf>
    <xf numFmtId="209" fontId="142" fillId="32" borderId="452" xfId="0" applyNumberFormat="1" applyFont="1" applyFill="1" applyBorder="1" applyAlignment="1">
      <alignment horizontal="right" vertical="center"/>
    </xf>
    <xf numFmtId="209" fontId="46" fillId="2" borderId="437" xfId="2" applyNumberFormat="1" applyFont="1" applyFill="1" applyBorder="1" applyAlignment="1">
      <alignment horizontal="right" vertical="center"/>
    </xf>
    <xf numFmtId="208" fontId="46" fillId="8" borderId="35" xfId="2" applyNumberFormat="1" applyFont="1" applyFill="1" applyBorder="1" applyAlignment="1">
      <alignment horizontal="right" vertical="center"/>
    </xf>
    <xf numFmtId="208" fontId="46" fillId="5" borderId="66" xfId="2" applyNumberFormat="1" applyFont="1" applyFill="1" applyBorder="1" applyAlignment="1">
      <alignment horizontal="right" vertical="center"/>
    </xf>
    <xf numFmtId="208" fontId="46" fillId="2" borderId="479" xfId="2" applyNumberFormat="1" applyFont="1" applyFill="1" applyBorder="1" applyAlignment="1">
      <alignment horizontal="right" vertical="center"/>
    </xf>
    <xf numFmtId="210" fontId="46" fillId="2" borderId="437" xfId="0" applyNumberFormat="1" applyFont="1" applyFill="1" applyBorder="1">
      <alignment vertical="center"/>
    </xf>
    <xf numFmtId="208" fontId="46" fillId="2" borderId="431" xfId="2" applyNumberFormat="1" applyFont="1" applyFill="1" applyBorder="1" applyAlignment="1">
      <alignment horizontal="right" vertical="center"/>
    </xf>
    <xf numFmtId="0" fontId="46" fillId="0" borderId="376" xfId="0" applyFont="1" applyBorder="1">
      <alignment vertical="center"/>
    </xf>
    <xf numFmtId="208" fontId="46" fillId="3" borderId="1315" xfId="2" applyNumberFormat="1" applyFont="1" applyFill="1" applyBorder="1" applyAlignment="1">
      <alignment horizontal="right" vertical="center"/>
    </xf>
    <xf numFmtId="208" fontId="46" fillId="3" borderId="1316" xfId="2" applyNumberFormat="1" applyFont="1" applyFill="1" applyBorder="1" applyAlignment="1">
      <alignment horizontal="right" vertical="center"/>
    </xf>
    <xf numFmtId="208" fontId="46" fillId="2" borderId="1316" xfId="2" applyNumberFormat="1" applyFont="1" applyFill="1" applyBorder="1" applyAlignment="1">
      <alignment horizontal="right" vertical="center"/>
    </xf>
    <xf numFmtId="208" fontId="46" fillId="7" borderId="1316" xfId="2" applyNumberFormat="1" applyFont="1" applyFill="1" applyBorder="1" applyAlignment="1">
      <alignment horizontal="right" vertical="center"/>
    </xf>
    <xf numFmtId="208" fontId="46" fillId="0" borderId="1317" xfId="2" applyNumberFormat="1" applyFont="1" applyBorder="1" applyAlignment="1">
      <alignment horizontal="right" vertical="center"/>
    </xf>
    <xf numFmtId="210" fontId="142" fillId="32" borderId="1315" xfId="0" applyNumberFormat="1" applyFont="1" applyFill="1" applyBorder="1">
      <alignment vertical="center"/>
    </xf>
    <xf numFmtId="210" fontId="142" fillId="32" borderId="1316" xfId="0" applyNumberFormat="1" applyFont="1" applyFill="1" applyBorder="1">
      <alignment vertical="center"/>
    </xf>
    <xf numFmtId="195" fontId="46" fillId="8" borderId="35" xfId="2" applyNumberFormat="1" applyFont="1" applyFill="1" applyBorder="1" applyAlignment="1">
      <alignment horizontal="right" vertical="center"/>
    </xf>
    <xf numFmtId="210" fontId="46" fillId="2" borderId="0" xfId="0" applyNumberFormat="1" applyFont="1" applyFill="1" applyBorder="1">
      <alignment vertical="center"/>
    </xf>
    <xf numFmtId="204" fontId="46" fillId="0" borderId="0" xfId="2" applyNumberFormat="1" applyFont="1" applyBorder="1" applyAlignment="1">
      <alignment horizontal="right" vertical="center"/>
    </xf>
    <xf numFmtId="209" fontId="46" fillId="0" borderId="32" xfId="2" applyNumberFormat="1" applyFont="1" applyBorder="1" applyAlignment="1">
      <alignment horizontal="right" vertical="center"/>
    </xf>
    <xf numFmtId="209" fontId="46" fillId="5" borderId="0" xfId="2" applyNumberFormat="1" applyFont="1" applyFill="1" applyBorder="1" applyAlignment="1">
      <alignment horizontal="right" vertical="center"/>
    </xf>
    <xf numFmtId="209" fontId="46" fillId="2" borderId="23" xfId="2" applyNumberFormat="1" applyFont="1" applyFill="1" applyBorder="1" applyAlignment="1">
      <alignment horizontal="right" vertical="center"/>
    </xf>
    <xf numFmtId="209" fontId="46" fillId="2" borderId="25" xfId="2" applyNumberFormat="1" applyFont="1" applyFill="1" applyBorder="1" applyAlignment="1">
      <alignment horizontal="right" vertical="center"/>
    </xf>
    <xf numFmtId="208" fontId="46" fillId="5" borderId="0" xfId="2" applyNumberFormat="1" applyFont="1" applyFill="1" applyBorder="1" applyAlignment="1">
      <alignment horizontal="right" vertical="center"/>
    </xf>
    <xf numFmtId="208" fontId="46" fillId="2" borderId="15" xfId="2" applyNumberFormat="1" applyFont="1" applyFill="1" applyBorder="1" applyAlignment="1">
      <alignment horizontal="right" vertical="center"/>
    </xf>
    <xf numFmtId="209" fontId="46" fillId="2" borderId="15" xfId="2" applyNumberFormat="1" applyFont="1" applyFill="1" applyBorder="1" applyAlignment="1">
      <alignment horizontal="right" vertical="center"/>
    </xf>
    <xf numFmtId="208" fontId="46" fillId="5" borderId="34" xfId="2" applyNumberFormat="1" applyFont="1" applyFill="1" applyBorder="1" applyAlignment="1">
      <alignment horizontal="right" vertical="center"/>
    </xf>
    <xf numFmtId="209" fontId="36" fillId="6" borderId="596" xfId="0" applyNumberFormat="1" applyFont="1" applyFill="1" applyBorder="1" applyAlignment="1">
      <alignment horizontal="center" vertical="center"/>
    </xf>
    <xf numFmtId="209" fontId="36" fillId="0" borderId="437" xfId="0" applyNumberFormat="1" applyFont="1" applyBorder="1" applyAlignment="1">
      <alignment horizontal="center" vertical="center"/>
    </xf>
    <xf numFmtId="209" fontId="47" fillId="0" borderId="433" xfId="0" applyNumberFormat="1" applyFont="1" applyBorder="1" applyAlignment="1">
      <alignment horizontal="center" vertical="center"/>
    </xf>
    <xf numFmtId="209" fontId="36" fillId="8" borderId="609" xfId="0" applyNumberFormat="1" applyFont="1" applyFill="1" applyBorder="1" applyAlignment="1">
      <alignment horizontal="center" vertical="center"/>
    </xf>
    <xf numFmtId="209" fontId="36" fillId="5" borderId="437" xfId="0" applyNumberFormat="1" applyFont="1" applyFill="1" applyBorder="1" applyAlignment="1">
      <alignment horizontal="center" vertical="center"/>
    </xf>
    <xf numFmtId="209" fontId="36" fillId="20" borderId="437" xfId="0" applyNumberFormat="1" applyFont="1" applyFill="1" applyBorder="1" applyAlignment="1">
      <alignment horizontal="center" vertical="center"/>
    </xf>
    <xf numFmtId="209" fontId="36" fillId="5" borderId="773" xfId="0" applyNumberFormat="1" applyFont="1" applyFill="1" applyBorder="1" applyAlignment="1">
      <alignment horizontal="center" vertical="center"/>
    </xf>
    <xf numFmtId="209" fontId="36" fillId="5" borderId="774" xfId="0" applyNumberFormat="1" applyFont="1" applyFill="1" applyBorder="1" applyAlignment="1">
      <alignment horizontal="center" vertical="center"/>
    </xf>
    <xf numFmtId="209" fontId="51" fillId="5" borderId="437" xfId="0" applyNumberFormat="1" applyFont="1" applyFill="1" applyBorder="1" applyAlignment="1">
      <alignment horizontal="center" vertical="center"/>
    </xf>
    <xf numFmtId="209" fontId="36" fillId="8" borderId="437" xfId="0" applyNumberFormat="1" applyFont="1" applyFill="1" applyBorder="1" applyAlignment="1">
      <alignment horizontal="center" vertical="center"/>
    </xf>
    <xf numFmtId="209" fontId="36" fillId="8" borderId="775" xfId="0" applyNumberFormat="1" applyFont="1" applyFill="1" applyBorder="1" applyAlignment="1">
      <alignment horizontal="center" vertical="center"/>
    </xf>
    <xf numFmtId="209" fontId="36" fillId="14" borderId="776" xfId="0" applyNumberFormat="1" applyFont="1" applyFill="1" applyBorder="1" applyAlignment="1">
      <alignment horizontal="center" vertical="center"/>
    </xf>
    <xf numFmtId="209" fontId="51" fillId="5" borderId="1108" xfId="0" applyNumberFormat="1" applyFont="1" applyFill="1" applyBorder="1" applyAlignment="1">
      <alignment horizontal="center" vertical="center"/>
    </xf>
    <xf numFmtId="209" fontId="59" fillId="5" borderId="777" xfId="0" applyNumberFormat="1" applyFont="1" applyFill="1" applyBorder="1" applyAlignment="1">
      <alignment horizontal="center" vertical="center"/>
    </xf>
    <xf numFmtId="209" fontId="36" fillId="5" borderId="777" xfId="0" applyNumberFormat="1" applyFont="1" applyFill="1" applyBorder="1" applyAlignment="1">
      <alignment horizontal="center" vertical="center"/>
    </xf>
    <xf numFmtId="209" fontId="36" fillId="5" borderId="778" xfId="0" applyNumberFormat="1" applyFont="1" applyFill="1" applyBorder="1" applyAlignment="1">
      <alignment horizontal="center" vertical="center"/>
    </xf>
    <xf numFmtId="209" fontId="36" fillId="5" borderId="779" xfId="0" applyNumberFormat="1" applyFont="1" applyFill="1" applyBorder="1" applyAlignment="1">
      <alignment horizontal="center" vertical="center"/>
    </xf>
    <xf numFmtId="209" fontId="36" fillId="7" borderId="780" xfId="0" applyNumberFormat="1" applyFont="1" applyFill="1" applyBorder="1" applyAlignment="1">
      <alignment horizontal="center" vertical="center"/>
    </xf>
    <xf numFmtId="209" fontId="36" fillId="0" borderId="437" xfId="0" applyNumberFormat="1" applyFont="1" applyFill="1" applyBorder="1" applyAlignment="1">
      <alignment horizontal="center" vertical="center"/>
    </xf>
    <xf numFmtId="209" fontId="36" fillId="0" borderId="781" xfId="0" applyNumberFormat="1" applyFont="1" applyBorder="1" applyAlignment="1">
      <alignment horizontal="center" vertical="center"/>
    </xf>
    <xf numFmtId="209" fontId="36" fillId="3" borderId="1126" xfId="0" applyNumberFormat="1" applyFont="1" applyFill="1" applyBorder="1" applyAlignment="1">
      <alignment horizontal="center" vertical="center"/>
    </xf>
    <xf numFmtId="209" fontId="36" fillId="3" borderId="437" xfId="0" applyNumberFormat="1" applyFont="1" applyFill="1" applyBorder="1" applyAlignment="1">
      <alignment horizontal="center" vertical="center"/>
    </xf>
    <xf numFmtId="209" fontId="36" fillId="2" borderId="437" xfId="0" applyNumberFormat="1" applyFont="1" applyFill="1" applyBorder="1" applyAlignment="1">
      <alignment horizontal="center" vertical="center"/>
    </xf>
    <xf numFmtId="209" fontId="36" fillId="7" borderId="437" xfId="0" applyNumberFormat="1" applyFont="1" applyFill="1" applyBorder="1" applyAlignment="1">
      <alignment horizontal="center" vertical="center"/>
    </xf>
    <xf numFmtId="209" fontId="36" fillId="0" borderId="1114" xfId="0" applyNumberFormat="1" applyFont="1" applyBorder="1" applyAlignment="1">
      <alignment horizontal="center" vertical="center"/>
    </xf>
    <xf numFmtId="0" fontId="36" fillId="3" borderId="1318" xfId="0" applyFont="1" applyFill="1" applyBorder="1">
      <alignment vertical="center"/>
    </xf>
    <xf numFmtId="186" fontId="46" fillId="0" borderId="0" xfId="0" applyNumberFormat="1" applyFont="1" applyAlignment="1">
      <alignment horizontal="right" vertical="center"/>
    </xf>
    <xf numFmtId="189" fontId="46" fillId="0" borderId="66" xfId="0" applyNumberFormat="1" applyFont="1" applyBorder="1" applyAlignment="1">
      <alignment horizontal="right" vertical="center"/>
    </xf>
    <xf numFmtId="189" fontId="46" fillId="0" borderId="211" xfId="0" applyNumberFormat="1" applyFont="1" applyBorder="1" applyAlignment="1">
      <alignment horizontal="right" vertical="center"/>
    </xf>
    <xf numFmtId="189" fontId="142" fillId="0" borderId="0" xfId="0" applyNumberFormat="1" applyFont="1" applyBorder="1" applyAlignment="1">
      <alignment horizontal="right" vertical="center"/>
    </xf>
    <xf numFmtId="189" fontId="142" fillId="0" borderId="210" xfId="0" applyNumberFormat="1" applyFont="1" applyBorder="1" applyAlignment="1">
      <alignment horizontal="right" vertical="center"/>
    </xf>
    <xf numFmtId="208" fontId="46" fillId="0" borderId="564" xfId="0" applyNumberFormat="1" applyFont="1" applyBorder="1" applyAlignment="1">
      <alignment horizontal="right" vertical="center"/>
    </xf>
    <xf numFmtId="189" fontId="46" fillId="2" borderId="479" xfId="0" applyNumberFormat="1" applyFont="1" applyFill="1" applyBorder="1" applyAlignment="1">
      <alignment horizontal="right" vertical="center"/>
    </xf>
    <xf numFmtId="189" fontId="46" fillId="29" borderId="0" xfId="0" applyNumberFormat="1" applyFont="1" applyFill="1" applyBorder="1" applyAlignment="1">
      <alignment horizontal="right" vertical="center"/>
    </xf>
    <xf numFmtId="189" fontId="46" fillId="2" borderId="0" xfId="0" applyNumberFormat="1" applyFont="1" applyFill="1" applyBorder="1" applyAlignment="1">
      <alignment horizontal="right" vertical="center"/>
    </xf>
    <xf numFmtId="189" fontId="46" fillId="2" borderId="417" xfId="0" applyNumberFormat="1" applyFont="1" applyFill="1" applyBorder="1" applyAlignment="1">
      <alignment horizontal="right" vertical="center"/>
    </xf>
    <xf numFmtId="189" fontId="46" fillId="2" borderId="431" xfId="0" applyNumberFormat="1" applyFont="1" applyFill="1" applyBorder="1" applyAlignment="1">
      <alignment horizontal="right" vertical="center"/>
    </xf>
    <xf numFmtId="189" fontId="46" fillId="2" borderId="438" xfId="0" applyNumberFormat="1" applyFont="1" applyFill="1" applyBorder="1" applyAlignment="1">
      <alignment horizontal="right" vertical="center"/>
    </xf>
    <xf numFmtId="189" fontId="46" fillId="0" borderId="210" xfId="0" applyNumberFormat="1" applyFont="1" applyBorder="1" applyAlignment="1">
      <alignment horizontal="right" vertical="center"/>
    </xf>
    <xf numFmtId="189" fontId="46" fillId="3" borderId="210" xfId="0" applyNumberFormat="1" applyFont="1" applyFill="1" applyBorder="1" applyAlignment="1">
      <alignment horizontal="right" vertical="center"/>
    </xf>
    <xf numFmtId="189" fontId="46" fillId="3" borderId="215" xfId="0" applyNumberFormat="1" applyFont="1" applyFill="1" applyBorder="1" applyAlignment="1">
      <alignment horizontal="right" vertical="center"/>
    </xf>
    <xf numFmtId="189" fontId="46" fillId="0" borderId="0" xfId="0" applyNumberFormat="1" applyFont="1" applyAlignment="1">
      <alignment horizontal="right" vertical="center"/>
    </xf>
    <xf numFmtId="189" fontId="46" fillId="4" borderId="239" xfId="0" applyNumberFormat="1" applyFont="1" applyFill="1" applyBorder="1" applyAlignment="1">
      <alignment horizontal="right" vertical="center"/>
    </xf>
    <xf numFmtId="189" fontId="46" fillId="0" borderId="239" xfId="0" applyNumberFormat="1" applyFont="1" applyBorder="1" applyAlignment="1">
      <alignment horizontal="right" vertical="center"/>
    </xf>
    <xf numFmtId="189" fontId="46" fillId="0" borderId="521" xfId="0" applyNumberFormat="1" applyFont="1" applyBorder="1" applyAlignment="1">
      <alignment horizontal="right" vertical="center"/>
    </xf>
    <xf numFmtId="189" fontId="46" fillId="0" borderId="528" xfId="0" applyNumberFormat="1" applyFont="1" applyBorder="1" applyAlignment="1">
      <alignment horizontal="right" vertical="center"/>
    </xf>
    <xf numFmtId="189" fontId="46" fillId="0" borderId="241" xfId="0" applyNumberFormat="1" applyFont="1" applyBorder="1" applyAlignment="1">
      <alignment horizontal="right" vertical="center"/>
    </xf>
    <xf numFmtId="0" fontId="46" fillId="0" borderId="0" xfId="0" applyFont="1">
      <alignment vertical="center"/>
    </xf>
    <xf numFmtId="189" fontId="46" fillId="7" borderId="257" xfId="0" applyNumberFormat="1" applyFont="1" applyFill="1" applyBorder="1" applyAlignment="1">
      <alignment horizontal="right" vertical="center"/>
    </xf>
    <xf numFmtId="189" fontId="46" fillId="0" borderId="237" xfId="0" applyNumberFormat="1" applyFont="1" applyBorder="1" applyAlignment="1">
      <alignment horizontal="right" vertical="center"/>
    </xf>
    <xf numFmtId="189" fontId="46" fillId="0" borderId="2" xfId="0" applyNumberFormat="1" applyFont="1" applyBorder="1" applyAlignment="1">
      <alignment horizontal="right" vertical="center"/>
    </xf>
    <xf numFmtId="189" fontId="46" fillId="3" borderId="248" xfId="0" applyNumberFormat="1" applyFont="1" applyFill="1" applyBorder="1" applyAlignment="1">
      <alignment horizontal="right" vertical="center"/>
    </xf>
    <xf numFmtId="189" fontId="46" fillId="0" borderId="248" xfId="0" applyNumberFormat="1" applyFont="1" applyBorder="1" applyAlignment="1">
      <alignment horizontal="right" vertical="center"/>
    </xf>
    <xf numFmtId="189" fontId="46" fillId="2" borderId="258" xfId="0" applyNumberFormat="1" applyFont="1" applyFill="1" applyBorder="1" applyAlignment="1">
      <alignment horizontal="right" vertical="center"/>
    </xf>
    <xf numFmtId="189" fontId="46" fillId="2" borderId="248" xfId="0" applyNumberFormat="1" applyFont="1" applyFill="1" applyBorder="1" applyAlignment="1">
      <alignment horizontal="right" vertical="center"/>
    </xf>
    <xf numFmtId="189" fontId="46" fillId="7" borderId="248" xfId="0" applyNumberFormat="1" applyFont="1" applyFill="1" applyBorder="1" applyAlignment="1">
      <alignment horizontal="right" vertical="center"/>
    </xf>
    <xf numFmtId="189" fontId="46" fillId="2" borderId="260" xfId="0" applyNumberFormat="1" applyFont="1" applyFill="1" applyBorder="1" applyAlignment="1">
      <alignment horizontal="right" vertical="center"/>
    </xf>
    <xf numFmtId="189" fontId="46" fillId="2" borderId="261" xfId="0" applyNumberFormat="1" applyFont="1" applyFill="1" applyBorder="1" applyAlignment="1">
      <alignment horizontal="right" vertical="center"/>
    </xf>
    <xf numFmtId="189" fontId="46" fillId="0" borderId="250" xfId="0" applyNumberFormat="1" applyFont="1" applyBorder="1" applyAlignment="1">
      <alignment horizontal="right" vertical="center"/>
    </xf>
    <xf numFmtId="189" fontId="46" fillId="3" borderId="2" xfId="2" applyNumberFormat="1" applyFont="1" applyFill="1" applyBorder="1" applyAlignment="1">
      <alignment horizontal="right" vertical="center"/>
    </xf>
    <xf numFmtId="189" fontId="46" fillId="7" borderId="2" xfId="0" applyNumberFormat="1" applyFont="1" applyFill="1" applyBorder="1" applyAlignment="1">
      <alignment horizontal="right" vertical="center"/>
    </xf>
    <xf numFmtId="209" fontId="36" fillId="0" borderId="598" xfId="0" applyNumberFormat="1" applyFont="1" applyBorder="1" applyAlignment="1">
      <alignment horizontal="center" vertical="center"/>
    </xf>
    <xf numFmtId="209" fontId="47" fillId="0" borderId="1208" xfId="0" applyNumberFormat="1" applyFont="1" applyBorder="1" applyAlignment="1">
      <alignment horizontal="center" vertical="center"/>
    </xf>
    <xf numFmtId="209" fontId="36" fillId="8" borderId="1209" xfId="0" applyNumberFormat="1" applyFont="1" applyFill="1" applyBorder="1" applyAlignment="1">
      <alignment horizontal="center" vertical="center"/>
    </xf>
    <xf numFmtId="209" fontId="36" fillId="5" borderId="598" xfId="0" applyNumberFormat="1" applyFont="1" applyFill="1" applyBorder="1" applyAlignment="1">
      <alignment horizontal="center" vertical="center"/>
    </xf>
    <xf numFmtId="209" fontId="36" fillId="20" borderId="598" xfId="0" applyNumberFormat="1" applyFont="1" applyFill="1" applyBorder="1" applyAlignment="1">
      <alignment horizontal="center" vertical="center"/>
    </xf>
    <xf numFmtId="209" fontId="36" fillId="5" borderId="1210" xfId="0" applyNumberFormat="1" applyFont="1" applyFill="1" applyBorder="1" applyAlignment="1">
      <alignment horizontal="center" vertical="center"/>
    </xf>
    <xf numFmtId="209" fontId="36" fillId="5" borderId="1211" xfId="0" applyNumberFormat="1" applyFont="1" applyFill="1" applyBorder="1" applyAlignment="1">
      <alignment horizontal="center" vertical="center"/>
    </xf>
    <xf numFmtId="209" fontId="51" fillId="5" borderId="598" xfId="0" applyNumberFormat="1" applyFont="1" applyFill="1" applyBorder="1" applyAlignment="1">
      <alignment horizontal="center" vertical="center"/>
    </xf>
    <xf numFmtId="209" fontId="36" fillId="8" borderId="598" xfId="0" applyNumberFormat="1" applyFont="1" applyFill="1" applyBorder="1" applyAlignment="1">
      <alignment horizontal="center" vertical="center"/>
    </xf>
    <xf numFmtId="209" fontId="36" fillId="8" borderId="1212" xfId="0" applyNumberFormat="1" applyFont="1" applyFill="1" applyBorder="1" applyAlignment="1">
      <alignment horizontal="center" vertical="center"/>
    </xf>
    <xf numFmtId="209" fontId="36" fillId="14" borderId="1213" xfId="0" applyNumberFormat="1" applyFont="1" applyFill="1" applyBorder="1" applyAlignment="1">
      <alignment horizontal="center" vertical="center"/>
    </xf>
    <xf numFmtId="209" fontId="51" fillId="5" borderId="1214" xfId="0" applyNumberFormat="1" applyFont="1" applyFill="1" applyBorder="1" applyAlignment="1">
      <alignment horizontal="center" vertical="center"/>
    </xf>
    <xf numFmtId="209" fontId="59" fillId="5" borderId="1215" xfId="0" applyNumberFormat="1" applyFont="1" applyFill="1" applyBorder="1" applyAlignment="1">
      <alignment horizontal="center" vertical="center"/>
    </xf>
    <xf numFmtId="209" fontId="36" fillId="5" borderId="1215" xfId="0" applyNumberFormat="1" applyFont="1" applyFill="1" applyBorder="1" applyAlignment="1">
      <alignment horizontal="center" vertical="center"/>
    </xf>
    <xf numFmtId="209" fontId="36" fillId="5" borderId="1216" xfId="0" applyNumberFormat="1" applyFont="1" applyFill="1" applyBorder="1" applyAlignment="1">
      <alignment horizontal="center" vertical="center"/>
    </xf>
    <xf numFmtId="209" fontId="36" fillId="5" borderId="1217" xfId="0" applyNumberFormat="1" applyFont="1" applyFill="1" applyBorder="1" applyAlignment="1">
      <alignment horizontal="center" vertical="center"/>
    </xf>
    <xf numFmtId="209" fontId="36" fillId="7" borderId="1218" xfId="0" applyNumberFormat="1" applyFont="1" applyFill="1" applyBorder="1" applyAlignment="1">
      <alignment horizontal="center" vertical="center"/>
    </xf>
    <xf numFmtId="209" fontId="36" fillId="0" borderId="598" xfId="0" applyNumberFormat="1" applyFont="1" applyFill="1" applyBorder="1" applyAlignment="1">
      <alignment horizontal="center" vertical="center"/>
    </xf>
    <xf numFmtId="209" fontId="36" fillId="0" borderId="1219" xfId="0" applyNumberFormat="1" applyFont="1" applyBorder="1" applyAlignment="1">
      <alignment horizontal="center" vertical="center"/>
    </xf>
    <xf numFmtId="209" fontId="36" fillId="3" borderId="1220" xfId="0" applyNumberFormat="1" applyFont="1" applyFill="1" applyBorder="1" applyAlignment="1">
      <alignment horizontal="center" vertical="center"/>
    </xf>
    <xf numFmtId="209" fontId="36" fillId="3" borderId="598" xfId="0" applyNumberFormat="1" applyFont="1" applyFill="1" applyBorder="1" applyAlignment="1">
      <alignment horizontal="center" vertical="center"/>
    </xf>
    <xf numFmtId="209" fontId="36" fillId="2" borderId="598" xfId="0" applyNumberFormat="1" applyFont="1" applyFill="1" applyBorder="1" applyAlignment="1">
      <alignment horizontal="center" vertical="center"/>
    </xf>
    <xf numFmtId="209" fontId="36" fillId="7" borderId="598" xfId="0" applyNumberFormat="1" applyFont="1" applyFill="1" applyBorder="1" applyAlignment="1">
      <alignment horizontal="center" vertical="center"/>
    </xf>
    <xf numFmtId="243" fontId="36" fillId="0" borderId="44" xfId="0" applyNumberFormat="1" applyFont="1" applyBorder="1" applyAlignment="1">
      <alignment horizontal="center" vertical="center"/>
    </xf>
    <xf numFmtId="243" fontId="36" fillId="6" borderId="353" xfId="0" applyNumberFormat="1" applyFont="1" applyFill="1" applyBorder="1" applyAlignment="1">
      <alignment horizontal="center" vertical="center"/>
    </xf>
    <xf numFmtId="243" fontId="36" fillId="0" borderId="0" xfId="0" applyNumberFormat="1" applyFont="1" applyBorder="1" applyAlignment="1">
      <alignment horizontal="center" vertical="center"/>
    </xf>
    <xf numFmtId="243" fontId="47" fillId="0" borderId="35" xfId="0" applyNumberFormat="1" applyFont="1" applyBorder="1" applyAlignment="1">
      <alignment horizontal="center" vertical="center"/>
    </xf>
    <xf numFmtId="243" fontId="36" fillId="8" borderId="66" xfId="0" applyNumberFormat="1" applyFont="1" applyFill="1" applyBorder="1" applyAlignment="1">
      <alignment horizontal="center" vertical="center"/>
    </xf>
    <xf numFmtId="243" fontId="36" fillId="5" borderId="0" xfId="0" applyNumberFormat="1" applyFont="1" applyFill="1" applyBorder="1" applyAlignment="1">
      <alignment horizontal="center" vertical="center"/>
    </xf>
    <xf numFmtId="243" fontId="36" fillId="20" borderId="0" xfId="0" applyNumberFormat="1" applyFont="1" applyFill="1" applyBorder="1" applyAlignment="1">
      <alignment horizontal="center" vertical="center"/>
    </xf>
    <xf numFmtId="243" fontId="36" fillId="5" borderId="497" xfId="0" applyNumberFormat="1" applyFont="1" applyFill="1" applyBorder="1" applyAlignment="1">
      <alignment horizontal="center" vertical="center"/>
    </xf>
    <xf numFmtId="243" fontId="36" fillId="5" borderId="499" xfId="0" applyNumberFormat="1" applyFont="1" applyFill="1" applyBorder="1" applyAlignment="1">
      <alignment horizontal="center" vertical="center"/>
    </xf>
    <xf numFmtId="243" fontId="36" fillId="8" borderId="0" xfId="0" applyNumberFormat="1" applyFont="1" applyFill="1" applyBorder="1" applyAlignment="1">
      <alignment horizontal="center" vertical="center"/>
    </xf>
    <xf numFmtId="243" fontId="36" fillId="8" borderId="706" xfId="0" applyNumberFormat="1" applyFont="1" applyFill="1" applyBorder="1" applyAlignment="1">
      <alignment horizontal="center" vertical="center"/>
    </xf>
    <xf numFmtId="243" fontId="36" fillId="14" borderId="661" xfId="0" applyNumberFormat="1" applyFont="1" applyFill="1" applyBorder="1" applyAlignment="1">
      <alignment horizontal="center" vertical="center"/>
    </xf>
    <xf numFmtId="243" fontId="36" fillId="5" borderId="1107" xfId="0" applyNumberFormat="1" applyFont="1" applyFill="1" applyBorder="1" applyAlignment="1">
      <alignment horizontal="center" vertical="center"/>
    </xf>
    <xf numFmtId="243" fontId="47" fillId="5" borderId="501" xfId="0" applyNumberFormat="1" applyFont="1" applyFill="1" applyBorder="1" applyAlignment="1">
      <alignment horizontal="center" vertical="center"/>
    </xf>
    <xf numFmtId="243" fontId="36" fillId="5" borderId="501" xfId="0" applyNumberFormat="1" applyFont="1" applyFill="1" applyBorder="1" applyAlignment="1">
      <alignment horizontal="center" vertical="center"/>
    </xf>
    <xf numFmtId="243" fontId="36" fillId="5" borderId="503" xfId="0" applyNumberFormat="1" applyFont="1" applyFill="1" applyBorder="1" applyAlignment="1">
      <alignment horizontal="center" vertical="center"/>
    </xf>
    <xf numFmtId="243" fontId="36" fillId="5" borderId="717" xfId="0" applyNumberFormat="1" applyFont="1" applyFill="1" applyBorder="1" applyAlignment="1">
      <alignment horizontal="center" vertical="center"/>
    </xf>
    <xf numFmtId="243" fontId="36" fillId="7" borderId="721" xfId="0" applyNumberFormat="1" applyFont="1" applyFill="1" applyBorder="1" applyAlignment="1">
      <alignment horizontal="center" vertical="center"/>
    </xf>
    <xf numFmtId="243" fontId="36" fillId="0" borderId="0" xfId="0" applyNumberFormat="1" applyFont="1" applyFill="1" applyBorder="1" applyAlignment="1">
      <alignment horizontal="center" vertical="center"/>
    </xf>
    <xf numFmtId="243" fontId="47" fillId="29" borderId="0" xfId="0" applyNumberFormat="1" applyFont="1" applyFill="1" applyBorder="1" applyAlignment="1">
      <alignment horizontal="center" vertical="center"/>
    </xf>
    <xf numFmtId="243" fontId="36" fillId="0" borderId="727" xfId="0" applyNumberFormat="1" applyFont="1" applyBorder="1" applyAlignment="1">
      <alignment horizontal="center" vertical="center"/>
    </xf>
    <xf numFmtId="243" fontId="36" fillId="3" borderId="1125" xfId="0" applyNumberFormat="1" applyFont="1" applyFill="1" applyBorder="1" applyAlignment="1">
      <alignment horizontal="center" vertical="center"/>
    </xf>
    <xf numFmtId="243" fontId="36" fillId="3" borderId="0" xfId="0" applyNumberFormat="1" applyFont="1" applyFill="1" applyBorder="1" applyAlignment="1">
      <alignment horizontal="center" vertical="center"/>
    </xf>
    <xf numFmtId="243" fontId="36" fillId="2" borderId="0" xfId="0" applyNumberFormat="1" applyFont="1" applyFill="1" applyBorder="1" applyAlignment="1">
      <alignment horizontal="center" vertical="center"/>
    </xf>
    <xf numFmtId="243" fontId="36" fillId="7" borderId="0" xfId="0" applyNumberFormat="1" applyFont="1" applyFill="1" applyBorder="1" applyAlignment="1">
      <alignment horizontal="center" vertical="center"/>
    </xf>
    <xf numFmtId="209" fontId="36" fillId="6" borderId="597" xfId="2" applyNumberFormat="1" applyFont="1" applyFill="1" applyBorder="1" applyAlignment="1">
      <alignment horizontal="center" vertical="center"/>
    </xf>
    <xf numFmtId="209" fontId="36" fillId="6" borderId="353" xfId="2" applyNumberFormat="1" applyFont="1" applyFill="1" applyBorder="1" applyAlignment="1">
      <alignment horizontal="center" vertical="center"/>
    </xf>
    <xf numFmtId="209" fontId="36" fillId="0" borderId="437" xfId="2" applyNumberFormat="1" applyFont="1" applyFill="1" applyBorder="1" applyAlignment="1">
      <alignment horizontal="center" vertical="center"/>
    </xf>
    <xf numFmtId="209" fontId="47" fillId="0" borderId="433" xfId="2" applyNumberFormat="1" applyFont="1" applyFill="1" applyBorder="1" applyAlignment="1">
      <alignment horizontal="center" vertical="center"/>
    </xf>
    <xf numFmtId="209" fontId="47" fillId="0" borderId="35" xfId="2" applyNumberFormat="1" applyFont="1" applyFill="1" applyBorder="1" applyAlignment="1">
      <alignment horizontal="center" vertical="center"/>
    </xf>
    <xf numFmtId="209" fontId="36" fillId="8" borderId="609" xfId="2" applyNumberFormat="1" applyFont="1" applyFill="1" applyBorder="1" applyAlignment="1">
      <alignment horizontal="center" vertical="center"/>
    </xf>
    <xf numFmtId="209" fontId="36" fillId="8" borderId="66" xfId="2" applyNumberFormat="1" applyFont="1" applyFill="1" applyBorder="1" applyAlignment="1">
      <alignment horizontal="center" vertical="center"/>
    </xf>
    <xf numFmtId="209" fontId="36" fillId="5" borderId="437" xfId="2" applyNumberFormat="1" applyFont="1" applyFill="1" applyBorder="1" applyAlignment="1">
      <alignment horizontal="center" vertical="center"/>
    </xf>
    <xf numFmtId="209" fontId="36" fillId="20" borderId="437" xfId="2" applyNumberFormat="1" applyFont="1" applyFill="1" applyBorder="1" applyAlignment="1">
      <alignment horizontal="center" vertical="center"/>
    </xf>
    <xf numFmtId="209" fontId="36" fillId="20" borderId="0" xfId="2" applyNumberFormat="1" applyFont="1" applyFill="1" applyBorder="1" applyAlignment="1">
      <alignment horizontal="center" vertical="center"/>
    </xf>
    <xf numFmtId="209" fontId="36" fillId="5" borderId="773" xfId="2" applyNumberFormat="1" applyFont="1" applyFill="1" applyBorder="1" applyAlignment="1">
      <alignment horizontal="center" vertical="center"/>
    </xf>
    <xf numFmtId="209" fontId="36" fillId="5" borderId="497" xfId="2" applyNumberFormat="1" applyFont="1" applyFill="1" applyBorder="1" applyAlignment="1">
      <alignment horizontal="center" vertical="center"/>
    </xf>
    <xf numFmtId="209" fontId="36" fillId="5" borderId="774" xfId="2" applyNumberFormat="1" applyFont="1" applyFill="1" applyBorder="1" applyAlignment="1">
      <alignment horizontal="center" vertical="center"/>
    </xf>
    <xf numFmtId="209" fontId="36" fillId="5" borderId="499" xfId="2" applyNumberFormat="1" applyFont="1" applyFill="1" applyBorder="1" applyAlignment="1">
      <alignment horizontal="center" vertical="center"/>
    </xf>
    <xf numFmtId="209" fontId="36" fillId="8" borderId="437" xfId="2" applyNumberFormat="1" applyFont="1" applyFill="1" applyBorder="1" applyAlignment="1">
      <alignment horizontal="center" vertical="center"/>
    </xf>
    <xf numFmtId="209" fontId="36" fillId="8" borderId="0" xfId="2" applyNumberFormat="1" applyFont="1" applyFill="1" applyBorder="1" applyAlignment="1">
      <alignment horizontal="center" vertical="center"/>
    </xf>
    <xf numFmtId="209" fontId="36" fillId="8" borderId="775" xfId="2" applyNumberFormat="1" applyFont="1" applyFill="1" applyBorder="1" applyAlignment="1">
      <alignment horizontal="center" vertical="center"/>
    </xf>
    <xf numFmtId="209" fontId="36" fillId="8" borderId="706" xfId="2" applyNumberFormat="1" applyFont="1" applyFill="1" applyBorder="1" applyAlignment="1">
      <alignment horizontal="center" vertical="center"/>
    </xf>
    <xf numFmtId="209" fontId="36" fillId="0" borderId="437" xfId="2" applyNumberFormat="1" applyFont="1" applyBorder="1" applyAlignment="1">
      <alignment horizontal="center" vertical="center"/>
    </xf>
    <xf numFmtId="189" fontId="36" fillId="0" borderId="0" xfId="0" applyNumberFormat="1" applyFont="1" applyAlignment="1">
      <alignment horizontal="center" vertical="center"/>
    </xf>
    <xf numFmtId="209" fontId="36" fillId="14" borderId="776" xfId="2" applyNumberFormat="1" applyFont="1" applyFill="1" applyBorder="1" applyAlignment="1">
      <alignment horizontal="center" vertical="center"/>
    </xf>
    <xf numFmtId="209" fontId="36" fillId="14" borderId="661" xfId="2" applyNumberFormat="1" applyFont="1" applyFill="1" applyBorder="1" applyAlignment="1">
      <alignment horizontal="center" vertical="center"/>
    </xf>
    <xf numFmtId="209" fontId="36" fillId="40" borderId="437" xfId="2" applyNumberFormat="1" applyFont="1" applyFill="1" applyBorder="1" applyAlignment="1">
      <alignment horizontal="center" vertical="center"/>
    </xf>
    <xf numFmtId="209" fontId="36" fillId="40" borderId="0" xfId="2" applyNumberFormat="1" applyFont="1" applyFill="1" applyBorder="1" applyAlignment="1">
      <alignment horizontal="center" vertical="center"/>
    </xf>
    <xf numFmtId="209" fontId="36" fillId="5" borderId="1108" xfId="2" applyNumberFormat="1" applyFont="1" applyFill="1" applyBorder="1" applyAlignment="1">
      <alignment horizontal="center" vertical="center"/>
    </xf>
    <xf numFmtId="209" fontId="36" fillId="5" borderId="1107" xfId="2" applyNumberFormat="1" applyFont="1" applyFill="1" applyBorder="1" applyAlignment="1">
      <alignment horizontal="center" vertical="center"/>
    </xf>
    <xf numFmtId="209" fontId="47" fillId="5" borderId="777" xfId="2" applyNumberFormat="1" applyFont="1" applyFill="1" applyBorder="1" applyAlignment="1">
      <alignment horizontal="center" vertical="center"/>
    </xf>
    <xf numFmtId="209" fontId="47" fillId="5" borderId="501" xfId="2" applyNumberFormat="1" applyFont="1" applyFill="1" applyBorder="1" applyAlignment="1">
      <alignment horizontal="center" vertical="center"/>
    </xf>
    <xf numFmtId="209" fontId="36" fillId="5" borderId="777" xfId="2" applyNumberFormat="1" applyFont="1" applyFill="1" applyBorder="1" applyAlignment="1">
      <alignment horizontal="center" vertical="center"/>
    </xf>
    <xf numFmtId="209" fontId="36" fillId="5" borderId="501" xfId="2" applyNumberFormat="1" applyFont="1" applyFill="1" applyBorder="1" applyAlignment="1">
      <alignment horizontal="center" vertical="center"/>
    </xf>
    <xf numFmtId="209" fontId="36" fillId="5" borderId="778" xfId="2" applyNumberFormat="1" applyFont="1" applyFill="1" applyBorder="1" applyAlignment="1">
      <alignment horizontal="center" vertical="center"/>
    </xf>
    <xf numFmtId="209" fontId="36" fillId="5" borderId="503" xfId="2" applyNumberFormat="1" applyFont="1" applyFill="1" applyBorder="1" applyAlignment="1">
      <alignment horizontal="center" vertical="center"/>
    </xf>
    <xf numFmtId="209" fontId="36" fillId="5" borderId="779" xfId="2" applyNumberFormat="1" applyFont="1" applyFill="1" applyBorder="1" applyAlignment="1">
      <alignment horizontal="center" vertical="center"/>
    </xf>
    <xf numFmtId="209" fontId="36" fillId="5" borderId="717" xfId="2" applyNumberFormat="1" applyFont="1" applyFill="1" applyBorder="1" applyAlignment="1">
      <alignment horizontal="center" vertical="center"/>
    </xf>
    <xf numFmtId="209" fontId="36" fillId="7" borderId="780" xfId="2" applyNumberFormat="1" applyFont="1" applyFill="1" applyBorder="1" applyAlignment="1">
      <alignment horizontal="center" vertical="center"/>
    </xf>
    <xf numFmtId="209" fontId="36" fillId="7" borderId="721" xfId="2" applyNumberFormat="1" applyFont="1" applyFill="1" applyBorder="1" applyAlignment="1">
      <alignment horizontal="center" vertical="center"/>
    </xf>
    <xf numFmtId="209" fontId="47" fillId="29" borderId="437" xfId="3" applyNumberFormat="1" applyFont="1" applyFill="1" applyBorder="1" applyAlignment="1">
      <alignment horizontal="center" vertical="center"/>
    </xf>
    <xf numFmtId="209" fontId="47" fillId="29" borderId="0" xfId="3" applyNumberFormat="1" applyFont="1" applyFill="1" applyBorder="1" applyAlignment="1">
      <alignment horizontal="center" vertical="center"/>
    </xf>
    <xf numFmtId="209" fontId="36" fillId="0" borderId="781" xfId="2" applyNumberFormat="1" applyFont="1" applyBorder="1" applyAlignment="1">
      <alignment horizontal="center" vertical="center"/>
    </xf>
    <xf numFmtId="209" fontId="36" fillId="0" borderId="727" xfId="2" applyNumberFormat="1" applyFont="1" applyBorder="1" applyAlignment="1">
      <alignment horizontal="center" vertical="center"/>
    </xf>
    <xf numFmtId="209" fontId="36" fillId="3" borderId="1126" xfId="2" applyNumberFormat="1" applyFont="1" applyFill="1" applyBorder="1" applyAlignment="1">
      <alignment horizontal="center" vertical="center"/>
    </xf>
    <xf numFmtId="209" fontId="36" fillId="3" borderId="1125" xfId="2" applyNumberFormat="1" applyFont="1" applyFill="1" applyBorder="1" applyAlignment="1">
      <alignment horizontal="center" vertical="center"/>
    </xf>
    <xf numFmtId="209" fontId="36" fillId="3" borderId="437" xfId="2" applyNumberFormat="1" applyFont="1" applyFill="1" applyBorder="1" applyAlignment="1">
      <alignment horizontal="center" vertical="center"/>
    </xf>
    <xf numFmtId="209" fontId="36" fillId="7" borderId="437" xfId="2" applyNumberFormat="1" applyFont="1" applyFill="1" applyBorder="1" applyAlignment="1">
      <alignment horizontal="center" vertical="center"/>
    </xf>
    <xf numFmtId="243" fontId="36" fillId="0" borderId="0" xfId="0" applyNumberFormat="1" applyFont="1" applyAlignment="1">
      <alignment horizontal="center" vertical="center"/>
    </xf>
    <xf numFmtId="189" fontId="46" fillId="8" borderId="70" xfId="0" applyNumberFormat="1" applyFont="1" applyFill="1" applyBorder="1" applyAlignment="1">
      <alignment horizontal="right" vertical="center"/>
    </xf>
    <xf numFmtId="189" fontId="46" fillId="8" borderId="35" xfId="0" applyNumberFormat="1" applyFont="1" applyFill="1" applyBorder="1" applyAlignment="1">
      <alignment horizontal="right" vertical="center"/>
    </xf>
    <xf numFmtId="189" fontId="46" fillId="0" borderId="44" xfId="0" applyNumberFormat="1" applyFont="1" applyBorder="1" applyAlignment="1">
      <alignment horizontal="right" vertical="center"/>
    </xf>
    <xf numFmtId="189" fontId="46" fillId="0" borderId="69" xfId="0" applyNumberFormat="1" applyFont="1" applyBorder="1" applyAlignment="1">
      <alignment horizontal="right" vertical="center"/>
    </xf>
    <xf numFmtId="189" fontId="142" fillId="0" borderId="44" xfId="0" applyNumberFormat="1" applyFont="1" applyBorder="1" applyAlignment="1">
      <alignment horizontal="right" vertical="center"/>
    </xf>
    <xf numFmtId="189" fontId="46" fillId="0" borderId="562" xfId="0" applyNumberFormat="1" applyFont="1" applyBorder="1" applyAlignment="1">
      <alignment horizontal="right" vertical="center"/>
    </xf>
    <xf numFmtId="189" fontId="46" fillId="0" borderId="451" xfId="0" applyNumberFormat="1" applyFont="1" applyBorder="1" applyAlignment="1">
      <alignment horizontal="right" vertical="center"/>
    </xf>
    <xf numFmtId="189" fontId="46" fillId="0" borderId="568" xfId="0" applyNumberFormat="1" applyFont="1" applyBorder="1" applyAlignment="1">
      <alignment horizontal="right" vertical="center"/>
    </xf>
    <xf numFmtId="189" fontId="46" fillId="2" borderId="483" xfId="0" applyNumberFormat="1" applyFont="1" applyFill="1" applyBorder="1" applyAlignment="1">
      <alignment horizontal="right" vertical="center"/>
    </xf>
    <xf numFmtId="189" fontId="46" fillId="2" borderId="44" xfId="0" applyNumberFormat="1" applyFont="1" applyFill="1" applyBorder="1" applyAlignment="1">
      <alignment horizontal="right" vertical="center"/>
    </xf>
    <xf numFmtId="189" fontId="46" fillId="2" borderId="558" xfId="0" applyNumberFormat="1" applyFont="1" applyFill="1" applyBorder="1" applyAlignment="1">
      <alignment horizontal="right" vertical="center"/>
    </xf>
    <xf numFmtId="189" fontId="46" fillId="2" borderId="489" xfId="0" applyNumberFormat="1" applyFont="1" applyFill="1" applyBorder="1" applyAlignment="1">
      <alignment horizontal="right" vertical="center"/>
    </xf>
    <xf numFmtId="189" fontId="46" fillId="2" borderId="442" xfId="0" applyNumberFormat="1" applyFont="1" applyFill="1" applyBorder="1" applyAlignment="1">
      <alignment horizontal="right" vertical="center"/>
    </xf>
    <xf numFmtId="189" fontId="46" fillId="3" borderId="44" xfId="0" applyNumberFormat="1" applyFont="1" applyFill="1" applyBorder="1" applyAlignment="1">
      <alignment horizontal="right" vertical="center"/>
    </xf>
    <xf numFmtId="189" fontId="46" fillId="3" borderId="0" xfId="0" applyNumberFormat="1" applyFont="1" applyFill="1" applyAlignment="1">
      <alignment horizontal="right" vertical="center"/>
    </xf>
    <xf numFmtId="189" fontId="46" fillId="3" borderId="41" xfId="0" applyNumberFormat="1" applyFont="1" applyFill="1" applyBorder="1" applyAlignment="1">
      <alignment horizontal="right" vertical="center"/>
    </xf>
    <xf numFmtId="189" fontId="46" fillId="3" borderId="6" xfId="0" applyNumberFormat="1" applyFont="1" applyFill="1" applyBorder="1" applyAlignment="1">
      <alignment horizontal="right" vertical="center"/>
    </xf>
    <xf numFmtId="186" fontId="46" fillId="0" borderId="44" xfId="0" applyNumberFormat="1" applyFont="1" applyBorder="1" applyAlignment="1">
      <alignment horizontal="right" vertical="center"/>
    </xf>
    <xf numFmtId="189" fontId="46" fillId="4" borderId="44" xfId="0" applyNumberFormat="1" applyFont="1" applyFill="1" applyBorder="1" applyAlignment="1">
      <alignment horizontal="right" vertical="center"/>
    </xf>
    <xf numFmtId="189" fontId="46" fillId="4" borderId="0" xfId="0" applyNumberFormat="1" applyFont="1" applyFill="1" applyAlignment="1">
      <alignment horizontal="right" vertical="center"/>
    </xf>
    <xf numFmtId="189" fontId="46" fillId="0" borderId="520" xfId="0" applyNumberFormat="1" applyFont="1" applyBorder="1" applyAlignment="1">
      <alignment horizontal="right" vertical="center"/>
    </xf>
    <xf numFmtId="189" fontId="46" fillId="0" borderId="515" xfId="0" applyNumberFormat="1" applyFont="1" applyBorder="1" applyAlignment="1">
      <alignment horizontal="right" vertical="center"/>
    </xf>
    <xf numFmtId="189" fontId="46" fillId="0" borderId="527" xfId="0" applyNumberFormat="1" applyFont="1" applyBorder="1" applyAlignment="1">
      <alignment horizontal="right" vertical="center"/>
    </xf>
    <xf numFmtId="189" fontId="46" fillId="0" borderId="522" xfId="0" applyNumberFormat="1" applyFont="1" applyBorder="1" applyAlignment="1">
      <alignment horizontal="right" vertical="center"/>
    </xf>
    <xf numFmtId="189" fontId="46" fillId="0" borderId="96" xfId="0" applyNumberFormat="1" applyFont="1" applyBorder="1" applyAlignment="1">
      <alignment horizontal="right" vertical="center"/>
    </xf>
    <xf numFmtId="189" fontId="46" fillId="0" borderId="19" xfId="0" applyNumberFormat="1" applyFont="1" applyBorder="1" applyAlignment="1">
      <alignment horizontal="right" vertical="center"/>
    </xf>
    <xf numFmtId="189" fontId="46" fillId="7" borderId="95" xfId="0" applyNumberFormat="1" applyFont="1" applyFill="1" applyBorder="1" applyAlignment="1">
      <alignment horizontal="right" vertical="center"/>
    </xf>
    <xf numFmtId="189" fontId="46" fillId="7" borderId="17" xfId="0" applyNumberFormat="1" applyFont="1" applyFill="1" applyBorder="1" applyAlignment="1">
      <alignment horizontal="right" vertical="center"/>
    </xf>
    <xf numFmtId="189" fontId="46" fillId="0" borderId="236" xfId="0" applyNumberFormat="1" applyFont="1" applyBorder="1" applyAlignment="1">
      <alignment horizontal="right" vertical="center"/>
    </xf>
    <xf numFmtId="189" fontId="46" fillId="0" borderId="18" xfId="0" applyNumberFormat="1" applyFont="1" applyBorder="1" applyAlignment="1">
      <alignment horizontal="right" vertical="center"/>
    </xf>
    <xf numFmtId="209" fontId="46" fillId="0" borderId="41" xfId="0" applyNumberFormat="1" applyFont="1" applyBorder="1" applyAlignment="1">
      <alignment horizontal="right" vertical="center"/>
    </xf>
    <xf numFmtId="189" fontId="46" fillId="0" borderId="6" xfId="0" applyNumberFormat="1" applyFont="1" applyBorder="1" applyAlignment="1">
      <alignment horizontal="right" vertical="center"/>
    </xf>
    <xf numFmtId="189" fontId="46" fillId="0" borderId="49" xfId="0" applyNumberFormat="1" applyFont="1" applyBorder="1" applyAlignment="1">
      <alignment horizontal="right" vertical="center"/>
    </xf>
    <xf numFmtId="189" fontId="46" fillId="0" borderId="32" xfId="0" applyNumberFormat="1" applyFont="1" applyBorder="1" applyAlignment="1">
      <alignment horizontal="right" vertical="center"/>
    </xf>
    <xf numFmtId="189" fontId="46" fillId="2" borderId="97" xfId="0" applyNumberFormat="1" applyFont="1" applyFill="1" applyBorder="1" applyAlignment="1">
      <alignment horizontal="right" vertical="center"/>
    </xf>
    <xf numFmtId="189" fontId="46" fillId="2" borderId="23" xfId="0" applyNumberFormat="1" applyFont="1" applyFill="1" applyBorder="1" applyAlignment="1">
      <alignment horizontal="right" vertical="center"/>
    </xf>
    <xf numFmtId="189" fontId="46" fillId="2" borderId="0" xfId="0" applyNumberFormat="1" applyFont="1" applyFill="1" applyAlignment="1">
      <alignment horizontal="right" vertical="center"/>
    </xf>
    <xf numFmtId="209" fontId="46" fillId="2" borderId="98" xfId="0" applyNumberFormat="1" applyFont="1" applyFill="1" applyBorder="1" applyAlignment="1">
      <alignment horizontal="right" vertical="center"/>
    </xf>
    <xf numFmtId="209" fontId="46" fillId="2" borderId="25" xfId="0" applyNumberFormat="1" applyFont="1" applyFill="1" applyBorder="1" applyAlignment="1">
      <alignment horizontal="right" vertical="center"/>
    </xf>
    <xf numFmtId="189" fontId="46" fillId="7" borderId="44" xfId="0" applyNumberFormat="1" applyFont="1" applyFill="1" applyBorder="1" applyAlignment="1">
      <alignment horizontal="right" vertical="center"/>
    </xf>
    <xf numFmtId="189" fontId="46" fillId="7" borderId="0" xfId="0" applyNumberFormat="1" applyFont="1" applyFill="1" applyAlignment="1">
      <alignment horizontal="right" vertical="center"/>
    </xf>
    <xf numFmtId="189" fontId="46" fillId="0" borderId="52" xfId="0" applyNumberFormat="1" applyFont="1" applyBorder="1" applyAlignment="1">
      <alignment horizontal="right" vertical="center"/>
    </xf>
    <xf numFmtId="209" fontId="46" fillId="0" borderId="34" xfId="0" applyNumberFormat="1" applyFont="1" applyBorder="1" applyAlignment="1">
      <alignment horizontal="right" vertical="center"/>
    </xf>
    <xf numFmtId="189" fontId="46" fillId="2" borderId="100" xfId="0" applyNumberFormat="1" applyFont="1" applyFill="1" applyBorder="1" applyAlignment="1">
      <alignment horizontal="right" vertical="center"/>
    </xf>
    <xf numFmtId="189" fontId="46" fillId="2" borderId="14" xfId="0" applyNumberFormat="1" applyFont="1" applyFill="1" applyBorder="1" applyAlignment="1">
      <alignment horizontal="right" vertical="center"/>
    </xf>
    <xf numFmtId="189" fontId="46" fillId="2" borderId="101" xfId="0" applyNumberFormat="1" applyFont="1" applyFill="1" applyBorder="1" applyAlignment="1">
      <alignment horizontal="right" vertical="center"/>
    </xf>
    <xf numFmtId="189" fontId="46" fillId="2" borderId="15" xfId="0" applyNumberFormat="1" applyFont="1" applyFill="1" applyBorder="1" applyAlignment="1">
      <alignment horizontal="right" vertical="center"/>
    </xf>
    <xf numFmtId="209" fontId="46" fillId="0" borderId="52" xfId="0" applyNumberFormat="1" applyFont="1" applyBorder="1" applyAlignment="1">
      <alignment horizontal="right" vertical="center"/>
    </xf>
    <xf numFmtId="189" fontId="46" fillId="0" borderId="34" xfId="0" applyNumberFormat="1" applyFont="1" applyBorder="1" applyAlignment="1">
      <alignment horizontal="right" vertical="center"/>
    </xf>
    <xf numFmtId="189" fontId="46" fillId="8" borderId="37" xfId="2" applyNumberFormat="1" applyFont="1" applyFill="1" applyBorder="1" applyAlignment="1">
      <alignment horizontal="right" vertical="center"/>
    </xf>
    <xf numFmtId="189" fontId="46" fillId="8" borderId="212" xfId="0" applyNumberFormat="1" applyFont="1" applyFill="1" applyBorder="1" applyAlignment="1">
      <alignment horizontal="right" vertical="center"/>
    </xf>
    <xf numFmtId="189" fontId="46" fillId="0" borderId="2" xfId="2" applyNumberFormat="1" applyFont="1" applyBorder="1" applyAlignment="1">
      <alignment horizontal="right" vertical="center"/>
    </xf>
    <xf numFmtId="189" fontId="46" fillId="0" borderId="68" xfId="0" applyNumberFormat="1" applyFont="1" applyBorder="1" applyAlignment="1">
      <alignment horizontal="right" vertical="center"/>
    </xf>
    <xf numFmtId="189" fontId="142" fillId="18" borderId="66" xfId="3" applyNumberFormat="1" applyFont="1" applyFill="1" applyBorder="1" applyAlignment="1">
      <alignment horizontal="right" vertical="center"/>
    </xf>
    <xf numFmtId="189" fontId="142" fillId="0" borderId="2" xfId="2" applyNumberFormat="1" applyFont="1" applyBorder="1" applyAlignment="1">
      <alignment horizontal="right" vertical="center"/>
    </xf>
    <xf numFmtId="189" fontId="46" fillId="18" borderId="0" xfId="3" applyNumberFormat="1" applyFont="1" applyFill="1" applyBorder="1" applyAlignment="1">
      <alignment horizontal="right" vertical="center"/>
    </xf>
    <xf numFmtId="189" fontId="46" fillId="0" borderId="68" xfId="2" applyNumberFormat="1" applyFont="1" applyBorder="1" applyAlignment="1">
      <alignment horizontal="right" vertical="center"/>
    </xf>
    <xf numFmtId="189" fontId="46" fillId="0" borderId="529" xfId="2" applyNumberFormat="1" applyFont="1" applyBorder="1" applyAlignment="1">
      <alignment horizontal="right" vertical="center"/>
    </xf>
    <xf numFmtId="189" fontId="46" fillId="0" borderId="563" xfId="0" applyNumberFormat="1" applyFont="1" applyBorder="1" applyAlignment="1">
      <alignment horizontal="right" vertical="center"/>
    </xf>
    <xf numFmtId="189" fontId="46" fillId="0" borderId="554" xfId="2" applyNumberFormat="1" applyFont="1" applyBorder="1" applyAlignment="1">
      <alignment horizontal="right" vertical="center"/>
    </xf>
    <xf numFmtId="189" fontId="46" fillId="0" borderId="564" xfId="0" applyNumberFormat="1" applyFont="1" applyBorder="1" applyAlignment="1">
      <alignment horizontal="right" vertical="center"/>
    </xf>
    <xf numFmtId="189" fontId="46" fillId="0" borderId="569" xfId="0" applyNumberFormat="1" applyFont="1" applyBorder="1" applyAlignment="1">
      <alignment horizontal="right" vertical="center"/>
    </xf>
    <xf numFmtId="189" fontId="46" fillId="29" borderId="0" xfId="0" applyNumberFormat="1" applyFont="1" applyFill="1" applyAlignment="1">
      <alignment horizontal="right" vertical="center"/>
    </xf>
    <xf numFmtId="189" fontId="46" fillId="2" borderId="482" xfId="2" applyNumberFormat="1" applyFont="1" applyFill="1" applyBorder="1" applyAlignment="1">
      <alignment horizontal="right" vertical="center"/>
    </xf>
    <xf numFmtId="189" fontId="46" fillId="2" borderId="2" xfId="2" applyNumberFormat="1" applyFont="1" applyFill="1" applyBorder="1" applyAlignment="1">
      <alignment horizontal="right" vertical="center"/>
    </xf>
    <xf numFmtId="189" fontId="46" fillId="2" borderId="556" xfId="2" applyNumberFormat="1" applyFont="1" applyFill="1" applyBorder="1" applyAlignment="1">
      <alignment horizontal="right" vertical="center"/>
    </xf>
    <xf numFmtId="189" fontId="46" fillId="29" borderId="417" xfId="0" applyNumberFormat="1" applyFont="1" applyFill="1" applyBorder="1" applyAlignment="1">
      <alignment horizontal="right" vertical="center"/>
    </xf>
    <xf numFmtId="189" fontId="46" fillId="2" borderId="487" xfId="2" applyNumberFormat="1" applyFont="1" applyFill="1" applyBorder="1" applyAlignment="1">
      <alignment horizontal="right" vertical="center"/>
    </xf>
    <xf numFmtId="189" fontId="46" fillId="29" borderId="431" xfId="0" applyNumberFormat="1" applyFont="1" applyFill="1" applyBorder="1" applyAlignment="1">
      <alignment horizontal="right" vertical="center"/>
    </xf>
    <xf numFmtId="189" fontId="46" fillId="2" borderId="441" xfId="2" applyNumberFormat="1" applyFont="1" applyFill="1" applyBorder="1" applyAlignment="1">
      <alignment horizontal="right" vertical="center"/>
    </xf>
    <xf numFmtId="189" fontId="46" fillId="29" borderId="438" xfId="0" applyNumberFormat="1" applyFont="1" applyFill="1" applyBorder="1" applyAlignment="1">
      <alignment horizontal="right" vertical="center"/>
    </xf>
    <xf numFmtId="189" fontId="46" fillId="57" borderId="0" xfId="0" applyNumberFormat="1" applyFont="1" applyFill="1" applyAlignment="1">
      <alignment horizontal="right" vertical="center"/>
    </xf>
    <xf numFmtId="189" fontId="46" fillId="3" borderId="3" xfId="2" applyNumberFormat="1" applyFont="1" applyFill="1" applyBorder="1" applyAlignment="1">
      <alignment horizontal="right" vertical="center"/>
    </xf>
    <xf numFmtId="189" fontId="46" fillId="0" borderId="1" xfId="2" applyNumberFormat="1" applyFont="1" applyBorder="1" applyAlignment="1">
      <alignment horizontal="right" vertical="center"/>
    </xf>
    <xf numFmtId="189" fontId="46" fillId="4" borderId="2" xfId="2" applyNumberFormat="1" applyFont="1" applyFill="1" applyBorder="1" applyAlignment="1">
      <alignment horizontal="right" vertical="center"/>
    </xf>
    <xf numFmtId="189" fontId="46" fillId="42" borderId="0" xfId="0" applyNumberFormat="1" applyFont="1" applyFill="1" applyAlignment="1">
      <alignment horizontal="right" vertical="center"/>
    </xf>
    <xf numFmtId="189" fontId="46" fillId="5" borderId="0" xfId="0" applyNumberFormat="1" applyFont="1" applyFill="1" applyAlignment="1">
      <alignment horizontal="right" vertical="center"/>
    </xf>
    <xf numFmtId="189" fontId="46" fillId="0" borderId="518" xfId="2" applyNumberFormat="1" applyFont="1" applyBorder="1" applyAlignment="1">
      <alignment horizontal="right" vertical="center"/>
    </xf>
    <xf numFmtId="189" fontId="46" fillId="5" borderId="515" xfId="0" applyNumberFormat="1" applyFont="1" applyFill="1" applyBorder="1" applyAlignment="1">
      <alignment horizontal="right" vertical="center"/>
    </xf>
    <xf numFmtId="189" fontId="46" fillId="18" borderId="515" xfId="3" applyNumberFormat="1" applyFont="1" applyFill="1" applyBorder="1" applyAlignment="1">
      <alignment horizontal="right" vertical="center"/>
    </xf>
    <xf numFmtId="189" fontId="46" fillId="0" borderId="525" xfId="2" applyNumberFormat="1" applyFont="1" applyBorder="1" applyAlignment="1">
      <alignment horizontal="right" vertical="center"/>
    </xf>
    <xf numFmtId="189" fontId="46" fillId="5" borderId="522" xfId="0" applyNumberFormat="1" applyFont="1" applyFill="1" applyBorder="1" applyAlignment="1">
      <alignment horizontal="right" vertical="center"/>
    </xf>
    <xf numFmtId="189" fontId="46" fillId="18" borderId="522" xfId="3" applyNumberFormat="1" applyFont="1" applyFill="1" applyBorder="1" applyAlignment="1">
      <alignment horizontal="right" vertical="center"/>
    </xf>
    <xf numFmtId="189" fontId="46" fillId="0" borderId="21" xfId="2" applyNumberFormat="1" applyFont="1" applyBorder="1" applyAlignment="1">
      <alignment horizontal="right" vertical="center"/>
    </xf>
    <xf numFmtId="189" fontId="46" fillId="5" borderId="19" xfId="0" applyNumberFormat="1" applyFont="1" applyFill="1" applyBorder="1" applyAlignment="1">
      <alignment horizontal="right" vertical="center"/>
    </xf>
    <xf numFmtId="189" fontId="46" fillId="18" borderId="19" xfId="3" applyNumberFormat="1" applyFont="1" applyFill="1" applyBorder="1" applyAlignment="1">
      <alignment horizontal="right" vertical="center"/>
    </xf>
    <xf numFmtId="189" fontId="46" fillId="0" borderId="2" xfId="0" applyNumberFormat="1" applyFont="1" applyBorder="1">
      <alignment vertical="center"/>
    </xf>
    <xf numFmtId="189" fontId="46" fillId="0" borderId="0" xfId="0" applyNumberFormat="1" applyFont="1">
      <alignment vertical="center"/>
    </xf>
    <xf numFmtId="189" fontId="46" fillId="7" borderId="20" xfId="2" applyNumberFormat="1" applyFont="1" applyFill="1" applyBorder="1" applyAlignment="1">
      <alignment horizontal="right" vertical="center"/>
    </xf>
    <xf numFmtId="189" fontId="46" fillId="7" borderId="17" xfId="3" applyNumberFormat="1" applyFont="1" applyFill="1" applyBorder="1" applyAlignment="1">
      <alignment horizontal="right" vertical="center"/>
    </xf>
    <xf numFmtId="189" fontId="46" fillId="0" borderId="22" xfId="2" applyNumberFormat="1" applyFont="1" applyBorder="1" applyAlignment="1">
      <alignment horizontal="right" vertical="center"/>
    </xf>
    <xf numFmtId="189" fontId="46" fillId="29" borderId="18" xfId="0" applyNumberFormat="1" applyFont="1" applyFill="1" applyBorder="1" applyAlignment="1">
      <alignment horizontal="right" vertical="center"/>
    </xf>
    <xf numFmtId="189" fontId="46" fillId="29" borderId="18" xfId="3" applyNumberFormat="1" applyFont="1" applyFill="1" applyBorder="1" applyAlignment="1">
      <alignment horizontal="right" vertical="center"/>
    </xf>
    <xf numFmtId="189" fontId="46" fillId="29" borderId="0" xfId="3" applyNumberFormat="1" applyFont="1" applyFill="1" applyBorder="1" applyAlignment="1">
      <alignment horizontal="right" vertical="center"/>
    </xf>
    <xf numFmtId="189" fontId="142" fillId="32" borderId="529" xfId="0" applyNumberFormat="1" applyFont="1" applyFill="1" applyBorder="1">
      <alignment vertical="center"/>
    </xf>
    <xf numFmtId="189" fontId="142" fillId="37" borderId="0" xfId="0" applyNumberFormat="1" applyFont="1" applyFill="1" applyAlignment="1">
      <alignment horizontal="right" vertical="center"/>
    </xf>
    <xf numFmtId="189" fontId="142" fillId="37" borderId="0" xfId="3" applyNumberFormat="1" applyFont="1" applyFill="1" applyBorder="1" applyAlignment="1">
      <alignment horizontal="right" vertical="center"/>
    </xf>
    <xf numFmtId="189" fontId="142" fillId="32" borderId="451" xfId="0" applyNumberFormat="1" applyFont="1" applyFill="1" applyBorder="1">
      <alignment vertical="center"/>
    </xf>
    <xf numFmtId="189" fontId="46" fillId="0" borderId="3" xfId="2" applyNumberFormat="1" applyFont="1" applyBorder="1" applyAlignment="1">
      <alignment horizontal="right" vertical="center"/>
    </xf>
    <xf numFmtId="189" fontId="46" fillId="29" borderId="6" xfId="0" applyNumberFormat="1" applyFont="1" applyFill="1" applyBorder="1" applyAlignment="1">
      <alignment horizontal="right" vertical="center"/>
    </xf>
    <xf numFmtId="189" fontId="46" fillId="0" borderId="461" xfId="0" applyNumberFormat="1" applyFont="1" applyBorder="1" applyAlignment="1">
      <alignment horizontal="right" vertical="center"/>
    </xf>
    <xf numFmtId="189" fontId="46" fillId="29" borderId="32" xfId="0" applyNumberFormat="1" applyFont="1" applyFill="1" applyBorder="1" applyAlignment="1">
      <alignment horizontal="right" vertical="center"/>
    </xf>
    <xf numFmtId="189" fontId="46" fillId="29" borderId="32" xfId="3" applyNumberFormat="1" applyFont="1" applyFill="1" applyBorder="1" applyAlignment="1">
      <alignment horizontal="right" vertical="center"/>
    </xf>
    <xf numFmtId="189" fontId="46" fillId="2" borderId="24" xfId="2" applyNumberFormat="1" applyFont="1" applyFill="1" applyBorder="1" applyAlignment="1">
      <alignment horizontal="right" vertical="center"/>
    </xf>
    <xf numFmtId="189" fontId="46" fillId="2" borderId="26" xfId="2" applyNumberFormat="1" applyFont="1" applyFill="1" applyBorder="1" applyAlignment="1">
      <alignment horizontal="right" vertical="center"/>
    </xf>
    <xf numFmtId="189" fontId="46" fillId="2" borderId="259" xfId="0" applyNumberFormat="1" applyFont="1" applyFill="1" applyBorder="1" applyAlignment="1">
      <alignment horizontal="right" vertical="center"/>
    </xf>
    <xf numFmtId="189" fontId="46" fillId="7" borderId="2" xfId="2" applyNumberFormat="1" applyFont="1" applyFill="1" applyBorder="1" applyAlignment="1">
      <alignment horizontal="right" vertical="center"/>
    </xf>
    <xf numFmtId="189" fontId="46" fillId="0" borderId="51" xfId="2" applyNumberFormat="1" applyFont="1" applyBorder="1" applyAlignment="1">
      <alignment horizontal="right" vertical="center"/>
    </xf>
    <xf numFmtId="189" fontId="46" fillId="2" borderId="27" xfId="2" applyNumberFormat="1" applyFont="1" applyFill="1" applyBorder="1" applyAlignment="1">
      <alignment horizontal="right" vertical="center"/>
    </xf>
    <xf numFmtId="189" fontId="46" fillId="2" borderId="28" xfId="2" applyNumberFormat="1" applyFont="1" applyFill="1" applyBorder="1" applyAlignment="1">
      <alignment horizontal="right" vertical="center"/>
    </xf>
    <xf numFmtId="189" fontId="46" fillId="29" borderId="34" xfId="0" applyNumberFormat="1" applyFont="1" applyFill="1" applyBorder="1" applyAlignment="1">
      <alignment horizontal="right" vertical="center"/>
    </xf>
    <xf numFmtId="189" fontId="46" fillId="29" borderId="34" xfId="3" applyNumberFormat="1" applyFont="1" applyFill="1" applyBorder="1" applyAlignment="1">
      <alignment horizontal="right" vertical="center"/>
    </xf>
    <xf numFmtId="189" fontId="46" fillId="2" borderId="0" xfId="2" applyNumberFormat="1" applyFont="1" applyFill="1" applyBorder="1" applyAlignment="1">
      <alignment horizontal="right" vertical="center"/>
    </xf>
    <xf numFmtId="0" fontId="114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7" fillId="14" borderId="358" xfId="0" quotePrefix="1" applyFont="1" applyFill="1" applyBorder="1" applyAlignment="1">
      <alignment horizontal="center" vertical="center"/>
    </xf>
    <xf numFmtId="189" fontId="46" fillId="0" borderId="1319" xfId="0" applyNumberFormat="1" applyFont="1" applyBorder="1" applyAlignment="1">
      <alignment horizontal="right" vertical="center"/>
    </xf>
    <xf numFmtId="0" fontId="36" fillId="0" borderId="0" xfId="0" applyFont="1">
      <alignment vertical="center"/>
    </xf>
    <xf numFmtId="0" fontId="43" fillId="4" borderId="417" xfId="0" quotePrefix="1" applyFont="1" applyFill="1" applyBorder="1" applyAlignment="1">
      <alignment horizontal="center" vertical="center"/>
    </xf>
    <xf numFmtId="0" fontId="133" fillId="2" borderId="0" xfId="0" applyFont="1" applyFill="1" applyAlignment="1">
      <alignment horizontal="left" vertical="center"/>
    </xf>
    <xf numFmtId="0" fontId="133" fillId="2" borderId="1134" xfId="0" applyFont="1" applyFill="1" applyBorder="1" applyAlignment="1">
      <alignment horizontal="left" vertical="center"/>
    </xf>
    <xf numFmtId="0" fontId="118" fillId="5" borderId="786" xfId="0" quotePrefix="1" applyFont="1" applyFill="1" applyBorder="1" applyAlignment="1">
      <alignment horizontal="center" vertical="center"/>
    </xf>
    <xf numFmtId="0" fontId="118" fillId="5" borderId="786" xfId="0" applyFont="1" applyFill="1" applyBorder="1" applyAlignment="1">
      <alignment horizontal="center" vertical="center"/>
    </xf>
    <xf numFmtId="0" fontId="119" fillId="5" borderId="0" xfId="0" applyFont="1" applyFill="1" applyAlignment="1">
      <alignment horizontal="center" vertical="center"/>
    </xf>
    <xf numFmtId="0" fontId="128" fillId="6" borderId="827" xfId="0" applyFont="1" applyFill="1" applyBorder="1" applyAlignment="1">
      <alignment horizontal="center" vertical="center"/>
    </xf>
    <xf numFmtId="0" fontId="128" fillId="6" borderId="828" xfId="0" applyFont="1" applyFill="1" applyBorder="1" applyAlignment="1">
      <alignment horizontal="center" vertical="center"/>
    </xf>
    <xf numFmtId="0" fontId="128" fillId="6" borderId="829" xfId="0" applyFont="1" applyFill="1" applyBorder="1" applyAlignment="1">
      <alignment horizontal="center" vertical="center"/>
    </xf>
    <xf numFmtId="0" fontId="128" fillId="6" borderId="830" xfId="0" applyFont="1" applyFill="1" applyBorder="1" applyAlignment="1">
      <alignment horizontal="center" vertical="center"/>
    </xf>
    <xf numFmtId="0" fontId="129" fillId="6" borderId="830" xfId="0" applyFont="1" applyFill="1" applyBorder="1" applyAlignment="1">
      <alignment horizontal="center" vertical="center"/>
    </xf>
    <xf numFmtId="0" fontId="129" fillId="6" borderId="831" xfId="0" applyFont="1" applyFill="1" applyBorder="1" applyAlignment="1">
      <alignment horizontal="center" vertical="center"/>
    </xf>
    <xf numFmtId="0" fontId="122" fillId="5" borderId="836" xfId="0" applyFont="1" applyFill="1" applyBorder="1" applyAlignment="1">
      <alignment horizontal="left" vertical="center" wrapText="1"/>
    </xf>
    <xf numFmtId="0" fontId="122" fillId="5" borderId="837" xfId="0" applyFont="1" applyFill="1" applyBorder="1" applyAlignment="1">
      <alignment horizontal="left" vertical="center" wrapText="1"/>
    </xf>
    <xf numFmtId="0" fontId="122" fillId="5" borderId="835" xfId="0" applyFont="1" applyFill="1" applyBorder="1" applyAlignment="1">
      <alignment horizontal="left" vertical="center" wrapText="1"/>
    </xf>
    <xf numFmtId="0" fontId="125" fillId="5" borderId="0" xfId="10" applyFont="1" applyFill="1" applyAlignment="1">
      <alignment horizontal="center" vertical="center"/>
    </xf>
    <xf numFmtId="0" fontId="125" fillId="5" borderId="315" xfId="10" applyFont="1" applyFill="1" applyBorder="1" applyAlignment="1">
      <alignment horizontal="center" vertical="center"/>
    </xf>
    <xf numFmtId="0" fontId="125" fillId="5" borderId="837" xfId="10" applyFont="1" applyFill="1" applyBorder="1" applyAlignment="1">
      <alignment horizontal="center" vertical="center"/>
    </xf>
    <xf numFmtId="0" fontId="125" fillId="5" borderId="838" xfId="10" applyFont="1" applyFill="1" applyBorder="1" applyAlignment="1">
      <alignment horizontal="center" vertical="center"/>
    </xf>
    <xf numFmtId="0" fontId="120" fillId="5" borderId="839" xfId="0" applyFont="1" applyFill="1" applyBorder="1" applyAlignment="1">
      <alignment horizontal="center" vertical="center"/>
    </xf>
    <xf numFmtId="0" fontId="120" fillId="5" borderId="840" xfId="0" applyFont="1" applyFill="1" applyBorder="1" applyAlignment="1">
      <alignment horizontal="center" vertical="center"/>
    </xf>
    <xf numFmtId="0" fontId="120" fillId="5" borderId="834" xfId="0" applyFont="1" applyFill="1" applyBorder="1" applyAlignment="1">
      <alignment horizontal="center" vertical="center"/>
    </xf>
    <xf numFmtId="0" fontId="120" fillId="5" borderId="835" xfId="0" applyFont="1" applyFill="1" applyBorder="1" applyAlignment="1">
      <alignment horizontal="center" vertical="center"/>
    </xf>
    <xf numFmtId="0" fontId="121" fillId="5" borderId="841" xfId="10" applyFont="1" applyFill="1" applyBorder="1" applyAlignment="1">
      <alignment horizontal="center" vertical="center"/>
    </xf>
    <xf numFmtId="0" fontId="121" fillId="5" borderId="842" xfId="10" applyFont="1" applyFill="1" applyBorder="1" applyAlignment="1">
      <alignment horizontal="center" vertical="center"/>
    </xf>
    <xf numFmtId="0" fontId="121" fillId="5" borderId="840" xfId="10" applyFont="1" applyFill="1" applyBorder="1" applyAlignment="1">
      <alignment horizontal="center" vertical="center"/>
    </xf>
    <xf numFmtId="0" fontId="121" fillId="5" borderId="836" xfId="10" applyFont="1" applyFill="1" applyBorder="1" applyAlignment="1">
      <alignment horizontal="center" vertical="center"/>
    </xf>
    <xf numFmtId="0" fontId="121" fillId="5" borderId="837" xfId="10" applyFont="1" applyFill="1" applyBorder="1" applyAlignment="1">
      <alignment horizontal="center" vertical="center"/>
    </xf>
    <xf numFmtId="0" fontId="121" fillId="5" borderId="835" xfId="10" applyFont="1" applyFill="1" applyBorder="1" applyAlignment="1">
      <alignment horizontal="center" vertical="center"/>
    </xf>
    <xf numFmtId="0" fontId="122" fillId="5" borderId="841" xfId="0" applyFont="1" applyFill="1" applyBorder="1" applyAlignment="1">
      <alignment horizontal="left" vertical="center" wrapText="1"/>
    </xf>
    <xf numFmtId="0" fontId="122" fillId="5" borderId="842" xfId="0" applyFont="1" applyFill="1" applyBorder="1" applyAlignment="1">
      <alignment horizontal="left" vertical="center" wrapText="1"/>
    </xf>
    <xf numFmtId="0" fontId="122" fillId="5" borderId="840" xfId="0" applyFont="1" applyFill="1" applyBorder="1" applyAlignment="1">
      <alignment horizontal="left" vertical="center" wrapText="1"/>
    </xf>
    <xf numFmtId="0" fontId="122" fillId="5" borderId="841" xfId="0" applyFont="1" applyFill="1" applyBorder="1" applyAlignment="1">
      <alignment horizontal="center" vertical="center" wrapText="1"/>
    </xf>
    <xf numFmtId="0" fontId="122" fillId="5" borderId="842" xfId="0" applyFont="1" applyFill="1" applyBorder="1" applyAlignment="1">
      <alignment horizontal="center" vertical="center" wrapText="1"/>
    </xf>
    <xf numFmtId="0" fontId="122" fillId="5" borderId="836" xfId="0" applyFont="1" applyFill="1" applyBorder="1" applyAlignment="1">
      <alignment horizontal="center" vertical="center" wrapText="1"/>
    </xf>
    <xf numFmtId="0" fontId="122" fillId="5" borderId="837" xfId="0" applyFont="1" applyFill="1" applyBorder="1" applyAlignment="1">
      <alignment horizontal="center" vertical="center" wrapText="1"/>
    </xf>
    <xf numFmtId="0" fontId="36" fillId="5" borderId="0" xfId="0" applyFont="1" applyFill="1" applyAlignment="1">
      <alignment horizontal="center" vertical="center"/>
    </xf>
    <xf numFmtId="0" fontId="36" fillId="5" borderId="837" xfId="0" applyFont="1" applyFill="1" applyBorder="1" applyAlignment="1">
      <alignment horizontal="center" vertical="center"/>
    </xf>
    <xf numFmtId="0" fontId="120" fillId="5" borderId="306" xfId="0" applyFont="1" applyFill="1" applyBorder="1" applyAlignment="1">
      <alignment horizontal="center" vertical="center"/>
    </xf>
    <xf numFmtId="0" fontId="120" fillId="5" borderId="832" xfId="0" applyFont="1" applyFill="1" applyBorder="1" applyAlignment="1">
      <alignment horizontal="center" vertical="center"/>
    </xf>
    <xf numFmtId="0" fontId="121" fillId="5" borderId="0" xfId="10" applyFont="1" applyFill="1" applyBorder="1" applyAlignment="1">
      <alignment horizontal="center" vertical="center"/>
    </xf>
    <xf numFmtId="0" fontId="121" fillId="5" borderId="832" xfId="10" applyFont="1" applyFill="1" applyBorder="1" applyAlignment="1">
      <alignment horizontal="center" vertical="center"/>
    </xf>
    <xf numFmtId="0" fontId="122" fillId="5" borderId="833" xfId="0" applyFont="1" applyFill="1" applyBorder="1" applyAlignment="1">
      <alignment horizontal="left" vertical="center" wrapText="1"/>
    </xf>
    <xf numFmtId="0" fontId="122" fillId="5" borderId="0" xfId="0" applyFont="1" applyFill="1" applyAlignment="1">
      <alignment horizontal="left" vertical="center" wrapText="1"/>
    </xf>
    <xf numFmtId="0" fontId="122" fillId="5" borderId="832" xfId="0" applyFont="1" applyFill="1" applyBorder="1" applyAlignment="1">
      <alignment horizontal="left" vertical="center" wrapText="1"/>
    </xf>
    <xf numFmtId="0" fontId="122" fillId="5" borderId="0" xfId="0" applyFont="1" applyFill="1" applyAlignment="1">
      <alignment horizontal="center" vertical="center" wrapText="1"/>
    </xf>
    <xf numFmtId="0" fontId="36" fillId="5" borderId="842" xfId="0" applyFont="1" applyFill="1" applyBorder="1" applyAlignment="1">
      <alignment horizontal="center" vertical="center"/>
    </xf>
    <xf numFmtId="0" fontId="125" fillId="5" borderId="842" xfId="10" applyFont="1" applyFill="1" applyBorder="1" applyAlignment="1">
      <alignment horizontal="center" vertical="center"/>
    </xf>
    <xf numFmtId="0" fontId="125" fillId="5" borderId="843" xfId="10" applyFont="1" applyFill="1" applyBorder="1" applyAlignment="1">
      <alignment horizontal="center" vertical="center"/>
    </xf>
    <xf numFmtId="0" fontId="120" fillId="5" borderId="844" xfId="0" applyFont="1" applyFill="1" applyBorder="1" applyAlignment="1">
      <alignment horizontal="center" vertical="center"/>
    </xf>
    <xf numFmtId="0" fontId="120" fillId="5" borderId="845" xfId="0" applyFont="1" applyFill="1" applyBorder="1" applyAlignment="1">
      <alignment horizontal="center" vertical="center"/>
    </xf>
    <xf numFmtId="0" fontId="121" fillId="5" borderId="846" xfId="10" applyFont="1" applyFill="1" applyBorder="1" applyAlignment="1">
      <alignment horizontal="center" vertical="center"/>
    </xf>
    <xf numFmtId="0" fontId="121" fillId="5" borderId="847" xfId="10" applyFont="1" applyFill="1" applyBorder="1" applyAlignment="1">
      <alignment horizontal="center" vertical="center"/>
    </xf>
    <xf numFmtId="0" fontId="121" fillId="5" borderId="845" xfId="10" applyFont="1" applyFill="1" applyBorder="1" applyAlignment="1">
      <alignment horizontal="center" vertical="center"/>
    </xf>
    <xf numFmtId="0" fontId="122" fillId="5" borderId="846" xfId="0" applyFont="1" applyFill="1" applyBorder="1" applyAlignment="1">
      <alignment horizontal="left" vertical="center" wrapText="1"/>
    </xf>
    <xf numFmtId="0" fontId="122" fillId="5" borderId="847" xfId="0" applyFont="1" applyFill="1" applyBorder="1" applyAlignment="1">
      <alignment horizontal="left" vertical="center" wrapText="1"/>
    </xf>
    <xf numFmtId="0" fontId="122" fillId="5" borderId="845" xfId="0" applyFont="1" applyFill="1" applyBorder="1" applyAlignment="1">
      <alignment horizontal="left" vertical="center" wrapText="1"/>
    </xf>
    <xf numFmtId="0" fontId="122" fillId="5" borderId="846" xfId="0" applyFont="1" applyFill="1" applyBorder="1" applyAlignment="1">
      <alignment horizontal="center" vertical="center" wrapText="1"/>
    </xf>
    <xf numFmtId="0" fontId="122" fillId="5" borderId="847" xfId="0" applyFont="1" applyFill="1" applyBorder="1" applyAlignment="1">
      <alignment horizontal="center" vertical="center"/>
    </xf>
    <xf numFmtId="0" fontId="36" fillId="5" borderId="847" xfId="0" applyFont="1" applyFill="1" applyBorder="1" applyAlignment="1">
      <alignment horizontal="center" vertical="center"/>
    </xf>
    <xf numFmtId="0" fontId="125" fillId="5" borderId="847" xfId="10" applyFont="1" applyFill="1" applyBorder="1" applyAlignment="1">
      <alignment horizontal="center" vertical="center"/>
    </xf>
    <xf numFmtId="0" fontId="125" fillId="5" borderId="848" xfId="10" applyFont="1" applyFill="1" applyBorder="1" applyAlignment="1">
      <alignment horizontal="center" vertical="center"/>
    </xf>
    <xf numFmtId="0" fontId="36" fillId="5" borderId="842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/>
    </xf>
    <xf numFmtId="0" fontId="36" fillId="5" borderId="852" xfId="0" applyFont="1" applyFill="1" applyBorder="1" applyAlignment="1">
      <alignment horizontal="center" vertical="center"/>
    </xf>
    <xf numFmtId="0" fontId="125" fillId="5" borderId="852" xfId="10" applyFont="1" applyFill="1" applyBorder="1" applyAlignment="1">
      <alignment horizontal="center" vertical="center"/>
    </xf>
    <xf numFmtId="0" fontId="125" fillId="5" borderId="853" xfId="1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20" fillId="5" borderId="849" xfId="0" applyFont="1" applyFill="1" applyBorder="1" applyAlignment="1">
      <alignment horizontal="center" vertical="center"/>
    </xf>
    <xf numFmtId="0" fontId="120" fillId="5" borderId="850" xfId="0" applyFont="1" applyFill="1" applyBorder="1" applyAlignment="1">
      <alignment horizontal="center" vertical="center"/>
    </xf>
    <xf numFmtId="0" fontId="121" fillId="5" borderId="851" xfId="10" applyFont="1" applyFill="1" applyBorder="1" applyAlignment="1">
      <alignment horizontal="center" vertical="center"/>
    </xf>
    <xf numFmtId="0" fontId="121" fillId="5" borderId="852" xfId="10" applyFont="1" applyFill="1" applyBorder="1" applyAlignment="1">
      <alignment horizontal="center" vertical="center"/>
    </xf>
    <xf numFmtId="0" fontId="121" fillId="5" borderId="850" xfId="10" applyFont="1" applyFill="1" applyBorder="1" applyAlignment="1">
      <alignment horizontal="center" vertical="center"/>
    </xf>
    <xf numFmtId="0" fontId="122" fillId="5" borderId="851" xfId="0" applyFont="1" applyFill="1" applyBorder="1" applyAlignment="1">
      <alignment horizontal="left" vertical="center" wrapText="1"/>
    </xf>
    <xf numFmtId="0" fontId="122" fillId="5" borderId="852" xfId="0" applyFont="1" applyFill="1" applyBorder="1" applyAlignment="1">
      <alignment horizontal="left" vertical="center" wrapText="1"/>
    </xf>
    <xf numFmtId="0" fontId="122" fillId="5" borderId="850" xfId="0" applyFont="1" applyFill="1" applyBorder="1" applyAlignment="1">
      <alignment horizontal="left" vertical="center" wrapText="1"/>
    </xf>
    <xf numFmtId="0" fontId="122" fillId="5" borderId="851" xfId="0" applyFont="1" applyFill="1" applyBorder="1" applyAlignment="1">
      <alignment horizontal="center" vertical="center" wrapText="1"/>
    </xf>
    <xf numFmtId="0" fontId="43" fillId="4" borderId="694" xfId="0" applyFont="1" applyFill="1" applyBorder="1" applyAlignment="1">
      <alignment horizontal="center" vertical="center"/>
    </xf>
    <xf numFmtId="0" fontId="43" fillId="4" borderId="357" xfId="0" applyFont="1" applyFill="1" applyBorder="1" applyAlignment="1">
      <alignment horizontal="center" vertical="center"/>
    </xf>
    <xf numFmtId="0" fontId="43" fillId="4" borderId="695" xfId="0" applyFont="1" applyFill="1" applyBorder="1" applyAlignment="1">
      <alignment horizontal="center" vertical="center"/>
    </xf>
    <xf numFmtId="0" fontId="37" fillId="6" borderId="660" xfId="0" applyFont="1" applyFill="1" applyBorder="1" applyAlignment="1">
      <alignment horizontal="center" vertical="center"/>
    </xf>
    <xf numFmtId="0" fontId="37" fillId="6" borderId="661" xfId="0" applyFont="1" applyFill="1" applyBorder="1" applyAlignment="1">
      <alignment horizontal="center" vertical="center"/>
    </xf>
    <xf numFmtId="0" fontId="37" fillId="6" borderId="664" xfId="0" applyFont="1" applyFill="1" applyBorder="1" applyAlignment="1">
      <alignment horizontal="center" vertical="center"/>
    </xf>
    <xf numFmtId="0" fontId="114" fillId="5" borderId="786" xfId="0" applyFont="1" applyFill="1" applyBorder="1" applyAlignment="1">
      <alignment horizontal="center" vertical="center"/>
    </xf>
    <xf numFmtId="0" fontId="37" fillId="4" borderId="424" xfId="0" quotePrefix="1" applyFont="1" applyFill="1" applyBorder="1" applyAlignment="1">
      <alignment horizontal="center" vertical="center"/>
    </xf>
    <xf numFmtId="0" fontId="37" fillId="4" borderId="417" xfId="0" quotePrefix="1" applyFont="1" applyFill="1" applyBorder="1" applyAlignment="1">
      <alignment horizontal="center" vertical="center"/>
    </xf>
    <xf numFmtId="0" fontId="37" fillId="4" borderId="425" xfId="0" quotePrefix="1" applyFont="1" applyFill="1" applyBorder="1" applyAlignment="1">
      <alignment horizontal="center" vertical="center"/>
    </xf>
    <xf numFmtId="0" fontId="37" fillId="4" borderId="1012" xfId="0" quotePrefix="1" applyFont="1" applyFill="1" applyBorder="1" applyAlignment="1">
      <alignment horizontal="center" vertical="center"/>
    </xf>
    <xf numFmtId="0" fontId="43" fillId="4" borderId="426" xfId="0" applyFont="1" applyFill="1" applyBorder="1" applyAlignment="1">
      <alignment horizontal="center" vertical="center"/>
    </xf>
    <xf numFmtId="0" fontId="43" fillId="4" borderId="427" xfId="0" applyFont="1" applyFill="1" applyBorder="1" applyAlignment="1">
      <alignment horizontal="center" vertical="center"/>
    </xf>
    <xf numFmtId="0" fontId="43" fillId="4" borderId="428" xfId="0" applyFont="1" applyFill="1" applyBorder="1" applyAlignment="1">
      <alignment horizontal="center" vertical="center"/>
    </xf>
    <xf numFmtId="210" fontId="41" fillId="36" borderId="0" xfId="0" applyNumberFormat="1" applyFont="1" applyFill="1" applyAlignment="1">
      <alignment horizontal="center" vertical="center"/>
    </xf>
    <xf numFmtId="210" fontId="41" fillId="36" borderId="376" xfId="0" applyNumberFormat="1" applyFont="1" applyFill="1" applyBorder="1" applyAlignment="1">
      <alignment horizontal="center" vertical="center"/>
    </xf>
    <xf numFmtId="0" fontId="37" fillId="6" borderId="7" xfId="0" applyFont="1" applyFill="1" applyBorder="1" applyAlignment="1">
      <alignment horizontal="center" vertical="center"/>
    </xf>
    <xf numFmtId="0" fontId="37" fillId="6" borderId="14" xfId="0" applyFont="1" applyFill="1" applyBorder="1" applyAlignment="1">
      <alignment horizontal="center" vertical="center"/>
    </xf>
    <xf numFmtId="0" fontId="37" fillId="6" borderId="8" xfId="0" applyFont="1" applyFill="1" applyBorder="1" applyAlignment="1">
      <alignment horizontal="center" vertical="center"/>
    </xf>
    <xf numFmtId="210" fontId="41" fillId="32" borderId="437" xfId="0" applyNumberFormat="1" applyFont="1" applyFill="1" applyBorder="1" applyAlignment="1">
      <alignment horizontal="center" vertical="center"/>
    </xf>
    <xf numFmtId="210" fontId="41" fillId="32" borderId="0" xfId="0" applyNumberFormat="1" applyFont="1" applyFill="1" applyAlignment="1">
      <alignment horizontal="center" vertical="center"/>
    </xf>
    <xf numFmtId="210" fontId="41" fillId="32" borderId="376" xfId="0" applyNumberFormat="1" applyFont="1" applyFill="1" applyBorder="1" applyAlignment="1">
      <alignment horizontal="center" vertical="center"/>
    </xf>
    <xf numFmtId="0" fontId="36" fillId="0" borderId="0" xfId="0" applyFont="1">
      <alignment vertical="center"/>
    </xf>
    <xf numFmtId="208" fontId="36" fillId="0" borderId="0" xfId="0" applyNumberFormat="1" applyFont="1">
      <alignment vertical="center"/>
    </xf>
    <xf numFmtId="209" fontId="36" fillId="0" borderId="0" xfId="0" applyNumberFormat="1" applyFont="1">
      <alignment vertical="center"/>
    </xf>
    <xf numFmtId="0" fontId="105" fillId="5" borderId="19" xfId="0" applyFont="1" applyFill="1" applyBorder="1" applyAlignment="1">
      <alignment horizontal="left" vertical="center"/>
    </xf>
    <xf numFmtId="0" fontId="105" fillId="5" borderId="581" xfId="0" applyFont="1" applyFill="1" applyBorder="1" applyAlignment="1">
      <alignment horizontal="left" vertical="center"/>
    </xf>
    <xf numFmtId="0" fontId="37" fillId="4" borderId="7" xfId="0" applyFont="1" applyFill="1" applyBorder="1" applyAlignment="1">
      <alignment horizontal="center" vertical="center"/>
    </xf>
    <xf numFmtId="0" fontId="37" fillId="4" borderId="14" xfId="0" applyFont="1" applyFill="1" applyBorder="1" applyAlignment="1">
      <alignment horizontal="center" vertical="center"/>
    </xf>
    <xf numFmtId="0" fontId="5" fillId="0" borderId="194" xfId="0" applyFont="1" applyBorder="1" applyAlignment="1">
      <alignment horizontal="center" vertical="center" wrapText="1"/>
    </xf>
    <xf numFmtId="0" fontId="5" fillId="0" borderId="194" xfId="0" applyFont="1" applyBorder="1" applyAlignment="1">
      <alignment horizontal="center" vertical="center"/>
    </xf>
    <xf numFmtId="0" fontId="5" fillId="0" borderId="196" xfId="0" applyFont="1" applyBorder="1" applyAlignment="1">
      <alignment horizontal="center" vertical="center"/>
    </xf>
    <xf numFmtId="0" fontId="5" fillId="11" borderId="208" xfId="0" applyFont="1" applyFill="1" applyBorder="1" applyAlignment="1">
      <alignment horizontal="center" vertical="center" wrapText="1"/>
    </xf>
    <xf numFmtId="0" fontId="5" fillId="11" borderId="194" xfId="0" applyFont="1" applyFill="1" applyBorder="1" applyAlignment="1">
      <alignment horizontal="center" vertical="center"/>
    </xf>
    <xf numFmtId="0" fontId="5" fillId="0" borderId="193" xfId="0" applyFont="1" applyBorder="1" applyAlignment="1">
      <alignment horizontal="center" vertical="center" wrapText="1"/>
    </xf>
    <xf numFmtId="0" fontId="5" fillId="0" borderId="195" xfId="0" applyFont="1" applyBorder="1" applyAlignment="1">
      <alignment horizontal="center" vertical="center"/>
    </xf>
    <xf numFmtId="0" fontId="5" fillId="12" borderId="193" xfId="0" applyFont="1" applyFill="1" applyBorder="1" applyAlignment="1">
      <alignment horizontal="center" vertical="center" wrapText="1"/>
    </xf>
    <xf numFmtId="0" fontId="5" fillId="12" borderId="194" xfId="0" applyFont="1" applyFill="1" applyBorder="1" applyAlignment="1">
      <alignment horizontal="center" vertical="center"/>
    </xf>
    <xf numFmtId="0" fontId="5" fillId="12" borderId="196" xfId="0" applyFont="1" applyFill="1" applyBorder="1" applyAlignment="1">
      <alignment horizontal="center" vertical="center"/>
    </xf>
    <xf numFmtId="0" fontId="39" fillId="5" borderId="786" xfId="0" applyFont="1" applyFill="1" applyBorder="1" applyAlignment="1">
      <alignment horizontal="center" vertical="center"/>
    </xf>
    <xf numFmtId="0" fontId="43" fillId="0" borderId="741" xfId="0" applyFont="1" applyFill="1" applyBorder="1" applyAlignment="1">
      <alignment horizontal="center" vertical="center" wrapText="1"/>
    </xf>
    <xf numFmtId="0" fontId="43" fillId="0" borderId="739" xfId="0" applyFont="1" applyFill="1" applyBorder="1" applyAlignment="1">
      <alignment horizontal="center" vertical="center"/>
    </xf>
    <xf numFmtId="0" fontId="43" fillId="0" borderId="745" xfId="0" applyFont="1" applyFill="1" applyBorder="1" applyAlignment="1">
      <alignment horizontal="center" vertical="center"/>
    </xf>
    <xf numFmtId="0" fontId="43" fillId="9" borderId="761" xfId="0" applyFont="1" applyFill="1" applyBorder="1" applyAlignment="1">
      <alignment horizontal="center" vertical="center" wrapText="1"/>
    </xf>
    <xf numFmtId="0" fontId="43" fillId="9" borderId="762" xfId="0" applyFont="1" applyFill="1" applyBorder="1" applyAlignment="1">
      <alignment horizontal="center" vertical="center" wrapText="1"/>
    </xf>
    <xf numFmtId="0" fontId="37" fillId="6" borderId="612" xfId="0" applyFont="1" applyFill="1" applyBorder="1" applyAlignment="1">
      <alignment horizontal="center" vertical="center"/>
    </xf>
    <xf numFmtId="0" fontId="43" fillId="11" borderId="734" xfId="0" applyFont="1" applyFill="1" applyBorder="1" applyAlignment="1">
      <alignment horizontal="center" vertical="center" wrapText="1"/>
    </xf>
    <xf numFmtId="0" fontId="43" fillId="11" borderId="739" xfId="0" applyFont="1" applyFill="1" applyBorder="1" applyAlignment="1">
      <alignment horizontal="center" vertical="center"/>
    </xf>
    <xf numFmtId="0" fontId="43" fillId="0" borderId="743" xfId="0" applyFont="1" applyFill="1" applyBorder="1" applyAlignment="1">
      <alignment horizontal="center" vertical="center"/>
    </xf>
    <xf numFmtId="0" fontId="43" fillId="9" borderId="1023" xfId="0" applyFont="1" applyFill="1" applyBorder="1" applyAlignment="1">
      <alignment horizontal="center" vertical="center" wrapText="1"/>
    </xf>
    <xf numFmtId="0" fontId="43" fillId="9" borderId="1021" xfId="0" applyFont="1" applyFill="1" applyBorder="1" applyAlignment="1">
      <alignment horizontal="center" vertical="center" wrapText="1"/>
    </xf>
    <xf numFmtId="0" fontId="43" fillId="12" borderId="734" xfId="0" applyFont="1" applyFill="1" applyBorder="1" applyAlignment="1">
      <alignment horizontal="center" vertical="center" wrapText="1"/>
    </xf>
    <xf numFmtId="0" fontId="43" fillId="12" borderId="739" xfId="0" applyFont="1" applyFill="1" applyBorder="1" applyAlignment="1">
      <alignment horizontal="center" vertical="center"/>
    </xf>
    <xf numFmtId="0" fontId="43" fillId="12" borderId="745" xfId="0" applyFont="1" applyFill="1" applyBorder="1" applyAlignment="1">
      <alignment horizontal="center" vertical="center"/>
    </xf>
    <xf numFmtId="0" fontId="43" fillId="6" borderId="750" xfId="0" applyFont="1" applyFill="1" applyBorder="1" applyAlignment="1">
      <alignment horizontal="center" vertical="center" wrapText="1"/>
    </xf>
    <xf numFmtId="0" fontId="43" fillId="6" borderId="755" xfId="0" applyFont="1" applyFill="1" applyBorder="1" applyAlignment="1">
      <alignment horizontal="center" vertical="center" wrapText="1"/>
    </xf>
    <xf numFmtId="0" fontId="43" fillId="6" borderId="757" xfId="0" applyFont="1" applyFill="1" applyBorder="1" applyAlignment="1">
      <alignment horizontal="center" vertical="center" wrapText="1"/>
    </xf>
    <xf numFmtId="0" fontId="43" fillId="0" borderId="750" xfId="0" applyFont="1" applyFill="1" applyBorder="1" applyAlignment="1">
      <alignment horizontal="center" vertical="center" wrapText="1"/>
    </xf>
    <xf numFmtId="0" fontId="43" fillId="0" borderId="755" xfId="0" applyFont="1" applyFill="1" applyBorder="1" applyAlignment="1">
      <alignment horizontal="center" vertical="center" wrapText="1"/>
    </xf>
    <xf numFmtId="0" fontId="43" fillId="0" borderId="758" xfId="0" applyFont="1" applyFill="1" applyBorder="1" applyAlignment="1">
      <alignment horizontal="center" vertical="center" wrapText="1"/>
    </xf>
    <xf numFmtId="0" fontId="43" fillId="0" borderId="759" xfId="0" applyFont="1" applyFill="1" applyBorder="1" applyAlignment="1">
      <alignment horizontal="center" vertical="center" wrapText="1"/>
    </xf>
    <xf numFmtId="0" fontId="43" fillId="0" borderId="757" xfId="0" applyFont="1" applyFill="1" applyBorder="1" applyAlignment="1">
      <alignment horizontal="center" vertical="center" wrapText="1"/>
    </xf>
    <xf numFmtId="0" fontId="37" fillId="4" borderId="808" xfId="0" quotePrefix="1" applyFont="1" applyFill="1" applyBorder="1" applyAlignment="1">
      <alignment horizontal="center" vertical="center"/>
    </xf>
    <xf numFmtId="0" fontId="37" fillId="4" borderId="612" xfId="0" applyFont="1" applyFill="1" applyBorder="1" applyAlignment="1">
      <alignment horizontal="center" vertical="center"/>
    </xf>
    <xf numFmtId="0" fontId="44" fillId="28" borderId="476" xfId="0" applyFont="1" applyFill="1" applyBorder="1" applyAlignment="1">
      <alignment horizontal="center" vertical="center" wrapText="1"/>
    </xf>
    <xf numFmtId="0" fontId="44" fillId="28" borderId="605" xfId="0" applyFont="1" applyFill="1" applyBorder="1" applyAlignment="1">
      <alignment horizontal="center" vertical="center" wrapText="1"/>
    </xf>
    <xf numFmtId="0" fontId="44" fillId="28" borderId="606" xfId="0" applyFont="1" applyFill="1" applyBorder="1" applyAlignment="1">
      <alignment horizontal="center" vertical="center" wrapText="1"/>
    </xf>
    <xf numFmtId="0" fontId="44" fillId="28" borderId="507" xfId="0" applyFont="1" applyFill="1" applyBorder="1" applyAlignment="1">
      <alignment horizontal="center" vertical="center" wrapText="1"/>
    </xf>
    <xf numFmtId="41" fontId="37" fillId="4" borderId="424" xfId="2" quotePrefix="1" applyFont="1" applyFill="1" applyBorder="1" applyAlignment="1">
      <alignment horizontal="center" vertical="center"/>
    </xf>
    <xf numFmtId="41" fontId="37" fillId="4" borderId="417" xfId="2" applyFont="1" applyFill="1" applyBorder="1" applyAlignment="1">
      <alignment horizontal="center" vertical="center"/>
    </xf>
    <xf numFmtId="0" fontId="79" fillId="4" borderId="808" xfId="0" quotePrefix="1" applyFont="1" applyFill="1" applyBorder="1" applyAlignment="1">
      <alignment horizontal="center" vertical="center"/>
    </xf>
    <xf numFmtId="0" fontId="79" fillId="4" borderId="14" xfId="0" quotePrefix="1" applyFont="1" applyFill="1" applyBorder="1" applyAlignment="1">
      <alignment horizontal="center" vertical="center"/>
    </xf>
    <xf numFmtId="0" fontId="79" fillId="4" borderId="612" xfId="0" quotePrefix="1" applyFont="1" applyFill="1" applyBorder="1" applyAlignment="1">
      <alignment horizontal="center" vertical="center"/>
    </xf>
    <xf numFmtId="0" fontId="87" fillId="41" borderId="476" xfId="0" applyFont="1" applyFill="1" applyBorder="1" applyAlignment="1">
      <alignment horizontal="center" vertical="center" wrapText="1"/>
    </xf>
    <xf numFmtId="0" fontId="87" fillId="41" borderId="605" xfId="0" applyFont="1" applyFill="1" applyBorder="1" applyAlignment="1">
      <alignment horizontal="center" vertical="center" wrapText="1"/>
    </xf>
    <xf numFmtId="0" fontId="87" fillId="41" borderId="606" xfId="0" applyFont="1" applyFill="1" applyBorder="1" applyAlignment="1">
      <alignment horizontal="center" vertical="center" wrapText="1"/>
    </xf>
    <xf numFmtId="0" fontId="87" fillId="41" borderId="507" xfId="0" applyFont="1" applyFill="1" applyBorder="1" applyAlignment="1">
      <alignment horizontal="center" vertical="center" wrapText="1"/>
    </xf>
    <xf numFmtId="0" fontId="87" fillId="41" borderId="609" xfId="0" applyFont="1" applyFill="1" applyBorder="1" applyAlignment="1">
      <alignment horizontal="center" vertical="center" wrapText="1"/>
    </xf>
    <xf numFmtId="0" fontId="87" fillId="41" borderId="356" xfId="0" applyFont="1" applyFill="1" applyBorder="1" applyAlignment="1">
      <alignment horizontal="center" vertical="center" wrapText="1"/>
    </xf>
    <xf numFmtId="0" fontId="44" fillId="0" borderId="606" xfId="0" applyFont="1" applyBorder="1" applyAlignment="1">
      <alignment horizontal="center" vertical="center" wrapText="1"/>
    </xf>
    <xf numFmtId="0" fontId="57" fillId="0" borderId="507" xfId="0" applyFont="1" applyBorder="1" applyAlignment="1">
      <alignment horizontal="center" vertical="center" wrapText="1"/>
    </xf>
    <xf numFmtId="0" fontId="44" fillId="0" borderId="607" xfId="0" applyFont="1" applyBorder="1" applyAlignment="1">
      <alignment horizontal="center" vertical="center" wrapText="1"/>
    </xf>
    <xf numFmtId="0" fontId="57" fillId="0" borderId="603" xfId="0" applyFont="1" applyBorder="1" applyAlignment="1">
      <alignment horizontal="center" vertical="center" wrapText="1"/>
    </xf>
    <xf numFmtId="0" fontId="44" fillId="0" borderId="507" xfId="0" applyFont="1" applyBorder="1" applyAlignment="1">
      <alignment horizontal="center" vertical="center" wrapText="1"/>
    </xf>
    <xf numFmtId="0" fontId="44" fillId="13" borderId="476" xfId="0" applyFont="1" applyFill="1" applyBorder="1" applyAlignment="1">
      <alignment horizontal="center" vertical="center" wrapText="1"/>
    </xf>
    <xf numFmtId="0" fontId="57" fillId="13" borderId="605" xfId="0" applyFont="1" applyFill="1" applyBorder="1" applyAlignment="1">
      <alignment horizontal="center" vertical="center" wrapText="1"/>
    </xf>
    <xf numFmtId="0" fontId="44" fillId="13" borderId="606" xfId="0" applyFont="1" applyFill="1" applyBorder="1" applyAlignment="1">
      <alignment horizontal="center" vertical="center" wrapText="1"/>
    </xf>
    <xf numFmtId="0" fontId="57" fillId="13" borderId="507" xfId="0" applyFont="1" applyFill="1" applyBorder="1" applyAlignment="1">
      <alignment horizontal="center" vertical="center" wrapText="1"/>
    </xf>
    <xf numFmtId="0" fontId="110" fillId="5" borderId="1135" xfId="0" applyFont="1" applyFill="1" applyBorder="1" applyAlignment="1">
      <alignment horizontal="center" vertical="center"/>
    </xf>
    <xf numFmtId="0" fontId="37" fillId="4" borderId="417" xfId="0" applyFont="1" applyFill="1" applyBorder="1" applyAlignment="1">
      <alignment horizontal="center" vertical="center"/>
    </xf>
    <xf numFmtId="0" fontId="37" fillId="4" borderId="425" xfId="0" applyFont="1" applyFill="1" applyBorder="1" applyAlignment="1">
      <alignment horizontal="center" vertical="center"/>
    </xf>
    <xf numFmtId="0" fontId="44" fillId="13" borderId="1094" xfId="0" applyFont="1" applyFill="1" applyBorder="1" applyAlignment="1">
      <alignment horizontal="center" vertical="center" wrapText="1"/>
    </xf>
    <xf numFmtId="0" fontId="44" fillId="13" borderId="1095" xfId="0" applyFont="1" applyFill="1" applyBorder="1" applyAlignment="1">
      <alignment horizontal="center" vertical="center" wrapText="1"/>
    </xf>
    <xf numFmtId="0" fontId="44" fillId="13" borderId="507" xfId="0" applyFont="1" applyFill="1" applyBorder="1" applyAlignment="1">
      <alignment horizontal="center" vertical="center" wrapText="1"/>
    </xf>
    <xf numFmtId="0" fontId="44" fillId="13" borderId="609" xfId="0" applyFont="1" applyFill="1" applyBorder="1" applyAlignment="1">
      <alignment horizontal="center" vertical="center" wrapText="1"/>
    </xf>
    <xf numFmtId="0" fontId="44" fillId="13" borderId="356" xfId="0" applyFont="1" applyFill="1" applyBorder="1" applyAlignment="1">
      <alignment horizontal="center" vertical="center" wrapText="1"/>
    </xf>
    <xf numFmtId="0" fontId="87" fillId="41" borderId="1094" xfId="0" applyFont="1" applyFill="1" applyBorder="1" applyAlignment="1">
      <alignment horizontal="center" vertical="center" wrapText="1"/>
    </xf>
    <xf numFmtId="0" fontId="87" fillId="41" borderId="1095" xfId="0" applyFont="1" applyFill="1" applyBorder="1" applyAlignment="1">
      <alignment horizontal="center" vertical="center" wrapText="1"/>
    </xf>
    <xf numFmtId="0" fontId="44" fillId="28" borderId="1094" xfId="0" applyFont="1" applyFill="1" applyBorder="1" applyAlignment="1">
      <alignment horizontal="center" vertical="center" wrapText="1"/>
    </xf>
    <xf numFmtId="0" fontId="44" fillId="28" borderId="1095" xfId="0" applyFont="1" applyFill="1" applyBorder="1" applyAlignment="1">
      <alignment horizontal="center" vertical="center" wrapText="1"/>
    </xf>
    <xf numFmtId="0" fontId="44" fillId="28" borderId="609" xfId="0" applyFont="1" applyFill="1" applyBorder="1" applyAlignment="1">
      <alignment horizontal="center" vertical="center" wrapText="1"/>
    </xf>
    <xf numFmtId="0" fontId="44" fillId="28" borderId="356" xfId="0" applyFont="1" applyFill="1" applyBorder="1" applyAlignment="1">
      <alignment horizontal="center" vertical="center" wrapText="1"/>
    </xf>
    <xf numFmtId="0" fontId="44" fillId="0" borderId="1094" xfId="0" applyFont="1" applyBorder="1" applyAlignment="1">
      <alignment horizontal="center" vertical="center" wrapText="1"/>
    </xf>
    <xf numFmtId="0" fontId="57" fillId="0" borderId="1095" xfId="0" applyFont="1" applyBorder="1" applyAlignment="1">
      <alignment horizontal="center" vertical="center" wrapText="1"/>
    </xf>
    <xf numFmtId="0" fontId="44" fillId="12" borderId="1094" xfId="0" applyFont="1" applyFill="1" applyBorder="1" applyAlignment="1">
      <alignment horizontal="center" vertical="center" wrapText="1"/>
    </xf>
    <xf numFmtId="0" fontId="57" fillId="12" borderId="1095" xfId="0" applyFont="1" applyFill="1" applyBorder="1" applyAlignment="1">
      <alignment horizontal="center" vertical="center" wrapText="1"/>
    </xf>
    <xf numFmtId="0" fontId="44" fillId="12" borderId="606" xfId="0" applyFont="1" applyFill="1" applyBorder="1" applyAlignment="1">
      <alignment horizontal="center" vertical="center" wrapText="1"/>
    </xf>
    <xf numFmtId="0" fontId="57" fillId="12" borderId="507" xfId="0" applyFont="1" applyFill="1" applyBorder="1" applyAlignment="1">
      <alignment horizontal="center" vertical="center" wrapText="1"/>
    </xf>
    <xf numFmtId="0" fontId="44" fillId="12" borderId="507" xfId="0" applyFont="1" applyFill="1" applyBorder="1" applyAlignment="1">
      <alignment horizontal="center" vertical="center" wrapText="1"/>
    </xf>
    <xf numFmtId="0" fontId="44" fillId="12" borderId="607" xfId="0" applyFont="1" applyFill="1" applyBorder="1" applyAlignment="1">
      <alignment horizontal="center" vertical="center" wrapText="1"/>
    </xf>
    <xf numFmtId="0" fontId="44" fillId="12" borderId="603" xfId="0" applyFont="1" applyFill="1" applyBorder="1" applyAlignment="1">
      <alignment horizontal="center" vertical="center" wrapText="1"/>
    </xf>
    <xf numFmtId="0" fontId="44" fillId="0" borderId="1095" xfId="0" applyFont="1" applyBorder="1" applyAlignment="1">
      <alignment horizontal="center" vertical="center" wrapText="1"/>
    </xf>
    <xf numFmtId="0" fontId="44" fillId="0" borderId="609" xfId="0" applyFont="1" applyBorder="1" applyAlignment="1">
      <alignment horizontal="center" vertical="center" wrapText="1"/>
    </xf>
    <xf numFmtId="0" fontId="57" fillId="0" borderId="356" xfId="0" applyFont="1" applyBorder="1" applyAlignment="1">
      <alignment horizontal="center" vertical="center" wrapText="1"/>
    </xf>
    <xf numFmtId="0" fontId="44" fillId="0" borderId="433" xfId="0" applyFont="1" applyBorder="1" applyAlignment="1">
      <alignment horizontal="center" vertical="center" wrapText="1"/>
    </xf>
    <xf numFmtId="0" fontId="57" fillId="0" borderId="858" xfId="0" applyFont="1" applyBorder="1" applyAlignment="1">
      <alignment horizontal="center" vertical="center" wrapText="1"/>
    </xf>
    <xf numFmtId="0" fontId="44" fillId="0" borderId="1097" xfId="0" applyFont="1" applyBorder="1" applyAlignment="1">
      <alignment horizontal="center" vertical="center" wrapText="1"/>
    </xf>
    <xf numFmtId="0" fontId="57" fillId="0" borderId="1098" xfId="0" applyFont="1" applyBorder="1" applyAlignment="1">
      <alignment horizontal="center" vertical="center" wrapText="1"/>
    </xf>
    <xf numFmtId="0" fontId="47" fillId="0" borderId="6" xfId="0" quotePrefix="1" applyFont="1" applyBorder="1" applyAlignment="1">
      <alignment horizontal="center" vertical="center"/>
    </xf>
    <xf numFmtId="0" fontId="47" fillId="0" borderId="460" xfId="0" quotePrefix="1" applyFont="1" applyBorder="1" applyAlignment="1">
      <alignment horizontal="center" vertical="center"/>
    </xf>
    <xf numFmtId="0" fontId="43" fillId="9" borderId="56" xfId="0" applyFont="1" applyFill="1" applyBorder="1" applyAlignment="1">
      <alignment horizontal="center" vertical="center" wrapText="1"/>
    </xf>
    <xf numFmtId="0" fontId="43" fillId="9" borderId="0" xfId="0" applyFont="1" applyFill="1" applyBorder="1" applyAlignment="1">
      <alignment horizontal="center" vertical="center" wrapText="1"/>
    </xf>
    <xf numFmtId="0" fontId="43" fillId="9" borderId="61" xfId="0" applyFont="1" applyFill="1" applyBorder="1" applyAlignment="1">
      <alignment horizontal="center" vertical="center" wrapText="1"/>
    </xf>
    <xf numFmtId="0" fontId="43" fillId="11" borderId="208" xfId="0" applyFont="1" applyFill="1" applyBorder="1" applyAlignment="1">
      <alignment horizontal="center" vertical="center" wrapText="1"/>
    </xf>
    <xf numFmtId="0" fontId="43" fillId="11" borderId="194" xfId="0" applyFont="1" applyFill="1" applyBorder="1" applyAlignment="1">
      <alignment horizontal="center" vertical="center"/>
    </xf>
    <xf numFmtId="0" fontId="43" fillId="0" borderId="193" xfId="0" applyFont="1" applyFill="1" applyBorder="1" applyAlignment="1">
      <alignment horizontal="center" vertical="center" wrapText="1"/>
    </xf>
    <xf numFmtId="0" fontId="43" fillId="0" borderId="194" xfId="0" applyFont="1" applyFill="1" applyBorder="1" applyAlignment="1">
      <alignment horizontal="center" vertical="center"/>
    </xf>
    <xf numFmtId="0" fontId="43" fillId="0" borderId="195" xfId="0" applyFont="1" applyFill="1" applyBorder="1" applyAlignment="1">
      <alignment horizontal="center" vertical="center"/>
    </xf>
    <xf numFmtId="0" fontId="43" fillId="0" borderId="194" xfId="0" applyFont="1" applyFill="1" applyBorder="1" applyAlignment="1">
      <alignment horizontal="center" vertical="center" wrapText="1"/>
    </xf>
    <xf numFmtId="0" fontId="43" fillId="0" borderId="196" xfId="0" applyFont="1" applyFill="1" applyBorder="1" applyAlignment="1">
      <alignment horizontal="center" vertical="center"/>
    </xf>
    <xf numFmtId="0" fontId="43" fillId="0" borderId="252" xfId="0" applyFont="1" applyFill="1" applyBorder="1" applyAlignment="1">
      <alignment horizontal="center" vertical="center" wrapText="1"/>
    </xf>
    <xf numFmtId="0" fontId="43" fillId="0" borderId="253" xfId="0" applyFont="1" applyFill="1" applyBorder="1" applyAlignment="1">
      <alignment horizontal="center" vertical="center" wrapText="1"/>
    </xf>
    <xf numFmtId="0" fontId="43" fillId="0" borderId="254" xfId="0" applyFont="1" applyFill="1" applyBorder="1" applyAlignment="1">
      <alignment horizontal="center" vertical="center" wrapText="1"/>
    </xf>
    <xf numFmtId="0" fontId="43" fillId="6" borderId="246" xfId="0" applyFont="1" applyFill="1" applyBorder="1" applyAlignment="1">
      <alignment horizontal="center" vertical="center" wrapText="1"/>
    </xf>
    <xf numFmtId="0" fontId="43" fillId="6" borderId="247" xfId="0" applyFont="1" applyFill="1" applyBorder="1" applyAlignment="1">
      <alignment horizontal="center" vertical="center" wrapText="1"/>
    </xf>
    <xf numFmtId="0" fontId="43" fillId="6" borderId="247" xfId="0" applyFont="1" applyFill="1" applyBorder="1" applyAlignment="1">
      <alignment horizontal="center" vertical="center"/>
    </xf>
    <xf numFmtId="0" fontId="43" fillId="6" borderId="249" xfId="0" applyFont="1" applyFill="1" applyBorder="1" applyAlignment="1">
      <alignment horizontal="center" vertical="center"/>
    </xf>
    <xf numFmtId="0" fontId="37" fillId="4" borderId="14" xfId="0" quotePrefix="1" applyFont="1" applyFill="1" applyBorder="1" applyAlignment="1">
      <alignment horizontal="center" vertical="center"/>
    </xf>
    <xf numFmtId="0" fontId="37" fillId="4" borderId="8" xfId="0" quotePrefix="1" applyFont="1" applyFill="1" applyBorder="1" applyAlignment="1">
      <alignment horizontal="center" vertical="center"/>
    </xf>
    <xf numFmtId="0" fontId="9" fillId="0" borderId="356" xfId="0" applyFont="1" applyFill="1" applyBorder="1" applyAlignment="1">
      <alignment horizontal="center" vertical="center" wrapText="1"/>
    </xf>
    <xf numFmtId="0" fontId="9" fillId="0" borderId="354" xfId="0" applyFont="1" applyFill="1" applyBorder="1" applyAlignment="1">
      <alignment horizontal="center" vertical="center" wrapText="1"/>
    </xf>
    <xf numFmtId="0" fontId="9" fillId="0" borderId="355" xfId="0" applyFont="1" applyFill="1" applyBorder="1" applyAlignment="1">
      <alignment horizontal="center" vertical="center" wrapText="1"/>
    </xf>
    <xf numFmtId="0" fontId="9" fillId="0" borderId="208" xfId="0" applyFont="1" applyFill="1" applyBorder="1" applyAlignment="1">
      <alignment horizontal="center" vertical="center" wrapText="1"/>
    </xf>
    <xf numFmtId="0" fontId="9" fillId="0" borderId="194" xfId="0" applyFont="1" applyFill="1" applyBorder="1" applyAlignment="1">
      <alignment horizontal="center" vertical="center" wrapText="1"/>
    </xf>
    <xf numFmtId="0" fontId="9" fillId="0" borderId="19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2" fillId="3" borderId="202" xfId="0" applyFont="1" applyFill="1" applyBorder="1" applyAlignment="1">
      <alignment horizontal="center" vertical="center" wrapText="1"/>
    </xf>
    <xf numFmtId="0" fontId="12" fillId="3" borderId="83" xfId="0" applyFont="1" applyFill="1" applyBorder="1" applyAlignment="1">
      <alignment horizontal="center" vertical="center"/>
    </xf>
    <xf numFmtId="0" fontId="12" fillId="3" borderId="205" xfId="0" applyFont="1" applyFill="1" applyBorder="1" applyAlignment="1">
      <alignment horizontal="center" vertical="center"/>
    </xf>
    <xf numFmtId="0" fontId="12" fillId="0" borderId="83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/>
    </xf>
    <xf numFmtId="0" fontId="12" fillId="0" borderId="213" xfId="0" applyFont="1" applyBorder="1" applyAlignment="1">
      <alignment horizontal="center" vertical="center"/>
    </xf>
    <xf numFmtId="0" fontId="9" fillId="11" borderId="208" xfId="0" applyFont="1" applyFill="1" applyBorder="1" applyAlignment="1">
      <alignment horizontal="center" vertical="center" wrapText="1"/>
    </xf>
    <xf numFmtId="0" fontId="9" fillId="11" borderId="194" xfId="0" applyFont="1" applyFill="1" applyBorder="1" applyAlignment="1">
      <alignment horizontal="center" vertical="center" wrapText="1"/>
    </xf>
    <xf numFmtId="0" fontId="9" fillId="11" borderId="196" xfId="0" applyFont="1" applyFill="1" applyBorder="1" applyAlignment="1">
      <alignment horizontal="center" vertical="center" wrapText="1"/>
    </xf>
    <xf numFmtId="0" fontId="12" fillId="8" borderId="202" xfId="0" applyFont="1" applyFill="1" applyBorder="1" applyAlignment="1">
      <alignment horizontal="center" vertical="center" wrapText="1"/>
    </xf>
    <xf numFmtId="0" fontId="12" fillId="8" borderId="83" xfId="0" applyFont="1" applyFill="1" applyBorder="1" applyAlignment="1">
      <alignment horizontal="center" vertical="center"/>
    </xf>
    <xf numFmtId="0" fontId="12" fillId="8" borderId="205" xfId="0" applyFont="1" applyFill="1" applyBorder="1" applyAlignment="1">
      <alignment horizontal="center" vertical="center"/>
    </xf>
    <xf numFmtId="0" fontId="12" fillId="8" borderId="202" xfId="0" applyFont="1" applyFill="1" applyBorder="1" applyAlignment="1">
      <alignment horizontal="center" vertical="center"/>
    </xf>
    <xf numFmtId="0" fontId="12" fillId="8" borderId="83" xfId="0" applyFont="1" applyFill="1" applyBorder="1" applyAlignment="1">
      <alignment horizontal="center" vertical="center" wrapText="1"/>
    </xf>
    <xf numFmtId="0" fontId="12" fillId="8" borderId="854" xfId="0" applyFont="1" applyFill="1" applyBorder="1" applyAlignment="1">
      <alignment horizontal="center" vertical="center"/>
    </xf>
    <xf numFmtId="0" fontId="12" fillId="8" borderId="213" xfId="0" applyFont="1" applyFill="1" applyBorder="1" applyAlignment="1">
      <alignment horizontal="center" vertical="center"/>
    </xf>
    <xf numFmtId="0" fontId="5" fillId="11" borderId="318" xfId="0" applyFont="1" applyFill="1" applyBorder="1" applyAlignment="1">
      <alignment horizontal="center" vertical="center"/>
    </xf>
    <xf numFmtId="0" fontId="5" fillId="11" borderId="83" xfId="0" applyFont="1" applyFill="1" applyBorder="1" applyAlignment="1">
      <alignment horizontal="center" vertical="center"/>
    </xf>
    <xf numFmtId="0" fontId="5" fillId="11" borderId="205" xfId="0" applyFont="1" applyFill="1" applyBorder="1" applyAlignment="1">
      <alignment horizontal="center" vertical="center"/>
    </xf>
    <xf numFmtId="0" fontId="12" fillId="3" borderId="83" xfId="0" applyFont="1" applyFill="1" applyBorder="1" applyAlignment="1">
      <alignment horizontal="center" vertical="center" wrapText="1"/>
    </xf>
    <xf numFmtId="0" fontId="43" fillId="11" borderId="1118" xfId="0" applyFont="1" applyFill="1" applyBorder="1" applyAlignment="1">
      <alignment horizontal="center" vertical="center" wrapText="1"/>
    </xf>
    <xf numFmtId="0" fontId="43" fillId="11" borderId="1120" xfId="0" applyFont="1" applyFill="1" applyBorder="1" applyAlignment="1">
      <alignment horizontal="center" vertical="center" wrapText="1"/>
    </xf>
    <xf numFmtId="0" fontId="43" fillId="11" borderId="1122" xfId="0" applyFont="1" applyFill="1" applyBorder="1" applyAlignment="1">
      <alignment horizontal="center" vertical="center" wrapText="1"/>
    </xf>
    <xf numFmtId="0" fontId="115" fillId="5" borderId="786" xfId="0" applyFont="1" applyFill="1" applyBorder="1" applyAlignment="1">
      <alignment horizontal="center" vertical="center"/>
    </xf>
    <xf numFmtId="0" fontId="43" fillId="11" borderId="547" xfId="0" applyFont="1" applyFill="1" applyBorder="1" applyAlignment="1">
      <alignment horizontal="center" vertical="center"/>
    </xf>
    <xf numFmtId="0" fontId="44" fillId="6" borderId="509" xfId="0" applyFont="1" applyFill="1" applyBorder="1" applyAlignment="1">
      <alignment horizontal="center" vertical="center" wrapText="1"/>
    </xf>
    <xf numFmtId="0" fontId="44" fillId="6" borderId="511" xfId="0" applyFont="1" applyFill="1" applyBorder="1" applyAlignment="1">
      <alignment horizontal="center" vertical="center" wrapText="1"/>
    </xf>
    <xf numFmtId="0" fontId="43" fillId="8" borderId="510" xfId="0" applyFont="1" applyFill="1" applyBorder="1" applyAlignment="1">
      <alignment horizontal="left" vertical="center"/>
    </xf>
    <xf numFmtId="0" fontId="43" fillId="8" borderId="818" xfId="0" applyFont="1" applyFill="1" applyBorder="1" applyAlignment="1">
      <alignment horizontal="left" vertical="center"/>
    </xf>
    <xf numFmtId="0" fontId="43" fillId="8" borderId="512" xfId="0" applyFont="1" applyFill="1" applyBorder="1" applyAlignment="1">
      <alignment horizontal="left" vertical="center"/>
    </xf>
    <xf numFmtId="0" fontId="43" fillId="8" borderId="819" xfId="0" applyFont="1" applyFill="1" applyBorder="1" applyAlignment="1">
      <alignment horizontal="left" vertical="center"/>
    </xf>
    <xf numFmtId="0" fontId="43" fillId="4" borderId="771" xfId="0" quotePrefix="1" applyFont="1" applyFill="1" applyBorder="1" applyAlignment="1">
      <alignment horizontal="center" vertical="center"/>
    </xf>
    <xf numFmtId="0" fontId="43" fillId="4" borderId="590" xfId="0" quotePrefix="1" applyFont="1" applyFill="1" applyBorder="1" applyAlignment="1">
      <alignment horizontal="center" vertical="center"/>
    </xf>
    <xf numFmtId="0" fontId="43" fillId="4" borderId="817" xfId="0" quotePrefix="1" applyFont="1" applyFill="1" applyBorder="1" applyAlignment="1">
      <alignment horizontal="center" vertical="center"/>
    </xf>
    <xf numFmtId="0" fontId="37" fillId="4" borderId="1064" xfId="0" quotePrefix="1" applyFont="1" applyFill="1" applyBorder="1" applyAlignment="1">
      <alignment horizontal="center" vertical="center"/>
    </xf>
    <xf numFmtId="0" fontId="37" fillId="4" borderId="1200" xfId="0" quotePrefix="1" applyFont="1" applyFill="1" applyBorder="1" applyAlignment="1">
      <alignment horizontal="center" vertical="center"/>
    </xf>
    <xf numFmtId="0" fontId="37" fillId="4" borderId="1242" xfId="0" quotePrefix="1" applyFont="1" applyFill="1" applyBorder="1" applyAlignment="1">
      <alignment horizontal="center" vertical="center"/>
    </xf>
    <xf numFmtId="41" fontId="43" fillId="15" borderId="1161" xfId="2" applyFont="1" applyFill="1" applyBorder="1" applyAlignment="1">
      <alignment horizontal="center" vertical="center"/>
    </xf>
    <xf numFmtId="41" fontId="43" fillId="15" borderId="1162" xfId="2" applyFont="1" applyFill="1" applyBorder="1" applyAlignment="1">
      <alignment horizontal="center" vertical="center"/>
    </xf>
    <xf numFmtId="41" fontId="43" fillId="15" borderId="1163" xfId="2" applyFont="1" applyFill="1" applyBorder="1" applyAlignment="1">
      <alignment horizontal="center" vertical="center"/>
    </xf>
    <xf numFmtId="0" fontId="43" fillId="11" borderId="202" xfId="0" applyFont="1" applyFill="1" applyBorder="1" applyAlignment="1">
      <alignment horizontal="center" vertical="center" wrapText="1"/>
    </xf>
    <xf numFmtId="0" fontId="43" fillId="11" borderId="83" xfId="0" applyFont="1" applyFill="1" applyBorder="1" applyAlignment="1">
      <alignment horizontal="center" vertical="center" wrapText="1"/>
    </xf>
    <xf numFmtId="0" fontId="43" fillId="11" borderId="1116" xfId="0" applyFont="1" applyFill="1" applyBorder="1" applyAlignment="1">
      <alignment horizontal="center" vertical="center" wrapText="1"/>
    </xf>
    <xf numFmtId="0" fontId="43" fillId="11" borderId="66" xfId="0" applyFont="1" applyFill="1" applyBorder="1" applyAlignment="1">
      <alignment horizontal="center" vertical="center"/>
    </xf>
    <xf numFmtId="0" fontId="37" fillId="6" borderId="202" xfId="0" applyFont="1" applyFill="1" applyBorder="1" applyAlignment="1">
      <alignment horizontal="center" vertical="center"/>
    </xf>
    <xf numFmtId="0" fontId="37" fillId="6" borderId="66" xfId="0" applyFont="1" applyFill="1" applyBorder="1" applyAlignment="1">
      <alignment horizontal="center" vertical="center"/>
    </xf>
    <xf numFmtId="0" fontId="37" fillId="6" borderId="356" xfId="0" applyFont="1" applyFill="1" applyBorder="1" applyAlignment="1">
      <alignment horizontal="center" vertical="center"/>
    </xf>
    <xf numFmtId="41" fontId="44" fillId="28" borderId="855" xfId="2" applyFont="1" applyFill="1" applyBorder="1" applyAlignment="1">
      <alignment horizontal="center" vertical="center"/>
    </xf>
    <xf numFmtId="41" fontId="44" fillId="28" borderId="856" xfId="2" applyFont="1" applyFill="1" applyBorder="1" applyAlignment="1">
      <alignment horizontal="center" vertical="center"/>
    </xf>
    <xf numFmtId="41" fontId="44" fillId="28" borderId="1144" xfId="2" applyFont="1" applyFill="1" applyBorder="1" applyAlignment="1">
      <alignment horizontal="center" vertical="center"/>
    </xf>
    <xf numFmtId="0" fontId="44" fillId="9" borderId="856" xfId="0" quotePrefix="1" applyFont="1" applyFill="1" applyBorder="1" applyAlignment="1">
      <alignment horizontal="center" vertical="center"/>
    </xf>
    <xf numFmtId="0" fontId="44" fillId="9" borderId="856" xfId="0" applyFont="1" applyFill="1" applyBorder="1" applyAlignment="1">
      <alignment horizontal="center" vertical="center"/>
    </xf>
    <xf numFmtId="0" fontId="44" fillId="19" borderId="424" xfId="0" quotePrefix="1" applyFont="1" applyFill="1" applyBorder="1" applyAlignment="1">
      <alignment horizontal="center" vertical="center"/>
    </xf>
    <xf numFmtId="0" fontId="44" fillId="19" borderId="417" xfId="0" applyFont="1" applyFill="1" applyBorder="1" applyAlignment="1">
      <alignment horizontal="center" vertical="center"/>
    </xf>
    <xf numFmtId="0" fontId="44" fillId="19" borderId="425" xfId="0" applyFont="1" applyFill="1" applyBorder="1" applyAlignment="1">
      <alignment horizontal="center" vertical="center"/>
    </xf>
    <xf numFmtId="0" fontId="44" fillId="4" borderId="14" xfId="0" applyFont="1" applyFill="1" applyBorder="1" applyAlignment="1">
      <alignment horizontal="center" vertical="center"/>
    </xf>
    <xf numFmtId="0" fontId="44" fillId="4" borderId="1142" xfId="0" applyFont="1" applyFill="1" applyBorder="1" applyAlignment="1">
      <alignment horizontal="center" vertical="center"/>
    </xf>
    <xf numFmtId="0" fontId="43" fillId="5" borderId="0" xfId="0" applyFont="1" applyFill="1" applyBorder="1" applyAlignment="1">
      <alignment horizontal="center" vertical="center"/>
    </xf>
    <xf numFmtId="0" fontId="43" fillId="5" borderId="1143" xfId="0" applyFont="1" applyFill="1" applyBorder="1" applyAlignment="1">
      <alignment horizontal="center" vertical="center"/>
    </xf>
    <xf numFmtId="0" fontId="43" fillId="5" borderId="564" xfId="0" applyFont="1" applyFill="1" applyBorder="1" applyAlignment="1">
      <alignment horizontal="center" vertical="center"/>
    </xf>
    <xf numFmtId="0" fontId="43" fillId="9" borderId="783" xfId="0" applyFont="1" applyFill="1" applyBorder="1" applyAlignment="1">
      <alignment horizontal="center" vertical="center" wrapText="1"/>
    </xf>
    <xf numFmtId="0" fontId="43" fillId="9" borderId="174" xfId="0" applyFont="1" applyFill="1" applyBorder="1" applyAlignment="1">
      <alignment horizontal="center" vertical="center" wrapText="1"/>
    </xf>
    <xf numFmtId="0" fontId="43" fillId="9" borderId="226" xfId="0" applyFont="1" applyFill="1" applyBorder="1" applyAlignment="1">
      <alignment horizontal="center" vertical="center" wrapText="1"/>
    </xf>
    <xf numFmtId="0" fontId="43" fillId="0" borderId="228" xfId="0" applyFont="1" applyFill="1" applyBorder="1" applyAlignment="1">
      <alignment horizontal="center" vertical="center" wrapText="1"/>
    </xf>
    <xf numFmtId="0" fontId="43" fillId="0" borderId="174" xfId="0" applyFont="1" applyFill="1" applyBorder="1" applyAlignment="1">
      <alignment horizontal="center" vertical="center" wrapText="1"/>
    </xf>
    <xf numFmtId="0" fontId="43" fillId="11" borderId="4" xfId="0" applyFont="1" applyFill="1" applyBorder="1" applyAlignment="1">
      <alignment horizontal="center" vertical="center"/>
    </xf>
    <xf numFmtId="0" fontId="43" fillId="11" borderId="0" xfId="0" applyFont="1" applyFill="1" applyBorder="1" applyAlignment="1">
      <alignment horizontal="center" vertical="center"/>
    </xf>
    <xf numFmtId="0" fontId="43" fillId="11" borderId="1181" xfId="0" applyFont="1" applyFill="1" applyBorder="1" applyAlignment="1">
      <alignment horizontal="center" vertical="center"/>
    </xf>
    <xf numFmtId="0" fontId="81" fillId="76" borderId="0" xfId="0" applyFont="1" applyFill="1" applyBorder="1" applyAlignment="1">
      <alignment horizontal="center" vertical="center"/>
    </xf>
    <xf numFmtId="0" fontId="81" fillId="76" borderId="1181" xfId="0" applyFont="1" applyFill="1" applyBorder="1" applyAlignment="1">
      <alignment horizontal="center" vertical="center"/>
    </xf>
    <xf numFmtId="0" fontId="43" fillId="13" borderId="1182" xfId="0" applyFont="1" applyFill="1" applyBorder="1" applyAlignment="1">
      <alignment horizontal="center" vertical="center" wrapText="1"/>
    </xf>
    <xf numFmtId="0" fontId="43" fillId="13" borderId="238" xfId="0" applyFont="1" applyFill="1" applyBorder="1" applyAlignment="1">
      <alignment horizontal="center" vertical="center" wrapText="1"/>
    </xf>
    <xf numFmtId="0" fontId="43" fillId="13" borderId="1184" xfId="0" applyFont="1" applyFill="1" applyBorder="1" applyAlignment="1">
      <alignment horizontal="center" vertical="center" wrapText="1"/>
    </xf>
    <xf numFmtId="0" fontId="44" fillId="4" borderId="424" xfId="0" quotePrefix="1" applyFont="1" applyFill="1" applyBorder="1" applyAlignment="1">
      <alignment horizontal="center" vertical="center"/>
    </xf>
    <xf numFmtId="0" fontId="44" fillId="4" borderId="417" xfId="0" quotePrefix="1" applyFont="1" applyFill="1" applyBorder="1" applyAlignment="1">
      <alignment horizontal="center" vertical="center"/>
    </xf>
    <xf numFmtId="0" fontId="44" fillId="4" borderId="808" xfId="0" quotePrefix="1" applyFont="1" applyFill="1" applyBorder="1" applyAlignment="1">
      <alignment horizontal="center" vertical="center"/>
    </xf>
    <xf numFmtId="0" fontId="44" fillId="4" borderId="14" xfId="0" quotePrefix="1" applyFont="1" applyFill="1" applyBorder="1" applyAlignment="1">
      <alignment horizontal="center" vertical="center"/>
    </xf>
    <xf numFmtId="0" fontId="44" fillId="4" borderId="8" xfId="0" quotePrefix="1" applyFont="1" applyFill="1" applyBorder="1" applyAlignment="1">
      <alignment horizontal="center" vertical="center"/>
    </xf>
    <xf numFmtId="0" fontId="81" fillId="76" borderId="454" xfId="0" applyFont="1" applyFill="1" applyBorder="1" applyAlignment="1">
      <alignment horizontal="center" vertical="center"/>
    </xf>
    <xf numFmtId="0" fontId="43" fillId="2" borderId="230" xfId="0" applyFont="1" applyFill="1" applyBorder="1" applyAlignment="1">
      <alignment horizontal="center" vertical="center" wrapText="1"/>
    </xf>
    <xf numFmtId="0" fontId="43" fillId="2" borderId="174" xfId="0" applyFont="1" applyFill="1" applyBorder="1" applyAlignment="1">
      <alignment horizontal="center" vertical="center" wrapText="1"/>
    </xf>
    <xf numFmtId="0" fontId="43" fillId="2" borderId="231" xfId="0" applyFont="1" applyFill="1" applyBorder="1" applyAlignment="1">
      <alignment horizontal="center" vertical="center" wrapText="1"/>
    </xf>
    <xf numFmtId="0" fontId="43" fillId="4" borderId="424" xfId="0" quotePrefix="1" applyFont="1" applyFill="1" applyBorder="1" applyAlignment="1">
      <alignment horizontal="center" vertical="center"/>
    </xf>
    <xf numFmtId="0" fontId="43" fillId="4" borderId="417" xfId="0" quotePrefix="1" applyFont="1" applyFill="1" applyBorder="1" applyAlignment="1">
      <alignment horizontal="center" vertical="center"/>
    </xf>
    <xf numFmtId="0" fontId="43" fillId="0" borderId="177" xfId="0" applyFont="1" applyFill="1" applyBorder="1" applyAlignment="1">
      <alignment horizontal="center" vertical="center" wrapText="1"/>
    </xf>
    <xf numFmtId="0" fontId="43" fillId="2" borderId="228" xfId="0" applyFont="1" applyFill="1" applyBorder="1" applyAlignment="1">
      <alignment horizontal="center" vertical="center" wrapText="1"/>
    </xf>
    <xf numFmtId="0" fontId="43" fillId="13" borderId="313" xfId="0" applyFont="1" applyFill="1" applyBorder="1" applyAlignment="1">
      <alignment horizontal="center" vertical="center" wrapText="1"/>
    </xf>
    <xf numFmtId="0" fontId="43" fillId="13" borderId="0" xfId="0" applyFont="1" applyFill="1" applyBorder="1" applyAlignment="1">
      <alignment horizontal="center" vertical="center"/>
    </xf>
    <xf numFmtId="0" fontId="81" fillId="53" borderId="4" xfId="0" applyFont="1" applyFill="1" applyBorder="1" applyAlignment="1">
      <alignment horizontal="center" vertical="center"/>
    </xf>
    <xf numFmtId="0" fontId="43" fillId="13" borderId="1183" xfId="0" applyFont="1" applyFill="1" applyBorder="1" applyAlignment="1">
      <alignment horizontal="center" vertical="center"/>
    </xf>
    <xf numFmtId="0" fontId="43" fillId="6" borderId="766" xfId="0" applyFont="1" applyFill="1" applyBorder="1" applyAlignment="1">
      <alignment horizontal="center" vertical="center" wrapText="1"/>
    </xf>
    <xf numFmtId="0" fontId="43" fillId="6" borderId="511" xfId="0" applyFont="1" applyFill="1" applyBorder="1" applyAlignment="1">
      <alignment horizontal="center" vertical="center" wrapText="1"/>
    </xf>
    <xf numFmtId="0" fontId="43" fillId="6" borderId="769" xfId="0" applyFont="1" applyFill="1" applyBorder="1" applyAlignment="1">
      <alignment horizontal="center" vertical="center" wrapText="1"/>
    </xf>
    <xf numFmtId="0" fontId="43" fillId="6" borderId="574" xfId="0" applyFont="1" applyFill="1" applyBorder="1" applyAlignment="1">
      <alignment horizontal="center" vertical="center" wrapText="1"/>
    </xf>
    <xf numFmtId="0" fontId="43" fillId="6" borderId="0" xfId="0" applyFont="1" applyFill="1" applyBorder="1" applyAlignment="1">
      <alignment horizontal="center" vertical="center" wrapText="1"/>
    </xf>
    <xf numFmtId="0" fontId="43" fillId="6" borderId="470" xfId="0" applyFont="1" applyFill="1" applyBorder="1" applyAlignment="1">
      <alignment horizontal="center" vertical="center" wrapText="1"/>
    </xf>
    <xf numFmtId="0" fontId="36" fillId="8" borderId="574" xfId="0" applyFont="1" applyFill="1" applyBorder="1" applyAlignment="1">
      <alignment horizontal="left" vertical="center"/>
    </xf>
    <xf numFmtId="0" fontId="36" fillId="8" borderId="0" xfId="0" applyFont="1" applyFill="1" applyBorder="1" applyAlignment="1">
      <alignment horizontal="left" vertical="center"/>
    </xf>
    <xf numFmtId="0" fontId="36" fillId="8" borderId="470" xfId="0" applyFont="1" applyFill="1" applyBorder="1" applyAlignment="1">
      <alignment horizontal="left" vertical="center"/>
    </xf>
    <xf numFmtId="0" fontId="82" fillId="8" borderId="0" xfId="0" applyFont="1" applyFill="1" applyBorder="1" applyAlignment="1">
      <alignment horizontal="center" vertical="center" wrapText="1"/>
    </xf>
    <xf numFmtId="0" fontId="82" fillId="8" borderId="470" xfId="0" applyFont="1" applyFill="1" applyBorder="1" applyAlignment="1">
      <alignment horizontal="center" vertical="center" wrapText="1"/>
    </xf>
    <xf numFmtId="0" fontId="36" fillId="5" borderId="0" xfId="0" applyFont="1" applyFill="1" applyBorder="1" applyAlignment="1">
      <alignment horizontal="left" vertical="center"/>
    </xf>
    <xf numFmtId="0" fontId="36" fillId="5" borderId="470" xfId="0" applyFont="1" applyFill="1" applyBorder="1" applyAlignment="1">
      <alignment horizontal="left" vertical="center"/>
    </xf>
    <xf numFmtId="0" fontId="69" fillId="8" borderId="0" xfId="0" applyFont="1" applyFill="1" applyBorder="1" applyAlignment="1">
      <alignment horizontal="center" vertical="center" wrapText="1"/>
    </xf>
    <xf numFmtId="0" fontId="69" fillId="8" borderId="470" xfId="0" applyFont="1" applyFill="1" applyBorder="1" applyAlignment="1">
      <alignment horizontal="center" vertical="center" wrapText="1"/>
    </xf>
    <xf numFmtId="0" fontId="55" fillId="5" borderId="0" xfId="0" applyFont="1" applyFill="1" applyBorder="1" applyAlignment="1">
      <alignment horizontal="left" vertical="center"/>
    </xf>
    <xf numFmtId="0" fontId="55" fillId="5" borderId="470" xfId="0" applyFont="1" applyFill="1" applyBorder="1" applyAlignment="1">
      <alignment horizontal="left" vertical="center"/>
    </xf>
    <xf numFmtId="0" fontId="43" fillId="4" borderId="1078" xfId="0" quotePrefix="1" applyFont="1" applyFill="1" applyBorder="1" applyAlignment="1">
      <alignment horizontal="center" vertical="center"/>
    </xf>
    <xf numFmtId="0" fontId="43" fillId="4" borderId="573" xfId="0" quotePrefix="1" applyFont="1" applyFill="1" applyBorder="1" applyAlignment="1">
      <alignment horizontal="center" vertical="center"/>
    </xf>
    <xf numFmtId="0" fontId="43" fillId="43" borderId="192" xfId="0" applyFont="1" applyFill="1" applyBorder="1" applyAlignment="1">
      <alignment horizontal="center" vertical="center" wrapText="1"/>
    </xf>
    <xf numFmtId="0" fontId="43" fillId="43" borderId="242" xfId="0" applyFont="1" applyFill="1" applyBorder="1" applyAlignment="1">
      <alignment horizontal="center" vertical="center" wrapText="1"/>
    </xf>
    <xf numFmtId="0" fontId="43" fillId="43" borderId="244" xfId="0" applyFont="1" applyFill="1" applyBorder="1" applyAlignment="1">
      <alignment horizontal="center" vertical="center" wrapText="1"/>
    </xf>
    <xf numFmtId="0" fontId="43" fillId="43" borderId="4" xfId="0" applyFont="1" applyFill="1" applyBorder="1" applyAlignment="1">
      <alignment horizontal="center" vertical="center" wrapText="1"/>
    </xf>
    <xf numFmtId="0" fontId="43" fillId="43" borderId="0" xfId="0" applyFont="1" applyFill="1" applyBorder="1" applyAlignment="1">
      <alignment horizontal="center" vertical="center" wrapText="1"/>
    </xf>
    <xf numFmtId="0" fontId="43" fillId="43" borderId="544" xfId="0" applyFont="1" applyFill="1" applyBorder="1" applyAlignment="1">
      <alignment horizontal="center" vertical="center" wrapText="1"/>
    </xf>
    <xf numFmtId="0" fontId="43" fillId="11" borderId="547" xfId="0" applyFont="1" applyFill="1" applyBorder="1" applyAlignment="1">
      <alignment horizontal="center" vertical="center" wrapText="1"/>
    </xf>
    <xf numFmtId="0" fontId="43" fillId="11" borderId="0" xfId="0" applyFont="1" applyFill="1" applyBorder="1" applyAlignment="1">
      <alignment horizontal="center" vertical="center" wrapText="1"/>
    </xf>
    <xf numFmtId="0" fontId="43" fillId="11" borderId="544" xfId="0" applyFont="1" applyFill="1" applyBorder="1" applyAlignment="1">
      <alignment horizontal="center" vertical="center" wrapText="1"/>
    </xf>
    <xf numFmtId="0" fontId="43" fillId="11" borderId="6" xfId="0" applyFont="1" applyFill="1" applyBorder="1" applyAlignment="1">
      <alignment horizontal="center" vertical="center" wrapText="1"/>
    </xf>
    <xf numFmtId="0" fontId="43" fillId="4" borderId="589" xfId="0" quotePrefix="1" applyFont="1" applyFill="1" applyBorder="1" applyAlignment="1">
      <alignment horizontal="center" vertical="center"/>
    </xf>
    <xf numFmtId="0" fontId="43" fillId="4" borderId="413" xfId="0" quotePrefix="1" applyFont="1" applyFill="1" applyBorder="1" applyAlignment="1">
      <alignment horizontal="center" vertical="center"/>
    </xf>
    <xf numFmtId="0" fontId="43" fillId="4" borderId="572" xfId="0" quotePrefix="1" applyFont="1" applyFill="1" applyBorder="1" applyAlignment="1">
      <alignment horizontal="center" vertical="center"/>
    </xf>
    <xf numFmtId="0" fontId="44" fillId="4" borderId="1064" xfId="0" quotePrefix="1" applyFont="1" applyFill="1" applyBorder="1" applyAlignment="1">
      <alignment horizontal="center" vertical="center"/>
    </xf>
    <xf numFmtId="0" fontId="44" fillId="4" borderId="1200" xfId="0" quotePrefix="1" applyFont="1" applyFill="1" applyBorder="1" applyAlignment="1">
      <alignment horizontal="center" vertical="center"/>
    </xf>
    <xf numFmtId="0" fontId="44" fillId="4" borderId="1242" xfId="0" quotePrefix="1" applyFont="1" applyFill="1" applyBorder="1" applyAlignment="1">
      <alignment horizontal="center" vertical="center"/>
    </xf>
    <xf numFmtId="0" fontId="43" fillId="9" borderId="687" xfId="0" applyFont="1" applyFill="1" applyBorder="1" applyAlignment="1">
      <alignment horizontal="center" vertical="center" wrapText="1"/>
    </xf>
    <xf numFmtId="0" fontId="43" fillId="9" borderId="687" xfId="0" applyFont="1" applyFill="1" applyBorder="1" applyAlignment="1">
      <alignment horizontal="center" vertical="center"/>
    </xf>
    <xf numFmtId="0" fontId="43" fillId="9" borderId="629" xfId="0" applyFont="1" applyFill="1" applyBorder="1" applyAlignment="1">
      <alignment horizontal="center" vertical="center"/>
    </xf>
    <xf numFmtId="0" fontId="43" fillId="9" borderId="0" xfId="0" applyFont="1" applyFill="1" applyBorder="1" applyAlignment="1">
      <alignment horizontal="center" vertical="center"/>
    </xf>
    <xf numFmtId="0" fontId="43" fillId="9" borderId="645" xfId="0" applyFont="1" applyFill="1" applyBorder="1" applyAlignment="1">
      <alignment horizontal="center" vertical="center"/>
    </xf>
    <xf numFmtId="0" fontId="36" fillId="5" borderId="0" xfId="0" applyFont="1" applyFill="1" applyBorder="1" applyAlignment="1">
      <alignment horizontal="center" vertical="center"/>
    </xf>
    <xf numFmtId="0" fontId="36" fillId="5" borderId="470" xfId="0" applyFont="1" applyFill="1" applyBorder="1" applyAlignment="1">
      <alignment horizontal="center" vertical="center"/>
    </xf>
    <xf numFmtId="0" fontId="36" fillId="5" borderId="551" xfId="0" applyFont="1" applyFill="1" applyBorder="1" applyAlignment="1">
      <alignment horizontal="center" vertical="center"/>
    </xf>
    <xf numFmtId="0" fontId="82" fillId="8" borderId="551" xfId="0" applyFont="1" applyFill="1" applyBorder="1" applyAlignment="1">
      <alignment horizontal="center" vertical="center" wrapText="1"/>
    </xf>
    <xf numFmtId="0" fontId="36" fillId="8" borderId="0" xfId="0" applyFont="1" applyFill="1" applyBorder="1" applyAlignment="1">
      <alignment horizontal="center" vertical="center"/>
    </xf>
    <xf numFmtId="0" fontId="36" fillId="8" borderId="470" xfId="0" applyFont="1" applyFill="1" applyBorder="1" applyAlignment="1">
      <alignment horizontal="center" vertical="center"/>
    </xf>
    <xf numFmtId="0" fontId="37" fillId="4" borderId="424" xfId="0" applyFont="1" applyFill="1" applyBorder="1" applyAlignment="1">
      <alignment horizontal="center" vertical="center"/>
    </xf>
    <xf numFmtId="0" fontId="43" fillId="43" borderId="424" xfId="0" applyFont="1" applyFill="1" applyBorder="1" applyAlignment="1">
      <alignment horizontal="center" vertical="center" wrapText="1"/>
    </xf>
    <xf numFmtId="0" fontId="43" fillId="43" borderId="437" xfId="0" applyFont="1" applyFill="1" applyBorder="1" applyAlignment="1">
      <alignment horizontal="center" vertical="center" wrapText="1"/>
    </xf>
    <xf numFmtId="0" fontId="43" fillId="43" borderId="430" xfId="0" applyFont="1" applyFill="1" applyBorder="1" applyAlignment="1">
      <alignment horizontal="center" vertical="center" wrapText="1"/>
    </xf>
    <xf numFmtId="0" fontId="43" fillId="6" borderId="551" xfId="0" applyFont="1" applyFill="1" applyBorder="1" applyAlignment="1">
      <alignment horizontal="center" vertical="center" wrapText="1"/>
    </xf>
    <xf numFmtId="0" fontId="43" fillId="43" borderId="417" xfId="0" applyFont="1" applyFill="1" applyBorder="1" applyAlignment="1">
      <alignment horizontal="center" vertical="center" wrapText="1"/>
    </xf>
    <xf numFmtId="0" fontId="43" fillId="11" borderId="431" xfId="0" applyFont="1" applyFill="1" applyBorder="1" applyAlignment="1">
      <alignment horizontal="center" vertical="center" wrapText="1"/>
    </xf>
    <xf numFmtId="0" fontId="44" fillId="0" borderId="179" xfId="0" applyFont="1" applyFill="1" applyBorder="1" applyAlignment="1">
      <alignment horizontal="center" vertical="center" wrapText="1"/>
    </xf>
    <xf numFmtId="0" fontId="44" fillId="0" borderId="180" xfId="0" applyFont="1" applyFill="1" applyBorder="1" applyAlignment="1">
      <alignment horizontal="center" vertical="center"/>
    </xf>
    <xf numFmtId="0" fontId="44" fillId="0" borderId="180" xfId="0" applyFont="1" applyFill="1" applyBorder="1" applyAlignment="1">
      <alignment horizontal="center" vertical="center" wrapText="1"/>
    </xf>
    <xf numFmtId="0" fontId="44" fillId="0" borderId="1173" xfId="0" applyFont="1" applyFill="1" applyBorder="1" applyAlignment="1">
      <alignment horizontal="center" vertical="center" wrapText="1"/>
    </xf>
    <xf numFmtId="0" fontId="43" fillId="9" borderId="176" xfId="0" applyFont="1" applyFill="1" applyBorder="1" applyAlignment="1">
      <alignment horizontal="center" vertical="center" wrapText="1"/>
    </xf>
    <xf numFmtId="0" fontId="36" fillId="0" borderId="228" xfId="0" applyFont="1" applyFill="1" applyBorder="1" applyAlignment="1">
      <alignment horizontal="center" vertical="center" wrapText="1"/>
    </xf>
    <xf numFmtId="0" fontId="36" fillId="0" borderId="174" xfId="0" applyFont="1" applyFill="1" applyBorder="1" applyAlignment="1">
      <alignment horizontal="center" vertical="center" wrapText="1"/>
    </xf>
    <xf numFmtId="0" fontId="36" fillId="2" borderId="230" xfId="0" applyFont="1" applyFill="1" applyBorder="1" applyAlignment="1">
      <alignment horizontal="center" vertical="center" wrapText="1"/>
    </xf>
    <xf numFmtId="0" fontId="36" fillId="2" borderId="174" xfId="0" applyFont="1" applyFill="1" applyBorder="1" applyAlignment="1">
      <alignment horizontal="center" vertical="center" wrapText="1"/>
    </xf>
    <xf numFmtId="0" fontId="36" fillId="2" borderId="231" xfId="0" applyFont="1" applyFill="1" applyBorder="1" applyAlignment="1">
      <alignment horizontal="center" vertical="center" wrapText="1"/>
    </xf>
    <xf numFmtId="0" fontId="36" fillId="0" borderId="177" xfId="0" applyFont="1" applyFill="1" applyBorder="1" applyAlignment="1">
      <alignment horizontal="center" vertical="center" wrapText="1"/>
    </xf>
    <xf numFmtId="0" fontId="43" fillId="13" borderId="240" xfId="0" applyFont="1" applyFill="1" applyBorder="1" applyAlignment="1">
      <alignment horizontal="center" vertical="center" wrapText="1"/>
    </xf>
    <xf numFmtId="0" fontId="36" fillId="6" borderId="490" xfId="0" applyFont="1" applyFill="1" applyBorder="1" applyAlignment="1">
      <alignment horizontal="center" vertical="center" wrapText="1"/>
    </xf>
    <xf numFmtId="0" fontId="36" fillId="6" borderId="491" xfId="0" applyFont="1" applyFill="1" applyBorder="1" applyAlignment="1">
      <alignment horizontal="center" vertical="center" wrapText="1"/>
    </xf>
    <xf numFmtId="0" fontId="36" fillId="11" borderId="271" xfId="0" applyFont="1" applyFill="1" applyBorder="1" applyAlignment="1">
      <alignment horizontal="center" vertical="center"/>
    </xf>
    <xf numFmtId="0" fontId="36" fillId="11" borderId="272" xfId="0" applyFont="1" applyFill="1" applyBorder="1" applyAlignment="1">
      <alignment horizontal="center" vertical="center"/>
    </xf>
    <xf numFmtId="0" fontId="36" fillId="0" borderId="290" xfId="0" quotePrefix="1" applyFont="1" applyBorder="1" applyAlignment="1">
      <alignment horizontal="left" vertical="center"/>
    </xf>
    <xf numFmtId="0" fontId="36" fillId="0" borderId="279" xfId="0" quotePrefix="1" applyFont="1" applyBorder="1" applyAlignment="1">
      <alignment horizontal="left" vertical="center"/>
    </xf>
    <xf numFmtId="0" fontId="36" fillId="11" borderId="279" xfId="0" quotePrefix="1" applyFont="1" applyFill="1" applyBorder="1" applyAlignment="1">
      <alignment horizontal="left" vertical="center"/>
    </xf>
    <xf numFmtId="0" fontId="36" fillId="11" borderId="280" xfId="0" quotePrefix="1" applyFont="1" applyFill="1" applyBorder="1" applyAlignment="1">
      <alignment horizontal="left" vertical="center"/>
    </xf>
    <xf numFmtId="0" fontId="36" fillId="11" borderId="273" xfId="0" applyFont="1" applyFill="1" applyBorder="1" applyAlignment="1">
      <alignment horizontal="center" vertical="center"/>
    </xf>
    <xf numFmtId="0" fontId="36" fillId="11" borderId="289" xfId="0" quotePrefix="1" applyFont="1" applyFill="1" applyBorder="1" applyAlignment="1">
      <alignment horizontal="left" vertical="center"/>
    </xf>
    <xf numFmtId="0" fontId="36" fillId="0" borderId="274" xfId="0" quotePrefix="1" applyFont="1" applyBorder="1" applyAlignment="1">
      <alignment horizontal="left" vertical="center"/>
    </xf>
    <xf numFmtId="0" fontId="36" fillId="2" borderId="279" xfId="0" quotePrefix="1" applyFont="1" applyFill="1" applyBorder="1" applyAlignment="1">
      <alignment horizontal="left" vertical="center"/>
    </xf>
    <xf numFmtId="0" fontId="36" fillId="0" borderId="280" xfId="0" quotePrefix="1" applyFont="1" applyBorder="1" applyAlignment="1">
      <alignment horizontal="left" vertical="center"/>
    </xf>
    <xf numFmtId="0" fontId="36" fillId="11" borderId="281" xfId="0" quotePrefix="1" applyFont="1" applyFill="1" applyBorder="1" applyAlignment="1">
      <alignment horizontal="left" vertical="center"/>
    </xf>
    <xf numFmtId="0" fontId="36" fillId="11" borderId="282" xfId="0" quotePrefix="1" applyFont="1" applyFill="1" applyBorder="1" applyAlignment="1">
      <alignment horizontal="left" vertical="center"/>
    </xf>
    <xf numFmtId="0" fontId="36" fillId="6" borderId="621" xfId="0" applyFont="1" applyFill="1" applyBorder="1" applyAlignment="1">
      <alignment horizontal="center" vertical="center" wrapText="1"/>
    </xf>
    <xf numFmtId="0" fontId="36" fillId="6" borderId="622" xfId="0" applyFont="1" applyFill="1" applyBorder="1" applyAlignment="1">
      <alignment horizontal="center" vertical="center" wrapText="1"/>
    </xf>
    <xf numFmtId="0" fontId="55" fillId="6" borderId="622" xfId="0" applyFont="1" applyFill="1" applyBorder="1" applyAlignment="1">
      <alignment horizontal="center" vertical="center" wrapText="1"/>
    </xf>
    <xf numFmtId="0" fontId="55" fillId="6" borderId="623" xfId="0" applyFont="1" applyFill="1" applyBorder="1" applyAlignment="1">
      <alignment horizontal="center" vertical="center" wrapText="1"/>
    </xf>
    <xf numFmtId="0" fontId="36" fillId="11" borderId="624" xfId="0" applyFont="1" applyFill="1" applyBorder="1" applyAlignment="1">
      <alignment horizontal="center" vertical="center"/>
    </xf>
    <xf numFmtId="0" fontId="36" fillId="11" borderId="625" xfId="0" applyFont="1" applyFill="1" applyBorder="1" applyAlignment="1">
      <alignment horizontal="center" vertical="center"/>
    </xf>
    <xf numFmtId="0" fontId="36" fillId="11" borderId="626" xfId="0" applyFont="1" applyFill="1" applyBorder="1" applyAlignment="1">
      <alignment horizontal="center" vertical="center"/>
    </xf>
    <xf numFmtId="0" fontId="43" fillId="4" borderId="692" xfId="0" quotePrefix="1" applyFont="1" applyFill="1" applyBorder="1" applyAlignment="1">
      <alignment horizontal="center" vertical="center"/>
    </xf>
    <xf numFmtId="0" fontId="43" fillId="4" borderId="613" xfId="0" quotePrefix="1" applyFont="1" applyFill="1" applyBorder="1" applyAlignment="1">
      <alignment horizontal="center" vertical="center"/>
    </xf>
    <xf numFmtId="0" fontId="44" fillId="0" borderId="208" xfId="0" applyFont="1" applyFill="1" applyBorder="1" applyAlignment="1">
      <alignment horizontal="center" vertical="center" wrapText="1"/>
    </xf>
    <xf numFmtId="0" fontId="44" fillId="0" borderId="194" xfId="0" applyFont="1" applyFill="1" applyBorder="1" applyAlignment="1">
      <alignment horizontal="center" vertical="center" wrapText="1"/>
    </xf>
    <xf numFmtId="0" fontId="44" fillId="0" borderId="196" xfId="0" applyFont="1" applyFill="1" applyBorder="1" applyAlignment="1">
      <alignment horizontal="center" vertical="center" wrapText="1"/>
    </xf>
    <xf numFmtId="0" fontId="44" fillId="11" borderId="208" xfId="0" applyFont="1" applyFill="1" applyBorder="1" applyAlignment="1">
      <alignment horizontal="center" vertical="center" wrapText="1"/>
    </xf>
    <xf numFmtId="0" fontId="44" fillId="11" borderId="194" xfId="0" applyFont="1" applyFill="1" applyBorder="1" applyAlignment="1">
      <alignment horizontal="center" vertical="center" wrapText="1"/>
    </xf>
    <xf numFmtId="0" fontId="44" fillId="11" borderId="196" xfId="0" applyFont="1" applyFill="1" applyBorder="1" applyAlignment="1">
      <alignment horizontal="center" vertical="center" wrapText="1"/>
    </xf>
    <xf numFmtId="0" fontId="44" fillId="0" borderId="181" xfId="0" applyFont="1" applyFill="1" applyBorder="1" applyAlignment="1">
      <alignment horizontal="center" vertical="center"/>
    </xf>
    <xf numFmtId="0" fontId="44" fillId="0" borderId="181" xfId="0" applyFont="1" applyFill="1" applyBorder="1" applyAlignment="1">
      <alignment horizontal="center" vertical="center" wrapText="1"/>
    </xf>
    <xf numFmtId="0" fontId="44" fillId="9" borderId="179" xfId="0" applyFont="1" applyFill="1" applyBorder="1" applyAlignment="1">
      <alignment horizontal="center" vertical="center" wrapText="1"/>
    </xf>
    <xf numFmtId="0" fontId="44" fillId="9" borderId="180" xfId="0" applyFont="1" applyFill="1" applyBorder="1" applyAlignment="1">
      <alignment horizontal="center" vertical="center"/>
    </xf>
    <xf numFmtId="0" fontId="44" fillId="9" borderId="181" xfId="0" applyFont="1" applyFill="1" applyBorder="1" applyAlignment="1">
      <alignment horizontal="center" vertical="center"/>
    </xf>
    <xf numFmtId="0" fontId="44" fillId="9" borderId="627" xfId="0" applyFont="1" applyFill="1" applyBorder="1" applyAlignment="1">
      <alignment horizontal="center" vertical="center" wrapText="1"/>
    </xf>
    <xf numFmtId="0" fontId="44" fillId="9" borderId="637" xfId="0" applyFont="1" applyFill="1" applyBorder="1" applyAlignment="1">
      <alignment horizontal="center" vertical="center"/>
    </xf>
    <xf numFmtId="0" fontId="44" fillId="9" borderId="643" xfId="0" applyFont="1" applyFill="1" applyBorder="1" applyAlignment="1">
      <alignment horizontal="center" vertical="center"/>
    </xf>
    <xf numFmtId="0" fontId="37" fillId="15" borderId="661" xfId="0" applyFont="1" applyFill="1" applyBorder="1" applyAlignment="1">
      <alignment horizontal="center" vertical="center"/>
    </xf>
    <xf numFmtId="0" fontId="43" fillId="4" borderId="669" xfId="0" quotePrefix="1" applyFont="1" applyFill="1" applyBorder="1" applyAlignment="1">
      <alignment horizontal="center" vertical="center"/>
    </xf>
    <xf numFmtId="0" fontId="57" fillId="4" borderId="670" xfId="0" quotePrefix="1" applyFont="1" applyFill="1" applyBorder="1" applyAlignment="1">
      <alignment horizontal="center" vertical="center"/>
    </xf>
    <xf numFmtId="0" fontId="57" fillId="4" borderId="671" xfId="0" quotePrefix="1" applyFont="1" applyFill="1" applyBorder="1" applyAlignment="1">
      <alignment horizontal="center" vertical="center"/>
    </xf>
    <xf numFmtId="0" fontId="37" fillId="4" borderId="1222" xfId="0" quotePrefix="1" applyFont="1" applyFill="1" applyBorder="1" applyAlignment="1">
      <alignment horizontal="center" vertical="center"/>
    </xf>
    <xf numFmtId="0" fontId="37" fillId="4" borderId="586" xfId="0" quotePrefix="1" applyFont="1" applyFill="1" applyBorder="1" applyAlignment="1">
      <alignment horizontal="center" vertical="center"/>
    </xf>
    <xf numFmtId="221" fontId="36" fillId="34" borderId="0" xfId="0" applyNumberFormat="1" applyFont="1" applyFill="1" applyBorder="1" applyAlignment="1">
      <alignment horizontal="center" vertical="center"/>
    </xf>
    <xf numFmtId="0" fontId="37" fillId="4" borderId="661" xfId="0" applyFont="1" applyFill="1" applyBorder="1" applyAlignment="1">
      <alignment horizontal="center" vertical="center"/>
    </xf>
    <xf numFmtId="221" fontId="55" fillId="0" borderId="0" xfId="0" applyNumberFormat="1" applyFont="1" applyBorder="1" applyAlignment="1">
      <alignment horizontal="center" vertical="center"/>
    </xf>
    <xf numFmtId="221" fontId="36" fillId="47" borderId="0" xfId="0" applyNumberFormat="1" applyFont="1" applyFill="1" applyBorder="1" applyAlignment="1">
      <alignment horizontal="center" vertical="center"/>
    </xf>
    <xf numFmtId="0" fontId="55" fillId="15" borderId="661" xfId="0" applyFont="1" applyFill="1" applyBorder="1" applyAlignment="1">
      <alignment horizontal="center" vertical="center"/>
    </xf>
    <xf numFmtId="0" fontId="55" fillId="29" borderId="663" xfId="0" applyFont="1" applyFill="1" applyBorder="1" applyAlignment="1">
      <alignment horizontal="center" vertical="center"/>
    </xf>
    <xf numFmtId="0" fontId="55" fillId="29" borderId="662" xfId="0" applyFont="1" applyFill="1" applyBorder="1" applyAlignment="1">
      <alignment horizontal="center" vertical="center"/>
    </xf>
    <xf numFmtId="0" fontId="37" fillId="6" borderId="663" xfId="0" applyFont="1" applyFill="1" applyBorder="1" applyAlignment="1">
      <alignment horizontal="center" vertical="center"/>
    </xf>
    <xf numFmtId="0" fontId="43" fillId="4" borderId="665" xfId="0" quotePrefix="1" applyFont="1" applyFill="1" applyBorder="1" applyAlignment="1">
      <alignment horizontal="center" vertical="center"/>
    </xf>
    <xf numFmtId="0" fontId="43" fillId="4" borderId="666" xfId="0" quotePrefix="1" applyFont="1" applyFill="1" applyBorder="1" applyAlignment="1">
      <alignment horizontal="center" vertical="center"/>
    </xf>
    <xf numFmtId="0" fontId="43" fillId="4" borderId="667" xfId="0" quotePrefix="1" applyFont="1" applyFill="1" applyBorder="1" applyAlignment="1">
      <alignment horizontal="center" vertical="center"/>
    </xf>
    <xf numFmtId="0" fontId="44" fillId="15" borderId="208" xfId="0" applyFont="1" applyFill="1" applyBorder="1" applyAlignment="1">
      <alignment horizontal="center" vertical="center" wrapText="1"/>
    </xf>
    <xf numFmtId="0" fontId="44" fillId="15" borderId="194" xfId="0" applyFont="1" applyFill="1" applyBorder="1" applyAlignment="1">
      <alignment horizontal="center" vertical="center" wrapText="1"/>
    </xf>
    <xf numFmtId="0" fontId="44" fillId="15" borderId="798" xfId="0" applyFont="1" applyFill="1" applyBorder="1" applyAlignment="1">
      <alignment horizontal="center" vertical="center" wrapText="1"/>
    </xf>
    <xf numFmtId="0" fontId="78" fillId="31" borderId="6" xfId="0" quotePrefix="1" applyFont="1" applyFill="1" applyBorder="1" applyAlignment="1">
      <alignment horizontal="center" vertical="center"/>
    </xf>
    <xf numFmtId="0" fontId="79" fillId="6" borderId="661" xfId="0" applyFont="1" applyFill="1" applyBorder="1" applyAlignment="1">
      <alignment horizontal="center" vertical="center"/>
    </xf>
    <xf numFmtId="221" fontId="55" fillId="0" borderId="454" xfId="0" applyNumberFormat="1" applyFont="1" applyBorder="1" applyAlignment="1">
      <alignment horizontal="center" vertical="center"/>
    </xf>
    <xf numFmtId="0" fontId="37" fillId="4" borderId="1221" xfId="0" quotePrefix="1" applyFont="1" applyFill="1" applyBorder="1" applyAlignment="1">
      <alignment horizontal="center" vertical="center"/>
    </xf>
    <xf numFmtId="0" fontId="37" fillId="43" borderId="661" xfId="0" applyFont="1" applyFill="1" applyBorder="1" applyAlignment="1">
      <alignment horizontal="center" vertical="center"/>
    </xf>
    <xf numFmtId="221" fontId="81" fillId="50" borderId="4" xfId="0" applyNumberFormat="1" applyFont="1" applyFill="1" applyBorder="1" applyAlignment="1">
      <alignment horizontal="center" vertical="center"/>
    </xf>
    <xf numFmtId="221" fontId="36" fillId="51" borderId="0" xfId="0" applyNumberFormat="1" applyFont="1" applyFill="1" applyBorder="1" applyAlignment="1">
      <alignment horizontal="center" vertical="center"/>
    </xf>
    <xf numFmtId="221" fontId="36" fillId="0" borderId="0" xfId="0" applyNumberFormat="1" applyFont="1" applyBorder="1" applyAlignment="1">
      <alignment horizontal="center" vertical="center"/>
    </xf>
    <xf numFmtId="221" fontId="36" fillId="47" borderId="796" xfId="0" applyNumberFormat="1" applyFont="1" applyFill="1" applyBorder="1" applyAlignment="1">
      <alignment horizontal="center" vertical="center"/>
    </xf>
    <xf numFmtId="221" fontId="36" fillId="0" borderId="794" xfId="0" applyNumberFormat="1" applyFont="1" applyBorder="1" applyAlignment="1">
      <alignment horizontal="center" vertical="center"/>
    </xf>
    <xf numFmtId="221" fontId="36" fillId="51" borderId="796" xfId="0" applyNumberFormat="1" applyFont="1" applyFill="1" applyBorder="1" applyAlignment="1">
      <alignment horizontal="center" vertical="center"/>
    </xf>
    <xf numFmtId="221" fontId="36" fillId="47" borderId="794" xfId="0" applyNumberFormat="1" applyFont="1" applyFill="1" applyBorder="1" applyAlignment="1">
      <alignment horizontal="center" vertical="center"/>
    </xf>
    <xf numFmtId="0" fontId="37" fillId="6" borderId="662" xfId="0" applyFont="1" applyFill="1" applyBorder="1" applyAlignment="1">
      <alignment horizontal="center" vertical="center"/>
    </xf>
    <xf numFmtId="0" fontId="43" fillId="4" borderId="765" xfId="0" quotePrefix="1" applyFont="1" applyFill="1" applyBorder="1" applyAlignment="1">
      <alignment horizontal="center" vertical="center"/>
    </xf>
    <xf numFmtId="0" fontId="44" fillId="43" borderId="609" xfId="0" applyFont="1" applyFill="1" applyBorder="1" applyAlignment="1">
      <alignment horizontal="center" vertical="center"/>
    </xf>
    <xf numFmtId="0" fontId="44" fillId="43" borderId="66" xfId="0" applyFont="1" applyFill="1" applyBorder="1" applyAlignment="1">
      <alignment horizontal="center" vertical="center"/>
    </xf>
    <xf numFmtId="0" fontId="43" fillId="9" borderId="627" xfId="0" applyFont="1" applyFill="1" applyBorder="1" applyAlignment="1">
      <alignment horizontal="center" vertical="center"/>
    </xf>
    <xf numFmtId="0" fontId="43" fillId="9" borderId="637" xfId="0" applyFont="1" applyFill="1" applyBorder="1" applyAlignment="1">
      <alignment horizontal="center" vertical="center"/>
    </xf>
    <xf numFmtId="0" fontId="43" fillId="9" borderId="643" xfId="0" applyFont="1" applyFill="1" applyBorder="1" applyAlignment="1">
      <alignment horizontal="center" vertical="center"/>
    </xf>
    <xf numFmtId="0" fontId="43" fillId="11" borderId="193" xfId="0" applyFont="1" applyFill="1" applyBorder="1" applyAlignment="1">
      <alignment horizontal="center" vertical="center"/>
    </xf>
    <xf numFmtId="0" fontId="43" fillId="11" borderId="196" xfId="0" applyFont="1" applyFill="1" applyBorder="1" applyAlignment="1">
      <alignment horizontal="center" vertical="center"/>
    </xf>
    <xf numFmtId="0" fontId="43" fillId="11" borderId="208" xfId="0" applyFont="1" applyFill="1" applyBorder="1" applyAlignment="1">
      <alignment horizontal="center" vertical="center"/>
    </xf>
    <xf numFmtId="0" fontId="43" fillId="11" borderId="1008" xfId="0" applyFont="1" applyFill="1" applyBorder="1" applyAlignment="1">
      <alignment horizontal="center" vertical="center"/>
    </xf>
    <xf numFmtId="0" fontId="43" fillId="9" borderId="180" xfId="0" applyFont="1" applyFill="1" applyBorder="1" applyAlignment="1">
      <alignment horizontal="center" vertical="center"/>
    </xf>
    <xf numFmtId="0" fontId="43" fillId="11" borderId="199" xfId="0" applyFont="1" applyFill="1" applyBorder="1" applyAlignment="1">
      <alignment horizontal="center" vertical="center" wrapText="1"/>
    </xf>
    <xf numFmtId="0" fontId="43" fillId="11" borderId="133" xfId="0" applyFont="1" applyFill="1" applyBorder="1" applyAlignment="1">
      <alignment horizontal="center" vertical="center" wrapText="1"/>
    </xf>
    <xf numFmtId="0" fontId="43" fillId="4" borderId="656" xfId="0" quotePrefix="1" applyFont="1" applyFill="1" applyBorder="1" applyAlignment="1">
      <alignment horizontal="center" vertical="center"/>
    </xf>
    <xf numFmtId="0" fontId="57" fillId="4" borderId="656" xfId="0" quotePrefix="1" applyFont="1" applyFill="1" applyBorder="1" applyAlignment="1">
      <alignment horizontal="center" vertical="center"/>
    </xf>
    <xf numFmtId="0" fontId="67" fillId="6" borderId="923" xfId="0" applyFont="1" applyFill="1" applyBorder="1" applyAlignment="1">
      <alignment horizontal="center" vertical="center" wrapText="1"/>
    </xf>
    <xf numFmtId="0" fontId="69" fillId="8" borderId="25" xfId="0" applyFont="1" applyFill="1" applyBorder="1" applyAlignment="1">
      <alignment horizontal="left" vertical="center"/>
    </xf>
    <xf numFmtId="0" fontId="69" fillId="8" borderId="1051" xfId="0" applyFont="1" applyFill="1" applyBorder="1" applyAlignment="1">
      <alignment horizontal="left" vertical="center"/>
    </xf>
    <xf numFmtId="0" fontId="70" fillId="0" borderId="883" xfId="0" applyFont="1" applyBorder="1" applyAlignment="1">
      <alignment horizontal="left" vertical="center"/>
    </xf>
    <xf numFmtId="0" fontId="70" fillId="0" borderId="924" xfId="0" applyFont="1" applyBorder="1" applyAlignment="1">
      <alignment horizontal="left" vertical="center"/>
    </xf>
    <xf numFmtId="0" fontId="67" fillId="6" borderId="930" xfId="0" applyFont="1" applyFill="1" applyBorder="1" applyAlignment="1">
      <alignment horizontal="center" vertical="center" wrapText="1"/>
    </xf>
    <xf numFmtId="0" fontId="44" fillId="4" borderId="1222" xfId="0" quotePrefix="1" applyFont="1" applyFill="1" applyBorder="1" applyAlignment="1">
      <alignment horizontal="center" vertical="center"/>
    </xf>
    <xf numFmtId="0" fontId="44" fillId="4" borderId="425" xfId="0" quotePrefix="1" applyFont="1" applyFill="1" applyBorder="1" applyAlignment="1">
      <alignment horizontal="center" vertical="center"/>
    </xf>
    <xf numFmtId="0" fontId="69" fillId="8" borderId="931" xfId="0" applyFont="1" applyFill="1" applyBorder="1" applyAlignment="1">
      <alignment horizontal="left" vertical="center"/>
    </xf>
    <xf numFmtId="0" fontId="69" fillId="8" borderId="932" xfId="0" applyFont="1" applyFill="1" applyBorder="1" applyAlignment="1">
      <alignment horizontal="left" vertical="center"/>
    </xf>
    <xf numFmtId="0" fontId="67" fillId="6" borderId="953" xfId="0" applyFont="1" applyFill="1" applyBorder="1" applyAlignment="1">
      <alignment horizontal="center" vertical="center" wrapText="1"/>
    </xf>
    <xf numFmtId="0" fontId="43" fillId="4" borderId="1053" xfId="0" quotePrefix="1" applyFont="1" applyFill="1" applyBorder="1" applyAlignment="1">
      <alignment horizontal="center" vertical="center"/>
    </xf>
    <xf numFmtId="0" fontId="57" fillId="4" borderId="1011" xfId="0" quotePrefix="1" applyFont="1" applyFill="1" applyBorder="1" applyAlignment="1">
      <alignment horizontal="center" vertical="center"/>
    </xf>
    <xf numFmtId="0" fontId="57" fillId="4" borderId="1054" xfId="0" quotePrefix="1" applyFont="1" applyFill="1" applyBorder="1" applyAlignment="1">
      <alignment horizontal="center" vertical="center"/>
    </xf>
    <xf numFmtId="0" fontId="44" fillId="4" borderId="1221" xfId="0" quotePrefix="1" applyFont="1" applyFill="1" applyBorder="1" applyAlignment="1">
      <alignment horizontal="center" vertical="center"/>
    </xf>
    <xf numFmtId="0" fontId="43" fillId="9" borderId="179" xfId="0" applyFont="1" applyFill="1" applyBorder="1" applyAlignment="1">
      <alignment horizontal="center" vertical="center"/>
    </xf>
    <xf numFmtId="0" fontId="43" fillId="9" borderId="181" xfId="0" applyFont="1" applyFill="1" applyBorder="1" applyAlignment="1">
      <alignment horizontal="center" vertical="center"/>
    </xf>
    <xf numFmtId="0" fontId="67" fillId="6" borderId="922" xfId="0" applyFont="1" applyFill="1" applyBorder="1" applyAlignment="1">
      <alignment horizontal="center" vertical="center" wrapText="1"/>
    </xf>
    <xf numFmtId="0" fontId="82" fillId="8" borderId="931" xfId="0" applyFont="1" applyFill="1" applyBorder="1" applyAlignment="1">
      <alignment horizontal="left" vertical="center"/>
    </xf>
    <xf numFmtId="0" fontId="82" fillId="8" borderId="932" xfId="0" applyFont="1" applyFill="1" applyBorder="1" applyAlignment="1">
      <alignment horizontal="left" vertical="center"/>
    </xf>
    <xf numFmtId="0" fontId="82" fillId="8" borderId="911" xfId="0" applyFont="1" applyFill="1" applyBorder="1" applyAlignment="1">
      <alignment horizontal="left" vertical="center"/>
    </xf>
    <xf numFmtId="0" fontId="82" fillId="8" borderId="912" xfId="0" applyFont="1" applyFill="1" applyBorder="1" applyAlignment="1">
      <alignment horizontal="left" vertical="center"/>
    </xf>
    <xf numFmtId="0" fontId="103" fillId="0" borderId="883" xfId="0" applyFont="1" applyBorder="1" applyAlignment="1">
      <alignment horizontal="left" vertical="center"/>
    </xf>
    <xf numFmtId="0" fontId="103" fillId="0" borderId="924" xfId="0" applyFont="1" applyBorder="1" applyAlignment="1">
      <alignment horizontal="left" vertical="center"/>
    </xf>
    <xf numFmtId="0" fontId="43" fillId="8" borderId="246" xfId="0" applyFont="1" applyFill="1" applyBorder="1" applyAlignment="1">
      <alignment horizontal="center" vertical="center"/>
    </xf>
    <xf numFmtId="0" fontId="43" fillId="8" borderId="247" xfId="0" applyFont="1" applyFill="1" applyBorder="1" applyAlignment="1">
      <alignment horizontal="center" vertical="center"/>
    </xf>
    <xf numFmtId="0" fontId="43" fillId="8" borderId="249" xfId="0" applyFont="1" applyFill="1" applyBorder="1" applyAlignment="1">
      <alignment horizontal="center" vertical="center"/>
    </xf>
    <xf numFmtId="0" fontId="43" fillId="11" borderId="194" xfId="0" applyFont="1" applyFill="1" applyBorder="1" applyAlignment="1">
      <alignment horizontal="center" vertical="center" wrapText="1"/>
    </xf>
    <xf numFmtId="0" fontId="43" fillId="11" borderId="196" xfId="0" applyFont="1" applyFill="1" applyBorder="1" applyAlignment="1">
      <alignment horizontal="center" vertical="center" wrapText="1"/>
    </xf>
    <xf numFmtId="0" fontId="43" fillId="9" borderId="176" xfId="0" applyFont="1" applyFill="1" applyBorder="1" applyAlignment="1">
      <alignment horizontal="center" vertical="center"/>
    </xf>
    <xf numFmtId="0" fontId="43" fillId="9" borderId="174" xfId="0" applyFont="1" applyFill="1" applyBorder="1" applyAlignment="1">
      <alignment horizontal="center" vertical="center"/>
    </xf>
    <xf numFmtId="0" fontId="43" fillId="9" borderId="177" xfId="0" applyFont="1" applyFill="1" applyBorder="1" applyAlignment="1">
      <alignment horizontal="center" vertical="center"/>
    </xf>
    <xf numFmtId="0" fontId="57" fillId="11" borderId="168" xfId="0" applyFont="1" applyFill="1" applyBorder="1" applyAlignment="1">
      <alignment horizontal="center" vertical="center"/>
    </xf>
    <xf numFmtId="0" fontId="57" fillId="11" borderId="72" xfId="0" applyFont="1" applyFill="1" applyBorder="1" applyAlignment="1">
      <alignment horizontal="center" vertical="center"/>
    </xf>
    <xf numFmtId="0" fontId="57" fillId="11" borderId="73" xfId="0" applyFont="1" applyFill="1" applyBorder="1" applyAlignment="1">
      <alignment horizontal="center" vertical="center"/>
    </xf>
    <xf numFmtId="0" fontId="36" fillId="2" borderId="145" xfId="0" applyFont="1" applyFill="1" applyBorder="1" applyAlignment="1">
      <alignment horizontal="center" vertical="center"/>
    </xf>
    <xf numFmtId="0" fontId="36" fillId="2" borderId="122" xfId="0" applyFont="1" applyFill="1" applyBorder="1" applyAlignment="1">
      <alignment horizontal="center" vertical="center"/>
    </xf>
    <xf numFmtId="0" fontId="47" fillId="5" borderId="787" xfId="0" applyFont="1" applyFill="1" applyBorder="1" applyAlignment="1">
      <alignment horizontal="center" vertical="center"/>
    </xf>
    <xf numFmtId="0" fontId="47" fillId="5" borderId="788" xfId="0" applyFont="1" applyFill="1" applyBorder="1" applyAlignment="1">
      <alignment horizontal="center" vertical="center"/>
    </xf>
    <xf numFmtId="0" fontId="47" fillId="2" borderId="330" xfId="0" applyFont="1" applyFill="1" applyBorder="1" applyAlignment="1">
      <alignment horizontal="center" vertical="center"/>
    </xf>
    <xf numFmtId="0" fontId="47" fillId="2" borderId="331" xfId="0" applyFont="1" applyFill="1" applyBorder="1" applyAlignment="1">
      <alignment horizontal="center" vertical="center"/>
    </xf>
    <xf numFmtId="0" fontId="47" fillId="5" borderId="213" xfId="0" applyFont="1" applyFill="1" applyBorder="1" applyAlignment="1">
      <alignment horizontal="center" vertical="center"/>
    </xf>
    <xf numFmtId="0" fontId="47" fillId="5" borderId="13" xfId="0" applyFont="1" applyFill="1" applyBorder="1" applyAlignment="1">
      <alignment horizontal="center" vertical="center"/>
    </xf>
    <xf numFmtId="0" fontId="43" fillId="4" borderId="659" xfId="0" quotePrefix="1" applyFont="1" applyFill="1" applyBorder="1" applyAlignment="1">
      <alignment horizontal="center" vertical="center"/>
    </xf>
    <xf numFmtId="187" fontId="36" fillId="10" borderId="0" xfId="0" applyNumberFormat="1" applyFont="1" applyFill="1" applyAlignment="1">
      <alignment horizontal="center" vertical="center"/>
    </xf>
    <xf numFmtId="187" fontId="36" fillId="10" borderId="163" xfId="0" applyNumberFormat="1" applyFont="1" applyFill="1" applyBorder="1" applyAlignment="1">
      <alignment horizontal="center" vertical="center"/>
    </xf>
    <xf numFmtId="0" fontId="43" fillId="9" borderId="139" xfId="0" applyFont="1" applyFill="1" applyBorder="1" applyAlignment="1">
      <alignment horizontal="center" vertical="center" wrapText="1"/>
    </xf>
    <xf numFmtId="0" fontId="43" fillId="9" borderId="140" xfId="0" applyFont="1" applyFill="1" applyBorder="1" applyAlignment="1">
      <alignment horizontal="center" vertical="center" wrapText="1"/>
    </xf>
    <xf numFmtId="0" fontId="43" fillId="9" borderId="140" xfId="0" applyFont="1" applyFill="1" applyBorder="1" applyAlignment="1">
      <alignment horizontal="center" vertical="center"/>
    </xf>
    <xf numFmtId="0" fontId="43" fillId="9" borderId="144" xfId="0" applyFont="1" applyFill="1" applyBorder="1" applyAlignment="1">
      <alignment horizontal="center" vertical="center"/>
    </xf>
    <xf numFmtId="0" fontId="43" fillId="9" borderId="179" xfId="0" applyFont="1" applyFill="1" applyBorder="1" applyAlignment="1">
      <alignment horizontal="center" vertical="center" wrapText="1"/>
    </xf>
    <xf numFmtId="0" fontId="43" fillId="9" borderId="644" xfId="0" applyFont="1" applyFill="1" applyBorder="1" applyAlignment="1">
      <alignment horizontal="center" vertical="center"/>
    </xf>
    <xf numFmtId="0" fontId="43" fillId="11" borderId="1147" xfId="0" applyFont="1" applyFill="1" applyBorder="1" applyAlignment="1">
      <alignment horizontal="center" vertical="center"/>
    </xf>
    <xf numFmtId="0" fontId="43" fillId="11" borderId="1148" xfId="0" applyFont="1" applyFill="1" applyBorder="1" applyAlignment="1">
      <alignment horizontal="center" vertical="center"/>
    </xf>
    <xf numFmtId="0" fontId="43" fillId="11" borderId="1149" xfId="0" applyFont="1" applyFill="1" applyBorder="1" applyAlignment="1">
      <alignment horizontal="center" vertical="center"/>
    </xf>
    <xf numFmtId="0" fontId="43" fillId="11" borderId="168" xfId="0" applyFont="1" applyFill="1" applyBorder="1" applyAlignment="1">
      <alignment horizontal="center" vertical="center"/>
    </xf>
    <xf numFmtId="0" fontId="43" fillId="11" borderId="72" xfId="0" applyFont="1" applyFill="1" applyBorder="1" applyAlignment="1">
      <alignment horizontal="center" vertical="center"/>
    </xf>
    <xf numFmtId="0" fontId="43" fillId="11" borderId="73" xfId="0" applyFont="1" applyFill="1" applyBorder="1" applyAlignment="1">
      <alignment horizontal="center" vertical="center"/>
    </xf>
    <xf numFmtId="0" fontId="36" fillId="2" borderId="121" xfId="0" applyFont="1" applyFill="1" applyBorder="1" applyAlignment="1">
      <alignment horizontal="center" vertical="center"/>
    </xf>
    <xf numFmtId="0" fontId="47" fillId="5" borderId="6" xfId="0" applyFont="1" applyFill="1" applyBorder="1" applyAlignment="1">
      <alignment horizontal="center" vertical="center"/>
    </xf>
    <xf numFmtId="0" fontId="47" fillId="2" borderId="134" xfId="0" applyFont="1" applyFill="1" applyBorder="1" applyAlignment="1">
      <alignment horizontal="center" vertical="center"/>
    </xf>
    <xf numFmtId="0" fontId="43" fillId="9" borderId="686" xfId="0" applyFont="1" applyFill="1" applyBorder="1" applyAlignment="1">
      <alignment horizontal="center" vertical="center" wrapText="1"/>
    </xf>
    <xf numFmtId="0" fontId="43" fillId="9" borderId="688" xfId="0" applyFont="1" applyFill="1" applyBorder="1" applyAlignment="1">
      <alignment horizontal="center" vertical="center" wrapText="1"/>
    </xf>
    <xf numFmtId="0" fontId="43" fillId="9" borderId="689" xfId="0" applyFont="1" applyFill="1" applyBorder="1" applyAlignment="1">
      <alignment horizontal="center" vertical="center"/>
    </xf>
    <xf numFmtId="0" fontId="43" fillId="4" borderId="655" xfId="0" quotePrefix="1" applyFont="1" applyFill="1" applyBorder="1" applyAlignment="1">
      <alignment horizontal="center" vertical="center"/>
    </xf>
    <xf numFmtId="0" fontId="43" fillId="4" borderId="657" xfId="0" quotePrefix="1" applyFont="1" applyFill="1" applyBorder="1" applyAlignment="1">
      <alignment horizontal="center" vertical="center"/>
    </xf>
    <xf numFmtId="0" fontId="44" fillId="11" borderId="1110" xfId="0" applyFont="1" applyFill="1" applyBorder="1" applyAlignment="1">
      <alignment horizontal="center" vertical="center"/>
    </xf>
    <xf numFmtId="0" fontId="44" fillId="11" borderId="333" xfId="0" applyFont="1" applyFill="1" applyBorder="1" applyAlignment="1">
      <alignment horizontal="center" vertical="center"/>
    </xf>
    <xf numFmtId="0" fontId="44" fillId="11" borderId="1111" xfId="0" applyFont="1" applyFill="1" applyBorder="1" applyAlignment="1">
      <alignment horizontal="center" vertical="center"/>
    </xf>
    <xf numFmtId="0" fontId="44" fillId="11" borderId="676" xfId="0" applyFont="1" applyFill="1" applyBorder="1" applyAlignment="1">
      <alignment horizontal="center" vertical="center"/>
    </xf>
    <xf numFmtId="0" fontId="44" fillId="11" borderId="625" xfId="0" applyFont="1" applyFill="1" applyBorder="1" applyAlignment="1">
      <alignment horizontal="center" vertical="center"/>
    </xf>
    <xf numFmtId="0" fontId="44" fillId="11" borderId="677" xfId="0" applyFont="1" applyFill="1" applyBorder="1" applyAlignment="1">
      <alignment horizontal="center" vertical="center"/>
    </xf>
    <xf numFmtId="0" fontId="36" fillId="0" borderId="279" xfId="0" applyFont="1" applyBorder="1" applyAlignment="1">
      <alignment horizontal="left" vertical="center"/>
    </xf>
    <xf numFmtId="0" fontId="36" fillId="0" borderId="280" xfId="0" applyFont="1" applyBorder="1" applyAlignment="1">
      <alignment horizontal="left" vertical="center"/>
    </xf>
    <xf numFmtId="0" fontId="43" fillId="11" borderId="4" xfId="0" applyFont="1" applyFill="1" applyBorder="1" applyAlignment="1">
      <alignment horizontal="left" vertical="center"/>
    </xf>
    <xf numFmtId="0" fontId="43" fillId="11" borderId="0" xfId="0" applyFont="1" applyFill="1" applyBorder="1" applyAlignment="1">
      <alignment horizontal="left" vertical="center"/>
    </xf>
    <xf numFmtId="0" fontId="55" fillId="0" borderId="274" xfId="0" applyFont="1" applyFill="1" applyBorder="1" applyAlignment="1">
      <alignment horizontal="left" vertical="center"/>
    </xf>
    <xf numFmtId="0" fontId="36" fillId="0" borderId="279" xfId="0" applyFont="1" applyFill="1" applyBorder="1" applyAlignment="1">
      <alignment horizontal="left" vertical="center"/>
    </xf>
    <xf numFmtId="0" fontId="36" fillId="0" borderId="334" xfId="0" applyFont="1" applyFill="1" applyBorder="1" applyAlignment="1">
      <alignment horizontal="left" vertical="center"/>
    </xf>
    <xf numFmtId="0" fontId="36" fillId="0" borderId="340" xfId="0" applyFont="1" applyFill="1" applyBorder="1" applyAlignment="1">
      <alignment horizontal="left" vertical="center"/>
    </xf>
    <xf numFmtId="0" fontId="36" fillId="0" borderId="334" xfId="0" applyFont="1" applyBorder="1" applyAlignment="1">
      <alignment horizontal="left" vertical="center"/>
    </xf>
    <xf numFmtId="0" fontId="6" fillId="0" borderId="334" xfId="0" applyFont="1" applyFill="1" applyBorder="1" applyAlignment="1">
      <alignment horizontal="left" vertical="center"/>
    </xf>
    <xf numFmtId="0" fontId="6" fillId="0" borderId="340" xfId="0" applyFont="1" applyFill="1" applyBorder="1" applyAlignment="1">
      <alignment horizontal="left" vertical="center"/>
    </xf>
    <xf numFmtId="0" fontId="6" fillId="0" borderId="279" xfId="0" applyFont="1" applyBorder="1" applyAlignment="1">
      <alignment horizontal="left" vertical="center"/>
    </xf>
    <xf numFmtId="0" fontId="6" fillId="0" borderId="280" xfId="0" applyFont="1" applyBorder="1" applyAlignment="1">
      <alignment horizontal="left" vertical="center"/>
    </xf>
    <xf numFmtId="0" fontId="9" fillId="11" borderId="271" xfId="0" applyFont="1" applyFill="1" applyBorder="1" applyAlignment="1">
      <alignment horizontal="center" vertical="center"/>
    </xf>
    <xf numFmtId="0" fontId="9" fillId="11" borderId="272" xfId="0" applyFont="1" applyFill="1" applyBorder="1" applyAlignment="1">
      <alignment horizontal="center" vertical="center"/>
    </xf>
    <xf numFmtId="0" fontId="9" fillId="11" borderId="273" xfId="0" applyFont="1" applyFill="1" applyBorder="1" applyAlignment="1">
      <alignment horizontal="center" vertical="center"/>
    </xf>
    <xf numFmtId="0" fontId="9" fillId="6" borderId="252" xfId="0" applyFont="1" applyFill="1" applyBorder="1" applyAlignment="1">
      <alignment horizontal="center" vertical="center" wrapText="1"/>
    </xf>
    <xf numFmtId="0" fontId="9" fillId="6" borderId="253" xfId="0" applyFont="1" applyFill="1" applyBorder="1" applyAlignment="1">
      <alignment horizontal="center" vertical="center"/>
    </xf>
    <xf numFmtId="0" fontId="9" fillId="6" borderId="254" xfId="0" applyFont="1" applyFill="1" applyBorder="1" applyAlignment="1">
      <alignment horizontal="center" vertical="center"/>
    </xf>
    <xf numFmtId="0" fontId="5" fillId="9" borderId="179" xfId="0" applyFont="1" applyFill="1" applyBorder="1" applyAlignment="1">
      <alignment horizontal="center" vertical="center"/>
    </xf>
    <xf numFmtId="0" fontId="5" fillId="9" borderId="180" xfId="0" applyFont="1" applyFill="1" applyBorder="1" applyAlignment="1">
      <alignment horizontal="center" vertical="center"/>
    </xf>
    <xf numFmtId="0" fontId="5" fillId="9" borderId="292" xfId="0" applyFont="1" applyFill="1" applyBorder="1" applyAlignment="1">
      <alignment horizontal="center" vertical="center"/>
    </xf>
    <xf numFmtId="0" fontId="5" fillId="9" borderId="180" xfId="0" applyFont="1" applyFill="1" applyBorder="1" applyAlignment="1">
      <alignment horizontal="center" vertical="center" wrapText="1"/>
    </xf>
    <xf numFmtId="0" fontId="5" fillId="9" borderId="181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left" vertical="center"/>
    </xf>
    <xf numFmtId="0" fontId="5" fillId="11" borderId="0" xfId="0" applyFont="1" applyFill="1" applyBorder="1" applyAlignment="1">
      <alignment horizontal="left" vertical="center"/>
    </xf>
    <xf numFmtId="0" fontId="6" fillId="0" borderId="274" xfId="0" applyFont="1" applyFill="1" applyBorder="1" applyAlignment="1">
      <alignment horizontal="left" vertical="center"/>
    </xf>
    <xf numFmtId="0" fontId="6" fillId="0" borderId="279" xfId="0" applyFont="1" applyFill="1" applyBorder="1" applyAlignment="1">
      <alignment horizontal="left" vertical="center"/>
    </xf>
    <xf numFmtId="0" fontId="6" fillId="0" borderId="1059" xfId="0" applyFont="1" applyBorder="1" applyAlignment="1">
      <alignment horizontal="left" vertical="center"/>
    </xf>
    <xf numFmtId="0" fontId="6" fillId="0" borderId="1062" xfId="0" applyFont="1" applyFill="1" applyBorder="1" applyAlignment="1">
      <alignment horizontal="left" vertical="center"/>
    </xf>
    <xf numFmtId="0" fontId="6" fillId="0" borderId="1059" xfId="0" applyFont="1" applyFill="1" applyBorder="1" applyAlignment="1">
      <alignment horizontal="left" vertical="center"/>
    </xf>
    <xf numFmtId="0" fontId="9" fillId="11" borderId="332" xfId="0" applyFont="1" applyFill="1" applyBorder="1" applyAlignment="1">
      <alignment horizontal="center" vertical="center"/>
    </xf>
    <xf numFmtId="0" fontId="9" fillId="11" borderId="333" xfId="0" applyFont="1" applyFill="1" applyBorder="1" applyAlignment="1">
      <alignment horizontal="center" vertical="center"/>
    </xf>
    <xf numFmtId="0" fontId="9" fillId="11" borderId="1111" xfId="0" applyFont="1" applyFill="1" applyBorder="1" applyAlignment="1">
      <alignment horizontal="center" vertical="center"/>
    </xf>
    <xf numFmtId="0" fontId="37" fillId="4" borderId="424" xfId="0" quotePrefix="1" applyFont="1" applyFill="1" applyBorder="1" applyAlignment="1">
      <alignment vertical="center"/>
    </xf>
    <xf numFmtId="0" fontId="37" fillId="4" borderId="417" xfId="0" quotePrefix="1" applyFont="1" applyFill="1" applyBorder="1" applyAlignment="1">
      <alignment vertical="center"/>
    </xf>
    <xf numFmtId="41" fontId="36" fillId="11" borderId="1320" xfId="2" applyFont="1" applyFill="1" applyBorder="1">
      <alignment vertical="center"/>
    </xf>
    <xf numFmtId="41" fontId="47" fillId="9" borderId="598" xfId="2" applyFont="1" applyFill="1" applyBorder="1">
      <alignment vertical="center"/>
    </xf>
    <xf numFmtId="41" fontId="47" fillId="0" borderId="598" xfId="2" applyFont="1" applyFill="1" applyBorder="1">
      <alignment vertical="center"/>
    </xf>
    <xf numFmtId="41" fontId="36" fillId="0" borderId="598" xfId="2" applyFont="1" applyFill="1" applyBorder="1">
      <alignment vertical="center"/>
    </xf>
    <xf numFmtId="41" fontId="36" fillId="2" borderId="598" xfId="2" applyFont="1" applyFill="1" applyBorder="1">
      <alignment vertical="center"/>
    </xf>
    <xf numFmtId="192" fontId="36" fillId="8" borderId="598" xfId="2" applyNumberFormat="1" applyFont="1" applyFill="1" applyBorder="1">
      <alignment vertical="center"/>
    </xf>
    <xf numFmtId="41" fontId="36" fillId="11" borderId="1209" xfId="2" applyFont="1" applyFill="1" applyBorder="1">
      <alignment vertical="center"/>
    </xf>
    <xf numFmtId="41" fontId="36" fillId="9" borderId="598" xfId="2" applyFont="1" applyFill="1" applyBorder="1">
      <alignment vertical="center"/>
    </xf>
    <xf numFmtId="202" fontId="36" fillId="0" borderId="598" xfId="2" applyNumberFormat="1" applyFont="1" applyFill="1" applyBorder="1">
      <alignment vertical="center"/>
    </xf>
    <xf numFmtId="192" fontId="36" fillId="8" borderId="1208" xfId="2" applyNumberFormat="1" applyFont="1" applyFill="1" applyBorder="1">
      <alignment vertical="center"/>
    </xf>
    <xf numFmtId="192" fontId="36" fillId="8" borderId="1321" xfId="2" applyNumberFormat="1" applyFont="1" applyFill="1" applyBorder="1">
      <alignment vertical="center"/>
    </xf>
    <xf numFmtId="41" fontId="36" fillId="6" borderId="1322" xfId="2" applyFont="1" applyFill="1" applyBorder="1">
      <alignment vertical="center"/>
    </xf>
    <xf numFmtId="187" fontId="60" fillId="0" borderId="598" xfId="0" applyNumberFormat="1" applyFont="1" applyFill="1" applyBorder="1">
      <alignment vertical="center"/>
    </xf>
    <xf numFmtId="41" fontId="55" fillId="3" borderId="598" xfId="2" applyFont="1" applyFill="1" applyBorder="1">
      <alignment vertical="center"/>
    </xf>
    <xf numFmtId="187" fontId="60" fillId="3" borderId="598" xfId="0" applyNumberFormat="1" applyFont="1" applyFill="1" applyBorder="1">
      <alignment vertical="center"/>
    </xf>
    <xf numFmtId="41" fontId="55" fillId="0" borderId="598" xfId="2" applyFont="1" applyFill="1" applyBorder="1">
      <alignment vertical="center"/>
    </xf>
    <xf numFmtId="41" fontId="55" fillId="0" borderId="1323" xfId="2" applyFont="1" applyFill="1" applyBorder="1">
      <alignment vertical="center"/>
    </xf>
    <xf numFmtId="41" fontId="55" fillId="0" borderId="1212" xfId="2" applyFont="1" applyFill="1" applyBorder="1">
      <alignment vertical="center"/>
    </xf>
    <xf numFmtId="0" fontId="55" fillId="0" borderId="598" xfId="0" applyFont="1" applyBorder="1">
      <alignment vertical="center"/>
    </xf>
    <xf numFmtId="41" fontId="55" fillId="6" borderId="1322" xfId="2" applyFont="1" applyFill="1" applyBorder="1">
      <alignment vertical="center"/>
    </xf>
    <xf numFmtId="41" fontId="55" fillId="24" borderId="598" xfId="2" applyFont="1" applyFill="1" applyBorder="1">
      <alignment vertical="center"/>
    </xf>
    <xf numFmtId="41" fontId="55" fillId="24" borderId="1323" xfId="2" applyFont="1" applyFill="1" applyBorder="1">
      <alignment vertical="center"/>
    </xf>
    <xf numFmtId="41" fontId="55" fillId="0" borderId="598" xfId="2" applyFont="1" applyBorder="1">
      <alignment vertical="center"/>
    </xf>
    <xf numFmtId="41" fontId="55" fillId="6" borderId="1324" xfId="2" applyFont="1" applyFill="1" applyBorder="1">
      <alignment vertical="center"/>
    </xf>
    <xf numFmtId="0" fontId="55" fillId="0" borderId="1325" xfId="0" applyFont="1" applyBorder="1">
      <alignment vertical="center"/>
    </xf>
    <xf numFmtId="41" fontId="55" fillId="9" borderId="683" xfId="2" applyFont="1" applyFill="1" applyBorder="1">
      <alignment vertical="center"/>
    </xf>
    <xf numFmtId="41" fontId="55" fillId="0" borderId="690" xfId="2" applyFont="1" applyFill="1" applyBorder="1">
      <alignment vertical="center"/>
    </xf>
    <xf numFmtId="0" fontId="110" fillId="5" borderId="1326" xfId="0" applyFont="1" applyFill="1" applyBorder="1" applyAlignment="1">
      <alignment horizontal="center" vertical="center"/>
    </xf>
  </cellXfs>
  <cellStyles count="14">
    <cellStyle name="경고문" xfId="4" builtinId="11"/>
    <cellStyle name="백분율" xfId="3" builtinId="5"/>
    <cellStyle name="백분율 2" xfId="12" xr:uid="{4DFD455E-E4B8-4F42-ADCD-CEC3AE3EB199}"/>
    <cellStyle name="쉼표 [0]" xfId="2" builtinId="6"/>
    <cellStyle name="쉼표 [0] 10 2 11 2 2" xfId="1" xr:uid="{00000000-0005-0000-0000-000002000000}"/>
    <cellStyle name="쉼표 [0] 2" xfId="7" xr:uid="{A40371DE-ED9E-4496-B922-20443B289758}"/>
    <cellStyle name="쉼표 [0] 3" xfId="11" xr:uid="{4910A56F-A7B1-4314-B59E-1B25BD3B0667}"/>
    <cellStyle name="표준" xfId="0" builtinId="0"/>
    <cellStyle name="표준 2" xfId="6" xr:uid="{293D6D8C-33D1-451C-B992-B22B8E884273}"/>
    <cellStyle name="표준 2 2" xfId="5" xr:uid="{E3A53502-88E9-43DF-99A8-D816ABA25DBD}"/>
    <cellStyle name="표준 2 3" xfId="13" xr:uid="{CA3A7637-7BB5-4A10-9195-3C4E28216C79}"/>
    <cellStyle name="표준 3" xfId="8" xr:uid="{F7D31E17-121E-43AA-92C0-6970AB176447}"/>
    <cellStyle name="표준 4" xfId="9" xr:uid="{B51E1958-EEE1-4E02-A158-5FBBEC6DA633}"/>
    <cellStyle name="하이퍼링크" xfId="10" builtinId="8"/>
  </cellStyles>
  <dxfs count="23"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C000"/>
      <color rgb="FFBF8F00"/>
      <color rgb="FF305496"/>
      <color rgb="FF0424AC"/>
      <color rgb="FF0D37D1"/>
      <color rgb="FFFFCCCC"/>
      <color rgb="FFF1F7ED"/>
      <color rgb="FFFFF5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906242735952674"/>
          <c:y val="0.22999099941465234"/>
          <c:w val="0.4474346722746389"/>
          <c:h val="0.7446008325996758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대시보드!$T$4:$T$5</c:f>
              <c:numCache>
                <c:formatCode>General</c:formatCode>
                <c:ptCount val="2"/>
              </c:numCache>
            </c:numRef>
          </c:cat>
          <c:val>
            <c:numRef>
              <c:f>대시보드!#REF!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대시보드!#REF!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1BB-4E01-9DB6-D34C92B82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533696"/>
        <c:axId val="443549504"/>
      </c:radarChart>
      <c:catAx>
        <c:axId val="4435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3549504"/>
        <c:crosses val="autoZero"/>
        <c:auto val="1"/>
        <c:lblAlgn val="ctr"/>
        <c:lblOffset val="100"/>
        <c:noMultiLvlLbl val="0"/>
      </c:catAx>
      <c:valAx>
        <c:axId val="4435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353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288470</xdr:colOff>
      <xdr:row>4</xdr:row>
      <xdr:rowOff>158930</xdr:rowOff>
    </xdr:from>
    <xdr:to>
      <xdr:col>18</xdr:col>
      <xdr:colOff>20684</xdr:colOff>
      <xdr:row>34</xdr:row>
      <xdr:rowOff>5443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AE087FD-47B4-4EE1-ABF0-852F70794405}"/>
            </a:ext>
          </a:extLst>
        </xdr:cNvPr>
        <xdr:cNvSpPr/>
      </xdr:nvSpPr>
      <xdr:spPr>
        <a:xfrm>
          <a:off x="2226127" y="931816"/>
          <a:ext cx="10487300" cy="5430884"/>
        </a:xfrm>
        <a:prstGeom prst="rect">
          <a:avLst/>
        </a:prstGeom>
        <a:solidFill>
          <a:sysClr val="window" lastClr="FFFFFF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143573</xdr:colOff>
      <xdr:row>5</xdr:row>
      <xdr:rowOff>162453</xdr:rowOff>
    </xdr:from>
    <xdr:to>
      <xdr:col>8</xdr:col>
      <xdr:colOff>585020</xdr:colOff>
      <xdr:row>7</xdr:row>
      <xdr:rowOff>116542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86D1AC-86E7-4291-AFEE-85511992FD53}"/>
            </a:ext>
          </a:extLst>
        </xdr:cNvPr>
        <xdr:cNvSpPr txBox="1"/>
      </xdr:nvSpPr>
      <xdr:spPr>
        <a:xfrm>
          <a:off x="2227099" y="1264087"/>
          <a:ext cx="3902015" cy="399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latin typeface="나눔스퀘어 Bold" panose="020B0600000101010101" pitchFamily="50" charset="-127"/>
              <a:ea typeface="나눔스퀘어 Bold" panose="020B0600000101010101" pitchFamily="50" charset="-127"/>
            </a:rPr>
            <a:t>① 재무 현황      </a:t>
          </a:r>
          <a:r>
            <a:rPr lang="en-US" altLang="ko-KR" sz="1100">
              <a:latin typeface="나눔스퀘어 Bold" panose="020B0600000101010101" pitchFamily="50" charset="-127"/>
              <a:ea typeface="나눔스퀘어 Bold" panose="020B0600000101010101" pitchFamily="50" charset="-127"/>
            </a:rPr>
            <a:t>|</a:t>
          </a:r>
          <a:r>
            <a:rPr lang="ko-KR" altLang="en-US" sz="1100">
              <a:latin typeface="나눔스퀘어 Bold" panose="020B0600000101010101" pitchFamily="50" charset="-127"/>
              <a:ea typeface="나눔스퀘어 Bold" panose="020B0600000101010101" pitchFamily="50" charset="-127"/>
            </a:rPr>
            <a:t>     매출 및 영업이익</a:t>
          </a:r>
          <a:endParaRPr lang="en-US" altLang="ko-KR" sz="1100" baseline="0">
            <a:latin typeface="나눔스퀘어 Bold" panose="020B0600000101010101" pitchFamily="50" charset="-127"/>
            <a:ea typeface="나눔스퀘어 Bold" panose="020B0600000101010101" pitchFamily="50" charset="-127"/>
          </a:endParaRPr>
        </a:p>
      </xdr:txBody>
    </xdr:sp>
    <xdr:clientData/>
  </xdr:twoCellAnchor>
  <xdr:twoCellAnchor>
    <xdr:from>
      <xdr:col>9</xdr:col>
      <xdr:colOff>158932</xdr:colOff>
      <xdr:row>5</xdr:row>
      <xdr:rowOff>161365</xdr:rowOff>
    </xdr:from>
    <xdr:to>
      <xdr:col>11</xdr:col>
      <xdr:colOff>488705</xdr:colOff>
      <xdr:row>9</xdr:row>
      <xdr:rowOff>90735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9690C14-7543-4BA7-8169-87ACF2374566}"/>
            </a:ext>
          </a:extLst>
        </xdr:cNvPr>
        <xdr:cNvSpPr/>
      </xdr:nvSpPr>
      <xdr:spPr>
        <a:xfrm>
          <a:off x="6567352" y="1113865"/>
          <a:ext cx="1716613" cy="698990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173594</xdr:colOff>
      <xdr:row>5</xdr:row>
      <xdr:rowOff>169241</xdr:rowOff>
    </xdr:from>
    <xdr:to>
      <xdr:col>14</xdr:col>
      <xdr:colOff>507723</xdr:colOff>
      <xdr:row>9</xdr:row>
      <xdr:rowOff>93168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F19E5CE-CFA3-4B5A-8C22-E2A473B869CD}"/>
            </a:ext>
          </a:extLst>
        </xdr:cNvPr>
        <xdr:cNvSpPr/>
      </xdr:nvSpPr>
      <xdr:spPr>
        <a:xfrm>
          <a:off x="8495723" y="1273052"/>
          <a:ext cx="1716614" cy="807847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164629</xdr:colOff>
      <xdr:row>5</xdr:row>
      <xdr:rowOff>151312</xdr:rowOff>
    </xdr:from>
    <xdr:to>
      <xdr:col>17</xdr:col>
      <xdr:colOff>502024</xdr:colOff>
      <xdr:row>9</xdr:row>
      <xdr:rowOff>75239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D17BA89-791D-4AF3-9727-677F08893787}"/>
            </a:ext>
          </a:extLst>
        </xdr:cNvPr>
        <xdr:cNvSpPr/>
      </xdr:nvSpPr>
      <xdr:spPr>
        <a:xfrm>
          <a:off x="10562663" y="1256212"/>
          <a:ext cx="1729678" cy="807847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140578</xdr:colOff>
      <xdr:row>6</xdr:row>
      <xdr:rowOff>900</xdr:rowOff>
    </xdr:from>
    <xdr:to>
      <xdr:col>10</xdr:col>
      <xdr:colOff>407832</xdr:colOff>
      <xdr:row>7</xdr:row>
      <xdr:rowOff>45880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44FEA9-8A62-4DDC-ADEA-0D519B29FB8D}"/>
            </a:ext>
          </a:extLst>
        </xdr:cNvPr>
        <xdr:cNvSpPr txBox="1"/>
      </xdr:nvSpPr>
      <xdr:spPr>
        <a:xfrm>
          <a:off x="6532413" y="1121488"/>
          <a:ext cx="957537" cy="224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50" baseline="0">
              <a:latin typeface="KT Flow Thin" pitchFamily="2" charset="-127"/>
              <a:ea typeface="KT Flow Thin" pitchFamily="2" charset="-127"/>
            </a:rPr>
            <a:t>매출액</a:t>
          </a:r>
          <a:endParaRPr lang="en-US" altLang="en-US" sz="1050" baseline="0">
            <a:latin typeface="KT Flow Thin" pitchFamily="2" charset="-127"/>
            <a:ea typeface="KT Flow Thin" pitchFamily="2" charset="-127"/>
          </a:endParaRPr>
        </a:p>
      </xdr:txBody>
    </xdr:sp>
    <xdr:clientData/>
  </xdr:twoCellAnchor>
  <xdr:twoCellAnchor>
    <xdr:from>
      <xdr:col>12</xdr:col>
      <xdr:colOff>192869</xdr:colOff>
      <xdr:row>6</xdr:row>
      <xdr:rowOff>7782</xdr:rowOff>
    </xdr:from>
    <xdr:to>
      <xdr:col>13</xdr:col>
      <xdr:colOff>313764</xdr:colOff>
      <xdr:row>7</xdr:row>
      <xdr:rowOff>142255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90EF224-FE35-47F8-8248-EDF66284EEED}"/>
            </a:ext>
          </a:extLst>
        </xdr:cNvPr>
        <xdr:cNvSpPr txBox="1"/>
      </xdr:nvSpPr>
      <xdr:spPr>
        <a:xfrm>
          <a:off x="8655551" y="1128370"/>
          <a:ext cx="811178" cy="3137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50" baseline="0">
              <a:latin typeface="나눔스퀘어 Bold" panose="020B0600000101010101" pitchFamily="50" charset="-127"/>
              <a:ea typeface="나눔스퀘어 Bold" panose="020B0600000101010101" pitchFamily="50" charset="-127"/>
            </a:rPr>
            <a:t>영업이익</a:t>
          </a:r>
          <a:endParaRPr lang="en-US" altLang="ko-KR" sz="1050" baseline="0">
            <a:latin typeface="나눔스퀘어 Bold" panose="020B0600000101010101" pitchFamily="50" charset="-127"/>
            <a:ea typeface="나눔스퀘어 Bold" panose="020B0600000101010101" pitchFamily="50" charset="-127"/>
          </a:endParaRPr>
        </a:p>
      </xdr:txBody>
    </xdr:sp>
    <xdr:clientData/>
  </xdr:twoCellAnchor>
  <xdr:twoCellAnchor>
    <xdr:from>
      <xdr:col>15</xdr:col>
      <xdr:colOff>210798</xdr:colOff>
      <xdr:row>5</xdr:row>
      <xdr:rowOff>179038</xdr:rowOff>
    </xdr:from>
    <xdr:to>
      <xdr:col>16</xdr:col>
      <xdr:colOff>170329</xdr:colOff>
      <xdr:row>7</xdr:row>
      <xdr:rowOff>126597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4354FCA-4827-4E1C-9C43-0EBDC9958499}"/>
            </a:ext>
          </a:extLst>
        </xdr:cNvPr>
        <xdr:cNvSpPr txBox="1"/>
      </xdr:nvSpPr>
      <xdr:spPr>
        <a:xfrm>
          <a:off x="10613187" y="1287204"/>
          <a:ext cx="650773" cy="382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50" baseline="0">
              <a:latin typeface="나눔스퀘어 Bold" panose="020B0600000101010101" pitchFamily="50" charset="-127"/>
              <a:ea typeface="나눔스퀘어 Bold" panose="020B0600000101010101" pitchFamily="50" charset="-127"/>
            </a:rPr>
            <a:t>매장성</a:t>
          </a:r>
          <a:endParaRPr lang="en-US" altLang="ko-KR" sz="1050" baseline="0">
            <a:latin typeface="나눔스퀘어 Bold" panose="020B0600000101010101" pitchFamily="50" charset="-127"/>
            <a:ea typeface="나눔스퀘어 Bold" panose="020B0600000101010101" pitchFamily="50" charset="-127"/>
          </a:endParaRPr>
        </a:p>
      </xdr:txBody>
    </xdr:sp>
    <xdr:clientData/>
  </xdr:twoCellAnchor>
  <xdr:twoCellAnchor>
    <xdr:from>
      <xdr:col>11</xdr:col>
      <xdr:colOff>142602</xdr:colOff>
      <xdr:row>7</xdr:row>
      <xdr:rowOff>146446</xdr:rowOff>
    </xdr:from>
    <xdr:to>
      <xdr:col>12</xdr:col>
      <xdr:colOff>107575</xdr:colOff>
      <xdr:row>9</xdr:row>
      <xdr:rowOff>85294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F04D99-9B69-4B7B-A3D5-E76ACBFE6459}"/>
            </a:ext>
          </a:extLst>
        </xdr:cNvPr>
        <xdr:cNvSpPr txBox="1"/>
      </xdr:nvSpPr>
      <xdr:spPr>
        <a:xfrm>
          <a:off x="7958545" y="1474503"/>
          <a:ext cx="661659" cy="308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50" baseline="0">
              <a:latin typeface="나눔스퀘어 Bold" panose="020B0600000101010101" pitchFamily="50" charset="-127"/>
              <a:ea typeface="나눔스퀘어 Bold" panose="020B0600000101010101" pitchFamily="50" charset="-127"/>
            </a:rPr>
            <a:t>억</a:t>
          </a:r>
          <a:endParaRPr lang="en-US" altLang="ko-KR" sz="1050" baseline="0">
            <a:latin typeface="나눔스퀘어 Bold" panose="020B0600000101010101" pitchFamily="50" charset="-127"/>
            <a:ea typeface="나눔스퀘어 Bold" panose="020B0600000101010101" pitchFamily="50" charset="-127"/>
          </a:endParaRPr>
        </a:p>
      </xdr:txBody>
    </xdr:sp>
    <xdr:clientData/>
  </xdr:twoCellAnchor>
  <xdr:twoCellAnchor>
    <xdr:from>
      <xdr:col>14</xdr:col>
      <xdr:colOff>178461</xdr:colOff>
      <xdr:row>7</xdr:row>
      <xdr:rowOff>146446</xdr:rowOff>
    </xdr:from>
    <xdr:to>
      <xdr:col>15</xdr:col>
      <xdr:colOff>143434</xdr:colOff>
      <xdr:row>9</xdr:row>
      <xdr:rowOff>84205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53E16FD-FAC5-4B3D-93B9-6E581CDECD76}"/>
            </a:ext>
          </a:extLst>
        </xdr:cNvPr>
        <xdr:cNvSpPr txBox="1"/>
      </xdr:nvSpPr>
      <xdr:spPr>
        <a:xfrm>
          <a:off x="9889607" y="1691129"/>
          <a:ext cx="658393" cy="384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50" baseline="0">
              <a:latin typeface="나눔스퀘어 Bold" panose="020B0600000101010101" pitchFamily="50" charset="-127"/>
              <a:ea typeface="나눔스퀘어 Bold" panose="020B0600000101010101" pitchFamily="50" charset="-127"/>
            </a:rPr>
            <a:t>억</a:t>
          </a:r>
          <a:endParaRPr lang="en-US" altLang="ko-KR" sz="1050" baseline="0">
            <a:latin typeface="나눔스퀘어 Bold" panose="020B0600000101010101" pitchFamily="50" charset="-127"/>
            <a:ea typeface="나눔스퀘어 Bold" panose="020B0600000101010101" pitchFamily="50" charset="-127"/>
          </a:endParaRPr>
        </a:p>
      </xdr:txBody>
    </xdr:sp>
    <xdr:clientData/>
  </xdr:twoCellAnchor>
  <xdr:twoCellAnchor>
    <xdr:from>
      <xdr:col>17</xdr:col>
      <xdr:colOff>145869</xdr:colOff>
      <xdr:row>7</xdr:row>
      <xdr:rowOff>126339</xdr:rowOff>
    </xdr:from>
    <xdr:to>
      <xdr:col>18</xdr:col>
      <xdr:colOff>110842</xdr:colOff>
      <xdr:row>9</xdr:row>
      <xdr:rowOff>67363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303DBC3-21FF-49DB-B155-DA021F2C0BC7}"/>
            </a:ext>
          </a:extLst>
        </xdr:cNvPr>
        <xdr:cNvSpPr txBox="1"/>
      </xdr:nvSpPr>
      <xdr:spPr>
        <a:xfrm>
          <a:off x="11931832" y="1669933"/>
          <a:ext cx="658393" cy="389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50" baseline="0">
              <a:latin typeface="나눔스퀘어 Bold" panose="020B0600000101010101" pitchFamily="50" charset="-127"/>
              <a:ea typeface="나눔스퀘어 Bold" panose="020B0600000101010101" pitchFamily="50" charset="-127"/>
            </a:rPr>
            <a:t>억</a:t>
          </a:r>
          <a:endParaRPr lang="en-US" altLang="ko-KR" sz="1050" baseline="0">
            <a:latin typeface="나눔스퀘어 Bold" panose="020B0600000101010101" pitchFamily="50" charset="-127"/>
            <a:ea typeface="나눔스퀘어 Bold" panose="020B0600000101010101" pitchFamily="50" charset="-127"/>
          </a:endParaRPr>
        </a:p>
      </xdr:txBody>
    </xdr:sp>
    <xdr:clientData/>
  </xdr:twoCellAnchor>
  <xdr:twoCellAnchor>
    <xdr:from>
      <xdr:col>9</xdr:col>
      <xdr:colOff>527730</xdr:colOff>
      <xdr:row>6</xdr:row>
      <xdr:rowOff>146471</xdr:rowOff>
    </xdr:from>
    <xdr:to>
      <xdr:col>11</xdr:col>
      <xdr:colOff>448492</xdr:colOff>
      <xdr:row>11</xdr:row>
      <xdr:rowOff>115910</xdr:rowOff>
    </xdr:to>
    <xdr:sp macro="" textlink="'※ 재무_세부시트'!CD5">
      <xdr:nvSpPr>
        <xdr:cNvPr id="13" name="TextBox 12">
          <a:extLst>
            <a:ext uri="{FF2B5EF4-FFF2-40B4-BE49-F238E27FC236}">
              <a16:creationId xmlns:a16="http://schemas.microsoft.com/office/drawing/2014/main" id="{EB49533E-00DE-4600-B29E-0FFB2299D947}"/>
            </a:ext>
          </a:extLst>
        </xdr:cNvPr>
        <xdr:cNvSpPr txBox="1"/>
      </xdr:nvSpPr>
      <xdr:spPr>
        <a:xfrm>
          <a:off x="6950301" y="1289471"/>
          <a:ext cx="1314134" cy="894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162AC05-4D78-4669-93FF-93342155258C}" type="TxLink">
            <a:rPr lang="en-US" altLang="en-US" sz="2400" b="0" i="0" u="none" strike="noStrike" baseline="0">
              <a:solidFill>
                <a:srgbClr val="0D37D1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pPr/>
            <a:t> 776.6 </a:t>
          </a:fld>
          <a:endParaRPr lang="en-US" altLang="ko-KR" sz="4400" baseline="0">
            <a:solidFill>
              <a:srgbClr val="0D37D1"/>
            </a:solidFill>
            <a:latin typeface="나눔스퀘어OTF_ac ExtraBold" panose="020B0600000101010101" pitchFamily="34" charset="-127"/>
            <a:ea typeface="나눔스퀘어OTF_ac ExtraBold" panose="020B0600000101010101" pitchFamily="34" charset="-127"/>
          </a:endParaRPr>
        </a:p>
      </xdr:txBody>
    </xdr:sp>
    <xdr:clientData/>
  </xdr:twoCellAnchor>
  <xdr:twoCellAnchor>
    <xdr:from>
      <xdr:col>13</xdr:col>
      <xdr:colOff>16006</xdr:colOff>
      <xdr:row>6</xdr:row>
      <xdr:rowOff>134025</xdr:rowOff>
    </xdr:from>
    <xdr:to>
      <xdr:col>14</xdr:col>
      <xdr:colOff>266698</xdr:colOff>
      <xdr:row>9</xdr:row>
      <xdr:rowOff>165463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53B4554-EE48-4ADB-81C5-A785E5B506DE}"/>
            </a:ext>
          </a:extLst>
        </xdr:cNvPr>
        <xdr:cNvSpPr txBox="1"/>
      </xdr:nvSpPr>
      <xdr:spPr>
        <a:xfrm>
          <a:off x="9029377" y="1460994"/>
          <a:ext cx="945201" cy="690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5AEB049-D296-41B8-B725-B78D1101EA40}" type="TxLink">
            <a:rPr lang="en-US" altLang="en-US" sz="2400" b="0" i="0" u="none" strike="noStrike" baseline="0">
              <a:solidFill>
                <a:srgbClr val="0D37D1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  <a:cs typeface="+mn-cs"/>
            </a:rPr>
            <a:pPr marL="0" indent="0"/>
            <a:t> 6.7 </a:t>
          </a:fld>
          <a:endParaRPr lang="en-US" altLang="ko-KR" sz="2400" b="0" i="0" u="none" strike="noStrike" baseline="0">
            <a:solidFill>
              <a:srgbClr val="0D37D1"/>
            </a:solidFill>
            <a:latin typeface="나눔스퀘어OTF_ac ExtraBold" panose="020B0600000101010101" pitchFamily="34" charset="-127"/>
            <a:ea typeface="나눔스퀘어OTF_ac ExtraBold" panose="020B0600000101010101" pitchFamily="34" charset="-127"/>
            <a:cs typeface="+mn-cs"/>
          </a:endParaRPr>
        </a:p>
      </xdr:txBody>
    </xdr:sp>
    <xdr:clientData/>
  </xdr:twoCellAnchor>
  <xdr:twoCellAnchor>
    <xdr:from>
      <xdr:col>16</xdr:col>
      <xdr:colOff>112888</xdr:colOff>
      <xdr:row>6</xdr:row>
      <xdr:rowOff>113343</xdr:rowOff>
    </xdr:from>
    <xdr:to>
      <xdr:col>17</xdr:col>
      <xdr:colOff>365758</xdr:colOff>
      <xdr:row>9</xdr:row>
      <xdr:rowOff>136071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8210CA7-904C-4AD8-8148-88D8EB24E512}"/>
            </a:ext>
          </a:extLst>
        </xdr:cNvPr>
        <xdr:cNvSpPr txBox="1"/>
      </xdr:nvSpPr>
      <xdr:spPr>
        <a:xfrm>
          <a:off x="11207608" y="1439223"/>
          <a:ext cx="947379" cy="686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FD4B176-852B-4B77-9101-E183BF6E6ACC}" type="TxLink">
            <a:rPr lang="en-US" altLang="en-US" sz="2400" b="0" i="0" u="none" strike="noStrike" baseline="0">
              <a:solidFill>
                <a:srgbClr val="0D37D1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  <a:cs typeface="+mn-cs"/>
            </a:rPr>
            <a:pPr marL="0" indent="0"/>
            <a:t> 0.7 </a:t>
          </a:fld>
          <a:endParaRPr lang="en-US" altLang="ko-KR" sz="2400" b="0" i="0" u="none" strike="noStrike" baseline="0">
            <a:solidFill>
              <a:srgbClr val="0D37D1"/>
            </a:solidFill>
            <a:latin typeface="나눔스퀘어OTF_ac ExtraBold" panose="020B0600000101010101" pitchFamily="34" charset="-127"/>
            <a:ea typeface="나눔스퀘어OTF_ac ExtraBold" panose="020B0600000101010101" pitchFamily="34" charset="-127"/>
            <a:cs typeface="+mn-cs"/>
          </a:endParaRPr>
        </a:p>
      </xdr:txBody>
    </xdr:sp>
    <xdr:clientData/>
  </xdr:twoCellAnchor>
  <xdr:twoCellAnchor>
    <xdr:from>
      <xdr:col>3</xdr:col>
      <xdr:colOff>143573</xdr:colOff>
      <xdr:row>16</xdr:row>
      <xdr:rowOff>153215</xdr:rowOff>
    </xdr:from>
    <xdr:to>
      <xdr:col>8</xdr:col>
      <xdr:colOff>585020</xdr:colOff>
      <xdr:row>18</xdr:row>
      <xdr:rowOff>104038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55ED2A4-A25E-476B-8770-F4BBFBB74B99}"/>
            </a:ext>
          </a:extLst>
        </xdr:cNvPr>
        <xdr:cNvSpPr txBox="1"/>
      </xdr:nvSpPr>
      <xdr:spPr>
        <a:xfrm>
          <a:off x="2227099" y="3688895"/>
          <a:ext cx="3902015" cy="39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latin typeface="나눔스퀘어 Bold" panose="020B0600000101010101" pitchFamily="50" charset="-127"/>
              <a:ea typeface="나눔스퀘어 Bold" panose="020B0600000101010101" pitchFamily="50" charset="-127"/>
            </a:rPr>
            <a:t>② 채널별 가입자</a:t>
          </a:r>
          <a:r>
            <a:rPr lang="en-US" altLang="ko-KR" sz="1100">
              <a:latin typeface="나눔스퀘어 Bold" panose="020B0600000101010101" pitchFamily="50" charset="-127"/>
              <a:ea typeface="나눔스퀘어 Bold" panose="020B0600000101010101" pitchFamily="50" charset="-127"/>
            </a:rPr>
            <a:t>(CAPA)</a:t>
          </a:r>
          <a:r>
            <a:rPr lang="ko-KR" altLang="en-US" sz="1100">
              <a:latin typeface="나눔스퀘어 Bold" panose="020B0600000101010101" pitchFamily="50" charset="-127"/>
              <a:ea typeface="나눔스퀘어 Bold" panose="020B0600000101010101" pitchFamily="50" charset="-127"/>
            </a:rPr>
            <a:t> 비중         </a:t>
          </a:r>
          <a:endParaRPr lang="en-US" altLang="ko-KR" sz="1100" baseline="0">
            <a:latin typeface="나눔스퀘어 Bold" panose="020B0600000101010101" pitchFamily="50" charset="-127"/>
            <a:ea typeface="나눔스퀘어 Bold" panose="020B0600000101010101" pitchFamily="50" charset="-127"/>
          </a:endParaRPr>
        </a:p>
      </xdr:txBody>
    </xdr:sp>
    <xdr:clientData/>
  </xdr:twoCellAnchor>
  <xdr:twoCellAnchor>
    <xdr:from>
      <xdr:col>10</xdr:col>
      <xdr:colOff>81643</xdr:colOff>
      <xdr:row>12</xdr:row>
      <xdr:rowOff>97972</xdr:rowOff>
    </xdr:from>
    <xdr:to>
      <xdr:col>16</xdr:col>
      <xdr:colOff>473529</xdr:colOff>
      <xdr:row>27</xdr:row>
      <xdr:rowOff>65315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ECC7E202-557A-4AD0-8953-0F20A2FCD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603389</xdr:colOff>
      <xdr:row>2</xdr:row>
      <xdr:rowOff>83563</xdr:rowOff>
    </xdr:from>
    <xdr:to>
      <xdr:col>18</xdr:col>
      <xdr:colOff>15558</xdr:colOff>
      <xdr:row>4</xdr:row>
      <xdr:rowOff>32914</xdr:rowOff>
    </xdr:to>
    <xdr:sp macro="" textlink="$U$3">
      <xdr:nvSpPr>
        <xdr:cNvPr id="18" name="TextBox 17">
          <a:extLst>
            <a:ext uri="{FF2B5EF4-FFF2-40B4-BE49-F238E27FC236}">
              <a16:creationId xmlns:a16="http://schemas.microsoft.com/office/drawing/2014/main" id="{0333C62E-B59C-4CB4-8EBC-54FCAC691AC2}"/>
            </a:ext>
          </a:extLst>
        </xdr:cNvPr>
        <xdr:cNvSpPr txBox="1"/>
      </xdr:nvSpPr>
      <xdr:spPr>
        <a:xfrm>
          <a:off x="11827201" y="442151"/>
          <a:ext cx="792733" cy="352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9C4A50B0-BE48-4C50-B862-031C5E37569C}" type="TxLink">
            <a:rPr lang="en-US" altLang="en-US" sz="1100" b="0" i="0" u="none" strike="noStrike" baseline="0">
              <a:solidFill>
                <a:srgbClr val="0D37D1"/>
              </a:solidFill>
              <a:latin typeface="KT Flow Bold" pitchFamily="2" charset="-127"/>
              <a:ea typeface="KT Flow Bold" pitchFamily="2" charset="-127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2026-2</a:t>
          </a:fld>
          <a:endParaRPr lang="en-US" altLang="en-US" baseline="0">
            <a:solidFill>
              <a:srgbClr val="0D37D1"/>
            </a:solidFill>
            <a:latin typeface="KT Flow Bold" pitchFamily="2" charset="-127"/>
            <a:ea typeface="KT Flow Bold" pitchFamily="2" charset="-127"/>
          </a:endParaRPr>
        </a:p>
      </xdr:txBody>
    </xdr:sp>
    <xdr:clientData/>
  </xdr:twoCellAnchor>
  <xdr:twoCellAnchor>
    <xdr:from>
      <xdr:col>0</xdr:col>
      <xdr:colOff>132037</xdr:colOff>
      <xdr:row>1</xdr:row>
      <xdr:rowOff>37268</xdr:rowOff>
    </xdr:from>
    <xdr:to>
      <xdr:col>1</xdr:col>
      <xdr:colOff>1792387</xdr:colOff>
      <xdr:row>37</xdr:row>
      <xdr:rowOff>15196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C767C1B-024F-4381-A2AB-9F31558007C5}"/>
            </a:ext>
          </a:extLst>
        </xdr:cNvPr>
        <xdr:cNvSpPr/>
      </xdr:nvSpPr>
      <xdr:spPr>
        <a:xfrm>
          <a:off x="132037" y="216562"/>
          <a:ext cx="1803785" cy="6522163"/>
        </a:xfrm>
        <a:prstGeom prst="rect">
          <a:avLst/>
        </a:prstGeom>
        <a:solidFill>
          <a:sysClr val="window" lastClr="FFFFFF"/>
        </a:solidFill>
        <a:ln w="12700">
          <a:noFill/>
        </a:ln>
        <a:effectLst>
          <a:outerShdw blurRad="241300" dist="203200" sx="97000" sy="97000" algn="l" rotWithShape="0">
            <a:prstClr val="black">
              <a:alpha val="14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357843</xdr:colOff>
      <xdr:row>1</xdr:row>
      <xdr:rowOff>162198</xdr:rowOff>
    </xdr:from>
    <xdr:ext cx="1130631" cy="396250"/>
    <xdr:pic>
      <xdr:nvPicPr>
        <xdr:cNvPr id="20" name="그림 19">
          <a:extLst>
            <a:ext uri="{FF2B5EF4-FFF2-40B4-BE49-F238E27FC236}">
              <a16:creationId xmlns:a16="http://schemas.microsoft.com/office/drawing/2014/main" id="{09157B72-3E15-489E-8ED6-1CFC0C4DE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69" t="26022" r="23209" b="24399"/>
        <a:stretch/>
      </xdr:blipFill>
      <xdr:spPr>
        <a:xfrm>
          <a:off x="1050174" y="379912"/>
          <a:ext cx="1130631" cy="396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15297</xdr:colOff>
      <xdr:row>41</xdr:row>
      <xdr:rowOff>8716</xdr:rowOff>
    </xdr:from>
    <xdr:to>
      <xdr:col>28</xdr:col>
      <xdr:colOff>65463</xdr:colOff>
      <xdr:row>50</xdr:row>
      <xdr:rowOff>200024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303FD6-B1B5-4166-B6DD-62A7A4276FE8}"/>
            </a:ext>
          </a:extLst>
        </xdr:cNvPr>
        <xdr:cNvSpPr/>
      </xdr:nvSpPr>
      <xdr:spPr>
        <a:xfrm>
          <a:off x="13883697" y="9221989"/>
          <a:ext cx="7199111" cy="2061671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코코넛 컨설팅</a:t>
          </a:r>
        </a:p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2024. 12</a:t>
          </a:r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월부터 실적 기입 </a:t>
          </a:r>
        </a:p>
      </xdr:txBody>
    </xdr:sp>
    <xdr:clientData/>
  </xdr:twoCellAnchor>
  <xdr:twoCellAnchor>
    <xdr:from>
      <xdr:col>3</xdr:col>
      <xdr:colOff>1287</xdr:colOff>
      <xdr:row>41</xdr:row>
      <xdr:rowOff>12997</xdr:rowOff>
    </xdr:from>
    <xdr:to>
      <xdr:col>17</xdr:col>
      <xdr:colOff>0</xdr:colOff>
      <xdr:row>64</xdr:row>
      <xdr:rowOff>9913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7A10E15-93E6-4663-8FAB-5F6827C46E5D}"/>
            </a:ext>
          </a:extLst>
        </xdr:cNvPr>
        <xdr:cNvSpPr/>
      </xdr:nvSpPr>
      <xdr:spPr>
        <a:xfrm>
          <a:off x="3949832" y="9808161"/>
          <a:ext cx="1301041" cy="5109243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코코넛 컨설팅</a:t>
          </a:r>
        </a:p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2024. 12</a:t>
          </a:r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월부터 실적 기입 예정 </a:t>
          </a:r>
        </a:p>
        <a:p>
          <a:pPr algn="ctr"/>
          <a:endParaRPr lang="en-US" altLang="ko-KR" sz="2800">
            <a:latin typeface="KT서체 Bold" panose="020B0600000101010101" pitchFamily="50" charset="-127"/>
            <a:ea typeface="KT서체 Bold" panose="020B0600000101010101" pitchFamily="50" charset="-127"/>
          </a:endParaRPr>
        </a:p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Mall</a:t>
          </a:r>
          <a:r>
            <a:rPr lang="en-US" altLang="ko-KR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 2024.05 </a:t>
          </a:r>
          <a:r>
            <a:rPr lang="ko-KR" altLang="en-US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오픈</a:t>
          </a:r>
          <a:endParaRPr lang="en-US" altLang="ko-KR" sz="2800" baseline="0">
            <a:latin typeface="KT서체 Bold" panose="020B0600000101010101" pitchFamily="50" charset="-127"/>
            <a:ea typeface="KT서체 Bold" panose="020B0600000101010101" pitchFamily="50" charset="-127"/>
          </a:endParaRPr>
        </a:p>
        <a:p>
          <a:pPr algn="ctr"/>
          <a:endParaRPr lang="en-US" altLang="ko-KR" sz="2800" baseline="0">
            <a:latin typeface="KT서체 Bold" panose="020B0600000101010101" pitchFamily="50" charset="-127"/>
            <a:ea typeface="KT서체 Bold" panose="020B0600000101010101" pitchFamily="50" charset="-127"/>
          </a:endParaRP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16</xdr:col>
      <xdr:colOff>654050</xdr:colOff>
      <xdr:row>27</xdr:row>
      <xdr:rowOff>209550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9976066-2B7D-4CC3-BA2A-2A40F37EF5BF}"/>
            </a:ext>
          </a:extLst>
        </xdr:cNvPr>
        <xdr:cNvSpPr/>
      </xdr:nvSpPr>
      <xdr:spPr>
        <a:xfrm>
          <a:off x="4000500" y="647700"/>
          <a:ext cx="9321800" cy="525780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시연폰</a:t>
          </a:r>
          <a:r>
            <a:rPr lang="ko-KR" altLang="en-US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 중고폰</a:t>
          </a:r>
          <a:endParaRPr lang="en-US" altLang="ko-KR" sz="2800" baseline="0">
            <a:latin typeface="KT서체 Bold" panose="020B0600000101010101" pitchFamily="50" charset="-127"/>
            <a:ea typeface="KT서체 Bold" panose="020B0600000101010101" pitchFamily="50" charset="-127"/>
          </a:endParaRPr>
        </a:p>
        <a:p>
          <a:pPr algn="ctr"/>
          <a:r>
            <a:rPr lang="en-US" altLang="ko-KR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23</a:t>
          </a:r>
          <a:r>
            <a:rPr lang="ko-KR" altLang="en-US" sz="2800" baseline="0">
              <a:latin typeface="KT서체 Bold" panose="020B0600000101010101" pitchFamily="50" charset="-127"/>
              <a:ea typeface="KT서체 Bold" panose="020B0600000101010101" pitchFamily="50" charset="-127"/>
            </a:rPr>
            <a:t>년 외주로 실적 확인 불가</a:t>
          </a:r>
          <a:endParaRPr lang="ko-KR" altLang="en-US" sz="2800">
            <a:latin typeface="KT서체 Bold" panose="020B0600000101010101" pitchFamily="50" charset="-127"/>
            <a:ea typeface="KT서체 Bold" panose="020B0600000101010101" pitchFamily="50" charset="-127"/>
          </a:endParaRPr>
        </a:p>
      </xdr:txBody>
    </xdr:sp>
    <xdr:clientData/>
  </xdr:twoCellAnchor>
  <xdr:twoCellAnchor>
    <xdr:from>
      <xdr:col>18</xdr:col>
      <xdr:colOff>7620</xdr:colOff>
      <xdr:row>51</xdr:row>
      <xdr:rowOff>10101</xdr:rowOff>
    </xdr:from>
    <xdr:to>
      <xdr:col>22</xdr:col>
      <xdr:colOff>27709</xdr:colOff>
      <xdr:row>63</xdr:row>
      <xdr:rowOff>139815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C2C7617-ABB6-4ACF-B9DF-2BCC4124F94B}"/>
            </a:ext>
          </a:extLst>
        </xdr:cNvPr>
        <xdr:cNvSpPr/>
      </xdr:nvSpPr>
      <xdr:spPr>
        <a:xfrm>
          <a:off x="13876020" y="11301556"/>
          <a:ext cx="2832562" cy="2415714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Mall</a:t>
          </a:r>
        </a:p>
        <a:p>
          <a:pPr algn="ctr"/>
          <a:r>
            <a:rPr lang="en-US" altLang="ko-KR" sz="2800">
              <a:latin typeface="KT서체 Bold" panose="020B0600000101010101" pitchFamily="50" charset="-127"/>
              <a:ea typeface="KT서체 Bold" panose="020B0600000101010101" pitchFamily="50" charset="-127"/>
            </a:rPr>
            <a:t>2024.05 </a:t>
          </a:r>
          <a:r>
            <a:rPr lang="ko-KR" altLang="en-US" sz="2800">
              <a:latin typeface="KT서체 Bold" panose="020B0600000101010101" pitchFamily="50" charset="-127"/>
              <a:ea typeface="KT서체 Bold" panose="020B0600000101010101" pitchFamily="50" charset="-127"/>
            </a:rPr>
            <a:t>오픈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67235</xdr:colOff>
      <xdr:row>79</xdr:row>
      <xdr:rowOff>25585</xdr:rowOff>
    </xdr:from>
    <xdr:to>
      <xdr:col>16</xdr:col>
      <xdr:colOff>649941</xdr:colOff>
      <xdr:row>80</xdr:row>
      <xdr:rowOff>179293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1F0039D-7FAC-47BD-9A48-FD59B8736C31}"/>
            </a:ext>
          </a:extLst>
        </xdr:cNvPr>
        <xdr:cNvSpPr/>
      </xdr:nvSpPr>
      <xdr:spPr>
        <a:xfrm>
          <a:off x="3512564" y="17143371"/>
          <a:ext cx="9144320" cy="376865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미집계</a:t>
          </a:r>
        </a:p>
      </xdr:txBody>
    </xdr:sp>
    <xdr:clientData/>
  </xdr:twoCellAnchor>
  <xdr:twoCellAnchor>
    <xdr:from>
      <xdr:col>3</xdr:col>
      <xdr:colOff>43237</xdr:colOff>
      <xdr:row>83</xdr:row>
      <xdr:rowOff>46999</xdr:rowOff>
    </xdr:from>
    <xdr:to>
      <xdr:col>16</xdr:col>
      <xdr:colOff>665017</xdr:colOff>
      <xdr:row>96</xdr:row>
      <xdr:rowOff>166999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157BE66-0B7C-44EB-99AB-009B72614D05}"/>
            </a:ext>
          </a:extLst>
        </xdr:cNvPr>
        <xdr:cNvSpPr/>
      </xdr:nvSpPr>
      <xdr:spPr>
        <a:xfrm>
          <a:off x="3493019" y="18044054"/>
          <a:ext cx="9086907" cy="3001745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미집계</a:t>
          </a:r>
        </a:p>
      </xdr:txBody>
    </xdr:sp>
    <xdr:clientData/>
  </xdr:twoCellAnchor>
  <xdr:twoCellAnchor>
    <xdr:from>
      <xdr:col>3</xdr:col>
      <xdr:colOff>44823</xdr:colOff>
      <xdr:row>75</xdr:row>
      <xdr:rowOff>27080</xdr:rowOff>
    </xdr:from>
    <xdr:to>
      <xdr:col>16</xdr:col>
      <xdr:colOff>637054</xdr:colOff>
      <xdr:row>76</xdr:row>
      <xdr:rowOff>179294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5EC48E9-8EEB-42DD-BF82-CE5E11B1EE9D}"/>
            </a:ext>
          </a:extLst>
        </xdr:cNvPr>
        <xdr:cNvSpPr/>
      </xdr:nvSpPr>
      <xdr:spPr>
        <a:xfrm>
          <a:off x="3490152" y="16284894"/>
          <a:ext cx="9153845" cy="359043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미집계</a:t>
          </a:r>
        </a:p>
      </xdr:txBody>
    </xdr:sp>
    <xdr:clientData/>
  </xdr:twoCellAnchor>
  <xdr:twoCellAnchor>
    <xdr:from>
      <xdr:col>3</xdr:col>
      <xdr:colOff>56204</xdr:colOff>
      <xdr:row>99</xdr:row>
      <xdr:rowOff>46505</xdr:rowOff>
    </xdr:from>
    <xdr:to>
      <xdr:col>16</xdr:col>
      <xdr:colOff>648435</xdr:colOff>
      <xdr:row>100</xdr:row>
      <xdr:rowOff>187512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83115E8-5751-4BF9-A353-DCD45C5FFA5A}"/>
            </a:ext>
          </a:extLst>
        </xdr:cNvPr>
        <xdr:cNvSpPr/>
      </xdr:nvSpPr>
      <xdr:spPr>
        <a:xfrm>
          <a:off x="3501533" y="21627434"/>
          <a:ext cx="9153845" cy="364164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미집계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860070</xdr:colOff>
      <xdr:row>57</xdr:row>
      <xdr:rowOff>27709</xdr:rowOff>
    </xdr:from>
    <xdr:to>
      <xdr:col>12</xdr:col>
      <xdr:colOff>870659</xdr:colOff>
      <xdr:row>87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16C4C72-34BD-4098-A5C2-9BA35C0EA459}"/>
            </a:ext>
          </a:extLst>
        </xdr:cNvPr>
        <xdr:cNvSpPr/>
      </xdr:nvSpPr>
      <xdr:spPr>
        <a:xfrm>
          <a:off x="11722034" y="11651673"/>
          <a:ext cx="911134" cy="5375563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후행</a:t>
          </a:r>
          <a:endParaRPr lang="en-US" altLang="ko-KR" sz="1200" b="1">
            <a:solidFill>
              <a:sysClr val="windowText" lastClr="000000"/>
            </a:solidFill>
          </a:endParaRPr>
        </a:p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지표</a:t>
          </a:r>
        </a:p>
      </xdr:txBody>
    </xdr:sp>
    <xdr:clientData/>
  </xdr:twoCellAnchor>
  <xdr:twoCellAnchor>
    <xdr:from>
      <xdr:col>10</xdr:col>
      <xdr:colOff>7322</xdr:colOff>
      <xdr:row>87</xdr:row>
      <xdr:rowOff>13854</xdr:rowOff>
    </xdr:from>
    <xdr:to>
      <xdr:col>12</xdr:col>
      <xdr:colOff>886691</xdr:colOff>
      <xdr:row>113</xdr:row>
      <xdr:rowOff>161899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BC8A539-5F49-4A7E-BD9D-41173AEE61E7}"/>
            </a:ext>
          </a:extLst>
        </xdr:cNvPr>
        <xdr:cNvSpPr/>
      </xdr:nvSpPr>
      <xdr:spPr>
        <a:xfrm>
          <a:off x="9954886" y="17041090"/>
          <a:ext cx="2694314" cy="4830882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후행</a:t>
          </a:r>
          <a:endParaRPr lang="en-US" altLang="ko-KR" sz="1200" b="1">
            <a:solidFill>
              <a:sysClr val="windowText" lastClr="000000"/>
            </a:solidFill>
          </a:endParaRPr>
        </a:p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지표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419100</xdr:colOff>
      <xdr:row>117</xdr:row>
      <xdr:rowOff>114300</xdr:rowOff>
    </xdr:from>
    <xdr:to>
      <xdr:col>52</xdr:col>
      <xdr:colOff>205607</xdr:colOff>
      <xdr:row>124</xdr:row>
      <xdr:rowOff>85345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13C5963-F550-4AD8-A173-8A662622413E}"/>
            </a:ext>
          </a:extLst>
        </xdr:cNvPr>
        <xdr:cNvSpPr/>
      </xdr:nvSpPr>
      <xdr:spPr>
        <a:xfrm>
          <a:off x="31242000" y="21964650"/>
          <a:ext cx="3329807" cy="1304545"/>
        </a:xfrm>
        <a:prstGeom prst="rect">
          <a:avLst/>
        </a:prstGeom>
        <a:solidFill>
          <a:srgbClr val="70AD47">
            <a:lumMod val="60000"/>
            <a:lumOff val="40000"/>
            <a:alpha val="32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'25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년 소매 영업품질등급제는 시행하지 않았으며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도매 영업품질등급제는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10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월까지 운영후 종료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'26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년 리모델링한 도소매 등급제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(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도매 패스트 트랙 등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)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로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새로 시작 예정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(3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월부터 시행 예정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)</a:t>
          </a:r>
        </a:p>
      </xdr:txBody>
    </xdr:sp>
    <xdr:clientData/>
  </xdr:twoCellAnchor>
  <xdr:twoCellAnchor>
    <xdr:from>
      <xdr:col>48</xdr:col>
      <xdr:colOff>487680</xdr:colOff>
      <xdr:row>89</xdr:row>
      <xdr:rowOff>0</xdr:rowOff>
    </xdr:from>
    <xdr:to>
      <xdr:col>52</xdr:col>
      <xdr:colOff>66947</xdr:colOff>
      <xdr:row>93</xdr:row>
      <xdr:rowOff>21672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F400BC0-0175-4892-80E1-3EAED2D5FD44}"/>
            </a:ext>
          </a:extLst>
        </xdr:cNvPr>
        <xdr:cNvSpPr/>
      </xdr:nvSpPr>
      <xdr:spPr>
        <a:xfrm>
          <a:off x="31668720" y="15971520"/>
          <a:ext cx="3145427" cy="753192"/>
        </a:xfrm>
        <a:prstGeom prst="rect">
          <a:avLst/>
        </a:prstGeom>
        <a:solidFill>
          <a:srgbClr val="70AD47">
            <a:lumMod val="60000"/>
            <a:lumOff val="40000"/>
            <a:alpha val="32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'25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년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12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 마감까지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KT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공지 완료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1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 마감은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'26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년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3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KT서체 Bold" panose="020B0600000101010101" pitchFamily="50" charset="-127"/>
              <a:ea typeface="KT서체 Bold" panose="020B0600000101010101" pitchFamily="50" charset="-127"/>
              <a:cs typeface="+mn-cs"/>
            </a:rPr>
            <a:t>월 중순이후 공지될 예정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KT서체 Bold" panose="020B0600000101010101" pitchFamily="50" charset="-127"/>
            <a:ea typeface="KT서체 Bold" panose="020B0600000101010101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2A12-7263-4F43-BD76-666E79634152}">
  <sheetPr codeName="Sheet28"/>
  <dimension ref="C2:W37"/>
  <sheetViews>
    <sheetView zoomScale="85" zoomScaleNormal="85" workbookViewId="0">
      <selection activeCell="U11" sqref="U11"/>
    </sheetView>
  </sheetViews>
  <sheetFormatPr defaultColWidth="9.140625" defaultRowHeight="14.6" x14ac:dyDescent="0.55000000000000004"/>
  <cols>
    <col min="1" max="1" width="1.85546875" style="4478" customWidth="1"/>
    <col min="2" max="2" width="23.640625" style="4478" customWidth="1"/>
    <col min="3" max="3" width="4" style="4478" customWidth="1"/>
    <col min="4" max="18" width="9.140625" style="4478"/>
    <col min="19" max="19" width="4" style="4478" customWidth="1"/>
    <col min="20" max="16384" width="9.140625" style="4478"/>
  </cols>
  <sheetData>
    <row r="2" spans="3:21" x14ac:dyDescent="0.55000000000000004">
      <c r="C2" s="4479"/>
      <c r="D2" s="4479"/>
      <c r="E2" s="4479"/>
      <c r="F2" s="4479"/>
      <c r="G2" s="4479"/>
      <c r="H2" s="4479"/>
      <c r="I2" s="4479"/>
      <c r="J2" s="4479"/>
      <c r="K2" s="4479"/>
      <c r="L2" s="4479"/>
      <c r="M2" s="4479"/>
      <c r="N2" s="4479"/>
      <c r="O2" s="4479"/>
      <c r="P2" s="4479"/>
      <c r="Q2" s="4479"/>
      <c r="R2" s="4479"/>
      <c r="S2" s="4479"/>
    </row>
    <row r="3" spans="3:21" ht="14.7" customHeight="1" x14ac:dyDescent="0.55000000000000004">
      <c r="C3" s="4479"/>
      <c r="D3" s="6979" t="s">
        <v>1129</v>
      </c>
      <c r="E3" s="6979"/>
      <c r="F3" s="6979"/>
      <c r="G3" s="6979"/>
      <c r="H3" s="6979"/>
      <c r="I3" s="6979"/>
      <c r="J3" s="6979"/>
      <c r="K3" s="6979"/>
      <c r="L3" s="6979"/>
      <c r="M3" s="6979"/>
      <c r="N3" s="6979"/>
      <c r="O3" s="6979"/>
      <c r="P3" s="6979"/>
      <c r="Q3" s="6979"/>
      <c r="R3" s="6979"/>
      <c r="S3" s="4479"/>
      <c r="U3" s="4478" t="str">
        <f>YEAR('0. 개요'!AE2)&amp;"-"&amp;MONTH('0. 개요'!AE2)</f>
        <v>2026-2</v>
      </c>
    </row>
    <row r="4" spans="3:21" ht="17.7" customHeight="1" thickBot="1" x14ac:dyDescent="0.6">
      <c r="C4" s="4479"/>
      <c r="D4" s="6980"/>
      <c r="E4" s="6980"/>
      <c r="F4" s="6980"/>
      <c r="G4" s="6980"/>
      <c r="H4" s="6980"/>
      <c r="I4" s="6980"/>
      <c r="J4" s="6980"/>
      <c r="K4" s="6980"/>
      <c r="L4" s="6980"/>
      <c r="M4" s="6980"/>
      <c r="N4" s="6980"/>
      <c r="O4" s="6980"/>
      <c r="P4" s="6980"/>
      <c r="Q4" s="6980"/>
      <c r="R4" s="6980"/>
      <c r="S4" s="4479"/>
      <c r="U4" s="4478">
        <f>MONTH('0. 개요'!AE2)</f>
        <v>2</v>
      </c>
    </row>
    <row r="5" spans="3:21" x14ac:dyDescent="0.55000000000000004">
      <c r="C5" s="4479"/>
      <c r="D5" s="4479"/>
      <c r="E5" s="4479"/>
      <c r="F5" s="4479"/>
      <c r="G5" s="4479"/>
      <c r="H5" s="4479"/>
      <c r="I5" s="4479"/>
      <c r="J5" s="4479"/>
      <c r="K5" s="4479"/>
      <c r="L5" s="4479"/>
      <c r="M5" s="4479"/>
      <c r="N5" s="4479"/>
      <c r="O5" s="4479"/>
      <c r="P5" s="4479"/>
      <c r="Q5" s="4479"/>
      <c r="R5" s="4479"/>
      <c r="S5" s="4479"/>
    </row>
    <row r="6" spans="3:21" x14ac:dyDescent="0.55000000000000004">
      <c r="C6" s="4479"/>
      <c r="D6" s="4479"/>
      <c r="E6" s="4479"/>
      <c r="F6" s="4479"/>
      <c r="G6" s="4479"/>
      <c r="H6" s="4479"/>
      <c r="I6" s="4479"/>
      <c r="J6" s="4479"/>
      <c r="K6" s="4479"/>
      <c r="L6" s="4479"/>
      <c r="M6" s="4479"/>
      <c r="N6" s="4479"/>
      <c r="O6" s="4479"/>
      <c r="P6" s="4479"/>
      <c r="Q6" s="4479"/>
      <c r="R6" s="4479"/>
      <c r="S6" s="4479"/>
    </row>
    <row r="7" spans="3:21" x14ac:dyDescent="0.55000000000000004">
      <c r="C7" s="4479"/>
      <c r="D7" s="4479"/>
      <c r="E7" s="4479"/>
      <c r="F7" s="4479"/>
      <c r="G7" s="4479"/>
      <c r="H7" s="4479"/>
      <c r="I7" s="4479"/>
      <c r="J7" s="4479"/>
      <c r="K7" s="4479"/>
      <c r="L7" s="4479"/>
      <c r="M7" s="4479"/>
      <c r="N7" s="4479"/>
      <c r="O7" s="4479"/>
      <c r="P7" s="4479"/>
      <c r="Q7" s="4479"/>
      <c r="R7" s="4479"/>
      <c r="S7" s="4479"/>
    </row>
    <row r="8" spans="3:21" x14ac:dyDescent="0.55000000000000004">
      <c r="C8" s="4479"/>
      <c r="D8" s="4479"/>
      <c r="E8" s="4479"/>
      <c r="F8" s="4479"/>
      <c r="G8" s="4479"/>
      <c r="H8" s="4479"/>
      <c r="I8" s="4479"/>
      <c r="J8" s="4479"/>
      <c r="K8" s="4479"/>
      <c r="L8" s="4479"/>
      <c r="M8" s="4479"/>
      <c r="N8" s="4479"/>
      <c r="O8" s="4479"/>
      <c r="P8" s="4479"/>
      <c r="Q8" s="4479"/>
      <c r="R8" s="4479"/>
      <c r="S8" s="4479"/>
    </row>
    <row r="9" spans="3:21" ht="17.600000000000001" x14ac:dyDescent="0.55000000000000004">
      <c r="C9" s="4479"/>
      <c r="D9" s="4479"/>
      <c r="E9" s="4479"/>
      <c r="F9" s="4479"/>
      <c r="G9" s="4479"/>
      <c r="H9" s="4479"/>
      <c r="I9" s="4479"/>
      <c r="J9" s="4479"/>
      <c r="K9" s="4479"/>
      <c r="L9" s="4479"/>
      <c r="M9" s="4479"/>
      <c r="N9" s="4479"/>
      <c r="O9" s="4479"/>
      <c r="P9" s="4479"/>
      <c r="Q9" s="4479"/>
      <c r="R9" s="4479"/>
      <c r="S9" s="4479"/>
      <c r="U9"/>
    </row>
    <row r="10" spans="3:21" x14ac:dyDescent="0.55000000000000004">
      <c r="C10" s="4479"/>
      <c r="D10" s="4479"/>
      <c r="E10" s="4479"/>
      <c r="F10" s="4479"/>
      <c r="G10" s="4479"/>
      <c r="H10" s="4479"/>
      <c r="I10" s="4479"/>
      <c r="J10" s="4479"/>
      <c r="K10" s="4479"/>
      <c r="L10" s="4479"/>
      <c r="M10" s="4479"/>
      <c r="N10" s="4479"/>
      <c r="O10" s="4479"/>
      <c r="P10" s="4479"/>
      <c r="Q10" s="4479"/>
      <c r="R10" s="4479"/>
      <c r="S10" s="4479"/>
    </row>
    <row r="11" spans="3:21" x14ac:dyDescent="0.55000000000000004">
      <c r="C11" s="4479"/>
      <c r="D11" s="4479"/>
      <c r="E11" s="4479"/>
      <c r="F11" s="4479"/>
      <c r="G11" s="4479"/>
      <c r="H11" s="4479"/>
      <c r="I11" s="4479"/>
      <c r="J11" s="4479"/>
      <c r="K11" s="4479"/>
      <c r="L11" s="4479"/>
      <c r="M11" s="4479"/>
      <c r="N11" s="4479"/>
      <c r="O11" s="4479"/>
      <c r="P11" s="4479"/>
      <c r="Q11" s="4479"/>
      <c r="R11" s="4479"/>
      <c r="S11" s="4479"/>
    </row>
    <row r="12" spans="3:21" x14ac:dyDescent="0.55000000000000004">
      <c r="C12" s="4479"/>
      <c r="D12" s="4479"/>
      <c r="E12" s="4479"/>
      <c r="F12" s="4479"/>
      <c r="G12" s="4479"/>
      <c r="H12" s="4479"/>
      <c r="I12" s="4479"/>
      <c r="J12" s="4479"/>
      <c r="K12" s="4479"/>
      <c r="L12" s="4479"/>
      <c r="M12" s="4479"/>
      <c r="N12" s="4479"/>
      <c r="O12" s="4479"/>
      <c r="P12" s="4479"/>
      <c r="Q12" s="4479"/>
      <c r="R12" s="4479"/>
      <c r="S12" s="4479"/>
    </row>
    <row r="13" spans="3:21" x14ac:dyDescent="0.55000000000000004">
      <c r="C13" s="4479"/>
      <c r="D13" s="4479"/>
      <c r="E13" s="4479"/>
      <c r="F13" s="4479"/>
      <c r="G13" s="4479"/>
      <c r="H13" s="4479"/>
      <c r="I13" s="4479"/>
      <c r="J13" s="4479"/>
      <c r="K13" s="4479"/>
      <c r="L13" s="4479"/>
      <c r="M13" s="4479"/>
      <c r="N13" s="4479"/>
      <c r="O13" s="4479"/>
      <c r="P13" s="4479"/>
      <c r="Q13" s="4479"/>
      <c r="R13" s="4479"/>
      <c r="S13" s="4479"/>
    </row>
    <row r="14" spans="3:21" x14ac:dyDescent="0.55000000000000004">
      <c r="C14" s="4479"/>
      <c r="D14" s="4479"/>
      <c r="E14" s="4479"/>
      <c r="F14" s="4479"/>
      <c r="G14" s="4479"/>
      <c r="H14" s="4479"/>
      <c r="I14" s="4479"/>
      <c r="J14" s="4479"/>
      <c r="K14" s="4479"/>
      <c r="L14" s="4479"/>
      <c r="M14" s="4479"/>
      <c r="N14" s="4479"/>
      <c r="O14" s="4479"/>
      <c r="P14" s="4479"/>
      <c r="Q14" s="4479"/>
      <c r="R14" s="4479"/>
      <c r="S14" s="4479"/>
    </row>
    <row r="15" spans="3:21" x14ac:dyDescent="0.55000000000000004">
      <c r="C15" s="4479"/>
      <c r="D15" s="4479"/>
      <c r="E15" s="4479"/>
      <c r="F15" s="4479"/>
      <c r="G15" s="4479"/>
      <c r="H15" s="4479"/>
      <c r="I15" s="4479"/>
      <c r="J15" s="4479"/>
      <c r="K15" s="4479"/>
      <c r="L15" s="4479"/>
      <c r="M15" s="4479"/>
      <c r="N15" s="4479"/>
      <c r="O15" s="4479"/>
      <c r="P15" s="4479"/>
      <c r="Q15" s="4479"/>
      <c r="R15" s="4479"/>
      <c r="S15" s="4479"/>
    </row>
    <row r="16" spans="3:21" x14ac:dyDescent="0.55000000000000004">
      <c r="C16" s="4479"/>
      <c r="D16" s="4479"/>
      <c r="E16" s="4479"/>
      <c r="F16" s="4479"/>
      <c r="G16" s="4479"/>
      <c r="H16" s="4479"/>
      <c r="I16" s="4479"/>
      <c r="J16" s="4479"/>
      <c r="K16" s="4479"/>
      <c r="L16" s="4479"/>
      <c r="M16" s="4479"/>
      <c r="N16" s="4479"/>
      <c r="O16" s="4479"/>
      <c r="P16" s="4479"/>
      <c r="Q16" s="4479"/>
      <c r="R16" s="4479"/>
      <c r="S16" s="4479"/>
    </row>
    <row r="17" spans="3:23" x14ac:dyDescent="0.55000000000000004">
      <c r="C17" s="4479"/>
      <c r="D17" s="4479"/>
      <c r="E17" s="4479"/>
      <c r="F17" s="4479"/>
      <c r="G17" s="4479"/>
      <c r="H17" s="4479"/>
      <c r="I17" s="4479"/>
      <c r="J17" s="4479"/>
      <c r="K17" s="4479"/>
      <c r="L17" s="4479"/>
      <c r="M17" s="4479"/>
      <c r="N17" s="4479"/>
      <c r="O17" s="4479"/>
      <c r="P17" s="4479"/>
      <c r="Q17" s="4479"/>
      <c r="R17" s="4479"/>
      <c r="S17" s="4479"/>
    </row>
    <row r="18" spans="3:23" x14ac:dyDescent="0.55000000000000004">
      <c r="C18" s="4479"/>
      <c r="D18" s="4479"/>
      <c r="E18" s="4479"/>
      <c r="F18" s="4479"/>
      <c r="G18" s="4479"/>
      <c r="H18" s="4479"/>
      <c r="I18" s="4479"/>
      <c r="J18" s="4479"/>
      <c r="K18" s="4479"/>
      <c r="L18" s="4479"/>
      <c r="M18" s="4479"/>
      <c r="N18" s="4479"/>
      <c r="O18" s="4479"/>
      <c r="P18" s="4479"/>
      <c r="Q18" s="4479"/>
      <c r="R18" s="4479"/>
      <c r="S18" s="4479"/>
    </row>
    <row r="19" spans="3:23" x14ac:dyDescent="0.55000000000000004">
      <c r="C19" s="4479"/>
      <c r="D19" s="4479"/>
      <c r="E19" s="4479"/>
      <c r="F19" s="4479"/>
      <c r="G19" s="4479"/>
      <c r="H19" s="4479"/>
      <c r="I19" s="4479"/>
      <c r="J19" s="4479"/>
      <c r="K19" s="4479"/>
      <c r="L19" s="4479"/>
      <c r="M19" s="4479"/>
      <c r="N19" s="4479"/>
      <c r="O19" s="4479"/>
      <c r="P19" s="4479"/>
      <c r="Q19" s="4479"/>
      <c r="R19" s="4479"/>
      <c r="S19" s="4479"/>
    </row>
    <row r="20" spans="3:23" x14ac:dyDescent="0.55000000000000004">
      <c r="C20" s="4479"/>
      <c r="D20" s="4479"/>
      <c r="E20" s="4479"/>
      <c r="F20" s="4479"/>
      <c r="G20" s="4479"/>
      <c r="H20" s="4479"/>
      <c r="I20" s="4479"/>
      <c r="J20" s="4479"/>
      <c r="K20" s="4479"/>
      <c r="L20" s="4479"/>
      <c r="M20" s="4479"/>
      <c r="N20" s="4479"/>
      <c r="O20" s="4479"/>
      <c r="P20" s="4479"/>
      <c r="Q20" s="4479"/>
      <c r="R20" s="4479"/>
      <c r="S20" s="4479"/>
    </row>
    <row r="21" spans="3:23" x14ac:dyDescent="0.55000000000000004">
      <c r="C21" s="4479"/>
      <c r="D21" s="4479"/>
      <c r="E21" s="4479"/>
      <c r="F21" s="4479"/>
      <c r="G21" s="4479"/>
      <c r="H21" s="4479"/>
      <c r="I21" s="4479"/>
      <c r="J21" s="4479"/>
      <c r="K21" s="4479"/>
      <c r="L21" s="4479"/>
      <c r="M21" s="4479"/>
      <c r="N21" s="4479"/>
      <c r="O21" s="4479"/>
      <c r="P21" s="4479"/>
      <c r="Q21" s="4479"/>
      <c r="R21" s="4479"/>
      <c r="S21" s="4479"/>
    </row>
    <row r="22" spans="3:23" x14ac:dyDescent="0.55000000000000004">
      <c r="C22" s="4479"/>
      <c r="D22" s="4479"/>
      <c r="E22" s="4479"/>
      <c r="F22" s="4479"/>
      <c r="G22" s="4479"/>
      <c r="H22" s="4479"/>
      <c r="I22" s="4479"/>
      <c r="J22" s="4479"/>
      <c r="K22" s="4479"/>
      <c r="L22" s="4479"/>
      <c r="M22" s="4479"/>
      <c r="N22" s="4479"/>
      <c r="O22" s="4479"/>
      <c r="P22" s="4479"/>
      <c r="Q22" s="4479"/>
      <c r="R22" s="4479"/>
      <c r="S22" s="4479"/>
    </row>
    <row r="23" spans="3:23" x14ac:dyDescent="0.55000000000000004">
      <c r="C23" s="4479"/>
      <c r="D23" s="4479"/>
      <c r="E23" s="4479"/>
      <c r="F23" s="4479"/>
      <c r="G23" s="4479"/>
      <c r="H23" s="4479"/>
      <c r="I23" s="4479"/>
      <c r="J23" s="4479"/>
      <c r="K23" s="4479"/>
      <c r="L23" s="4479"/>
      <c r="M23" s="4479"/>
      <c r="N23" s="4479"/>
      <c r="O23" s="4479"/>
      <c r="P23" s="4479"/>
      <c r="Q23" s="4479"/>
      <c r="R23" s="4479"/>
      <c r="S23" s="4479"/>
    </row>
    <row r="24" spans="3:23" x14ac:dyDescent="0.55000000000000004">
      <c r="C24" s="4479"/>
      <c r="D24" s="4479"/>
      <c r="E24" s="4479"/>
      <c r="F24" s="4479"/>
      <c r="G24" s="4479"/>
      <c r="H24" s="4479"/>
      <c r="I24" s="4479"/>
      <c r="J24" s="4479"/>
      <c r="K24" s="4479"/>
      <c r="L24" s="4479"/>
      <c r="M24" s="4479"/>
      <c r="N24" s="4479"/>
      <c r="O24" s="4479"/>
      <c r="P24" s="4479"/>
      <c r="Q24" s="4479"/>
      <c r="R24" s="4479"/>
      <c r="S24" s="4479"/>
    </row>
    <row r="25" spans="3:23" ht="17.600000000000001" x14ac:dyDescent="0.55000000000000004">
      <c r="C25" s="4479"/>
      <c r="D25" s="4479"/>
      <c r="E25" s="4479"/>
      <c r="F25" s="4479"/>
      <c r="G25" s="4479"/>
      <c r="H25" s="4479"/>
      <c r="I25" s="4479"/>
      <c r="J25" s="4479"/>
      <c r="K25" s="4479"/>
      <c r="L25" s="4479"/>
      <c r="M25" s="4479"/>
      <c r="N25" s="4479"/>
      <c r="O25" s="4479"/>
      <c r="P25" s="4479"/>
      <c r="Q25" s="4479"/>
      <c r="R25" s="4479"/>
      <c r="S25" s="4479"/>
      <c r="W25"/>
    </row>
    <row r="26" spans="3:23" x14ac:dyDescent="0.55000000000000004">
      <c r="C26" s="4479"/>
      <c r="D26" s="4479"/>
      <c r="E26" s="4479"/>
      <c r="F26" s="4479"/>
      <c r="G26" s="4479"/>
      <c r="H26" s="4479"/>
      <c r="I26" s="4479"/>
      <c r="J26" s="4479"/>
      <c r="K26" s="4479"/>
      <c r="L26" s="4479"/>
      <c r="M26" s="4479"/>
      <c r="N26" s="4479"/>
      <c r="O26" s="4479"/>
      <c r="P26" s="4479"/>
      <c r="Q26" s="4479"/>
      <c r="R26" s="4479"/>
      <c r="S26" s="4479"/>
    </row>
    <row r="27" spans="3:23" x14ac:dyDescent="0.55000000000000004">
      <c r="C27" s="4479"/>
      <c r="D27" s="4479"/>
      <c r="E27" s="4479"/>
      <c r="F27" s="4479"/>
      <c r="G27" s="4479"/>
      <c r="H27" s="4479"/>
      <c r="I27" s="4479"/>
      <c r="J27" s="4479"/>
      <c r="K27" s="4479"/>
      <c r="L27" s="4479"/>
      <c r="M27" s="4479"/>
      <c r="N27" s="4479"/>
      <c r="O27" s="4479"/>
      <c r="P27" s="4479"/>
      <c r="Q27" s="4479"/>
      <c r="R27" s="4479"/>
      <c r="S27" s="4479"/>
    </row>
    <row r="28" spans="3:23" x14ac:dyDescent="0.55000000000000004">
      <c r="C28" s="4479"/>
      <c r="D28" s="4479"/>
      <c r="E28" s="4479"/>
      <c r="F28" s="4479"/>
      <c r="G28" s="4479"/>
      <c r="H28" s="4479"/>
      <c r="I28" s="4479"/>
      <c r="J28" s="4479"/>
      <c r="K28" s="4479"/>
      <c r="L28" s="4479"/>
      <c r="M28" s="4479"/>
      <c r="N28" s="4479"/>
      <c r="O28" s="4479"/>
      <c r="P28" s="4479"/>
      <c r="Q28" s="4479"/>
      <c r="R28" s="4479"/>
      <c r="S28" s="4479"/>
    </row>
    <row r="29" spans="3:23" x14ac:dyDescent="0.55000000000000004">
      <c r="C29" s="4479"/>
      <c r="D29" s="4479"/>
      <c r="E29" s="4479"/>
      <c r="F29" s="4479"/>
      <c r="G29" s="4479"/>
      <c r="H29" s="4479"/>
      <c r="I29" s="4479"/>
      <c r="J29" s="4479"/>
      <c r="K29" s="4479"/>
      <c r="L29" s="4479"/>
      <c r="M29" s="4479"/>
      <c r="N29" s="4479"/>
      <c r="O29" s="4479"/>
      <c r="P29" s="4479"/>
      <c r="Q29" s="4479"/>
      <c r="R29" s="4479"/>
      <c r="S29" s="4479"/>
    </row>
    <row r="30" spans="3:23" x14ac:dyDescent="0.55000000000000004">
      <c r="C30" s="4479"/>
      <c r="D30" s="4479"/>
      <c r="E30" s="4479"/>
      <c r="F30" s="4479"/>
      <c r="G30" s="4479"/>
      <c r="H30" s="4479"/>
      <c r="I30" s="4479"/>
      <c r="J30" s="4479"/>
      <c r="K30" s="4479"/>
      <c r="L30" s="4479"/>
      <c r="M30" s="4479"/>
      <c r="N30" s="4479"/>
      <c r="O30" s="4479"/>
      <c r="P30" s="4479"/>
      <c r="Q30" s="4479"/>
      <c r="R30" s="4479"/>
      <c r="S30" s="4479"/>
    </row>
    <row r="31" spans="3:23" x14ac:dyDescent="0.55000000000000004">
      <c r="C31" s="4479"/>
      <c r="D31" s="4479"/>
      <c r="E31" s="4479"/>
      <c r="F31" s="4479"/>
      <c r="G31" s="4479"/>
      <c r="H31" s="4479"/>
      <c r="I31" s="4479"/>
      <c r="J31" s="4479"/>
      <c r="K31" s="4479"/>
      <c r="L31" s="4479"/>
      <c r="M31" s="4479"/>
      <c r="N31" s="4479"/>
      <c r="O31" s="4479"/>
      <c r="P31" s="4479"/>
      <c r="Q31" s="4479"/>
      <c r="R31" s="4479"/>
      <c r="S31" s="4479"/>
    </row>
    <row r="32" spans="3:23" x14ac:dyDescent="0.55000000000000004">
      <c r="C32" s="4479"/>
      <c r="D32" s="4479"/>
      <c r="E32" s="4479"/>
      <c r="F32" s="4479"/>
      <c r="G32" s="4479"/>
      <c r="H32" s="4479"/>
      <c r="I32" s="4479"/>
      <c r="J32" s="4479"/>
      <c r="K32" s="4479"/>
      <c r="L32" s="4479"/>
      <c r="M32" s="4479"/>
      <c r="N32" s="4479"/>
      <c r="O32" s="4479"/>
      <c r="P32" s="4479"/>
      <c r="Q32" s="4479"/>
      <c r="R32" s="4479"/>
      <c r="S32" s="4479"/>
    </row>
    <row r="33" spans="3:19" x14ac:dyDescent="0.55000000000000004">
      <c r="C33" s="4479"/>
      <c r="D33" s="4479"/>
      <c r="E33" s="4479"/>
      <c r="F33" s="4479"/>
      <c r="G33" s="4479"/>
      <c r="H33" s="4479"/>
      <c r="I33" s="4479"/>
      <c r="J33" s="4479"/>
      <c r="K33" s="4479"/>
      <c r="L33" s="4479"/>
      <c r="M33" s="4479"/>
      <c r="N33" s="4479"/>
      <c r="O33" s="4479"/>
      <c r="P33" s="4479"/>
      <c r="Q33" s="4479"/>
      <c r="R33" s="4479"/>
      <c r="S33" s="4479"/>
    </row>
    <row r="34" spans="3:19" x14ac:dyDescent="0.55000000000000004">
      <c r="C34" s="4479"/>
      <c r="D34" s="4479"/>
      <c r="E34" s="4479"/>
      <c r="F34" s="4479"/>
      <c r="G34" s="4479"/>
      <c r="H34" s="4479"/>
      <c r="I34" s="4479"/>
      <c r="J34" s="4479"/>
      <c r="K34" s="4479"/>
      <c r="L34" s="4479"/>
      <c r="M34" s="4479"/>
      <c r="N34" s="4479"/>
      <c r="O34" s="4479"/>
      <c r="P34" s="4479"/>
      <c r="Q34" s="4479"/>
      <c r="R34" s="4479"/>
      <c r="S34" s="4479"/>
    </row>
    <row r="35" spans="3:19" x14ac:dyDescent="0.55000000000000004">
      <c r="C35" s="4479"/>
      <c r="D35" s="4479"/>
      <c r="E35" s="4479"/>
      <c r="F35" s="4479"/>
      <c r="G35" s="4479"/>
      <c r="H35" s="4479"/>
      <c r="I35" s="4479"/>
      <c r="J35" s="4479"/>
      <c r="K35" s="4479"/>
      <c r="L35" s="4479"/>
      <c r="M35" s="4479"/>
      <c r="N35" s="4479"/>
      <c r="O35" s="4479"/>
      <c r="P35" s="4479"/>
      <c r="Q35" s="4479"/>
      <c r="R35" s="4479"/>
      <c r="S35" s="4479"/>
    </row>
    <row r="36" spans="3:19" x14ac:dyDescent="0.55000000000000004">
      <c r="C36" s="4479"/>
      <c r="D36" s="4479"/>
      <c r="E36" s="4479"/>
      <c r="F36" s="4479"/>
      <c r="G36" s="4479"/>
      <c r="H36" s="4479"/>
      <c r="I36" s="4479"/>
      <c r="J36" s="4479"/>
      <c r="K36" s="4479"/>
      <c r="L36" s="4479"/>
      <c r="M36" s="4479"/>
      <c r="N36" s="4479"/>
      <c r="O36" s="4479"/>
      <c r="P36" s="4479"/>
      <c r="Q36" s="4479"/>
      <c r="R36" s="4479"/>
      <c r="S36" s="4479"/>
    </row>
    <row r="37" spans="3:19" x14ac:dyDescent="0.55000000000000004">
      <c r="C37" s="4479"/>
      <c r="D37" s="4479"/>
      <c r="E37" s="4479"/>
      <c r="F37" s="4479"/>
      <c r="G37" s="4479"/>
      <c r="H37" s="4479"/>
      <c r="I37" s="4479"/>
      <c r="J37" s="4479"/>
      <c r="K37" s="4479"/>
      <c r="L37" s="4479"/>
      <c r="M37" s="4479"/>
      <c r="N37" s="4479"/>
      <c r="O37" s="4479"/>
      <c r="P37" s="4479"/>
      <c r="Q37" s="4479"/>
      <c r="R37" s="4479"/>
      <c r="S37" s="4479"/>
    </row>
  </sheetData>
  <mergeCells count="1">
    <mergeCell ref="D3:R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A9B6-3631-4553-AE1F-FAFF063511EC}">
  <sheetPr codeName="Sheet29"/>
  <dimension ref="A1:BI3"/>
  <sheetViews>
    <sheetView zoomScale="55" zoomScaleNormal="55" workbookViewId="0">
      <selection activeCell="A2" sqref="A2:AA2"/>
    </sheetView>
  </sheetViews>
  <sheetFormatPr defaultColWidth="9.140625" defaultRowHeight="17.600000000000001" x14ac:dyDescent="0.55000000000000004"/>
  <cols>
    <col min="1" max="30" width="9.140625" style="330"/>
    <col min="31" max="31" width="28.0703125" style="330" bestFit="1" customWidth="1"/>
    <col min="32" max="16384" width="9.140625" style="330"/>
  </cols>
  <sheetData>
    <row r="1" spans="1:61" ht="9" customHeight="1" thickBot="1" x14ac:dyDescent="0.6"/>
    <row r="2" spans="1:61" s="4380" customFormat="1" ht="53.15" customHeight="1" thickTop="1" thickBot="1" x14ac:dyDescent="0.6">
      <c r="A2" s="6981" t="str">
        <f>YEAR(AE2)&amp;"년 "&amp;MONTH(AE2)&amp;"월 전사 경영 성과 Factbook"</f>
        <v>2026년 2월 전사 경영 성과 Factbook</v>
      </c>
      <c r="B2" s="6982"/>
      <c r="C2" s="6982"/>
      <c r="D2" s="6982"/>
      <c r="E2" s="6982"/>
      <c r="F2" s="6982"/>
      <c r="G2" s="6982"/>
      <c r="H2" s="6982"/>
      <c r="I2" s="6982"/>
      <c r="J2" s="6982"/>
      <c r="K2" s="6982"/>
      <c r="L2" s="6982"/>
      <c r="M2" s="6982"/>
      <c r="N2" s="6982"/>
      <c r="O2" s="6982"/>
      <c r="P2" s="6982"/>
      <c r="Q2" s="6982"/>
      <c r="R2" s="6982"/>
      <c r="S2" s="6982"/>
      <c r="T2" s="6982"/>
      <c r="U2" s="6982"/>
      <c r="V2" s="6982"/>
      <c r="W2" s="6982"/>
      <c r="X2" s="6982"/>
      <c r="Y2" s="6982"/>
      <c r="Z2" s="6982"/>
      <c r="AA2" s="6982"/>
      <c r="AC2" s="4468" t="s">
        <v>1118</v>
      </c>
      <c r="AD2" s="4468"/>
      <c r="AE2" s="4469">
        <v>46054</v>
      </c>
      <c r="AG2" s="4381"/>
      <c r="AH2" s="4381"/>
      <c r="AI2" s="4382"/>
      <c r="AK2" s="4381"/>
      <c r="AL2" s="4382"/>
      <c r="BE2" s="6983"/>
      <c r="BF2" s="6983"/>
      <c r="BG2" s="6983"/>
      <c r="BH2" s="6983"/>
      <c r="BI2" s="6983"/>
    </row>
    <row r="3" spans="1:61" ht="18" thickTop="1" x14ac:dyDescent="0.55000000000000004"/>
  </sheetData>
  <mergeCells count="2">
    <mergeCell ref="A2:AA2"/>
    <mergeCell ref="BE2:BI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3D3E-52A5-46E2-925C-03C6DD651AC3}">
  <sheetPr codeName="Sheet4">
    <pageSetUpPr fitToPage="1"/>
  </sheetPr>
  <dimension ref="A1:BI40"/>
  <sheetViews>
    <sheetView tabSelected="1" view="pageBreakPreview" zoomScale="40" zoomScaleNormal="40" zoomScaleSheetLayoutView="40" workbookViewId="0">
      <selection activeCell="AE6" sqref="AE6"/>
    </sheetView>
  </sheetViews>
  <sheetFormatPr defaultColWidth="8.640625" defaultRowHeight="17.600000000000001" x14ac:dyDescent="0.55000000000000004"/>
  <cols>
    <col min="1" max="1" width="6.85546875" style="330" customWidth="1"/>
    <col min="2" max="3" width="8.640625" style="330"/>
    <col min="4" max="4" width="30.2109375" style="330" customWidth="1"/>
    <col min="5" max="5" width="5.0703125" style="330" customWidth="1"/>
    <col min="6" max="15" width="9.85546875" style="330" customWidth="1"/>
    <col min="16" max="18" width="0" style="330" hidden="1" customWidth="1"/>
    <col min="19" max="19" width="8.640625" style="330" hidden="1" customWidth="1"/>
    <col min="20" max="24" width="8.640625" style="330"/>
    <col min="25" max="25" width="11.140625" style="330" customWidth="1"/>
    <col min="26" max="29" width="8.640625" style="330"/>
    <col min="30" max="30" width="6.42578125" style="330" customWidth="1"/>
    <col min="31" max="31" width="26.42578125" style="330" customWidth="1"/>
    <col min="32" max="16384" width="8.640625" style="330"/>
  </cols>
  <sheetData>
    <row r="1" spans="1:61" ht="9" customHeight="1" thickBot="1" x14ac:dyDescent="0.6"/>
    <row r="2" spans="1:61" s="4380" customFormat="1" ht="53.15" customHeight="1" thickTop="1" thickBot="1" x14ac:dyDescent="0.6">
      <c r="A2" s="6981" t="s">
        <v>1120</v>
      </c>
      <c r="B2" s="6982"/>
      <c r="C2" s="6982"/>
      <c r="D2" s="6982"/>
      <c r="E2" s="6982"/>
      <c r="F2" s="6982"/>
      <c r="G2" s="6982"/>
      <c r="H2" s="6982"/>
      <c r="I2" s="6982"/>
      <c r="J2" s="6982"/>
      <c r="K2" s="6982"/>
      <c r="L2" s="6982"/>
      <c r="M2" s="6982"/>
      <c r="N2" s="6982"/>
      <c r="O2" s="6982"/>
      <c r="P2" s="6982"/>
      <c r="Q2" s="6982"/>
      <c r="R2" s="6982"/>
      <c r="S2" s="6982"/>
      <c r="T2" s="6982"/>
      <c r="U2" s="6982"/>
      <c r="V2" s="6982"/>
      <c r="W2" s="6982"/>
      <c r="X2" s="6982"/>
      <c r="Y2" s="6982"/>
      <c r="Z2" s="6982"/>
      <c r="AA2" s="6982"/>
      <c r="AC2" s="4468" t="s">
        <v>1118</v>
      </c>
      <c r="AD2" s="4468"/>
      <c r="AE2" s="4469">
        <f>'0. 개요'!AE2</f>
        <v>46054</v>
      </c>
      <c r="AG2" s="4381"/>
      <c r="AH2" s="4381"/>
      <c r="AI2" s="4382"/>
      <c r="AK2" s="4381"/>
      <c r="AL2" s="4382"/>
      <c r="BE2" s="6983"/>
      <c r="BF2" s="6983"/>
      <c r="BG2" s="6983"/>
      <c r="BH2" s="6983"/>
      <c r="BI2" s="6983"/>
    </row>
    <row r="3" spans="1:61" s="428" customFormat="1" ht="12" customHeight="1" thickTop="1" x14ac:dyDescent="0.55000000000000004">
      <c r="A3" s="472"/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  <c r="Z3" s="472"/>
      <c r="AA3" s="472"/>
      <c r="AE3" s="470"/>
      <c r="AG3" s="470"/>
      <c r="AH3" s="470"/>
      <c r="AI3" s="471"/>
      <c r="AK3" s="470"/>
      <c r="AL3" s="471"/>
      <c r="BE3" s="473"/>
      <c r="BF3" s="473"/>
      <c r="BG3" s="473"/>
      <c r="BH3" s="473"/>
      <c r="BI3" s="473"/>
    </row>
    <row r="4" spans="1:61" s="4385" customFormat="1" ht="7.3" customHeight="1" thickBot="1" x14ac:dyDescent="0.6">
      <c r="A4" s="4383"/>
      <c r="B4" s="4384"/>
      <c r="C4" s="4384"/>
      <c r="D4" s="4384"/>
      <c r="E4" s="4384"/>
      <c r="F4" s="4384"/>
      <c r="G4" s="4384"/>
      <c r="H4" s="4384"/>
      <c r="I4" s="4384"/>
      <c r="J4" s="4384"/>
      <c r="K4" s="4384"/>
      <c r="L4" s="4384"/>
      <c r="M4" s="4384"/>
      <c r="N4" s="4384"/>
      <c r="O4" s="4384"/>
      <c r="P4" s="4384"/>
      <c r="Q4" s="4384"/>
      <c r="R4" s="4384"/>
      <c r="S4" s="4384"/>
      <c r="T4" s="4384"/>
      <c r="U4" s="4384"/>
      <c r="V4" s="4384"/>
      <c r="W4" s="4384"/>
      <c r="X4" s="4384"/>
      <c r="Y4" s="4384"/>
      <c r="Z4" s="4384"/>
      <c r="AA4" s="4384"/>
    </row>
    <row r="5" spans="1:61" s="4385" customFormat="1" ht="28.3" customHeight="1" x14ac:dyDescent="0.55000000000000004">
      <c r="A5" s="6984" t="s">
        <v>880</v>
      </c>
      <c r="B5" s="6985"/>
      <c r="C5" s="6986" t="s">
        <v>124</v>
      </c>
      <c r="D5" s="6987"/>
      <c r="E5" s="6985"/>
      <c r="F5" s="6986" t="s">
        <v>881</v>
      </c>
      <c r="G5" s="6987"/>
      <c r="H5" s="6987"/>
      <c r="I5" s="6987"/>
      <c r="J5" s="6987"/>
      <c r="K5" s="6987"/>
      <c r="L5" s="6987"/>
      <c r="M5" s="6987"/>
      <c r="N5" s="6987"/>
      <c r="O5" s="6985"/>
      <c r="P5" s="6987" t="s">
        <v>882</v>
      </c>
      <c r="Q5" s="6987"/>
      <c r="R5" s="6987"/>
      <c r="S5" s="6987"/>
      <c r="T5" s="4386"/>
      <c r="U5" s="4386"/>
      <c r="V5" s="4386"/>
      <c r="W5" s="4386"/>
      <c r="X5" s="4386"/>
      <c r="Y5" s="4386"/>
      <c r="Z5" s="6988" t="s">
        <v>883</v>
      </c>
      <c r="AA5" s="6989"/>
    </row>
    <row r="6" spans="1:61" s="555" customFormat="1" ht="30" customHeight="1" x14ac:dyDescent="0.55000000000000004">
      <c r="A6" s="7016">
        <v>1</v>
      </c>
      <c r="B6" s="7017"/>
      <c r="C6" s="7018" t="s">
        <v>884</v>
      </c>
      <c r="D6" s="7018"/>
      <c r="E6" s="7019"/>
      <c r="F6" s="7020" t="s">
        <v>1109</v>
      </c>
      <c r="G6" s="7021"/>
      <c r="H6" s="7021"/>
      <c r="I6" s="7021"/>
      <c r="J6" s="7021"/>
      <c r="K6" s="7021" t="s">
        <v>885</v>
      </c>
      <c r="L6" s="7021"/>
      <c r="M6" s="7021"/>
      <c r="N6" s="7021"/>
      <c r="O6" s="7022"/>
      <c r="P6" s="7023" t="s">
        <v>1110</v>
      </c>
      <c r="Q6" s="7023"/>
      <c r="R6" s="7023"/>
      <c r="S6" s="7023"/>
      <c r="T6" s="7014" t="s">
        <v>886</v>
      </c>
      <c r="U6" s="7014"/>
      <c r="V6" s="7014"/>
      <c r="W6" s="7014"/>
      <c r="X6" s="7014"/>
      <c r="Y6" s="7014"/>
      <c r="Z6" s="6993" t="s">
        <v>1042</v>
      </c>
      <c r="AA6" s="6994"/>
    </row>
    <row r="7" spans="1:61" s="555" customFormat="1" ht="29.05" customHeight="1" x14ac:dyDescent="0.55000000000000004">
      <c r="A7" s="6999"/>
      <c r="B7" s="7000"/>
      <c r="C7" s="7005"/>
      <c r="D7" s="7005"/>
      <c r="E7" s="7006"/>
      <c r="F7" s="6990" t="s">
        <v>887</v>
      </c>
      <c r="G7" s="6991"/>
      <c r="H7" s="6991"/>
      <c r="I7" s="6991"/>
      <c r="J7" s="6991"/>
      <c r="K7" s="6991" t="s">
        <v>888</v>
      </c>
      <c r="L7" s="6991"/>
      <c r="M7" s="6991"/>
      <c r="N7" s="6991"/>
      <c r="O7" s="6992"/>
      <c r="P7" s="7013"/>
      <c r="Q7" s="7013"/>
      <c r="R7" s="7013"/>
      <c r="S7" s="7013"/>
      <c r="T7" s="7015"/>
      <c r="U7" s="7015"/>
      <c r="V7" s="7015"/>
      <c r="W7" s="7015"/>
      <c r="X7" s="7015"/>
      <c r="Y7" s="7015"/>
      <c r="Z7" s="6995"/>
      <c r="AA7" s="6996"/>
    </row>
    <row r="8" spans="1:61" s="555" customFormat="1" ht="30" customHeight="1" x14ac:dyDescent="0.55000000000000004">
      <c r="A8" s="6997">
        <v>2</v>
      </c>
      <c r="B8" s="6998"/>
      <c r="C8" s="7001" t="s">
        <v>889</v>
      </c>
      <c r="D8" s="7002"/>
      <c r="E8" s="7003"/>
      <c r="F8" s="7007" t="s">
        <v>890</v>
      </c>
      <c r="G8" s="7008"/>
      <c r="H8" s="7008"/>
      <c r="I8" s="7008"/>
      <c r="J8" s="7008"/>
      <c r="K8" s="7008" t="s">
        <v>1119</v>
      </c>
      <c r="L8" s="7008"/>
      <c r="M8" s="7008"/>
      <c r="N8" s="7008"/>
      <c r="O8" s="7009"/>
      <c r="P8" s="7010" t="s">
        <v>891</v>
      </c>
      <c r="Q8" s="7011"/>
      <c r="R8" s="7011"/>
      <c r="S8" s="7011"/>
      <c r="T8" s="7014" t="s">
        <v>886</v>
      </c>
      <c r="U8" s="7014"/>
      <c r="V8" s="7014"/>
      <c r="W8" s="7014"/>
      <c r="X8" s="7014"/>
      <c r="Y8" s="7014"/>
      <c r="Z8" s="6993" t="s">
        <v>1043</v>
      </c>
      <c r="AA8" s="6994"/>
    </row>
    <row r="9" spans="1:61" s="555" customFormat="1" ht="30" customHeight="1" x14ac:dyDescent="0.55000000000000004">
      <c r="A9" s="6999"/>
      <c r="B9" s="7000"/>
      <c r="C9" s="7004"/>
      <c r="D9" s="7005"/>
      <c r="E9" s="7006"/>
      <c r="F9" s="6990" t="s">
        <v>892</v>
      </c>
      <c r="G9" s="6991"/>
      <c r="H9" s="6991"/>
      <c r="I9" s="6991"/>
      <c r="J9" s="6991"/>
      <c r="K9" s="6991" t="s">
        <v>893</v>
      </c>
      <c r="L9" s="6991"/>
      <c r="M9" s="6991"/>
      <c r="N9" s="6991"/>
      <c r="O9" s="6992"/>
      <c r="P9" s="7012"/>
      <c r="Q9" s="7013"/>
      <c r="R9" s="7013"/>
      <c r="S9" s="7013"/>
      <c r="T9" s="7015"/>
      <c r="U9" s="7015"/>
      <c r="V9" s="7015"/>
      <c r="W9" s="7015"/>
      <c r="X9" s="7015"/>
      <c r="Y9" s="7015"/>
      <c r="Z9" s="6995"/>
      <c r="AA9" s="6996"/>
    </row>
    <row r="10" spans="1:61" s="555" customFormat="1" ht="30" customHeight="1" x14ac:dyDescent="0.55000000000000004">
      <c r="A10" s="6997" t="s">
        <v>1111</v>
      </c>
      <c r="B10" s="6998"/>
      <c r="C10" s="7001" t="s">
        <v>894</v>
      </c>
      <c r="D10" s="7002"/>
      <c r="E10" s="7003"/>
      <c r="F10" s="7007" t="s">
        <v>895</v>
      </c>
      <c r="G10" s="7008"/>
      <c r="H10" s="7008"/>
      <c r="I10" s="7008"/>
      <c r="J10" s="7008"/>
      <c r="K10" s="7008" t="s">
        <v>896</v>
      </c>
      <c r="L10" s="7008"/>
      <c r="M10" s="7008"/>
      <c r="N10" s="7008"/>
      <c r="O10" s="7009"/>
      <c r="P10" s="7010" t="s">
        <v>891</v>
      </c>
      <c r="Q10" s="7011"/>
      <c r="R10" s="7011"/>
      <c r="S10" s="7011"/>
      <c r="T10" s="7014" t="s">
        <v>886</v>
      </c>
      <c r="U10" s="7014"/>
      <c r="V10" s="7014"/>
      <c r="W10" s="7014"/>
      <c r="X10" s="7014"/>
      <c r="Y10" s="7014"/>
      <c r="Z10" s="6993" t="s">
        <v>1044</v>
      </c>
      <c r="AA10" s="6994"/>
    </row>
    <row r="11" spans="1:61" s="555" customFormat="1" ht="30" customHeight="1" x14ac:dyDescent="0.55000000000000004">
      <c r="A11" s="6999"/>
      <c r="B11" s="7000"/>
      <c r="C11" s="7004"/>
      <c r="D11" s="7005"/>
      <c r="E11" s="7006"/>
      <c r="F11" s="6990" t="s">
        <v>897</v>
      </c>
      <c r="G11" s="6991"/>
      <c r="H11" s="6991"/>
      <c r="I11" s="6991"/>
      <c r="J11" s="6991"/>
      <c r="K11" s="6991" t="s">
        <v>898</v>
      </c>
      <c r="L11" s="6991"/>
      <c r="M11" s="6991"/>
      <c r="N11" s="6991"/>
      <c r="O11" s="6992"/>
      <c r="P11" s="7012"/>
      <c r="Q11" s="7013"/>
      <c r="R11" s="7013"/>
      <c r="S11" s="7013"/>
      <c r="T11" s="7015"/>
      <c r="U11" s="7015"/>
      <c r="V11" s="7015"/>
      <c r="W11" s="7015"/>
      <c r="X11" s="7015"/>
      <c r="Y11" s="7015"/>
      <c r="Z11" s="6995"/>
      <c r="AA11" s="6996"/>
    </row>
    <row r="12" spans="1:61" s="555" customFormat="1" ht="30" customHeight="1" x14ac:dyDescent="0.55000000000000004">
      <c r="A12" s="6997">
        <v>3</v>
      </c>
      <c r="B12" s="6998"/>
      <c r="C12" s="7001" t="s">
        <v>899</v>
      </c>
      <c r="D12" s="7002"/>
      <c r="E12" s="7003"/>
      <c r="F12" s="7007" t="s">
        <v>900</v>
      </c>
      <c r="G12" s="7008"/>
      <c r="H12" s="7008"/>
      <c r="I12" s="7008"/>
      <c r="J12" s="7008"/>
      <c r="K12" s="7008" t="s">
        <v>901</v>
      </c>
      <c r="L12" s="7008"/>
      <c r="M12" s="7008"/>
      <c r="N12" s="7008"/>
      <c r="O12" s="7009"/>
      <c r="P12" s="7010" t="s">
        <v>891</v>
      </c>
      <c r="Q12" s="7011"/>
      <c r="R12" s="7011"/>
      <c r="S12" s="7011"/>
      <c r="T12" s="7014" t="s">
        <v>886</v>
      </c>
      <c r="U12" s="7014"/>
      <c r="V12" s="7014"/>
      <c r="W12" s="7014"/>
      <c r="X12" s="7014"/>
      <c r="Y12" s="7014"/>
      <c r="Z12" s="6993" t="s">
        <v>1045</v>
      </c>
      <c r="AA12" s="6994"/>
    </row>
    <row r="13" spans="1:61" s="555" customFormat="1" ht="30" customHeight="1" x14ac:dyDescent="0.55000000000000004">
      <c r="A13" s="6999"/>
      <c r="B13" s="7000"/>
      <c r="C13" s="7004"/>
      <c r="D13" s="7005"/>
      <c r="E13" s="7006"/>
      <c r="F13" s="6990" t="s">
        <v>902</v>
      </c>
      <c r="G13" s="6991"/>
      <c r="H13" s="6991"/>
      <c r="I13" s="6991"/>
      <c r="J13" s="6991"/>
      <c r="K13" s="6991" t="s">
        <v>903</v>
      </c>
      <c r="L13" s="6991"/>
      <c r="M13" s="6991"/>
      <c r="N13" s="6991"/>
      <c r="O13" s="6992"/>
      <c r="P13" s="7012"/>
      <c r="Q13" s="7013"/>
      <c r="R13" s="7013"/>
      <c r="S13" s="7013"/>
      <c r="T13" s="7015"/>
      <c r="U13" s="7015"/>
      <c r="V13" s="7015"/>
      <c r="W13" s="7015"/>
      <c r="X13" s="7015"/>
      <c r="Y13" s="7015"/>
      <c r="Z13" s="6995"/>
      <c r="AA13" s="6996"/>
    </row>
    <row r="14" spans="1:61" s="555" customFormat="1" ht="30" customHeight="1" x14ac:dyDescent="0.55000000000000004">
      <c r="A14" s="6997" t="s">
        <v>1112</v>
      </c>
      <c r="B14" s="6998"/>
      <c r="C14" s="7001" t="s">
        <v>904</v>
      </c>
      <c r="D14" s="7002"/>
      <c r="E14" s="7003"/>
      <c r="F14" s="7007" t="s">
        <v>905</v>
      </c>
      <c r="G14" s="7008"/>
      <c r="H14" s="7008"/>
      <c r="I14" s="7008"/>
      <c r="J14" s="7008"/>
      <c r="K14" s="7008" t="s">
        <v>906</v>
      </c>
      <c r="L14" s="7008"/>
      <c r="M14" s="7008"/>
      <c r="N14" s="7008"/>
      <c r="O14" s="7009"/>
      <c r="P14" s="7010" t="s">
        <v>891</v>
      </c>
      <c r="Q14" s="7011"/>
      <c r="R14" s="7011"/>
      <c r="S14" s="7011"/>
      <c r="T14" s="7014" t="s">
        <v>886</v>
      </c>
      <c r="U14" s="7014"/>
      <c r="V14" s="7014"/>
      <c r="W14" s="7014"/>
      <c r="X14" s="7014"/>
      <c r="Y14" s="7014"/>
      <c r="Z14" s="6993" t="s">
        <v>1046</v>
      </c>
      <c r="AA14" s="6994"/>
    </row>
    <row r="15" spans="1:61" s="555" customFormat="1" ht="30" customHeight="1" x14ac:dyDescent="0.55000000000000004">
      <c r="A15" s="6999"/>
      <c r="B15" s="7000"/>
      <c r="C15" s="7004"/>
      <c r="D15" s="7005"/>
      <c r="E15" s="7006"/>
      <c r="F15" s="6990" t="s">
        <v>907</v>
      </c>
      <c r="G15" s="6991"/>
      <c r="H15" s="6991"/>
      <c r="I15" s="6991"/>
      <c r="J15" s="6991"/>
      <c r="K15" s="6991"/>
      <c r="L15" s="6991"/>
      <c r="M15" s="6991"/>
      <c r="N15" s="6991"/>
      <c r="O15" s="6992"/>
      <c r="P15" s="7012"/>
      <c r="Q15" s="7013"/>
      <c r="R15" s="7013"/>
      <c r="S15" s="7013"/>
      <c r="T15" s="7015"/>
      <c r="U15" s="7015"/>
      <c r="V15" s="7015"/>
      <c r="W15" s="7015"/>
      <c r="X15" s="7015"/>
      <c r="Y15" s="7015"/>
      <c r="Z15" s="6995"/>
      <c r="AA15" s="6996"/>
    </row>
    <row r="16" spans="1:61" s="555" customFormat="1" ht="30" customHeight="1" x14ac:dyDescent="0.55000000000000004">
      <c r="A16" s="6997">
        <v>4</v>
      </c>
      <c r="B16" s="6998"/>
      <c r="C16" s="7001" t="s">
        <v>869</v>
      </c>
      <c r="D16" s="7002"/>
      <c r="E16" s="7003"/>
      <c r="F16" s="7007" t="s">
        <v>908</v>
      </c>
      <c r="G16" s="7008"/>
      <c r="H16" s="7008"/>
      <c r="I16" s="7008"/>
      <c r="J16" s="7008"/>
      <c r="K16" s="7008" t="s">
        <v>909</v>
      </c>
      <c r="L16" s="7008"/>
      <c r="M16" s="7008"/>
      <c r="N16" s="7008"/>
      <c r="O16" s="7009"/>
      <c r="P16" s="7010" t="s">
        <v>1113</v>
      </c>
      <c r="Q16" s="7011"/>
      <c r="R16" s="7011"/>
      <c r="S16" s="7011"/>
      <c r="T16" s="7024" t="s">
        <v>886</v>
      </c>
      <c r="U16" s="7024"/>
      <c r="V16" s="7024"/>
      <c r="W16" s="7024"/>
      <c r="X16" s="7024"/>
      <c r="Y16" s="7024"/>
      <c r="Z16" s="7025">
        <v>12</v>
      </c>
      <c r="AA16" s="7026"/>
    </row>
    <row r="17" spans="1:27" s="555" customFormat="1" ht="30" customHeight="1" x14ac:dyDescent="0.55000000000000004">
      <c r="A17" s="6999"/>
      <c r="B17" s="7000"/>
      <c r="C17" s="7004"/>
      <c r="D17" s="7005"/>
      <c r="E17" s="7006"/>
      <c r="F17" s="6990" t="s">
        <v>910</v>
      </c>
      <c r="G17" s="6991"/>
      <c r="H17" s="6991"/>
      <c r="I17" s="6991"/>
      <c r="J17" s="6991"/>
      <c r="K17" s="6991" t="s">
        <v>911</v>
      </c>
      <c r="L17" s="6991"/>
      <c r="M17" s="6991"/>
      <c r="N17" s="6991"/>
      <c r="O17" s="6992"/>
      <c r="P17" s="7012"/>
      <c r="Q17" s="7013"/>
      <c r="R17" s="7013"/>
      <c r="S17" s="7013"/>
      <c r="T17" s="7015"/>
      <c r="U17" s="7015"/>
      <c r="V17" s="7015"/>
      <c r="W17" s="7015"/>
      <c r="X17" s="7015"/>
      <c r="Y17" s="7015"/>
      <c r="Z17" s="6995"/>
      <c r="AA17" s="6996"/>
    </row>
    <row r="18" spans="1:27" s="555" customFormat="1" ht="30" customHeight="1" x14ac:dyDescent="0.55000000000000004">
      <c r="A18" s="6997">
        <v>5</v>
      </c>
      <c r="B18" s="6998"/>
      <c r="C18" s="7001" t="s">
        <v>939</v>
      </c>
      <c r="D18" s="7002"/>
      <c r="E18" s="7003"/>
      <c r="F18" s="7020" t="s">
        <v>912</v>
      </c>
      <c r="G18" s="7021"/>
      <c r="H18" s="7021"/>
      <c r="I18" s="7021"/>
      <c r="J18" s="7021"/>
      <c r="K18" s="7021" t="s">
        <v>913</v>
      </c>
      <c r="L18" s="7021"/>
      <c r="M18" s="7021"/>
      <c r="N18" s="7021"/>
      <c r="O18" s="7022"/>
      <c r="P18" s="7010" t="s">
        <v>1113</v>
      </c>
      <c r="Q18" s="7011"/>
      <c r="R18" s="7011"/>
      <c r="S18" s="7011"/>
      <c r="T18" s="7014" t="s">
        <v>886</v>
      </c>
      <c r="U18" s="7014"/>
      <c r="V18" s="7014"/>
      <c r="W18" s="7014"/>
      <c r="X18" s="7014"/>
      <c r="Y18" s="7014"/>
      <c r="Z18" s="6993" t="s">
        <v>1047</v>
      </c>
      <c r="AA18" s="6994"/>
    </row>
    <row r="19" spans="1:27" s="555" customFormat="1" ht="30" customHeight="1" x14ac:dyDescent="0.55000000000000004">
      <c r="A19" s="6999"/>
      <c r="B19" s="7000"/>
      <c r="C19" s="7004"/>
      <c r="D19" s="7005"/>
      <c r="E19" s="7006"/>
      <c r="F19" s="6990" t="s">
        <v>1021</v>
      </c>
      <c r="G19" s="6991"/>
      <c r="H19" s="6991"/>
      <c r="I19" s="6991"/>
      <c r="J19" s="6991"/>
      <c r="K19" s="6991" t="s">
        <v>914</v>
      </c>
      <c r="L19" s="6991"/>
      <c r="M19" s="6991"/>
      <c r="N19" s="6991"/>
      <c r="O19" s="6992"/>
      <c r="P19" s="7012"/>
      <c r="Q19" s="7013"/>
      <c r="R19" s="7013"/>
      <c r="S19" s="7013"/>
      <c r="T19" s="7015"/>
      <c r="U19" s="7015"/>
      <c r="V19" s="7015"/>
      <c r="W19" s="7015"/>
      <c r="X19" s="7015"/>
      <c r="Y19" s="7015"/>
      <c r="Z19" s="6995"/>
      <c r="AA19" s="6996"/>
    </row>
    <row r="20" spans="1:27" s="555" customFormat="1" ht="44.5" customHeight="1" x14ac:dyDescent="0.55000000000000004">
      <c r="A20" s="7027">
        <v>6</v>
      </c>
      <c r="B20" s="7028"/>
      <c r="C20" s="7029" t="s">
        <v>22</v>
      </c>
      <c r="D20" s="7030"/>
      <c r="E20" s="7031"/>
      <c r="F20" s="7032" t="s">
        <v>915</v>
      </c>
      <c r="G20" s="7033"/>
      <c r="H20" s="7033"/>
      <c r="I20" s="7033"/>
      <c r="J20" s="7033"/>
      <c r="K20" s="7033" t="s">
        <v>916</v>
      </c>
      <c r="L20" s="7033"/>
      <c r="M20" s="7033"/>
      <c r="N20" s="7033"/>
      <c r="O20" s="7034"/>
      <c r="P20" s="7035" t="s">
        <v>917</v>
      </c>
      <c r="Q20" s="7036"/>
      <c r="R20" s="7036"/>
      <c r="S20" s="7036"/>
      <c r="T20" s="7037" t="s">
        <v>886</v>
      </c>
      <c r="U20" s="7037"/>
      <c r="V20" s="7037"/>
      <c r="W20" s="7037"/>
      <c r="X20" s="7037"/>
      <c r="Y20" s="7037"/>
      <c r="Z20" s="7038">
        <v>15</v>
      </c>
      <c r="AA20" s="7039"/>
    </row>
    <row r="21" spans="1:27" s="555" customFormat="1" ht="30" customHeight="1" x14ac:dyDescent="0.55000000000000004">
      <c r="A21" s="6997">
        <v>7</v>
      </c>
      <c r="B21" s="6998"/>
      <c r="C21" s="7001" t="s">
        <v>742</v>
      </c>
      <c r="D21" s="7002"/>
      <c r="E21" s="7003"/>
      <c r="F21" s="7007" t="s">
        <v>918</v>
      </c>
      <c r="G21" s="7008"/>
      <c r="H21" s="7008"/>
      <c r="I21" s="7008"/>
      <c r="J21" s="7008"/>
      <c r="K21" s="7008" t="s">
        <v>919</v>
      </c>
      <c r="L21" s="7008"/>
      <c r="M21" s="7008"/>
      <c r="N21" s="7008"/>
      <c r="O21" s="7009"/>
      <c r="P21" s="7010" t="s">
        <v>1114</v>
      </c>
      <c r="Q21" s="7011"/>
      <c r="R21" s="7011"/>
      <c r="S21" s="7011"/>
      <c r="T21" s="7014" t="s">
        <v>886</v>
      </c>
      <c r="U21" s="7014"/>
      <c r="V21" s="7014"/>
      <c r="W21" s="7014"/>
      <c r="X21" s="7014"/>
      <c r="Y21" s="7014"/>
      <c r="Z21" s="6993">
        <v>16</v>
      </c>
      <c r="AA21" s="6994"/>
    </row>
    <row r="22" spans="1:27" s="555" customFormat="1" ht="30" customHeight="1" x14ac:dyDescent="0.55000000000000004">
      <c r="A22" s="6999"/>
      <c r="B22" s="7000"/>
      <c r="C22" s="7004"/>
      <c r="D22" s="7005"/>
      <c r="E22" s="7006"/>
      <c r="F22" s="6990" t="s">
        <v>920</v>
      </c>
      <c r="G22" s="6991"/>
      <c r="H22" s="6991"/>
      <c r="I22" s="6991"/>
      <c r="J22" s="6991"/>
      <c r="K22" s="6991" t="s">
        <v>921</v>
      </c>
      <c r="L22" s="6991"/>
      <c r="M22" s="6991"/>
      <c r="N22" s="6991"/>
      <c r="O22" s="6992"/>
      <c r="P22" s="7012"/>
      <c r="Q22" s="7013"/>
      <c r="R22" s="7013"/>
      <c r="S22" s="7013"/>
      <c r="T22" s="7015"/>
      <c r="U22" s="7015"/>
      <c r="V22" s="7015"/>
      <c r="W22" s="7015"/>
      <c r="X22" s="7015"/>
      <c r="Y22" s="7015"/>
      <c r="Z22" s="6995"/>
      <c r="AA22" s="6996"/>
    </row>
    <row r="23" spans="1:27" s="555" customFormat="1" ht="30" customHeight="1" x14ac:dyDescent="0.55000000000000004">
      <c r="A23" s="6997">
        <v>8</v>
      </c>
      <c r="B23" s="6998"/>
      <c r="C23" s="7001" t="s">
        <v>922</v>
      </c>
      <c r="D23" s="7002"/>
      <c r="E23" s="7003"/>
      <c r="F23" s="7007" t="s">
        <v>923</v>
      </c>
      <c r="G23" s="7008"/>
      <c r="H23" s="7008"/>
      <c r="I23" s="7008"/>
      <c r="J23" s="7008"/>
      <c r="K23" s="7008" t="s">
        <v>1115</v>
      </c>
      <c r="L23" s="7008"/>
      <c r="M23" s="7008"/>
      <c r="N23" s="7008"/>
      <c r="O23" s="7009"/>
      <c r="P23" s="7010" t="s">
        <v>891</v>
      </c>
      <c r="Q23" s="7011"/>
      <c r="R23" s="7011"/>
      <c r="S23" s="7011"/>
      <c r="T23" s="7014" t="s">
        <v>886</v>
      </c>
      <c r="U23" s="7014"/>
      <c r="V23" s="7014"/>
      <c r="W23" s="7014"/>
      <c r="X23" s="7014"/>
      <c r="Y23" s="7014"/>
      <c r="Z23" s="6993">
        <v>17</v>
      </c>
      <c r="AA23" s="6994"/>
    </row>
    <row r="24" spans="1:27" s="555" customFormat="1" ht="30" customHeight="1" x14ac:dyDescent="0.55000000000000004">
      <c r="A24" s="6999"/>
      <c r="B24" s="7000"/>
      <c r="C24" s="7004"/>
      <c r="D24" s="7005"/>
      <c r="E24" s="7006"/>
      <c r="F24" s="6990" t="s">
        <v>924</v>
      </c>
      <c r="G24" s="6991"/>
      <c r="H24" s="6991"/>
      <c r="I24" s="6991"/>
      <c r="J24" s="6991"/>
      <c r="K24" s="6991"/>
      <c r="L24" s="6991"/>
      <c r="M24" s="6991"/>
      <c r="N24" s="6991"/>
      <c r="O24" s="6992"/>
      <c r="P24" s="7012"/>
      <c r="Q24" s="7013"/>
      <c r="R24" s="7013"/>
      <c r="S24" s="7013"/>
      <c r="T24" s="7015"/>
      <c r="U24" s="7015"/>
      <c r="V24" s="7015"/>
      <c r="W24" s="7015"/>
      <c r="X24" s="7015"/>
      <c r="Y24" s="7015"/>
      <c r="Z24" s="6995"/>
      <c r="AA24" s="6996"/>
    </row>
    <row r="25" spans="1:27" s="555" customFormat="1" ht="30" customHeight="1" x14ac:dyDescent="0.55000000000000004">
      <c r="A25" s="6997">
        <v>9</v>
      </c>
      <c r="B25" s="6998"/>
      <c r="C25" s="7001" t="s">
        <v>726</v>
      </c>
      <c r="D25" s="7002"/>
      <c r="E25" s="7003"/>
      <c r="F25" s="7007" t="s">
        <v>925</v>
      </c>
      <c r="G25" s="7008"/>
      <c r="H25" s="7008"/>
      <c r="I25" s="7008"/>
      <c r="J25" s="7008"/>
      <c r="K25" s="7008" t="s">
        <v>926</v>
      </c>
      <c r="L25" s="7008"/>
      <c r="M25" s="7008"/>
      <c r="N25" s="7008"/>
      <c r="O25" s="7009"/>
      <c r="P25" s="7010" t="s">
        <v>891</v>
      </c>
      <c r="Q25" s="7011"/>
      <c r="R25" s="7011"/>
      <c r="S25" s="7011"/>
      <c r="T25" s="7014" t="s">
        <v>886</v>
      </c>
      <c r="U25" s="7014"/>
      <c r="V25" s="7014"/>
      <c r="W25" s="7014"/>
      <c r="X25" s="7014"/>
      <c r="Y25" s="7014"/>
      <c r="Z25" s="6993" t="s">
        <v>1058</v>
      </c>
      <c r="AA25" s="6994"/>
    </row>
    <row r="26" spans="1:27" s="555" customFormat="1" ht="30" customHeight="1" x14ac:dyDescent="0.55000000000000004">
      <c r="A26" s="6999"/>
      <c r="B26" s="7000"/>
      <c r="C26" s="7004"/>
      <c r="D26" s="7005"/>
      <c r="E26" s="7006"/>
      <c r="F26" s="6990" t="s">
        <v>927</v>
      </c>
      <c r="G26" s="6991"/>
      <c r="H26" s="6991"/>
      <c r="I26" s="6991"/>
      <c r="J26" s="6991"/>
      <c r="K26" s="6991"/>
      <c r="L26" s="6991"/>
      <c r="M26" s="6991"/>
      <c r="N26" s="6991"/>
      <c r="O26" s="6992"/>
      <c r="P26" s="7012"/>
      <c r="Q26" s="7013"/>
      <c r="R26" s="7013"/>
      <c r="S26" s="7013"/>
      <c r="T26" s="7015"/>
      <c r="U26" s="7015"/>
      <c r="V26" s="7015"/>
      <c r="W26" s="7015"/>
      <c r="X26" s="7015"/>
      <c r="Y26" s="7015"/>
      <c r="Z26" s="6995"/>
      <c r="AA26" s="6996"/>
    </row>
    <row r="27" spans="1:27" s="555" customFormat="1" ht="30" customHeight="1" x14ac:dyDescent="0.55000000000000004">
      <c r="A27" s="6997">
        <v>10</v>
      </c>
      <c r="B27" s="6998"/>
      <c r="C27" s="7001" t="s">
        <v>928</v>
      </c>
      <c r="D27" s="7002"/>
      <c r="E27" s="7003"/>
      <c r="F27" s="7007" t="s">
        <v>929</v>
      </c>
      <c r="G27" s="7008"/>
      <c r="H27" s="7008"/>
      <c r="I27" s="7008"/>
      <c r="J27" s="7008"/>
      <c r="K27" s="7008" t="s">
        <v>930</v>
      </c>
      <c r="L27" s="7008"/>
      <c r="M27" s="7008"/>
      <c r="N27" s="7008"/>
      <c r="O27" s="7009"/>
      <c r="P27" s="7040" t="s">
        <v>1116</v>
      </c>
      <c r="Q27" s="7024"/>
      <c r="R27" s="7024"/>
      <c r="S27" s="7024"/>
      <c r="T27" s="7014" t="s">
        <v>886</v>
      </c>
      <c r="U27" s="7014"/>
      <c r="V27" s="7014"/>
      <c r="W27" s="7014"/>
      <c r="X27" s="7014"/>
      <c r="Y27" s="7014"/>
      <c r="Z27" s="6993" t="s">
        <v>1059</v>
      </c>
      <c r="AA27" s="6994"/>
    </row>
    <row r="28" spans="1:27" s="555" customFormat="1" ht="30" customHeight="1" x14ac:dyDescent="0.55000000000000004">
      <c r="A28" s="6999"/>
      <c r="B28" s="7000"/>
      <c r="C28" s="7004"/>
      <c r="D28" s="7005"/>
      <c r="E28" s="7006"/>
      <c r="F28" s="6990" t="s">
        <v>931</v>
      </c>
      <c r="G28" s="6991"/>
      <c r="H28" s="6991"/>
      <c r="I28" s="6991"/>
      <c r="J28" s="6991"/>
      <c r="K28" s="6991" t="s">
        <v>932</v>
      </c>
      <c r="L28" s="6991"/>
      <c r="M28" s="6991"/>
      <c r="N28" s="6991"/>
      <c r="O28" s="6992"/>
      <c r="P28" s="7015"/>
      <c r="Q28" s="7015"/>
      <c r="R28" s="7015"/>
      <c r="S28" s="7015"/>
      <c r="T28" s="7015"/>
      <c r="U28" s="7015"/>
      <c r="V28" s="7015"/>
      <c r="W28" s="7015"/>
      <c r="X28" s="7015"/>
      <c r="Y28" s="7015"/>
      <c r="Z28" s="6995"/>
      <c r="AA28" s="6996"/>
    </row>
    <row r="29" spans="1:27" s="555" customFormat="1" ht="30" customHeight="1" x14ac:dyDescent="0.55000000000000004">
      <c r="A29" s="6997">
        <v>11</v>
      </c>
      <c r="B29" s="6998"/>
      <c r="C29" s="7001" t="s">
        <v>271</v>
      </c>
      <c r="D29" s="7002"/>
      <c r="E29" s="7003"/>
      <c r="F29" s="7007" t="s">
        <v>933</v>
      </c>
      <c r="G29" s="7008"/>
      <c r="H29" s="7008"/>
      <c r="I29" s="7008"/>
      <c r="J29" s="7008"/>
      <c r="K29" s="7008" t="s">
        <v>934</v>
      </c>
      <c r="L29" s="7008"/>
      <c r="M29" s="7008"/>
      <c r="N29" s="7008"/>
      <c r="O29" s="7009"/>
      <c r="P29" s="7010" t="s">
        <v>891</v>
      </c>
      <c r="Q29" s="7011"/>
      <c r="R29" s="7011"/>
      <c r="S29" s="7011"/>
      <c r="T29" s="7014" t="s">
        <v>886</v>
      </c>
      <c r="U29" s="7014"/>
      <c r="V29" s="7014"/>
      <c r="W29" s="7014"/>
      <c r="X29" s="7014"/>
      <c r="Y29" s="7014"/>
      <c r="Z29" s="6993">
        <v>23</v>
      </c>
      <c r="AA29" s="6994"/>
    </row>
    <row r="30" spans="1:27" s="555" customFormat="1" ht="30" customHeight="1" x14ac:dyDescent="0.55000000000000004">
      <c r="A30" s="6999"/>
      <c r="B30" s="7000"/>
      <c r="C30" s="7004"/>
      <c r="D30" s="7005"/>
      <c r="E30" s="7006"/>
      <c r="F30" s="6990" t="s">
        <v>1117</v>
      </c>
      <c r="G30" s="6991"/>
      <c r="H30" s="6991"/>
      <c r="I30" s="6991"/>
      <c r="J30" s="6991"/>
      <c r="K30" s="6991" t="s">
        <v>935</v>
      </c>
      <c r="L30" s="6991"/>
      <c r="M30" s="6991"/>
      <c r="N30" s="6991"/>
      <c r="O30" s="6992"/>
      <c r="P30" s="7012"/>
      <c r="Q30" s="7013"/>
      <c r="R30" s="7013"/>
      <c r="S30" s="7013"/>
      <c r="T30" s="7015"/>
      <c r="U30" s="7015"/>
      <c r="V30" s="7015"/>
      <c r="W30" s="7015"/>
      <c r="X30" s="7015"/>
      <c r="Y30" s="7015"/>
      <c r="Z30" s="6995"/>
      <c r="AA30" s="6996"/>
    </row>
    <row r="31" spans="1:27" s="555" customFormat="1" ht="46" customHeight="1" thickBot="1" x14ac:dyDescent="0.6">
      <c r="A31" s="7046">
        <v>12</v>
      </c>
      <c r="B31" s="7047"/>
      <c r="C31" s="7048" t="s">
        <v>936</v>
      </c>
      <c r="D31" s="7049"/>
      <c r="E31" s="7050"/>
      <c r="F31" s="7051" t="s">
        <v>937</v>
      </c>
      <c r="G31" s="7052"/>
      <c r="H31" s="7052"/>
      <c r="I31" s="7052"/>
      <c r="J31" s="7052"/>
      <c r="K31" s="7052" t="s">
        <v>938</v>
      </c>
      <c r="L31" s="7052"/>
      <c r="M31" s="7052"/>
      <c r="N31" s="7052"/>
      <c r="O31" s="7053"/>
      <c r="P31" s="7054" t="s">
        <v>891</v>
      </c>
      <c r="Q31" s="7042"/>
      <c r="R31" s="7042"/>
      <c r="S31" s="7042"/>
      <c r="T31" s="7042" t="s">
        <v>886</v>
      </c>
      <c r="U31" s="7042"/>
      <c r="V31" s="7042"/>
      <c r="W31" s="7042"/>
      <c r="X31" s="7042"/>
      <c r="Y31" s="7042"/>
      <c r="Z31" s="7043">
        <v>24</v>
      </c>
      <c r="AA31" s="7044"/>
    </row>
    <row r="32" spans="1:27" ht="21" customHeight="1" x14ac:dyDescent="0.55000000000000004">
      <c r="A32" s="7041"/>
      <c r="B32" s="7041"/>
      <c r="C32" s="7045"/>
      <c r="D32" s="7045"/>
      <c r="E32" s="7045"/>
    </row>
    <row r="33" spans="1:2" ht="21" customHeight="1" x14ac:dyDescent="0.55000000000000004">
      <c r="A33" s="7041"/>
      <c r="B33" s="7041"/>
    </row>
    <row r="34" spans="1:2" ht="21" customHeight="1" x14ac:dyDescent="0.55000000000000004">
      <c r="A34" s="7041"/>
      <c r="B34" s="7041"/>
    </row>
    <row r="35" spans="1:2" ht="21" customHeight="1" x14ac:dyDescent="0.55000000000000004">
      <c r="A35" s="7041"/>
      <c r="B35" s="7041"/>
    </row>
    <row r="36" spans="1:2" ht="21" customHeight="1" x14ac:dyDescent="0.55000000000000004"/>
    <row r="37" spans="1:2" ht="21" customHeight="1" x14ac:dyDescent="0.55000000000000004"/>
    <row r="38" spans="1:2" ht="21" customHeight="1" x14ac:dyDescent="0.55000000000000004"/>
    <row r="39" spans="1:2" ht="21" customHeight="1" x14ac:dyDescent="0.55000000000000004"/>
    <row r="40" spans="1:2" ht="21" customHeight="1" x14ac:dyDescent="0.55000000000000004"/>
  </sheetData>
  <mergeCells count="134">
    <mergeCell ref="A35:B35"/>
    <mergeCell ref="T31:Y31"/>
    <mergeCell ref="Z31:AA31"/>
    <mergeCell ref="A32:B32"/>
    <mergeCell ref="C32:E32"/>
    <mergeCell ref="A33:B33"/>
    <mergeCell ref="A34:B34"/>
    <mergeCell ref="P29:S30"/>
    <mergeCell ref="T29:Y30"/>
    <mergeCell ref="Z29:AA30"/>
    <mergeCell ref="F30:J30"/>
    <mergeCell ref="K30:O30"/>
    <mergeCell ref="A31:B31"/>
    <mergeCell ref="C31:E31"/>
    <mergeCell ref="F31:J31"/>
    <mergeCell ref="K31:O31"/>
    <mergeCell ref="P31:S31"/>
    <mergeCell ref="A29:B30"/>
    <mergeCell ref="C29:E30"/>
    <mergeCell ref="F29:J29"/>
    <mergeCell ref="K29:O29"/>
    <mergeCell ref="Z25:AA26"/>
    <mergeCell ref="F26:J26"/>
    <mergeCell ref="K26:O26"/>
    <mergeCell ref="A27:B28"/>
    <mergeCell ref="C27:E28"/>
    <mergeCell ref="F27:J27"/>
    <mergeCell ref="K27:O27"/>
    <mergeCell ref="P27:S28"/>
    <mergeCell ref="T27:Y28"/>
    <mergeCell ref="Z27:AA28"/>
    <mergeCell ref="A25:B26"/>
    <mergeCell ref="C25:E26"/>
    <mergeCell ref="F25:J25"/>
    <mergeCell ref="K25:O25"/>
    <mergeCell ref="P25:S26"/>
    <mergeCell ref="T25:Y26"/>
    <mergeCell ref="F28:J28"/>
    <mergeCell ref="K28:O28"/>
    <mergeCell ref="A23:B24"/>
    <mergeCell ref="C23:E24"/>
    <mergeCell ref="F23:J23"/>
    <mergeCell ref="K23:O23"/>
    <mergeCell ref="P23:S24"/>
    <mergeCell ref="T20:Y20"/>
    <mergeCell ref="Z20:AA20"/>
    <mergeCell ref="A21:B22"/>
    <mergeCell ref="C21:E22"/>
    <mergeCell ref="F21:J21"/>
    <mergeCell ref="K21:O21"/>
    <mergeCell ref="P21:S22"/>
    <mergeCell ref="T21:Y22"/>
    <mergeCell ref="Z21:AA22"/>
    <mergeCell ref="F22:J22"/>
    <mergeCell ref="T23:Y24"/>
    <mergeCell ref="Z23:AA24"/>
    <mergeCell ref="F24:J24"/>
    <mergeCell ref="K24:O24"/>
    <mergeCell ref="Z18:AA19"/>
    <mergeCell ref="F19:J19"/>
    <mergeCell ref="K19:O19"/>
    <mergeCell ref="A20:B20"/>
    <mergeCell ref="C20:E20"/>
    <mergeCell ref="F20:J20"/>
    <mergeCell ref="K20:O20"/>
    <mergeCell ref="P20:S20"/>
    <mergeCell ref="K22:O22"/>
    <mergeCell ref="A18:B19"/>
    <mergeCell ref="C18:E19"/>
    <mergeCell ref="F18:J18"/>
    <mergeCell ref="K18:O18"/>
    <mergeCell ref="P18:S19"/>
    <mergeCell ref="T18:Y19"/>
    <mergeCell ref="Z14:AA15"/>
    <mergeCell ref="F15:J15"/>
    <mergeCell ref="K15:O15"/>
    <mergeCell ref="A16:B17"/>
    <mergeCell ref="C16:E17"/>
    <mergeCell ref="F16:J16"/>
    <mergeCell ref="K16:O16"/>
    <mergeCell ref="P16:S17"/>
    <mergeCell ref="T16:Y17"/>
    <mergeCell ref="Z16:AA17"/>
    <mergeCell ref="A14:B15"/>
    <mergeCell ref="C14:E15"/>
    <mergeCell ref="F14:J14"/>
    <mergeCell ref="K14:O14"/>
    <mergeCell ref="P14:S15"/>
    <mergeCell ref="T14:Y15"/>
    <mergeCell ref="F17:J17"/>
    <mergeCell ref="K17:O17"/>
    <mergeCell ref="T6:Y7"/>
    <mergeCell ref="K11:O11"/>
    <mergeCell ref="A12:B13"/>
    <mergeCell ref="C12:E13"/>
    <mergeCell ref="F12:J12"/>
    <mergeCell ref="K12:O12"/>
    <mergeCell ref="P12:S13"/>
    <mergeCell ref="T12:Y13"/>
    <mergeCell ref="Z12:AA13"/>
    <mergeCell ref="F13:J13"/>
    <mergeCell ref="K13:O13"/>
    <mergeCell ref="A10:B11"/>
    <mergeCell ref="C10:E11"/>
    <mergeCell ref="F10:J10"/>
    <mergeCell ref="K10:O10"/>
    <mergeCell ref="P10:S11"/>
    <mergeCell ref="T10:Y11"/>
    <mergeCell ref="Z10:AA11"/>
    <mergeCell ref="F11:J11"/>
    <mergeCell ref="A2:AA2"/>
    <mergeCell ref="BE2:BI2"/>
    <mergeCell ref="A5:B5"/>
    <mergeCell ref="C5:E5"/>
    <mergeCell ref="F5:O5"/>
    <mergeCell ref="P5:S5"/>
    <mergeCell ref="Z5:AA5"/>
    <mergeCell ref="F9:J9"/>
    <mergeCell ref="K9:O9"/>
    <mergeCell ref="Z6:AA7"/>
    <mergeCell ref="F7:J7"/>
    <mergeCell ref="K7:O7"/>
    <mergeCell ref="A8:B9"/>
    <mergeCell ref="C8:E9"/>
    <mergeCell ref="F8:J8"/>
    <mergeCell ref="K8:O8"/>
    <mergeCell ref="P8:S9"/>
    <mergeCell ref="T8:Y9"/>
    <mergeCell ref="Z8:AA9"/>
    <mergeCell ref="A6:B7"/>
    <mergeCell ref="C6:E7"/>
    <mergeCell ref="F6:J6"/>
    <mergeCell ref="K6:O6"/>
    <mergeCell ref="P6:S7"/>
  </mergeCells>
  <phoneticPr fontId="1" type="noConversion"/>
  <hyperlinks>
    <hyperlink ref="Z6:AA7" location="'1.재무'!Print_Titles" display="1 ~ 3" xr:uid="{5D49832B-C29F-4BF2-8EDA-FA6FF236CE76}"/>
    <hyperlink ref="C8:E9" location="'2.무선가입자'!Print_Titles" display="무선가입자" xr:uid="{4D762560-7567-4261-B35E-C1A485191811}"/>
    <hyperlink ref="Z8:AA9" location="'2.무선가입자'!Print_Titles" display="4 ~ 5" xr:uid="{B5959204-2D9E-458E-95E7-94EDEEF352E3}"/>
    <hyperlink ref="C10:E11" location="'2-(1) 수수료 기준_가입자(무선)'!Print_Titles" display="무선가입자 (상세)" xr:uid="{7E0C2A93-AD95-43EB-860A-127A82D72E36}"/>
    <hyperlink ref="Z10:AA11" location="'2-(1) 수수료 기준_가입자(무선)'!Print_Titles" display="6 ~ 7" xr:uid="{8BF8EDB5-4146-4231-9D12-92778D69BF2D}"/>
    <hyperlink ref="C12:E13" location="'3.유선가입자'!Print_Titles" display="유선가입자" xr:uid="{234F574A-B0F8-4C0C-8BF4-08FE77D8D9EF}"/>
    <hyperlink ref="Z12:AA13" location="'3.유선가입자'!Print_Titles" display="8 ~ 9" xr:uid="{C380D9BB-BB6A-44AB-84A1-24BED4CEC0B8}"/>
    <hyperlink ref="C14:E15" location="'3-(1) 수수료 기준_가입자 (유선)'!Print_Titles" display="유선가입자(상세)" xr:uid="{2ED13326-A4A3-41B8-B366-FF47EB88798B}"/>
    <hyperlink ref="Z14:AA15" location="'3-(1) 수수료 기준_가입자 (유선)'!Print_Titles" display="10 ~ 11" xr:uid="{6F5C44E0-0F20-49FB-898D-BC65F2EB3220}"/>
    <hyperlink ref="C16:E17" location="'4. 디지털'!Print_Area" display="온라인" xr:uid="{957C62D4-C3A7-48A0-A544-63D50E6E85F2}"/>
    <hyperlink ref="Z16:AA17" location="'4. 디지털'!Print_Area" display="'4. 디지털'!Print_Area" xr:uid="{02FA2F2A-A579-45DC-A382-54B53CAC92AE}"/>
    <hyperlink ref="C18:E19" location="'5. 소상공인'!Print_Titles" display="소상공인" xr:uid="{C4DD6837-58D6-4093-BAA5-221D191087D4}"/>
    <hyperlink ref="Z18:AA19" location="'5. 소상공인'!Print_Titles" display="13 ~ 14" xr:uid="{48DB1ECA-5CE2-4AFD-8DC3-02D8243F3083}"/>
    <hyperlink ref="C20:E20" location="'6. B2B'!Print_Area" display="B2B" xr:uid="{A20D5E2D-09C4-4B48-97B9-0A960F58779D}"/>
    <hyperlink ref="Z20:AA20" location="'6. B2B'!Print_Area" display="'6. B2B'!Print_Area" xr:uid="{4A65147D-2182-483F-A604-09DE12BB4C52}"/>
    <hyperlink ref="C21:E22" location="'7.유통플랫폼사업'!Print_Area" display="유통플랫폼사업" xr:uid="{A3C1E923-0FB7-4780-863E-62D21ACDBE87}"/>
    <hyperlink ref="Z21:AA22" location="'7.유통플랫폼사업'!Print_Area" display="'7.유통플랫폼사업'!Print_Area" xr:uid="{6D231E7A-B585-4D1B-B70A-66018EA802DC}"/>
    <hyperlink ref="C23:E24" location="'8.인프라'!Print_Titles" display="인프라" xr:uid="{6B680824-1C4F-4999-9C5B-775C43712F2A}"/>
    <hyperlink ref="Z23:AA24" location="'8.인프라'!Print_Titles" display="17 ~18" xr:uid="{D1A38E75-7501-4F18-A6D3-78A9B85F7343}"/>
    <hyperlink ref="C25:E26" location="'9.인력'!Print_Titles" display="인력" xr:uid="{9F4927FE-6EC9-4F40-BEAB-090444DCDDF1}"/>
    <hyperlink ref="Z25:AA26" location="'9.인력'!Print_Titles" display="19 ~ 20" xr:uid="{AB2F875A-7953-4B8E-9894-7B15A3441343}"/>
    <hyperlink ref="C27:E28" location="'10.영업품질'!Print_Titles" display="영업품질" xr:uid="{7EF9B0C3-4DD5-4AA1-A021-F9B758DC854A}"/>
    <hyperlink ref="Z27:AA28" location="'10.영업품질'!Print_Titles" display="21 ~ 22" xr:uid="{C467D005-F45E-4971-840E-08B1B7FE4E77}"/>
    <hyperlink ref="C29:E30" location="'11. 재고'!Print_Area" display="재고" xr:uid="{A4CAC4C9-12D7-46A4-8C37-7943EE949EB1}"/>
    <hyperlink ref="Z29:AA30" location="'11. 재고'!Print_Area" display="'11. 재고'!Print_Area" xr:uid="{F6A1A4E8-0137-4D1A-BF7E-57C78FF30A2A}"/>
    <hyperlink ref="C31:E31" location="'12.기타지표'!Print_Area" display="기타지표" xr:uid="{64CE3AF6-A1F8-4A43-B09E-ED8E24B0D2EA}"/>
    <hyperlink ref="Z31:AA31" location="'12.기타지표'!Print_Area" display="'12.기타지표'!Print_Area" xr:uid="{0445B7A1-13E3-4090-A7B0-C31BA9AE186D}"/>
    <hyperlink ref="C6:E7" location="'1.재무'!Print_Titles" display="재무" xr:uid="{2071C212-0BC3-4ABA-B421-EAB0D99DA494}"/>
  </hyperlinks>
  <printOptions horizontalCentered="1" verticalCentered="1"/>
  <pageMargins left="0.23622047244094491" right="0.23622047244094491" top="0.35433070866141736" bottom="0.55118110236220474" header="0.31496062992125984" footer="0.31496062992125984"/>
  <pageSetup paperSize="9" scale="57" fitToHeight="0" orientation="landscape" r:id="rId1"/>
  <colBreaks count="1" manualBreakCount="1">
    <brk id="2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97A3-30C0-4000-829A-9374D6DFE009}">
  <sheetPr codeName="Sheet1">
    <tabColor theme="7" tint="0.79998168889431442"/>
    <pageSetUpPr fitToPage="1"/>
  </sheetPr>
  <dimension ref="A1:AE143"/>
  <sheetViews>
    <sheetView showGridLines="0" view="pageBreakPreview" zoomScale="55" zoomScaleNormal="55" zoomScaleSheetLayoutView="55" workbookViewId="0">
      <pane xSplit="5" topLeftCell="F1" activePane="topRight" state="frozen"/>
      <selection activeCell="AG13" sqref="AG13"/>
      <selection pane="topRight" activeCell="N15" sqref="N15"/>
    </sheetView>
  </sheetViews>
  <sheetFormatPr defaultColWidth="9.140625" defaultRowHeight="15" outlineLevelRow="1" outlineLevelCol="1" x14ac:dyDescent="0.55000000000000004"/>
  <cols>
    <col min="1" max="1" width="5.35546875" style="559" customWidth="1"/>
    <col min="2" max="2" width="8.5" style="559" customWidth="1"/>
    <col min="3" max="3" width="13.35546875" style="559" customWidth="1"/>
    <col min="4" max="4" width="21.92578125" style="559" customWidth="1"/>
    <col min="5" max="5" width="39.42578125" style="559" customWidth="1"/>
    <col min="6" max="6" width="13.5" style="581" customWidth="1"/>
    <col min="7" max="8" width="14.2109375" style="559" customWidth="1"/>
    <col min="9" max="9" width="14.0703125" style="559" customWidth="1"/>
    <col min="10" max="12" width="14.5" style="559" customWidth="1"/>
    <col min="13" max="13" width="13.5" style="581" hidden="1" customWidth="1" outlineLevel="1"/>
    <col min="14" max="14" width="14.5" style="559" customWidth="1" collapsed="1"/>
    <col min="15" max="15" width="14.5" style="559" customWidth="1"/>
    <col min="16" max="16" width="12.85546875" style="559" customWidth="1"/>
    <col min="17" max="17" width="13.35546875" style="559" customWidth="1"/>
    <col min="18" max="18" width="13.35546875" style="560" customWidth="1"/>
    <col min="19" max="20" width="9.640625" style="559" hidden="1" customWidth="1"/>
    <col min="21" max="21" width="13.35546875" style="559" customWidth="1"/>
    <col min="22" max="22" width="8.640625" style="581" customWidth="1"/>
    <col min="23" max="24" width="8.640625" style="559" customWidth="1"/>
    <col min="25" max="16384" width="9.140625" style="559"/>
  </cols>
  <sheetData>
    <row r="1" spans="1:31" s="581" customFormat="1" ht="15.45" thickBot="1" x14ac:dyDescent="0.6">
      <c r="F1" s="581" t="s">
        <v>1011</v>
      </c>
      <c r="G1" s="581" t="s">
        <v>817</v>
      </c>
      <c r="H1" s="581" t="s">
        <v>818</v>
      </c>
      <c r="I1" s="581" t="s">
        <v>744</v>
      </c>
      <c r="J1" s="581" t="s">
        <v>819</v>
      </c>
      <c r="K1" s="581" t="s">
        <v>820</v>
      </c>
      <c r="L1" s="581" t="s">
        <v>821</v>
      </c>
      <c r="M1" s="6859" t="str">
        <f>R1</f>
        <v>CU</v>
      </c>
      <c r="N1" s="581" t="s">
        <v>1204</v>
      </c>
      <c r="O1" s="581" t="s">
        <v>1205</v>
      </c>
      <c r="P1" s="581" t="s">
        <v>1124</v>
      </c>
      <c r="Q1" s="581" t="s">
        <v>1125</v>
      </c>
      <c r="R1" s="6859" t="s">
        <v>1126</v>
      </c>
      <c r="S1" s="581" t="s">
        <v>1127</v>
      </c>
      <c r="T1" s="581" t="s">
        <v>1128</v>
      </c>
      <c r="U1" s="581" t="s">
        <v>1086</v>
      </c>
      <c r="V1" s="581" t="s">
        <v>672</v>
      </c>
    </row>
    <row r="2" spans="1:31" s="561" customFormat="1" ht="50.05" customHeight="1" thickTop="1" thickBot="1" x14ac:dyDescent="0.6">
      <c r="A2" s="7061" t="s">
        <v>877</v>
      </c>
      <c r="B2" s="7061"/>
      <c r="C2" s="7061"/>
      <c r="D2" s="7061"/>
      <c r="E2" s="7061"/>
      <c r="F2" s="7061"/>
      <c r="G2" s="7061"/>
      <c r="H2" s="7061"/>
      <c r="I2" s="7061"/>
      <c r="J2" s="7061"/>
      <c r="K2" s="7061"/>
      <c r="L2" s="7061"/>
      <c r="M2" s="7061"/>
      <c r="N2" s="7061"/>
      <c r="O2" s="7061"/>
      <c r="P2" s="7061"/>
      <c r="Q2" s="7061"/>
      <c r="R2" s="7061"/>
      <c r="S2" s="7061"/>
      <c r="T2" s="7061"/>
      <c r="U2" s="7061"/>
      <c r="V2" s="6973"/>
      <c r="W2" s="4370"/>
    </row>
    <row r="3" spans="1:31" s="561" customFormat="1" ht="15.55" customHeight="1" thickTop="1" thickBot="1" x14ac:dyDescent="0.6">
      <c r="A3" s="564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5"/>
      <c r="S3" s="564"/>
      <c r="T3" s="564"/>
      <c r="U3" s="564"/>
      <c r="V3" s="6974"/>
    </row>
    <row r="4" spans="1:31" ht="19.5" customHeight="1" thickTop="1" thickBot="1" x14ac:dyDescent="0.6">
      <c r="C4" s="567"/>
      <c r="D4" s="567"/>
      <c r="E4" s="568" t="s">
        <v>602</v>
      </c>
      <c r="F4" s="569"/>
      <c r="G4" s="7062" t="s">
        <v>1225</v>
      </c>
      <c r="H4" s="7063"/>
      <c r="I4" s="7063"/>
      <c r="J4" s="7063"/>
      <c r="K4" s="7063"/>
      <c r="L4" s="7064"/>
      <c r="M4" s="569"/>
      <c r="N4" s="7062" t="s">
        <v>1233</v>
      </c>
      <c r="O4" s="7063"/>
      <c r="P4" s="7063"/>
      <c r="Q4" s="7065"/>
      <c r="R4" s="7058" t="str">
        <f>'※ 재무_세부시트'!CU3</f>
        <v>연간누적실적(~2월)</v>
      </c>
      <c r="S4" s="7059"/>
      <c r="T4" s="7059"/>
      <c r="U4" s="7060"/>
    </row>
    <row r="5" spans="1:31" ht="22.5" customHeight="1" thickBot="1" x14ac:dyDescent="0.6">
      <c r="A5" s="7055" t="s">
        <v>124</v>
      </c>
      <c r="B5" s="7056"/>
      <c r="C5" s="7056"/>
      <c r="D5" s="7057"/>
      <c r="E5" s="572" t="s">
        <v>125</v>
      </c>
      <c r="F5" s="573" t="s">
        <v>1123</v>
      </c>
      <c r="G5" s="574" t="str" cm="1">
        <f t="array" aca="1" ref="G5" ca="1">INDIRECT("'※ 재무_세부시트'!"&amp;G$1&amp;$V5, TRUE)</f>
        <v>'25.1월</v>
      </c>
      <c r="H5" s="575" t="str" cm="1">
        <f t="array" aca="1" ref="H5" ca="1">INDIRECT("'※ 재무_세부시트'!"&amp;H$1&amp;$V5, TRUE)</f>
        <v>'25.2월</v>
      </c>
      <c r="I5" s="575" t="str" cm="1">
        <f t="array" aca="1" ref="I5" ca="1">INDIRECT("'※ 재무_세부시트'!"&amp;I$1&amp;$V5, TRUE)</f>
        <v>'25.3월</v>
      </c>
      <c r="J5" s="575" t="str" cm="1">
        <f t="array" aca="1" ref="J5" ca="1">INDIRECT("'※ 재무_세부시트'!"&amp;J$1&amp;$V5, TRUE)</f>
        <v>'25.4월</v>
      </c>
      <c r="K5" s="575" t="str" cm="1">
        <f t="array" aca="1" ref="K5" ca="1">INDIRECT("'※ 재무_세부시트'!"&amp;K$1&amp;$V5, TRUE)</f>
        <v>'25.5월</v>
      </c>
      <c r="L5" s="575" t="str" cm="1">
        <f t="array" aca="1" ref="L5" ca="1">INDIRECT("'※ 재무_세부시트'!"&amp;L$1&amp;$V5, TRUE)</f>
        <v>'25.6월</v>
      </c>
      <c r="M5" s="6249" t="s">
        <v>1206</v>
      </c>
      <c r="N5" s="574" t="str" cm="1">
        <f t="array" aca="1" ref="N5" ca="1">INDIRECT("'※ 재무_세부시트'!"&amp;N$1&amp;$V5, TRUE)</f>
        <v>'26.1월</v>
      </c>
      <c r="O5" s="575" t="str" cm="1">
        <f t="array" aca="1" ref="O5" ca="1">INDIRECT("'※ 재무_세부시트'!"&amp;O$1&amp;$V5, TRUE)</f>
        <v>'26.2월</v>
      </c>
      <c r="P5" s="6975" t="s">
        <v>130</v>
      </c>
      <c r="Q5" s="577" t="s">
        <v>443</v>
      </c>
      <c r="R5" s="578" t="s">
        <v>44</v>
      </c>
      <c r="S5" s="579" t="s">
        <v>8</v>
      </c>
      <c r="T5" s="579" t="s">
        <v>9</v>
      </c>
      <c r="U5" s="580" t="s">
        <v>569</v>
      </c>
      <c r="V5" s="581">
        <v>4</v>
      </c>
      <c r="W5" s="581"/>
      <c r="X5" s="582"/>
      <c r="Y5" s="583"/>
      <c r="Z5" s="583"/>
      <c r="AA5" s="583"/>
      <c r="AB5" s="583"/>
      <c r="AC5" s="583"/>
      <c r="AD5" s="583"/>
      <c r="AE5" s="583"/>
    </row>
    <row r="6" spans="1:31" ht="33" customHeight="1" x14ac:dyDescent="0.55000000000000004">
      <c r="A6" s="584" t="s">
        <v>1088</v>
      </c>
      <c r="B6" s="585"/>
      <c r="C6" s="585"/>
      <c r="D6" s="585"/>
      <c r="E6" s="585"/>
      <c r="F6" s="6706" cm="1">
        <f t="array" aca="1" ref="F6" ca="1">INDIRECT("'※ 재무_세부시트'!"&amp;F$1&amp;$V6, TRUE)</f>
        <v>7534.5810219500017</v>
      </c>
      <c r="G6" s="6815" cm="1">
        <f t="array" aca="1" ref="G6" ca="1">INDIRECT("'※ 재무_세부시트'!"&amp;G$1&amp;$V6, TRUE)</f>
        <v>560.63832912000009</v>
      </c>
      <c r="H6" s="6816" cm="1">
        <f t="array" aca="1" ref="H6" ca="1">INDIRECT("'※ 재무_세부시트'!"&amp;H$1&amp;$V6, TRUE)</f>
        <v>1003.2939245800001</v>
      </c>
      <c r="I6" s="6816" cm="1">
        <f t="array" aca="1" ref="I6" ca="1">INDIRECT("'※ 재무_세부시트'!"&amp;I$1&amp;$V6, TRUE)</f>
        <v>569.23055278000004</v>
      </c>
      <c r="J6" s="6816" cm="1">
        <f t="array" aca="1" ref="J6" ca="1">INDIRECT("'※ 재무_세부시트'!"&amp;J$1&amp;$V6, TRUE)</f>
        <v>449.51814091999995</v>
      </c>
      <c r="K6" s="6816" cm="1">
        <f t="array" aca="1" ref="K6" ca="1">INDIRECT("'※ 재무_세부시트'!"&amp;K$1&amp;$V6, TRUE)</f>
        <v>517.36253804</v>
      </c>
      <c r="L6" s="6816" cm="1">
        <f t="array" aca="1" ref="L6" ca="1">INDIRECT("'※ 재무_세부시트'!"&amp;L$1&amp;$V6, TRUE)</f>
        <v>544.95947401000012</v>
      </c>
      <c r="M6" s="6706" cm="1">
        <f t="array" aca="1" ref="M6" ca="1">INDIRECT("'※ 재무_세부시트'!"&amp;M$1&amp;$V6, TRUE)</f>
        <v>1266.7957315200001</v>
      </c>
      <c r="N6" s="6815" cm="1">
        <f t="array" aca="1" ref="N6" ca="1">INDIRECT("'※ 재무_세부시트'!"&amp;N$1&amp;$V6, TRUE)</f>
        <v>776.6417670400001</v>
      </c>
      <c r="O6" s="6816" cm="1">
        <f t="array" aca="1" ref="O6" ca="1">INDIRECT("'※ 재무_세부시트'!"&amp;O$1&amp;$V6, TRUE)</f>
        <v>490.15396447999996</v>
      </c>
      <c r="P6" s="6791" cm="1">
        <f t="array" aca="1" ref="P6" ca="1">INDIRECT("'※ 재무_세부시트'!"&amp;P$1&amp;$V6, TRUE)</f>
        <v>-286.48780256000015</v>
      </c>
      <c r="Q6" s="6791" cm="1">
        <f t="array" aca="1" ref="Q6" ca="1">INDIRECT("'※ 재무_세부시트'!"&amp;Q$1&amp;$V6, TRUE)</f>
        <v>-513.13996010000005</v>
      </c>
      <c r="R6" s="587" cm="1">
        <f t="array" aca="1" ref="R6" ca="1">INDIRECT("'※ 재무_세부시트'!"&amp;R$1&amp;$V6, TRUE)</f>
        <v>1266.7957315200001</v>
      </c>
      <c r="S6" s="586" cm="1">
        <f t="array" aca="1" ref="S6" ca="1">INDIRECT("'※ 재무_세부시트'!"&amp;S$1&amp;$V6, TRUE)</f>
        <v>1266.7957315200001</v>
      </c>
      <c r="T6" s="588" cm="1">
        <f t="array" aca="1" ref="T6" ca="1">INDIRECT("'※ 재무_세부시트'!"&amp;T$1&amp;$V6, TRUE)</f>
        <v>0</v>
      </c>
      <c r="U6" s="589" cm="1">
        <f t="array" aca="1" ref="U6" ca="1">INDIRECT("'※ 재무_세부시트'!"&amp;U$1&amp;$V6, TRUE)</f>
        <v>-297.13652218000016</v>
      </c>
      <c r="V6" s="581">
        <v>5</v>
      </c>
      <c r="W6" s="581"/>
      <c r="X6" s="591"/>
      <c r="Y6" s="592"/>
      <c r="Z6" s="583"/>
      <c r="AA6" s="583"/>
      <c r="AB6" s="583"/>
      <c r="AC6" s="583"/>
      <c r="AD6" s="583"/>
      <c r="AE6" s="583"/>
    </row>
    <row r="7" spans="1:31" ht="19.5" customHeight="1" x14ac:dyDescent="0.55000000000000004">
      <c r="A7" s="593"/>
      <c r="B7" s="556" t="s">
        <v>681</v>
      </c>
      <c r="C7" s="594"/>
      <c r="D7" s="594"/>
      <c r="E7" s="594"/>
      <c r="F7" s="6707" cm="1">
        <f t="array" aca="1" ref="F7" ca="1">INDIRECT("'※ 재무_세부시트'!"&amp;F$1&amp;$V7, TRUE)</f>
        <v>4676.9606741399994</v>
      </c>
      <c r="G7" s="6817" cm="1">
        <f t="array" aca="1" ref="G7" ca="1">INDIRECT("'※ 재무_세부시트'!"&amp;G$1&amp;$V7, TRUE)</f>
        <v>377.48240117</v>
      </c>
      <c r="H7" s="4267" cm="1">
        <f t="array" aca="1" ref="H7" ca="1">INDIRECT("'※ 재무_세부시트'!"&amp;H$1&amp;$V7, TRUE)</f>
        <v>737.19830149000006</v>
      </c>
      <c r="I7" s="4267" cm="1">
        <f t="array" aca="1" ref="I7" ca="1">INDIRECT("'※ 재무_세부시트'!"&amp;I$1&amp;$V7, TRUE)</f>
        <v>368.49674788999999</v>
      </c>
      <c r="J7" s="4267" cm="1">
        <f t="array" aca="1" ref="J7" ca="1">INDIRECT("'※ 재무_세부시트'!"&amp;J$1&amp;$V7, TRUE)</f>
        <v>243.45806517</v>
      </c>
      <c r="K7" s="4267" cm="1">
        <f t="array" aca="1" ref="K7" ca="1">INDIRECT("'※ 재무_세부시트'!"&amp;K$1&amp;$V7, TRUE)</f>
        <v>287.03541559000001</v>
      </c>
      <c r="L7" s="4267" cm="1">
        <f t="array" aca="1" ref="L7" ca="1">INDIRECT("'※ 재무_세부시트'!"&amp;L$1&amp;$V7, TRUE)</f>
        <v>319.55447298000001</v>
      </c>
      <c r="M7" s="6767" cm="1">
        <f t="array" aca="1" ref="M7" ca="1">INDIRECT("'※ 재무_세부시트'!"&amp;M$1&amp;$V7, TRUE)</f>
        <v>796.36152130999994</v>
      </c>
      <c r="N7" s="6817" cm="1">
        <f t="array" aca="1" ref="N7" ca="1">INDIRECT("'※ 재무_세부시트'!"&amp;N$1&amp;$V7, TRUE)</f>
        <v>508.33630897</v>
      </c>
      <c r="O7" s="4267" cm="1">
        <f t="array" aca="1" ref="O7" ca="1">INDIRECT("'※ 재무_세부시트'!"&amp;O$1&amp;$V7, TRUE)</f>
        <v>288.02521234</v>
      </c>
      <c r="P7" s="6792" cm="1">
        <f t="array" aca="1" ref="P7" ca="1">INDIRECT("'※ 재무_세부시트'!"&amp;P$1&amp;$V7, TRUE)</f>
        <v>-220.31109663000001</v>
      </c>
      <c r="Q7" s="6792" cm="1">
        <f t="array" aca="1" ref="Q7" ca="1">INDIRECT("'※ 재무_세부시트'!"&amp;Q$1&amp;$V7, TRUE)</f>
        <v>-449.17308915000007</v>
      </c>
      <c r="R7" s="599" cm="1">
        <f t="array" aca="1" ref="R7" ca="1">INDIRECT("'※ 재무_세부시트'!"&amp;R$1&amp;$V7, TRUE)</f>
        <v>796.36152130999994</v>
      </c>
      <c r="S7" s="598" cm="1">
        <f t="array" aca="1" ref="S7" ca="1">INDIRECT("'※ 재무_세부시트'!"&amp;S$1&amp;$V7, TRUE)</f>
        <v>796.36152130999994</v>
      </c>
      <c r="T7" s="600" cm="1">
        <f t="array" aca="1" ref="T7" ca="1">INDIRECT("'※ 재무_세부시트'!"&amp;T$1&amp;$V7, TRUE)</f>
        <v>0</v>
      </c>
      <c r="U7" s="601" cm="1">
        <f t="array" aca="1" ref="U7" ca="1">INDIRECT("'※ 재무_세부시트'!"&amp;U$1&amp;$V7, TRUE)</f>
        <v>-318.31918135000001</v>
      </c>
      <c r="V7" s="581">
        <v>6</v>
      </c>
      <c r="W7" s="581"/>
      <c r="X7" s="591"/>
      <c r="Y7" s="592"/>
      <c r="Z7" s="583"/>
      <c r="AA7" s="583"/>
      <c r="AB7" s="583"/>
      <c r="AC7" s="583"/>
      <c r="AD7" s="583"/>
      <c r="AE7" s="583"/>
    </row>
    <row r="8" spans="1:31" ht="19.5" customHeight="1" x14ac:dyDescent="0.55000000000000004">
      <c r="A8" s="593"/>
      <c r="B8" s="556" t="s">
        <v>682</v>
      </c>
      <c r="C8" s="594"/>
      <c r="D8" s="594"/>
      <c r="E8" s="594"/>
      <c r="F8" s="6707" cm="1">
        <f t="array" aca="1" ref="F8" ca="1">INDIRECT("'※ 재무_세부시트'!"&amp;F$1&amp;$V8, TRUE)</f>
        <v>5012.7115257300011</v>
      </c>
      <c r="G8" s="6817" cm="1">
        <f t="array" aca="1" ref="G8" ca="1">INDIRECT("'※ 재무_세부시트'!"&amp;G$1&amp;$V8, TRUE)</f>
        <v>388.74830183</v>
      </c>
      <c r="H8" s="4267" cm="1">
        <f t="array" aca="1" ref="H8" ca="1">INDIRECT("'※ 재무_세부시트'!"&amp;H$1&amp;$V8, TRUE)</f>
        <v>790.57613643000002</v>
      </c>
      <c r="I8" s="4267" cm="1">
        <f t="array" aca="1" ref="I8" ca="1">INDIRECT("'※ 재무_세부시트'!"&amp;I$1&amp;$V8, TRUE)</f>
        <v>385.18886522999998</v>
      </c>
      <c r="J8" s="4267" cm="1">
        <f t="array" aca="1" ref="J8" ca="1">INDIRECT("'※ 재무_세부시트'!"&amp;J$1&amp;$V8, TRUE)</f>
        <v>256.63170775999998</v>
      </c>
      <c r="K8" s="4267" cm="1">
        <f t="array" aca="1" ref="K8" ca="1">INDIRECT("'※ 재무_세부시트'!"&amp;K$1&amp;$V8, TRUE)</f>
        <v>307.72261552999998</v>
      </c>
      <c r="L8" s="4267" cm="1">
        <f t="array" aca="1" ref="L8" ca="1">INDIRECT("'※ 재무_세부시트'!"&amp;L$1&amp;$V8, TRUE)</f>
        <v>324.79941638999998</v>
      </c>
      <c r="M8" s="6767" cm="1">
        <f t="array" aca="1" ref="M8" ca="1">INDIRECT("'※ 재무_세부시트'!"&amp;M$1&amp;$V8, TRUE)</f>
        <v>878.50721281000006</v>
      </c>
      <c r="N8" s="6817" cm="1">
        <f t="array" aca="1" ref="N8" ca="1">INDIRECT("'※ 재무_세부시트'!"&amp;N$1&amp;$V8, TRUE)</f>
        <v>565.01271076</v>
      </c>
      <c r="O8" s="4267" cm="1">
        <f t="array" aca="1" ref="O8" ca="1">INDIRECT("'※ 재무_세부시트'!"&amp;O$1&amp;$V8, TRUE)</f>
        <v>313.49450204999999</v>
      </c>
      <c r="P8" s="6792" cm="1">
        <f t="array" aca="1" ref="P8" ca="1">INDIRECT("'※ 재무_세부시트'!"&amp;P$1&amp;$V8, TRUE)</f>
        <v>-251.51820871000001</v>
      </c>
      <c r="Q8" s="6792" cm="1">
        <f t="array" aca="1" ref="Q8" ca="1">INDIRECT("'※ 재무_세부시트'!"&amp;Q$1&amp;$V8, TRUE)</f>
        <v>-477.08163438000003</v>
      </c>
      <c r="R8" s="599" cm="1">
        <f t="array" aca="1" ref="R8" ca="1">INDIRECT("'※ 재무_세부시트'!"&amp;R$1&amp;$V8, TRUE)</f>
        <v>878.50721281000006</v>
      </c>
      <c r="S8" s="598" cm="1">
        <f t="array" aca="1" ref="S8" ca="1">INDIRECT("'※ 재무_세부시트'!"&amp;S$1&amp;$V8, TRUE)</f>
        <v>878.50721281000006</v>
      </c>
      <c r="T8" s="600" cm="1">
        <f t="array" aca="1" ref="T8" ca="1">INDIRECT("'※ 재무_세부시트'!"&amp;T$1&amp;$V8, TRUE)</f>
        <v>0</v>
      </c>
      <c r="U8" s="601" cm="1">
        <f t="array" aca="1" ref="U8" ca="1">INDIRECT("'※ 재무_세부시트'!"&amp;U$1&amp;$V8, TRUE)</f>
        <v>-300.81722545000002</v>
      </c>
      <c r="V8" s="581">
        <v>7</v>
      </c>
      <c r="W8" s="581"/>
      <c r="X8" s="591"/>
      <c r="Y8" s="592"/>
      <c r="Z8" s="583"/>
      <c r="AA8" s="583"/>
      <c r="AB8" s="583"/>
      <c r="AC8" s="583"/>
      <c r="AD8" s="583"/>
      <c r="AE8" s="583"/>
    </row>
    <row r="9" spans="1:31" ht="19.5" hidden="1" customHeight="1" outlineLevel="1" x14ac:dyDescent="0.55000000000000004">
      <c r="A9" s="593"/>
      <c r="B9" s="556" t="s">
        <v>683</v>
      </c>
      <c r="C9" s="594"/>
      <c r="D9" s="594"/>
      <c r="E9" s="594"/>
      <c r="F9" s="6707" cm="1">
        <f t="array" aca="1" ref="F9" ca="1">INDIRECT("'※ 재무_세부시트'!"&amp;F$1&amp;$V9, TRUE)</f>
        <v>-335.75085158999974</v>
      </c>
      <c r="G9" s="6817" cm="1">
        <f t="array" aca="1" ref="G9" ca="1">INDIRECT("'※ 재무_세부시트'!"&amp;G$1&amp;$V9, TRUE)</f>
        <v>-11.26590066</v>
      </c>
      <c r="H9" s="4267" cm="1">
        <f t="array" aca="1" ref="H9" ca="1">INDIRECT("'※ 재무_세부시트'!"&amp;H$1&amp;$V9, TRUE)</f>
        <v>-53.377834939999957</v>
      </c>
      <c r="I9" s="4267" cm="1">
        <f t="array" aca="1" ref="I9" ca="1">INDIRECT("'※ 재무_세부시트'!"&amp;I$1&amp;$V9, TRUE)</f>
        <v>-16.692117339999982</v>
      </c>
      <c r="J9" s="4267" cm="1">
        <f t="array" aca="1" ref="J9" ca="1">INDIRECT("'※ 재무_세부시트'!"&amp;J$1&amp;$V9, TRUE)</f>
        <v>-13.173642589999986</v>
      </c>
      <c r="K9" s="4267" cm="1">
        <f t="array" aca="1" ref="K9" ca="1">INDIRECT("'※ 재무_세부시트'!"&amp;K$1&amp;$V9, TRUE)</f>
        <v>-20.687199939999971</v>
      </c>
      <c r="L9" s="4267" cm="1">
        <f t="array" aca="1" ref="L9" ca="1">INDIRECT("'※ 재무_세부시트'!"&amp;L$1&amp;$V9, TRUE)</f>
        <v>-5.2449434099999621</v>
      </c>
      <c r="M9" s="6767" cm="1">
        <f t="array" aca="1" ref="M9" ca="1">INDIRECT("'※ 재무_세부시트'!"&amp;M$1&amp;$V9, TRUE)</f>
        <v>-82.145691499999998</v>
      </c>
      <c r="N9" s="6817" cm="1">
        <f t="array" aca="1" ref="N9" ca="1">INDIRECT("'※ 재무_세부시트'!"&amp;N$1&amp;$V9, TRUE)</f>
        <v>-56.67640179</v>
      </c>
      <c r="O9" s="4267" cm="1">
        <f t="array" aca="1" ref="O9" ca="1">INDIRECT("'※ 재무_세부시트'!"&amp;O$1&amp;$V9, TRUE)</f>
        <v>-25.469289709999998</v>
      </c>
      <c r="P9" s="6792" cm="1">
        <f t="array" aca="1" ref="P9" ca="1">INDIRECT("'※ 재무_세부시트'!"&amp;P$1&amp;$V9, TRUE)</f>
        <v>31.207112080000002</v>
      </c>
      <c r="Q9" s="6792" cm="1">
        <f t="array" aca="1" ref="Q9" ca="1">INDIRECT("'※ 재무_세부시트'!"&amp;Q$1&amp;$V9, TRUE)</f>
        <v>27.908545229999959</v>
      </c>
      <c r="R9" s="606" cm="1">
        <f t="array" aca="1" ref="R9" ca="1">INDIRECT("'※ 재무_세부시트'!"&amp;R$1&amp;$V9, TRUE)</f>
        <v>-82.145691499999998</v>
      </c>
      <c r="S9" s="598" cm="1">
        <f t="array" aca="1" ref="S9" ca="1">INDIRECT("'※ 재무_세부시트'!"&amp;S$1&amp;$V9, TRUE)</f>
        <v>-82.145691499999998</v>
      </c>
      <c r="T9" s="600" t="str" cm="1">
        <f t="array" aca="1" ref="T9" ca="1">INDIRECT("'※ 재무_세부시트'!"&amp;T$1&amp;$V9, TRUE)</f>
        <v>-</v>
      </c>
      <c r="U9" s="601" cm="1">
        <f t="array" aca="1" ref="U9" ca="1">INDIRECT("'※ 재무_세부시트'!"&amp;U$1&amp;$V9, TRUE)</f>
        <v>-17.501955900000041</v>
      </c>
      <c r="V9" s="581">
        <v>8</v>
      </c>
      <c r="W9" s="581"/>
      <c r="X9" s="591"/>
      <c r="Y9" s="592"/>
      <c r="Z9" s="583"/>
      <c r="AA9" s="583"/>
      <c r="AB9" s="583"/>
      <c r="AC9" s="583"/>
      <c r="AD9" s="583"/>
      <c r="AE9" s="583"/>
    </row>
    <row r="10" spans="1:31" s="615" customFormat="1" ht="19.5" hidden="1" customHeight="1" outlineLevel="1" x14ac:dyDescent="0.55000000000000004">
      <c r="A10" s="593"/>
      <c r="B10" s="608" t="s">
        <v>12</v>
      </c>
      <c r="C10" s="609"/>
      <c r="D10" s="609"/>
      <c r="E10" s="609"/>
      <c r="F10" s="6708" cm="1">
        <f t="array" aca="1" ref="F10" ca="1">INDIRECT("'※ 재무_세부시트'!"&amp;F$1&amp;$V10, TRUE)</f>
        <v>56.4833997981818</v>
      </c>
      <c r="G10" s="6818" cm="1">
        <f t="array" aca="1" ref="G10" ca="1">INDIRECT("'※ 재무_세부시트'!"&amp;G$1&amp;$V10, TRUE)</f>
        <v>15.730996770909101</v>
      </c>
      <c r="H10" s="6819" cm="1">
        <f t="array" aca="1" ref="H10" ca="1">INDIRECT("'※ 재무_세부시트'!"&amp;H$1&amp;$V10, TRUE)</f>
        <v>40.752403027272699</v>
      </c>
      <c r="I10" s="6819" cm="1">
        <f t="array" aca="1" ref="I10" ca="1">INDIRECT("'※ 재무_세부시트'!"&amp;I$1&amp;$V10, TRUE)</f>
        <v>0</v>
      </c>
      <c r="J10" s="6819" cm="1">
        <f t="array" aca="1" ref="J10" ca="1">INDIRECT("'※ 재무_세부시트'!"&amp;J$1&amp;$V10, TRUE)</f>
        <v>0</v>
      </c>
      <c r="K10" s="6819" cm="1">
        <f t="array" aca="1" ref="K10" ca="1">INDIRECT("'※ 재무_세부시트'!"&amp;K$1&amp;$V10, TRUE)</f>
        <v>0</v>
      </c>
      <c r="L10" s="6819" cm="1">
        <f t="array" aca="1" ref="L10" ca="1">INDIRECT("'※ 재무_세부시트'!"&amp;L$1&amp;$V10, TRUE)</f>
        <v>0</v>
      </c>
      <c r="M10" s="6768" cm="1">
        <f t="array" aca="1" ref="M10" ca="1">INDIRECT("'※ 재무_세부시트'!"&amp;M$1&amp;$V10, TRUE)</f>
        <v>0</v>
      </c>
      <c r="N10" s="6818" cm="1">
        <f t="array" aca="1" ref="N10" ca="1">INDIRECT("'※ 재무_세부시트'!"&amp;N$1&amp;$V10, TRUE)</f>
        <v>0</v>
      </c>
      <c r="O10" s="6819" cm="1">
        <f t="array" aca="1" ref="O10" ca="1">INDIRECT("'※ 재무_세부시트'!"&amp;O$1&amp;$V10, TRUE)</f>
        <v>0</v>
      </c>
      <c r="P10" s="6793" cm="1">
        <f t="array" aca="1" ref="P10" ca="1">INDIRECT("'※ 재무_세부시트'!"&amp;P$1&amp;$V10, TRUE)</f>
        <v>0</v>
      </c>
      <c r="Q10" s="6793" cm="1">
        <f t="array" aca="1" ref="Q10" ca="1">INDIRECT("'※ 재무_세부시트'!"&amp;Q$1&amp;$V10, TRUE)</f>
        <v>-40.752403027272699</v>
      </c>
      <c r="R10" s="611" cm="1">
        <f t="array" aca="1" ref="R10" ca="1">INDIRECT("'※ 재무_세부시트'!"&amp;R$1&amp;$V10, TRUE)</f>
        <v>0</v>
      </c>
      <c r="S10" s="610" cm="1">
        <f t="array" aca="1" ref="S10" ca="1">INDIRECT("'※ 재무_세부시트'!"&amp;S$1&amp;$V10, TRUE)</f>
        <v>0</v>
      </c>
      <c r="T10" s="612" cm="1">
        <f t="array" aca="1" ref="T10" ca="1">INDIRECT("'※ 재무_세부시트'!"&amp;T$1&amp;$V10, TRUE)</f>
        <v>0</v>
      </c>
      <c r="U10" s="613" cm="1">
        <f t="array" aca="1" ref="U10" ca="1">INDIRECT("'※ 재무_세부시트'!"&amp;U$1&amp;$V10, TRUE)</f>
        <v>-56.4833997981818</v>
      </c>
      <c r="V10" s="581">
        <v>9</v>
      </c>
      <c r="W10" s="581"/>
      <c r="X10" s="591"/>
      <c r="Y10" s="592"/>
      <c r="Z10" s="616"/>
      <c r="AA10" s="616"/>
      <c r="AB10" s="616"/>
      <c r="AC10" s="616"/>
      <c r="AD10" s="616"/>
      <c r="AE10" s="616"/>
    </row>
    <row r="11" spans="1:31" s="615" customFormat="1" ht="25" customHeight="1" collapsed="1" x14ac:dyDescent="0.55000000000000004">
      <c r="A11" s="593"/>
      <c r="B11" s="617" t="s">
        <v>1230</v>
      </c>
      <c r="C11" s="618"/>
      <c r="D11" s="618"/>
      <c r="E11" s="618"/>
      <c r="F11" s="6709" cm="1">
        <f t="array" aca="1" ref="F11" ca="1">INDIRECT("'※ 재무_세부시트'!"&amp;F$1&amp;$V11, TRUE)</f>
        <v>6977.9967816900007</v>
      </c>
      <c r="G11" s="6820" cm="1">
        <f t="array" aca="1" ref="G11" ca="1">INDIRECT("'※ 재무_세부시트'!"&amp;G$1&amp;$V11, TRUE)</f>
        <v>533.56526463</v>
      </c>
      <c r="H11" s="6821" cm="1">
        <f t="array" aca="1" ref="H11" ca="1">INDIRECT("'※ 재무_세부시트'!"&amp;H$1&amp;$V11, TRUE)</f>
        <v>937.03689825000004</v>
      </c>
      <c r="I11" s="6821" cm="1">
        <f t="array" aca="1" ref="I11" ca="1">INDIRECT("'※ 재무_세부시트'!"&amp;I$1&amp;$V11, TRUE)</f>
        <v>520.82450781</v>
      </c>
      <c r="J11" s="6821" cm="1">
        <f t="array" aca="1" ref="J11" ca="1">INDIRECT("'※ 재무_세부시트'!"&amp;J$1&amp;$V11, TRUE)</f>
        <v>413.50723091999998</v>
      </c>
      <c r="K11" s="6821" cm="1">
        <f t="array" aca="1" ref="K11" ca="1">INDIRECT("'※ 재무_세부시트'!"&amp;K$1&amp;$V11, TRUE)</f>
        <v>474.81408935000002</v>
      </c>
      <c r="L11" s="6821" cm="1">
        <f t="array" aca="1" ref="L11" ca="1">INDIRECT("'※ 재무_세부시트'!"&amp;L$1&amp;$V11, TRUE)</f>
        <v>497.40316263000005</v>
      </c>
      <c r="M11" s="6769" cm="1">
        <f t="array" aca="1" ref="M11" ca="1">INDIRECT("'※ 재무_세부시트'!"&amp;M$1&amp;$V11, TRUE)</f>
        <v>1224.1524910500002</v>
      </c>
      <c r="N11" s="6820" cm="1">
        <f t="array" aca="1" ref="N11" ca="1">INDIRECT("'※ 재무_세부시트'!"&amp;N$1&amp;$V11, TRUE)</f>
        <v>761.9083437700001</v>
      </c>
      <c r="O11" s="6821" cm="1">
        <f t="array" aca="1" ref="O11" ca="1">INDIRECT("'※ 재무_세부시트'!"&amp;O$1&amp;$V11, TRUE)</f>
        <v>462.24414727999999</v>
      </c>
      <c r="P11" s="6794" cm="1">
        <f t="array" aca="1" ref="P11" ca="1">INDIRECT("'※ 재무_세부시트'!"&amp;P$1&amp;$V11, TRUE)</f>
        <v>-299.66419649000011</v>
      </c>
      <c r="Q11" s="6794" cm="1">
        <f t="array" aca="1" ref="Q11" ca="1">INDIRECT("'※ 재무_세부시트'!"&amp;Q$1&amp;$V11, TRUE)</f>
        <v>-474.79275097000004</v>
      </c>
      <c r="R11" s="620" cm="1">
        <f t="array" aca="1" ref="R11" ca="1">INDIRECT("'※ 재무_세부시트'!"&amp;R$1&amp;$V11, TRUE)</f>
        <v>1224.1524910500002</v>
      </c>
      <c r="S11" s="619" cm="1">
        <f t="array" aca="1" ref="S11" ca="1">INDIRECT("'※ 재무_세부시트'!"&amp;S$1&amp;$V11, TRUE)</f>
        <v>1224.1524910500002</v>
      </c>
      <c r="T11" s="621" cm="1">
        <f t="array" aca="1" ref="T11" ca="1">INDIRECT("'※ 재무_세부시트'!"&amp;T$1&amp;$V11, TRUE)</f>
        <v>0</v>
      </c>
      <c r="U11" s="622" cm="1">
        <f t="array" aca="1" ref="U11" ca="1">INDIRECT("'※ 재무_세부시트'!"&amp;U$1&amp;$V11, TRUE)</f>
        <v>-246.44967182999972</v>
      </c>
      <c r="V11" s="581">
        <v>10</v>
      </c>
      <c r="W11" s="581"/>
      <c r="X11" s="591"/>
      <c r="Y11" s="592"/>
      <c r="Z11" s="616"/>
      <c r="AA11" s="616"/>
      <c r="AB11" s="616"/>
      <c r="AC11" s="616"/>
      <c r="AD11" s="616"/>
      <c r="AE11" s="616"/>
    </row>
    <row r="12" spans="1:31" ht="19.5" customHeight="1" x14ac:dyDescent="0.55000000000000004">
      <c r="A12" s="593"/>
      <c r="B12" s="624" t="s">
        <v>1089</v>
      </c>
      <c r="C12" s="625"/>
      <c r="D12" s="626"/>
      <c r="E12" s="556"/>
      <c r="F12" s="6710" cm="1">
        <f t="array" aca="1" ref="F12" ca="1">INDIRECT("'※ 재무_세부시트'!"&amp;F$1&amp;$V12, TRUE)</f>
        <v>4166.802292620001</v>
      </c>
      <c r="G12" s="6822" cm="1">
        <f t="array" aca="1" ref="G12" ca="1">INDIRECT("'※ 재무_세부시트'!"&amp;G$1&amp;$V12, TRUE)</f>
        <v>355.07525212000002</v>
      </c>
      <c r="H12" s="6676" cm="1">
        <f t="array" aca="1" ref="H12" ca="1">INDIRECT("'※ 재무_세부시트'!"&amp;H$1&amp;$V12, TRUE)</f>
        <v>679.23028433000002</v>
      </c>
      <c r="I12" s="6676" cm="1">
        <f t="array" aca="1" ref="I12" ca="1">INDIRECT("'※ 재무_세부시트'!"&amp;I$1&amp;$V12, TRUE)</f>
        <v>321.53379536</v>
      </c>
      <c r="J12" s="6676" cm="1">
        <f t="array" aca="1" ref="J12" ca="1">INDIRECT("'※ 재무_세부시트'!"&amp;J$1&amp;$V12, TRUE)</f>
        <v>213.07457941000001</v>
      </c>
      <c r="K12" s="6676" cm="1">
        <f t="array" aca="1" ref="K12" ca="1">INDIRECT("'※ 재무_세부시트'!"&amp;K$1&amp;$V12, TRUE)</f>
        <v>246.36238930000002</v>
      </c>
      <c r="L12" s="6676" cm="1">
        <f t="array" aca="1" ref="L12" ca="1">INDIRECT("'※ 재무_세부시트'!"&amp;L$1&amp;$V12, TRUE)</f>
        <v>274.80846724000003</v>
      </c>
      <c r="M12" s="6770" cm="1">
        <f t="array" aca="1" ref="M12" ca="1">INDIRECT("'※ 재무_세부시트'!"&amp;M$1&amp;$V12, TRUE)</f>
        <v>758.76916467000001</v>
      </c>
      <c r="N12" s="6822" cm="1">
        <f t="array" aca="1" ref="N12" ca="1">INDIRECT("'※ 재무_세부시트'!"&amp;N$1&amp;$V12, TRUE)</f>
        <v>497.57641733000003</v>
      </c>
      <c r="O12" s="6676" cm="1">
        <f t="array" aca="1" ref="O12" ca="1">INDIRECT("'※ 재무_세부시트'!"&amp;O$1&amp;$V12, TRUE)</f>
        <v>261.19274733999998</v>
      </c>
      <c r="P12" s="6795" cm="1">
        <f t="array" aca="1" ref="P12" ca="1">INDIRECT("'※ 재무_세부시트'!"&amp;P$1&amp;$V12, TRUE)</f>
        <v>-236.38366999000004</v>
      </c>
      <c r="Q12" s="6795" cm="1">
        <f t="array" aca="1" ref="Q12" ca="1">INDIRECT("'※ 재무_세부시트'!"&amp;Q$1&amp;$V12, TRUE)</f>
        <v>-418.03753699000004</v>
      </c>
      <c r="R12" s="629" cm="1">
        <f t="array" aca="1" ref="R12" ca="1">INDIRECT("'※ 재무_세부시트'!"&amp;R$1&amp;$V12, TRUE)</f>
        <v>758.76916467000001</v>
      </c>
      <c r="S12" s="630" cm="1">
        <f t="array" aca="1" ref="S12" ca="1">INDIRECT("'※ 재무_세부시트'!"&amp;S$1&amp;$V12, TRUE)</f>
        <v>758.76916467000001</v>
      </c>
      <c r="T12" s="631" cm="1">
        <f t="array" aca="1" ref="T12" ca="1">INDIRECT("'※ 재무_세부시트'!"&amp;T$1&amp;$V12, TRUE)</f>
        <v>0</v>
      </c>
      <c r="U12" s="632" cm="1">
        <f t="array" aca="1" ref="U12" ca="1">INDIRECT("'※ 재무_세부시트'!"&amp;U$1&amp;$V12, TRUE)</f>
        <v>-275.53637178000008</v>
      </c>
      <c r="V12" s="581">
        <v>11</v>
      </c>
      <c r="W12" s="581"/>
      <c r="X12" s="591"/>
      <c r="Y12" s="592"/>
      <c r="Z12" s="583"/>
      <c r="AA12" s="583"/>
      <c r="AB12" s="583"/>
      <c r="AC12" s="583"/>
      <c r="AD12" s="583"/>
      <c r="AE12" s="583"/>
    </row>
    <row r="13" spans="1:31" ht="19.5" customHeight="1" x14ac:dyDescent="0.55000000000000004">
      <c r="A13" s="593"/>
      <c r="B13" s="624" t="s">
        <v>1090</v>
      </c>
      <c r="C13" s="625"/>
      <c r="D13" s="556"/>
      <c r="E13" s="556"/>
      <c r="F13" s="6710" cm="1">
        <f t="array" aca="1" ref="F13" ca="1">INDIRECT("'※ 재무_세부시트'!"&amp;F$1&amp;$V13, TRUE)</f>
        <v>2811.1944890699997</v>
      </c>
      <c r="G13" s="6822" cm="1">
        <f t="array" aca="1" ref="G13" ca="1">INDIRECT("'※ 재무_세부시트'!"&amp;G$1&amp;$V13, TRUE)</f>
        <v>178.49001250999999</v>
      </c>
      <c r="H13" s="6676" cm="1">
        <f t="array" aca="1" ref="H13" ca="1">INDIRECT("'※ 재무_세부시트'!"&amp;H$1&amp;$V13, TRUE)</f>
        <v>257.80661392000002</v>
      </c>
      <c r="I13" s="6676" cm="1">
        <f t="array" aca="1" ref="I13" ca="1">INDIRECT("'※ 재무_세부시트'!"&amp;I$1&amp;$V13, TRUE)</f>
        <v>199.29071245</v>
      </c>
      <c r="J13" s="6676" cm="1">
        <f t="array" aca="1" ref="J13" ca="1">INDIRECT("'※ 재무_세부시트'!"&amp;J$1&amp;$V13, TRUE)</f>
        <v>200.43265151</v>
      </c>
      <c r="K13" s="6676" cm="1">
        <f t="array" aca="1" ref="K13" ca="1">INDIRECT("'※ 재무_세부시트'!"&amp;K$1&amp;$V13, TRUE)</f>
        <v>228.45170005</v>
      </c>
      <c r="L13" s="6676" cm="1">
        <f t="array" aca="1" ref="L13" ca="1">INDIRECT("'※ 재무_세부시트'!"&amp;L$1&amp;$V13, TRUE)</f>
        <v>222.59469539000003</v>
      </c>
      <c r="M13" s="6770" cm="1">
        <f t="array" aca="1" ref="M13" ca="1">INDIRECT("'※ 재무_세부시트'!"&amp;M$1&amp;$V13, TRUE)</f>
        <v>465.38332637999997</v>
      </c>
      <c r="N13" s="6822" cm="1">
        <f t="array" aca="1" ref="N13" ca="1">INDIRECT("'※ 재무_세부시트'!"&amp;N$1&amp;$V13, TRUE)</f>
        <v>264.33192644000002</v>
      </c>
      <c r="O13" s="6676" cm="1">
        <f t="array" aca="1" ref="O13" ca="1">INDIRECT("'※ 재무_세부시트'!"&amp;O$1&amp;$V13, TRUE)</f>
        <v>201.05139993999998</v>
      </c>
      <c r="P13" s="6795" cm="1">
        <f t="array" aca="1" ref="P13" ca="1">INDIRECT("'※ 재무_세부시트'!"&amp;P$1&amp;$V13, TRUE)</f>
        <v>-63.280526500000036</v>
      </c>
      <c r="Q13" s="6795" cm="1">
        <f t="array" aca="1" ref="Q13" ca="1">INDIRECT("'※ 재무_세부시트'!"&amp;Q$1&amp;$V13, TRUE)</f>
        <v>-56.755213980000036</v>
      </c>
      <c r="R13" s="629" cm="1">
        <f t="array" aca="1" ref="R13" ca="1">INDIRECT("'※ 재무_세부시트'!"&amp;R$1&amp;$V13, TRUE)</f>
        <v>465.38332637999997</v>
      </c>
      <c r="S13" s="630" cm="1">
        <f t="array" aca="1" ref="S13" ca="1">INDIRECT("'※ 재무_세부시트'!"&amp;S$1&amp;$V13, TRUE)</f>
        <v>465.38332637999997</v>
      </c>
      <c r="T13" s="631" cm="1">
        <f t="array" aca="1" ref="T13" ca="1">INDIRECT("'※ 재무_세부시트'!"&amp;T$1&amp;$V13, TRUE)</f>
        <v>0</v>
      </c>
      <c r="U13" s="633" cm="1">
        <f t="array" aca="1" ref="U13" ca="1">INDIRECT("'※ 재무_세부시트'!"&amp;U$1&amp;$V13, TRUE)</f>
        <v>29.086699949999968</v>
      </c>
      <c r="V13" s="581">
        <v>12</v>
      </c>
      <c r="W13" s="581"/>
      <c r="X13" s="591"/>
      <c r="Y13" s="592"/>
      <c r="Z13" s="634"/>
      <c r="AA13" s="583"/>
      <c r="AB13" s="634">
        <f ca="1">SUM(G79:J79)/SUM(G13:J13,G50:J50)</f>
        <v>0.10223774145753071</v>
      </c>
      <c r="AC13" s="583"/>
      <c r="AD13" s="583"/>
      <c r="AE13" s="583"/>
    </row>
    <row r="14" spans="1:31" ht="25" customHeight="1" x14ac:dyDescent="0.55000000000000004">
      <c r="A14" s="593"/>
      <c r="B14" s="556"/>
      <c r="C14" s="635" t="s">
        <v>6</v>
      </c>
      <c r="D14" s="636"/>
      <c r="E14" s="636"/>
      <c r="F14" s="6711" cm="1">
        <f t="array" aca="1" ref="F14" ca="1">INDIRECT("'※ 재무_세부시트'!"&amp;F$1&amp;$V14, TRUE)</f>
        <v>1729.03210666</v>
      </c>
      <c r="G14" s="6823" cm="1">
        <f t="array" aca="1" ref="G14" ca="1">INDIRECT("'※ 재무_세부시트'!"&amp;G$1&amp;$V14, TRUE)</f>
        <v>95.784423849999996</v>
      </c>
      <c r="H14" s="6824" cm="1">
        <f t="array" aca="1" ref="H14" ca="1">INDIRECT("'※ 재무_세부시트'!"&amp;H$1&amp;$V14, TRUE)</f>
        <v>166.62481603999998</v>
      </c>
      <c r="I14" s="6824" cm="1">
        <f t="array" aca="1" ref="I14" ca="1">INDIRECT("'※ 재무_세부시트'!"&amp;I$1&amp;$V14, TRUE)</f>
        <v>110.26219452000001</v>
      </c>
      <c r="J14" s="6824" cm="1">
        <f t="array" aca="1" ref="J14" ca="1">INDIRECT("'※ 재무_세부시트'!"&amp;J$1&amp;$V14, TRUE)</f>
        <v>103.99977730000001</v>
      </c>
      <c r="K14" s="6824" cm="1">
        <f t="array" aca="1" ref="K14" ca="1">INDIRECT("'※ 재무_세부시트'!"&amp;K$1&amp;$V14, TRUE)</f>
        <v>141.27506871</v>
      </c>
      <c r="L14" s="6824" cm="1">
        <f t="array" aca="1" ref="L14" ca="1">INDIRECT("'※ 재무_세부시트'!"&amp;L$1&amp;$V14, TRUE)</f>
        <v>121.71603564</v>
      </c>
      <c r="M14" s="6771" cm="1">
        <f t="array" aca="1" ref="M14" ca="1">INDIRECT("'※ 재무_세부시트'!"&amp;M$1&amp;$V14, TRUE)</f>
        <v>291.61495652999997</v>
      </c>
      <c r="N14" s="6823" cm="1">
        <f t="array" aca="1" ref="N14" ca="1">INDIRECT("'※ 재무_세부시트'!"&amp;N$1&amp;$V14, TRUE)</f>
        <v>177.21646773000001</v>
      </c>
      <c r="O14" s="6824" cm="1">
        <f t="array" aca="1" ref="O14" ca="1">INDIRECT("'※ 재무_세부시트'!"&amp;O$1&amp;$V14, TRUE)</f>
        <v>114.3984888</v>
      </c>
      <c r="P14" s="6796" cm="1">
        <f t="array" aca="1" ref="P14" ca="1">INDIRECT("'※ 재무_세부시트'!"&amp;P$1&amp;$V14, TRUE)</f>
        <v>-62.81797893000001</v>
      </c>
      <c r="Q14" s="6796" cm="1">
        <f t="array" aca="1" ref="Q14" ca="1">INDIRECT("'※ 재무_세부시트'!"&amp;Q$1&amp;$V14, TRUE)</f>
        <v>-52.226327239999989</v>
      </c>
      <c r="R14" s="638" cm="1">
        <f t="array" aca="1" ref="R14" ca="1">INDIRECT("'※ 재무_세부시트'!"&amp;R$1&amp;$V14, TRUE)</f>
        <v>291.61495652999997</v>
      </c>
      <c r="S14" s="637" cm="1">
        <f t="array" aca="1" ref="S14" ca="1">INDIRECT("'※ 재무_세부시트'!"&amp;S$1&amp;$V14, TRUE)</f>
        <v>291.61495652999997</v>
      </c>
      <c r="T14" s="639" cm="1">
        <f t="array" aca="1" ref="T14" ca="1">INDIRECT("'※ 재무_세부시트'!"&amp;T$1&amp;$V14, TRUE)</f>
        <v>0</v>
      </c>
      <c r="U14" s="640" cm="1">
        <f t="array" aca="1" ref="U14" ca="1">INDIRECT("'※ 재무_세부시트'!"&amp;U$1&amp;$V14, TRUE)</f>
        <v>29.205716639999991</v>
      </c>
      <c r="V14" s="581">
        <v>13</v>
      </c>
      <c r="W14" s="581"/>
      <c r="X14" s="591"/>
      <c r="Y14" s="592"/>
      <c r="Z14" s="583"/>
      <c r="AA14" s="583"/>
      <c r="AB14" s="583"/>
      <c r="AC14" s="583"/>
      <c r="AD14" s="583"/>
      <c r="AE14" s="583"/>
    </row>
    <row r="15" spans="1:31" ht="19.5" customHeight="1" x14ac:dyDescent="0.55000000000000004">
      <c r="A15" s="593"/>
      <c r="B15" s="556"/>
      <c r="C15" s="641" t="s">
        <v>708</v>
      </c>
      <c r="D15" s="642" t="s">
        <v>100</v>
      </c>
      <c r="E15" s="641" t="s">
        <v>113</v>
      </c>
      <c r="F15" s="6710" cm="1">
        <f t="array" aca="1" ref="F15" ca="1">INDIRECT("'※ 재무_세부시트'!"&amp;F$1&amp;$V15, TRUE)</f>
        <v>1588.96489516</v>
      </c>
      <c r="G15" s="6822" cm="1">
        <f t="array" aca="1" ref="G15" ca="1">INDIRECT("'※ 재무_세부시트'!"&amp;G$1&amp;$V15, TRUE)</f>
        <v>90.128599940000001</v>
      </c>
      <c r="H15" s="6676" cm="1">
        <f t="array" aca="1" ref="H15" ca="1">INDIRECT("'※ 재무_세부시트'!"&amp;H$1&amp;$V15, TRUE)</f>
        <v>143.86297662999999</v>
      </c>
      <c r="I15" s="6676" cm="1">
        <f t="array" aca="1" ref="I15" ca="1">INDIRECT("'※ 재무_세부시트'!"&amp;I$1&amp;$V15, TRUE)</f>
        <v>101.90001775</v>
      </c>
      <c r="J15" s="6676" cm="1">
        <f t="array" aca="1" ref="J15" ca="1">INDIRECT("'※ 재무_세부시트'!"&amp;J$1&amp;$V15, TRUE)</f>
        <v>94.597901870000001</v>
      </c>
      <c r="K15" s="6676" cm="1">
        <f t="array" aca="1" ref="K15" ca="1">INDIRECT("'※ 재무_세부시트'!"&amp;K$1&amp;$V15, TRUE)</f>
        <v>123.08660382000001</v>
      </c>
      <c r="L15" s="6676" cm="1">
        <f t="array" aca="1" ref="L15" ca="1">INDIRECT("'※ 재무_세부시트'!"&amp;L$1&amp;$V15, TRUE)</f>
        <v>121.90912466</v>
      </c>
      <c r="M15" s="6770" cm="1">
        <f t="array" aca="1" ref="M15" ca="1">INDIRECT("'※ 재무_세부시트'!"&amp;M$1&amp;$V15, TRUE)</f>
        <v>256.70963348999999</v>
      </c>
      <c r="N15" s="6822" cm="1">
        <f t="array" aca="1" ref="N15" ca="1">INDIRECT("'※ 재무_세부시트'!"&amp;N$1&amp;$V15, TRUE)</f>
        <v>158.60710329</v>
      </c>
      <c r="O15" s="6676" cm="1">
        <f t="array" aca="1" ref="O15" ca="1">INDIRECT("'※ 재무_세부시트'!"&amp;O$1&amp;$V15, TRUE)</f>
        <v>98.10253019999999</v>
      </c>
      <c r="P15" s="6795" cm="1">
        <f t="array" aca="1" ref="P15" ca="1">INDIRECT("'※ 재무_세부시트'!"&amp;P$1&amp;$V15, TRUE)</f>
        <v>-60.504573090000008</v>
      </c>
      <c r="Q15" s="6795" cm="1">
        <f t="array" aca="1" ref="Q15" ca="1">INDIRECT("'※ 재무_세부시트'!"&amp;Q$1&amp;$V15, TRUE)</f>
        <v>-45.760446430000002</v>
      </c>
      <c r="R15" s="629" cm="1">
        <f t="array" aca="1" ref="R15" ca="1">INDIRECT("'※ 재무_세부시트'!"&amp;R$1&amp;$V15, TRUE)</f>
        <v>256.70963348999999</v>
      </c>
      <c r="S15" s="630" cm="1">
        <f t="array" aca="1" ref="S15" ca="1">INDIRECT("'※ 재무_세부시트'!"&amp;S$1&amp;$V15, TRUE)</f>
        <v>256.70963348999999</v>
      </c>
      <c r="T15" s="631" cm="1">
        <f t="array" aca="1" ref="T15" ca="1">INDIRECT("'※ 재무_세부시트'!"&amp;T$1&amp;$V15, TRUE)</f>
        <v>0</v>
      </c>
      <c r="U15" s="633" cm="1">
        <f t="array" aca="1" ref="U15" ca="1">INDIRECT("'※ 재무_세부시트'!"&amp;U$1&amp;$V15, TRUE)</f>
        <v>22.718056919999981</v>
      </c>
      <c r="V15" s="581">
        <v>14</v>
      </c>
      <c r="W15" s="581"/>
      <c r="X15" s="591"/>
      <c r="Y15" s="592"/>
      <c r="Z15" s="583"/>
      <c r="AA15" s="583"/>
      <c r="AB15" s="583"/>
      <c r="AC15" s="583"/>
      <c r="AD15" s="583"/>
      <c r="AE15" s="583"/>
    </row>
    <row r="16" spans="1:31" ht="19.5" customHeight="1" x14ac:dyDescent="0.55000000000000004">
      <c r="A16" s="593"/>
      <c r="B16" s="556"/>
      <c r="C16" s="644"/>
      <c r="D16" s="642" t="s">
        <v>101</v>
      </c>
      <c r="E16" s="641" t="s">
        <v>114</v>
      </c>
      <c r="F16" s="6710" cm="1">
        <f t="array" aca="1" ref="F16" ca="1">INDIRECT("'※ 재무_세부시트'!"&amp;F$1&amp;$V16, TRUE)</f>
        <v>140.06721150000001</v>
      </c>
      <c r="G16" s="6822" cm="1">
        <f t="array" aca="1" ref="G16" ca="1">INDIRECT("'※ 재무_세부시트'!"&amp;G$1&amp;$V16, TRUE)</f>
        <v>5.6558239100000005</v>
      </c>
      <c r="H16" s="6676" cm="1">
        <f t="array" aca="1" ref="H16" ca="1">INDIRECT("'※ 재무_세부시트'!"&amp;H$1&amp;$V16, TRUE)</f>
        <v>22.761839409999997</v>
      </c>
      <c r="I16" s="6676" cm="1">
        <f t="array" aca="1" ref="I16" ca="1">INDIRECT("'※ 재무_세부시트'!"&amp;I$1&amp;$V16, TRUE)</f>
        <v>8.3621767699999996</v>
      </c>
      <c r="J16" s="6676" cm="1">
        <f t="array" aca="1" ref="J16" ca="1">INDIRECT("'※ 재무_세부시트'!"&amp;J$1&amp;$V16, TRUE)</f>
        <v>9.4018754300000005</v>
      </c>
      <c r="K16" s="6676" cm="1">
        <f t="array" aca="1" ref="K16" ca="1">INDIRECT("'※ 재무_세부시트'!"&amp;K$1&amp;$V16, TRUE)</f>
        <v>18.188464889999999</v>
      </c>
      <c r="L16" s="6676" cm="1">
        <f t="array" aca="1" ref="L16" ca="1">INDIRECT("'※ 재무_세부시트'!"&amp;L$1&amp;$V16, TRUE)</f>
        <v>-0.19308901999999861</v>
      </c>
      <c r="M16" s="6770" cm="1">
        <f t="array" aca="1" ref="M16" ca="1">INDIRECT("'※ 재무_세부시트'!"&amp;M$1&amp;$V16, TRUE)</f>
        <v>34.905323039999999</v>
      </c>
      <c r="N16" s="6822" cm="1">
        <f t="array" aca="1" ref="N16" ca="1">INDIRECT("'※ 재무_세부시트'!"&amp;N$1&amp;$V16, TRUE)</f>
        <v>18.60936444</v>
      </c>
      <c r="O16" s="6676" cm="1">
        <f t="array" aca="1" ref="O16" ca="1">INDIRECT("'※ 재무_세부시트'!"&amp;O$1&amp;$V16, TRUE)</f>
        <v>16.295958599999999</v>
      </c>
      <c r="P16" s="6795" cm="1">
        <f t="array" aca="1" ref="P16" ca="1">INDIRECT("'※ 재무_세부시트'!"&amp;P$1&amp;$V16, TRUE)</f>
        <v>-2.3134058400000015</v>
      </c>
      <c r="Q16" s="6795" cm="1">
        <f t="array" aca="1" ref="Q16" ca="1">INDIRECT("'※ 재무_세부시트'!"&amp;Q$1&amp;$V16, TRUE)</f>
        <v>-6.465880809999998</v>
      </c>
      <c r="R16" s="629" cm="1">
        <f t="array" aca="1" ref="R16" ca="1">INDIRECT("'※ 재무_세부시트'!"&amp;R$1&amp;$V16, TRUE)</f>
        <v>34.905323039999999</v>
      </c>
      <c r="S16" s="630" cm="1">
        <f t="array" aca="1" ref="S16" ca="1">INDIRECT("'※ 재무_세부시트'!"&amp;S$1&amp;$V16, TRUE)</f>
        <v>34.905323039999999</v>
      </c>
      <c r="T16" s="631" cm="1">
        <f t="array" aca="1" ref="T16" ca="1">INDIRECT("'※ 재무_세부시트'!"&amp;T$1&amp;$V16, TRUE)</f>
        <v>0</v>
      </c>
      <c r="U16" s="645" cm="1">
        <f t="array" aca="1" ref="U16" ca="1">INDIRECT("'※ 재무_세부시트'!"&amp;U$1&amp;$V16, TRUE)</f>
        <v>6.4876597200000035</v>
      </c>
      <c r="V16" s="581">
        <v>15</v>
      </c>
      <c r="W16" s="581"/>
      <c r="X16" s="591"/>
      <c r="Y16" s="592"/>
      <c r="Z16" s="583"/>
      <c r="AA16" s="583"/>
      <c r="AB16" s="583"/>
      <c r="AC16" s="583"/>
      <c r="AD16" s="583"/>
      <c r="AE16" s="583"/>
    </row>
    <row r="17" spans="1:31" ht="19.5" customHeight="1" x14ac:dyDescent="0.55000000000000004">
      <c r="A17" s="593"/>
      <c r="B17" s="556"/>
      <c r="C17" s="646" t="s">
        <v>709</v>
      </c>
      <c r="D17" s="647" t="s">
        <v>19</v>
      </c>
      <c r="E17" s="648"/>
      <c r="F17" s="6712" cm="1">
        <f t="array" aca="1" ref="F17" ca="1">INDIRECT("'※ 재무_세부시트'!"&amp;F$1&amp;$V17, TRUE)</f>
        <v>1174.2223903677113</v>
      </c>
      <c r="G17" s="6825" cm="1">
        <f t="array" aca="1" ref="G17" ca="1">INDIRECT("'※ 재무_세부시트'!"&amp;G$1&amp;$V17, TRUE)</f>
        <v>49.550632411397068</v>
      </c>
      <c r="H17" s="6826" cm="1">
        <f t="array" aca="1" ref="H17" ca="1">INDIRECT("'※ 재무_세부시트'!"&amp;H$1&amp;$V17, TRUE)</f>
        <v>135.13312066999998</v>
      </c>
      <c r="I17" s="6826" cm="1">
        <f t="array" aca="1" ref="I17" ca="1">INDIRECT("'※ 재무_세부시트'!"&amp;I$1&amp;$V17, TRUE)</f>
        <v>97.077539061742797</v>
      </c>
      <c r="J17" s="6826" cm="1">
        <f t="array" aca="1" ref="J17" ca="1">INDIRECT("'※ 재무_세부시트'!"&amp;J$1&amp;$V17, TRUE)</f>
        <v>93.319227909999995</v>
      </c>
      <c r="K17" s="6826" cm="1">
        <f t="array" aca="1" ref="K17" ca="1">INDIRECT("'※ 재무_세부시트'!"&amp;K$1&amp;$V17, TRUE)</f>
        <v>120.71903759999999</v>
      </c>
      <c r="L17" s="6826" cm="1">
        <f t="array" aca="1" ref="L17" ca="1">INDIRECT("'※ 재무_세부시트'!"&amp;L$1&amp;$V17, TRUE)</f>
        <v>87.744516999999988</v>
      </c>
      <c r="M17" s="6772" cm="1">
        <f t="array" aca="1" ref="M17" ca="1">INDIRECT("'※ 재무_세부시트'!"&amp;M$1&amp;$V17, TRUE)</f>
        <v>149.36539776000001</v>
      </c>
      <c r="N17" s="6825" cm="1">
        <f t="array" aca="1" ref="N17" ca="1">INDIRECT("'※ 재무_세부시트'!"&amp;N$1&amp;$V17, TRUE)</f>
        <v>89.842143429999993</v>
      </c>
      <c r="O17" s="6826" cm="1">
        <f t="array" aca="1" ref="O17" ca="1">INDIRECT("'※ 재무_세부시트'!"&amp;O$1&amp;$V17, TRUE)</f>
        <v>59.52325433</v>
      </c>
      <c r="P17" s="6797" cm="1">
        <f t="array" aca="1" ref="P17" ca="1">INDIRECT("'※ 재무_세부시트'!"&amp;P$1&amp;$V17, TRUE)</f>
        <v>-30.318889099999993</v>
      </c>
      <c r="Q17" s="6797" cm="1">
        <f t="array" aca="1" ref="Q17" ca="1">INDIRECT("'※ 재무_세부시트'!"&amp;Q$1&amp;$V17, TRUE)</f>
        <v>-75.609866339999982</v>
      </c>
      <c r="R17" s="649" cm="1">
        <f t="array" aca="1" ref="R17" ca="1">INDIRECT("'※ 재무_세부시트'!"&amp;R$1&amp;$V17, TRUE)</f>
        <v>149.36539776000001</v>
      </c>
      <c r="S17" s="650"/>
      <c r="T17" s="651"/>
      <c r="U17" s="652" cm="1">
        <f t="array" aca="1" ref="U17" ca="1">INDIRECT("'※ 재무_세부시트'!"&amp;U$1&amp;$V17, TRUE)</f>
        <v>-35.318355321397036</v>
      </c>
      <c r="V17" s="581">
        <v>16</v>
      </c>
      <c r="W17" s="581"/>
      <c r="X17" s="591"/>
      <c r="Y17" s="592"/>
      <c r="Z17" s="583"/>
      <c r="AA17" s="583"/>
      <c r="AB17" s="583"/>
      <c r="AC17" s="583"/>
      <c r="AD17" s="583"/>
      <c r="AE17" s="583"/>
    </row>
    <row r="18" spans="1:31" ht="19.5" customHeight="1" x14ac:dyDescent="0.55000000000000004">
      <c r="A18" s="593"/>
      <c r="B18" s="556"/>
      <c r="C18" s="653"/>
      <c r="D18" s="642" t="s">
        <v>20</v>
      </c>
      <c r="E18" s="556"/>
      <c r="F18" s="6710" cm="1">
        <f t="array" aca="1" ref="F18" ca="1">INDIRECT("'※ 재무_세부시트'!"&amp;F$1&amp;$V18, TRUE)</f>
        <v>14.562839692288454</v>
      </c>
      <c r="G18" s="6822" cm="1">
        <f t="array" aca="1" ref="G18" ca="1">INDIRECT("'※ 재무_세부시트'!"&amp;G$1&amp;$V18, TRUE)</f>
        <v>1.8922512386029322</v>
      </c>
      <c r="H18" s="6676" cm="1">
        <f t="array" aca="1" ref="H18" ca="1">INDIRECT("'※ 재무_세부시트'!"&amp;H$1&amp;$V18, TRUE)</f>
        <v>2.4818941900000002</v>
      </c>
      <c r="I18" s="6676" cm="1">
        <f t="array" aca="1" ref="I18" ca="1">INDIRECT("'※ 재무_세부시트'!"&amp;I$1&amp;$V18, TRUE)</f>
        <v>0.70588277825719248</v>
      </c>
      <c r="J18" s="6676" cm="1">
        <f t="array" aca="1" ref="J18" ca="1">INDIRECT("'※ 재무_세부시트'!"&amp;J$1&amp;$V18, TRUE)</f>
        <v>3.8676703799999999</v>
      </c>
      <c r="K18" s="6676" cm="1">
        <f t="array" aca="1" ref="K18" ca="1">INDIRECT("'※ 재무_세부시트'!"&amp;K$1&amp;$V18, TRUE)</f>
        <v>0.20809046</v>
      </c>
      <c r="L18" s="6676" cm="1">
        <f t="array" aca="1" ref="L18" ca="1">INDIRECT("'※ 재무_세부시트'!"&amp;L$1&amp;$V18, TRUE)</f>
        <v>0.95145148999999996</v>
      </c>
      <c r="M18" s="6770" cm="1">
        <f t="array" aca="1" ref="M18" ca="1">INDIRECT("'※ 재무_세부시트'!"&amp;M$1&amp;$V18, TRUE)</f>
        <v>2.05523049</v>
      </c>
      <c r="N18" s="6822" cm="1">
        <f t="array" aca="1" ref="N18" ca="1">INDIRECT("'※ 재무_세부시트'!"&amp;N$1&amp;$V18, TRUE)</f>
        <v>1.16736518</v>
      </c>
      <c r="O18" s="6676" cm="1">
        <f t="array" aca="1" ref="O18" ca="1">INDIRECT("'※ 재무_세부시트'!"&amp;O$1&amp;$V18, TRUE)</f>
        <v>0.88786531000000002</v>
      </c>
      <c r="P18" s="6795" cm="1">
        <f t="array" aca="1" ref="P18" ca="1">INDIRECT("'※ 재무_세부시트'!"&amp;P$1&amp;$V18, TRUE)</f>
        <v>-0.27949986999999998</v>
      </c>
      <c r="Q18" s="6795" cm="1">
        <f t="array" aca="1" ref="Q18" ca="1">INDIRECT("'※ 재무_세부시트'!"&amp;Q$1&amp;$V18, TRUE)</f>
        <v>-1.5940288800000002</v>
      </c>
      <c r="R18" s="629" cm="1">
        <f t="array" aca="1" ref="R18" ca="1">INDIRECT("'※ 재무_세부시트'!"&amp;R$1&amp;$V18, TRUE)</f>
        <v>2.05523049</v>
      </c>
      <c r="S18" s="654"/>
      <c r="T18" s="655"/>
      <c r="U18" s="633" cm="1">
        <f t="array" aca="1" ref="U18" ca="1">INDIRECT("'※ 재무_세부시트'!"&amp;U$1&amp;$V18, TRUE)</f>
        <v>-2.3189149386029322</v>
      </c>
      <c r="V18" s="581">
        <v>17</v>
      </c>
      <c r="W18" s="581"/>
      <c r="X18" s="591"/>
      <c r="Y18" s="592"/>
      <c r="Z18" s="583"/>
      <c r="AA18" s="583"/>
      <c r="AB18" s="583"/>
      <c r="AC18" s="583"/>
      <c r="AD18" s="583"/>
      <c r="AE18" s="583"/>
    </row>
    <row r="19" spans="1:31" ht="19.5" customHeight="1" x14ac:dyDescent="0.55000000000000004">
      <c r="A19" s="593"/>
      <c r="B19" s="556"/>
      <c r="C19" s="653"/>
      <c r="D19" s="642" t="s">
        <v>875</v>
      </c>
      <c r="E19" s="556"/>
      <c r="F19" s="6710" cm="1">
        <f t="array" aca="1" ref="F19" ca="1">INDIRECT("'※ 재무_세부시트'!"&amp;F$1&amp;$V19, TRUE)</f>
        <v>364.05739936000003</v>
      </c>
      <c r="G19" s="6822" cm="1">
        <f t="array" aca="1" ref="G19" ca="1">INDIRECT("'※ 재무_세부시트'!"&amp;G$1&amp;$V19, TRUE)</f>
        <v>24.539149869999999</v>
      </c>
      <c r="H19" s="6676" cm="1">
        <f t="array" aca="1" ref="H19" ca="1">INDIRECT("'※ 재무_세부시트'!"&amp;H$1&amp;$V19, TRUE)</f>
        <v>24.976993330000003</v>
      </c>
      <c r="I19" s="6676" cm="1">
        <f t="array" aca="1" ref="I19" ca="1">INDIRECT("'※ 재무_세부시트'!"&amp;I$1&amp;$V19, TRUE)</f>
        <v>8.5582727800000029</v>
      </c>
      <c r="J19" s="6676" cm="1">
        <f t="array" aca="1" ref="J19" ca="1">INDIRECT("'※ 재무_세부시트'!"&amp;J$1&amp;$V19, TRUE)</f>
        <v>10.23685229</v>
      </c>
      <c r="K19" s="6676" cm="1">
        <f t="array" aca="1" ref="K19" ca="1">INDIRECT("'※ 재무_세부시트'!"&amp;K$1&amp;$V19, TRUE)</f>
        <v>13.66836558</v>
      </c>
      <c r="L19" s="6676" cm="1">
        <f t="array" aca="1" ref="L19" ca="1">INDIRECT("'※ 재무_세부시트'!"&amp;L$1&amp;$V19, TRUE)</f>
        <v>22.24111684</v>
      </c>
      <c r="M19" s="6770" cm="1">
        <f t="array" aca="1" ref="M19" ca="1">INDIRECT("'※ 재무_세부시트'!"&amp;M$1&amp;$V19, TRUE)</f>
        <v>87.604155149999997</v>
      </c>
      <c r="N19" s="6822" cm="1">
        <f t="array" aca="1" ref="N19" ca="1">INDIRECT("'※ 재무_세부시트'!"&amp;N$1&amp;$V19, TRUE)</f>
        <v>53.249711380000001</v>
      </c>
      <c r="O19" s="6676" cm="1">
        <f t="array" aca="1" ref="O19" ca="1">INDIRECT("'※ 재무_세부시트'!"&amp;O$1&amp;$V19, TRUE)</f>
        <v>34.354443770000003</v>
      </c>
      <c r="P19" s="6795" cm="1">
        <f t="array" aca="1" ref="P19" ca="1">INDIRECT("'※ 재무_세부시트'!"&amp;P$1&amp;$V19, TRUE)</f>
        <v>-18.895267609999998</v>
      </c>
      <c r="Q19" s="6795" cm="1">
        <f t="array" aca="1" ref="Q19" ca="1">INDIRECT("'※ 재무_세부시트'!"&amp;Q$1&amp;$V19, TRUE)</f>
        <v>9.3774504400000005</v>
      </c>
      <c r="R19" s="629" cm="1">
        <f t="array" aca="1" ref="R19" ca="1">INDIRECT("'※ 재무_세부시트'!"&amp;R$1&amp;$V19, TRUE)</f>
        <v>87.604155149999997</v>
      </c>
      <c r="S19" s="654"/>
      <c r="T19" s="655"/>
      <c r="U19" s="633" cm="1">
        <f t="array" aca="1" ref="U19" ca="1">INDIRECT("'※ 재무_세부시트'!"&amp;U$1&amp;$V19, TRUE)</f>
        <v>38.088011949999995</v>
      </c>
      <c r="V19" s="581">
        <v>18</v>
      </c>
      <c r="W19" s="581"/>
      <c r="X19" s="591"/>
      <c r="Y19" s="592"/>
      <c r="Z19" s="583"/>
      <c r="AA19" s="583"/>
      <c r="AB19" s="583"/>
      <c r="AC19" s="583"/>
      <c r="AD19" s="583"/>
      <c r="AE19" s="583"/>
    </row>
    <row r="20" spans="1:31" ht="19.5" customHeight="1" x14ac:dyDescent="0.55000000000000004">
      <c r="A20" s="593"/>
      <c r="B20" s="556"/>
      <c r="C20" s="656" t="s">
        <v>1036</v>
      </c>
      <c r="D20" s="642" t="s">
        <v>66</v>
      </c>
      <c r="E20" s="657" t="s">
        <v>1091</v>
      </c>
      <c r="F20" s="6710" cm="1">
        <f t="array" aca="1" ref="F20" ca="1">INDIRECT("'※ 재무_세부시트'!"&amp;F$1&amp;$V20, TRUE)</f>
        <v>394.21894450999997</v>
      </c>
      <c r="G20" s="6822" cm="1">
        <f t="array" aca="1" ref="G20" ca="1">INDIRECT("'※ 재무_세부시트'!"&amp;G$1&amp;$V20, TRUE)</f>
        <v>18.417865639999999</v>
      </c>
      <c r="H20" s="6676" cm="1">
        <f t="array" aca="1" ref="H20" ca="1">INDIRECT("'※ 재무_세부시트'!"&amp;H$1&amp;$V20, TRUE)</f>
        <v>28.322452739999999</v>
      </c>
      <c r="I20" s="6676" cm="1">
        <f t="array" aca="1" ref="I20" ca="1">INDIRECT("'※ 재무_세부시트'!"&amp;I$1&amp;$V20, TRUE)</f>
        <v>23.072599889999999</v>
      </c>
      <c r="J20" s="6676" cm="1">
        <f t="array" aca="1" ref="J20" ca="1">INDIRECT("'※ 재무_세부시트'!"&amp;J$1&amp;$V20, TRUE)</f>
        <v>21.997285290000001</v>
      </c>
      <c r="K20" s="6676" cm="1">
        <f t="array" aca="1" ref="K20" ca="1">INDIRECT("'※ 재무_세부시트'!"&amp;K$1&amp;$V20, TRUE)</f>
        <v>29.546987189999999</v>
      </c>
      <c r="L20" s="6676" cm="1">
        <f t="array" aca="1" ref="L20" ca="1">INDIRECT("'※ 재무_세부시트'!"&amp;L$1&amp;$V20, TRUE)</f>
        <v>48.038093379999999</v>
      </c>
      <c r="M20" s="6770" cm="1">
        <f t="array" aca="1" ref="M20" ca="1">INDIRECT("'※ 재무_세부시트'!"&amp;M$1&amp;$V20, TRUE)</f>
        <v>70.375772859999998</v>
      </c>
      <c r="N20" s="6822" cm="1">
        <f t="array" aca="1" ref="N20" ca="1">INDIRECT("'※ 재무_세부시트'!"&amp;N$1&amp;$V20, TRUE)</f>
        <v>37.62606366</v>
      </c>
      <c r="O20" s="6676" cm="1">
        <f t="array" aca="1" ref="O20" ca="1">INDIRECT("'※ 재무_세부시트'!"&amp;O$1&amp;$V20, TRUE)</f>
        <v>32.749709199999998</v>
      </c>
      <c r="P20" s="6795" cm="1">
        <f t="array" aca="1" ref="P20" ca="1">INDIRECT("'※ 재무_세부시트'!"&amp;P$1&amp;$V20, TRUE)</f>
        <v>-4.8763544600000017</v>
      </c>
      <c r="Q20" s="6795" cm="1">
        <f t="array" aca="1" ref="Q20" ca="1">INDIRECT("'※ 재무_세부시트'!"&amp;Q$1&amp;$V20, TRUE)</f>
        <v>4.4272564599999988</v>
      </c>
      <c r="R20" s="629" cm="1">
        <f t="array" aca="1" ref="R20" ca="1">INDIRECT("'※ 재무_세부시트'!"&amp;R$1&amp;$V20, TRUE)</f>
        <v>70.375772859999998</v>
      </c>
      <c r="S20" s="654"/>
      <c r="T20" s="655"/>
      <c r="U20" s="633" cm="1">
        <f t="array" aca="1" ref="U20" ca="1">INDIRECT("'※ 재무_세부시트'!"&amp;U$1&amp;$V20, TRUE)</f>
        <v>23.63545448</v>
      </c>
      <c r="V20" s="581">
        <v>19</v>
      </c>
      <c r="W20" s="581"/>
      <c r="X20" s="591"/>
      <c r="Y20" s="592"/>
      <c r="Z20" s="583"/>
      <c r="AA20" s="583"/>
      <c r="AB20" s="583"/>
      <c r="AC20" s="583"/>
      <c r="AD20" s="583"/>
      <c r="AE20" s="583"/>
    </row>
    <row r="21" spans="1:31" ht="19.5" hidden="1" customHeight="1" x14ac:dyDescent="0.55000000000000004">
      <c r="A21" s="593"/>
      <c r="B21" s="556"/>
      <c r="C21" s="653"/>
      <c r="D21" s="642" t="s">
        <v>700</v>
      </c>
      <c r="E21" s="556"/>
      <c r="F21" s="6710" cm="1">
        <f t="array" aca="1" ref="F21" ca="1">INDIRECT("'※ 재무_세부시트'!"&amp;F$1&amp;$V21, TRUE)</f>
        <v>-218.02946727000003</v>
      </c>
      <c r="G21" s="6822" cm="1">
        <f t="array" aca="1" ref="G21" ca="1">INDIRECT("'※ 재무_세부시트'!"&amp;G$1&amp;$V21, TRUE)</f>
        <v>1.3845246899999992</v>
      </c>
      <c r="H21" s="6676" cm="1">
        <f t="array" aca="1" ref="H21" ca="1">INDIRECT("'※ 재무_세부시트'!"&amp;H$1&amp;$V21, TRUE)</f>
        <v>-24.289644889999998</v>
      </c>
      <c r="I21" s="6676" cm="1">
        <f t="array" aca="1" ref="I21" ca="1">INDIRECT("'※ 재무_세부시트'!"&amp;I$1&amp;$V21, TRUE)</f>
        <v>-19.152099989999982</v>
      </c>
      <c r="J21" s="6676" cm="1">
        <f t="array" aca="1" ref="J21" ca="1">INDIRECT("'※ 재무_세부시트'!"&amp;J$1&amp;$V21, TRUE)</f>
        <v>-25.421258569999992</v>
      </c>
      <c r="K21" s="6676" cm="1">
        <f t="array" aca="1" ref="K21" ca="1">INDIRECT("'※ 재무_세부시트'!"&amp;K$1&amp;$V21, TRUE)</f>
        <v>-22.867412119999994</v>
      </c>
      <c r="L21" s="6676" cm="1">
        <f t="array" aca="1" ref="L21" ca="1">INDIRECT("'※ 재무_세부시트'!"&amp;L$1&amp;$V21, TRUE)</f>
        <v>-37.259143069999979</v>
      </c>
      <c r="M21" s="6770" cm="1">
        <f t="array" aca="1" ref="M21" ca="1">INDIRECT("'※ 재무_세부시트'!"&amp;M$1&amp;$V21, TRUE)</f>
        <v>-17.785599730000001</v>
      </c>
      <c r="N21" s="6822" cm="1">
        <f t="array" aca="1" ref="N21" ca="1">INDIRECT("'※ 재무_세부시트'!"&amp;N$1&amp;$V21, TRUE)</f>
        <v>-4.668815919999993</v>
      </c>
      <c r="O21" s="6676" cm="1">
        <f t="array" aca="1" ref="O21" ca="1">INDIRECT("'※ 재무_세부시트'!"&amp;O$1&amp;$V21, TRUE)</f>
        <v>-13.116783810000008</v>
      </c>
      <c r="P21" s="6795" cm="1">
        <f t="array" aca="1" ref="P21" ca="1">INDIRECT("'※ 재무_세부시트'!"&amp;P$1&amp;$V21, TRUE)</f>
        <v>-8.4479678900000152</v>
      </c>
      <c r="Q21" s="6795" cm="1">
        <f t="array" aca="1" ref="Q21" ca="1">INDIRECT("'※ 재무_세부시트'!"&amp;Q$1&amp;$V21, TRUE)</f>
        <v>11.17286107999999</v>
      </c>
      <c r="R21" s="629" cm="1">
        <f t="array" aca="1" ref="R21" ca="1">INDIRECT("'※ 재무_세부시트'!"&amp;R$1&amp;$V21, TRUE)</f>
        <v>-17.785599730000001</v>
      </c>
      <c r="S21" s="654"/>
      <c r="T21" s="655"/>
      <c r="U21" s="633" cm="1">
        <f t="array" aca="1" ref="U21" ca="1">INDIRECT("'※ 재무_세부시트'!"&amp;U$1&amp;$V21, TRUE)</f>
        <v>5.1195204699999977</v>
      </c>
      <c r="V21" s="581">
        <v>20</v>
      </c>
      <c r="W21" s="581"/>
      <c r="X21" s="591"/>
      <c r="Y21" s="592"/>
      <c r="Z21" s="583"/>
      <c r="AA21" s="583"/>
      <c r="AB21" s="583"/>
      <c r="AC21" s="583"/>
      <c r="AD21" s="583"/>
      <c r="AE21" s="583"/>
    </row>
    <row r="22" spans="1:31" ht="25" customHeight="1" x14ac:dyDescent="0.55000000000000004">
      <c r="A22" s="593"/>
      <c r="B22" s="661"/>
      <c r="C22" s="662" t="s">
        <v>0</v>
      </c>
      <c r="D22" s="663"/>
      <c r="E22" s="636"/>
      <c r="F22" s="6711" cm="1">
        <f t="array" aca="1" ref="F22" ca="1">INDIRECT("'※ 재무_세부시트'!"&amp;F$1&amp;$V22, TRUE)</f>
        <v>615.64254754000001</v>
      </c>
      <c r="G22" s="6823" cm="1">
        <f t="array" aca="1" ref="G22" ca="1">INDIRECT("'※ 재무_세부시트'!"&amp;G$1&amp;$V22, TRUE)</f>
        <v>49.926384159999998</v>
      </c>
      <c r="H22" s="6824" cm="1">
        <f t="array" aca="1" ref="H22" ca="1">INDIRECT("'※ 재무_세부시트'!"&amp;H$1&amp;$V22, TRUE)</f>
        <v>52.970257590000003</v>
      </c>
      <c r="I22" s="6824" cm="1">
        <f t="array" aca="1" ref="I22" ca="1">INDIRECT("'※ 재무_세부시트'!"&amp;I$1&amp;$V22, TRUE)</f>
        <v>49.264714550000001</v>
      </c>
      <c r="J22" s="6824" cm="1">
        <f t="array" aca="1" ref="J22" ca="1">INDIRECT("'※ 재무_세부시트'!"&amp;J$1&amp;$V22, TRUE)</f>
        <v>56.603339949999999</v>
      </c>
      <c r="K22" s="6824" cm="1">
        <f t="array" aca="1" ref="K22" ca="1">INDIRECT("'※ 재무_세부시트'!"&amp;K$1&amp;$V22, TRUE)</f>
        <v>46.224100550000003</v>
      </c>
      <c r="L22" s="6824" cm="1">
        <f t="array" aca="1" ref="L22" ca="1">INDIRECT("'※ 재무_세부시트'!"&amp;L$1&amp;$V22, TRUE)</f>
        <v>59.260521970000006</v>
      </c>
      <c r="M22" s="6771" cm="1">
        <f t="array" aca="1" ref="M22" ca="1">INDIRECT("'※ 재무_세부시트'!"&amp;M$1&amp;$V22, TRUE)</f>
        <v>98.84208658</v>
      </c>
      <c r="N22" s="6823" cm="1">
        <f t="array" aca="1" ref="N22" ca="1">INDIRECT("'※ 재무_세부시트'!"&amp;N$1&amp;$V22, TRUE)</f>
        <v>49.89606534</v>
      </c>
      <c r="O22" s="6824" cm="1">
        <f t="array" aca="1" ref="O22" ca="1">INDIRECT("'※ 재무_세부시트'!"&amp;O$1&amp;$V22, TRUE)</f>
        <v>48.94602124</v>
      </c>
      <c r="P22" s="6796" cm="1">
        <f t="array" aca="1" ref="P22" ca="1">INDIRECT("'※ 재무_세부시트'!"&amp;P$1&amp;$V22, TRUE)</f>
        <v>-0.9500440999999995</v>
      </c>
      <c r="Q22" s="6796" cm="1">
        <f t="array" aca="1" ref="Q22" ca="1">INDIRECT("'※ 재무_세부시트'!"&amp;Q$1&amp;$V22, TRUE)</f>
        <v>-4.0242363500000025</v>
      </c>
      <c r="R22" s="638" cm="1">
        <f t="array" aca="1" ref="R22" ca="1">INDIRECT("'※ 재무_세부시트'!"&amp;R$1&amp;$V22, TRUE)</f>
        <v>98.84208658</v>
      </c>
      <c r="S22" s="637" cm="1">
        <f t="array" aca="1" ref="S22" ca="1">INDIRECT("'※ 재무_세부시트'!"&amp;S$1&amp;$V22, TRUE)</f>
        <v>98.84208658</v>
      </c>
      <c r="T22" s="639" cm="1">
        <f t="array" aca="1" ref="T22" ca="1">INDIRECT("'※ 재무_세부시트'!"&amp;T$1&amp;$V22, TRUE)</f>
        <v>0</v>
      </c>
      <c r="U22" s="640" cm="1">
        <f t="array" aca="1" ref="U22" ca="1">INDIRECT("'※ 재무_세부시트'!"&amp;U$1&amp;$V22, TRUE)</f>
        <v>-4.0545551700000004</v>
      </c>
      <c r="V22" s="581">
        <v>21</v>
      </c>
      <c r="W22" s="581"/>
      <c r="X22" s="591"/>
      <c r="Y22" s="592"/>
      <c r="Z22" s="583"/>
      <c r="AA22" s="583"/>
      <c r="AB22" s="583"/>
      <c r="AC22" s="583"/>
      <c r="AD22" s="583"/>
      <c r="AE22" s="583"/>
    </row>
    <row r="23" spans="1:31" ht="19.5" customHeight="1" x14ac:dyDescent="0.55000000000000004">
      <c r="A23" s="593"/>
      <c r="B23" s="661"/>
      <c r="C23" s="653" t="s">
        <v>708</v>
      </c>
      <c r="D23" s="642" t="s">
        <v>100</v>
      </c>
      <c r="E23" s="556" t="s">
        <v>825</v>
      </c>
      <c r="F23" s="6710" cm="1">
        <f t="array" aca="1" ref="F23" ca="1">INDIRECT("'※ 재무_세부시트'!"&amp;F$1&amp;$V23, TRUE)</f>
        <v>456.77828369272726</v>
      </c>
      <c r="G23" s="6822" cm="1">
        <f t="array" aca="1" ref="G23" ca="1">INDIRECT("'※ 재무_세부시트'!"&amp;G$1&amp;$V23, TRUE)</f>
        <v>35.549796920909095</v>
      </c>
      <c r="H23" s="6676" cm="1">
        <f t="array" aca="1" ref="H23" ca="1">INDIRECT("'※ 재무_세부시트'!"&amp;H$1&amp;$V23, TRUE)</f>
        <v>38.023935420909098</v>
      </c>
      <c r="I23" s="6676" cm="1">
        <f t="array" aca="1" ref="I23" ca="1">INDIRECT("'※ 재무_세부시트'!"&amp;I$1&amp;$V23, TRUE)</f>
        <v>34.712851677272724</v>
      </c>
      <c r="J23" s="6676" cm="1">
        <f t="array" aca="1" ref="J23" ca="1">INDIRECT("'※ 재무_세부시트'!"&amp;J$1&amp;$V23, TRUE)</f>
        <v>42.59015751545455</v>
      </c>
      <c r="K23" s="6676" cm="1">
        <f t="array" aca="1" ref="K23" ca="1">INDIRECT("'※ 재무_세부시트'!"&amp;K$1&amp;$V23, TRUE)</f>
        <v>32.231391938181822</v>
      </c>
      <c r="L23" s="6676" cm="1">
        <f t="array" aca="1" ref="L23" ca="1">INDIRECT("'※ 재무_세부시트'!"&amp;L$1&amp;$V23, TRUE)</f>
        <v>45.135691693636367</v>
      </c>
      <c r="M23" s="6770" cm="1">
        <f t="array" aca="1" ref="M23" ca="1">INDIRECT("'※ 재무_세부시트'!"&amp;M$1&amp;$V23, TRUE)</f>
        <v>72.568051269090915</v>
      </c>
      <c r="N23" s="6822" cm="1">
        <f t="array" aca="1" ref="N23" ca="1">INDIRECT("'※ 재무_세부시트'!"&amp;N$1&amp;$V23, TRUE)</f>
        <v>36.605243588181821</v>
      </c>
      <c r="O23" s="6676" cm="1">
        <f t="array" aca="1" ref="O23" ca="1">INDIRECT("'※ 재무_세부시트'!"&amp;O$1&amp;$V23, TRUE)</f>
        <v>35.962807680909087</v>
      </c>
      <c r="P23" s="6795" cm="1">
        <f t="array" aca="1" ref="P23" ca="1">INDIRECT("'※ 재무_세부시트'!"&amp;P$1&amp;$V23, TRUE)</f>
        <v>-0.64243590727273414</v>
      </c>
      <c r="Q23" s="6795" cm="1">
        <f t="array" aca="1" ref="Q23" ca="1">INDIRECT("'※ 재무_세부시트'!"&amp;Q$1&amp;$V23, TRUE)</f>
        <v>-2.0611277400000105</v>
      </c>
      <c r="R23" s="629" cm="1">
        <f t="array" aca="1" ref="R23" ca="1">INDIRECT("'※ 재무_세부시트'!"&amp;R$1&amp;$V23, TRUE)</f>
        <v>72.568051269090915</v>
      </c>
      <c r="S23" s="654"/>
      <c r="T23" s="664"/>
      <c r="U23" s="633" cm="1">
        <f t="array" aca="1" ref="U23" ca="1">INDIRECT("'※ 재무_세부시트'!"&amp;U$1&amp;$V23, TRUE)</f>
        <v>-1.0056810727272705</v>
      </c>
      <c r="V23" s="581">
        <v>22</v>
      </c>
      <c r="W23" s="581"/>
      <c r="X23" s="591"/>
      <c r="Y23" s="592"/>
      <c r="Z23" s="583"/>
      <c r="AA23" s="583"/>
      <c r="AB23" s="583"/>
      <c r="AC23" s="583"/>
      <c r="AD23" s="583"/>
      <c r="AE23" s="583"/>
    </row>
    <row r="24" spans="1:31" ht="19.5" customHeight="1" x14ac:dyDescent="0.55000000000000004">
      <c r="A24" s="593"/>
      <c r="B24" s="556"/>
      <c r="C24" s="653"/>
      <c r="D24" s="642" t="s">
        <v>101</v>
      </c>
      <c r="E24" s="556"/>
      <c r="F24" s="6710" cm="1">
        <f t="array" aca="1" ref="F24" ca="1">INDIRECT("'※ 재무_세부시트'!"&amp;F$1&amp;$V24, TRUE)</f>
        <v>68.278925037272728</v>
      </c>
      <c r="G24" s="6822" cm="1">
        <f t="array" aca="1" ref="G24" ca="1">INDIRECT("'※ 재무_세부시트'!"&amp;G$1&amp;$V24, TRUE)</f>
        <v>5.8569293190909093</v>
      </c>
      <c r="H24" s="6676" cm="1">
        <f t="array" aca="1" ref="H24" ca="1">INDIRECT("'※ 재무_세부시트'!"&amp;H$1&amp;$V24, TRUE)</f>
        <v>6.3086738090909087</v>
      </c>
      <c r="I24" s="6676" cm="1">
        <f t="array" aca="1" ref="I24" ca="1">INDIRECT("'※ 재무_세부시트'!"&amp;I$1&amp;$V24, TRUE)</f>
        <v>6.4937647727272729</v>
      </c>
      <c r="J24" s="6676" cm="1">
        <f t="array" aca="1" ref="J24" ca="1">INDIRECT("'※ 재무_세부시트'!"&amp;J$1&amp;$V24, TRUE)</f>
        <v>5.7726903545454542</v>
      </c>
      <c r="K24" s="6676" cm="1">
        <f t="array" aca="1" ref="K24" ca="1">INDIRECT("'※ 재무_세부시트'!"&amp;K$1&amp;$V24, TRUE)</f>
        <v>5.6720752818181817</v>
      </c>
      <c r="L24" s="6676" cm="1">
        <f t="array" aca="1" ref="L24" ca="1">INDIRECT("'※ 재무_세부시트'!"&amp;L$1&amp;$V24, TRUE)</f>
        <v>5.5931315363636358</v>
      </c>
      <c r="M24" s="6770" cm="1">
        <f t="array" aca="1" ref="M24" ca="1">INDIRECT("'※ 재무_세부시트'!"&amp;M$1&amp;$V24, TRUE)</f>
        <v>10.24196989090909</v>
      </c>
      <c r="N24" s="6822" cm="1">
        <f t="array" aca="1" ref="N24" ca="1">INDIRECT("'※ 재무_세부시트'!"&amp;N$1&amp;$V24, TRUE)</f>
        <v>5.4769686818181818</v>
      </c>
      <c r="O24" s="6676" cm="1">
        <f t="array" aca="1" ref="O24" ca="1">INDIRECT("'※ 재무_세부시트'!"&amp;O$1&amp;$V24, TRUE)</f>
        <v>4.7650012090909089</v>
      </c>
      <c r="P24" s="6795" cm="1">
        <f t="array" aca="1" ref="P24" ca="1">INDIRECT("'※ 재무_세부시트'!"&amp;P$1&amp;$V24, TRUE)</f>
        <v>-0.7119674727272729</v>
      </c>
      <c r="Q24" s="6795" cm="1">
        <f t="array" aca="1" ref="Q24" ca="1">INDIRECT("'※ 재무_세부시트'!"&amp;Q$1&amp;$V24, TRUE)</f>
        <v>-1.5436725999999998</v>
      </c>
      <c r="R24" s="629" cm="1">
        <f t="array" aca="1" ref="R24" ca="1">INDIRECT("'※ 재무_세부시트'!"&amp;R$1&amp;$V24, TRUE)</f>
        <v>10.24196989090909</v>
      </c>
      <c r="S24" s="654"/>
      <c r="T24" s="655"/>
      <c r="U24" s="633" cm="1">
        <f t="array" aca="1" ref="U24" ca="1">INDIRECT("'※ 재무_세부시트'!"&amp;U$1&amp;$V24, TRUE)</f>
        <v>-1.9236332372727283</v>
      </c>
      <c r="V24" s="581">
        <v>23</v>
      </c>
      <c r="W24" s="581"/>
      <c r="X24" s="591"/>
      <c r="Y24" s="592"/>
      <c r="Z24" s="583"/>
      <c r="AA24" s="583"/>
      <c r="AB24" s="583"/>
      <c r="AC24" s="583"/>
      <c r="AD24" s="583"/>
      <c r="AE24" s="583"/>
    </row>
    <row r="25" spans="1:31" ht="19.5" customHeight="1" x14ac:dyDescent="0.55000000000000004">
      <c r="A25" s="593"/>
      <c r="B25" s="556"/>
      <c r="C25" s="653"/>
      <c r="D25" s="642" t="s">
        <v>66</v>
      </c>
      <c r="E25" s="556"/>
      <c r="F25" s="6710" cm="1">
        <f t="array" aca="1" ref="F25" ca="1">INDIRECT("'※ 재무_세부시트'!"&amp;F$1&amp;$V25, TRUE)</f>
        <v>90.585338809999996</v>
      </c>
      <c r="G25" s="6822" cm="1">
        <f t="array" aca="1" ref="G25" ca="1">INDIRECT("'※ 재무_세부시트'!"&amp;G$1&amp;$V25, TRUE)</f>
        <v>8.5196579200000002</v>
      </c>
      <c r="H25" s="6676" cm="1">
        <f t="array" aca="1" ref="H25" ca="1">INDIRECT("'※ 재무_세부시트'!"&amp;H$1&amp;$V25, TRUE)</f>
        <v>8.63764836</v>
      </c>
      <c r="I25" s="6676" cm="1">
        <f t="array" aca="1" ref="I25" ca="1">INDIRECT("'※ 재무_세부시트'!"&amp;I$1&amp;$V25, TRUE)</f>
        <v>8.0580981000000005</v>
      </c>
      <c r="J25" s="6676" cm="1">
        <f t="array" aca="1" ref="J25" ca="1">INDIRECT("'※ 재무_세부시트'!"&amp;J$1&amp;$V25, TRUE)</f>
        <v>8.2404920799999992</v>
      </c>
      <c r="K25" s="6676" cm="1">
        <f t="array" aca="1" ref="K25" ca="1">INDIRECT("'※ 재무_세부시트'!"&amp;K$1&amp;$V25, TRUE)</f>
        <v>8.3206333299999997</v>
      </c>
      <c r="L25" s="6676" cm="1">
        <f t="array" aca="1" ref="L25" ca="1">INDIRECT("'※ 재무_세부시트'!"&amp;L$1&amp;$V25, TRUE)</f>
        <v>8.5316987399999995</v>
      </c>
      <c r="M25" s="6770" cm="1">
        <f t="array" aca="1" ref="M25" ca="1">INDIRECT("'※ 재무_세부시트'!"&amp;M$1&amp;$V25, TRUE)</f>
        <v>16.032065419999999</v>
      </c>
      <c r="N25" s="6822" cm="1">
        <f t="array" aca="1" ref="N25" ca="1">INDIRECT("'※ 재무_세부시트'!"&amp;N$1&amp;$V25, TRUE)</f>
        <v>7.8138530699999995</v>
      </c>
      <c r="O25" s="6676" cm="1">
        <f t="array" aca="1" ref="O25" ca="1">INDIRECT("'※ 재무_세부시트'!"&amp;O$1&amp;$V25, TRUE)</f>
        <v>8.2182123499999999</v>
      </c>
      <c r="P25" s="6795" cm="1">
        <f t="array" aca="1" ref="P25" ca="1">INDIRECT("'※ 재무_세부시트'!"&amp;P$1&amp;$V25, TRUE)</f>
        <v>0.40435928000000043</v>
      </c>
      <c r="Q25" s="6795" cm="1">
        <f t="array" aca="1" ref="Q25" ca="1">INDIRECT("'※ 재무_세부시트'!"&amp;Q$1&amp;$V25, TRUE)</f>
        <v>-0.41943601000000008</v>
      </c>
      <c r="R25" s="629" cm="1">
        <f t="array" aca="1" ref="R25" ca="1">INDIRECT("'※ 재무_세부시트'!"&amp;R$1&amp;$V25, TRUE)</f>
        <v>16.032065419999999</v>
      </c>
      <c r="S25" s="654"/>
      <c r="T25" s="655"/>
      <c r="U25" s="633" cm="1">
        <f t="array" aca="1" ref="U25" ca="1">INDIRECT("'※ 재무_세부시트'!"&amp;U$1&amp;$V25, TRUE)</f>
        <v>-1.1252408600000017</v>
      </c>
      <c r="V25" s="581">
        <v>24</v>
      </c>
      <c r="W25" s="581"/>
      <c r="X25" s="591"/>
      <c r="Y25" s="592"/>
      <c r="Z25" s="583"/>
      <c r="AA25" s="583"/>
      <c r="AB25" s="583"/>
      <c r="AC25" s="583"/>
      <c r="AD25" s="583"/>
      <c r="AE25" s="583"/>
    </row>
    <row r="26" spans="1:31" ht="19.5" customHeight="1" x14ac:dyDescent="0.55000000000000004">
      <c r="A26" s="593"/>
      <c r="B26" s="556"/>
      <c r="C26" s="653" t="s">
        <v>1232</v>
      </c>
      <c r="D26" s="647" t="s">
        <v>102</v>
      </c>
      <c r="E26" s="648" t="s">
        <v>804</v>
      </c>
      <c r="F26" s="6712" cm="1">
        <f t="array" aca="1" ref="F26" ca="1">INDIRECT("'※ 재무_세부시트'!"&amp;F$1&amp;$V26, TRUE)</f>
        <v>417.98599811874413</v>
      </c>
      <c r="G26" s="6825" cm="1">
        <f t="array" aca="1" ref="G26" ca="1">INDIRECT("'※ 재무_세부시트'!"&amp;G$1&amp;$V26, TRUE)</f>
        <v>32.386891660607873</v>
      </c>
      <c r="H26" s="6826" cm="1">
        <f t="array" aca="1" ref="H26" ca="1">INDIRECT("'※ 재무_세부시트'!"&amp;H$1&amp;$V26, TRUE)</f>
        <v>34.844771604441192</v>
      </c>
      <c r="I26" s="6826" cm="1">
        <f t="array" aca="1" ref="I26" ca="1">INDIRECT("'※ 재무_세부시트'!"&amp;I$1&amp;$V26, TRUE)</f>
        <v>31.558001129695405</v>
      </c>
      <c r="J26" s="6826" cm="1">
        <f t="array" aca="1" ref="J26" ca="1">INDIRECT("'※ 재무_세부시트'!"&amp;J$1&amp;$V26, TRUE)</f>
        <v>39.311071763021324</v>
      </c>
      <c r="K26" s="6826" cm="1">
        <f t="array" aca="1" ref="K26" ca="1">INDIRECT("'※ 재무_세부시트'!"&amp;K$1&amp;$V26, TRUE)</f>
        <v>28.91745373346691</v>
      </c>
      <c r="L26" s="6826" cm="1">
        <f t="array" aca="1" ref="L26" ca="1">INDIRECT("'※ 재무_세부시트'!"&amp;L$1&amp;$V26, TRUE)</f>
        <v>41.972786433335145</v>
      </c>
      <c r="M26" s="6772" cm="1">
        <f t="array" aca="1" ref="M26" ca="1">INDIRECT("'※ 재무_세부시트'!"&amp;M$1&amp;$V26, TRUE)</f>
        <v>66.265239562169455</v>
      </c>
      <c r="N26" s="6825" cm="1">
        <f t="array" aca="1" ref="N26" ca="1">INDIRECT("'※ 재무_세부시트'!"&amp;N$1&amp;$V26, TRUE)</f>
        <v>33.415785711583226</v>
      </c>
      <c r="O26" s="6826" cm="1">
        <f t="array" aca="1" ref="O26" ca="1">INDIRECT("'※ 재무_세부시트'!"&amp;O$1&amp;$V26, TRUE)</f>
        <v>32.849453850586222</v>
      </c>
      <c r="P26" s="6797" cm="1">
        <f t="array" aca="1" ref="P26" ca="1">INDIRECT("'※ 재무_세부시트'!"&amp;P$1&amp;$V26, TRUE)</f>
        <v>-0.56633186099700339</v>
      </c>
      <c r="Q26" s="6797" cm="1">
        <f t="array" aca="1" ref="Q26" ca="1">INDIRECT("'※ 재무_세부시트'!"&amp;Q$1&amp;$V26, TRUE)</f>
        <v>-1.9953177538549696</v>
      </c>
      <c r="R26" s="649" cm="1">
        <f t="array" aca="1" ref="R26" ca="1">INDIRECT("'※ 재무_세부시트'!"&amp;R$1&amp;$V26, TRUE)</f>
        <v>66.265239562169455</v>
      </c>
      <c r="S26" s="650"/>
      <c r="T26" s="651"/>
      <c r="U26" s="652" cm="1">
        <f t="array" aca="1" ref="U26" ca="1">INDIRECT("'※ 재무_세부시트'!"&amp;U$1&amp;$V26, TRUE)</f>
        <v>-0.96642370287960944</v>
      </c>
      <c r="V26" s="581">
        <v>25</v>
      </c>
      <c r="W26" s="581"/>
      <c r="X26" s="591"/>
      <c r="Y26" s="592"/>
      <c r="Z26" s="583"/>
      <c r="AA26" s="583"/>
      <c r="AB26" s="583"/>
      <c r="AC26" s="583"/>
      <c r="AD26" s="583"/>
      <c r="AE26" s="583"/>
    </row>
    <row r="27" spans="1:31" ht="19.5" customHeight="1" x14ac:dyDescent="0.55000000000000004">
      <c r="A27" s="593"/>
      <c r="B27" s="556"/>
      <c r="C27" s="653"/>
      <c r="D27" s="642" t="s">
        <v>110</v>
      </c>
      <c r="E27" s="556" t="s">
        <v>805</v>
      </c>
      <c r="F27" s="6710" cm="1">
        <f t="array" aca="1" ref="F27" ca="1">INDIRECT("'※ 재무_세부시트'!"&amp;F$1&amp;$V27, TRUE)</f>
        <v>17.832613317255856</v>
      </c>
      <c r="G27" s="6822" cm="1">
        <f t="array" aca="1" ref="G27" ca="1">INDIRECT("'※ 재무_세부시트'!"&amp;G$1&amp;$V27, TRUE)</f>
        <v>1.4180424187103164</v>
      </c>
      <c r="H27" s="6676" cm="1">
        <f t="array" aca="1" ref="H27" ca="1">INDIRECT("'※ 재무_세부시트'!"&amp;H$1&amp;$V27, TRUE)</f>
        <v>1.4337837506497257</v>
      </c>
      <c r="I27" s="6676" cm="1">
        <f t="array" aca="1" ref="I27" ca="1">INDIRECT("'※ 재무_세부시트'!"&amp;I$1&amp;$V27, TRUE)</f>
        <v>1.427474434531864</v>
      </c>
      <c r="J27" s="6676" cm="1">
        <f t="array" aca="1" ref="J27" ca="1">INDIRECT("'※ 재무_세부시트'!"&amp;J$1&amp;$V27, TRUE)</f>
        <v>1.5287668697968635</v>
      </c>
      <c r="K27" s="6676" cm="1">
        <f t="array" aca="1" ref="K27" ca="1">INDIRECT("'※ 재무_세부시트'!"&amp;K$1&amp;$V27, TRUE)</f>
        <v>1.5329222165330907</v>
      </c>
      <c r="L27" s="6676" cm="1">
        <f t="array" aca="1" ref="L27" ca="1">INDIRECT("'※ 재무_세부시트'!"&amp;L$1&amp;$V27, TRUE)</f>
        <v>1.4180424187103164</v>
      </c>
      <c r="M27" s="6770" cm="1">
        <f t="array" aca="1" ref="M27" ca="1">INDIRECT("'※ 재무_세부시트'!"&amp;M$1&amp;$V27, TRUE)</f>
        <v>3.0210949591032721</v>
      </c>
      <c r="N27" s="6822" cm="1">
        <f t="array" aca="1" ref="N27" ca="1">INDIRECT("'※ 재무_세부시트'!"&amp;N$1&amp;$V27, TRUE)</f>
        <v>1.5242187038713182</v>
      </c>
      <c r="O27" s="6676" cm="1">
        <f t="array" aca="1" ref="O27" ca="1">INDIRECT("'※ 재무_세부시트'!"&amp;O$1&amp;$V27, TRUE)</f>
        <v>1.4968762552319541</v>
      </c>
      <c r="P27" s="6795" cm="1">
        <f t="array" aca="1" ref="P27" ca="1">INDIRECT("'※ 재무_세부시트'!"&amp;P$1&amp;$V27, TRUE)</f>
        <v>-2.7342448639364081E-2</v>
      </c>
      <c r="Q27" s="6795" cm="1">
        <f t="array" aca="1" ref="Q27" ca="1">INDIRECT("'※ 재무_세부시트'!"&amp;Q$1&amp;$V27, TRUE)</f>
        <v>6.309250458222837E-2</v>
      </c>
      <c r="R27" s="629" cm="1">
        <f t="array" aca="1" ref="R27" ca="1">INDIRECT("'※ 재무_세부시트'!"&amp;R$1&amp;$V27, TRUE)</f>
        <v>3.0210949591032721</v>
      </c>
      <c r="S27" s="654"/>
      <c r="T27" s="655"/>
      <c r="U27" s="633" cm="1">
        <f t="array" aca="1" ref="U27" ca="1">INDIRECT("'※ 재무_세부시트'!"&amp;U$1&amp;$V27, TRUE)</f>
        <v>0.16926878974322968</v>
      </c>
      <c r="V27" s="581">
        <v>26</v>
      </c>
      <c r="W27" s="581"/>
      <c r="X27" s="591"/>
      <c r="Y27" s="592"/>
      <c r="Z27" s="583"/>
      <c r="AA27" s="583"/>
      <c r="AB27" s="583"/>
      <c r="AC27" s="583"/>
      <c r="AD27" s="583"/>
      <c r="AE27" s="583"/>
    </row>
    <row r="28" spans="1:31" ht="19.5" customHeight="1" x14ac:dyDescent="0.55000000000000004">
      <c r="A28" s="593"/>
      <c r="B28" s="556"/>
      <c r="C28" s="653"/>
      <c r="D28" s="642" t="s">
        <v>52</v>
      </c>
      <c r="E28" s="556" t="s">
        <v>806</v>
      </c>
      <c r="F28" s="6710" cm="1">
        <f t="array" aca="1" ref="F28" ca="1">INDIRECT("'※ 재무_세부시트'!"&amp;F$1&amp;$V28, TRUE)</f>
        <v>20.959672256727277</v>
      </c>
      <c r="G28" s="6822" cm="1">
        <f t="array" aca="1" ref="G28" ca="1">INDIRECT("'※ 재무_세부시트'!"&amp;G$1&amp;$V28, TRUE)</f>
        <v>1.74486284159091</v>
      </c>
      <c r="H28" s="6676" cm="1">
        <f t="array" aca="1" ref="H28" ca="1">INDIRECT("'※ 재무_세부시트'!"&amp;H$1&amp;$V28, TRUE)</f>
        <v>1.7453800658181817</v>
      </c>
      <c r="I28" s="6676" cm="1">
        <f t="array" aca="1" ref="I28" ca="1">INDIRECT("'※ 재무_세부시트'!"&amp;I$1&amp;$V28, TRUE)</f>
        <v>1.7273761130454546</v>
      </c>
      <c r="J28" s="6676" cm="1">
        <f t="array" aca="1" ref="J28" ca="1">INDIRECT("'※ 재무_세부시트'!"&amp;J$1&amp;$V28, TRUE)</f>
        <v>1.7503188826363636</v>
      </c>
      <c r="K28" s="6676" cm="1">
        <f t="array" aca="1" ref="K28" ca="1">INDIRECT("'※ 재무_세부시트'!"&amp;K$1&amp;$V28, TRUE)</f>
        <v>1.7810159881818182</v>
      </c>
      <c r="L28" s="6676" cm="1">
        <f t="array" aca="1" ref="L28" ca="1">INDIRECT("'※ 재무_세부시트'!"&amp;L$1&amp;$V28, TRUE)</f>
        <v>1.74486284159091</v>
      </c>
      <c r="M28" s="6770" cm="1">
        <f t="array" aca="1" ref="M28" ca="1">INDIRECT("'※ 재무_세부시트'!"&amp;M$1&amp;$V28, TRUE)</f>
        <v>3.2817167478181819</v>
      </c>
      <c r="N28" s="6822" cm="1">
        <f t="array" aca="1" ref="N28" ca="1">INDIRECT("'※ 재무_세부시트'!"&amp;N$1&amp;$V28, TRUE)</f>
        <v>1.6652391727272728</v>
      </c>
      <c r="O28" s="6676" cm="1">
        <f t="array" aca="1" ref="O28" ca="1">INDIRECT("'※ 재무_세부시트'!"&amp;O$1&amp;$V28, TRUE)</f>
        <v>1.6164775750909091</v>
      </c>
      <c r="P28" s="6795" cm="1">
        <f t="array" aca="1" ref="P28" ca="1">INDIRECT("'※ 재무_세부시트'!"&amp;P$1&amp;$V28, TRUE)</f>
        <v>-4.8761597636363785E-2</v>
      </c>
      <c r="Q28" s="6795" cm="1">
        <f t="array" aca="1" ref="Q28" ca="1">INDIRECT("'※ 재무_세부시트'!"&amp;Q$1&amp;$V28, TRUE)</f>
        <v>-0.12890249072727267</v>
      </c>
      <c r="R28" s="629" cm="1">
        <f t="array" aca="1" ref="R28" ca="1">INDIRECT("'※ 재무_세부시트'!"&amp;R$1&amp;$V28, TRUE)</f>
        <v>3.2817167478181819</v>
      </c>
      <c r="S28" s="654"/>
      <c r="T28" s="655"/>
      <c r="U28" s="633" cm="1">
        <f t="array" aca="1" ref="U28" ca="1">INDIRECT("'※ 재무_세부시트'!"&amp;U$1&amp;$V28, TRUE)</f>
        <v>-0.20852615959090981</v>
      </c>
      <c r="V28" s="581">
        <v>27</v>
      </c>
      <c r="W28" s="581"/>
      <c r="X28" s="591"/>
      <c r="Y28" s="592"/>
      <c r="Z28" s="583"/>
      <c r="AA28" s="583"/>
      <c r="AB28" s="583"/>
      <c r="AC28" s="583"/>
      <c r="AD28" s="583"/>
      <c r="AE28" s="583"/>
    </row>
    <row r="29" spans="1:31" ht="19.5" customHeight="1" x14ac:dyDescent="0.55000000000000004">
      <c r="A29" s="593"/>
      <c r="B29" s="556"/>
      <c r="C29" s="653"/>
      <c r="D29" s="642" t="s">
        <v>86</v>
      </c>
      <c r="E29" s="556"/>
      <c r="F29" s="6710" cm="1">
        <f t="array" aca="1" ref="F29" ca="1">INDIRECT("'※ 재무_세부시트'!"&amp;F$1&amp;$V29, TRUE)</f>
        <v>43.773921190909093</v>
      </c>
      <c r="G29" s="6822" cm="1">
        <f t="array" aca="1" ref="G29" ca="1">INDIRECT("'※ 재무_세부시트'!"&amp;G$1&amp;$V29, TRUE)</f>
        <v>3.8039284545454546</v>
      </c>
      <c r="H29" s="6676" cm="1">
        <f t="array" aca="1" ref="H29" ca="1">INDIRECT("'※ 재무_세부시트'!"&amp;H$1&amp;$V29, TRUE)</f>
        <v>4.1171956363636362</v>
      </c>
      <c r="I29" s="6676" cm="1">
        <f t="array" aca="1" ref="I29" ca="1">INDIRECT("'※ 재무_세부시트'!"&amp;I$1&amp;$V29, TRUE)</f>
        <v>4.3993616454545448</v>
      </c>
      <c r="J29" s="6676" cm="1">
        <f t="array" aca="1" ref="J29" ca="1">INDIRECT("'※ 재무_세부시트'!"&amp;J$1&amp;$V29, TRUE)</f>
        <v>3.739106636363636</v>
      </c>
      <c r="K29" s="6676" cm="1">
        <f t="array" aca="1" ref="K29" ca="1">INDIRECT("'※ 재무_세부시트'!"&amp;K$1&amp;$V29, TRUE)</f>
        <v>3.6557820909090908</v>
      </c>
      <c r="L29" s="6676" cm="1">
        <f t="array" aca="1" ref="L29" ca="1">INDIRECT("'※ 재무_세부시트'!"&amp;L$1&amp;$V29, TRUE)</f>
        <v>3.5924522727272725</v>
      </c>
      <c r="M29" s="6770" cm="1">
        <f t="array" aca="1" ref="M29" ca="1">INDIRECT("'※ 재무_세부시트'!"&amp;M$1&amp;$V29, TRUE)</f>
        <v>6.2722213636363637</v>
      </c>
      <c r="N29" s="6822" cm="1">
        <f t="array" aca="1" ref="N29" ca="1">INDIRECT("'※ 재무_세부시트'!"&amp;N$1&amp;$V29, TRUE)</f>
        <v>3.3585185454545452</v>
      </c>
      <c r="O29" s="6676" cm="1">
        <f t="array" aca="1" ref="O29" ca="1">INDIRECT("'※ 재무_세부시트'!"&amp;O$1&amp;$V29, TRUE)</f>
        <v>2.9137028181818181</v>
      </c>
      <c r="P29" s="6795" cm="1">
        <f t="array" aca="1" ref="P29" ca="1">INDIRECT("'※ 재무_세부시트'!"&amp;P$1&amp;$V29, TRUE)</f>
        <v>-0.44481572727272711</v>
      </c>
      <c r="Q29" s="6795" cm="1">
        <f t="array" aca="1" ref="Q29" ca="1">INDIRECT("'※ 재무_세부시트'!"&amp;Q$1&amp;$V29, TRUE)</f>
        <v>-1.2034928181818181</v>
      </c>
      <c r="R29" s="629" cm="1">
        <f t="array" aca="1" ref="R29" ca="1">INDIRECT("'※ 재무_세부시트'!"&amp;R$1&amp;$V29, TRUE)</f>
        <v>6.2722213636363637</v>
      </c>
      <c r="S29" s="654"/>
      <c r="T29" s="655"/>
      <c r="U29" s="633" cm="1">
        <f t="array" aca="1" ref="U29" ca="1">INDIRECT("'※ 재무_세부시트'!"&amp;U$1&amp;$V29, TRUE)</f>
        <v>-1.648902727272727</v>
      </c>
      <c r="V29" s="581">
        <v>28</v>
      </c>
      <c r="W29" s="581"/>
      <c r="X29" s="591"/>
      <c r="Y29" s="592"/>
      <c r="Z29" s="583"/>
      <c r="AA29" s="583"/>
      <c r="AB29" s="583"/>
      <c r="AC29" s="583"/>
      <c r="AD29" s="583"/>
      <c r="AE29" s="583"/>
    </row>
    <row r="30" spans="1:31" ht="19.5" customHeight="1" x14ac:dyDescent="0.55000000000000004">
      <c r="A30" s="593"/>
      <c r="B30" s="556"/>
      <c r="C30" s="653"/>
      <c r="D30" s="642" t="s">
        <v>87</v>
      </c>
      <c r="E30" s="556"/>
      <c r="F30" s="6710" cm="1">
        <f t="array" aca="1" ref="F30" ca="1">INDIRECT("'※ 재무_세부시트'!"&amp;F$1&amp;$V30, TRUE)</f>
        <v>23.132791090909091</v>
      </c>
      <c r="G30" s="6822" cm="1">
        <f t="array" aca="1" ref="G30" ca="1">INDIRECT("'※ 재무_세부시트'!"&amp;G$1&amp;$V30, TRUE)</f>
        <v>1.9646244545454543</v>
      </c>
      <c r="H30" s="6676" cm="1">
        <f t="array" aca="1" ref="H30" ca="1">INDIRECT("'※ 재무_세부시트'!"&amp;H$1&amp;$V30, TRUE)</f>
        <v>2.1139592727272727</v>
      </c>
      <c r="I30" s="6676" cm="1">
        <f t="array" aca="1" ref="I30" ca="1">INDIRECT("'※ 재무_세부시트'!"&amp;I$1&amp;$V30, TRUE)</f>
        <v>2.0006825454545454</v>
      </c>
      <c r="J30" s="6676" cm="1">
        <f t="array" aca="1" ref="J30" ca="1">INDIRECT("'※ 재무_세부시트'!"&amp;J$1&amp;$V30, TRUE)</f>
        <v>1.9445589999999997</v>
      </c>
      <c r="K30" s="6676" cm="1">
        <f t="array" aca="1" ref="K30" ca="1">INDIRECT("'※ 재무_세부시트'!"&amp;K$1&amp;$V30, TRUE)</f>
        <v>1.9207853636363634</v>
      </c>
      <c r="L30" s="6676" cm="1">
        <f t="array" aca="1" ref="L30" ca="1">INDIRECT("'※ 재무_세부시트'!"&amp;L$1&amp;$V30, TRUE)</f>
        <v>1.9006985454545453</v>
      </c>
      <c r="M30" s="6770" cm="1">
        <f t="array" aca="1" ref="M30" ca="1">INDIRECT("'※ 재무_세부시트'!"&amp;M$1&amp;$V30, TRUE)</f>
        <v>3.6118059090909087</v>
      </c>
      <c r="N30" s="6822" cm="1">
        <f t="array" aca="1" ref="N30" ca="1">INDIRECT("'※ 재무_세부시트'!"&amp;N$1&amp;$V30, TRUE)</f>
        <v>1.9274904545454543</v>
      </c>
      <c r="O30" s="6676" cm="1">
        <f t="array" aca="1" ref="O30" ca="1">INDIRECT("'※ 재무_세부시트'!"&amp;O$1&amp;$V30, TRUE)</f>
        <v>1.6843154545454544</v>
      </c>
      <c r="P30" s="6795" cm="1">
        <f t="array" aca="1" ref="P30" ca="1">INDIRECT("'※ 재무_세부시트'!"&amp;P$1&amp;$V30, TRUE)</f>
        <v>-0.24317499999999992</v>
      </c>
      <c r="Q30" s="6795" cm="1">
        <f t="array" aca="1" ref="Q30" ca="1">INDIRECT("'※ 재무_세부시트'!"&amp;Q$1&amp;$V30, TRUE)</f>
        <v>-0.42964381818181829</v>
      </c>
      <c r="R30" s="629" cm="1">
        <f t="array" aca="1" ref="R30" ca="1">INDIRECT("'※ 재무_세부시트'!"&amp;R$1&amp;$V30, TRUE)</f>
        <v>3.6118059090909087</v>
      </c>
      <c r="S30" s="654"/>
      <c r="T30" s="655"/>
      <c r="U30" s="633" cm="1">
        <f t="array" aca="1" ref="U30" ca="1">INDIRECT("'※ 재무_세부시트'!"&amp;U$1&amp;$V30, TRUE)</f>
        <v>-0.46677781818181874</v>
      </c>
      <c r="V30" s="581">
        <v>29</v>
      </c>
      <c r="W30" s="581"/>
      <c r="X30" s="591"/>
      <c r="Y30" s="592"/>
      <c r="Z30" s="583"/>
      <c r="AA30" s="583"/>
      <c r="AB30" s="583"/>
      <c r="AC30" s="583"/>
      <c r="AD30" s="583"/>
      <c r="AE30" s="583"/>
    </row>
    <row r="31" spans="1:31" ht="19.5" customHeight="1" x14ac:dyDescent="0.55000000000000004">
      <c r="A31" s="593"/>
      <c r="B31" s="556"/>
      <c r="C31" s="653"/>
      <c r="D31" s="642" t="s">
        <v>103</v>
      </c>
      <c r="E31" s="556" t="s">
        <v>807</v>
      </c>
      <c r="F31" s="6710" cm="1">
        <f t="array" aca="1" ref="F31" ca="1">INDIRECT("'※ 재무_세부시트'!"&amp;F$1&amp;$V31, TRUE)</f>
        <v>1.3722127554545496</v>
      </c>
      <c r="G31" s="6822" cm="1">
        <f t="array" aca="1" ref="G31" ca="1">INDIRECT("'※ 재무_세부시트'!"&amp;G$1&amp;$V31, TRUE)</f>
        <v>8.8376410000000002E-2</v>
      </c>
      <c r="H31" s="6676" cm="1">
        <f t="array" aca="1" ref="H31" ca="1">INDIRECT("'※ 재무_세부시트'!"&amp;H$1&amp;$V31, TRUE)</f>
        <v>7.7518899999999835E-2</v>
      </c>
      <c r="I31" s="6676" cm="1">
        <f t="array" aca="1" ref="I31" ca="1">INDIRECT("'※ 재무_세부시트'!"&amp;I$1&amp;$V31, TRUE)</f>
        <v>9.3720581818182769E-2</v>
      </c>
      <c r="J31" s="6676" cm="1">
        <f t="array" aca="1" ref="J31" ca="1">INDIRECT("'※ 재무_세부시트'!"&amp;J$1&amp;$V31, TRUE)</f>
        <v>8.9024718181818452E-2</v>
      </c>
      <c r="K31" s="6676" cm="1">
        <f t="array" aca="1" ref="K31" ca="1">INDIRECT("'※ 재무_세부시트'!"&amp;K$1&amp;$V31, TRUE)</f>
        <v>9.5507827272727441E-2</v>
      </c>
      <c r="L31" s="6676" cm="1">
        <f t="array" aca="1" ref="L31" ca="1">INDIRECT("'※ 재무_세부시트'!"&amp;L$1&amp;$V31, TRUE)</f>
        <v>9.9980718181818862E-2</v>
      </c>
      <c r="M31" s="6770" cm="1">
        <f t="array" aca="1" ref="M31" ca="1">INDIRECT("'※ 재무_세부시트'!"&amp;M$1&amp;$V31, TRUE)</f>
        <v>0.35794261818181772</v>
      </c>
      <c r="N31" s="6822" cm="1">
        <f t="array" aca="1" ref="N31" ca="1">INDIRECT("'※ 재무_세부시트'!"&amp;N$1&amp;$V31, TRUE)</f>
        <v>0.19095968181818135</v>
      </c>
      <c r="O31" s="6676" cm="1">
        <f t="array" aca="1" ref="O31" ca="1">INDIRECT("'※ 재무_세부시트'!"&amp;O$1&amp;$V31, TRUE)</f>
        <v>0.16698293636363637</v>
      </c>
      <c r="P31" s="6795" cm="1">
        <f t="array" aca="1" ref="P31" ca="1">INDIRECT("'※ 재무_세부시트'!"&amp;P$1&amp;$V31, TRUE)</f>
        <v>-2.3976745454544979E-2</v>
      </c>
      <c r="Q31" s="6795" cm="1">
        <f t="array" aca="1" ref="Q31" ca="1">INDIRECT("'※ 재무_세부시트'!"&amp;Q$1&amp;$V31, TRUE)</f>
        <v>8.9464036363636534E-2</v>
      </c>
      <c r="R31" s="629" cm="1">
        <f t="array" aca="1" ref="R31" ca="1">INDIRECT("'※ 재무_세부시트'!"&amp;R$1&amp;$V31, TRUE)</f>
        <v>0.35794261818181772</v>
      </c>
      <c r="S31" s="654"/>
      <c r="T31" s="655"/>
      <c r="U31" s="633" cm="1">
        <f t="array" aca="1" ref="U31" ca="1">INDIRECT("'※ 재무_세부시트'!"&amp;U$1&amp;$V31, TRUE)</f>
        <v>0.19204730818181787</v>
      </c>
      <c r="V31" s="581">
        <v>30</v>
      </c>
      <c r="W31" s="581"/>
      <c r="X31" s="591"/>
      <c r="Y31" s="592"/>
      <c r="Z31" s="583"/>
      <c r="AA31" s="583"/>
      <c r="AB31" s="583"/>
      <c r="AC31" s="583"/>
      <c r="AD31" s="583"/>
      <c r="AE31" s="583"/>
    </row>
    <row r="32" spans="1:31" ht="19.5" customHeight="1" x14ac:dyDescent="0.55000000000000004">
      <c r="A32" s="593"/>
      <c r="B32" s="556"/>
      <c r="C32" s="653"/>
      <c r="D32" s="642" t="s">
        <v>107</v>
      </c>
      <c r="E32" s="556" t="s">
        <v>808</v>
      </c>
      <c r="F32" s="6710" cm="1">
        <f t="array" aca="1" ref="F32" ca="1">INDIRECT("'※ 재무_세부시트'!"&amp;F$1&amp;$V32, TRUE)</f>
        <v>9.1817721099999989</v>
      </c>
      <c r="G32" s="6822" cm="1">
        <f t="array" aca="1" ref="G32" ca="1">INDIRECT("'※ 재무_세부시트'!"&amp;G$1&amp;$V32, TRUE)</f>
        <v>0.58253186999999995</v>
      </c>
      <c r="H32" s="6676" cm="1">
        <f t="array" aca="1" ref="H32" ca="1">INDIRECT("'※ 재무_세부시트'!"&amp;H$1&amp;$V32, TRUE)</f>
        <v>0.66603878000000005</v>
      </c>
      <c r="I32" s="6676" cm="1">
        <f t="array" aca="1" ref="I32" ca="1">INDIRECT("'※ 재무_세부시트'!"&amp;I$1&amp;$V32, TRUE)</f>
        <v>0.63645967999999997</v>
      </c>
      <c r="J32" s="6676" cm="1">
        <f t="array" aca="1" ref="J32" ca="1">INDIRECT("'※ 재무_세부시트'!"&amp;J$1&amp;$V32, TRUE)</f>
        <v>0.59906740999999997</v>
      </c>
      <c r="K32" s="6676" cm="1">
        <f t="array" aca="1" ref="K32" ca="1">INDIRECT("'※ 재무_세부시트'!"&amp;K$1&amp;$V32, TRUE)</f>
        <v>0.69777632999999994</v>
      </c>
      <c r="L32" s="6676" cm="1">
        <f t="array" aca="1" ref="L32" ca="1">INDIRECT("'※ 재무_세부시트'!"&amp;L$1&amp;$V32, TRUE)</f>
        <v>0.75951674000000002</v>
      </c>
      <c r="M32" s="6770" cm="1">
        <f t="array" aca="1" ref="M32" ca="1">INDIRECT("'※ 재무_세부시트'!"&amp;M$1&amp;$V32, TRUE)</f>
        <v>2.25933677</v>
      </c>
      <c r="N32" s="6822" cm="1">
        <f t="array" aca="1" ref="N32" ca="1">INDIRECT("'※ 재무_세부시트'!"&amp;N$1&amp;$V32, TRUE)</f>
        <v>0.94112510999999999</v>
      </c>
      <c r="O32" s="6676" cm="1">
        <f t="array" aca="1" ref="O32" ca="1">INDIRECT("'※ 재무_세부시트'!"&amp;O$1&amp;$V32, TRUE)</f>
        <v>1.31821166</v>
      </c>
      <c r="P32" s="6795" cm="1">
        <f t="array" aca="1" ref="P32" ca="1">INDIRECT("'※ 재무_세부시트'!"&amp;P$1&amp;$V32, TRUE)</f>
        <v>0.37708655000000002</v>
      </c>
      <c r="Q32" s="6795" cm="1">
        <f t="array" aca="1" ref="Q32" ca="1">INDIRECT("'※ 재무_세부시트'!"&amp;Q$1&amp;$V32, TRUE)</f>
        <v>0.65217287999999995</v>
      </c>
      <c r="R32" s="629" cm="1">
        <f t="array" aca="1" ref="R32" ca="1">INDIRECT("'※ 재무_세부시트'!"&amp;R$1&amp;$V32, TRUE)</f>
        <v>2.25933677</v>
      </c>
      <c r="S32" s="654"/>
      <c r="T32" s="655"/>
      <c r="U32" s="633" cm="1">
        <f t="array" aca="1" ref="U32" ca="1">INDIRECT("'※ 재무_세부시트'!"&amp;U$1&amp;$V32, TRUE)</f>
        <v>1.01076612</v>
      </c>
      <c r="V32" s="581">
        <v>31</v>
      </c>
      <c r="W32" s="581"/>
      <c r="X32" s="591"/>
      <c r="Y32" s="592"/>
      <c r="Z32" s="634"/>
      <c r="AA32" s="634">
        <f ca="1">H79/(H13+H50)</f>
        <v>0.1752838061685234</v>
      </c>
      <c r="AB32" s="634">
        <f ca="1">I79/(I13+I50)</f>
        <v>0.10039511382272422</v>
      </c>
      <c r="AC32" s="634">
        <f ca="1">J79/(J13+J50)</f>
        <v>0.11980745891771775</v>
      </c>
      <c r="AD32" s="583"/>
      <c r="AE32" s="583"/>
    </row>
    <row r="33" spans="1:30" ht="19.5" customHeight="1" x14ac:dyDescent="0.55000000000000004">
      <c r="A33" s="593"/>
      <c r="B33" s="556"/>
      <c r="C33" s="644"/>
      <c r="D33" s="666" t="s">
        <v>108</v>
      </c>
      <c r="E33" s="667" t="s">
        <v>735</v>
      </c>
      <c r="F33" s="6713" cm="1">
        <f t="array" aca="1" ref="F33" ca="1">INDIRECT("'※ 재무_세부시트'!"&amp;F$1&amp;$V33, TRUE)</f>
        <v>81.403566699999999</v>
      </c>
      <c r="G33" s="6827" cm="1">
        <f t="array" aca="1" ref="G33" ca="1">INDIRECT("'※ 재무_세부시트'!"&amp;G$1&amp;$V33, TRUE)</f>
        <v>7.9371260499999998</v>
      </c>
      <c r="H33" s="6828" cm="1">
        <f t="array" aca="1" ref="H33" ca="1">INDIRECT("'※ 재무_세부시트'!"&amp;H$1&amp;$V33, TRUE)</f>
        <v>7.97160958</v>
      </c>
      <c r="I33" s="6828" cm="1">
        <f t="array" aca="1" ref="I33" ca="1">INDIRECT("'※ 재무_세부시트'!"&amp;I$1&amp;$V33, TRUE)</f>
        <v>7.4216384199999998</v>
      </c>
      <c r="J33" s="6828" cm="1">
        <f t="array" aca="1" ref="J33" ca="1">INDIRECT("'※ 재무_세부시트'!"&amp;J$1&amp;$V33, TRUE)</f>
        <v>7.6414246700000001</v>
      </c>
      <c r="K33" s="6828" cm="1">
        <f t="array" aca="1" ref="K33" ca="1">INDIRECT("'※ 재무_세부시트'!"&amp;K$1&amp;$V33, TRUE)</f>
        <v>7.6228569999999998</v>
      </c>
      <c r="L33" s="6828" cm="1">
        <f t="array" aca="1" ref="L33" ca="1">INDIRECT("'※ 재무_세부시트'!"&amp;L$1&amp;$V33, TRUE)</f>
        <v>7.7721819999999999</v>
      </c>
      <c r="M33" s="6773" cm="1">
        <f t="array" aca="1" ref="M33" ca="1">INDIRECT("'※ 재무_세부시트'!"&amp;M$1&amp;$V33, TRUE)</f>
        <v>13.772728649999999</v>
      </c>
      <c r="N33" s="6827" cm="1">
        <f t="array" aca="1" ref="N33" ca="1">INDIRECT("'※ 재무_세부시트'!"&amp;N$1&amp;$V33, TRUE)</f>
        <v>6.8727279599999997</v>
      </c>
      <c r="O33" s="6828" cm="1">
        <f t="array" aca="1" ref="O33" ca="1">INDIRECT("'※ 재무_세부시트'!"&amp;O$1&amp;$V33, TRUE)</f>
        <v>6.9000006899999997</v>
      </c>
      <c r="P33" s="6798" cm="1">
        <f t="array" aca="1" ref="P33" ca="1">INDIRECT("'※ 재무_세부시트'!"&amp;P$1&amp;$V33, TRUE)</f>
        <v>2.7272729999999967E-2</v>
      </c>
      <c r="Q33" s="6798" cm="1">
        <f t="array" aca="1" ref="Q33" ca="1">INDIRECT("'※ 재무_세부시트'!"&amp;Q$1&amp;$V33, TRUE)</f>
        <v>-1.0716088900000003</v>
      </c>
      <c r="R33" s="668" cm="1">
        <f t="array" aca="1" ref="R33" ca="1">INDIRECT("'※ 재무_세부시트'!"&amp;R$1&amp;$V33, TRUE)</f>
        <v>13.772728649999999</v>
      </c>
      <c r="S33" s="669"/>
      <c r="T33" s="670"/>
      <c r="U33" s="671" cm="1">
        <f t="array" aca="1" ref="U33" ca="1">INDIRECT("'※ 재무_세부시트'!"&amp;U$1&amp;$V33, TRUE)</f>
        <v>-2.1360069799999994</v>
      </c>
      <c r="V33" s="581">
        <v>32</v>
      </c>
      <c r="W33" s="581"/>
      <c r="X33" s="591"/>
      <c r="Y33" s="591"/>
      <c r="AA33" s="672"/>
      <c r="AB33" s="672"/>
      <c r="AC33" s="672"/>
      <c r="AD33" s="672"/>
    </row>
    <row r="34" spans="1:30" ht="19.5" customHeight="1" x14ac:dyDescent="0.55000000000000004">
      <c r="A34" s="593"/>
      <c r="B34" s="556"/>
      <c r="C34" s="646" t="s">
        <v>709</v>
      </c>
      <c r="D34" s="642" t="s">
        <v>19</v>
      </c>
      <c r="E34" s="673" t="s">
        <v>1025</v>
      </c>
      <c r="F34" s="6710" cm="1">
        <f t="array" aca="1" ref="F34" ca="1">INDIRECT("'※ 재무_세부시트'!"&amp;F$1&amp;$V34, TRUE)</f>
        <v>297.96475668014824</v>
      </c>
      <c r="G34" s="6822" cm="1">
        <f t="array" aca="1" ref="G34" ca="1">INDIRECT("'※ 재무_세부시트'!"&amp;G$1&amp;$V34, TRUE)</f>
        <v>24.447654166317502</v>
      </c>
      <c r="H34" s="6676" cm="1">
        <f t="array" aca="1" ref="H34" ca="1">INDIRECT("'※ 재무_세부시트'!"&amp;H$1&amp;$V34, TRUE)</f>
        <v>25.343578776805501</v>
      </c>
      <c r="I34" s="6676" cm="1">
        <f t="array" aca="1" ref="I34" ca="1">INDIRECT("'※ 재무_세부시트'!"&amp;I$1&amp;$V34, TRUE)</f>
        <v>25.657675074807802</v>
      </c>
      <c r="J34" s="6676" cm="1">
        <f t="array" aca="1" ref="J34" ca="1">INDIRECT("'※ 재무_세부시트'!"&amp;J$1&amp;$V34, TRUE)</f>
        <v>24.383281744525071</v>
      </c>
      <c r="K34" s="6676" cm="1">
        <f t="array" aca="1" ref="K34" ca="1">INDIRECT("'※ 재무_세부시트'!"&amp;K$1&amp;$V34, TRUE)</f>
        <v>24.233099849002187</v>
      </c>
      <c r="L34" s="6676" cm="1">
        <f t="array" aca="1" ref="L34" ca="1">INDIRECT("'※ 재무_세부시트'!"&amp;L$1&amp;$V34, TRUE)</f>
        <v>24.855322338433893</v>
      </c>
      <c r="M34" s="6770" cm="1">
        <f t="array" aca="1" ref="M34" ca="1">INDIRECT("'※ 재무_세부시트'!"&amp;M$1&amp;$V34, TRUE)</f>
        <v>47.680839737517886</v>
      </c>
      <c r="N34" s="6822" cm="1">
        <f t="array" aca="1" ref="N34" ca="1">INDIRECT("'※ 재무_세부시트'!"&amp;N$1&amp;$V34, TRUE)</f>
        <v>24.125426026916951</v>
      </c>
      <c r="O34" s="6676" cm="1">
        <f t="array" aca="1" ref="O34" ca="1">INDIRECT("'※ 재무_세부시트'!"&amp;O$1&amp;$V34, TRUE)</f>
        <v>23.555413710600931</v>
      </c>
      <c r="P34" s="6795" cm="1">
        <f t="array" aca="1" ref="P34" ca="1">INDIRECT("'※ 재무_세부시트'!"&amp;P$1&amp;$V34, TRUE)</f>
        <v>-0.57001231631602067</v>
      </c>
      <c r="Q34" s="6795" cm="1">
        <f t="array" aca="1" ref="Q34" ca="1">INDIRECT("'※ 재무_세부시트'!"&amp;Q$1&amp;$V34, TRUE)</f>
        <v>-1.7881650662045701</v>
      </c>
      <c r="R34" s="629" cm="1">
        <f t="array" aca="1" ref="R34" ca="1">INDIRECT("'※ 재무_세부시트'!"&amp;R$1&amp;$V34, TRUE)</f>
        <v>47.680839737517886</v>
      </c>
      <c r="S34" s="654"/>
      <c r="T34" s="655"/>
      <c r="U34" s="633" cm="1">
        <f t="array" aca="1" ref="U34" ca="1">INDIRECT("'※ 재무_세부시트'!"&amp;U$1&amp;$V34, TRUE)</f>
        <v>-2.1103932056051207</v>
      </c>
      <c r="V34" s="581">
        <v>33</v>
      </c>
      <c r="W34" s="581"/>
      <c r="X34" s="591"/>
      <c r="Y34" s="591"/>
      <c r="AA34" s="672"/>
      <c r="AB34" s="672"/>
      <c r="AC34" s="672"/>
      <c r="AD34" s="672"/>
    </row>
    <row r="35" spans="1:30" ht="19.5" customHeight="1" x14ac:dyDescent="0.55000000000000004">
      <c r="A35" s="593"/>
      <c r="B35" s="556"/>
      <c r="C35" s="653"/>
      <c r="D35" s="642" t="s">
        <v>20</v>
      </c>
      <c r="E35" s="556"/>
      <c r="F35" s="6710" cm="1">
        <f t="array" aca="1" ref="F35" ca="1">INDIRECT("'※ 재무_세부시트'!"&amp;F$1&amp;$V35, TRUE)</f>
        <v>107.70125303985176</v>
      </c>
      <c r="G35" s="6822" cm="1">
        <f t="array" aca="1" ref="G35" ca="1">INDIRECT("'※ 재무_세부시트'!"&amp;G$1&amp;$V35, TRUE)</f>
        <v>9.0666553336824993</v>
      </c>
      <c r="H35" s="6676" cm="1">
        <f t="array" aca="1" ref="H35" ca="1">INDIRECT("'※ 재무_세부시트'!"&amp;H$1&amp;$V35, TRUE)</f>
        <v>9.0830929431945204</v>
      </c>
      <c r="I35" s="6676" cm="1">
        <f t="array" aca="1" ref="I35" ca="1">INDIRECT("'※ 재무_세부시트'!"&amp;I$1&amp;$V35, TRUE)</f>
        <v>8.5529125751921757</v>
      </c>
      <c r="J35" s="6676" cm="1">
        <f t="array" aca="1" ref="J35" ca="1">INDIRECT("'※ 재무_세부시트'!"&amp;J$1&amp;$V35, TRUE)</f>
        <v>8.0079655054749317</v>
      </c>
      <c r="K35" s="6676" cm="1">
        <f t="array" aca="1" ref="K35" ca="1">INDIRECT("'※ 재무_세부시트'!"&amp;K$1&amp;$V35, TRUE)</f>
        <v>7.6013216409978055</v>
      </c>
      <c r="L35" s="6676" cm="1">
        <f t="array" aca="1" ref="L35" ca="1">INDIRECT("'※ 재무_세부시트'!"&amp;L$1&amp;$V35, TRUE)</f>
        <v>11.278029041566105</v>
      </c>
      <c r="M35" s="6770" cm="1">
        <f t="array" aca="1" ref="M35" ca="1">INDIRECT("'※ 재무_세부시트'!"&amp;M$1&amp;$V35, TRUE)</f>
        <v>17.16348254616609</v>
      </c>
      <c r="N35" s="6822" cm="1">
        <f t="array" aca="1" ref="N35" ca="1">INDIRECT("'※ 재무_세부시트'!"&amp;N$1&amp;$V35, TRUE)</f>
        <v>8.5817412730830451</v>
      </c>
      <c r="O35" s="6676" cm="1">
        <f t="array" aca="1" ref="O35" ca="1">INDIRECT("'※ 재무_세부시트'!"&amp;O$1&amp;$V35, TRUE)</f>
        <v>8.5817412730830451</v>
      </c>
      <c r="P35" s="6795" cm="1">
        <f t="array" aca="1" ref="P35" ca="1">INDIRECT("'※ 재무_세부시트'!"&amp;P$1&amp;$V35, TRUE)</f>
        <v>0</v>
      </c>
      <c r="Q35" s="6795" cm="1">
        <f t="array" aca="1" ref="Q35" ca="1">INDIRECT("'※ 재무_세부시트'!"&amp;Q$1&amp;$V35, TRUE)</f>
        <v>-0.5013516701114753</v>
      </c>
      <c r="R35" s="629" cm="1">
        <f t="array" aca="1" ref="R35" ca="1">INDIRECT("'※ 재무_세부시트'!"&amp;R$1&amp;$V35, TRUE)</f>
        <v>17.16348254616609</v>
      </c>
      <c r="S35" s="654"/>
      <c r="T35" s="655"/>
      <c r="U35" s="633" cm="1">
        <f t="array" aca="1" ref="U35" ca="1">INDIRECT("'※ 재무_세부시트'!"&amp;U$1&amp;$V35, TRUE)</f>
        <v>-0.98626573071092949</v>
      </c>
      <c r="V35" s="581">
        <v>34</v>
      </c>
      <c r="W35" s="581"/>
      <c r="X35" s="591"/>
      <c r="Y35" s="591"/>
    </row>
    <row r="36" spans="1:30" ht="19.5" customHeight="1" x14ac:dyDescent="0.55000000000000004">
      <c r="A36" s="593"/>
      <c r="B36" s="556"/>
      <c r="C36" s="653"/>
      <c r="D36" s="642" t="s">
        <v>869</v>
      </c>
      <c r="E36" s="556"/>
      <c r="F36" s="6710" cm="1">
        <f t="array" aca="1" ref="F36" ca="1">INDIRECT("'※ 재무_세부시트'!"&amp;F$1&amp;$V36, TRUE)</f>
        <v>60.125982319999991</v>
      </c>
      <c r="G36" s="6822" cm="1">
        <f t="array" aca="1" ref="G36" ca="1">INDIRECT("'※ 재무_세부시트'!"&amp;G$1&amp;$V36, TRUE)</f>
        <v>5.2481265800000001</v>
      </c>
      <c r="H36" s="6676" cm="1">
        <f t="array" aca="1" ref="H36" ca="1">INDIRECT("'※ 재무_세부시트'!"&amp;H$1&amp;$V36, TRUE)</f>
        <v>5.3671953700000001</v>
      </c>
      <c r="I36" s="6676" cm="1">
        <f t="array" aca="1" ref="I36" ca="1">INDIRECT("'※ 재무_세부시트'!"&amp;I$1&amp;$V36, TRUE)</f>
        <v>5.1954725700000006</v>
      </c>
      <c r="J36" s="6676" cm="1">
        <f t="array" aca="1" ref="J36" ca="1">INDIRECT("'※ 재무_세부시트'!"&amp;J$1&amp;$V36, TRUE)</f>
        <v>5.0662480399999996</v>
      </c>
      <c r="K36" s="6676" cm="1">
        <f t="array" aca="1" ref="K36" ca="1">INDIRECT("'※ 재무_세부시트'!"&amp;K$1&amp;$V36, TRUE)</f>
        <v>4.9718197100000001</v>
      </c>
      <c r="L36" s="6676" cm="1">
        <f t="array" aca="1" ref="L36" ca="1">INDIRECT("'※ 재무_세부시트'!"&amp;L$1&amp;$V36, TRUE)</f>
        <v>5.0249524000000001</v>
      </c>
      <c r="M36" s="6770" cm="1">
        <f t="array" aca="1" ref="M36" ca="1">INDIRECT("'※ 재무_세부시트'!"&amp;M$1&amp;$V36, TRUE)</f>
        <v>9.4725024500000004</v>
      </c>
      <c r="N36" s="6822" cm="1">
        <f t="array" aca="1" ref="N36" ca="1">INDIRECT("'※ 재무_세부시트'!"&amp;N$1&amp;$V36, TRUE)</f>
        <v>4.5258831700000002</v>
      </c>
      <c r="O36" s="6676" cm="1">
        <f t="array" aca="1" ref="O36" ca="1">INDIRECT("'※ 재무_세부시트'!"&amp;O$1&amp;$V36, TRUE)</f>
        <v>4.9466192800000002</v>
      </c>
      <c r="P36" s="6795" cm="1">
        <f t="array" aca="1" ref="P36" ca="1">INDIRECT("'※ 재무_세부시트'!"&amp;P$1&amp;$V36, TRUE)</f>
        <v>0.42073611</v>
      </c>
      <c r="Q36" s="6795" cm="1">
        <f t="array" aca="1" ref="Q36" ca="1">INDIRECT("'※ 재무_세부시트'!"&amp;Q$1&amp;$V36, TRUE)</f>
        <v>-0.42057608999999996</v>
      </c>
      <c r="R36" s="629" cm="1">
        <f t="array" aca="1" ref="R36" ca="1">INDIRECT("'※ 재무_세부시트'!"&amp;R$1&amp;$V36, TRUE)</f>
        <v>9.4725024500000004</v>
      </c>
      <c r="S36" s="654"/>
      <c r="T36" s="655"/>
      <c r="U36" s="633" cm="1">
        <f t="array" aca="1" ref="U36" ca="1">INDIRECT("'※ 재무_세부시트'!"&amp;U$1&amp;$V36, TRUE)</f>
        <v>-1.1428194999999999</v>
      </c>
      <c r="V36" s="581">
        <v>35</v>
      </c>
      <c r="W36" s="581"/>
      <c r="X36" s="591"/>
      <c r="Y36" s="591"/>
    </row>
    <row r="37" spans="1:30" ht="18.55" customHeight="1" x14ac:dyDescent="0.55000000000000004">
      <c r="A37" s="593"/>
      <c r="B37" s="556"/>
      <c r="C37" s="653"/>
      <c r="D37" s="642" t="s">
        <v>66</v>
      </c>
      <c r="E37" s="556" t="s">
        <v>1026</v>
      </c>
      <c r="F37" s="6710" cm="1">
        <f t="array" aca="1" ref="F37" ca="1">INDIRECT("'※ 재무_세부시트'!"&amp;F$1&amp;$V37, TRUE)</f>
        <v>149.85055550000001</v>
      </c>
      <c r="G37" s="6822" cm="1">
        <f t="array" aca="1" ref="G37" ca="1">INDIRECT("'※ 재무_세부시트'!"&amp;G$1&amp;$V37, TRUE)</f>
        <v>11.163948079999994</v>
      </c>
      <c r="H37" s="6676" cm="1">
        <f t="array" aca="1" ref="H37" ca="1">INDIRECT("'※ 재무_세부시트'!"&amp;H$1&amp;$V37, TRUE)</f>
        <v>13.176390499999979</v>
      </c>
      <c r="I37" s="6676" cm="1">
        <f t="array" aca="1" ref="I37" ca="1">INDIRECT("'※ 재무_세부시트'!"&amp;I$1&amp;$V37, TRUE)</f>
        <v>9.8586543300000216</v>
      </c>
      <c r="J37" s="6676" cm="1">
        <f t="array" aca="1" ref="J37" ca="1">INDIRECT("'※ 재무_세부시트'!"&amp;J$1&amp;$V37, TRUE)</f>
        <v>19.145844659999995</v>
      </c>
      <c r="K37" s="6676" cm="1">
        <f t="array" aca="1" ref="K37" ca="1">INDIRECT("'※ 재무_세부시트'!"&amp;K$1&amp;$V37, TRUE)</f>
        <v>9.4178593500000094</v>
      </c>
      <c r="L37" s="6676" cm="1">
        <f t="array" aca="1" ref="L37" ca="1">INDIRECT("'※ 재무_세부시트'!"&amp;L$1&amp;$V37, TRUE)</f>
        <v>18.102218190000006</v>
      </c>
      <c r="M37" s="6770" cm="1">
        <f t="array" aca="1" ref="M37" ca="1">INDIRECT("'※ 재무_세부시트'!"&amp;M$1&amp;$V37, TRUE)</f>
        <v>24.525261846316027</v>
      </c>
      <c r="N37" s="6822" cm="1">
        <f t="array" aca="1" ref="N37" ca="1">INDIRECT("'※ 재무_세부시트'!"&amp;N$1&amp;$V37, TRUE)</f>
        <v>12.663014870000005</v>
      </c>
      <c r="O37" s="6676" cm="1">
        <f t="array" aca="1" ref="O37" ca="1">INDIRECT("'※ 재무_세부시트'!"&amp;O$1&amp;$V37, TRUE)</f>
        <v>11.862246976316023</v>
      </c>
      <c r="P37" s="6795" cm="1">
        <f t="array" aca="1" ref="P37" ca="1">INDIRECT("'※ 재무_세부시트'!"&amp;P$1&amp;$V37, TRUE)</f>
        <v>-0.80076789368398238</v>
      </c>
      <c r="Q37" s="6795" cm="1">
        <f t="array" aca="1" ref="Q37" ca="1">INDIRECT("'※ 재무_세부시트'!"&amp;Q$1&amp;$V37, TRUE)</f>
        <v>-1.3141435236839563</v>
      </c>
      <c r="R37" s="629" cm="1">
        <f t="array" aca="1" ref="R37" ca="1">INDIRECT("'※ 재무_세부시트'!"&amp;R$1&amp;$V37, TRUE)</f>
        <v>24.525261846316027</v>
      </c>
      <c r="S37" s="654"/>
      <c r="T37" s="655"/>
      <c r="U37" s="633" cm="1">
        <f t="array" aca="1" ref="U37" ca="1">INDIRECT("'※ 재무_세부시트'!"&amp;U$1&amp;$V37, TRUE)</f>
        <v>0.18492326631605494</v>
      </c>
      <c r="V37" s="581">
        <v>36</v>
      </c>
      <c r="W37" s="581"/>
      <c r="X37" s="591"/>
      <c r="Y37" s="591"/>
    </row>
    <row r="38" spans="1:30" ht="25" customHeight="1" x14ac:dyDescent="0.55000000000000004">
      <c r="A38" s="593"/>
      <c r="B38" s="556"/>
      <c r="C38" s="662" t="s">
        <v>7</v>
      </c>
      <c r="D38" s="674"/>
      <c r="E38" s="636"/>
      <c r="F38" s="6711" cm="1">
        <f t="array" aca="1" ref="F38" ca="1">INDIRECT("'※ 재무_세부시트'!"&amp;F$1&amp;$V38, TRUE)</f>
        <v>466.51983486999995</v>
      </c>
      <c r="G38" s="6823" cm="1">
        <f t="array" aca="1" ref="G38" ca="1">INDIRECT("'※ 재무_세부시트'!"&amp;G$1&amp;$V38, TRUE)</f>
        <v>32.779204499999999</v>
      </c>
      <c r="H38" s="6824" cm="1">
        <f t="array" aca="1" ref="H38" ca="1">INDIRECT("'※ 재무_세부시트'!"&amp;H$1&amp;$V38, TRUE)</f>
        <v>38.211540289999995</v>
      </c>
      <c r="I38" s="6824" cm="1">
        <f t="array" aca="1" ref="I38" ca="1">INDIRECT("'※ 재무_세부시트'!"&amp;I$1&amp;$V38, TRUE)</f>
        <v>39.763803379999999</v>
      </c>
      <c r="J38" s="6824" cm="1">
        <f t="array" aca="1" ref="J38" ca="1">INDIRECT("'※ 재무_세부시트'!"&amp;J$1&amp;$V38, TRUE)</f>
        <v>39.829534260000003</v>
      </c>
      <c r="K38" s="6824" cm="1">
        <f t="array" aca="1" ref="K38" ca="1">INDIRECT("'※ 재무_세부시트'!"&amp;K$1&amp;$V38, TRUE)</f>
        <v>40.952530789999997</v>
      </c>
      <c r="L38" s="6824" cm="1">
        <f t="array" aca="1" ref="L38" ca="1">INDIRECT("'※ 재무_세부시트'!"&amp;L$1&amp;$V38, TRUE)</f>
        <v>41.618137779999998</v>
      </c>
      <c r="M38" s="6771" cm="1">
        <f t="array" aca="1" ref="M38" ca="1">INDIRECT("'※ 재무_세부시트'!"&amp;M$1&amp;$V38, TRUE)</f>
        <v>74.926283269999999</v>
      </c>
      <c r="N38" s="6823" cm="1">
        <f t="array" aca="1" ref="N38" ca="1">INDIRECT("'※ 재무_세부시트'!"&amp;N$1&amp;$V38, TRUE)</f>
        <v>37.219393369999999</v>
      </c>
      <c r="O38" s="6824" cm="1">
        <f t="array" aca="1" ref="O38" ca="1">INDIRECT("'※ 재무_세부시트'!"&amp;O$1&amp;$V38, TRUE)</f>
        <v>37.7068899</v>
      </c>
      <c r="P38" s="6796" cm="1">
        <f t="array" aca="1" ref="P38" ca="1">INDIRECT("'※ 재무_세부시트'!"&amp;P$1&amp;$V38, TRUE)</f>
        <v>0.48749653000000137</v>
      </c>
      <c r="Q38" s="6796" cm="1">
        <f t="array" aca="1" ref="Q38" ca="1">INDIRECT("'※ 재무_세부시트'!"&amp;Q$1&amp;$V38, TRUE)</f>
        <v>-0.50465038999999479</v>
      </c>
      <c r="R38" s="638" cm="1">
        <f t="array" aca="1" ref="R38" ca="1">INDIRECT("'※ 재무_세부시트'!"&amp;R$1&amp;$V38, TRUE)</f>
        <v>74.926283269999999</v>
      </c>
      <c r="S38" s="637" cm="1">
        <f t="array" aca="1" ref="S38" ca="1">INDIRECT("'※ 재무_세부시트'!"&amp;S$1&amp;$V38, TRUE)</f>
        <v>74.926283269999999</v>
      </c>
      <c r="T38" s="639" cm="1">
        <f t="array" aca="1" ref="T38" ca="1">INDIRECT("'※ 재무_세부시트'!"&amp;T$1&amp;$V38, TRUE)</f>
        <v>0</v>
      </c>
      <c r="U38" s="640" cm="1">
        <f t="array" aca="1" ref="U38" ca="1">INDIRECT("'※ 재무_세부시트'!"&amp;U$1&amp;$V38, TRUE)</f>
        <v>3.9355384800000053</v>
      </c>
      <c r="V38" s="581">
        <v>37</v>
      </c>
      <c r="W38" s="581"/>
      <c r="X38" s="591"/>
      <c r="Y38" s="591"/>
    </row>
    <row r="39" spans="1:30" ht="19.5" customHeight="1" outlineLevel="1" x14ac:dyDescent="0.55000000000000004">
      <c r="A39" s="593"/>
      <c r="B39" s="556"/>
      <c r="C39" s="653" t="s">
        <v>710</v>
      </c>
      <c r="D39" s="642" t="s">
        <v>109</v>
      </c>
      <c r="E39" s="556" t="s">
        <v>802</v>
      </c>
      <c r="F39" s="6710" cm="1">
        <f t="array" aca="1" ref="F39" ca="1">INDIRECT("'※ 재무_세부시트'!"&amp;F$1&amp;$V39, TRUE)</f>
        <v>316.17347136000001</v>
      </c>
      <c r="G39" s="6822" cm="1">
        <f t="array" aca="1" ref="G39" ca="1">INDIRECT("'※ 재무_세부시트'!"&amp;G$1&amp;$V39, TRUE)</f>
        <v>26.927904990000002</v>
      </c>
      <c r="H39" s="6676" cm="1">
        <f t="array" aca="1" ref="H39" ca="1">INDIRECT("'※ 재무_세부시트'!"&amp;H$1&amp;$V39, TRUE)</f>
        <v>27.037246369999998</v>
      </c>
      <c r="I39" s="6676" cm="1">
        <f t="array" aca="1" ref="I39" ca="1">INDIRECT("'※ 재무_세부시트'!"&amp;I$1&amp;$V39, TRUE)</f>
        <v>26.95</v>
      </c>
      <c r="J39" s="6676" cm="1">
        <f t="array" aca="1" ref="J39" ca="1">INDIRECT("'※ 재무_세부시트'!"&amp;J$1&amp;$V39, TRUE)</f>
        <v>25</v>
      </c>
      <c r="K39" s="6676" cm="1">
        <f t="array" aca="1" ref="K39" ca="1">INDIRECT("'※ 재무_세부시트'!"&amp;K$1&amp;$V39, TRUE)</f>
        <v>25</v>
      </c>
      <c r="L39" s="6676" cm="1">
        <f t="array" aca="1" ref="L39" ca="1">INDIRECT("'※ 재무_세부시트'!"&amp;L$1&amp;$V39, TRUE)</f>
        <v>25</v>
      </c>
      <c r="M39" s="6770" cm="1">
        <f t="array" aca="1" ref="M39" ca="1">INDIRECT("'※ 재무_세부시트'!"&amp;M$1&amp;$V39, TRUE)</f>
        <v>50</v>
      </c>
      <c r="N39" s="6822" cm="1">
        <f t="array" aca="1" ref="N39" ca="1">INDIRECT("'※ 재무_세부시트'!"&amp;N$1&amp;$V39, TRUE)</f>
        <v>25</v>
      </c>
      <c r="O39" s="6676" cm="1">
        <f t="array" aca="1" ref="O39" ca="1">INDIRECT("'※ 재무_세부시트'!"&amp;O$1&amp;$V39, TRUE)</f>
        <v>25</v>
      </c>
      <c r="P39" s="6795" cm="1">
        <f t="array" aca="1" ref="P39" ca="1">INDIRECT("'※ 재무_세부시트'!"&amp;P$1&amp;$V39, TRUE)</f>
        <v>0</v>
      </c>
      <c r="Q39" s="6795" cm="1">
        <f t="array" aca="1" ref="Q39" ca="1">INDIRECT("'※ 재무_세부시트'!"&amp;Q$1&amp;$V39, TRUE)</f>
        <v>-2.0372463699999983</v>
      </c>
      <c r="R39" s="629" cm="1">
        <f t="array" aca="1" ref="R39" ca="1">INDIRECT("'※ 재무_세부시트'!"&amp;R$1&amp;$V39, TRUE)</f>
        <v>50</v>
      </c>
      <c r="S39" s="630" cm="1">
        <f t="array" aca="1" ref="S39" ca="1">INDIRECT("'※ 재무_세부시트'!"&amp;S$1&amp;$V39, TRUE)</f>
        <v>50</v>
      </c>
      <c r="T39" s="631" cm="1">
        <f t="array" aca="1" ref="T39" ca="1">INDIRECT("'※ 재무_세부시트'!"&amp;T$1&amp;$V39, TRUE)</f>
        <v>0</v>
      </c>
      <c r="U39" s="633" cm="1">
        <f t="array" aca="1" ref="U39" ca="1">INDIRECT("'※ 재무_세부시트'!"&amp;U$1&amp;$V39, TRUE)</f>
        <v>-3.9651513600000001</v>
      </c>
      <c r="V39" s="581">
        <v>38</v>
      </c>
      <c r="W39" s="581"/>
      <c r="X39" s="591"/>
      <c r="Y39" s="591"/>
    </row>
    <row r="40" spans="1:30" ht="19.5" customHeight="1" outlineLevel="1" x14ac:dyDescent="0.55000000000000004">
      <c r="A40" s="593"/>
      <c r="B40" s="556"/>
      <c r="C40" s="653"/>
      <c r="D40" s="642" t="s">
        <v>111</v>
      </c>
      <c r="E40" s="556" t="s">
        <v>1173</v>
      </c>
      <c r="F40" s="6710" cm="1">
        <f t="array" aca="1" ref="F40" ca="1">INDIRECT("'※ 재무_세부시트'!"&amp;F$1&amp;$V40, TRUE)</f>
        <v>13.60989</v>
      </c>
      <c r="G40" s="6822" cm="1">
        <f t="array" aca="1" ref="G40" ca="1">INDIRECT("'※ 재무_세부시트'!"&amp;G$1&amp;$V40, TRUE)</f>
        <v>1.35002</v>
      </c>
      <c r="H40" s="6676" cm="1">
        <f t="array" aca="1" ref="H40" ca="1">INDIRECT("'※ 재무_세부시트'!"&amp;H$1&amp;$V40, TRUE)</f>
        <v>1.3266800000000001</v>
      </c>
      <c r="I40" s="6676" cm="1">
        <f t="array" aca="1" ref="I40" ca="1">INDIRECT("'※ 재무_세부시트'!"&amp;I$1&amp;$V40, TRUE)</f>
        <v>1.35615</v>
      </c>
      <c r="J40" s="6676" cm="1">
        <f t="array" aca="1" ref="J40" ca="1">INDIRECT("'※ 재무_세부시트'!"&amp;J$1&amp;$V40, TRUE)</f>
        <v>1.26417</v>
      </c>
      <c r="K40" s="6676" cm="1">
        <f t="array" aca="1" ref="K40" ca="1">INDIRECT("'※ 재무_세부시트'!"&amp;K$1&amp;$V40, TRUE)</f>
        <v>1.27146</v>
      </c>
      <c r="L40" s="6676" cm="1">
        <f t="array" aca="1" ref="L40" ca="1">INDIRECT("'※ 재무_세부시트'!"&amp;L$1&amp;$V40, TRUE)</f>
        <v>1.11978</v>
      </c>
      <c r="M40" s="6770" cm="1">
        <f t="array" aca="1" ref="M40" ca="1">INDIRECT("'※ 재무_세부시트'!"&amp;M$1&amp;$V40, TRUE)</f>
        <v>0.67008000000000001</v>
      </c>
      <c r="N40" s="6822" cm="1">
        <f t="array" aca="1" ref="N40" ca="1">INDIRECT("'※ 재무_세부시트'!"&amp;N$1&amp;$V40, TRUE)</f>
        <v>0.46681</v>
      </c>
      <c r="O40" s="6676" cm="1">
        <f t="array" aca="1" ref="O40" ca="1">INDIRECT("'※ 재무_세부시트'!"&amp;O$1&amp;$V40, TRUE)</f>
        <v>0.20327000000000001</v>
      </c>
      <c r="P40" s="6795" cm="1">
        <f t="array" aca="1" ref="P40" ca="1">INDIRECT("'※ 재무_세부시트'!"&amp;P$1&amp;$V40, TRUE)</f>
        <v>-0.26354</v>
      </c>
      <c r="Q40" s="6795" cm="1">
        <f t="array" aca="1" ref="Q40" ca="1">INDIRECT("'※ 재무_세부시트'!"&amp;Q$1&amp;$V40, TRUE)</f>
        <v>-1.12341</v>
      </c>
      <c r="R40" s="629" cm="1">
        <f t="array" aca="1" ref="R40" ca="1">INDIRECT("'※ 재무_세부시트'!"&amp;R$1&amp;$V40, TRUE)</f>
        <v>0.67008000000000001</v>
      </c>
      <c r="S40" s="630" cm="1">
        <f t="array" aca="1" ref="S40" ca="1">INDIRECT("'※ 재무_세부시트'!"&amp;S$1&amp;$V40, TRUE)</f>
        <v>0.67008000000000001</v>
      </c>
      <c r="T40" s="631" cm="1">
        <f t="array" aca="1" ref="T40" ca="1">INDIRECT("'※ 재무_세부시트'!"&amp;T$1&amp;$V40, TRUE)</f>
        <v>0</v>
      </c>
      <c r="U40" s="633" cm="1">
        <f t="array" aca="1" ref="U40" ca="1">INDIRECT("'※ 재무_세부시트'!"&amp;U$1&amp;$V40, TRUE)</f>
        <v>-2.0066200000000003</v>
      </c>
      <c r="V40" s="581">
        <v>39</v>
      </c>
      <c r="W40" s="581"/>
      <c r="X40" s="591"/>
      <c r="Y40" s="591"/>
    </row>
    <row r="41" spans="1:30" ht="19.5" customHeight="1" outlineLevel="1" x14ac:dyDescent="0.55000000000000004">
      <c r="A41" s="593"/>
      <c r="B41" s="556"/>
      <c r="C41" s="675"/>
      <c r="D41" s="676" t="s">
        <v>1060</v>
      </c>
      <c r="E41" s="594" t="s">
        <v>803</v>
      </c>
      <c r="F41" s="6707" cm="1">
        <f t="array" aca="1" ref="F41" ca="1">INDIRECT("'※ 재무_세부시트'!"&amp;F$1&amp;$V41, TRUE)</f>
        <v>77.052550300000007</v>
      </c>
      <c r="G41" s="6817" cm="1">
        <f t="array" aca="1" ref="G41" ca="1">INDIRECT("'※ 재무_세부시트'!"&amp;G$1&amp;$V41, TRUE)</f>
        <v>1.7813861</v>
      </c>
      <c r="H41" s="4267" cm="1">
        <f t="array" aca="1" ref="H41" ca="1">INDIRECT("'※ 재무_세부시트'!"&amp;H$1&amp;$V41, TRUE)</f>
        <v>6.4918800000000001</v>
      </c>
      <c r="I41" s="4267" cm="1">
        <f t="array" aca="1" ref="I41" ca="1">INDIRECT("'※ 재무_세부시트'!"&amp;I$1&amp;$V41, TRUE)</f>
        <v>6.49594</v>
      </c>
      <c r="J41" s="4267" cm="1">
        <f t="array" aca="1" ref="J41" ca="1">INDIRECT("'※ 재무_세부시트'!"&amp;J$1&amp;$V41, TRUE)</f>
        <v>6.9941842000000003</v>
      </c>
      <c r="K41" s="4267" cm="1">
        <f t="array" aca="1" ref="K41" ca="1">INDIRECT("'※ 재무_세부시트'!"&amp;K$1&amp;$V41, TRUE)</f>
        <v>6.8979999999999997</v>
      </c>
      <c r="L41" s="4267" cm="1">
        <f t="array" aca="1" ref="L41" ca="1">INDIRECT("'※ 재무_세부시트'!"&amp;L$1&amp;$V41, TRUE)</f>
        <v>6.8990200000000002</v>
      </c>
      <c r="M41" s="6767" cm="1">
        <f t="array" aca="1" ref="M41" ca="1">INDIRECT("'※ 재무_세부시트'!"&amp;M$1&amp;$V41, TRUE)</f>
        <v>15.128440000000001</v>
      </c>
      <c r="N41" s="6817" cm="1">
        <f t="array" aca="1" ref="N41" ca="1">INDIRECT("'※ 재무_세부시트'!"&amp;N$1&amp;$V41, TRUE)</f>
        <v>7.4986600000000001</v>
      </c>
      <c r="O41" s="4267" cm="1">
        <f t="array" aca="1" ref="O41" ca="1">INDIRECT("'※ 재무_세부시트'!"&amp;O$1&amp;$V41, TRUE)</f>
        <v>7.6297800000000002</v>
      </c>
      <c r="P41" s="6792" cm="1">
        <f t="array" aca="1" ref="P41" ca="1">INDIRECT("'※ 재무_세부시트'!"&amp;P$1&amp;$V41, TRUE)</f>
        <v>0.13112000000000013</v>
      </c>
      <c r="Q41" s="6792" cm="1">
        <f t="array" aca="1" ref="Q41" ca="1">INDIRECT("'※ 재무_세부시트'!"&amp;Q$1&amp;$V41, TRUE)</f>
        <v>1.1379000000000001</v>
      </c>
      <c r="R41" s="599" cm="1">
        <f t="array" aca="1" ref="R41" ca="1">INDIRECT("'※ 재무_세부시트'!"&amp;R$1&amp;$V41, TRUE)</f>
        <v>15.128440000000001</v>
      </c>
      <c r="S41" s="598" cm="1">
        <f t="array" aca="1" ref="S41" ca="1">INDIRECT("'※ 재무_세부시트'!"&amp;S$1&amp;$V41, TRUE)</f>
        <v>15.128440000000001</v>
      </c>
      <c r="T41" s="600" cm="1">
        <f t="array" aca="1" ref="T41" ca="1">INDIRECT("'※ 재무_세부시트'!"&amp;T$1&amp;$V41, TRUE)</f>
        <v>0</v>
      </c>
      <c r="U41" s="601" cm="1">
        <f t="array" aca="1" ref="U41" ca="1">INDIRECT("'※ 재무_세부시트'!"&amp;U$1&amp;$V41, TRUE)</f>
        <v>6.8551739000000005</v>
      </c>
      <c r="V41" s="581">
        <v>40</v>
      </c>
      <c r="W41" s="581"/>
      <c r="X41" s="591"/>
      <c r="Y41" s="591"/>
    </row>
    <row r="42" spans="1:30" ht="19.5" customHeight="1" outlineLevel="1" x14ac:dyDescent="0.55000000000000004">
      <c r="A42" s="593"/>
      <c r="B42" s="556"/>
      <c r="C42" s="675"/>
      <c r="D42" s="642" t="s">
        <v>876</v>
      </c>
      <c r="E42" s="677" t="s">
        <v>737</v>
      </c>
      <c r="F42" s="6714" cm="1">
        <f t="array" aca="1" ref="F42" ca="1">INDIRECT("'※ 재무_세부시트'!"&amp;F$1&amp;$V42, TRUE)</f>
        <v>26.4714925</v>
      </c>
      <c r="G42" s="6822" cm="1">
        <f t="array" aca="1" ref="G42" ca="1">INDIRECT("'※ 재무_세부시트'!"&amp;G$1&amp;$V42, TRUE)</f>
        <v>1.7700148</v>
      </c>
      <c r="H42" s="6676" cm="1">
        <f t="array" aca="1" ref="H42" ca="1">INDIRECT("'※ 재무_세부시트'!"&amp;H$1&amp;$V42, TRUE)</f>
        <v>1.7853178999999999</v>
      </c>
      <c r="I42" s="6676" cm="1">
        <f t="array" aca="1" ref="I42" ca="1">INDIRECT("'※ 재무_세부시트'!"&amp;I$1&amp;$V42, TRUE)</f>
        <v>1.8493655</v>
      </c>
      <c r="J42" s="6676" cm="1">
        <f t="array" aca="1" ref="J42" ca="1">INDIRECT("'※ 재무_세부시트'!"&amp;J$1&amp;$V42, TRUE)</f>
        <v>1.9933751</v>
      </c>
      <c r="K42" s="6676" cm="1">
        <f t="array" aca="1" ref="K42" ca="1">INDIRECT("'※ 재무_세부시트'!"&amp;K$1&amp;$V42, TRUE)</f>
        <v>3.1633886000000002</v>
      </c>
      <c r="L42" s="6676" cm="1">
        <f t="array" aca="1" ref="L42" ca="1">INDIRECT("'※ 재무_세부시트'!"&amp;L$1&amp;$V42, TRUE)</f>
        <v>2.9196507999999999</v>
      </c>
      <c r="M42" s="6774" cm="1">
        <f t="array" aca="1" ref="M42" ca="1">INDIRECT("'※ 재무_세부시트'!"&amp;M$1&amp;$V42, TRUE)</f>
        <v>5.3023012000000005</v>
      </c>
      <c r="N42" s="6822" cm="1">
        <f t="array" aca="1" ref="N42" ca="1">INDIRECT("'※ 재무_세부시트'!"&amp;N$1&amp;$V42, TRUE)</f>
        <v>2.0352792000000002</v>
      </c>
      <c r="O42" s="6676" cm="1">
        <f t="array" aca="1" ref="O42" ca="1">INDIRECT("'※ 재무_세부시트'!"&amp;O$1&amp;$V42, TRUE)</f>
        <v>3.2670219999999999</v>
      </c>
      <c r="P42" s="6795" cm="1">
        <f t="array" aca="1" ref="P42" ca="1">INDIRECT("'※ 재무_세부시트'!"&amp;P$1&amp;$V42, TRUE)</f>
        <v>1.2317427999999997</v>
      </c>
      <c r="Q42" s="6795" cm="1">
        <f t="array" aca="1" ref="Q42" ca="1">INDIRECT("'※ 재무_세부시트'!"&amp;Q$1&amp;$V42, TRUE)</f>
        <v>1.4817041</v>
      </c>
      <c r="R42" s="629" cm="1">
        <f t="array" aca="1" ref="R42" ca="1">INDIRECT("'※ 재무_세부시트'!"&amp;R$1&amp;$V42, TRUE)</f>
        <v>5.3023012000000005</v>
      </c>
      <c r="S42" s="630" cm="1">
        <f t="array" aca="1" ref="S42" ca="1">INDIRECT("'※ 재무_세부시트'!"&amp;S$1&amp;$V42, TRUE)</f>
        <v>5.3023012000000005</v>
      </c>
      <c r="T42" s="631" cm="1">
        <f t="array" aca="1" ref="T42" ca="1">INDIRECT("'※ 재무_세부시트'!"&amp;T$1&amp;$V42, TRUE)</f>
        <v>0</v>
      </c>
      <c r="U42" s="633" cm="1">
        <f t="array" aca="1" ref="U42" ca="1">INDIRECT("'※ 재무_세부시트'!"&amp;U$1&amp;$V42, TRUE)</f>
        <v>1.7469685000000004</v>
      </c>
      <c r="V42" s="581">
        <v>41</v>
      </c>
      <c r="W42" s="581"/>
      <c r="X42" s="591"/>
      <c r="Y42" s="591"/>
    </row>
    <row r="43" spans="1:30" ht="19.5" customHeight="1" outlineLevel="1" x14ac:dyDescent="0.55000000000000004">
      <c r="A43" s="593"/>
      <c r="B43" s="556"/>
      <c r="C43" s="675"/>
      <c r="D43" s="642" t="s">
        <v>702</v>
      </c>
      <c r="E43" s="677" t="s">
        <v>739</v>
      </c>
      <c r="F43" s="6714" cm="1">
        <f t="array" aca="1" ref="F43" ca="1">INDIRECT("'※ 재무_세부시트'!"&amp;F$1&amp;$V43, TRUE)</f>
        <v>5.1685333000000009</v>
      </c>
      <c r="G43" s="6822" cm="1">
        <f t="array" aca="1" ref="G43" ca="1">INDIRECT("'※ 재무_세부시트'!"&amp;G$1&amp;$V43, TRUE)</f>
        <v>0.33110000000000001</v>
      </c>
      <c r="H43" s="6676" cm="1">
        <f t="array" aca="1" ref="H43" ca="1">INDIRECT("'※ 재무_세부시트'!"&amp;H$1&amp;$V43, TRUE)</f>
        <v>0.33139999999999997</v>
      </c>
      <c r="I43" s="6676" cm="1">
        <f t="array" aca="1" ref="I43" ca="1">INDIRECT("'※ 재무_세부시트'!"&amp;I$1&amp;$V43, TRUE)</f>
        <v>0.42475833000000002</v>
      </c>
      <c r="J43" s="6676" cm="1">
        <f t="array" aca="1" ref="J43" ca="1">INDIRECT("'※ 재무_세부시트'!"&amp;J$1&amp;$V43, TRUE)</f>
        <v>0.42475833000000002</v>
      </c>
      <c r="K43" s="6676" cm="1">
        <f t="array" aca="1" ref="K43" ca="1">INDIRECT("'※ 재무_세부시트'!"&amp;K$1&amp;$V43, TRUE)</f>
        <v>0.42475833000000002</v>
      </c>
      <c r="L43" s="6676" cm="1">
        <f t="array" aca="1" ref="L43" ca="1">INDIRECT("'※ 재무_세부시트'!"&amp;L$1&amp;$V43, TRUE)</f>
        <v>0.42475833000000002</v>
      </c>
      <c r="M43" s="6774" cm="1">
        <f t="array" aca="1" ref="M43" ca="1">INDIRECT("'※ 재무_세부시트'!"&amp;M$1&amp;$V43, TRUE)</f>
        <v>0.93566670000000007</v>
      </c>
      <c r="N43" s="6822" cm="1">
        <f t="array" aca="1" ref="N43" ca="1">INDIRECT("'※ 재무_세부시트'!"&amp;N$1&amp;$V43, TRUE)</f>
        <v>0.46783332999999999</v>
      </c>
      <c r="O43" s="6676" cm="1">
        <f t="array" aca="1" ref="O43" ca="1">INDIRECT("'※ 재무_세부시트'!"&amp;O$1&amp;$V43, TRUE)</f>
        <v>0.46783337000000003</v>
      </c>
      <c r="P43" s="6795" cm="1">
        <f t="array" aca="1" ref="P43" ca="1">INDIRECT("'※ 재무_세부시트'!"&amp;P$1&amp;$V43, TRUE)</f>
        <v>4.0000000034456917E-8</v>
      </c>
      <c r="Q43" s="6795" cm="1">
        <f t="array" aca="1" ref="Q43" ca="1">INDIRECT("'※ 재무_세부시트'!"&amp;Q$1&amp;$V43, TRUE)</f>
        <v>0.13643337000000005</v>
      </c>
      <c r="R43" s="629" cm="1">
        <f t="array" aca="1" ref="R43" ca="1">INDIRECT("'※ 재무_세부시트'!"&amp;R$1&amp;$V43, TRUE)</f>
        <v>0.93566670000000007</v>
      </c>
      <c r="S43" s="630" cm="1">
        <f t="array" aca="1" ref="S43" ca="1">INDIRECT("'※ 재무_세부시트'!"&amp;S$1&amp;$V43, TRUE)</f>
        <v>0.93566670000000007</v>
      </c>
      <c r="T43" s="631" cm="1">
        <f t="array" aca="1" ref="T43" ca="1">INDIRECT("'※ 재무_세부시트'!"&amp;T$1&amp;$V43, TRUE)</f>
        <v>0</v>
      </c>
      <c r="U43" s="633" cm="1">
        <f t="array" aca="1" ref="U43" ca="1">INDIRECT("'※ 재무_세부시트'!"&amp;U$1&amp;$V43, TRUE)</f>
        <v>0.2731667000000001</v>
      </c>
      <c r="V43" s="581">
        <v>42</v>
      </c>
      <c r="W43" s="581"/>
      <c r="X43" s="591"/>
      <c r="Y43" s="591"/>
    </row>
    <row r="44" spans="1:30" ht="19.5" customHeight="1" outlineLevel="1" x14ac:dyDescent="0.55000000000000004">
      <c r="A44" s="593"/>
      <c r="B44" s="678"/>
      <c r="C44" s="679"/>
      <c r="D44" s="680" t="s">
        <v>117</v>
      </c>
      <c r="E44" s="681" t="s">
        <v>1022</v>
      </c>
      <c r="F44" s="6707" cm="1">
        <f t="array" aca="1" ref="F44" ca="1">INDIRECT("'※ 재무_세부시트'!"&amp;F$1&amp;$V44, TRUE)</f>
        <v>28.043897410000007</v>
      </c>
      <c r="G44" s="6817" cm="1">
        <f t="array" aca="1" ref="G44" ca="1">INDIRECT("'※ 재무_세부시트'!"&amp;G$1&amp;$V44, TRUE)</f>
        <v>0.61877860999999745</v>
      </c>
      <c r="H44" s="4267" cm="1">
        <f t="array" aca="1" ref="H44" ca="1">INDIRECT("'※ 재무_세부시트'!"&amp;H$1&amp;$V44, TRUE)</f>
        <v>1.2390160199999971</v>
      </c>
      <c r="I44" s="4267" cm="1">
        <f t="array" aca="1" ref="I44" ca="1">INDIRECT("'※ 재무_세부시트'!"&amp;I$1&amp;$V44, TRUE)</f>
        <v>2.6875895499999998</v>
      </c>
      <c r="J44" s="4267" cm="1">
        <f t="array" aca="1" ref="J44" ca="1">INDIRECT("'※ 재무_세부시트'!"&amp;J$1&amp;$V44, TRUE)</f>
        <v>4.1530466300000022</v>
      </c>
      <c r="K44" s="4267" cm="1">
        <f t="array" aca="1" ref="K44" ca="1">INDIRECT("'※ 재무_세부시트'!"&amp;K$1&amp;$V44, TRUE)</f>
        <v>4.1949238599999976</v>
      </c>
      <c r="L44" s="4267" cm="1">
        <f t="array" aca="1" ref="L44" ca="1">INDIRECT("'※ 재무_세부시트'!"&amp;L$1&amp;$V44, TRUE)</f>
        <v>5.2549286499999974</v>
      </c>
      <c r="M44" s="6767" cm="1">
        <f t="array" aca="1" ref="M44" ca="1">INDIRECT("'※ 재무_세부시트'!"&amp;M$1&amp;$V44, TRUE)</f>
        <v>2.8897953699999981</v>
      </c>
      <c r="N44" s="6817" cm="1">
        <f t="array" aca="1" ref="N44" ca="1">INDIRECT("'※ 재무_세부시트'!"&amp;N$1&amp;$V44, TRUE)</f>
        <v>1.750810839999998</v>
      </c>
      <c r="O44" s="4267" cm="1">
        <f t="array" aca="1" ref="O44" ca="1">INDIRECT("'※ 재무_세부시트'!"&amp;O$1&amp;$V44, TRUE)</f>
        <v>1.1389845300000001</v>
      </c>
      <c r="P44" s="6792" cm="1">
        <f t="array" aca="1" ref="P44" ca="1">INDIRECT("'※ 재무_세부시트'!"&amp;P$1&amp;$V44, TRUE)</f>
        <v>-0.61182630999999787</v>
      </c>
      <c r="Q44" s="6792" cm="1">
        <f t="array" aca="1" ref="Q44" ca="1">INDIRECT("'※ 재무_세부시트'!"&amp;Q$1&amp;$V44, TRUE)</f>
        <v>-0.100031489999997</v>
      </c>
      <c r="R44" s="599" cm="1">
        <f t="array" aca="1" ref="R44" ca="1">INDIRECT("'※ 재무_세부시트'!"&amp;R$1&amp;$V44, TRUE)</f>
        <v>2.8897953699999981</v>
      </c>
      <c r="S44" s="598" cm="1">
        <f t="array" aca="1" ref="S44" ca="1">INDIRECT("'※ 재무_세부시트'!"&amp;S$1&amp;$V44, TRUE)</f>
        <v>2.8897953699999981</v>
      </c>
      <c r="T44" s="600" cm="1">
        <f t="array" aca="1" ref="T44" ca="1">INDIRECT("'※ 재무_세부시트'!"&amp;T$1&amp;$V44, TRUE)</f>
        <v>0</v>
      </c>
      <c r="U44" s="601" cm="1">
        <f t="array" aca="1" ref="U44" ca="1">INDIRECT("'※ 재무_세부시트'!"&amp;U$1&amp;$V44, TRUE)</f>
        <v>1.0320007400000035</v>
      </c>
      <c r="V44" s="581">
        <v>43</v>
      </c>
      <c r="W44" s="581"/>
      <c r="X44" s="591"/>
      <c r="Y44" s="591"/>
    </row>
    <row r="45" spans="1:30" ht="25" customHeight="1" x14ac:dyDescent="0.55000000000000004">
      <c r="A45" s="593"/>
      <c r="B45" s="682" t="s">
        <v>1231</v>
      </c>
      <c r="C45" s="682"/>
      <c r="D45" s="683"/>
      <c r="E45" s="683"/>
      <c r="F45" s="6709" cm="1">
        <f t="array" aca="1" ref="F45" ca="1">INDIRECT("'※ 재무_세부시트'!"&amp;F$1&amp;$V45, TRUE)</f>
        <v>556.58424025999989</v>
      </c>
      <c r="G45" s="6820" cm="1">
        <f t="array" aca="1" ref="G45" ca="1">INDIRECT("'※ 재무_세부시트'!"&amp;G$1&amp;$V45, TRUE)</f>
        <v>27.073064489999997</v>
      </c>
      <c r="H45" s="6821" cm="1">
        <f t="array" aca="1" ref="H45" ca="1">INDIRECT("'※ 재무_세부시트'!"&amp;H$1&amp;$V45, TRUE)</f>
        <v>66.257026330000002</v>
      </c>
      <c r="I45" s="6821" cm="1">
        <f t="array" aca="1" ref="I45" ca="1">INDIRECT("'※ 재무_세부시트'!"&amp;I$1&amp;$V45, TRUE)</f>
        <v>48.406044970000004</v>
      </c>
      <c r="J45" s="6821" cm="1">
        <f t="array" aca="1" ref="J45" ca="1">INDIRECT("'※ 재무_세부시트'!"&amp;J$1&amp;$V45, TRUE)</f>
        <v>36.010909999999996</v>
      </c>
      <c r="K45" s="6821" cm="1">
        <f t="array" aca="1" ref="K45" ca="1">INDIRECT("'※ 재무_세부시트'!"&amp;K$1&amp;$V45, TRUE)</f>
        <v>42.548448689999994</v>
      </c>
      <c r="L45" s="6821" cm="1">
        <f t="array" aca="1" ref="L45" ca="1">INDIRECT("'※ 재무_세부시트'!"&amp;L$1&amp;$V45, TRUE)</f>
        <v>47.556311380000004</v>
      </c>
      <c r="M45" s="6769" cm="1">
        <f t="array" aca="1" ref="M45" ca="1">INDIRECT("'※ 재무_세부시트'!"&amp;M$1&amp;$V45, TRUE)</f>
        <v>42.643240469999995</v>
      </c>
      <c r="N45" s="6820" cm="1">
        <f t="array" aca="1" ref="N45" ca="1">INDIRECT("'※ 재무_세부시트'!"&amp;N$1&amp;$V45, TRUE)</f>
        <v>14.733423269999999</v>
      </c>
      <c r="O45" s="6821" cm="1">
        <f t="array" aca="1" ref="O45" ca="1">INDIRECT("'※ 재무_세부시트'!"&amp;O$1&amp;$V45, TRUE)</f>
        <v>27.909817199999999</v>
      </c>
      <c r="P45" s="6794" cm="1">
        <f t="array" aca="1" ref="P45" ca="1">INDIRECT("'※ 재무_세부시트'!"&amp;P$1&amp;$V45, TRUE)</f>
        <v>13.17639393</v>
      </c>
      <c r="Q45" s="6794" cm="1">
        <f t="array" aca="1" ref="Q45" ca="1">INDIRECT("'※ 재무_세부시트'!"&amp;Q$1&amp;$V45, TRUE)</f>
        <v>-38.347209130000003</v>
      </c>
      <c r="R45" s="620" cm="1">
        <f t="array" aca="1" ref="R45" ca="1">INDIRECT("'※ 재무_세부시트'!"&amp;R$1&amp;$V45, TRUE)</f>
        <v>42.643240469999995</v>
      </c>
      <c r="S45" s="619" cm="1">
        <f t="array" aca="1" ref="S45" ca="1">INDIRECT("'※ 재무_세부시트'!"&amp;S$1&amp;$V45, TRUE)</f>
        <v>42.643240469999995</v>
      </c>
      <c r="T45" s="621" cm="1">
        <f t="array" aca="1" ref="T45" ca="1">INDIRECT("'※ 재무_세부시트'!"&amp;T$1&amp;$V45, TRUE)</f>
        <v>0</v>
      </c>
      <c r="U45" s="622" cm="1">
        <f t="array" aca="1" ref="U45" ca="1">INDIRECT("'※ 재무_세부시트'!"&amp;U$1&amp;$V45, TRUE)</f>
        <v>-50.68685035</v>
      </c>
      <c r="V45" s="581">
        <v>44</v>
      </c>
      <c r="W45" s="581"/>
      <c r="X45" s="591"/>
      <c r="Y45" s="591"/>
    </row>
    <row r="46" spans="1:30" ht="19.5" customHeight="1" x14ac:dyDescent="0.55000000000000004">
      <c r="A46" s="593"/>
      <c r="B46" s="678"/>
      <c r="C46" s="681" t="s">
        <v>104</v>
      </c>
      <c r="D46" s="681"/>
      <c r="E46" s="681"/>
      <c r="F46" s="6707" cm="1">
        <f t="array" aca="1" ref="F46" ca="1">INDIRECT("'※ 재무_세부시트'!"&amp;F$1&amp;$V46, TRUE)</f>
        <v>369.50460848000006</v>
      </c>
      <c r="G46" s="6817" cm="1">
        <f t="array" aca="1" ref="G46" ca="1">INDIRECT("'※ 재무_세부시트'!"&amp;G$1&amp;$V46, TRUE)</f>
        <v>6.2247795200000002</v>
      </c>
      <c r="H46" s="4267" cm="1">
        <f t="array" aca="1" ref="H46" ca="1">INDIRECT("'※ 재무_세부시트'!"&amp;H$1&amp;$V46, TRUE)</f>
        <v>41.723454240000002</v>
      </c>
      <c r="I46" s="4267" cm="1">
        <f t="array" aca="1" ref="I46" ca="1">INDIRECT("'※ 재무_세부시트'!"&amp;I$1&amp;$V46, TRUE)</f>
        <v>33.803715529999998</v>
      </c>
      <c r="J46" s="4267" cm="1">
        <f t="array" aca="1" ref="J46" ca="1">INDIRECT("'※ 재무_세부시트'!"&amp;J$1&amp;$V46, TRUE)</f>
        <v>17.317671820000001</v>
      </c>
      <c r="K46" s="4267" cm="1">
        <f t="array" aca="1" ref="K46" ca="1">INDIRECT("'※ 재무_세부시트'!"&amp;K$1&amp;$V46, TRUE)</f>
        <v>33.886691740000003</v>
      </c>
      <c r="L46" s="4267" cm="1">
        <f t="array" aca="1" ref="L46" ca="1">INDIRECT("'※ 재무_세부시트'!"&amp;L$1&amp;$V46, TRUE)</f>
        <v>36.226487110000001</v>
      </c>
      <c r="M46" s="6767" cm="1">
        <f t="array" aca="1" ref="M46" ca="1">INDIRECT("'※ 재무_세부시트'!"&amp;M$1&amp;$V46, TRUE)</f>
        <v>26.881094365000003</v>
      </c>
      <c r="N46" s="6817" cm="1">
        <f t="array" aca="1" ref="N46" ca="1">INDIRECT("'※ 재무_세부시트'!"&amp;N$1&amp;$V46, TRUE)</f>
        <v>6.6673620949999997</v>
      </c>
      <c r="O46" s="4267" cm="1">
        <f t="array" aca="1" ref="O46" ca="1">INDIRECT("'※ 재무_세부시트'!"&amp;O$1&amp;$V46, TRUE)</f>
        <v>20.213732270000001</v>
      </c>
      <c r="P46" s="6792" cm="1">
        <f t="array" aca="1" ref="P46" ca="1">INDIRECT("'※ 재무_세부시트'!"&amp;P$1&amp;$V46, TRUE)</f>
        <v>13.546370175000002</v>
      </c>
      <c r="Q46" s="6792" cm="1">
        <f t="array" aca="1" ref="Q46" ca="1">INDIRECT("'※ 재무_세부시트'!"&amp;Q$1&amp;$V46, TRUE)</f>
        <v>-21.509721970000001</v>
      </c>
      <c r="R46" s="599" cm="1">
        <f t="array" aca="1" ref="R46" ca="1">INDIRECT("'※ 재무_세부시트'!"&amp;R$1&amp;$V46, TRUE)</f>
        <v>26.881094365000003</v>
      </c>
      <c r="S46" s="598" cm="1">
        <f t="array" aca="1" ref="S46" ca="1">INDIRECT("'※ 재무_세부시트'!"&amp;S$1&amp;$V46, TRUE)</f>
        <v>26.881094365000003</v>
      </c>
      <c r="T46" s="600" cm="1">
        <f t="array" aca="1" ref="T46" ca="1">INDIRECT("'※ 재무_세부시트'!"&amp;T$1&amp;$V46, TRUE)</f>
        <v>0</v>
      </c>
      <c r="U46" s="601" cm="1">
        <f t="array" aca="1" ref="U46" ca="1">INDIRECT("'※ 재무_세부시트'!"&amp;U$1&amp;$V46, TRUE)</f>
        <v>-21.067139394999998</v>
      </c>
      <c r="V46" s="581">
        <v>45</v>
      </c>
      <c r="W46" s="581"/>
      <c r="X46" s="591"/>
      <c r="Y46" s="591"/>
    </row>
    <row r="47" spans="1:30" ht="19.5" customHeight="1" x14ac:dyDescent="0.55000000000000004">
      <c r="A47" s="593"/>
      <c r="B47" s="678"/>
      <c r="C47" s="681" t="s">
        <v>105</v>
      </c>
      <c r="D47" s="681"/>
      <c r="E47" s="681"/>
      <c r="F47" s="6707" cm="1">
        <f t="array" aca="1" ref="F47" ca="1">INDIRECT("'※ 재무_세부시트'!"&amp;F$1&amp;$V47, TRUE)</f>
        <v>99.962837759999999</v>
      </c>
      <c r="G47" s="6817" cm="1">
        <f t="array" aca="1" ref="G47" ca="1">INDIRECT("'※ 재무_세부시트'!"&amp;G$1&amp;$V47, TRUE)</f>
        <v>5.1468545299999997</v>
      </c>
      <c r="H47" s="4267" cm="1">
        <f t="array" aca="1" ref="H47" ca="1">INDIRECT("'※ 재무_세부시트'!"&amp;H$1&amp;$V47, TRUE)</f>
        <v>7.8131886499999998</v>
      </c>
      <c r="I47" s="4267" cm="1">
        <f t="array" aca="1" ref="I47" ca="1">INDIRECT("'※ 재무_세부시트'!"&amp;I$1&amp;$V47, TRUE)</f>
        <v>4.2391668100000004</v>
      </c>
      <c r="J47" s="4267" cm="1">
        <f t="array" aca="1" ref="J47" ca="1">INDIRECT("'※ 재무_세부시트'!"&amp;J$1&amp;$V47, TRUE)</f>
        <v>9.1465706600000001</v>
      </c>
      <c r="K47" s="4267" cm="1">
        <f t="array" aca="1" ref="K47" ca="1">INDIRECT("'※ 재무_세부시트'!"&amp;K$1&amp;$V47, TRUE)</f>
        <v>2.31143455</v>
      </c>
      <c r="L47" s="4267" cm="1">
        <f t="array" aca="1" ref="L47" ca="1">INDIRECT("'※ 재무_세부시트'!"&amp;L$1&amp;$V47, TRUE)</f>
        <v>5.93451182</v>
      </c>
      <c r="M47" s="6767" cm="1">
        <f t="array" aca="1" ref="M47" ca="1">INDIRECT("'※ 재무_세부시트'!"&amp;M$1&amp;$V47, TRUE)</f>
        <v>9.1741863349999999</v>
      </c>
      <c r="N47" s="6817" cm="1">
        <f t="array" aca="1" ref="N47" ca="1">INDIRECT("'※ 재무_세부시트'!"&amp;N$1&amp;$V47, TRUE)</f>
        <v>3.260368165</v>
      </c>
      <c r="O47" s="4267" cm="1">
        <f t="array" aca="1" ref="O47" ca="1">INDIRECT("'※ 재무_세부시트'!"&amp;O$1&amp;$V47, TRUE)</f>
        <v>5.9138181699999999</v>
      </c>
      <c r="P47" s="6792" cm="1">
        <f t="array" aca="1" ref="P47" ca="1">INDIRECT("'※ 재무_세부시트'!"&amp;P$1&amp;$V47, TRUE)</f>
        <v>2.6534500049999998</v>
      </c>
      <c r="Q47" s="6792" cm="1">
        <f t="array" aca="1" ref="Q47" ca="1">INDIRECT("'※ 재무_세부시트'!"&amp;Q$1&amp;$V47, TRUE)</f>
        <v>-1.89937048</v>
      </c>
      <c r="R47" s="599" cm="1">
        <f t="array" aca="1" ref="R47" ca="1">INDIRECT("'※ 재무_세부시트'!"&amp;R$1&amp;$V47, TRUE)</f>
        <v>9.1741863349999999</v>
      </c>
      <c r="S47" s="598" cm="1">
        <f t="array" aca="1" ref="S47" ca="1">INDIRECT("'※ 재무_세부시트'!"&amp;S$1&amp;$V47, TRUE)</f>
        <v>9.1741863349999999</v>
      </c>
      <c r="T47" s="600" cm="1">
        <f t="array" aca="1" ref="T47" ca="1">INDIRECT("'※ 재무_세부시트'!"&amp;T$1&amp;$V47, TRUE)</f>
        <v>0</v>
      </c>
      <c r="U47" s="601" cm="1">
        <f t="array" aca="1" ref="U47" ca="1">INDIRECT("'※ 재무_세부시트'!"&amp;U$1&amp;$V47, TRUE)</f>
        <v>-3.7858568449999996</v>
      </c>
      <c r="V47" s="581">
        <v>46</v>
      </c>
      <c r="W47" s="581"/>
      <c r="X47" s="591"/>
      <c r="Y47" s="591"/>
    </row>
    <row r="48" spans="1:30" ht="19.5" customHeight="1" x14ac:dyDescent="0.55000000000000004">
      <c r="A48" s="684"/>
      <c r="B48" s="678"/>
      <c r="C48" s="681" t="s">
        <v>106</v>
      </c>
      <c r="D48" s="681"/>
      <c r="E48" s="681"/>
      <c r="F48" s="6707" cm="1">
        <f t="array" aca="1" ref="F48" ca="1">INDIRECT("'※ 재무_세부시트'!"&amp;F$1&amp;$V48, TRUE)</f>
        <v>66.510350460000012</v>
      </c>
      <c r="G48" s="6817" cm="1">
        <f t="array" aca="1" ref="G48" ca="1">INDIRECT("'※ 재무_세부시트'!"&amp;G$1&amp;$V48, TRUE)</f>
        <v>15.04792136</v>
      </c>
      <c r="H48" s="4267" cm="1">
        <f t="array" aca="1" ref="H48" ca="1">INDIRECT("'※ 재무_세부시트'!"&amp;H$1&amp;$V48, TRUE)</f>
        <v>15.968165239999999</v>
      </c>
      <c r="I48" s="4267" cm="1">
        <f t="array" aca="1" ref="I48" ca="1">INDIRECT("'※ 재무_세부시트'!"&amp;I$1&amp;$V48, TRUE)</f>
        <v>9.4010444500000006</v>
      </c>
      <c r="J48" s="4267" cm="1">
        <f t="array" aca="1" ref="J48" ca="1">INDIRECT("'※ 재무_세부시트'!"&amp;J$1&amp;$V48, TRUE)</f>
        <v>6.3480070599999996</v>
      </c>
      <c r="K48" s="4267" cm="1">
        <f t="array" aca="1" ref="K48" ca="1">INDIRECT("'※ 재무_세부시트'!"&amp;K$1&amp;$V48, TRUE)</f>
        <v>5.4892405799999997</v>
      </c>
      <c r="L48" s="4267" cm="1">
        <f t="array" aca="1" ref="L48" ca="1">INDIRECT("'※ 재무_세부시트'!"&amp;L$1&amp;$V48, TRUE)</f>
        <v>4.7302215399999996</v>
      </c>
      <c r="M48" s="6767" cm="1">
        <f t="array" aca="1" ref="M48" ca="1">INDIRECT("'※ 재무_세부시트'!"&amp;M$1&amp;$V48, TRUE)</f>
        <v>2.8112233899999999</v>
      </c>
      <c r="N48" s="6817" cm="1">
        <f t="array" aca="1" ref="N48" ca="1">INDIRECT("'※ 재무_세부시트'!"&amp;N$1&amp;$V48, TRUE)</f>
        <v>2.6226311899999999</v>
      </c>
      <c r="O48" s="4267" cm="1">
        <f t="array" aca="1" ref="O48" ca="1">INDIRECT("'※ 재무_세부시트'!"&amp;O$1&amp;$V48, TRUE)</f>
        <v>0.18859219999999999</v>
      </c>
      <c r="P48" s="6792" cm="1">
        <f t="array" aca="1" ref="P48" ca="1">INDIRECT("'※ 재무_세부시트'!"&amp;P$1&amp;$V48, TRUE)</f>
        <v>-2.4340389899999999</v>
      </c>
      <c r="Q48" s="6792" cm="1">
        <f t="array" aca="1" ref="Q48" ca="1">INDIRECT("'※ 재무_세부시트'!"&amp;Q$1&amp;$V48, TRUE)</f>
        <v>-15.779573039999999</v>
      </c>
      <c r="R48" s="599" cm="1">
        <f t="array" aca="1" ref="R48" ca="1">INDIRECT("'※ 재무_세부시트'!"&amp;R$1&amp;$V48, TRUE)</f>
        <v>2.8112233899999999</v>
      </c>
      <c r="S48" s="598" cm="1">
        <f t="array" aca="1" ref="S48" ca="1">INDIRECT("'※ 재무_세부시트'!"&amp;S$1&amp;$V48, TRUE)</f>
        <v>2.8112233899999999</v>
      </c>
      <c r="T48" s="600" cm="1">
        <f t="array" aca="1" ref="T48" ca="1">INDIRECT("'※ 재무_세부시트'!"&amp;T$1&amp;$V48, TRUE)</f>
        <v>0</v>
      </c>
      <c r="U48" s="601" cm="1">
        <f t="array" aca="1" ref="U48" ca="1">INDIRECT("'※ 재무_세부시트'!"&amp;U$1&amp;$V48, TRUE)</f>
        <v>-28.204863210000003</v>
      </c>
      <c r="V48" s="581">
        <v>47</v>
      </c>
      <c r="W48" s="581"/>
      <c r="X48" s="591"/>
      <c r="Y48" s="591"/>
    </row>
    <row r="49" spans="1:25" ht="19.5" customHeight="1" x14ac:dyDescent="0.55000000000000004">
      <c r="A49" s="684"/>
      <c r="B49" s="678"/>
      <c r="C49" s="681" t="s">
        <v>1027</v>
      </c>
      <c r="D49" s="681"/>
      <c r="E49" s="681"/>
      <c r="F49" s="6707" cm="1">
        <f t="array" aca="1" ref="F49" ca="1">INDIRECT("'※ 재무_세부시트'!"&amp;F$1&amp;$V49, TRUE)</f>
        <v>20.606443559999999</v>
      </c>
      <c r="G49" s="6817" cm="1">
        <f t="array" aca="1" ref="G49" ca="1">INDIRECT("'※ 재무_세부시트'!"&amp;G$1&amp;$V49, TRUE)</f>
        <v>0.65350907999999563</v>
      </c>
      <c r="H49" s="4267" cm="1">
        <f t="array" aca="1" ref="H49" ca="1">INDIRECT("'※ 재무_세부시트'!"&amp;H$1&amp;$V49, TRUE)</f>
        <v>0.75221819999999973</v>
      </c>
      <c r="I49" s="4267" cm="1">
        <f t="array" aca="1" ref="I49" ca="1">INDIRECT("'※ 재무_세부시트'!"&amp;I$1&amp;$V49, TRUE)</f>
        <v>0.96211818000000449</v>
      </c>
      <c r="J49" s="4267" cm="1">
        <f t="array" aca="1" ref="J49" ca="1">INDIRECT("'※ 재무_세부시트'!"&amp;J$1&amp;$V49, TRUE)</f>
        <v>3.1986604599999948</v>
      </c>
      <c r="K49" s="4267" cm="1">
        <f t="array" aca="1" ref="K49" ca="1">INDIRECT("'※ 재무_세부시트'!"&amp;K$1&amp;$V49, TRUE)</f>
        <v>0.861081819999991</v>
      </c>
      <c r="L49" s="4267" cm="1">
        <f t="array" aca="1" ref="L49" ca="1">INDIRECT("'※ 재무_세부시트'!"&amp;L$1&amp;$V49, TRUE)</f>
        <v>0.66509091000000353</v>
      </c>
      <c r="M49" s="6767" cm="1">
        <f t="array" aca="1" ref="M49" ca="1">INDIRECT("'※ 재무_세부시트'!"&amp;M$1&amp;$V49, TRUE)</f>
        <v>3.77673638</v>
      </c>
      <c r="N49" s="6817" cm="1">
        <f t="array" aca="1" ref="N49" ca="1">INDIRECT("'※ 재무_세부시트'!"&amp;N$1&amp;$V49, TRUE)</f>
        <v>2.1830618199999998</v>
      </c>
      <c r="O49" s="4267" cm="1">
        <f t="array" aca="1" ref="O49" ca="1">INDIRECT("'※ 재무_세부시트'!"&amp;O$1&amp;$V49, TRUE)</f>
        <v>1.59367456</v>
      </c>
      <c r="P49" s="6792" cm="1">
        <f t="array" aca="1" ref="P49" ca="1">INDIRECT("'※ 재무_세부시트'!"&amp;P$1&amp;$V49, TRUE)</f>
        <v>-0.58938725999999986</v>
      </c>
      <c r="Q49" s="6792" cm="1">
        <f t="array" aca="1" ref="Q49" ca="1">INDIRECT("'※ 재무_세부시트'!"&amp;Q$1&amp;$V49, TRUE)</f>
        <v>0.84145636000000024</v>
      </c>
      <c r="R49" s="599" cm="1">
        <f t="array" aca="1" ref="R49" ca="1">INDIRECT("'※ 재무_세부시트'!"&amp;R$1&amp;$V49, TRUE)</f>
        <v>3.77673638</v>
      </c>
      <c r="S49" s="598" cm="1">
        <f t="array" aca="1" ref="S49" ca="1">INDIRECT("'※ 재무_세부시트'!"&amp;S$1&amp;$V49, TRUE)</f>
        <v>3.77673638</v>
      </c>
      <c r="T49" s="600" cm="1">
        <f t="array" aca="1" ref="T49" ca="1">INDIRECT("'※ 재무_세부시트'!"&amp;T$1&amp;$V49, TRUE)</f>
        <v>0</v>
      </c>
      <c r="U49" s="601" cm="1">
        <f t="array" aca="1" ref="U49" ca="1">INDIRECT("'※ 재무_세부시트'!"&amp;U$1&amp;$V49, TRUE)</f>
        <v>2.3710091000000046</v>
      </c>
      <c r="V49" s="581">
        <v>48</v>
      </c>
      <c r="W49" s="581"/>
      <c r="X49" s="591"/>
      <c r="Y49" s="591"/>
    </row>
    <row r="50" spans="1:25" ht="19.5" customHeight="1" x14ac:dyDescent="0.55000000000000004">
      <c r="A50" s="684"/>
      <c r="B50" s="678"/>
      <c r="C50" s="685" t="s">
        <v>582</v>
      </c>
      <c r="D50" s="685"/>
      <c r="E50" s="685"/>
      <c r="F50" s="6715" cm="1">
        <f t="array" aca="1" ref="F50" ca="1">INDIRECT("'※ 재무_세부시트'!"&amp;F$1&amp;$V50, TRUE)</f>
        <v>46.425858740000002</v>
      </c>
      <c r="G50" s="6829" cm="1">
        <f t="array" aca="1" ref="G50" ca="1">INDIRECT("'※ 재무_세부시트'!"&amp;G$1&amp;$V50, TRUE)</f>
        <v>4.66591544</v>
      </c>
      <c r="H50" s="6830" cm="1">
        <f t="array" aca="1" ref="H50" ca="1">INDIRECT("'※ 재무_세부시트'!"&amp;H$1&amp;$V50, TRUE)</f>
        <v>8.2890091699999999</v>
      </c>
      <c r="I50" s="6830" cm="1">
        <f t="array" aca="1" ref="I50" ca="1">INDIRECT("'※ 재무_세부시트'!"&amp;I$1&amp;$V50, TRUE)</f>
        <v>1.44309244</v>
      </c>
      <c r="J50" s="6830" cm="1">
        <f t="array" aca="1" ref="J50" ca="1">INDIRECT("'※ 재무_세부시트'!"&amp;J$1&amp;$V50, TRUE)</f>
        <v>5.6274242399999999</v>
      </c>
      <c r="K50" s="6830" cm="1">
        <f t="array" aca="1" ref="K50" ca="1">INDIRECT("'※ 재무_세부시트'!"&amp;K$1&amp;$V50, TRUE)</f>
        <v>1.8754223999999999</v>
      </c>
      <c r="L50" s="6830" cm="1">
        <f t="array" aca="1" ref="L50" ca="1">INDIRECT("'※ 재무_세부시트'!"&amp;L$1&amp;$V50, TRUE)</f>
        <v>2.8103056400000002</v>
      </c>
      <c r="M50" s="6775" cm="1">
        <f t="array" aca="1" ref="M50" ca="1">INDIRECT("'※ 재무_세부시트'!"&amp;M$1&amp;$V50, TRUE)</f>
        <v>5.0508838300000001</v>
      </c>
      <c r="N50" s="6829" cm="1">
        <f t="array" aca="1" ref="N50" ca="1">INDIRECT("'※ 재무_세부시트'!"&amp;N$1&amp;$V50, TRUE)</f>
        <v>3.9735316300000001</v>
      </c>
      <c r="O50" s="6830" cm="1">
        <f t="array" aca="1" ref="O50" ca="1">INDIRECT("'※ 재무_세부시트'!"&amp;O$1&amp;$V50, TRUE)</f>
        <v>1.0773522</v>
      </c>
      <c r="P50" s="6799" cm="1">
        <f t="array" aca="1" ref="P50" ca="1">INDIRECT("'※ 재무_세부시트'!"&amp;P$1&amp;$V50, TRUE)</f>
        <v>-2.8961794300000001</v>
      </c>
      <c r="Q50" s="6799" cm="1">
        <f t="array" aca="1" ref="Q50" ca="1">INDIRECT("'※ 재무_세부시트'!"&amp;Q$1&amp;$V50, TRUE)</f>
        <v>-7.2116569699999999</v>
      </c>
      <c r="R50" s="687" cm="1">
        <f t="array" aca="1" ref="R50" ca="1">INDIRECT("'※ 재무_세부시트'!"&amp;R$1&amp;$V50, TRUE)</f>
        <v>5.0508838300000001</v>
      </c>
      <c r="S50" s="686" cm="1">
        <f t="array" aca="1" ref="S50" ca="1">INDIRECT("'※ 재무_세부시트'!"&amp;S$1&amp;$V50, TRUE)</f>
        <v>5.0508838300000001</v>
      </c>
      <c r="T50" s="688" cm="1">
        <f t="array" aca="1" ref="T50" ca="1">INDIRECT("'※ 재무_세부시트'!"&amp;T$1&amp;$V50, TRUE)</f>
        <v>0</v>
      </c>
      <c r="U50" s="689" cm="1">
        <f t="array" aca="1" ref="U50" ca="1">INDIRECT("'※ 재무_세부시트'!"&amp;U$1&amp;$V50, TRUE)</f>
        <v>-7.904040779999999</v>
      </c>
      <c r="V50" s="581">
        <v>49</v>
      </c>
      <c r="W50" s="581"/>
      <c r="X50" s="591"/>
      <c r="Y50" s="591"/>
    </row>
    <row r="51" spans="1:25" ht="19.5" customHeight="1" x14ac:dyDescent="0.55000000000000004">
      <c r="A51" s="684"/>
      <c r="B51" s="678"/>
      <c r="C51" s="685"/>
      <c r="D51" s="685" t="s">
        <v>6</v>
      </c>
      <c r="E51" s="685"/>
      <c r="F51" s="6715" cm="1">
        <f t="array" aca="1" ref="F51" ca="1">INDIRECT("'※ 재무_세부시트'!"&amp;F$1&amp;$V51, TRUE)</f>
        <v>33.145778679999992</v>
      </c>
      <c r="G51" s="6829" cm="1">
        <f t="array" aca="1" ref="G51" ca="1">INDIRECT("'※ 재무_세부시트'!"&amp;G$1&amp;$V51, TRUE)</f>
        <v>4.0313889400000003</v>
      </c>
      <c r="H51" s="6830" cm="1">
        <f t="array" aca="1" ref="H51" ca="1">INDIRECT("'※ 재무_세부시트'!"&amp;H$1&amp;$V51, TRUE)</f>
        <v>7.79633368</v>
      </c>
      <c r="I51" s="6830" cm="1">
        <f t="array" aca="1" ref="I51" ca="1">INDIRECT("'※ 재무_세부시트'!"&amp;I$1&amp;$V51, TRUE)</f>
        <v>0.87665234999999997</v>
      </c>
      <c r="J51" s="6830" cm="1">
        <f t="array" aca="1" ref="J51" ca="1">INDIRECT("'※ 재무_세부시트'!"&amp;J$1&amp;$V51, TRUE)</f>
        <v>2.3474600900000002</v>
      </c>
      <c r="K51" s="6830" cm="1">
        <f t="array" aca="1" ref="K51" ca="1">INDIRECT("'※ 재무_세부시트'!"&amp;K$1&amp;$V51, TRUE)</f>
        <v>1.3750335499999999</v>
      </c>
      <c r="L51" s="6830" cm="1">
        <f t="array" aca="1" ref="L51" ca="1">INDIRECT("'※ 재무_세부시트'!"&amp;L$1&amp;$V51, TRUE)</f>
        <v>2.3617353200000002</v>
      </c>
      <c r="M51" s="6775" cm="1">
        <f t="array" aca="1" ref="M51" ca="1">INDIRECT("'※ 재무_세부시트'!"&amp;M$1&amp;$V51, TRUE)</f>
        <v>2.9857357100000002</v>
      </c>
      <c r="N51" s="6829" cm="1">
        <f t="array" aca="1" ref="N51" ca="1">INDIRECT("'※ 재무_세부시트'!"&amp;N$1&amp;$V51, TRUE)</f>
        <v>2.7322076200000001</v>
      </c>
      <c r="O51" s="6830" cm="1">
        <f t="array" aca="1" ref="O51" ca="1">INDIRECT("'※ 재무_세부시트'!"&amp;O$1&amp;$V51, TRUE)</f>
        <v>0.25352808999999998</v>
      </c>
      <c r="P51" s="6799" cm="1">
        <f t="array" aca="1" ref="P51" ca="1">INDIRECT("'※ 재무_세부시트'!"&amp;P$1&amp;$V51, TRUE)</f>
        <v>-2.47867953</v>
      </c>
      <c r="Q51" s="6799" cm="1">
        <f t="array" aca="1" ref="Q51" ca="1">INDIRECT("'※ 재무_세부시트'!"&amp;Q$1&amp;$V51, TRUE)</f>
        <v>-7.5428055900000004</v>
      </c>
      <c r="R51" s="687" cm="1">
        <f t="array" aca="1" ref="R51" ca="1">INDIRECT("'※ 재무_세부시트'!"&amp;R$1&amp;$V51, TRUE)</f>
        <v>2.9857357100000002</v>
      </c>
      <c r="S51" s="686" cm="1">
        <f t="array" aca="1" ref="S51" ca="1">INDIRECT("'※ 재무_세부시트'!"&amp;S$1&amp;$V51, TRUE)</f>
        <v>2.9857357100000002</v>
      </c>
      <c r="T51" s="688" t="str" cm="1">
        <f t="array" aca="1" ref="T51" ca="1">INDIRECT("'※ 재무_세부시트'!"&amp;T$1&amp;$V51, TRUE)</f>
        <v>-</v>
      </c>
      <c r="U51" s="689" cm="1">
        <f t="array" aca="1" ref="U51" ca="1">INDIRECT("'※ 재무_세부시트'!"&amp;U$1&amp;$V51, TRUE)</f>
        <v>-8.8419869099999993</v>
      </c>
      <c r="V51" s="581">
        <v>50</v>
      </c>
      <c r="W51" s="581"/>
      <c r="X51" s="591"/>
      <c r="Y51" s="591"/>
    </row>
    <row r="52" spans="1:25" ht="19.5" customHeight="1" x14ac:dyDescent="0.55000000000000004">
      <c r="A52" s="684"/>
      <c r="B52" s="678"/>
      <c r="C52" s="685"/>
      <c r="D52" s="685" t="s">
        <v>7</v>
      </c>
      <c r="E52" s="685"/>
      <c r="F52" s="6715" cm="1">
        <f t="array" aca="1" ref="F52" ca="1">INDIRECT("'※ 재무_세부시트'!"&amp;F$1&amp;$V52, TRUE)</f>
        <v>13.280080060000001</v>
      </c>
      <c r="G52" s="6829" cm="1">
        <f t="array" aca="1" ref="G52" ca="1">INDIRECT("'※ 재무_세부시트'!"&amp;G$1&amp;$V52, TRUE)</f>
        <v>0.63452649999999999</v>
      </c>
      <c r="H52" s="6830" cm="1">
        <f t="array" aca="1" ref="H52" ca="1">INDIRECT("'※ 재무_세부시트'!"&amp;H$1&amp;$V52, TRUE)</f>
        <v>0.49267549000000005</v>
      </c>
      <c r="I52" s="6830" cm="1">
        <f t="array" aca="1" ref="I52" ca="1">INDIRECT("'※ 재무_세부시트'!"&amp;I$1&amp;$V52, TRUE)</f>
        <v>0.56644008999999995</v>
      </c>
      <c r="J52" s="6830" cm="1">
        <f t="array" aca="1" ref="J52" ca="1">INDIRECT("'※ 재무_세부시트'!"&amp;J$1&amp;$V52, TRUE)</f>
        <v>3.2799641500000001</v>
      </c>
      <c r="K52" s="6830" cm="1">
        <f t="array" aca="1" ref="K52" ca="1">INDIRECT("'※ 재무_세부시트'!"&amp;K$1&amp;$V52, TRUE)</f>
        <v>0.50038885</v>
      </c>
      <c r="L52" s="6830" cm="1">
        <f t="array" aca="1" ref="L52" ca="1">INDIRECT("'※ 재무_세부시트'!"&amp;L$1&amp;$V52, TRUE)</f>
        <v>0.44857031999999997</v>
      </c>
      <c r="M52" s="6775" cm="1">
        <f t="array" aca="1" ref="M52" ca="1">INDIRECT("'※ 재무_세부시트'!"&amp;M$1&amp;$V52, TRUE)</f>
        <v>2.0651481199999999</v>
      </c>
      <c r="N52" s="6829" cm="1">
        <f t="array" aca="1" ref="N52" ca="1">INDIRECT("'※ 재무_세부시트'!"&amp;N$1&amp;$V52, TRUE)</f>
        <v>1.24132401</v>
      </c>
      <c r="O52" s="6830" cm="1">
        <f t="array" aca="1" ref="O52" ca="1">INDIRECT("'※ 재무_세부시트'!"&amp;O$1&amp;$V52, TRUE)</f>
        <v>0.82382411</v>
      </c>
      <c r="P52" s="6799" cm="1">
        <f t="array" aca="1" ref="P52" ca="1">INDIRECT("'※ 재무_세부시트'!"&amp;P$1&amp;$V52, TRUE)</f>
        <v>-0.41749990000000003</v>
      </c>
      <c r="Q52" s="6799" cm="1">
        <f t="array" aca="1" ref="Q52" ca="1">INDIRECT("'※ 재무_세부시트'!"&amp;Q$1&amp;$V52, TRUE)</f>
        <v>0.33114861999999995</v>
      </c>
      <c r="R52" s="687" cm="1">
        <f t="array" aca="1" ref="R52" ca="1">INDIRECT("'※ 재무_세부시트'!"&amp;R$1&amp;$V52, TRUE)</f>
        <v>2.0651481199999999</v>
      </c>
      <c r="S52" s="686" cm="1">
        <f t="array" aca="1" ref="S52" ca="1">INDIRECT("'※ 재무_세부시트'!"&amp;S$1&amp;$V52, TRUE)</f>
        <v>2.0651481199999999</v>
      </c>
      <c r="T52" s="688" cm="1">
        <f t="array" aca="1" ref="T52" ca="1">INDIRECT("'※ 재무_세부시트'!"&amp;T$1&amp;$V52, TRUE)</f>
        <v>0</v>
      </c>
      <c r="U52" s="689" cm="1">
        <f t="array" aca="1" ref="U52" ca="1">INDIRECT("'※ 재무_세부시트'!"&amp;U$1&amp;$V52, TRUE)</f>
        <v>0.93794612999999982</v>
      </c>
      <c r="V52" s="581">
        <v>51</v>
      </c>
      <c r="W52" s="581"/>
      <c r="X52" s="591"/>
      <c r="Y52" s="591"/>
    </row>
    <row r="53" spans="1:25" ht="19.5" customHeight="1" thickBot="1" x14ac:dyDescent="0.6">
      <c r="A53" s="690"/>
      <c r="B53" s="691"/>
      <c r="C53" s="692" t="s">
        <v>583</v>
      </c>
      <c r="D53" s="692"/>
      <c r="E53" s="692"/>
      <c r="F53" s="6716" cm="1">
        <f t="array" aca="1" ref="F53" ca="1">INDIRECT("'※ 재무_세부시트'!"&amp;F$1&amp;$V53, TRUE)</f>
        <v>510.15838152000003</v>
      </c>
      <c r="G53" s="6831" cm="1">
        <f t="array" aca="1" ref="G53" ca="1">INDIRECT("'※ 재무_세부시트'!"&amp;G$1&amp;$V53, TRUE)</f>
        <v>22.407149049999997</v>
      </c>
      <c r="H53" s="6832" cm="1">
        <f t="array" aca="1" ref="H53" ca="1">INDIRECT("'※ 재무_세부시트'!"&amp;H$1&amp;$V53, TRUE)</f>
        <v>57.968017160000002</v>
      </c>
      <c r="I53" s="6832" cm="1">
        <f t="array" aca="1" ref="I53" ca="1">INDIRECT("'※ 재무_세부시트'!"&amp;I$1&amp;$V53, TRUE)</f>
        <v>46.962952530000003</v>
      </c>
      <c r="J53" s="6832" cm="1">
        <f t="array" aca="1" ref="J53" ca="1">INDIRECT("'※ 재무_세부시트'!"&amp;J$1&amp;$V53, TRUE)</f>
        <v>30.383485759999999</v>
      </c>
      <c r="K53" s="6832" cm="1">
        <f t="array" aca="1" ref="K53" ca="1">INDIRECT("'※ 재무_세부시트'!"&amp;K$1&amp;$V53, TRUE)</f>
        <v>40.673026289999996</v>
      </c>
      <c r="L53" s="6832" cm="1">
        <f t="array" aca="1" ref="L53" ca="1">INDIRECT("'※ 재무_세부시트'!"&amp;L$1&amp;$V53, TRUE)</f>
        <v>44.746005740000001</v>
      </c>
      <c r="M53" s="6776" cm="1">
        <f t="array" aca="1" ref="M53" ca="1">INDIRECT("'※ 재무_세부시트'!"&amp;M$1&amp;$V53, TRUE)</f>
        <v>37.592356639999998</v>
      </c>
      <c r="N53" s="6831" cm="1">
        <f t="array" aca="1" ref="N53" ca="1">INDIRECT("'※ 재무_세부시트'!"&amp;N$1&amp;$V53, TRUE)</f>
        <v>10.759891639999999</v>
      </c>
      <c r="O53" s="6832" cm="1">
        <f t="array" aca="1" ref="O53" ca="1">INDIRECT("'※ 재무_세부시트'!"&amp;O$1&amp;$V53, TRUE)</f>
        <v>26.832464999999999</v>
      </c>
      <c r="P53" s="6800" cm="1">
        <f t="array" aca="1" ref="P53" ca="1">INDIRECT("'※ 재무_세부시트'!"&amp;P$1&amp;$V53, TRUE)</f>
        <v>16.07257336</v>
      </c>
      <c r="Q53" s="6800" cm="1">
        <f t="array" aca="1" ref="Q53" ca="1">INDIRECT("'※ 재무_세부시트'!"&amp;Q$1&amp;$V53, TRUE)</f>
        <v>-31.135552160000003</v>
      </c>
      <c r="R53" s="694" cm="1">
        <f t="array" aca="1" ref="R53" ca="1">INDIRECT("'※ 재무_세부시트'!"&amp;R$1&amp;$V53, TRUE)</f>
        <v>37.592356639999998</v>
      </c>
      <c r="S53" s="693" cm="1">
        <f t="array" aca="1" ref="S53" ca="1">INDIRECT("'※ 재무_세부시트'!"&amp;S$1&amp;$V53, TRUE)</f>
        <v>37.592356639999998</v>
      </c>
      <c r="T53" s="695" cm="1">
        <f t="array" aca="1" ref="T53" ca="1">INDIRECT("'※ 재무_세부시트'!"&amp;T$1&amp;$V53, TRUE)</f>
        <v>0</v>
      </c>
      <c r="U53" s="696" cm="1">
        <f t="array" aca="1" ref="U53" ca="1">INDIRECT("'※ 재무_세부시트'!"&amp;U$1&amp;$V53, TRUE)</f>
        <v>-42.782809570000005</v>
      </c>
      <c r="V53" s="581">
        <v>52</v>
      </c>
      <c r="W53" s="581"/>
      <c r="X53" s="591"/>
      <c r="Y53" s="591"/>
    </row>
    <row r="54" spans="1:25" ht="3.55" customHeight="1" thickTop="1" thickBot="1" x14ac:dyDescent="0.6">
      <c r="B54" s="698"/>
      <c r="C54" s="698"/>
      <c r="D54" s="698"/>
      <c r="E54" s="698"/>
      <c r="F54" s="6707"/>
      <c r="G54" s="6833"/>
      <c r="H54" s="4301"/>
      <c r="I54" s="4301"/>
      <c r="J54" s="4301"/>
      <c r="K54" s="4301"/>
      <c r="L54" s="4301"/>
      <c r="M54" s="6767"/>
      <c r="N54" s="6833"/>
      <c r="O54" s="4301"/>
      <c r="P54" s="6790"/>
      <c r="Q54" s="6792"/>
      <c r="R54" s="599"/>
      <c r="S54" s="6834"/>
      <c r="T54" s="782"/>
      <c r="U54" s="6834"/>
      <c r="W54" s="581"/>
      <c r="X54" s="591"/>
      <c r="Y54" s="591"/>
    </row>
    <row r="55" spans="1:25" ht="33" customHeight="1" thickTop="1" x14ac:dyDescent="0.55000000000000004">
      <c r="A55" s="702" t="s">
        <v>687</v>
      </c>
      <c r="B55" s="703"/>
      <c r="C55" s="704"/>
      <c r="D55" s="704"/>
      <c r="E55" s="704"/>
      <c r="F55" s="6717" cm="1">
        <f t="array" aca="1" ref="F55" ca="1">INDIRECT("'※ 재무_세부시트'!"&amp;F$1&amp;$V55, TRUE)</f>
        <v>2358.4381630100002</v>
      </c>
      <c r="G55" s="6835" cm="1">
        <f t="array" aca="1" ref="G55" ca="1">INDIRECT("'※ 재무_세부시트'!"&amp;G$1&amp;$V55, TRUE)</f>
        <v>175.85235663999998</v>
      </c>
      <c r="H55" s="6836" cm="1">
        <f t="array" aca="1" ref="H55" ca="1">INDIRECT("'※ 재무_세부시트'!"&amp;H$1&amp;$V55, TRUE)</f>
        <v>166.07553453000003</v>
      </c>
      <c r="I55" s="6836" cm="1">
        <f t="array" aca="1" ref="I55" ca="1">INDIRECT("'※ 재무_세부시트'!"&amp;I$1&amp;$V55, TRUE)</f>
        <v>163.88899436</v>
      </c>
      <c r="J55" s="6836" cm="1">
        <f t="array" aca="1" ref="J55" ca="1">INDIRECT("'※ 재무_세부시트'!"&amp;J$1&amp;$V55, TRUE)</f>
        <v>168.19889910000003</v>
      </c>
      <c r="K55" s="6836" cm="1">
        <f t="array" aca="1" ref="K55" ca="1">INDIRECT("'※ 재무_세부시트'!"&amp;K$1&amp;$V55, TRUE)</f>
        <v>175.42495650999999</v>
      </c>
      <c r="L55" s="6836" cm="1">
        <f t="array" aca="1" ref="L55" ca="1">INDIRECT("'※ 재무_세부시트'!"&amp;L$1&amp;$V55, TRUE)</f>
        <v>195.14809958000001</v>
      </c>
      <c r="M55" s="6777" cm="1">
        <f t="array" aca="1" ref="M55" ca="1">INDIRECT("'※ 재무_세부시트'!"&amp;M$1&amp;$V55, TRUE)</f>
        <v>353.40156346000003</v>
      </c>
      <c r="N55" s="6835" cm="1">
        <f t="array" aca="1" ref="N55" ca="1">INDIRECT("'※ 재무_세부시트'!"&amp;N$1&amp;$V55, TRUE)</f>
        <v>173.80259391000001</v>
      </c>
      <c r="O55" s="6836" cm="1">
        <f t="array" aca="1" ref="O55" ca="1">INDIRECT("'※ 재무_세부시트'!"&amp;O$1&amp;$V55, TRUE)</f>
        <v>179.59896954999999</v>
      </c>
      <c r="P55" s="6801" cm="1">
        <f t="array" aca="1" ref="P55" ca="1">INDIRECT("'※ 재무_세부시트'!"&amp;P$1&amp;$V55, TRUE)</f>
        <v>5.7963756399999795</v>
      </c>
      <c r="Q55" s="6801" cm="1">
        <f t="array" aca="1" ref="Q55" ca="1">INDIRECT("'※ 재무_세부시트'!"&amp;Q$1&amp;$V55, TRUE)</f>
        <v>13.523435019999965</v>
      </c>
      <c r="R55" s="706" cm="1">
        <f t="array" aca="1" ref="R55" ca="1">INDIRECT("'※ 재무_세부시트'!"&amp;R$1&amp;$V55, TRUE)</f>
        <v>353.40156346000003</v>
      </c>
      <c r="S55" s="705" cm="1">
        <f t="array" aca="1" ref="S55" ca="1">INDIRECT("'※ 재무_세부시트'!"&amp;S$1&amp;$V55, TRUE)</f>
        <v>353.40156346000003</v>
      </c>
      <c r="T55" s="707" cm="1">
        <f t="array" aca="1" ref="T55" ca="1">INDIRECT("'※ 재무_세부시트'!"&amp;T$1&amp;$V55, TRUE)</f>
        <v>0</v>
      </c>
      <c r="U55" s="708" cm="1">
        <f t="array" aca="1" ref="U55" ca="1">INDIRECT("'※ 재무_세부시트'!"&amp;U$1&amp;$V55, TRUE)</f>
        <v>11.473672290000025</v>
      </c>
      <c r="V55" s="581">
        <v>54</v>
      </c>
      <c r="W55" s="581"/>
      <c r="X55" s="591"/>
      <c r="Y55" s="591"/>
    </row>
    <row r="56" spans="1:25" ht="30.55" customHeight="1" x14ac:dyDescent="0.55000000000000004">
      <c r="A56" s="709"/>
      <c r="B56" s="710"/>
      <c r="C56" s="710" t="s">
        <v>13</v>
      </c>
      <c r="D56" s="678"/>
      <c r="E56" s="678"/>
      <c r="F56" s="6710" cm="1">
        <f t="array" aca="1" ref="F56" ca="1">INDIRECT("'※ 재무_세부시트'!"&amp;F$1&amp;$V56, TRUE)</f>
        <v>1407.8440513200001</v>
      </c>
      <c r="G56" s="6822" cm="1">
        <f t="array" aca="1" ref="G56" ca="1">INDIRECT("'※ 재무_세부시트'!"&amp;G$1&amp;$V56, TRUE)</f>
        <v>103.71189967999999</v>
      </c>
      <c r="H56" s="6676" cm="1">
        <f t="array" aca="1" ref="H56" ca="1">INDIRECT("'※ 재무_세부시트'!"&amp;H$1&amp;$V56, TRUE)</f>
        <v>101.80097018000001</v>
      </c>
      <c r="I56" s="6676" cm="1">
        <f t="array" aca="1" ref="I56" ca="1">INDIRECT("'※ 재무_세부시트'!"&amp;I$1&amp;$V56, TRUE)</f>
        <v>114.7627521</v>
      </c>
      <c r="J56" s="6676" cm="1">
        <f t="array" aca="1" ref="J56" ca="1">INDIRECT("'※ 재무_세부시트'!"&amp;J$1&amp;$V56, TRUE)</f>
        <v>109.92785092</v>
      </c>
      <c r="K56" s="6676" cm="1">
        <f t="array" aca="1" ref="K56" ca="1">INDIRECT("'※ 재무_세부시트'!"&amp;K$1&amp;$V56, TRUE)</f>
        <v>108.15639520000001</v>
      </c>
      <c r="L56" s="6676" cm="1">
        <f t="array" aca="1" ref="L56" ca="1">INDIRECT("'※ 재무_세부시트'!"&amp;L$1&amp;$V56, TRUE)</f>
        <v>122.74480253000002</v>
      </c>
      <c r="M56" s="6770" cm="1">
        <f t="array" aca="1" ref="M56" ca="1">INDIRECT("'※ 재무_세부시트'!"&amp;M$1&amp;$V56, TRUE)</f>
        <v>212.26177882999997</v>
      </c>
      <c r="N56" s="6822" cm="1">
        <f t="array" aca="1" ref="N56" ca="1">INDIRECT("'※ 재무_세부시트'!"&amp;N$1&amp;$V56, TRUE)</f>
        <v>101.29218136</v>
      </c>
      <c r="O56" s="6676" cm="1">
        <f t="array" aca="1" ref="O56" ca="1">INDIRECT("'※ 재무_세부시트'!"&amp;O$1&amp;$V56, TRUE)</f>
        <v>110.96959746999998</v>
      </c>
      <c r="P56" s="6795" cm="1">
        <f t="array" aca="1" ref="P56" ca="1">INDIRECT("'※ 재무_세부시트'!"&amp;P$1&amp;$V56, TRUE)</f>
        <v>9.6774161099999816</v>
      </c>
      <c r="Q56" s="6795" cm="1">
        <f t="array" aca="1" ref="Q56" ca="1">INDIRECT("'※ 재무_세부시트'!"&amp;Q$1&amp;$V56, TRUE)</f>
        <v>9.168627289999975</v>
      </c>
      <c r="R56" s="629" cm="1">
        <f t="array" aca="1" ref="R56" ca="1">INDIRECT("'※ 재무_세부시트'!"&amp;R$1&amp;$V56, TRUE)</f>
        <v>212.26177882999997</v>
      </c>
      <c r="S56" s="630" cm="1">
        <f t="array" aca="1" ref="S56" ca="1">INDIRECT("'※ 재무_세부시트'!"&amp;S$1&amp;$V56, TRUE)</f>
        <v>212.26177882999997</v>
      </c>
      <c r="T56" s="711" cm="1">
        <f t="array" aca="1" ref="T56" ca="1">INDIRECT("'※ 재무_세부시트'!"&amp;T$1&amp;$V56, TRUE)</f>
        <v>0</v>
      </c>
      <c r="U56" s="712" cm="1">
        <f t="array" aca="1" ref="U56" ca="1">INDIRECT("'※ 재무_세부시트'!"&amp;U$1&amp;$V56, TRUE)</f>
        <v>6.7489089699999738</v>
      </c>
      <c r="V56" s="581">
        <v>55</v>
      </c>
      <c r="W56" s="581"/>
      <c r="X56" s="591"/>
      <c r="Y56" s="591"/>
    </row>
    <row r="57" spans="1:25" ht="20.05" customHeight="1" x14ac:dyDescent="0.55000000000000004">
      <c r="A57" s="709"/>
      <c r="B57" s="678"/>
      <c r="C57" s="713"/>
      <c r="D57" s="713" t="s">
        <v>695</v>
      </c>
      <c r="E57" s="713"/>
      <c r="F57" s="6714" cm="1">
        <f t="array" aca="1" ref="F57" ca="1">INDIRECT("'※ 재무_세부시트'!"&amp;F$1&amp;$V57, TRUE)</f>
        <v>958.44902343000012</v>
      </c>
      <c r="G57" s="6837" cm="1">
        <f t="array" aca="1" ref="G57" ca="1">INDIRECT("'※ 재무_세부시트'!"&amp;G$1&amp;$V57, TRUE)</f>
        <v>73.920033839999988</v>
      </c>
      <c r="H57" s="6838" cm="1">
        <f t="array" aca="1" ref="H57" ca="1">INDIRECT("'※ 재무_세부시트'!"&amp;H$1&amp;$V57, TRUE)</f>
        <v>75.645476740000007</v>
      </c>
      <c r="I57" s="6838" cm="1">
        <f t="array" aca="1" ref="I57" ca="1">INDIRECT("'※ 재무_세부시트'!"&amp;I$1&amp;$V57, TRUE)</f>
        <v>79.300362370000002</v>
      </c>
      <c r="J57" s="6838" cm="1">
        <f t="array" aca="1" ref="J57" ca="1">INDIRECT("'※ 재무_세부시트'!"&amp;J$1&amp;$V57, TRUE)</f>
        <v>76.339119740000001</v>
      </c>
      <c r="K57" s="6838" cm="1">
        <f t="array" aca="1" ref="K57" ca="1">INDIRECT("'※ 재무_세부시트'!"&amp;K$1&amp;$V57, TRUE)</f>
        <v>75.272432440000003</v>
      </c>
      <c r="L57" s="6838" cm="1">
        <f t="array" aca="1" ref="L57" ca="1">INDIRECT("'※ 재무_세부시트'!"&amp;L$1&amp;$V57, TRUE)</f>
        <v>74.957407240000009</v>
      </c>
      <c r="M57" s="6774" cm="1">
        <f t="array" aca="1" ref="M57" ca="1">INDIRECT("'※ 재무_세부시트'!"&amp;M$1&amp;$V57, TRUE)</f>
        <v>153.30208990999998</v>
      </c>
      <c r="N57" s="6837" cm="1">
        <f t="array" aca="1" ref="N57" ca="1">INDIRECT("'※ 재무_세부시트'!"&amp;N$1&amp;$V57, TRUE)</f>
        <v>75.736573719999996</v>
      </c>
      <c r="O57" s="6838" cm="1">
        <f t="array" aca="1" ref="O57" ca="1">INDIRECT("'※ 재무_세부시트'!"&amp;O$1&amp;$V57, TRUE)</f>
        <v>77.565516189999983</v>
      </c>
      <c r="P57" s="6795" cm="1">
        <f t="array" aca="1" ref="P57" ca="1">INDIRECT("'※ 재무_세부시트'!"&amp;P$1&amp;$V57, TRUE)</f>
        <v>1.828942469999987</v>
      </c>
      <c r="Q57" s="6795" cm="1">
        <f t="array" aca="1" ref="Q57" ca="1">INDIRECT("'※ 재무_세부시트'!"&amp;Q$1&amp;$V57, TRUE)</f>
        <v>1.920039449999976</v>
      </c>
      <c r="R57" s="629" cm="1">
        <f t="array" aca="1" ref="R57" ca="1">INDIRECT("'※ 재무_세부시트'!"&amp;R$1&amp;$V57, TRUE)</f>
        <v>153.30208990999998</v>
      </c>
      <c r="S57" s="630" cm="1">
        <f t="array" aca="1" ref="S57" ca="1">INDIRECT("'※ 재무_세부시트'!"&amp;S$1&amp;$V57, TRUE)</f>
        <v>153.30208990999998</v>
      </c>
      <c r="T57" s="711" cm="1">
        <f t="array" aca="1" ref="T57" ca="1">INDIRECT("'※ 재무_세부시트'!"&amp;T$1&amp;$V57, TRUE)</f>
        <v>0</v>
      </c>
      <c r="U57" s="712" cm="1">
        <f t="array" aca="1" ref="U57" ca="1">INDIRECT("'※ 재무_세부시트'!"&amp;U$1&amp;$V57, TRUE)</f>
        <v>3.7365793299999837</v>
      </c>
      <c r="V57" s="581">
        <v>56</v>
      </c>
      <c r="W57" s="581"/>
      <c r="X57" s="591"/>
      <c r="Y57" s="591"/>
    </row>
    <row r="58" spans="1:25" ht="20.05" customHeight="1" x14ac:dyDescent="0.55000000000000004">
      <c r="A58" s="709"/>
      <c r="B58" s="678"/>
      <c r="C58" s="713"/>
      <c r="D58" s="713" t="s">
        <v>701</v>
      </c>
      <c r="E58" s="713"/>
      <c r="F58" s="6714" cm="1">
        <f t="array" aca="1" ref="F58" ca="1">INDIRECT("'※ 재무_세부시트'!"&amp;F$1&amp;$V58, TRUE)</f>
        <v>6.9944121099999998</v>
      </c>
      <c r="G58" s="6837" cm="1">
        <f t="array" aca="1" ref="G58" ca="1">INDIRECT("'※ 재무_세부시트'!"&amp;G$1&amp;$V58, TRUE)</f>
        <v>1.15603053</v>
      </c>
      <c r="H58" s="6838" cm="1">
        <f t="array" aca="1" ref="H58" ca="1">INDIRECT("'※ 재무_세부시트'!"&amp;H$1&amp;$V58, TRUE)</f>
        <v>0.11543053</v>
      </c>
      <c r="I58" s="6838" cm="1">
        <f t="array" aca="1" ref="I58" ca="1">INDIRECT("'※ 재무_세부시트'!"&amp;I$1&amp;$V58, TRUE)</f>
        <v>9.7430530000000001E-2</v>
      </c>
      <c r="J58" s="6838" cm="1">
        <f t="array" aca="1" ref="J58" ca="1">INDIRECT("'※ 재무_세부시트'!"&amp;J$1&amp;$V58, TRUE)</f>
        <v>0.30543052999999998</v>
      </c>
      <c r="K58" s="6838" cm="1">
        <f t="array" aca="1" ref="K58" ca="1">INDIRECT("'※ 재무_세부시트'!"&amp;K$1&amp;$V58, TRUE)</f>
        <v>8.6430530000000005E-2</v>
      </c>
      <c r="L58" s="6838" cm="1">
        <f t="array" aca="1" ref="L58" ca="1">INDIRECT("'※ 재무_세부시트'!"&amp;L$1&amp;$V58, TRUE)</f>
        <v>0.21243053000000001</v>
      </c>
      <c r="M58" s="6774" cm="1">
        <f t="array" aca="1" ref="M58" ca="1">INDIRECT("'※ 재무_세부시트'!"&amp;M$1&amp;$V58, TRUE)</f>
        <v>0.25300087999999998</v>
      </c>
      <c r="N58" s="6837" cm="1">
        <f t="array" aca="1" ref="N58" ca="1">INDIRECT("'※ 재무_세부시트'!"&amp;N$1&amp;$V58, TRUE)</f>
        <v>0.12700043999999999</v>
      </c>
      <c r="O58" s="6838" cm="1">
        <f t="array" aca="1" ref="O58" ca="1">INDIRECT("'※ 재무_세부시트'!"&amp;O$1&amp;$V58, TRUE)</f>
        <v>0.12600043999999999</v>
      </c>
      <c r="P58" s="6795" cm="1">
        <f t="array" aca="1" ref="P58" ca="1">INDIRECT("'※ 재무_세부시트'!"&amp;P$1&amp;$V58, TRUE)</f>
        <v>-1.0000000000000009E-3</v>
      </c>
      <c r="Q58" s="6795" cm="1">
        <f t="array" aca="1" ref="Q58" ca="1">INDIRECT("'※ 재무_세부시트'!"&amp;Q$1&amp;$V58, TRUE)</f>
        <v>1.0569909999999988E-2</v>
      </c>
      <c r="R58" s="629" cm="1">
        <f t="array" aca="1" ref="R58" ca="1">INDIRECT("'※ 재무_세부시트'!"&amp;R$1&amp;$V58, TRUE)</f>
        <v>0.25300087999999998</v>
      </c>
      <c r="S58" s="630" cm="1">
        <f t="array" aca="1" ref="S58" ca="1">INDIRECT("'※ 재무_세부시트'!"&amp;S$1&amp;$V58, TRUE)</f>
        <v>0.25300087999999998</v>
      </c>
      <c r="T58" s="711" cm="1">
        <f t="array" aca="1" ref="T58" ca="1">INDIRECT("'※ 재무_세부시트'!"&amp;T$1&amp;$V58, TRUE)</f>
        <v>0</v>
      </c>
      <c r="U58" s="712" cm="1">
        <f t="array" aca="1" ref="U58" ca="1">INDIRECT("'※ 재무_세부시트'!"&amp;U$1&amp;$V58, TRUE)</f>
        <v>-1.0184601799999999</v>
      </c>
      <c r="V58" s="581">
        <v>57</v>
      </c>
      <c r="W58" s="581"/>
      <c r="X58" s="591"/>
      <c r="Y58" s="591"/>
    </row>
    <row r="59" spans="1:25" ht="20.05" customHeight="1" x14ac:dyDescent="0.55000000000000004">
      <c r="A59" s="709"/>
      <c r="B59" s="678"/>
      <c r="C59" s="713"/>
      <c r="D59" s="713" t="s">
        <v>704</v>
      </c>
      <c r="E59" s="713"/>
      <c r="F59" s="6714" cm="1">
        <f t="array" aca="1" ref="F59" ca="1">INDIRECT("'※ 재무_세부시트'!"&amp;F$1&amp;$V59, TRUE)</f>
        <v>102.63998378000002</v>
      </c>
      <c r="G59" s="6837" cm="1">
        <f t="array" aca="1" ref="G59" ca="1">INDIRECT("'※ 재무_세부시트'!"&amp;G$1&amp;$V59, TRUE)</f>
        <v>7.43627707</v>
      </c>
      <c r="H59" s="6838" cm="1">
        <f t="array" aca="1" ref="H59" ca="1">INDIRECT("'※ 재무_세부시트'!"&amp;H$1&amp;$V59, TRUE)</f>
        <v>7.43627707</v>
      </c>
      <c r="I59" s="6838" cm="1">
        <f t="array" aca="1" ref="I59" ca="1">INDIRECT("'※ 재무_세부시트'!"&amp;I$1&amp;$V59, TRUE)</f>
        <v>7.43627707</v>
      </c>
      <c r="J59" s="6838" cm="1">
        <f t="array" aca="1" ref="J59" ca="1">INDIRECT("'※ 재무_세부시트'!"&amp;J$1&amp;$V59, TRUE)</f>
        <v>7.43627707</v>
      </c>
      <c r="K59" s="6838" cm="1">
        <f t="array" aca="1" ref="K59" ca="1">INDIRECT("'※ 재무_세부시트'!"&amp;K$1&amp;$V59, TRUE)</f>
        <v>7.43627707</v>
      </c>
      <c r="L59" s="6838" cm="1">
        <f t="array" aca="1" ref="L59" ca="1">INDIRECT("'※ 재무_세부시트'!"&amp;L$1&amp;$V59, TRUE)</f>
        <v>7.43627707</v>
      </c>
      <c r="M59" s="6774" cm="1">
        <f t="array" aca="1" ref="M59" ca="1">INDIRECT("'※ 재무_세부시트'!"&amp;M$1&amp;$V59, TRUE)</f>
        <v>14.213262279999999</v>
      </c>
      <c r="N59" s="6837" cm="1">
        <f t="array" aca="1" ref="N59" ca="1">INDIRECT("'※ 재무_세부시트'!"&amp;N$1&amp;$V59, TRUE)</f>
        <v>7.1066311399999993</v>
      </c>
      <c r="O59" s="6838" cm="1">
        <f t="array" aca="1" ref="O59" ca="1">INDIRECT("'※ 재무_세부시트'!"&amp;O$1&amp;$V59, TRUE)</f>
        <v>7.1066311399999993</v>
      </c>
      <c r="P59" s="6795" cm="1">
        <f t="array" aca="1" ref="P59" ca="1">INDIRECT("'※ 재무_세부시트'!"&amp;P$1&amp;$V59, TRUE)</f>
        <v>0</v>
      </c>
      <c r="Q59" s="6795" cm="1">
        <f t="array" aca="1" ref="Q59" ca="1">INDIRECT("'※ 재무_세부시트'!"&amp;Q$1&amp;$V59, TRUE)</f>
        <v>-0.32964593000000075</v>
      </c>
      <c r="R59" s="629" cm="1">
        <f t="array" aca="1" ref="R59" ca="1">INDIRECT("'※ 재무_세부시트'!"&amp;R$1&amp;$V59, TRUE)</f>
        <v>14.213262279999999</v>
      </c>
      <c r="S59" s="630" cm="1">
        <f t="array" aca="1" ref="S59" ca="1">INDIRECT("'※ 재무_세부시트'!"&amp;S$1&amp;$V59, TRUE)</f>
        <v>14.213262279999999</v>
      </c>
      <c r="T59" s="711" cm="1">
        <f t="array" aca="1" ref="T59" ca="1">INDIRECT("'※ 재무_세부시트'!"&amp;T$1&amp;$V59, TRUE)</f>
        <v>0</v>
      </c>
      <c r="U59" s="712" cm="1">
        <f t="array" aca="1" ref="U59" ca="1">INDIRECT("'※ 재무_세부시트'!"&amp;U$1&amp;$V59, TRUE)</f>
        <v>-0.65929186000000151</v>
      </c>
      <c r="V59" s="581">
        <v>58</v>
      </c>
      <c r="W59" s="581"/>
      <c r="X59" s="591"/>
      <c r="Y59" s="591"/>
    </row>
    <row r="60" spans="1:25" ht="20.05" customHeight="1" x14ac:dyDescent="0.55000000000000004">
      <c r="A60" s="709"/>
      <c r="B60" s="556"/>
      <c r="C60" s="714"/>
      <c r="D60" s="714" t="s">
        <v>680</v>
      </c>
      <c r="E60" s="714"/>
      <c r="F60" s="6718" cm="1">
        <f t="array" aca="1" ref="F60" ca="1">INDIRECT("'※ 재무_세부시트'!"&amp;F$1&amp;$V60, TRUE)</f>
        <v>339.76063199999999</v>
      </c>
      <c r="G60" s="6839" cm="1">
        <f t="array" aca="1" ref="G60" ca="1">INDIRECT("'※ 재무_세부시트'!"&amp;G$1&amp;$V60, TRUE)</f>
        <v>21.199558240000002</v>
      </c>
      <c r="H60" s="6840" cm="1">
        <f t="array" aca="1" ref="H60" ca="1">INDIRECT("'※ 재무_세부시트'!"&amp;H$1&amp;$V60, TRUE)</f>
        <v>18.60378584</v>
      </c>
      <c r="I60" s="6840" cm="1">
        <f t="array" aca="1" ref="I60" ca="1">INDIRECT("'※ 재무_세부시트'!"&amp;I$1&amp;$V60, TRUE)</f>
        <v>27.928682129999999</v>
      </c>
      <c r="J60" s="6840" cm="1">
        <f t="array" aca="1" ref="J60" ca="1">INDIRECT("'※ 재무_세부시트'!"&amp;J$1&amp;$V60, TRUE)</f>
        <v>25.847023579999998</v>
      </c>
      <c r="K60" s="6840" cm="1">
        <f t="array" aca="1" ref="K60" ca="1">INDIRECT("'※ 재무_세부시트'!"&amp;K$1&amp;$V60, TRUE)</f>
        <v>25.361255159999999</v>
      </c>
      <c r="L60" s="6840" cm="1">
        <f t="array" aca="1" ref="L60" ca="1">INDIRECT("'※ 재무_세부시트'!"&amp;L$1&amp;$V60, TRUE)</f>
        <v>40.138687689999998</v>
      </c>
      <c r="M60" s="6778" cm="1">
        <f t="array" aca="1" ref="M60" ca="1">INDIRECT("'※ 재무_세부시트'!"&amp;M$1&amp;$V60, TRUE)</f>
        <v>44.493425759999994</v>
      </c>
      <c r="N60" s="6839" cm="1">
        <f t="array" aca="1" ref="N60" ca="1">INDIRECT("'※ 재무_세부시트'!"&amp;N$1&amp;$V60, TRUE)</f>
        <v>18.321976060000001</v>
      </c>
      <c r="O60" s="6840" cm="1">
        <f t="array" aca="1" ref="O60" ca="1">INDIRECT("'※ 재무_세부시트'!"&amp;O$1&amp;$V60, TRUE)</f>
        <v>26.171449699999997</v>
      </c>
      <c r="P60" s="6802" cm="1">
        <f t="array" aca="1" ref="P60" ca="1">INDIRECT("'※ 재무_세부시트'!"&amp;P$1&amp;$V60, TRUE)</f>
        <v>7.8494736399999958</v>
      </c>
      <c r="Q60" s="6802" cm="1">
        <f t="array" aca="1" ref="Q60" ca="1">INDIRECT("'※ 재무_세부시트'!"&amp;Q$1&amp;$V60, TRUE)</f>
        <v>7.5676638599999961</v>
      </c>
      <c r="R60" s="716" cm="1">
        <f t="array" aca="1" ref="R60" ca="1">INDIRECT("'※ 재무_세부시트'!"&amp;R$1&amp;$V60, TRUE)</f>
        <v>44.493425759999994</v>
      </c>
      <c r="S60" s="715" cm="1">
        <f t="array" aca="1" ref="S60" ca="1">INDIRECT("'※ 재무_세부시트'!"&amp;S$1&amp;$V60, TRUE)</f>
        <v>44.493425759999994</v>
      </c>
      <c r="T60" s="717" cm="1">
        <f t="array" aca="1" ref="T60" ca="1">INDIRECT("'※ 재무_세부시트'!"&amp;T$1&amp;$V60, TRUE)</f>
        <v>0</v>
      </c>
      <c r="U60" s="718" cm="1">
        <f t="array" aca="1" ref="U60" ca="1">INDIRECT("'※ 재무_세부시트'!"&amp;U$1&amp;$V60, TRUE)</f>
        <v>4.6900816799999916</v>
      </c>
      <c r="V60" s="581">
        <v>59</v>
      </c>
      <c r="W60" s="581"/>
      <c r="X60" s="591"/>
      <c r="Y60" s="591"/>
    </row>
    <row r="61" spans="1:25" ht="18.55" hidden="1" customHeight="1" outlineLevel="1" x14ac:dyDescent="0.55000000000000004">
      <c r="A61" s="709"/>
      <c r="B61" s="678"/>
      <c r="C61" s="719"/>
      <c r="D61" s="720" t="s">
        <v>824</v>
      </c>
      <c r="E61" s="719"/>
      <c r="F61" s="6719" cm="1">
        <f t="array" aca="1" ref="F61" ca="1">INDIRECT("'※ 재무_세부시트'!"&amp;F$1&amp;$V61, TRUE)</f>
        <v>166.13257794999998</v>
      </c>
      <c r="G61" s="6841" cm="1">
        <f t="array" aca="1" ref="G61" ca="1">INDIRECT("'※ 재무_세부시트'!"&amp;G$1&amp;$V61, TRUE)</f>
        <v>9.649958250000001</v>
      </c>
      <c r="H61" s="6842" cm="1">
        <f t="array" aca="1" ref="H61" ca="1">INDIRECT("'※ 재무_세부시트'!"&amp;H$1&amp;$V61, TRUE)</f>
        <v>6.3796055699999998</v>
      </c>
      <c r="I61" s="6842" cm="1">
        <f t="array" aca="1" ref="I61" ca="1">INDIRECT("'※ 재무_세부시트'!"&amp;I$1&amp;$V61, TRUE)</f>
        <v>15.6411905</v>
      </c>
      <c r="J61" s="6842" cm="1">
        <f t="array" aca="1" ref="J61" ca="1">INDIRECT("'※ 재무_세부시트'!"&amp;J$1&amp;$V61, TRUE)</f>
        <v>12.396531400000001</v>
      </c>
      <c r="K61" s="6842" cm="1">
        <f t="array" aca="1" ref="K61" ca="1">INDIRECT("'※ 재무_세부시트'!"&amp;K$1&amp;$V61, TRUE)</f>
        <v>13.046445010000001</v>
      </c>
      <c r="L61" s="6842" cm="1">
        <f t="array" aca="1" ref="L61" ca="1">INDIRECT("'※ 재무_세부시트'!"&amp;L$1&amp;$V61, TRUE)</f>
        <v>16.806991669999999</v>
      </c>
      <c r="M61" s="6779" cm="1">
        <f t="array" aca="1" ref="M61" ca="1">INDIRECT("'※ 재무_세부시트'!"&amp;M$1&amp;$V61, TRUE)</f>
        <v>21.262107999999998</v>
      </c>
      <c r="N61" s="6841" cm="1">
        <f t="array" aca="1" ref="N61" ca="1">INDIRECT("'※ 재무_세부시트'!"&amp;N$1&amp;$V61, TRUE)</f>
        <v>8.7674064899999991</v>
      </c>
      <c r="O61" s="6842" cm="1">
        <f t="array" aca="1" ref="O61" ca="1">INDIRECT("'※ 재무_세부시트'!"&amp;O$1&amp;$V61, TRUE)</f>
        <v>12.494701510000001</v>
      </c>
      <c r="P61" s="6803" cm="1">
        <f t="array" aca="1" ref="P61" ca="1">INDIRECT("'※ 재무_세부시트'!"&amp;P$1&amp;$V61, TRUE)</f>
        <v>3.7272950200000015</v>
      </c>
      <c r="Q61" s="6803" cm="1">
        <f t="array" aca="1" ref="Q61" ca="1">INDIRECT("'※ 재무_세부시트'!"&amp;Q$1&amp;$V61, TRUE)</f>
        <v>6.1150959400000007</v>
      </c>
      <c r="R61" s="722" cm="1">
        <f t="array" aca="1" ref="R61" ca="1">INDIRECT("'※ 재무_세부시트'!"&amp;R$1&amp;$V61, TRUE)</f>
        <v>21.262107999999998</v>
      </c>
      <c r="S61" s="721" cm="1">
        <f t="array" aca="1" ref="S61" ca="1">INDIRECT("'※ 재무_세부시트'!"&amp;S$1&amp;$V61, TRUE)</f>
        <v>21.262107999999998</v>
      </c>
      <c r="T61" s="723" cm="1">
        <f t="array" aca="1" ref="T61" ca="1">INDIRECT("'※ 재무_세부시트'!"&amp;T$1&amp;$V61, TRUE)</f>
        <v>0</v>
      </c>
      <c r="U61" s="724" cm="1">
        <f t="array" aca="1" ref="U61" ca="1">INDIRECT("'※ 재무_세부시트'!"&amp;U$1&amp;$V61, TRUE)</f>
        <v>5.2325441799999979</v>
      </c>
      <c r="V61" s="581">
        <v>60</v>
      </c>
      <c r="W61" s="581"/>
      <c r="X61" s="591"/>
      <c r="Y61" s="591"/>
    </row>
    <row r="62" spans="1:25" ht="30.55" customHeight="1" collapsed="1" x14ac:dyDescent="0.55000000000000004">
      <c r="A62" s="709"/>
      <c r="B62" s="710"/>
      <c r="C62" s="710" t="s">
        <v>42</v>
      </c>
      <c r="D62" s="678"/>
      <c r="E62" s="678"/>
      <c r="F62" s="6710" cm="1">
        <f t="array" aca="1" ref="F62" ca="1">INDIRECT("'※ 재무_세부시트'!"&amp;F$1&amp;$V62, TRUE)</f>
        <v>448.32929707000005</v>
      </c>
      <c r="G62" s="6822" cm="1">
        <f t="array" aca="1" ref="G62" ca="1">INDIRECT("'※ 재무_세부시트'!"&amp;G$1&amp;$V62, TRUE)</f>
        <v>34.65354232</v>
      </c>
      <c r="H62" s="6676" cm="1">
        <f t="array" aca="1" ref="H62" ca="1">INDIRECT("'※ 재무_세부시트'!"&amp;H$1&amp;$V62, TRUE)</f>
        <v>23.6792208</v>
      </c>
      <c r="I62" s="6676" cm="1">
        <f t="array" aca="1" ref="I62" ca="1">INDIRECT("'※ 재무_세부시트'!"&amp;I$1&amp;$V62, TRUE)</f>
        <v>16.00066417</v>
      </c>
      <c r="J62" s="6676" cm="1">
        <f t="array" aca="1" ref="J62" ca="1">INDIRECT("'※ 재무_세부시트'!"&amp;J$1&amp;$V62, TRUE)</f>
        <v>19.542286000000004</v>
      </c>
      <c r="K62" s="6676" cm="1">
        <f t="array" aca="1" ref="K62" ca="1">INDIRECT("'※ 재무_세부시트'!"&amp;K$1&amp;$V62, TRUE)</f>
        <v>28.596062249999999</v>
      </c>
      <c r="L62" s="6676" cm="1">
        <f t="array" aca="1" ref="L62" ca="1">INDIRECT("'※ 재무_세부시트'!"&amp;L$1&amp;$V62, TRUE)</f>
        <v>34.749232159999998</v>
      </c>
      <c r="M62" s="6770" cm="1">
        <f t="array" aca="1" ref="M62" ca="1">INDIRECT("'※ 재무_세부시트'!"&amp;M$1&amp;$V62, TRUE)</f>
        <v>62.036017670000007</v>
      </c>
      <c r="N62" s="6822" cm="1">
        <f t="array" aca="1" ref="N62" ca="1">INDIRECT("'※ 재무_세부시트'!"&amp;N$1&amp;$V62, TRUE)</f>
        <v>33.16681604</v>
      </c>
      <c r="O62" s="6676" cm="1">
        <f t="array" aca="1" ref="O62" ca="1">INDIRECT("'※ 재무_세부시트'!"&amp;O$1&amp;$V62, TRUE)</f>
        <v>28.869201630000003</v>
      </c>
      <c r="P62" s="6795" cm="1">
        <f t="array" aca="1" ref="P62" ca="1">INDIRECT("'※ 재무_세부시트'!"&amp;P$1&amp;$V62, TRUE)</f>
        <v>-4.2976144099999978</v>
      </c>
      <c r="Q62" s="6795" cm="1">
        <f t="array" aca="1" ref="Q62" ca="1">INDIRECT("'※ 재무_세부시트'!"&amp;Q$1&amp;$V62, TRUE)</f>
        <v>5.1899808300000032</v>
      </c>
      <c r="R62" s="629" cm="1">
        <f t="array" aca="1" ref="R62" ca="1">INDIRECT("'※ 재무_세부시트'!"&amp;R$1&amp;$V62, TRUE)</f>
        <v>62.036017670000007</v>
      </c>
      <c r="S62" s="630" cm="1">
        <f t="array" aca="1" ref="S62" ca="1">INDIRECT("'※ 재무_세부시트'!"&amp;S$1&amp;$V62, TRUE)</f>
        <v>62.036017670000007</v>
      </c>
      <c r="T62" s="711" cm="1">
        <f t="array" aca="1" ref="T62" ca="1">INDIRECT("'※ 재무_세부시트'!"&amp;T$1&amp;$V62, TRUE)</f>
        <v>0</v>
      </c>
      <c r="U62" s="712" cm="1">
        <f t="array" aca="1" ref="U62" ca="1">INDIRECT("'※ 재무_세부시트'!"&amp;U$1&amp;$V62, TRUE)</f>
        <v>3.7032545500000111</v>
      </c>
      <c r="V62" s="581">
        <v>61</v>
      </c>
      <c r="W62" s="581"/>
      <c r="X62" s="591"/>
      <c r="Y62" s="591"/>
    </row>
    <row r="63" spans="1:25" ht="20.05" customHeight="1" x14ac:dyDescent="0.55000000000000004">
      <c r="A63" s="709"/>
      <c r="B63" s="678"/>
      <c r="C63" s="678"/>
      <c r="D63" s="713" t="s">
        <v>34</v>
      </c>
      <c r="E63" s="678"/>
      <c r="F63" s="6710" cm="1">
        <f t="array" aca="1" ref="F63" ca="1">INDIRECT("'※ 재무_세부시트'!"&amp;F$1&amp;$V63, TRUE)</f>
        <v>154.27885715000002</v>
      </c>
      <c r="G63" s="6822" cm="1">
        <f t="array" aca="1" ref="G63" ca="1">INDIRECT("'※ 재무_세부시트'!"&amp;G$1&amp;$V63, TRUE)</f>
        <v>6.0935522999999998</v>
      </c>
      <c r="H63" s="6676" cm="1">
        <f t="array" aca="1" ref="H63" ca="1">INDIRECT("'※ 재무_세부시트'!"&amp;H$1&amp;$V63, TRUE)</f>
        <v>10.304066260000001</v>
      </c>
      <c r="I63" s="6676" cm="1">
        <f t="array" aca="1" ref="I63" ca="1">INDIRECT("'※ 재무_세부시트'!"&amp;I$1&amp;$V63, TRUE)</f>
        <v>9.0780226299999995</v>
      </c>
      <c r="J63" s="6676" cm="1">
        <f t="array" aca="1" ref="J63" ca="1">INDIRECT("'※ 재무_세부시트'!"&amp;J$1&amp;$V63, TRUE)</f>
        <v>7.6568158200000003</v>
      </c>
      <c r="K63" s="6676" cm="1">
        <f t="array" aca="1" ref="K63" ca="1">INDIRECT("'※ 재무_세부시트'!"&amp;K$1&amp;$V63, TRUE)</f>
        <v>15.846035990000001</v>
      </c>
      <c r="L63" s="6676" cm="1">
        <f t="array" aca="1" ref="L63" ca="1">INDIRECT("'※ 재무_세부시트'!"&amp;L$1&amp;$V63, TRUE)</f>
        <v>15.87893341</v>
      </c>
      <c r="M63" s="6770" cm="1">
        <f t="array" aca="1" ref="M63" ca="1">INDIRECT("'※ 재무_세부시트'!"&amp;M$1&amp;$V63, TRUE)</f>
        <v>11.418358359999999</v>
      </c>
      <c r="N63" s="6822" cm="1">
        <f t="array" aca="1" ref="N63" ca="1">INDIRECT("'※ 재무_세부시트'!"&amp;N$1&amp;$V63, TRUE)</f>
        <v>8.3941738099999998</v>
      </c>
      <c r="O63" s="6676" cm="1">
        <f t="array" aca="1" ref="O63" ca="1">INDIRECT("'※ 재무_세부시트'!"&amp;O$1&amp;$V63, TRUE)</f>
        <v>3.0241845499999997</v>
      </c>
      <c r="P63" s="6795" cm="1">
        <f t="array" aca="1" ref="P63" ca="1">INDIRECT("'※ 재무_세부시트'!"&amp;P$1&amp;$V63, TRUE)</f>
        <v>-5.3699892600000005</v>
      </c>
      <c r="Q63" s="6795" cm="1">
        <f t="array" aca="1" ref="Q63" ca="1">INDIRECT("'※ 재무_세부시트'!"&amp;Q$1&amp;$V63, TRUE)</f>
        <v>-7.2798817100000015</v>
      </c>
      <c r="R63" s="629" cm="1">
        <f t="array" aca="1" ref="R63" ca="1">INDIRECT("'※ 재무_세부시트'!"&amp;R$1&amp;$V63, TRUE)</f>
        <v>11.418358359999999</v>
      </c>
      <c r="S63" s="630" cm="1">
        <f t="array" aca="1" ref="S63" ca="1">INDIRECT("'※ 재무_세부시트'!"&amp;S$1&amp;$V63, TRUE)</f>
        <v>11.418358359999999</v>
      </c>
      <c r="T63" s="711" cm="1">
        <f t="array" aca="1" ref="T63" ca="1">INDIRECT("'※ 재무_세부시트'!"&amp;T$1&amp;$V63, TRUE)</f>
        <v>0</v>
      </c>
      <c r="U63" s="712" cm="1">
        <f t="array" aca="1" ref="U63" ca="1">INDIRECT("'※ 재무_세부시트'!"&amp;U$1&amp;$V63, TRUE)</f>
        <v>-4.9792602000000024</v>
      </c>
      <c r="V63" s="581">
        <v>62</v>
      </c>
      <c r="W63" s="581"/>
      <c r="X63" s="591"/>
      <c r="Y63" s="591"/>
    </row>
    <row r="64" spans="1:25" ht="20.05" customHeight="1" x14ac:dyDescent="0.55000000000000004">
      <c r="A64" s="709"/>
      <c r="B64" s="678"/>
      <c r="C64" s="678"/>
      <c r="D64" s="713" t="s">
        <v>705</v>
      </c>
      <c r="E64" s="678"/>
      <c r="F64" s="6710" cm="1">
        <f t="array" aca="1" ref="F64" ca="1">INDIRECT("'※ 재무_세부시트'!"&amp;F$1&amp;$V64, TRUE)</f>
        <v>287.83225256999998</v>
      </c>
      <c r="G64" s="6822" cm="1">
        <f t="array" aca="1" ref="G64" ca="1">INDIRECT("'※ 재무_세부시트'!"&amp;G$1&amp;$V64, TRUE)</f>
        <v>28.278400019999999</v>
      </c>
      <c r="H64" s="6676" cm="1">
        <f t="array" aca="1" ref="H64" ca="1">INDIRECT("'※ 재무_세부시트'!"&amp;H$1&amp;$V64, TRUE)</f>
        <v>12.97501727</v>
      </c>
      <c r="I64" s="6676" cm="1">
        <f t="array" aca="1" ref="I64" ca="1">INDIRECT("'※ 재무_세부시트'!"&amp;I$1&amp;$V64, TRUE)</f>
        <v>6.7345115399999997</v>
      </c>
      <c r="J64" s="6676" cm="1">
        <f t="array" aca="1" ref="J64" ca="1">INDIRECT("'※ 재무_세부시트'!"&amp;J$1&amp;$V64, TRUE)</f>
        <v>11.502810180000001</v>
      </c>
      <c r="K64" s="6676" cm="1">
        <f t="array" aca="1" ref="K64" ca="1">INDIRECT("'※ 재무_세부시트'!"&amp;K$1&amp;$V64, TRUE)</f>
        <v>12.47760626</v>
      </c>
      <c r="L64" s="6676" cm="1">
        <f t="array" aca="1" ref="L64" ca="1">INDIRECT("'※ 재무_세부시트'!"&amp;L$1&amp;$V64, TRUE)</f>
        <v>18.479928749999999</v>
      </c>
      <c r="M64" s="6770" cm="1">
        <f t="array" aca="1" ref="M64" ca="1">INDIRECT("'※ 재무_세부시트'!"&amp;M$1&amp;$V64, TRUE)</f>
        <v>49.753459309999997</v>
      </c>
      <c r="N64" s="6822" cm="1">
        <f t="array" aca="1" ref="N64" ca="1">INDIRECT("'※ 재무_세부시트'!"&amp;N$1&amp;$V64, TRUE)</f>
        <v>24.48667223</v>
      </c>
      <c r="O64" s="6676" cm="1">
        <f t="array" aca="1" ref="O64" ca="1">INDIRECT("'※ 재무_세부시트'!"&amp;O$1&amp;$V64, TRUE)</f>
        <v>25.26678708</v>
      </c>
      <c r="P64" s="6795" cm="1">
        <f t="array" aca="1" ref="P64" ca="1">INDIRECT("'※ 재무_세부시트'!"&amp;P$1&amp;$V64, TRUE)</f>
        <v>0.78011485000000036</v>
      </c>
      <c r="Q64" s="6795" cm="1">
        <f t="array" aca="1" ref="Q64" ca="1">INDIRECT("'※ 재무_세부시트'!"&amp;Q$1&amp;$V64, TRUE)</f>
        <v>12.29176981</v>
      </c>
      <c r="R64" s="629" cm="1">
        <f t="array" aca="1" ref="R64" ca="1">INDIRECT("'※ 재무_세부시트'!"&amp;R$1&amp;$V64, TRUE)</f>
        <v>49.753459309999997</v>
      </c>
      <c r="S64" s="630" cm="1">
        <f t="array" aca="1" ref="S64" ca="1">INDIRECT("'※ 재무_세부시트'!"&amp;S$1&amp;$V64, TRUE)</f>
        <v>49.753459309999997</v>
      </c>
      <c r="T64" s="711" cm="1">
        <f t="array" aca="1" ref="T64" ca="1">INDIRECT("'※ 재무_세부시트'!"&amp;T$1&amp;$V64, TRUE)</f>
        <v>0</v>
      </c>
      <c r="U64" s="712" cm="1">
        <f t="array" aca="1" ref="U64" ca="1">INDIRECT("'※ 재무_세부시트'!"&amp;U$1&amp;$V64, TRUE)</f>
        <v>8.5000420199999951</v>
      </c>
      <c r="V64" s="581">
        <v>63</v>
      </c>
      <c r="W64" s="581"/>
      <c r="X64" s="591"/>
      <c r="Y64" s="591"/>
    </row>
    <row r="65" spans="1:25" ht="20.05" customHeight="1" x14ac:dyDescent="0.55000000000000004">
      <c r="A65" s="709"/>
      <c r="B65" s="678"/>
      <c r="C65" s="725"/>
      <c r="D65" s="719" t="s">
        <v>696</v>
      </c>
      <c r="E65" s="725"/>
      <c r="F65" s="6720" cm="1">
        <f t="array" aca="1" ref="F65" ca="1">INDIRECT("'※ 재무_세부시트'!"&amp;F$1&amp;$V65, TRUE)</f>
        <v>6.2181873500000009</v>
      </c>
      <c r="G65" s="6843" cm="1">
        <f t="array" aca="1" ref="G65" ca="1">INDIRECT("'※ 재무_세부시트'!"&amp;G$1&amp;$V65, TRUE)</f>
        <v>0.28159000000000001</v>
      </c>
      <c r="H65" s="6844" cm="1">
        <f t="array" aca="1" ref="H65" ca="1">INDIRECT("'※ 재무_세부시트'!"&amp;H$1&amp;$V65, TRUE)</f>
        <v>0.40013726999999999</v>
      </c>
      <c r="I65" s="6844" cm="1">
        <f t="array" aca="1" ref="I65" ca="1">INDIRECT("'※ 재무_세부시트'!"&amp;I$1&amp;$V65, TRUE)</f>
        <v>0.18812999999999999</v>
      </c>
      <c r="J65" s="6844" cm="1">
        <f t="array" aca="1" ref="J65" ca="1">INDIRECT("'※ 재무_세부시트'!"&amp;J$1&amp;$V65, TRUE)</f>
        <v>0.38266</v>
      </c>
      <c r="K65" s="6844" cm="1">
        <f t="array" aca="1" ref="K65" ca="1">INDIRECT("'※ 재무_세부시트'!"&amp;K$1&amp;$V65, TRUE)</f>
        <v>0.27242</v>
      </c>
      <c r="L65" s="6844" cm="1">
        <f t="array" aca="1" ref="L65" ca="1">INDIRECT("'※ 재무_세부시트'!"&amp;L$1&amp;$V65, TRUE)</f>
        <v>0.39036999999999999</v>
      </c>
      <c r="M65" s="6780" cm="1">
        <f t="array" aca="1" ref="M65" ca="1">INDIRECT("'※ 재무_세부시트'!"&amp;M$1&amp;$V65, TRUE)</f>
        <v>0.86420000000000008</v>
      </c>
      <c r="N65" s="6843" cm="1">
        <f t="array" aca="1" ref="N65" ca="1">INDIRECT("'※ 재무_세부시트'!"&amp;N$1&amp;$V65, TRUE)</f>
        <v>0.28597</v>
      </c>
      <c r="O65" s="6844" cm="1">
        <f t="array" aca="1" ref="O65" ca="1">INDIRECT("'※ 재무_세부시트'!"&amp;O$1&amp;$V65, TRUE)</f>
        <v>0.57823000000000002</v>
      </c>
      <c r="P65" s="6804" cm="1">
        <f t="array" aca="1" ref="P65" ca="1">INDIRECT("'※ 재무_세부시트'!"&amp;P$1&amp;$V65, TRUE)</f>
        <v>0.29226000000000002</v>
      </c>
      <c r="Q65" s="6804" cm="1">
        <f t="array" aca="1" ref="Q65" ca="1">INDIRECT("'※ 재무_세부시트'!"&amp;Q$1&amp;$V65, TRUE)</f>
        <v>0.17809273000000003</v>
      </c>
      <c r="R65" s="727" cm="1">
        <f t="array" aca="1" ref="R65" ca="1">INDIRECT("'※ 재무_세부시트'!"&amp;R$1&amp;$V65, TRUE)</f>
        <v>0.86420000000000008</v>
      </c>
      <c r="S65" s="726" cm="1">
        <f t="array" aca="1" ref="S65" ca="1">INDIRECT("'※ 재무_세부시트'!"&amp;S$1&amp;$V65, TRUE)</f>
        <v>0.86420000000000008</v>
      </c>
      <c r="T65" s="728" cm="1">
        <f t="array" aca="1" ref="T65" ca="1">INDIRECT("'※ 재무_세부시트'!"&amp;T$1&amp;$V65, TRUE)</f>
        <v>0</v>
      </c>
      <c r="U65" s="729" cm="1">
        <f t="array" aca="1" ref="U65" ca="1">INDIRECT("'※ 재무_세부시트'!"&amp;U$1&amp;$V65, TRUE)</f>
        <v>0.18247273000000008</v>
      </c>
      <c r="V65" s="581">
        <v>64</v>
      </c>
      <c r="W65" s="581"/>
      <c r="X65" s="591"/>
      <c r="Y65" s="591"/>
    </row>
    <row r="66" spans="1:25" ht="30.55" customHeight="1" x14ac:dyDescent="0.55000000000000004">
      <c r="A66" s="709"/>
      <c r="B66" s="710"/>
      <c r="C66" s="730" t="s">
        <v>14</v>
      </c>
      <c r="D66" s="678"/>
      <c r="E66" s="678"/>
      <c r="F66" s="6710" cm="1">
        <f t="array" aca="1" ref="F66" ca="1">INDIRECT("'※ 재무_세부시트'!"&amp;F$1&amp;$V66, TRUE)</f>
        <v>53.151513940000001</v>
      </c>
      <c r="G66" s="6822" cm="1">
        <f t="array" aca="1" ref="G66" ca="1">INDIRECT("'※ 재무_세부시트'!"&amp;G$1&amp;$V66, TRUE)</f>
        <v>9.71511879</v>
      </c>
      <c r="H66" s="6676" cm="1">
        <f t="array" aca="1" ref="H66" ca="1">INDIRECT("'※ 재무_세부시트'!"&amp;H$1&amp;$V66, TRUE)</f>
        <v>9.63802512</v>
      </c>
      <c r="I66" s="6676" cm="1">
        <f t="array" aca="1" ref="I66" ca="1">INDIRECT("'※ 재무_세부시트'!"&amp;I$1&amp;$V66, TRUE)</f>
        <v>-5.9214587400000003</v>
      </c>
      <c r="J66" s="6676" cm="1">
        <f t="array" aca="1" ref="J66" ca="1">INDIRECT("'※ 재무_세부시트'!"&amp;J$1&amp;$V66, TRUE)</f>
        <v>9.2180413699999999</v>
      </c>
      <c r="K66" s="6676" cm="1">
        <f t="array" aca="1" ref="K66" ca="1">INDIRECT("'※ 재무_세부시트'!"&amp;K$1&amp;$V66, TRUE)</f>
        <v>9.1481607699999987</v>
      </c>
      <c r="L66" s="6676" cm="1">
        <f t="array" aca="1" ref="L66" ca="1">INDIRECT("'※ 재무_세부시트'!"&amp;L$1&amp;$V66, TRUE)</f>
        <v>-6.5223598799999998</v>
      </c>
      <c r="M66" s="6770" cm="1">
        <f t="array" aca="1" ref="M66" ca="1">INDIRECT("'※ 재무_세부시트'!"&amp;M$1&amp;$V66, TRUE)</f>
        <v>20.785355320000001</v>
      </c>
      <c r="N66" s="6822" cm="1">
        <f t="array" aca="1" ref="N66" ca="1">INDIRECT("'※ 재무_세부시트'!"&amp;N$1&amp;$V66, TRUE)</f>
        <v>10.843324879999999</v>
      </c>
      <c r="O66" s="6676" cm="1">
        <f t="array" aca="1" ref="O66" ca="1">INDIRECT("'※ 재무_세부시트'!"&amp;O$1&amp;$V66, TRUE)</f>
        <v>9.9420304399999999</v>
      </c>
      <c r="P66" s="6795" cm="1">
        <f t="array" aca="1" ref="P66" ca="1">INDIRECT("'※ 재무_세부시트'!"&amp;P$1&amp;$V66, TRUE)</f>
        <v>-0.90129443999999914</v>
      </c>
      <c r="Q66" s="6795" cm="1">
        <f t="array" aca="1" ref="Q66" ca="1">INDIRECT("'※ 재무_세부시트'!"&amp;Q$1&amp;$V66, TRUE)</f>
        <v>0.30400531999999991</v>
      </c>
      <c r="R66" s="629" cm="1">
        <f t="array" aca="1" ref="R66" ca="1">INDIRECT("'※ 재무_세부시트'!"&amp;R$1&amp;$V66, TRUE)</f>
        <v>20.785355320000001</v>
      </c>
      <c r="S66" s="630" cm="1">
        <f t="array" aca="1" ref="S66" ca="1">INDIRECT("'※ 재무_세부시트'!"&amp;S$1&amp;$V66, TRUE)</f>
        <v>20.785355320000001</v>
      </c>
      <c r="T66" s="711" cm="1">
        <f t="array" aca="1" ref="T66" ca="1">INDIRECT("'※ 재무_세부시트'!"&amp;T$1&amp;$V66, TRUE)</f>
        <v>0</v>
      </c>
      <c r="U66" s="712" cm="1">
        <f t="array" aca="1" ref="U66" ca="1">INDIRECT("'※ 재무_세부시트'!"&amp;U$1&amp;$V66, TRUE)</f>
        <v>1.4322114100000007</v>
      </c>
      <c r="V66" s="581">
        <v>65</v>
      </c>
      <c r="W66" s="581"/>
      <c r="X66" s="591"/>
      <c r="Y66" s="591"/>
    </row>
    <row r="67" spans="1:25" ht="20.05" customHeight="1" x14ac:dyDescent="0.55000000000000004">
      <c r="A67" s="709"/>
      <c r="B67" s="710"/>
      <c r="C67" s="710"/>
      <c r="D67" s="678" t="s">
        <v>697</v>
      </c>
      <c r="E67" s="678"/>
      <c r="F67" s="6710" cm="1">
        <f t="array" aca="1" ref="F67" ca="1">INDIRECT("'※ 재무_세부시트'!"&amp;F$1&amp;$V67, TRUE)</f>
        <v>44.885398190000004</v>
      </c>
      <c r="G67" s="6822" cm="1">
        <f t="array" aca="1" ref="G67" ca="1">INDIRECT("'※ 재무_세부시트'!"&amp;G$1&amp;$V67, TRUE)</f>
        <v>8.8945883099999996</v>
      </c>
      <c r="H67" s="6676" cm="1">
        <f t="array" aca="1" ref="H67" ca="1">INDIRECT("'※ 재무_세부시트'!"&amp;H$1&amp;$V67, TRUE)</f>
        <v>8.7579190600000008</v>
      </c>
      <c r="I67" s="6676" cm="1">
        <f t="array" aca="1" ref="I67" ca="1">INDIRECT("'※ 재무_세부시트'!"&amp;I$1&amp;$V67, TRUE)</f>
        <v>-6.7442278800000004</v>
      </c>
      <c r="J67" s="6676" cm="1">
        <f t="array" aca="1" ref="J67" ca="1">INDIRECT("'※ 재무_세부시트'!"&amp;J$1&amp;$V67, TRUE)</f>
        <v>8.6368534399999994</v>
      </c>
      <c r="K67" s="6676" cm="1">
        <f t="array" aca="1" ref="K67" ca="1">INDIRECT("'※ 재무_세부시트'!"&amp;K$1&amp;$V67, TRUE)</f>
        <v>8.6179002199999992</v>
      </c>
      <c r="L67" s="6676" cm="1">
        <f t="array" aca="1" ref="L67" ca="1">INDIRECT("'※ 재무_세부시트'!"&amp;L$1&amp;$V67, TRUE)</f>
        <v>-7.0925130699999999</v>
      </c>
      <c r="M67" s="6770" cm="1">
        <f t="array" aca="1" ref="M67" ca="1">INDIRECT("'※ 재무_세부시트'!"&amp;M$1&amp;$V67, TRUE)</f>
        <v>19.2144467</v>
      </c>
      <c r="N67" s="6822" cm="1">
        <f t="array" aca="1" ref="N67" ca="1">INDIRECT("'※ 재무_세부시트'!"&amp;N$1&amp;$V67, TRUE)</f>
        <v>10.097557849999999</v>
      </c>
      <c r="O67" s="6676" cm="1">
        <f t="array" aca="1" ref="O67" ca="1">INDIRECT("'※ 재무_세부시트'!"&amp;O$1&amp;$V67, TRUE)</f>
        <v>9.1168888500000005</v>
      </c>
      <c r="P67" s="6795" cm="1">
        <f t="array" aca="1" ref="P67" ca="1">INDIRECT("'※ 재무_세부시트'!"&amp;P$1&amp;$V67, TRUE)</f>
        <v>-0.9806689999999989</v>
      </c>
      <c r="Q67" s="6795" cm="1">
        <f t="array" aca="1" ref="Q67" ca="1">INDIRECT("'※ 재무_세부시트'!"&amp;Q$1&amp;$V67, TRUE)</f>
        <v>0.35896978999999973</v>
      </c>
      <c r="R67" s="629" cm="1">
        <f t="array" aca="1" ref="R67" ca="1">INDIRECT("'※ 재무_세부시트'!"&amp;R$1&amp;$V67, TRUE)</f>
        <v>19.2144467</v>
      </c>
      <c r="S67" s="630" cm="1">
        <f t="array" aca="1" ref="S67" ca="1">INDIRECT("'※ 재무_세부시트'!"&amp;S$1&amp;$V67, TRUE)</f>
        <v>19.2144467</v>
      </c>
      <c r="T67" s="711" cm="1">
        <f t="array" aca="1" ref="T67" ca="1">INDIRECT("'※ 재무_세부시트'!"&amp;T$1&amp;$V67, TRUE)</f>
        <v>0</v>
      </c>
      <c r="U67" s="712" cm="1">
        <f t="array" aca="1" ref="U67" ca="1">INDIRECT("'※ 재무_세부시트'!"&amp;U$1&amp;$V67, TRUE)</f>
        <v>1.5619393299999977</v>
      </c>
      <c r="V67" s="581">
        <v>66</v>
      </c>
      <c r="W67" s="581"/>
      <c r="X67" s="591"/>
      <c r="Y67" s="591"/>
    </row>
    <row r="68" spans="1:25" ht="20.05" customHeight="1" x14ac:dyDescent="0.55000000000000004">
      <c r="A68" s="709"/>
      <c r="B68" s="678"/>
      <c r="C68" s="678"/>
      <c r="D68" s="713" t="s">
        <v>698</v>
      </c>
      <c r="E68" s="678"/>
      <c r="F68" s="6710" cm="1">
        <f t="array" aca="1" ref="F68" ca="1">INDIRECT("'※ 재무_세부시트'!"&amp;F$1&amp;$V68, TRUE)</f>
        <v>8.2661157500000009</v>
      </c>
      <c r="G68" s="6822" cm="1">
        <f t="array" aca="1" ref="G68" ca="1">INDIRECT("'※ 재무_세부시트'!"&amp;G$1&amp;$V68, TRUE)</f>
        <v>0.82053047999999995</v>
      </c>
      <c r="H68" s="6676" cm="1">
        <f t="array" aca="1" ref="H68" ca="1">INDIRECT("'※ 재무_세부시트'!"&amp;H$1&amp;$V68, TRUE)</f>
        <v>0.88010606000000002</v>
      </c>
      <c r="I68" s="6676" cm="1">
        <f t="array" aca="1" ref="I68" ca="1">INDIRECT("'※ 재무_세부시트'!"&amp;I$1&amp;$V68, TRUE)</f>
        <v>0.82276914000000001</v>
      </c>
      <c r="J68" s="6676" cm="1">
        <f t="array" aca="1" ref="J68" ca="1">INDIRECT("'※ 재무_세부시트'!"&amp;J$1&amp;$V68, TRUE)</f>
        <v>0.58118793000000002</v>
      </c>
      <c r="K68" s="6676" cm="1">
        <f t="array" aca="1" ref="K68" ca="1">INDIRECT("'※ 재무_세부시트'!"&amp;K$1&amp;$V68, TRUE)</f>
        <v>0.53026055000000005</v>
      </c>
      <c r="L68" s="6676" cm="1">
        <f t="array" aca="1" ref="L68" ca="1">INDIRECT("'※ 재무_세부시트'!"&amp;L$1&amp;$V68, TRUE)</f>
        <v>0.57015318999999998</v>
      </c>
      <c r="M68" s="6770" cm="1">
        <f t="array" aca="1" ref="M68" ca="1">INDIRECT("'※ 재무_세부시트'!"&amp;M$1&amp;$V68, TRUE)</f>
        <v>1.57090862</v>
      </c>
      <c r="N68" s="6822" cm="1">
        <f t="array" aca="1" ref="N68" ca="1">INDIRECT("'※ 재무_세부시트'!"&amp;N$1&amp;$V68, TRUE)</f>
        <v>0.74576703</v>
      </c>
      <c r="O68" s="6676" cm="1">
        <f t="array" aca="1" ref="O68" ca="1">INDIRECT("'※ 재무_세부시트'!"&amp;O$1&amp;$V68, TRUE)</f>
        <v>0.82514159000000009</v>
      </c>
      <c r="P68" s="6795" cm="1">
        <f t="array" aca="1" ref="P68" ca="1">INDIRECT("'※ 재무_세부시트'!"&amp;P$1&amp;$V68, TRUE)</f>
        <v>7.9374560000000094E-2</v>
      </c>
      <c r="Q68" s="6795" cm="1">
        <f t="array" aca="1" ref="Q68" ca="1">INDIRECT("'※ 재무_세부시트'!"&amp;Q$1&amp;$V68, TRUE)</f>
        <v>-5.4964469999999932E-2</v>
      </c>
      <c r="R68" s="629" cm="1">
        <f t="array" aca="1" ref="R68" ca="1">INDIRECT("'※ 재무_세부시트'!"&amp;R$1&amp;$V68, TRUE)</f>
        <v>1.57090862</v>
      </c>
      <c r="S68" s="630" cm="1">
        <f t="array" aca="1" ref="S68" ca="1">INDIRECT("'※ 재무_세부시트'!"&amp;S$1&amp;$V68, TRUE)</f>
        <v>1.57090862</v>
      </c>
      <c r="T68" s="711" cm="1">
        <f t="array" aca="1" ref="T68" ca="1">INDIRECT("'※ 재무_세부시트'!"&amp;T$1&amp;$V68, TRUE)</f>
        <v>0</v>
      </c>
      <c r="U68" s="712" cm="1">
        <f t="array" aca="1" ref="U68" ca="1">INDIRECT("'※ 재무_세부시트'!"&amp;U$1&amp;$V68, TRUE)</f>
        <v>-0.12972792000000011</v>
      </c>
      <c r="V68" s="581">
        <v>67</v>
      </c>
      <c r="W68" s="581"/>
      <c r="X68" s="591"/>
      <c r="Y68" s="591"/>
    </row>
    <row r="69" spans="1:25" ht="30.55" customHeight="1" x14ac:dyDescent="0.55000000000000004">
      <c r="A69" s="709"/>
      <c r="B69" s="710"/>
      <c r="C69" s="730" t="s">
        <v>15</v>
      </c>
      <c r="D69" s="731"/>
      <c r="E69" s="731"/>
      <c r="F69" s="6721" cm="1">
        <f t="array" aca="1" ref="F69" ca="1">INDIRECT("'※ 재무_세부시트'!"&amp;F$1&amp;$V69, TRUE)</f>
        <v>63.881613469999998</v>
      </c>
      <c r="G69" s="6845" cm="1">
        <f t="array" aca="1" ref="G69" ca="1">INDIRECT("'※ 재무_세부시트'!"&amp;G$1&amp;$V69, TRUE)</f>
        <v>0.65426589999999996</v>
      </c>
      <c r="H69" s="6846" cm="1">
        <f t="array" aca="1" ref="H69" ca="1">INDIRECT("'※ 재무_세부시트'!"&amp;H$1&amp;$V69, TRUE)</f>
        <v>0.65426589999999996</v>
      </c>
      <c r="I69" s="6846" cm="1">
        <f t="array" aca="1" ref="I69" ca="1">INDIRECT("'※ 재무_세부시트'!"&amp;I$1&amp;$V69, TRUE)</f>
        <v>14.606176850000001</v>
      </c>
      <c r="J69" s="6846" cm="1">
        <f t="array" aca="1" ref="J69" ca="1">INDIRECT("'※ 재무_세부시트'!"&amp;J$1&amp;$V69, TRUE)</f>
        <v>0.64824418000000006</v>
      </c>
      <c r="K69" s="6846" cm="1">
        <f t="array" aca="1" ref="K69" ca="1">INDIRECT("'※ 재무_세부시트'!"&amp;K$1&amp;$V69, TRUE)</f>
        <v>0.64533783</v>
      </c>
      <c r="L69" s="6846" cm="1">
        <f t="array" aca="1" ref="L69" ca="1">INDIRECT("'※ 재무_세부시트'!"&amp;L$1&amp;$V69, TRUE)</f>
        <v>14.50026212</v>
      </c>
      <c r="M69" s="6781" cm="1">
        <f t="array" aca="1" ref="M69" ca="1">INDIRECT("'※ 재무_세부시트'!"&amp;M$1&amp;$V69, TRUE)</f>
        <v>0.69626160000000004</v>
      </c>
      <c r="N69" s="6845" cm="1">
        <f t="array" aca="1" ref="N69" ca="1">INDIRECT("'※ 재무_세부시트'!"&amp;N$1&amp;$V69, TRUE)</f>
        <v>0.34813080000000002</v>
      </c>
      <c r="O69" s="6846" cm="1">
        <f t="array" aca="1" ref="O69" ca="1">INDIRECT("'※ 재무_세부시트'!"&amp;O$1&amp;$V69, TRUE)</f>
        <v>0.34813080000000002</v>
      </c>
      <c r="P69" s="6805" cm="1">
        <f t="array" aca="1" ref="P69" ca="1">INDIRECT("'※ 재무_세부시트'!"&amp;P$1&amp;$V69, TRUE)</f>
        <v>0</v>
      </c>
      <c r="Q69" s="6805" cm="1">
        <f t="array" aca="1" ref="Q69" ca="1">INDIRECT("'※ 재무_세부시트'!"&amp;Q$1&amp;$V69, TRUE)</f>
        <v>-0.30613509999999994</v>
      </c>
      <c r="R69" s="733" cm="1">
        <f t="array" aca="1" ref="R69" ca="1">INDIRECT("'※ 재무_세부시트'!"&amp;R$1&amp;$V69, TRUE)</f>
        <v>0.69626160000000004</v>
      </c>
      <c r="S69" s="732" cm="1">
        <f t="array" aca="1" ref="S69" ca="1">INDIRECT("'※ 재무_세부시트'!"&amp;S$1&amp;$V69, TRUE)</f>
        <v>0.69626160000000004</v>
      </c>
      <c r="T69" s="734" cm="1">
        <f t="array" aca="1" ref="T69" ca="1">INDIRECT("'※ 재무_세부시트'!"&amp;T$1&amp;$V69, TRUE)</f>
        <v>0</v>
      </c>
      <c r="U69" s="735" cm="1">
        <f t="array" aca="1" ref="U69" ca="1">INDIRECT("'※ 재무_세부시트'!"&amp;U$1&amp;$V69, TRUE)</f>
        <v>-0.61227019999999988</v>
      </c>
      <c r="V69" s="581">
        <v>68</v>
      </c>
      <c r="W69" s="581"/>
      <c r="X69" s="591"/>
      <c r="Y69" s="591"/>
    </row>
    <row r="70" spans="1:25" ht="30.55" customHeight="1" x14ac:dyDescent="0.55000000000000004">
      <c r="A70" s="709"/>
      <c r="B70" s="710"/>
      <c r="C70" s="730" t="s">
        <v>16</v>
      </c>
      <c r="D70" s="731"/>
      <c r="E70" s="731"/>
      <c r="F70" s="6721" cm="1">
        <f t="array" aca="1" ref="F70" ca="1">INDIRECT("'※ 재무_세부시트'!"&amp;F$1&amp;$V70, TRUE)</f>
        <v>385.23168721000002</v>
      </c>
      <c r="G70" s="6845" cm="1">
        <f t="array" aca="1" ref="G70" ca="1">INDIRECT("'※ 재무_세부시트'!"&amp;G$1&amp;$V70, TRUE)</f>
        <v>27.117529949999994</v>
      </c>
      <c r="H70" s="6846" cm="1">
        <f t="array" aca="1" ref="H70" ca="1">INDIRECT("'※ 재무_세부시트'!"&amp;H$1&amp;$V70, TRUE)</f>
        <v>30.303052530000002</v>
      </c>
      <c r="I70" s="6846" cm="1">
        <f t="array" aca="1" ref="I70" ca="1">INDIRECT("'※ 재무_세부시트'!"&amp;I$1&amp;$V70, TRUE)</f>
        <v>24.440859979999999</v>
      </c>
      <c r="J70" s="6846" cm="1">
        <f t="array" aca="1" ref="J70" ca="1">INDIRECT("'※ 재무_세부시트'!"&amp;J$1&amp;$V70, TRUE)</f>
        <v>28.862476630000003</v>
      </c>
      <c r="K70" s="6846" cm="1">
        <f t="array" aca="1" ref="K70" ca="1">INDIRECT("'※ 재무_세부시트'!"&amp;K$1&amp;$V70, TRUE)</f>
        <v>28.879000459999997</v>
      </c>
      <c r="L70" s="6846" cm="1">
        <f t="array" aca="1" ref="L70" ca="1">INDIRECT("'※ 재무_세부시트'!"&amp;L$1&amp;$V70, TRUE)</f>
        <v>29.676162650000002</v>
      </c>
      <c r="M70" s="6781" cm="1">
        <f t="array" aca="1" ref="M70" ca="1">INDIRECT("'※ 재무_세부시트'!"&amp;M$1&amp;$V70, TRUE)</f>
        <v>57.622150039999994</v>
      </c>
      <c r="N70" s="6845" cm="1">
        <f t="array" aca="1" ref="N70" ca="1">INDIRECT("'※ 재무_세부시트'!"&amp;N$1&amp;$V70, TRUE)</f>
        <v>28.15214083</v>
      </c>
      <c r="O70" s="6846" cm="1">
        <f t="array" aca="1" ref="O70" ca="1">INDIRECT("'※ 재무_세부시트'!"&amp;O$1&amp;$V70, TRUE)</f>
        <v>29.470009209999997</v>
      </c>
      <c r="P70" s="6805" cm="1">
        <f t="array" aca="1" ref="P70" ca="1">INDIRECT("'※ 재무_세부시트'!"&amp;P$1&amp;$V70, TRUE)</f>
        <v>1.3178683799999966</v>
      </c>
      <c r="Q70" s="6805" cm="1">
        <f t="array" aca="1" ref="Q70" ca="1">INDIRECT("'※ 재무_세부시트'!"&amp;Q$1&amp;$V70, TRUE)</f>
        <v>-0.83304332000000514</v>
      </c>
      <c r="R70" s="733" cm="1">
        <f t="array" aca="1" ref="R70" ca="1">INDIRECT("'※ 재무_세부시트'!"&amp;R$1&amp;$V70, TRUE)</f>
        <v>57.622150039999994</v>
      </c>
      <c r="S70" s="732" cm="1">
        <f t="array" aca="1" ref="S70" ca="1">INDIRECT("'※ 재무_세부시트'!"&amp;S$1&amp;$V70, TRUE)</f>
        <v>57.622150039999994</v>
      </c>
      <c r="T70" s="734" cm="1">
        <f t="array" aca="1" ref="T70" ca="1">INDIRECT("'※ 재무_세부시트'!"&amp;T$1&amp;$V70, TRUE)</f>
        <v>0</v>
      </c>
      <c r="U70" s="735" cm="1">
        <f t="array" aca="1" ref="U70" ca="1">INDIRECT("'※ 재무_세부시트'!"&amp;U$1&amp;$V70, TRUE)</f>
        <v>0.20156756000000087</v>
      </c>
      <c r="V70" s="581">
        <v>69</v>
      </c>
      <c r="W70" s="581"/>
      <c r="X70" s="591"/>
      <c r="Y70" s="591"/>
    </row>
    <row r="71" spans="1:25" ht="20.05" customHeight="1" x14ac:dyDescent="0.55000000000000004">
      <c r="A71" s="709"/>
      <c r="B71" s="678"/>
      <c r="C71" s="678"/>
      <c r="D71" s="678" t="s">
        <v>120</v>
      </c>
      <c r="E71" s="678" t="s">
        <v>1031</v>
      </c>
      <c r="F71" s="6710" cm="1">
        <f t="array" aca="1" ref="F71" ca="1">INDIRECT("'※ 재무_세부시트'!"&amp;F$1&amp;$V71, TRUE)</f>
        <v>209.77909091999999</v>
      </c>
      <c r="G71" s="6822" cm="1">
        <f t="array" aca="1" ref="G71" ca="1">INDIRECT("'※ 재무_세부시트'!"&amp;G$1&amp;$V71, TRUE)</f>
        <v>14.25933495</v>
      </c>
      <c r="H71" s="6676" cm="1">
        <f t="array" aca="1" ref="H71" ca="1">INDIRECT("'※ 재무_세부시트'!"&amp;H$1&amp;$V71, TRUE)</f>
        <v>16.11374223</v>
      </c>
      <c r="I71" s="6676" cm="1">
        <f t="array" aca="1" ref="I71" ca="1">INDIRECT("'※ 재무_세부시트'!"&amp;I$1&amp;$V71, TRUE)</f>
        <v>13.015234319999999</v>
      </c>
      <c r="J71" s="6676" cm="1">
        <f t="array" aca="1" ref="J71" ca="1">INDIRECT("'※ 재무_세부시트'!"&amp;J$1&amp;$V71, TRUE)</f>
        <v>16.231489060000001</v>
      </c>
      <c r="K71" s="6676" cm="1">
        <f t="array" aca="1" ref="K71" ca="1">INDIRECT("'※ 재무_세부시트'!"&amp;K$1&amp;$V71, TRUE)</f>
        <v>15.242258639999999</v>
      </c>
      <c r="L71" s="6676" cm="1">
        <f t="array" aca="1" ref="L71" ca="1">INDIRECT("'※ 재무_세부시트'!"&amp;L$1&amp;$V71, TRUE)</f>
        <v>16.64012511</v>
      </c>
      <c r="M71" s="6770" cm="1">
        <f t="array" aca="1" ref="M71" ca="1">INDIRECT("'※ 재무_세부시트'!"&amp;M$1&amp;$V71, TRUE)</f>
        <v>26.81895214</v>
      </c>
      <c r="N71" s="6822" cm="1">
        <f t="array" aca="1" ref="N71" ca="1">INDIRECT("'※ 재무_세부시트'!"&amp;N$1&amp;$V71, TRUE)</f>
        <v>10.473522239999999</v>
      </c>
      <c r="O71" s="6676" cm="1">
        <f t="array" aca="1" ref="O71" ca="1">INDIRECT("'※ 재무_세부시트'!"&amp;O$1&amp;$V71, TRUE)</f>
        <v>16.345429899999999</v>
      </c>
      <c r="P71" s="6795" cm="1">
        <f t="array" aca="1" ref="P71" ca="1">INDIRECT("'※ 재무_세부시트'!"&amp;P$1&amp;$V71, TRUE)</f>
        <v>5.8719076599999998</v>
      </c>
      <c r="Q71" s="6795" cm="1">
        <f t="array" aca="1" ref="Q71" ca="1">INDIRECT("'※ 재무_세부시트'!"&amp;Q$1&amp;$V71, TRUE)</f>
        <v>0.23168766999999946</v>
      </c>
      <c r="R71" s="629" cm="1">
        <f t="array" aca="1" ref="R71" ca="1">INDIRECT("'※ 재무_세부시트'!"&amp;R$1&amp;$V71, TRUE)</f>
        <v>26.81895214</v>
      </c>
      <c r="S71" s="630" cm="1">
        <f t="array" aca="1" ref="S71" ca="1">INDIRECT("'※ 재무_세부시트'!"&amp;S$1&amp;$V71, TRUE)</f>
        <v>26.81895214</v>
      </c>
      <c r="T71" s="711" cm="1">
        <f t="array" aca="1" ref="T71" ca="1">INDIRECT("'※ 재무_세부시트'!"&amp;T$1&amp;$V71, TRUE)</f>
        <v>0</v>
      </c>
      <c r="U71" s="712" cm="1">
        <f t="array" aca="1" ref="U71" ca="1">INDIRECT("'※ 재무_세부시트'!"&amp;U$1&amp;$V71, TRUE)</f>
        <v>-3.5541250399999988</v>
      </c>
      <c r="V71" s="581">
        <v>70</v>
      </c>
      <c r="W71" s="581"/>
      <c r="X71" s="591"/>
      <c r="Y71" s="591"/>
    </row>
    <row r="72" spans="1:25" ht="20.05" customHeight="1" x14ac:dyDescent="0.55000000000000004">
      <c r="A72" s="709"/>
      <c r="B72" s="678"/>
      <c r="C72" s="678"/>
      <c r="D72" s="678" t="s">
        <v>122</v>
      </c>
      <c r="E72" s="678"/>
      <c r="F72" s="6710" cm="1">
        <f t="array" aca="1" ref="F72" ca="1">INDIRECT("'※ 재무_세부시트'!"&amp;F$1&amp;$V72, TRUE)</f>
        <v>62.531447559999997</v>
      </c>
      <c r="G72" s="6822" cm="1">
        <f t="array" aca="1" ref="G72" ca="1">INDIRECT("'※ 재무_세부시트'!"&amp;G$1&amp;$V72, TRUE)</f>
        <v>4.3623994100000001</v>
      </c>
      <c r="H72" s="6676" cm="1">
        <f t="array" aca="1" ref="H72" ca="1">INDIRECT("'※ 재무_세부시트'!"&amp;H$1&amp;$V72, TRUE)</f>
        <v>4.3079148600000003</v>
      </c>
      <c r="I72" s="6676" cm="1">
        <f t="array" aca="1" ref="I72" ca="1">INDIRECT("'※ 재무_세부시트'!"&amp;I$1&amp;$V72, TRUE)</f>
        <v>4.2781094</v>
      </c>
      <c r="J72" s="6676" cm="1">
        <f t="array" aca="1" ref="J72" ca="1">INDIRECT("'※ 재무_세부시트'!"&amp;J$1&amp;$V72, TRUE)</f>
        <v>4.9214912999999996</v>
      </c>
      <c r="K72" s="6676" cm="1">
        <f t="array" aca="1" ref="K72" ca="1">INDIRECT("'※ 재무_세부시트'!"&amp;K$1&amp;$V72, TRUE)</f>
        <v>4.2729929899999997</v>
      </c>
      <c r="L72" s="6676" cm="1">
        <f t="array" aca="1" ref="L72" ca="1">INDIRECT("'※ 재무_세부시트'!"&amp;L$1&amp;$V72, TRUE)</f>
        <v>4.7569622699999998</v>
      </c>
      <c r="M72" s="6770" cm="1">
        <f t="array" aca="1" ref="M72" ca="1">INDIRECT("'※ 재무_세부시트'!"&amp;M$1&amp;$V72, TRUE)</f>
        <v>8.6097096200000003</v>
      </c>
      <c r="N72" s="6822" cm="1">
        <f t="array" aca="1" ref="N72" ca="1">INDIRECT("'※ 재무_세부시트'!"&amp;N$1&amp;$V72, TRUE)</f>
        <v>4.7980857200000004</v>
      </c>
      <c r="O72" s="6676" cm="1">
        <f t="array" aca="1" ref="O72" ca="1">INDIRECT("'※ 재무_세부시트'!"&amp;O$1&amp;$V72, TRUE)</f>
        <v>3.8116238999999998</v>
      </c>
      <c r="P72" s="6795" cm="1">
        <f t="array" aca="1" ref="P72" ca="1">INDIRECT("'※ 재무_세부시트'!"&amp;P$1&amp;$V72, TRUE)</f>
        <v>-0.9864618200000006</v>
      </c>
      <c r="Q72" s="6795" cm="1">
        <f t="array" aca="1" ref="Q72" ca="1">INDIRECT("'※ 재무_세부시트'!"&amp;Q$1&amp;$V72, TRUE)</f>
        <v>-0.4962909600000005</v>
      </c>
      <c r="R72" s="629" cm="1">
        <f t="array" aca="1" ref="R72" ca="1">INDIRECT("'※ 재무_세부시트'!"&amp;R$1&amp;$V72, TRUE)</f>
        <v>8.6097096200000003</v>
      </c>
      <c r="S72" s="630" cm="1">
        <f t="array" aca="1" ref="S72" ca="1">INDIRECT("'※ 재무_세부시트'!"&amp;S$1&amp;$V72, TRUE)</f>
        <v>8.6097096200000003</v>
      </c>
      <c r="T72" s="711" cm="1">
        <f t="array" aca="1" ref="T72" ca="1">INDIRECT("'※ 재무_세부시트'!"&amp;T$1&amp;$V72, TRUE)</f>
        <v>0</v>
      </c>
      <c r="U72" s="712" cm="1">
        <f t="array" aca="1" ref="U72" ca="1">INDIRECT("'※ 재무_세부시트'!"&amp;U$1&amp;$V72, TRUE)</f>
        <v>-6.0604650000000149E-2</v>
      </c>
      <c r="V72" s="581">
        <v>71</v>
      </c>
      <c r="W72" s="581"/>
      <c r="X72" s="591"/>
      <c r="Y72" s="591"/>
    </row>
    <row r="73" spans="1:25" ht="20.05" customHeight="1" x14ac:dyDescent="0.55000000000000004">
      <c r="A73" s="709"/>
      <c r="B73" s="678"/>
      <c r="C73" s="678"/>
      <c r="D73" s="678" t="s">
        <v>121</v>
      </c>
      <c r="E73" s="678"/>
      <c r="F73" s="6710" cm="1">
        <f t="array" aca="1" ref="F73" ca="1">INDIRECT("'※ 재무_세부시트'!"&amp;F$1&amp;$V73, TRUE)</f>
        <v>47.312440649999999</v>
      </c>
      <c r="G73" s="6822" cm="1">
        <f t="array" aca="1" ref="G73" ca="1">INDIRECT("'※ 재무_세부시트'!"&amp;G$1&amp;$V73, TRUE)</f>
        <v>2.9436073299999999</v>
      </c>
      <c r="H73" s="6676" cm="1">
        <f t="array" aca="1" ref="H73" ca="1">INDIRECT("'※ 재무_세부시트'!"&amp;H$1&amp;$V73, TRUE)</f>
        <v>5.7717226699999999</v>
      </c>
      <c r="I73" s="6676" cm="1">
        <f t="array" aca="1" ref="I73" ca="1">INDIRECT("'※ 재무_세부시트'!"&amp;I$1&amp;$V73, TRUE)</f>
        <v>2.4286420400000002</v>
      </c>
      <c r="J73" s="6676" cm="1">
        <f t="array" aca="1" ref="J73" ca="1">INDIRECT("'※ 재무_세부시트'!"&amp;J$1&amp;$V73, TRUE)</f>
        <v>3.2458543999999998</v>
      </c>
      <c r="K73" s="6676" cm="1">
        <f t="array" aca="1" ref="K73" ca="1">INDIRECT("'※ 재무_세부시트'!"&amp;K$1&amp;$V73, TRUE)</f>
        <v>3.9261589699999999</v>
      </c>
      <c r="L73" s="6676" cm="1">
        <f t="array" aca="1" ref="L73" ca="1">INDIRECT("'※ 재무_세부시트'!"&amp;L$1&amp;$V73, TRUE)</f>
        <v>3.2319973900000001</v>
      </c>
      <c r="M73" s="6770" cm="1">
        <f t="array" aca="1" ref="M73" ca="1">INDIRECT("'※ 재무_세부시트'!"&amp;M$1&amp;$V73, TRUE)</f>
        <v>10.73990925</v>
      </c>
      <c r="N73" s="6822" cm="1">
        <f t="array" aca="1" ref="N73" ca="1">INDIRECT("'※ 재무_세부시트'!"&amp;N$1&amp;$V73, TRUE)</f>
        <v>6.8304478099999999</v>
      </c>
      <c r="O73" s="6676" cm="1">
        <f t="array" aca="1" ref="O73" ca="1">INDIRECT("'※ 재무_세부시트'!"&amp;O$1&amp;$V73, TRUE)</f>
        <v>3.9094614399999998</v>
      </c>
      <c r="P73" s="6795" cm="1">
        <f t="array" aca="1" ref="P73" ca="1">INDIRECT("'※ 재무_세부시트'!"&amp;P$1&amp;$V73, TRUE)</f>
        <v>-2.9209863700000001</v>
      </c>
      <c r="Q73" s="6795" cm="1">
        <f t="array" aca="1" ref="Q73" ca="1">INDIRECT("'※ 재무_세부시트'!"&amp;Q$1&amp;$V73, TRUE)</f>
        <v>-1.8622612300000001</v>
      </c>
      <c r="R73" s="629" cm="1">
        <f t="array" aca="1" ref="R73" ca="1">INDIRECT("'※ 재무_세부시트'!"&amp;R$1&amp;$V73, TRUE)</f>
        <v>10.73990925</v>
      </c>
      <c r="S73" s="630" cm="1">
        <f t="array" aca="1" ref="S73" ca="1">INDIRECT("'※ 재무_세부시트'!"&amp;S$1&amp;$V73, TRUE)</f>
        <v>10.73990925</v>
      </c>
      <c r="T73" s="711" cm="1">
        <f t="array" aca="1" ref="T73" ca="1">INDIRECT("'※ 재무_세부시트'!"&amp;T$1&amp;$V73, TRUE)</f>
        <v>0</v>
      </c>
      <c r="U73" s="712" cm="1">
        <f t="array" aca="1" ref="U73" ca="1">INDIRECT("'※ 재무_세부시트'!"&amp;U$1&amp;$V73, TRUE)</f>
        <v>2.0245792500000004</v>
      </c>
      <c r="V73" s="581">
        <v>72</v>
      </c>
      <c r="W73" s="581"/>
      <c r="X73" s="591"/>
      <c r="Y73" s="591"/>
    </row>
    <row r="74" spans="1:25" ht="20.05" customHeight="1" x14ac:dyDescent="0.55000000000000004">
      <c r="A74" s="709"/>
      <c r="B74" s="678"/>
      <c r="C74" s="678"/>
      <c r="D74" s="678" t="s">
        <v>566</v>
      </c>
      <c r="E74" s="678"/>
      <c r="F74" s="6710" cm="1">
        <f t="array" aca="1" ref="F74" ca="1">INDIRECT("'※ 재무_세부시트'!"&amp;F$1&amp;$V74, TRUE)</f>
        <v>8.633034330000001</v>
      </c>
      <c r="G74" s="6822" cm="1">
        <f t="array" aca="1" ref="G74" ca="1">INDIRECT("'※ 재무_세부시트'!"&amp;G$1&amp;$V74, TRUE)</f>
        <v>0.30978331000000003</v>
      </c>
      <c r="H74" s="6676" cm="1">
        <f t="array" aca="1" ref="H74" ca="1">INDIRECT("'※ 재무_세부시트'!"&amp;H$1&amp;$V74, TRUE)</f>
        <v>0.14051783000000001</v>
      </c>
      <c r="I74" s="6676" cm="1">
        <f t="array" aca="1" ref="I74" ca="1">INDIRECT("'※ 재무_세부시트'!"&amp;I$1&amp;$V74, TRUE)</f>
        <v>0.23843495000000001</v>
      </c>
      <c r="J74" s="6676" cm="1">
        <f t="array" aca="1" ref="J74" ca="1">INDIRECT("'※ 재무_세부시트'!"&amp;J$1&amp;$V74, TRUE)</f>
        <v>0.27213748999999998</v>
      </c>
      <c r="K74" s="6676" cm="1">
        <f t="array" aca="1" ref="K74" ca="1">INDIRECT("'※ 재무_세부시트'!"&amp;K$1&amp;$V74, TRUE)</f>
        <v>0.83954355999999997</v>
      </c>
      <c r="L74" s="6676" cm="1">
        <f t="array" aca="1" ref="L74" ca="1">INDIRECT("'※ 재무_세부시트'!"&amp;L$1&amp;$V74, TRUE)</f>
        <v>0.28030896</v>
      </c>
      <c r="M74" s="6770" cm="1">
        <f t="array" aca="1" ref="M74" ca="1">INDIRECT("'※ 재무_세부시트'!"&amp;M$1&amp;$V74, TRUE)</f>
        <v>0.98085650000000002</v>
      </c>
      <c r="N74" s="6822" cm="1">
        <f t="array" aca="1" ref="N74" ca="1">INDIRECT("'※ 재무_세부시트'!"&amp;N$1&amp;$V74, TRUE)</f>
        <v>0.66630241000000001</v>
      </c>
      <c r="O74" s="6676" cm="1">
        <f t="array" aca="1" ref="O74" ca="1">INDIRECT("'※ 재무_세부시트'!"&amp;O$1&amp;$V74, TRUE)</f>
        <v>0.31455409000000001</v>
      </c>
      <c r="P74" s="6795" cm="1">
        <f t="array" aca="1" ref="P74" ca="1">INDIRECT("'※ 재무_세부시트'!"&amp;P$1&amp;$V74, TRUE)</f>
        <v>-0.35174832</v>
      </c>
      <c r="Q74" s="6795" cm="1">
        <f t="array" aca="1" ref="Q74" ca="1">INDIRECT("'※ 재무_세부시트'!"&amp;Q$1&amp;$V74, TRUE)</f>
        <v>0.17403626</v>
      </c>
      <c r="R74" s="629" cm="1">
        <f t="array" aca="1" ref="R74" ca="1">INDIRECT("'※ 재무_세부시트'!"&amp;R$1&amp;$V74, TRUE)</f>
        <v>0.98085650000000002</v>
      </c>
      <c r="S74" s="630" cm="1">
        <f t="array" aca="1" ref="S74" ca="1">INDIRECT("'※ 재무_세부시트'!"&amp;S$1&amp;$V74, TRUE)</f>
        <v>0.98085650000000002</v>
      </c>
      <c r="T74" s="711" cm="1">
        <f t="array" aca="1" ref="T74" ca="1">INDIRECT("'※ 재무_세부시트'!"&amp;T$1&amp;$V74, TRUE)</f>
        <v>0</v>
      </c>
      <c r="U74" s="712" cm="1">
        <f t="array" aca="1" ref="U74" ca="1">INDIRECT("'※ 재무_세부시트'!"&amp;U$1&amp;$V74, TRUE)</f>
        <v>0.53055535999999992</v>
      </c>
      <c r="V74" s="581">
        <v>73</v>
      </c>
      <c r="W74" s="581"/>
      <c r="X74" s="591"/>
      <c r="Y74" s="591"/>
    </row>
    <row r="75" spans="1:25" ht="20.05" customHeight="1" x14ac:dyDescent="0.55000000000000004">
      <c r="A75" s="709"/>
      <c r="B75" s="678"/>
      <c r="C75" s="678"/>
      <c r="D75" s="678" t="s">
        <v>123</v>
      </c>
      <c r="E75" s="678"/>
      <c r="F75" s="6710" cm="1">
        <f t="array" aca="1" ref="F75" ca="1">INDIRECT("'※ 재무_세부시트'!"&amp;F$1&amp;$V75, TRUE)</f>
        <v>9.4528740800000026</v>
      </c>
      <c r="G75" s="6822" cm="1">
        <f t="array" aca="1" ref="G75" ca="1">INDIRECT("'※ 재무_세부시트'!"&amp;G$1&amp;$V75, TRUE)</f>
        <v>0.7497358300000001</v>
      </c>
      <c r="H75" s="6676" cm="1">
        <f t="array" aca="1" ref="H75" ca="1">INDIRECT("'※ 재무_세부시트'!"&amp;H$1&amp;$V75, TRUE)</f>
        <v>0.76536135000000005</v>
      </c>
      <c r="I75" s="6676" cm="1">
        <f t="array" aca="1" ref="I75" ca="1">INDIRECT("'※ 재무_세부시트'!"&amp;I$1&amp;$V75, TRUE)</f>
        <v>0.73643846000000002</v>
      </c>
      <c r="J75" s="6676" cm="1">
        <f t="array" aca="1" ref="J75" ca="1">INDIRECT("'※ 재무_세부시트'!"&amp;J$1&amp;$V75, TRUE)</f>
        <v>0.73597349000000001</v>
      </c>
      <c r="K75" s="6676" cm="1">
        <f t="array" aca="1" ref="K75" ca="1">INDIRECT("'※ 재무_세부시트'!"&amp;K$1&amp;$V75, TRUE)</f>
        <v>0.74715328999999997</v>
      </c>
      <c r="L75" s="6676" cm="1">
        <f t="array" aca="1" ref="L75" ca="1">INDIRECT("'※ 재무_세부시트'!"&amp;L$1&amp;$V75, TRUE)</f>
        <v>0.78955467999999995</v>
      </c>
      <c r="M75" s="6770" cm="1">
        <f t="array" aca="1" ref="M75" ca="1">INDIRECT("'※ 재무_세부시트'!"&amp;M$1&amp;$V75, TRUE)</f>
        <v>1.6623221100000001</v>
      </c>
      <c r="N75" s="6822" cm="1">
        <f t="array" aca="1" ref="N75" ca="1">INDIRECT("'※ 재무_세부시트'!"&amp;N$1&amp;$V75, TRUE)</f>
        <v>0.82020002000000003</v>
      </c>
      <c r="O75" s="6676" cm="1">
        <f t="array" aca="1" ref="O75" ca="1">INDIRECT("'※ 재무_세부시트'!"&amp;O$1&amp;$V75, TRUE)</f>
        <v>0.84212209000000005</v>
      </c>
      <c r="P75" s="6795" cm="1">
        <f t="array" aca="1" ref="P75" ca="1">INDIRECT("'※ 재무_세부시트'!"&amp;P$1&amp;$V75, TRUE)</f>
        <v>2.1922070000000016E-2</v>
      </c>
      <c r="Q75" s="6795" cm="1">
        <f t="array" aca="1" ref="Q75" ca="1">INDIRECT("'※ 재무_세부시트'!"&amp;Q$1&amp;$V75, TRUE)</f>
        <v>7.6760739999999994E-2</v>
      </c>
      <c r="R75" s="629" cm="1">
        <f t="array" aca="1" ref="R75" ca="1">INDIRECT("'※ 재무_세부시트'!"&amp;R$1&amp;$V75, TRUE)</f>
        <v>1.6623221100000001</v>
      </c>
      <c r="S75" s="630" cm="1">
        <f t="array" aca="1" ref="S75" ca="1">INDIRECT("'※ 재무_세부시트'!"&amp;S$1&amp;$V75, TRUE)</f>
        <v>1.6623221100000001</v>
      </c>
      <c r="T75" s="711" cm="1">
        <f t="array" aca="1" ref="T75" ca="1">INDIRECT("'※ 재무_세부시트'!"&amp;T$1&amp;$V75, TRUE)</f>
        <v>0</v>
      </c>
      <c r="U75" s="712" cm="1">
        <f t="array" aca="1" ref="U75" ca="1">INDIRECT("'※ 재무_세부시트'!"&amp;U$1&amp;$V75, TRUE)</f>
        <v>0.14722492999999992</v>
      </c>
      <c r="V75" s="581">
        <v>74</v>
      </c>
      <c r="W75" s="581"/>
      <c r="X75" s="591"/>
      <c r="Y75" s="591"/>
    </row>
    <row r="76" spans="1:25" ht="20.05" customHeight="1" x14ac:dyDescent="0.55000000000000004">
      <c r="A76" s="709"/>
      <c r="B76" s="678"/>
      <c r="C76" s="678"/>
      <c r="D76" s="678" t="s">
        <v>567</v>
      </c>
      <c r="E76" s="678"/>
      <c r="F76" s="6710" cm="1">
        <f t="array" aca="1" ref="F76" ca="1">INDIRECT("'※ 재무_세부시트'!"&amp;F$1&amp;$V76, TRUE)</f>
        <v>12.87763148</v>
      </c>
      <c r="G76" s="6822" cm="1">
        <f t="array" aca="1" ref="G76" ca="1">INDIRECT("'※ 재무_세부시트'!"&amp;G$1&amp;$V76, TRUE)</f>
        <v>1.05416647</v>
      </c>
      <c r="H76" s="6676" cm="1">
        <f t="array" aca="1" ref="H76" ca="1">INDIRECT("'※ 재무_세부시트'!"&amp;H$1&amp;$V76, TRUE)</f>
        <v>1.1232548</v>
      </c>
      <c r="I76" s="6676" cm="1">
        <f t="array" aca="1" ref="I76" ca="1">INDIRECT("'※ 재무_세부시트'!"&amp;I$1&amp;$V76, TRUE)</f>
        <v>1.08055524</v>
      </c>
      <c r="J76" s="6676" cm="1">
        <f t="array" aca="1" ref="J76" ca="1">INDIRECT("'※ 재무_세부시트'!"&amp;J$1&amp;$V76, TRUE)</f>
        <v>1.0190339500000001</v>
      </c>
      <c r="K76" s="6676" cm="1">
        <f t="array" aca="1" ref="K76" ca="1">INDIRECT("'※ 재무_세부시트'!"&amp;K$1&amp;$V76, TRUE)</f>
        <v>1.0140566900000001</v>
      </c>
      <c r="L76" s="6676" cm="1">
        <f t="array" aca="1" ref="L76" ca="1">INDIRECT("'※ 재무_세부시트'!"&amp;L$1&amp;$V76, TRUE)</f>
        <v>0.99325540999999995</v>
      </c>
      <c r="M76" s="6770" cm="1">
        <f t="array" aca="1" ref="M76" ca="1">INDIRECT("'※ 재무_세부시트'!"&amp;M$1&amp;$V76, TRUE)</f>
        <v>2.1860529</v>
      </c>
      <c r="N76" s="6822" cm="1">
        <f t="array" aca="1" ref="N76" ca="1">INDIRECT("'※ 재무_세부시트'!"&amp;N$1&amp;$V76, TRUE)</f>
        <v>1.1602470300000001</v>
      </c>
      <c r="O76" s="6676" cm="1">
        <f t="array" aca="1" ref="O76" ca="1">INDIRECT("'※ 재무_세부시트'!"&amp;O$1&amp;$V76, TRUE)</f>
        <v>1.0258058699999999</v>
      </c>
      <c r="P76" s="6795" cm="1">
        <f t="array" aca="1" ref="P76" ca="1">INDIRECT("'※ 재무_세부시트'!"&amp;P$1&amp;$V76, TRUE)</f>
        <v>-0.13444116000000017</v>
      </c>
      <c r="Q76" s="6795" cm="1">
        <f t="array" aca="1" ref="Q76" ca="1">INDIRECT("'※ 재무_세부시트'!"&amp;Q$1&amp;$V76, TRUE)</f>
        <v>-9.74489300000001E-2</v>
      </c>
      <c r="R76" s="629" cm="1">
        <f t="array" aca="1" ref="R76" ca="1">INDIRECT("'※ 재무_세부시트'!"&amp;R$1&amp;$V76, TRUE)</f>
        <v>2.1860529</v>
      </c>
      <c r="S76" s="630" cm="1">
        <f t="array" aca="1" ref="S76" ca="1">INDIRECT("'※ 재무_세부시트'!"&amp;S$1&amp;$V76, TRUE)</f>
        <v>2.1860529</v>
      </c>
      <c r="T76" s="711" cm="1">
        <f t="array" aca="1" ref="T76" ca="1">INDIRECT("'※ 재무_세부시트'!"&amp;T$1&amp;$V76, TRUE)</f>
        <v>0</v>
      </c>
      <c r="U76" s="712" cm="1">
        <f t="array" aca="1" ref="U76" ca="1">INDIRECT("'※ 재무_세부시트'!"&amp;U$1&amp;$V76, TRUE)</f>
        <v>8.6316300000000012E-3</v>
      </c>
      <c r="V76" s="581">
        <v>75</v>
      </c>
      <c r="W76" s="581"/>
      <c r="X76" s="591"/>
      <c r="Y76" s="591"/>
    </row>
    <row r="77" spans="1:25" ht="20.05" customHeight="1" thickBot="1" x14ac:dyDescent="0.6">
      <c r="A77" s="736"/>
      <c r="B77" s="737"/>
      <c r="C77" s="737"/>
      <c r="D77" s="737" t="s">
        <v>586</v>
      </c>
      <c r="E77" s="737" t="s">
        <v>1030</v>
      </c>
      <c r="F77" s="6722" cm="1">
        <f t="array" aca="1" ref="F77" ca="1">INDIRECT("'※ 재무_세부시트'!"&amp;F$1&amp;$V77, TRUE)</f>
        <v>34.645168190000007</v>
      </c>
      <c r="G77" s="6847" cm="1">
        <f t="array" aca="1" ref="G77" ca="1">INDIRECT("'※ 재무_세부시트'!"&amp;G$1&amp;$V77, TRUE)</f>
        <v>3.4385026499999949</v>
      </c>
      <c r="H77" s="6848" cm="1">
        <f t="array" aca="1" ref="H77" ca="1">INDIRECT("'※ 재무_세부시트'!"&amp;H$1&amp;$V77, TRUE)</f>
        <v>2.0805387900000021</v>
      </c>
      <c r="I77" s="6848" cm="1">
        <f t="array" aca="1" ref="I77" ca="1">INDIRECT("'※ 재무_세부시트'!"&amp;I$1&amp;$V77, TRUE)</f>
        <v>2.6634455699999995</v>
      </c>
      <c r="J77" s="6848" cm="1">
        <f t="array" aca="1" ref="J77" ca="1">INDIRECT("'※ 재무_세부시트'!"&amp;J$1&amp;$V77, TRUE)</f>
        <v>2.4364969400000032</v>
      </c>
      <c r="K77" s="6848" cm="1">
        <f t="array" aca="1" ref="K77" ca="1">INDIRECT("'※ 재무_세부시트'!"&amp;K$1&amp;$V77, TRUE)</f>
        <v>2.8368363199999989</v>
      </c>
      <c r="L77" s="6848" cm="1">
        <f t="array" aca="1" ref="L77" ca="1">INDIRECT("'※ 재무_세부시트'!"&amp;L$1&amp;$V77, TRUE)</f>
        <v>2.9839588300000033</v>
      </c>
      <c r="M77" s="6782" cm="1">
        <f t="array" aca="1" ref="M77" ca="1">INDIRECT("'※ 재무_세부시트'!"&amp;M$1&amp;$V77, TRUE)</f>
        <v>6.6243475199999979</v>
      </c>
      <c r="N77" s="6847" cm="1">
        <f t="array" aca="1" ref="N77" ca="1">INDIRECT("'※ 재무_세부시트'!"&amp;N$1&amp;$V77, TRUE)</f>
        <v>3.4033356000000001</v>
      </c>
      <c r="O77" s="6848" cm="1">
        <f t="array" aca="1" ref="O77" ca="1">INDIRECT("'※ 재무_세부시트'!"&amp;O$1&amp;$V77, TRUE)</f>
        <v>3.2210119199999978</v>
      </c>
      <c r="P77" s="6806" cm="1">
        <f t="array" aca="1" ref="P77" ca="1">INDIRECT("'※ 재무_세부시트'!"&amp;P$1&amp;$V77, TRUE)</f>
        <v>-0.18232368000000232</v>
      </c>
      <c r="Q77" s="6806" cm="1">
        <f t="array" aca="1" ref="Q77" ca="1">INDIRECT("'※ 재무_세부시트'!"&amp;Q$1&amp;$V77, TRUE)</f>
        <v>1.1404731299999957</v>
      </c>
      <c r="R77" s="739" cm="1">
        <f t="array" aca="1" ref="R77" ca="1">INDIRECT("'※ 재무_세부시트'!"&amp;R$1&amp;$V77, TRUE)</f>
        <v>6.6243475199999979</v>
      </c>
      <c r="S77" s="738" cm="1">
        <f t="array" aca="1" ref="S77" ca="1">INDIRECT("'※ 재무_세부시트'!"&amp;S$1&amp;$V77, TRUE)</f>
        <v>6.6243475199999979</v>
      </c>
      <c r="T77" s="740" cm="1">
        <f t="array" aca="1" ref="T77" ca="1">INDIRECT("'※ 재무_세부시트'!"&amp;T$1&amp;$V77, TRUE)</f>
        <v>0</v>
      </c>
      <c r="U77" s="741" cm="1">
        <f t="array" aca="1" ref="U77" ca="1">INDIRECT("'※ 재무_세부시트'!"&amp;U$1&amp;$V77, TRUE)</f>
        <v>1.105306080000001</v>
      </c>
      <c r="V77" s="581">
        <v>76</v>
      </c>
      <c r="W77" s="581"/>
      <c r="X77" s="591"/>
      <c r="Y77" s="591"/>
    </row>
    <row r="78" spans="1:25" ht="3.55" customHeight="1" thickTop="1" thickBot="1" x14ac:dyDescent="0.6">
      <c r="B78" s="698"/>
      <c r="C78" s="698"/>
      <c r="D78" s="698"/>
      <c r="E78" s="698"/>
      <c r="F78" s="6707"/>
      <c r="G78" s="6833"/>
      <c r="H78" s="4301"/>
      <c r="I78" s="4301"/>
      <c r="J78" s="4301"/>
      <c r="K78" s="4301"/>
      <c r="L78" s="4301"/>
      <c r="M78" s="6767"/>
      <c r="N78" s="6833"/>
      <c r="O78" s="4301"/>
      <c r="P78" s="743"/>
      <c r="Q78" s="743"/>
      <c r="R78" s="743"/>
      <c r="S78" s="742"/>
      <c r="T78" s="742"/>
      <c r="U78" s="742"/>
      <c r="W78" s="581"/>
      <c r="X78" s="591"/>
      <c r="Y78" s="591"/>
    </row>
    <row r="79" spans="1:25" ht="38.799999999999997" customHeight="1" thickTop="1" x14ac:dyDescent="0.55000000000000004">
      <c r="A79" s="744" t="s">
        <v>690</v>
      </c>
      <c r="B79" s="745"/>
      <c r="C79" s="746"/>
      <c r="D79" s="746"/>
      <c r="E79" s="746"/>
      <c r="F79" s="6723" cm="1">
        <f t="array" aca="1" ref="F79" ca="1">INDIRECT("'※ 재무_세부시트'!"&amp;F$1&amp;$V79, TRUE)</f>
        <v>163.43133321000033</v>
      </c>
      <c r="G79" s="6849" cm="1">
        <f t="array" aca="1" ref="G79" ca="1">INDIRECT("'※ 재무_세부시트'!"&amp;G$1&amp;$V79, TRUE)</f>
        <v>-3.9623293499998908</v>
      </c>
      <c r="H79" s="6850" cm="1">
        <f t="array" aca="1" ref="H79" ca="1">INDIRECT("'※ 재무_세부시트'!"&amp;H$1&amp;$V79, TRUE)</f>
        <v>46.64225362000002</v>
      </c>
      <c r="I79" s="6850" cm="1">
        <f t="array" aca="1" ref="I79" ca="1">INDIRECT("'※ 재무_세부시트'!"&amp;I$1&amp;$V79, TRUE)</f>
        <v>20.152693190000065</v>
      </c>
      <c r="J79" s="6850" cm="1">
        <f t="array" aca="1" ref="J79" ca="1">INDIRECT("'※ 재무_세부시트'!"&amp;J$1&amp;$V79, TRUE)</f>
        <v>24.687534059999933</v>
      </c>
      <c r="K79" s="6850" cm="1">
        <f t="array" aca="1" ref="K79" ca="1">INDIRECT("'※ 재무_세부시트'!"&amp;K$1&amp;$V79, TRUE)</f>
        <v>34.214966000000032</v>
      </c>
      <c r="L79" s="6850" cm="1">
        <f t="array" aca="1" ref="L79" ca="1">INDIRECT("'※ 재무_세부시트'!"&amp;L$1&amp;$V79, TRUE)</f>
        <v>25.011958040000138</v>
      </c>
      <c r="M79" s="6783" cm="1">
        <f t="array" aca="1" ref="M79" ca="1">INDIRECT("'※ 재무_세부시트'!"&amp;M$1&amp;$V79, TRUE)</f>
        <v>34.886955250000057</v>
      </c>
      <c r="N79" s="6849" cm="1">
        <f t="array" aca="1" ref="N79" ca="1">INDIRECT("'※ 재무_세부시트'!"&amp;N$1&amp;$V79, TRUE)</f>
        <v>37.826462370000087</v>
      </c>
      <c r="O79" s="6850" cm="1">
        <f t="array" aca="1" ref="O79" ca="1">INDIRECT("'※ 재무_세부시트'!"&amp;O$1&amp;$V79, TRUE)</f>
        <v>-2.9395071200000302</v>
      </c>
      <c r="P79" s="6807" cm="1">
        <f t="array" aca="1" ref="P79" ca="1">INDIRECT("'※ 재무_세부시트'!"&amp;P$1&amp;$V79, TRUE)</f>
        <v>-40.765969490000117</v>
      </c>
      <c r="Q79" s="6807" cm="1">
        <f t="array" aca="1" ref="Q79" ca="1">INDIRECT("'※ 재무_세부시트'!"&amp;Q$1&amp;$V79, TRUE)</f>
        <v>-49.58176074000005</v>
      </c>
      <c r="R79" s="748" cm="1">
        <f t="array" aca="1" ref="R79" ca="1">INDIRECT("'※ 재무_세부시트'!"&amp;R$1&amp;$V79, TRUE)</f>
        <v>34.886955250000057</v>
      </c>
      <c r="S79" s="747" cm="1">
        <f t="array" aca="1" ref="S79" ca="1">INDIRECT("'※ 재무_세부시트'!"&amp;S$1&amp;$V79, TRUE)</f>
        <v>34.886955250000057</v>
      </c>
      <c r="T79" s="749" cm="1">
        <f t="array" aca="1" ref="T79" ca="1">INDIRECT("'※ 재무_세부시트'!"&amp;T$1&amp;$V79, TRUE)</f>
        <v>0</v>
      </c>
      <c r="U79" s="750" cm="1">
        <f t="array" aca="1" ref="U79" ca="1">INDIRECT("'※ 재무_세부시트'!"&amp;U$1&amp;$V79, TRUE)</f>
        <v>-7.7929690200000721</v>
      </c>
      <c r="V79" s="581">
        <v>78</v>
      </c>
      <c r="W79" s="581"/>
      <c r="X79" s="591"/>
      <c r="Y79" s="591"/>
    </row>
    <row r="80" spans="1:25" ht="26.25" customHeight="1" x14ac:dyDescent="0.55000000000000004">
      <c r="A80" s="754"/>
      <c r="B80" s="755" t="s">
        <v>691</v>
      </c>
      <c r="C80" s="681"/>
      <c r="D80" s="681"/>
      <c r="E80" s="681"/>
      <c r="F80" s="6707" cm="1">
        <f t="array" aca="1" ref="F80" ca="1">INDIRECT("'※ 재무_세부시트'!"&amp;F$1&amp;$V80, TRUE)</f>
        <v>49.526347851288762</v>
      </c>
      <c r="G80" s="6833" cm="1">
        <f t="array" aca="1" ref="G80" ca="1">INDIRECT("'※ 재무_세부시트'!"&amp;G$1&amp;$V80, TRUE)</f>
        <v>-18.295066779738935</v>
      </c>
      <c r="H80" s="4301" cm="1">
        <f t="array" aca="1" ref="H80" ca="1">INDIRECT("'※ 재무_세부시트'!"&amp;H$1&amp;$V80, TRUE)</f>
        <v>34.361785092111376</v>
      </c>
      <c r="I80" s="4301" cm="1">
        <f t="array" aca="1" ref="I80" ca="1">INDIRECT("'※ 재무_세부시트'!"&amp;I$1&amp;$V80, TRUE)</f>
        <v>11.391866476265804</v>
      </c>
      <c r="J80" s="4301" cm="1">
        <f t="array" aca="1" ref="J80" ca="1">INDIRECT("'※ 재무_세부시트'!"&amp;J$1&amp;$V80, TRUE)</f>
        <v>16.529726748202631</v>
      </c>
      <c r="K80" s="4301" cm="1">
        <f t="array" aca="1" ref="K80" ca="1">INDIRECT("'※ 재무_세부시트'!"&amp;K$1&amp;$V80, TRUE)</f>
        <v>36.827465569778163</v>
      </c>
      <c r="L80" s="4301" cm="1">
        <f t="array" aca="1" ref="L80" ca="1">INDIRECT("'※ 재무_세부시트'!"&amp;L$1&amp;$V80, TRUE)</f>
        <v>-2.2899241677573894</v>
      </c>
      <c r="M80" s="6767" cm="1">
        <f t="array" aca="1" ref="M80" ca="1">INDIRECT("'※ 재무_세부시트'!"&amp;M$1&amp;$V80, TRUE)</f>
        <v>0.60968699615693644</v>
      </c>
      <c r="N80" s="6833" cm="1">
        <f t="array" aca="1" ref="N80" ca="1">INDIRECT("'※ 재무_세부시트'!"&amp;N$1&amp;$V80, TRUE)</f>
        <v>15.719919661860887</v>
      </c>
      <c r="O80" s="4301" cm="1">
        <f t="array" aca="1" ref="O80" ca="1">INDIRECT("'※ 재무_세부시트'!"&amp;O$1&amp;$V80, TRUE)</f>
        <v>-15.110232665703951</v>
      </c>
      <c r="P80" s="6792" cm="1">
        <f t="array" aca="1" ref="P80" ca="1">INDIRECT("'※ 재무_세부시트'!"&amp;P$1&amp;$V80, TRUE)</f>
        <v>-30.830152327564839</v>
      </c>
      <c r="Q80" s="6792" cm="1">
        <f t="array" aca="1" ref="Q80" ca="1">INDIRECT("'※ 재무_세부시트'!"&amp;Q$1&amp;$V80, TRUE)</f>
        <v>-49.472017757815323</v>
      </c>
      <c r="R80" s="599" cm="1">
        <f t="array" aca="1" ref="R80" ca="1">INDIRECT("'※ 재무_세부시트'!"&amp;R$1&amp;$V80, TRUE)</f>
        <v>0.60968699615693644</v>
      </c>
      <c r="S80" s="759"/>
      <c r="T80" s="760"/>
      <c r="U80" s="761" cm="1">
        <f t="array" aca="1" ref="U80" ca="1">INDIRECT("'※ 재무_세부시트'!"&amp;U$1&amp;$V80, TRUE)</f>
        <v>-15.457031316215504</v>
      </c>
      <c r="V80" s="581">
        <v>79</v>
      </c>
      <c r="W80" s="581"/>
      <c r="X80" s="591"/>
      <c r="Y80" s="591"/>
    </row>
    <row r="81" spans="1:25" ht="26.25" customHeight="1" x14ac:dyDescent="0.55000000000000004">
      <c r="A81" s="754"/>
      <c r="B81" s="755" t="s">
        <v>692</v>
      </c>
      <c r="C81" s="681"/>
      <c r="D81" s="681"/>
      <c r="E81" s="681"/>
      <c r="F81" s="6707" cm="1">
        <f t="array" aca="1" ref="F81" ca="1">INDIRECT("'※ 재무_세부시트'!"&amp;F$1&amp;$V81, TRUE)</f>
        <v>29.168868437338606</v>
      </c>
      <c r="G81" s="6833" cm="1">
        <f t="array" aca="1" ref="G81" ca="1">INDIRECT("'※ 재무_세부시트'!"&amp;G$1&amp;$V81, TRUE)</f>
        <v>10.406786212515296</v>
      </c>
      <c r="H81" s="4301" cm="1">
        <f t="array" aca="1" ref="H81" ca="1">INDIRECT("'※ 재무_세부시트'!"&amp;H$1&amp;$V81, TRUE)</f>
        <v>-1.2838893361205201</v>
      </c>
      <c r="I81" s="4301" cm="1">
        <f t="array" aca="1" ref="I81" ca="1">INDIRECT("'※ 재무_세부시트'!"&amp;I$1&amp;$V81, TRUE)</f>
        <v>5.7066022764471329</v>
      </c>
      <c r="J81" s="4301" cm="1">
        <f t="array" aca="1" ref="J81" ca="1">INDIRECT("'※ 재무_세부시트'!"&amp;J$1&amp;$V81, TRUE)</f>
        <v>5.5789361155570818</v>
      </c>
      <c r="K81" s="4301" cm="1">
        <f t="array" aca="1" ref="K81" ca="1">INDIRECT("'※ 재무_세부시트'!"&amp;K$1&amp;$V81, TRUE)</f>
        <v>4.0036403617705218E-2</v>
      </c>
      <c r="L81" s="4301" cm="1">
        <f t="array" aca="1" ref="L81" ca="1">INDIRECT("'※ 재무_세부시트'!"&amp;L$1&amp;$V81, TRUE)</f>
        <v>11.117805713351164</v>
      </c>
      <c r="M81" s="6767" cm="1">
        <f t="array" aca="1" ref="M81" ca="1">INDIRECT("'※ 재무_세부시트'!"&amp;M$1&amp;$V81, TRUE)</f>
        <v>10.034697122239541</v>
      </c>
      <c r="N81" s="6833" cm="1">
        <f t="array" aca="1" ref="N81" ca="1">INDIRECT("'※ 재무_세부시트'!"&amp;N$1&amp;$V81, TRUE)</f>
        <v>10.072277104190986</v>
      </c>
      <c r="O81" s="4301" cm="1">
        <f t="array" aca="1" ref="O81" ca="1">INDIRECT("'※ 재무_세부시트'!"&amp;O$1&amp;$V81, TRUE)</f>
        <v>-3.7579981951445518E-2</v>
      </c>
      <c r="P81" s="6792" cm="1">
        <f t="array" aca="1" ref="P81" ca="1">INDIRECT("'※ 재무_세부시트'!"&amp;P$1&amp;$V81, TRUE)</f>
        <v>-10.109857086142432</v>
      </c>
      <c r="Q81" s="6792" cm="1">
        <f t="array" aca="1" ref="Q81" ca="1">INDIRECT("'※ 재무_세부시트'!"&amp;Q$1&amp;$V81, TRUE)</f>
        <v>1.2463093541690746</v>
      </c>
      <c r="R81" s="599" cm="1">
        <f t="array" aca="1" ref="R81" ca="1">INDIRECT("'※ 재무_세부시트'!"&amp;R$1&amp;$V81, TRUE)</f>
        <v>10.034697122239541</v>
      </c>
      <c r="S81" s="759"/>
      <c r="T81" s="760"/>
      <c r="U81" s="761" cm="1">
        <f t="array" aca="1" ref="U81" ca="1">INDIRECT("'※ 재무_세부시트'!"&amp;U$1&amp;$V81, TRUE)</f>
        <v>0.91180024584476449</v>
      </c>
      <c r="V81" s="581">
        <v>80</v>
      </c>
      <c r="W81" s="581"/>
      <c r="X81" s="591"/>
      <c r="Y81" s="591"/>
    </row>
    <row r="82" spans="1:25" ht="26.25" customHeight="1" x14ac:dyDescent="0.55000000000000004">
      <c r="A82" s="754"/>
      <c r="B82" s="755" t="s">
        <v>867</v>
      </c>
      <c r="C82" s="681"/>
      <c r="D82" s="681"/>
      <c r="E82" s="681"/>
      <c r="F82" s="6707" cm="1">
        <f t="array" aca="1" ref="F82" ca="1">INDIRECT("'※ 재무_세부시트'!"&amp;F$1&amp;$V82, TRUE)</f>
        <v>67.52745650806429</v>
      </c>
      <c r="G82" s="6833" cm="1">
        <f t="array" aca="1" ref="G82" ca="1">INDIRECT("'※ 재무_세부시트'!"&amp;G$1&amp;$V82, TRUE)</f>
        <v>5.1919827007767143</v>
      </c>
      <c r="H82" s="4301" cm="1">
        <f t="array" aca="1" ref="H82" ca="1">INDIRECT("'※ 재무_세부시트'!"&amp;H$1&amp;$V82, TRUE)</f>
        <v>-1.3236918023909765</v>
      </c>
      <c r="I82" s="4301" cm="1">
        <f t="array" aca="1" ref="I82" ca="1">INDIRECT("'※ 재무_세부시트'!"&amp;I$1&amp;$V82, TRUE)</f>
        <v>1.5846611752871356</v>
      </c>
      <c r="J82" s="4301" cm="1">
        <f t="array" aca="1" ref="J82" ca="1">INDIRECT("'※ 재무_세부시트'!"&amp;J$1&amp;$V82, TRUE)</f>
        <v>1.8888801238403676</v>
      </c>
      <c r="K82" s="4301" cm="1">
        <f t="array" aca="1" ref="K82" ca="1">INDIRECT("'※ 재무_세부시트'!"&amp;K$1&amp;$V82, TRUE)</f>
        <v>0.22504437500412822</v>
      </c>
      <c r="L82" s="4301" cm="1">
        <f t="array" aca="1" ref="L82" ca="1">INDIRECT("'※ 재무_세부시트'!"&amp;L$1&amp;$V82, TRUE)</f>
        <v>6.220161420406189</v>
      </c>
      <c r="M82" s="6767" cm="1">
        <f t="array" aca="1" ref="M82" ca="1">INDIRECT("'※ 재무_세부시트'!"&amp;M$1&amp;$V82, TRUE)</f>
        <v>20.363391278609811</v>
      </c>
      <c r="N82" s="6833" cm="1">
        <f t="array" aca="1" ref="N82" ca="1">INDIRECT("'※ 재무_세부시트'!"&amp;N$1&amp;$V82, TRUE)</f>
        <v>9.8188875819318024</v>
      </c>
      <c r="O82" s="4301" cm="1">
        <f t="array" aca="1" ref="O82" ca="1">INDIRECT("'※ 재무_세부시트'!"&amp;O$1&amp;$V82, TRUE)</f>
        <v>10.544503696678007</v>
      </c>
      <c r="P82" s="6792" cm="1">
        <f t="array" aca="1" ref="P82" ca="1">INDIRECT("'※ 재무_세부시트'!"&amp;P$1&amp;$V82, TRUE)</f>
        <v>0.72561611474620413</v>
      </c>
      <c r="Q82" s="6792" cm="1">
        <f t="array" aca="1" ref="Q82" ca="1">INDIRECT("'※ 재무_세부시트'!"&amp;Q$1&amp;$V82, TRUE)</f>
        <v>11.868195499068984</v>
      </c>
      <c r="R82" s="599" cm="1">
        <f t="array" aca="1" ref="R82" ca="1">INDIRECT("'※ 재무_세부시트'!"&amp;R$1&amp;$V82, TRUE)</f>
        <v>20.363391278609811</v>
      </c>
      <c r="S82" s="759"/>
      <c r="T82" s="760"/>
      <c r="U82" s="761" cm="1">
        <f t="array" aca="1" ref="U82" ca="1">INDIRECT("'※ 재무_세부시트'!"&amp;U$1&amp;$V82, TRUE)</f>
        <v>16.495100380224073</v>
      </c>
      <c r="V82" s="581">
        <v>81</v>
      </c>
      <c r="W82" s="581"/>
      <c r="X82" s="591"/>
      <c r="Y82" s="591"/>
    </row>
    <row r="83" spans="1:25" ht="26.25" customHeight="1" x14ac:dyDescent="0.55000000000000004">
      <c r="A83" s="754"/>
      <c r="B83" s="762" t="s">
        <v>1028</v>
      </c>
      <c r="C83" s="673"/>
      <c r="D83" s="673"/>
      <c r="E83" s="673"/>
      <c r="F83" s="6724" cm="1">
        <f t="array" aca="1" ref="F83" ca="1">INDIRECT("'※ 재무_세부시트'!"&amp;F$1&amp;$V83, TRUE)</f>
        <v>-48.095125997692513</v>
      </c>
      <c r="G83" s="6817" cm="1">
        <f t="array" aca="1" ref="G83" ca="1">INDIRECT("'※ 재무_세부시트'!"&amp;G$1&amp;$V83, TRUE)</f>
        <v>-4.1804479461800605</v>
      </c>
      <c r="H83" s="4267" cm="1">
        <f t="array" aca="1" ref="H83" ca="1">INDIRECT("'※ 재무_세부시트'!"&amp;H$1&amp;$V83, TRUE)</f>
        <v>-1.6603434504098429</v>
      </c>
      <c r="I83" s="4267" cm="1">
        <f t="array" aca="1" ref="I83" ca="1">INDIRECT("'※ 재무_세부시트'!"&amp;I$1&amp;$V83, TRUE)</f>
        <v>-3.0069197009757249</v>
      </c>
      <c r="J83" s="4267" cm="1">
        <f t="array" aca="1" ref="J83" ca="1">INDIRECT("'※ 재무_세부시트'!"&amp;J$1&amp;$V83, TRUE)</f>
        <v>-5.7874243047900924</v>
      </c>
      <c r="K83" s="4267" cm="1">
        <f t="array" aca="1" ref="K83" ca="1">INDIRECT("'※ 재무_세부시트'!"&amp;K$1&amp;$V83, TRUE)</f>
        <v>-5.7833196762178662</v>
      </c>
      <c r="L83" s="4267" cm="1">
        <f t="array" aca="1" ref="L83" ca="1">INDIRECT("'※ 재무_세부시트'!"&amp;L$1&amp;$V83, TRUE)</f>
        <v>-2.630973999323007</v>
      </c>
      <c r="M83" s="6784" cm="1">
        <f t="array" aca="1" ref="M83" ca="1">INDIRECT("'※ 재무_세부시트'!"&amp;M$1&amp;$V83, TRUE)</f>
        <v>-2.1272988354404658</v>
      </c>
      <c r="N83" s="6817" cm="1">
        <f t="array" aca="1" ref="N83" ca="1">INDIRECT("'※ 재무_세부시트'!"&amp;N$1&amp;$V83, TRUE)</f>
        <v>0.42095081383986865</v>
      </c>
      <c r="O83" s="4267" cm="1">
        <f t="array" aca="1" ref="O83" ca="1">INDIRECT("'※ 재무_세부시트'!"&amp;O$1&amp;$V83, TRUE)</f>
        <v>-2.5482496492803346</v>
      </c>
      <c r="P83" s="6808" cm="1">
        <f t="array" aca="1" ref="P83" ca="1">INDIRECT("'※ 재무_세부시트'!"&amp;P$1&amp;$V83, TRUE)</f>
        <v>-2.9692004631202034</v>
      </c>
      <c r="Q83" s="6808" cm="1">
        <f t="array" aca="1" ref="Q83" ca="1">INDIRECT("'※ 재무_세부시트'!"&amp;Q$1&amp;$V83, TRUE)</f>
        <v>-0.88790619887049171</v>
      </c>
      <c r="R83" s="763" cm="1">
        <f t="array" aca="1" ref="R83" ca="1">INDIRECT("'※ 재무_세부시트'!"&amp;R$1&amp;$V83, TRUE)</f>
        <v>-2.1272988354404658</v>
      </c>
      <c r="S83" s="764"/>
      <c r="T83" s="765"/>
      <c r="U83" s="766" cm="1">
        <f t="array" aca="1" ref="U83" ca="1">INDIRECT("'※ 재무_세부시트'!"&amp;U$1&amp;$V83, TRUE)</f>
        <v>3.7134925611494376</v>
      </c>
      <c r="V83" s="581">
        <v>82</v>
      </c>
      <c r="W83" s="581"/>
      <c r="X83" s="591"/>
      <c r="Y83" s="591"/>
    </row>
    <row r="84" spans="1:25" ht="26.25" customHeight="1" x14ac:dyDescent="0.55000000000000004">
      <c r="A84" s="754"/>
      <c r="B84" s="762" t="s">
        <v>693</v>
      </c>
      <c r="C84" s="673"/>
      <c r="D84" s="673"/>
      <c r="E84" s="673"/>
      <c r="F84" s="6724" cm="1">
        <f t="array" aca="1" ref="F84" ca="1">INDIRECT("'※ 재무_세부시트'!"&amp;F$1&amp;$V84, TRUE)</f>
        <v>4.7332782484139884</v>
      </c>
      <c r="G84" s="6817" cm="1">
        <f t="array" aca="1" ref="G84" ca="1">INDIRECT("'※ 재무_세부시트'!"&amp;G$1&amp;$V84, TRUE)</f>
        <v>0.17031230864935623</v>
      </c>
      <c r="H84" s="4267" cm="1">
        <f t="array" aca="1" ref="H84" ca="1">INDIRECT("'※ 재무_세부시트'!"&amp;H$1&amp;$V84, TRUE)</f>
        <v>2.1858619987025723</v>
      </c>
      <c r="I84" s="4267" cm="1">
        <f t="array" aca="1" ref="I84" ca="1">INDIRECT("'※ 재무_세부시트'!"&amp;I$1&amp;$V84, TRUE)</f>
        <v>3.2127060216328083</v>
      </c>
      <c r="J84" s="4267" cm="1">
        <f t="array" aca="1" ref="J84" ca="1">INDIRECT("'※ 재무_세부시트'!"&amp;J$1&amp;$V84, TRUE)</f>
        <v>0.54020239189571506</v>
      </c>
      <c r="K84" s="4267" cm="1">
        <f t="array" aca="1" ref="K84" ca="1">INDIRECT("'※ 재무_세부시트'!"&amp;K$1&amp;$V84, TRUE)</f>
        <v>1.2282309662586708</v>
      </c>
      <c r="L84" s="4267" cm="1">
        <f t="array" aca="1" ref="L84" ca="1">INDIRECT("'※ 재무_세부시트'!"&amp;L$1&amp;$V84, TRUE)</f>
        <v>4.4776777662769449</v>
      </c>
      <c r="M84" s="6784" cm="1">
        <f t="array" aca="1" ref="M84" ca="1">INDIRECT("'※ 재무_세부시트'!"&amp;M$1&amp;$V84, TRUE)</f>
        <v>0.39487653006852902</v>
      </c>
      <c r="N84" s="6817" cm="1">
        <f t="array" aca="1" ref="N84" ca="1">INDIRECT("'※ 재무_세부시트'!"&amp;N$1&amp;$V84, TRUE)</f>
        <v>0.31749870099331828</v>
      </c>
      <c r="O84" s="4267" cm="1">
        <f t="array" aca="1" ref="O84" ca="1">INDIRECT("'※ 재무_세부시트'!"&amp;O$1&amp;$V84, TRUE)</f>
        <v>7.7377829075210736E-2</v>
      </c>
      <c r="P84" s="6808" cm="1">
        <f t="array" aca="1" ref="P84" ca="1">INDIRECT("'※ 재무_세부시트'!"&amp;P$1&amp;$V84, TRUE)</f>
        <v>-0.24012087191810755</v>
      </c>
      <c r="Q84" s="6808" cm="1">
        <f t="array" aca="1" ref="Q84" ca="1">INDIRECT("'※ 재무_세부시트'!"&amp;Q$1&amp;$V84, TRUE)</f>
        <v>-2.1084841696273617</v>
      </c>
      <c r="R84" s="763" cm="1">
        <f t="array" aca="1" ref="R84" ca="1">INDIRECT("'※ 재무_세부시트'!"&amp;R$1&amp;$V84, TRUE)</f>
        <v>0.39487653006852902</v>
      </c>
      <c r="S84" s="764"/>
      <c r="T84" s="765"/>
      <c r="U84" s="766" cm="1">
        <f t="array" aca="1" ref="U84" ca="1">INDIRECT("'※ 재무_세부시트'!"&amp;U$1&amp;$V84, TRUE)</f>
        <v>-1.9612977772833995</v>
      </c>
      <c r="V84" s="581">
        <v>83</v>
      </c>
      <c r="W84" s="581"/>
      <c r="X84" s="591"/>
      <c r="Y84" s="591"/>
    </row>
    <row r="85" spans="1:25" ht="22" hidden="1" customHeight="1" outlineLevel="1" x14ac:dyDescent="0.55000000000000004">
      <c r="A85" s="754"/>
      <c r="B85" s="767" t="s">
        <v>673</v>
      </c>
      <c r="C85" s="681"/>
      <c r="D85" s="681"/>
      <c r="E85" s="681"/>
      <c r="F85" s="6707" cm="1">
        <f t="array" aca="1" ref="F85" ca="1">INDIRECT("'※ 재무_세부시트'!"&amp;F$1&amp;$V85, TRUE)</f>
        <v>0</v>
      </c>
      <c r="G85" s="6851"/>
      <c r="H85" s="6852"/>
      <c r="I85" s="6852"/>
      <c r="J85" s="6852"/>
      <c r="K85" s="6852"/>
      <c r="L85" s="6852"/>
      <c r="M85" s="6767" cm="1">
        <f t="array" aca="1" ref="M85" ca="1">INDIRECT("'※ 재무_세부시트'!"&amp;M$1&amp;$V85, TRUE)</f>
        <v>0</v>
      </c>
      <c r="N85" s="6851"/>
      <c r="O85" s="6852"/>
      <c r="P85" s="6809"/>
      <c r="Q85" s="6809"/>
      <c r="R85" s="769"/>
      <c r="S85" s="770"/>
      <c r="T85" s="771"/>
      <c r="U85" s="772"/>
      <c r="V85" s="581">
        <v>84</v>
      </c>
      <c r="W85" s="581"/>
      <c r="X85" s="591"/>
      <c r="Y85" s="591"/>
    </row>
    <row r="86" spans="1:25" ht="22" hidden="1" customHeight="1" outlineLevel="1" x14ac:dyDescent="0.55000000000000004">
      <c r="A86" s="754"/>
      <c r="B86" s="767" t="s">
        <v>674</v>
      </c>
      <c r="C86" s="681"/>
      <c r="D86" s="681"/>
      <c r="E86" s="681"/>
      <c r="F86" s="6707" cm="1">
        <f t="array" aca="1" ref="F86" ca="1">INDIRECT("'※ 재무_세부시트'!"&amp;F$1&amp;$V86, TRUE)</f>
        <v>0</v>
      </c>
      <c r="G86" s="6851"/>
      <c r="H86" s="6852"/>
      <c r="I86" s="6852"/>
      <c r="J86" s="6852"/>
      <c r="K86" s="6852"/>
      <c r="L86" s="6852"/>
      <c r="M86" s="6767" cm="1">
        <f t="array" aca="1" ref="M86" ca="1">INDIRECT("'※ 재무_세부시트'!"&amp;M$1&amp;$V86, TRUE)</f>
        <v>0</v>
      </c>
      <c r="N86" s="6851"/>
      <c r="O86" s="6852"/>
      <c r="P86" s="6809"/>
      <c r="Q86" s="6809"/>
      <c r="R86" s="769"/>
      <c r="S86" s="770"/>
      <c r="T86" s="771"/>
      <c r="U86" s="772"/>
      <c r="V86" s="581">
        <v>85</v>
      </c>
      <c r="W86" s="581"/>
      <c r="X86" s="591"/>
      <c r="Y86" s="591"/>
    </row>
    <row r="87" spans="1:25" ht="26.25" customHeight="1" collapsed="1" x14ac:dyDescent="0.55000000000000004">
      <c r="A87" s="754"/>
      <c r="B87" s="755" t="s">
        <v>694</v>
      </c>
      <c r="C87" s="681"/>
      <c r="D87" s="681"/>
      <c r="E87" s="681"/>
      <c r="F87" s="6707" cm="1">
        <f t="array" aca="1" ref="F87" ca="1">INDIRECT("'※ 재무_세부시트'!"&amp;F$1&amp;$V87, TRUE)</f>
        <v>10.060024326998031</v>
      </c>
      <c r="G87" s="6833" cm="1">
        <f t="array" aca="1" ref="G87" ca="1">INDIRECT("'※ 재무_세부시트'!"&amp;G$1&amp;$V87, TRUE)</f>
        <v>1.6118927032395238</v>
      </c>
      <c r="H87" s="4301" cm="1">
        <f t="array" aca="1" ref="H87" ca="1">INDIRECT("'※ 재무_세부시트'!"&amp;H$1&amp;$V87, TRUE)</f>
        <v>0.5261538715072388</v>
      </c>
      <c r="I87" s="4301" cm="1">
        <f t="array" aca="1" ref="I87" ca="1">INDIRECT("'※ 재무_세부시트'!"&amp;I$1&amp;$V87, TRUE)</f>
        <v>1.2262211033429191</v>
      </c>
      <c r="J87" s="4301" cm="1">
        <f t="array" aca="1" ref="J87" ca="1">INDIRECT("'※ 재무_세부시트'!"&amp;J$1&amp;$V87, TRUE)</f>
        <v>1.3594007996943811</v>
      </c>
      <c r="K87" s="4301" cm="1">
        <f t="array" aca="1" ref="K87" ca="1">INDIRECT("'※ 재무_세부시트'!"&amp;K$1&amp;$V87, TRUE)</f>
        <v>0.42258055115919502</v>
      </c>
      <c r="L87" s="4301" cm="1">
        <f t="array" aca="1" ref="L87" ca="1">INDIRECT("'※ 재무_세부시트'!"&amp;L$1&amp;$V87, TRUE)</f>
        <v>2.1567024360460638</v>
      </c>
      <c r="M87" s="6767" cm="1">
        <f t="array" aca="1" ref="M87" ca="1">INDIRECT("'※ 재무_세부시트'!"&amp;M$1&amp;$V87, TRUE)</f>
        <v>2.496851606256798</v>
      </c>
      <c r="N87" s="6833" cm="1">
        <f t="array" aca="1" ref="N87" ca="1">INDIRECT("'※ 재무_세부시트'!"&amp;N$1&amp;$V87, TRUE)</f>
        <v>1.2910196133139569</v>
      </c>
      <c r="O87" s="4301" cm="1">
        <f t="array" aca="1" ref="O87" ca="1">INDIRECT("'※ 재무_세부시트'!"&amp;O$1&amp;$V87, TRUE)</f>
        <v>1.2058319929428412</v>
      </c>
      <c r="P87" s="6792" cm="1">
        <f t="array" aca="1" ref="P87" ca="1">INDIRECT("'※ 재무_세부시트'!"&amp;P$1&amp;$V87, TRUE)</f>
        <v>-8.5187620371115713E-2</v>
      </c>
      <c r="Q87" s="6792" cm="1">
        <f t="array" aca="1" ref="Q87" ca="1">INDIRECT("'※ 재무_세부시트'!"&amp;Q$1&amp;$V87, TRUE)</f>
        <v>0.67967812143560236</v>
      </c>
      <c r="R87" s="599" cm="1">
        <f t="array" aca="1" ref="R87" ca="1">INDIRECT("'※ 재무_세부시트'!"&amp;R$1&amp;$V87, TRUE)</f>
        <v>2.496851606256798</v>
      </c>
      <c r="S87" s="759"/>
      <c r="T87" s="760"/>
      <c r="U87" s="761" cm="1">
        <f t="array" aca="1" ref="U87" ca="1">INDIRECT("'※ 재무_세부시트'!"&amp;U$1&amp;$V87, TRUE)</f>
        <v>0.35880503151003529</v>
      </c>
      <c r="V87" s="581">
        <v>86</v>
      </c>
      <c r="W87" s="581"/>
      <c r="X87" s="591"/>
      <c r="Y87" s="591"/>
    </row>
    <row r="88" spans="1:25" ht="26.25" customHeight="1" x14ac:dyDescent="0.55000000000000004">
      <c r="A88" s="754"/>
      <c r="B88" s="755" t="s">
        <v>833</v>
      </c>
      <c r="C88" s="681"/>
      <c r="D88" s="681"/>
      <c r="E88" s="681"/>
      <c r="F88" s="6707" cm="1">
        <f t="array" aca="1" ref="F88" ca="1">INDIRECT("'※ 재무_세부시트'!"&amp;F$1&amp;$V88, TRUE)</f>
        <v>50.502053549988929</v>
      </c>
      <c r="G88" s="6833" cm="1">
        <f t="array" aca="1" ref="G88" ca="1">INDIRECT("'※ 재무_세부시트'!"&amp;G$1&amp;$V88, TRUE)</f>
        <v>1.119029695138108</v>
      </c>
      <c r="H88" s="4301" cm="1">
        <f t="array" aca="1" ref="H88" ca="1">INDIRECT("'※ 재무_세부시트'!"&amp;H$1&amp;$V88, TRUE)</f>
        <v>13.8387153766</v>
      </c>
      <c r="I88" s="4301" cm="1">
        <f t="array" aca="1" ref="I88" ca="1">INDIRECT("'※ 재무_세부시트'!"&amp;I$1&amp;$V88, TRUE)</f>
        <v>3.9969178000000015E-2</v>
      </c>
      <c r="J88" s="4301" cm="1">
        <f t="array" aca="1" ref="J88" ca="1">INDIRECT("'※ 재무_세부시트'!"&amp;J$1&amp;$V88, TRUE)</f>
        <v>4.5778121855999947</v>
      </c>
      <c r="K88" s="4301" cm="1">
        <f t="array" aca="1" ref="K88" ca="1">INDIRECT("'※ 재무_세부시트'!"&amp;K$1&amp;$V88, TRUE)</f>
        <v>1.254927810400007</v>
      </c>
      <c r="L88" s="4301" cm="1">
        <f t="array" aca="1" ref="L88" ca="1">INDIRECT("'※ 재무_세부시트'!"&amp;L$1&amp;$V88, TRUE)</f>
        <v>5.9605088709999992</v>
      </c>
      <c r="M88" s="6767" cm="1">
        <f t="array" aca="1" ref="M88" ca="1">INDIRECT("'※ 재무_세부시트'!"&amp;M$1&amp;$V88, TRUE)</f>
        <v>3.1147505521088297</v>
      </c>
      <c r="N88" s="6833" cm="1">
        <f t="array" aca="1" ref="N88" ca="1">INDIRECT("'※ 재무_세부시트'!"&amp;N$1&amp;$V88, TRUE)</f>
        <v>0.18590889386920825</v>
      </c>
      <c r="O88" s="4301" cm="1">
        <f t="array" aca="1" ref="O88" ca="1">INDIRECT("'※ 재무_세부시트'!"&amp;O$1&amp;$V88, TRUE)</f>
        <v>2.9288416582396213</v>
      </c>
      <c r="P88" s="6792" cm="1">
        <f t="array" aca="1" ref="P88" ca="1">INDIRECT("'※ 재무_세부시트'!"&amp;P$1&amp;$V88, TRUE)</f>
        <v>2.7429327643704129</v>
      </c>
      <c r="Q88" s="6792" cm="1">
        <f t="array" aca="1" ref="Q88" ca="1">INDIRECT("'※ 재무_세부시트'!"&amp;Q$1&amp;$V88, TRUE)</f>
        <v>-10.909873718360378</v>
      </c>
      <c r="R88" s="599" cm="1">
        <f t="array" aca="1" ref="R88" ca="1">INDIRECT("'※ 재무_세부시트'!"&amp;R$1&amp;$V88, TRUE)</f>
        <v>3.1147505521088297</v>
      </c>
      <c r="S88" s="759"/>
      <c r="T88" s="760"/>
      <c r="U88" s="761" cm="1">
        <f t="array" aca="1" ref="U88" ca="1">INDIRECT("'※ 재무_세부시트'!"&amp;U$1&amp;$V88, TRUE)</f>
        <v>-11.842994519629279</v>
      </c>
      <c r="V88" s="581">
        <v>87</v>
      </c>
      <c r="W88" s="581"/>
      <c r="X88" s="591"/>
      <c r="Y88" s="591"/>
    </row>
    <row r="89" spans="1:25" ht="26.25" hidden="1" customHeight="1" outlineLevel="1" thickBot="1" x14ac:dyDescent="0.6">
      <c r="A89" s="773"/>
      <c r="B89" s="774" t="s">
        <v>707</v>
      </c>
      <c r="C89" s="775"/>
      <c r="D89" s="775"/>
      <c r="E89" s="775" t="s">
        <v>706</v>
      </c>
      <c r="F89" s="6725" cm="1">
        <f t="array" aca="1" ref="F89" ca="1">INDIRECT("'※ 재무_세부시트'!"&amp;F$1&amp;$V89, TRUE)</f>
        <v>8.4302856002242965E-3</v>
      </c>
      <c r="G89" s="6853" cm="1">
        <f t="array" aca="1" ref="G89" ca="1">INDIRECT("'※ 재무_세부시트'!"&amp;G$1&amp;$V89, TRUE)</f>
        <v>1.3181755600105483E-2</v>
      </c>
      <c r="H89" s="6854" cm="1">
        <f t="array" aca="1" ref="H89" ca="1">INDIRECT("'※ 재무_세부시트'!"&amp;H$1&amp;$V89, TRUE)</f>
        <v>-2.3381299998268545E-3</v>
      </c>
      <c r="I89" s="6854" cm="1">
        <f t="array" aca="1" ref="I89" ca="1">INDIRECT("'※ 재무_세부시트'!"&amp;I$1&amp;$V89, TRUE)</f>
        <v>-2.4133400000101446E-3</v>
      </c>
      <c r="J89" s="6854" cm="1">
        <f t="array" aca="1" ref="J89" ca="1">INDIRECT("'※ 재무_세부시트'!"&amp;J$1&amp;$V89, TRUE)</f>
        <v>-1.4477308241112041E-13</v>
      </c>
      <c r="K89" s="6854" cm="1">
        <f t="array" aca="1" ref="K89" ca="1">INDIRECT("'※ 재무_세부시트'!"&amp;K$1&amp;$V89, TRUE)</f>
        <v>3.0198066269804258E-14</v>
      </c>
      <c r="L89" s="6854" cm="1">
        <f t="array" aca="1" ref="L89" ca="1">INDIRECT("'※ 재무_세부시트'!"&amp;L$1&amp;$V89, TRUE)</f>
        <v>1.758593271006248E-13</v>
      </c>
      <c r="M89" s="6785" cm="1">
        <f t="array" aca="1" ref="M89" ca="1">INDIRECT("'※ 재무_세부시트'!"&amp;M$1&amp;$V89, TRUE)</f>
        <v>8.1268325402561459E-14</v>
      </c>
      <c r="N89" s="6853" cm="1">
        <f t="array" aca="1" ref="N89" ca="1">INDIRECT("'※ 재무_세부시트'!"&amp;N$1&amp;$V89, TRUE)</f>
        <v>6.0840221749458578E-14</v>
      </c>
      <c r="O89" s="6854" cm="1">
        <f t="array" aca="1" ref="O89" ca="1">INDIRECT("'※ 재무_세부시트'!"&amp;O$1&amp;$V89, TRUE)</f>
        <v>2.042810365310288E-14</v>
      </c>
      <c r="P89" s="6810" cm="1">
        <f t="array" aca="1" ref="P89" ca="1">INDIRECT("'※ 재무_세부시트'!"&amp;P$1&amp;$V89, TRUE)</f>
        <v>-4.0412118096355698E-14</v>
      </c>
      <c r="Q89" s="6810" cm="1">
        <f t="array" aca="1" ref="Q89" ca="1">INDIRECT("'※ 재무_세부시트'!"&amp;Q$1&amp;$V89, TRUE)</f>
        <v>2.3381299998472826E-3</v>
      </c>
      <c r="R89" s="776" cm="1">
        <f t="array" aca="1" ref="R89" ca="1">INDIRECT("'※ 재무_세부시트'!"&amp;R$1&amp;$V89, TRUE)</f>
        <v>8.1268325402561459E-14</v>
      </c>
      <c r="S89" s="777"/>
      <c r="T89" s="778"/>
      <c r="U89" s="779" cm="1">
        <f t="array" aca="1" ref="U89" ca="1">INDIRECT("'※ 재무_세부시트'!"&amp;U$1&amp;$V89, TRUE)</f>
        <v>-1.084362560019736E-2</v>
      </c>
      <c r="V89" s="581">
        <v>88</v>
      </c>
      <c r="W89" s="581"/>
      <c r="X89" s="591"/>
      <c r="Y89" s="591"/>
    </row>
    <row r="90" spans="1:25" ht="3.55" customHeight="1" collapsed="1" x14ac:dyDescent="0.55000000000000004">
      <c r="B90" s="698"/>
      <c r="C90" s="698"/>
      <c r="D90" s="698"/>
      <c r="E90" s="698"/>
      <c r="F90" s="6707"/>
      <c r="G90" s="6833"/>
      <c r="H90" s="4301"/>
      <c r="I90" s="4301"/>
      <c r="J90" s="4301"/>
      <c r="K90" s="4301"/>
      <c r="L90" s="4301"/>
      <c r="M90" s="6767"/>
      <c r="N90" s="6833"/>
      <c r="O90" s="4301"/>
      <c r="P90" s="6792"/>
      <c r="Q90" s="6792"/>
      <c r="R90" s="599"/>
      <c r="S90" s="781"/>
      <c r="T90" s="782"/>
      <c r="U90" s="781"/>
      <c r="W90" s="581"/>
      <c r="X90" s="591"/>
      <c r="Y90" s="591"/>
    </row>
    <row r="91" spans="1:25" ht="17.25" customHeight="1" x14ac:dyDescent="0.55000000000000004">
      <c r="A91" s="819"/>
      <c r="B91" s="829" t="s">
        <v>19</v>
      </c>
      <c r="C91" s="830" t="s">
        <v>1227</v>
      </c>
      <c r="D91" s="831"/>
      <c r="E91" s="831"/>
      <c r="F91" s="6726" cm="1">
        <f t="array" aca="1" ref="F91" ca="1">INDIRECT("'※ 재무_세부시트'!"&amp;F$1&amp;$V91, TRUE)</f>
        <v>3340.5868798811784</v>
      </c>
      <c r="G91" s="6855" cm="1">
        <f t="array" aca="1" ref="G91" ca="1">INDIRECT("'※ 재무_세부시트'!"&amp;G$1&amp;$V91, TRUE)</f>
        <v>167.74312501103336</v>
      </c>
      <c r="H91" s="6856" cm="1">
        <f t="array" aca="1" ref="H91" ca="1">INDIRECT("'※ 재무_세부시트'!"&amp;H$1&amp;$V91, TRUE)</f>
        <v>428.25564915680542</v>
      </c>
      <c r="I91" s="6856" cm="1">
        <f t="array" aca="1" ref="I91" ca="1">INDIRECT("'※ 재무_세부시트'!"&amp;I$1&amp;$V91, TRUE)</f>
        <v>246.90401829655065</v>
      </c>
      <c r="J91" s="6856" cm="1">
        <f t="array" aca="1" ref="J91" ca="1">INDIRECT("'※ 재무_세부시트'!"&amp;J$1&amp;$V91, TRUE)</f>
        <v>248.4034575345251</v>
      </c>
      <c r="K91" s="6856" cm="1">
        <f t="array" aca="1" ref="K91" ca="1">INDIRECT("'※ 재무_세부시트'!"&amp;K$1&amp;$V91, TRUE)</f>
        <v>292.87820263900215</v>
      </c>
      <c r="L91" s="6856" cm="1">
        <f t="array" aca="1" ref="L91" ca="1">INDIRECT("'※ 재무_세부시트'!"&amp;L$1&amp;$V91, TRUE)</f>
        <v>205.79866333843387</v>
      </c>
      <c r="M91" s="6786" cm="1">
        <f t="array" aca="1" ref="M91" ca="1">INDIRECT("'※ 재무_세부시트'!"&amp;M$1&amp;$V91, TRUE)</f>
        <v>397.4726837975179</v>
      </c>
      <c r="N91" s="6855" cm="1">
        <f t="array" aca="1" ref="N91" ca="1">INDIRECT("'※ 재무_세부시트'!"&amp;N$1&amp;$V91, TRUE)</f>
        <v>229.27970548691695</v>
      </c>
      <c r="O91" s="6856" cm="1">
        <f t="array" aca="1" ref="O91" ca="1">INDIRECT("'※ 재무_세부시트'!"&amp;O$1&amp;$V91, TRUE)</f>
        <v>168.19297831060092</v>
      </c>
      <c r="P91" s="6811" cm="1">
        <f t="array" aca="1" ref="P91" ca="1">INDIRECT("'※ 재무_세부시트'!"&amp;P$1&amp;$V91, TRUE)</f>
        <v>-61.086727176316032</v>
      </c>
      <c r="Q91" s="6811" cm="1">
        <f t="array" aca="1" ref="Q91" ca="1">INDIRECT("'※ 재무_세부시트'!"&amp;Q$1&amp;$V91, TRUE)</f>
        <v>-260.06267084620447</v>
      </c>
      <c r="R91" s="832" cm="1">
        <f t="array" aca="1" ref="R91" ca="1">INDIRECT("'※ 재무_세부시트'!"&amp;R$1&amp;$V91, TRUE)</f>
        <v>397.4726837975179</v>
      </c>
      <c r="S91" s="820"/>
      <c r="T91" s="821"/>
      <c r="U91" s="833" cm="1">
        <f t="array" aca="1" ref="U91" ca="1">INDIRECT("'※ 재무_세부시트'!"&amp;U$1&amp;$V91, TRUE)</f>
        <v>-198.52609037032084</v>
      </c>
      <c r="V91" s="581">
        <v>132</v>
      </c>
      <c r="W91" s="581"/>
      <c r="X91" s="591"/>
      <c r="Y91" s="591"/>
    </row>
    <row r="92" spans="1:25" ht="17.25" customHeight="1" x14ac:dyDescent="0.55000000000000004">
      <c r="A92" s="784"/>
      <c r="B92" s="594"/>
      <c r="C92" s="786"/>
      <c r="D92" s="786" t="s">
        <v>10</v>
      </c>
      <c r="E92" s="786"/>
      <c r="F92" s="6727" cm="1">
        <f t="array" aca="1" ref="F92" ca="1">INDIRECT("'※ 재무_세부시트'!"&amp;F$1&amp;$V92, TRUE)</f>
        <v>1771.2595048600001</v>
      </c>
      <c r="G92" s="6857" cm="1">
        <f t="array" aca="1" ref="G92" ca="1">INDIRECT("'※ 재무_세부시트'!"&amp;G$1&amp;$V92, TRUE)</f>
        <v>84.079569210000002</v>
      </c>
      <c r="H92" s="4294" cm="1">
        <f t="array" aca="1" ref="H92" ca="1">INDIRECT("'※ 재무_세부시트'!"&amp;H$1&amp;$V92, TRUE)</f>
        <v>258.24693518999999</v>
      </c>
      <c r="I92" s="4294" cm="1">
        <f t="array" aca="1" ref="I92" ca="1">INDIRECT("'※ 재무_세부시트'!"&amp;I$1&amp;$V92, TRUE)</f>
        <v>114.64372557</v>
      </c>
      <c r="J92" s="4294" cm="1">
        <f t="array" aca="1" ref="J92" ca="1">INDIRECT("'※ 재무_세부시트'!"&amp;J$1&amp;$V92, TRUE)</f>
        <v>121.725476</v>
      </c>
      <c r="K92" s="4294" cm="1">
        <f t="array" aca="1" ref="K92" ca="1">INDIRECT("'※ 재무_세부시트'!"&amp;K$1&amp;$V92, TRUE)</f>
        <v>138.92942589</v>
      </c>
      <c r="L92" s="4294" cm="1">
        <f t="array" aca="1" ref="L92" ca="1">INDIRECT("'※ 재무_세부시트'!"&amp;L$1&amp;$V92, TRUE)</f>
        <v>85.365729939999994</v>
      </c>
      <c r="M92" s="6787" cm="1">
        <f t="array" aca="1" ref="M92" ca="1">INDIRECT("'※ 재무_세부시트'!"&amp;M$1&amp;$V92, TRUE)</f>
        <v>186.58393755999998</v>
      </c>
      <c r="N92" s="6857" cm="1">
        <f t="array" aca="1" ref="N92" ca="1">INDIRECT("'※ 재무_세부시트'!"&amp;N$1&amp;$V92, TRUE)</f>
        <v>108.42518892</v>
      </c>
      <c r="O92" s="4294" cm="1">
        <f t="array" aca="1" ref="O92" ca="1">INDIRECT("'※ 재무_세부시트'!"&amp;O$1&amp;$V92, TRUE)</f>
        <v>78.158748639999999</v>
      </c>
      <c r="P92" s="6812" cm="1">
        <f t="array" aca="1" ref="P92" ca="1">INDIRECT("'※ 재무_세부시트'!"&amp;P$1&amp;$V92, TRUE)</f>
        <v>-30.266440279999998</v>
      </c>
      <c r="Q92" s="6812" cm="1">
        <f t="array" aca="1" ref="Q92" ca="1">INDIRECT("'※ 재무_세부시트'!"&amp;Q$1&amp;$V92, TRUE)</f>
        <v>-180.08818654999999</v>
      </c>
      <c r="R92" s="792" cm="1">
        <f t="array" aca="1" ref="R92" ca="1">INDIRECT("'※ 재무_세부시트'!"&amp;R$1&amp;$V92, TRUE)</f>
        <v>186.58393755999998</v>
      </c>
      <c r="S92" s="793"/>
      <c r="T92" s="760"/>
      <c r="U92" s="834" cm="1">
        <f t="array" aca="1" ref="U92" ca="1">INDIRECT("'※ 재무_세부시트'!"&amp;U$1&amp;$V92, TRUE)</f>
        <v>-155.74256683999999</v>
      </c>
      <c r="V92" s="581">
        <v>133</v>
      </c>
      <c r="W92" s="581"/>
      <c r="X92" s="591"/>
      <c r="Y92" s="591"/>
    </row>
    <row r="93" spans="1:25" ht="17.25" customHeight="1" x14ac:dyDescent="0.55000000000000004">
      <c r="A93" s="784"/>
      <c r="B93" s="594"/>
      <c r="C93" s="786"/>
      <c r="D93" s="786" t="s">
        <v>6</v>
      </c>
      <c r="E93" s="786"/>
      <c r="F93" s="6727" cm="1">
        <f t="array" aca="1" ref="F93" ca="1">INDIRECT("'※ 재무_세부시트'!"&amp;F$1&amp;$V93, TRUE)</f>
        <v>1174.2223903677113</v>
      </c>
      <c r="G93" s="6857" cm="1">
        <f t="array" aca="1" ref="G93" ca="1">INDIRECT("'※ 재무_세부시트'!"&amp;G$1&amp;$V93, TRUE)</f>
        <v>49.550632411397075</v>
      </c>
      <c r="H93" s="4294" cm="1">
        <f t="array" aca="1" ref="H93" ca="1">INDIRECT("'※ 재무_세부시트'!"&amp;H$1&amp;$V93, TRUE)</f>
        <v>135.13312067000001</v>
      </c>
      <c r="I93" s="4294" cm="1">
        <f t="array" aca="1" ref="I93" ca="1">INDIRECT("'※ 재무_세부시트'!"&amp;I$1&amp;$V93, TRUE)</f>
        <v>97.077539061742797</v>
      </c>
      <c r="J93" s="4294" cm="1">
        <f t="array" aca="1" ref="J93" ca="1">INDIRECT("'※ 재무_세부시트'!"&amp;J$1&amp;$V93, TRUE)</f>
        <v>93.319227909999995</v>
      </c>
      <c r="K93" s="4294" cm="1">
        <f t="array" aca="1" ref="K93" ca="1">INDIRECT("'※ 재무_세부시트'!"&amp;K$1&amp;$V93, TRUE)</f>
        <v>120.71903759999999</v>
      </c>
      <c r="L93" s="4294" cm="1">
        <f t="array" aca="1" ref="L93" ca="1">INDIRECT("'※ 재무_세부시트'!"&amp;L$1&amp;$V93, TRUE)</f>
        <v>87.744517000000002</v>
      </c>
      <c r="M93" s="6787" cm="1">
        <f t="array" aca="1" ref="M93" ca="1">INDIRECT("'※ 재무_세부시트'!"&amp;M$1&amp;$V93, TRUE)</f>
        <v>149.36539776000001</v>
      </c>
      <c r="N93" s="6857" cm="1">
        <f t="array" aca="1" ref="N93" ca="1">INDIRECT("'※ 재무_세부시트'!"&amp;N$1&amp;$V93, TRUE)</f>
        <v>89.842143429999993</v>
      </c>
      <c r="O93" s="4294" cm="1">
        <f t="array" aca="1" ref="O93" ca="1">INDIRECT("'※ 재무_세부시트'!"&amp;O$1&amp;$V93, TRUE)</f>
        <v>59.52325433</v>
      </c>
      <c r="P93" s="6812" cm="1">
        <f t="array" aca="1" ref="P93" ca="1">INDIRECT("'※ 재무_세부시트'!"&amp;P$1&amp;$V93, TRUE)</f>
        <v>-30.318889099999993</v>
      </c>
      <c r="Q93" s="6812" cm="1">
        <f t="array" aca="1" ref="Q93" ca="1">INDIRECT("'※ 재무_세부시트'!"&amp;Q$1&amp;$V93, TRUE)</f>
        <v>-75.609866340000011</v>
      </c>
      <c r="R93" s="792" cm="1">
        <f t="array" aca="1" ref="R93" ca="1">INDIRECT("'※ 재무_세부시트'!"&amp;R$1&amp;$V93, TRUE)</f>
        <v>149.36539776000001</v>
      </c>
      <c r="S93" s="793"/>
      <c r="T93" s="760"/>
      <c r="U93" s="794" cm="1">
        <f t="array" aca="1" ref="U93" ca="1">INDIRECT("'※ 재무_세부시트'!"&amp;U$1&amp;$V93, TRUE)</f>
        <v>-35.318355321397064</v>
      </c>
      <c r="V93" s="581">
        <v>134</v>
      </c>
      <c r="W93" s="581"/>
      <c r="X93" s="591"/>
      <c r="Y93" s="591"/>
    </row>
    <row r="94" spans="1:25" ht="17.25" customHeight="1" x14ac:dyDescent="0.55000000000000004">
      <c r="A94" s="784"/>
      <c r="B94" s="594"/>
      <c r="C94" s="786"/>
      <c r="D94" s="786" t="s">
        <v>0</v>
      </c>
      <c r="E94" s="786"/>
      <c r="F94" s="6727" cm="1">
        <f t="array" aca="1" ref="F94" ca="1">INDIRECT("'※ 재무_세부시트'!"&amp;F$1&amp;$V94, TRUE)</f>
        <v>385.71570522346701</v>
      </c>
      <c r="G94" s="6857" cm="1">
        <f t="array" aca="1" ref="G94" ca="1">INDIRECT("'※ 재무_세부시트'!"&amp;G$1&amp;$V94, TRUE)</f>
        <v>32.356733409636284</v>
      </c>
      <c r="H94" s="4294" cm="1">
        <f t="array" aca="1" ref="H94" ca="1">INDIRECT("'※ 재무_세부시트'!"&amp;H$1&amp;$V94, TRUE)</f>
        <v>33.287001536805477</v>
      </c>
      <c r="I94" s="4294" cm="1">
        <f t="array" aca="1" ref="I94" ca="1">INDIRECT("'※ 재무_세부시트'!"&amp;I$1&amp;$V94, TRUE)</f>
        <v>33.052736454807828</v>
      </c>
      <c r="J94" s="4294" cm="1">
        <f t="array" aca="1" ref="J94" ca="1">INDIRECT("'※ 재무_세부시트'!"&amp;J$1&amp;$V94, TRUE)</f>
        <v>31.997194534525072</v>
      </c>
      <c r="K94" s="4294" cm="1">
        <f t="array" aca="1" ref="K94" ca="1">INDIRECT("'※ 재무_세부시트'!"&amp;K$1&amp;$V94, TRUE)</f>
        <v>31.828237369002188</v>
      </c>
      <c r="L94" s="4294" cm="1">
        <f t="array" aca="1" ref="L94" ca="1">INDIRECT("'※ 재무_세부시트'!"&amp;L$1&amp;$V94, TRUE)</f>
        <v>32.599241858433892</v>
      </c>
      <c r="M94" s="6787" cm="1">
        <f t="array" aca="1" ref="M94" ca="1">INDIRECT("'※ 재무_세부시트'!"&amp;M$1&amp;$V94, TRUE)</f>
        <v>61.371750197517883</v>
      </c>
      <c r="N94" s="6857" cm="1">
        <f t="array" aca="1" ref="N94" ca="1">INDIRECT("'※ 재무_세부시트'!"&amp;N$1&amp;$V94, TRUE)</f>
        <v>30.916335796916954</v>
      </c>
      <c r="O94" s="4294" cm="1">
        <f t="array" aca="1" ref="O94" ca="1">INDIRECT("'※ 재무_세부시트'!"&amp;O$1&amp;$V94, TRUE)</f>
        <v>30.45541440060093</v>
      </c>
      <c r="P94" s="6812" cm="1">
        <f t="array" aca="1" ref="P94" ca="1">INDIRECT("'※ 재무_세부시트'!"&amp;P$1&amp;$V94, TRUE)</f>
        <v>-0.46092139631602436</v>
      </c>
      <c r="Q94" s="6812" cm="1">
        <f t="array" aca="1" ref="Q94" ca="1">INDIRECT("'※ 재무_세부시트'!"&amp;Q$1&amp;$V94, TRUE)</f>
        <v>-2.8315871362045471</v>
      </c>
      <c r="R94" s="792" cm="1">
        <f t="array" aca="1" ref="R94" ca="1">INDIRECT("'※ 재무_세부시트'!"&amp;R$1&amp;$V94, TRUE)</f>
        <v>61.371750197517883</v>
      </c>
      <c r="S94" s="793"/>
      <c r="T94" s="760"/>
      <c r="U94" s="794" cm="1">
        <f t="array" aca="1" ref="U94" ca="1">INDIRECT("'※ 재무_세부시트'!"&amp;U$1&amp;$V94, TRUE)</f>
        <v>-4.2719847489238703</v>
      </c>
      <c r="V94" s="581">
        <v>135</v>
      </c>
      <c r="W94" s="581"/>
      <c r="X94" s="591"/>
      <c r="Y94" s="591"/>
    </row>
    <row r="95" spans="1:25" ht="17.25" customHeight="1" x14ac:dyDescent="0.55000000000000004">
      <c r="A95" s="784"/>
      <c r="B95" s="594"/>
      <c r="C95" s="786"/>
      <c r="D95" s="786" t="s">
        <v>7</v>
      </c>
      <c r="E95" s="786"/>
      <c r="F95" s="6727" cm="1">
        <f t="array" aca="1" ref="F95" ca="1">INDIRECT("'※ 재무_세부시트'!"&amp;F$1&amp;$V95, TRUE)</f>
        <v>9.389279430000002</v>
      </c>
      <c r="G95" s="6857" cm="1">
        <f t="array" aca="1" ref="G95" ca="1">INDIRECT("'※ 재무_세부시트'!"&amp;G$1&amp;$V95, TRUE)</f>
        <v>1.75618998</v>
      </c>
      <c r="H95" s="4294" cm="1">
        <f t="array" aca="1" ref="H95" ca="1">INDIRECT("'※ 재무_세부시트'!"&amp;H$1&amp;$V95, TRUE)</f>
        <v>1.5885917599999999</v>
      </c>
      <c r="I95" s="4294" cm="1">
        <f t="array" aca="1" ref="I95" ca="1">INDIRECT("'※ 재무_세부시트'!"&amp;I$1&amp;$V95, TRUE)</f>
        <v>2.1300172100000001</v>
      </c>
      <c r="J95" s="4294" cm="1">
        <f t="array" aca="1" ref="J95" ca="1">INDIRECT("'※ 재무_세부시트'!"&amp;J$1&amp;$V95, TRUE)</f>
        <v>1.3615590900000001</v>
      </c>
      <c r="K95" s="4294" cm="1">
        <f t="array" aca="1" ref="K95" ca="1">INDIRECT("'※ 재무_세부시트'!"&amp;K$1&amp;$V95, TRUE)</f>
        <v>1.40150178</v>
      </c>
      <c r="L95" s="4294" cm="1">
        <f t="array" aca="1" ref="L95" ca="1">INDIRECT("'※ 재무_세부시트'!"&amp;L$1&amp;$V95, TRUE)</f>
        <v>8.9174539999999997E-2</v>
      </c>
      <c r="M95" s="6787" cm="1">
        <f t="array" aca="1" ref="M95" ca="1">INDIRECT("'※ 재무_세부시트'!"&amp;M$1&amp;$V95, TRUE)</f>
        <v>0.15159828</v>
      </c>
      <c r="N95" s="6857" cm="1">
        <f t="array" aca="1" ref="N95" ca="1">INDIRECT("'※ 재무_세부시트'!"&amp;N$1&amp;$V95, TRUE)</f>
        <v>9.6037339999999999E-2</v>
      </c>
      <c r="O95" s="4294" cm="1">
        <f t="array" aca="1" ref="O95" ca="1">INDIRECT("'※ 재무_세부시트'!"&amp;O$1&amp;$V95, TRUE)</f>
        <v>5.5560940000000003E-2</v>
      </c>
      <c r="P95" s="6812" cm="1">
        <f t="array" aca="1" ref="P95" ca="1">INDIRECT("'※ 재무_세부시트'!"&amp;P$1&amp;$V95, TRUE)</f>
        <v>-4.0476399999999996E-2</v>
      </c>
      <c r="Q95" s="6812" cm="1">
        <f t="array" aca="1" ref="Q95" ca="1">INDIRECT("'※ 재무_세부시트'!"&amp;Q$1&amp;$V95, TRUE)</f>
        <v>-1.53303082</v>
      </c>
      <c r="R95" s="792" cm="1">
        <f t="array" aca="1" ref="R95" ca="1">INDIRECT("'※ 재무_세부시트'!"&amp;R$1&amp;$V95, TRUE)</f>
        <v>0.15159828</v>
      </c>
      <c r="S95" s="793"/>
      <c r="T95" s="760"/>
      <c r="U95" s="794" cm="1">
        <f t="array" aca="1" ref="U95" ca="1">INDIRECT("'※ 재무_세부시트'!"&amp;U$1&amp;$V95, TRUE)</f>
        <v>-3.1931834600000002</v>
      </c>
      <c r="V95" s="581">
        <v>136</v>
      </c>
      <c r="W95" s="581"/>
      <c r="X95" s="591"/>
      <c r="Y95" s="591"/>
    </row>
    <row r="96" spans="1:25" ht="17.25" customHeight="1" x14ac:dyDescent="0.55000000000000004">
      <c r="A96" s="784"/>
      <c r="B96" s="785"/>
      <c r="C96" s="823" t="s">
        <v>1229</v>
      </c>
      <c r="D96" s="803"/>
      <c r="E96" s="803"/>
      <c r="F96" s="6728" cm="1">
        <f t="array" aca="1" ref="F96" ca="1">INDIRECT("'※ 재무_세부시트'!"&amp;F$1&amp;$V96, TRUE)</f>
        <v>3163.0588503188301</v>
      </c>
      <c r="G96" s="6678" cm="1">
        <f t="array" aca="1" ref="G96" ca="1">INDIRECT("'※ 재무_세부시트'!"&amp;G$1&amp;$V96, TRUE)</f>
        <v>188.34834548071791</v>
      </c>
      <c r="H96" s="4345" cm="1">
        <f t="array" aca="1" ref="H96" ca="1">INDIRECT("'※ 재무_세부시트'!"&amp;H$1&amp;$V96, TRUE)</f>
        <v>371.54295875979403</v>
      </c>
      <c r="I96" s="4345" cm="1">
        <f t="array" aca="1" ref="I96" ca="1">INDIRECT("'※ 재무_세부시트'!"&amp;I$1&amp;$V96, TRUE)</f>
        <v>230.03669524828484</v>
      </c>
      <c r="J96" s="4345" cm="1">
        <f t="array" aca="1" ref="J96" ca="1">INDIRECT("'※ 재무_세부시트'!"&amp;J$1&amp;$V96, TRUE)</f>
        <v>225.69009836792247</v>
      </c>
      <c r="K96" s="4345" cm="1">
        <f t="array" aca="1" ref="K96" ca="1">INDIRECT("'※ 재무_세부시트'!"&amp;K$1&amp;$V96, TRUE)</f>
        <v>238.84678892862399</v>
      </c>
      <c r="L96" s="4345" cm="1">
        <f t="array" aca="1" ref="L96" ca="1">INDIRECT("'※ 재무_세부시트'!"&amp;L$1&amp;$V96, TRUE)</f>
        <v>204.13006234969126</v>
      </c>
      <c r="M96" s="6788" cm="1">
        <f t="array" aca="1" ref="M96" ca="1">INDIRECT("'※ 재무_세부시트'!"&amp;M$1&amp;$V96, TRUE)</f>
        <v>379.5788016059185</v>
      </c>
      <c r="N96" s="6678" cm="1">
        <f t="array" aca="1" ref="N96" ca="1">INDIRECT("'※ 재무_세부시트'!"&amp;N$1&amp;$V96, TRUE)</f>
        <v>211.13722637598249</v>
      </c>
      <c r="O96" s="4345" cm="1">
        <f t="array" aca="1" ref="O96" ca="1">INDIRECT("'※ 재무_세부시트'!"&amp;O$1&amp;$V96, TRUE)</f>
        <v>168.44157522993601</v>
      </c>
      <c r="P96" s="6813" cm="1">
        <f t="array" aca="1" ref="P96" ca="1">INDIRECT("'※ 재무_세부시트'!"&amp;P$1&amp;$V96, TRUE)</f>
        <v>-42.695651146046487</v>
      </c>
      <c r="Q96" s="6813" cm="1">
        <f t="array" aca="1" ref="Q96" ca="1">INDIRECT("'※ 재무_세부시트'!"&amp;Q$1&amp;$V96, TRUE)</f>
        <v>-203.10138352985803</v>
      </c>
      <c r="R96" s="806" cm="1">
        <f t="array" aca="1" ref="R96" ca="1">INDIRECT("'※ 재무_세부시트'!"&amp;R$1&amp;$V96, TRUE)</f>
        <v>379.5788016059185</v>
      </c>
      <c r="S96" s="793"/>
      <c r="T96" s="760"/>
      <c r="U96" s="835" cm="1">
        <f t="array" aca="1" ref="U96" ca="1">INDIRECT("'※ 재무_세부시트'!"&amp;U$1&amp;$V96, TRUE)</f>
        <v>-180.3125026345935</v>
      </c>
      <c r="V96" s="581">
        <v>137</v>
      </c>
      <c r="W96" s="581"/>
      <c r="X96" s="591"/>
      <c r="Y96" s="591"/>
    </row>
    <row r="97" spans="1:25" ht="17.25" customHeight="1" x14ac:dyDescent="0.55000000000000004">
      <c r="A97" s="784"/>
      <c r="B97" s="594"/>
      <c r="C97" s="803"/>
      <c r="D97" s="803" t="s">
        <v>41</v>
      </c>
      <c r="E97" s="803"/>
      <c r="F97" s="6728" cm="1">
        <f t="array" aca="1" ref="F97" ca="1">INDIRECT("'※ 재무_세부시트'!"&amp;F$1&amp;$V97, TRUE)</f>
        <v>2021.2959268499999</v>
      </c>
      <c r="G97" s="6678" cm="1">
        <f t="array" aca="1" ref="G97" ca="1">INDIRECT("'※ 재무_세부시트'!"&amp;G$1&amp;$V97, TRUE)</f>
        <v>98.16233441</v>
      </c>
      <c r="H97" s="4345" cm="1">
        <f t="array" aca="1" ref="H97" ca="1">INDIRECT("'※ 재무_세부시트'!"&amp;H$1&amp;$V97, TRUE)</f>
        <v>289.07519407000001</v>
      </c>
      <c r="I97" s="4345" cm="1">
        <f t="array" aca="1" ref="I97" ca="1">INDIRECT("'※ 재무_세부시트'!"&amp;I$1&amp;$V97, TRUE)</f>
        <v>127.60674272999999</v>
      </c>
      <c r="J97" s="4345" cm="1">
        <f t="array" aca="1" ref="J97" ca="1">INDIRECT("'※ 재무_세부시트'!"&amp;J$1&amp;$V97, TRUE)</f>
        <v>130.43840954999999</v>
      </c>
      <c r="K97" s="4345" cm="1">
        <f t="array" aca="1" ref="K97" ca="1">INDIRECT("'※ 재무_세부시트'!"&amp;K$1&amp;$V97, TRUE)</f>
        <v>152.05200708999999</v>
      </c>
      <c r="L97" s="4345" cm="1">
        <f t="array" aca="1" ref="L97" ca="1">INDIRECT("'※ 재무_세부시트'!"&amp;L$1&amp;$V97, TRUE)</f>
        <v>103.46676481999999</v>
      </c>
      <c r="M97" s="6788" cm="1">
        <f t="array" aca="1" ref="M97" ca="1">INDIRECT("'※ 재무_세부시트'!"&amp;M$1&amp;$V97, TRUE)</f>
        <v>218.11013437000003</v>
      </c>
      <c r="N97" s="6678" cm="1">
        <f t="array" aca="1" ref="N97" ca="1">INDIRECT("'※ 재무_세부시트'!"&amp;N$1&amp;$V97, TRUE)</f>
        <v>126.76667140000001</v>
      </c>
      <c r="O97" s="4345" cm="1">
        <f t="array" aca="1" ref="O97" ca="1">INDIRECT("'※ 재무_세부시트'!"&amp;O$1&amp;$V97, TRUE)</f>
        <v>91.343462970000004</v>
      </c>
      <c r="P97" s="6813" cm="1">
        <f t="array" aca="1" ref="P97" ca="1">INDIRECT("'※ 재무_세부시트'!"&amp;P$1&amp;$V97, TRUE)</f>
        <v>-35.423208430000003</v>
      </c>
      <c r="Q97" s="6813" cm="1">
        <f t="array" aca="1" ref="Q97" ca="1">INDIRECT("'※ 재무_세부시트'!"&amp;Q$1&amp;$V97, TRUE)</f>
        <v>-197.73173109999999</v>
      </c>
      <c r="R97" s="806" cm="1">
        <f t="array" aca="1" ref="R97" ca="1">INDIRECT("'※ 재무_세부시트'!"&amp;R$1&amp;$V97, TRUE)</f>
        <v>218.11013437000003</v>
      </c>
      <c r="S97" s="793"/>
      <c r="T97" s="760"/>
      <c r="U97" s="835" cm="1">
        <f t="array" aca="1" ref="U97" ca="1">INDIRECT("'※ 재무_세부시트'!"&amp;U$1&amp;$V97, TRUE)</f>
        <v>-169.12739411000001</v>
      </c>
      <c r="V97" s="581">
        <v>138</v>
      </c>
      <c r="W97" s="581"/>
      <c r="X97" s="591"/>
      <c r="Y97" s="591"/>
    </row>
    <row r="98" spans="1:25" ht="17.25" customHeight="1" x14ac:dyDescent="0.55000000000000004">
      <c r="A98" s="784"/>
      <c r="B98" s="594"/>
      <c r="C98" s="803"/>
      <c r="D98" s="803" t="s">
        <v>13</v>
      </c>
      <c r="E98" s="803"/>
      <c r="F98" s="6728" cm="1">
        <f t="array" aca="1" ref="F98" ca="1">INDIRECT("'※ 재무_세부시트'!"&amp;F$1&amp;$V98, TRUE)</f>
        <v>780.32583268489134</v>
      </c>
      <c r="G98" s="6678" cm="1">
        <f t="array" aca="1" ref="G98" ca="1">INDIRECT("'※ 재무_세부시트'!"&amp;G$1&amp;$V98, TRUE)</f>
        <v>68.283411627518163</v>
      </c>
      <c r="H98" s="4345" cm="1">
        <f t="array" aca="1" ref="H98" ca="1">INDIRECT("'※ 재무_세부시트'!"&amp;H$1&amp;$V98, TRUE)</f>
        <v>51.799272333165142</v>
      </c>
      <c r="I98" s="4345" cm="1">
        <f t="array" aca="1" ref="I98" ca="1">INDIRECT("'※ 재무_세부시트'!"&amp;I$1&amp;$V98, TRUE)</f>
        <v>69.400603306826198</v>
      </c>
      <c r="J98" s="4345" cm="1">
        <f t="array" aca="1" ref="J98" ca="1">INDIRECT("'※ 재무_세부시트'!"&amp;J$1&amp;$V98, TRUE)</f>
        <v>68.282613674466674</v>
      </c>
      <c r="K98" s="4345" cm="1">
        <f t="array" aca="1" ref="K98" ca="1">INDIRECT("'※ 재무_세부시트'!"&amp;K$1&amp;$V98, TRUE)</f>
        <v>56.369253868122662</v>
      </c>
      <c r="L98" s="4345" cm="1">
        <f t="array" aca="1" ref="L98" ca="1">INDIRECT("'※ 재무_세부시트'!"&amp;L$1&amp;$V98, TRUE)</f>
        <v>63.447658731506785</v>
      </c>
      <c r="M98" s="6788" cm="1">
        <f t="array" aca="1" ref="M98" ca="1">INDIRECT("'※ 재무_세부시트'!"&amp;M$1&amp;$V98, TRUE)</f>
        <v>120.26004004658805</v>
      </c>
      <c r="N98" s="6678" cm="1">
        <f t="array" aca="1" ref="N98" ca="1">INDIRECT("'※ 재무_세부시트'!"&amp;N$1&amp;$V98, TRUE)</f>
        <v>63.53303608429443</v>
      </c>
      <c r="O98" s="4345" cm="1">
        <f t="array" aca="1" ref="O98" ca="1">INDIRECT("'※ 재무_세부시트'!"&amp;O$1&amp;$V98, TRUE)</f>
        <v>56.727003962293608</v>
      </c>
      <c r="P98" s="6813" cm="1">
        <f t="array" aca="1" ref="P98" ca="1">INDIRECT("'※ 재무_세부시트'!"&amp;P$1&amp;$V98, TRUE)</f>
        <v>-6.806032122000822</v>
      </c>
      <c r="Q98" s="6813" cm="1">
        <f t="array" aca="1" ref="Q98" ca="1">INDIRECT("'※ 재무_세부시트'!"&amp;Q$1&amp;$V98, TRUE)</f>
        <v>4.9277316291284663</v>
      </c>
      <c r="R98" s="806" cm="1">
        <f t="array" aca="1" ref="R98" ca="1">INDIRECT("'※ 재무_세부시트'!"&amp;R$1&amp;$V98, TRUE)</f>
        <v>120.26004004658805</v>
      </c>
      <c r="S98" s="793"/>
      <c r="T98" s="760"/>
      <c r="U98" s="807" cm="1">
        <f t="array" aca="1" ref="U98" ca="1">INDIRECT("'※ 재무_세부시트'!"&amp;U$1&amp;$V98, TRUE)</f>
        <v>0.17735608590473362</v>
      </c>
      <c r="V98" s="581">
        <v>139</v>
      </c>
      <c r="W98" s="581"/>
      <c r="X98" s="591"/>
      <c r="Y98" s="591"/>
    </row>
    <row r="99" spans="1:25" ht="17.25" customHeight="1" x14ac:dyDescent="0.55000000000000004">
      <c r="A99" s="784"/>
      <c r="B99" s="594"/>
      <c r="C99" s="803"/>
      <c r="D99" s="803" t="s">
        <v>42</v>
      </c>
      <c r="E99" s="803"/>
      <c r="F99" s="6728" cm="1">
        <f t="array" aca="1" ref="F99" ca="1">INDIRECT("'※ 재무_세부시트'!"&amp;F$1&amp;$V99, TRUE)</f>
        <v>237.57264065482852</v>
      </c>
      <c r="G99" s="6678" cm="1">
        <f t="array" aca="1" ref="G99" ca="1">INDIRECT("'※ 재무_세부시트'!"&amp;G$1&amp;$V99, TRUE)</f>
        <v>11.263195150777344</v>
      </c>
      <c r="H99" s="4345" cm="1">
        <f t="array" aca="1" ref="H99" ca="1">INDIRECT("'※ 재무_세부시트'!"&amp;H$1&amp;$V99, TRUE)</f>
        <v>19.18355906091287</v>
      </c>
      <c r="I99" s="4345" cm="1">
        <f t="array" aca="1" ref="I99" ca="1">INDIRECT("'※ 재무_세부시트'!"&amp;I$1&amp;$V99, TRUE)</f>
        <v>22.347613833113662</v>
      </c>
      <c r="J99" s="4345" cm="1">
        <f t="array" aca="1" ref="J99" ca="1">INDIRECT("'※ 재무_세부시트'!"&amp;J$1&amp;$V99, TRUE)</f>
        <v>16.036361538323856</v>
      </c>
      <c r="K99" s="4345" cm="1">
        <f t="array" aca="1" ref="K99" ca="1">INDIRECT("'※ 재무_세부시트'!"&amp;K$1&amp;$V99, TRUE)</f>
        <v>19.616388075165716</v>
      </c>
      <c r="L99" s="4345" cm="1">
        <f t="array" aca="1" ref="L99" ca="1">INDIRECT("'※ 재무_세부시트'!"&amp;L$1&amp;$V99, TRUE)</f>
        <v>28.653633294442578</v>
      </c>
      <c r="M99" s="6788" cm="1">
        <f t="array" aca="1" ref="M99" ca="1">INDIRECT("'※ 재무_세부시트'!"&amp;M$1&amp;$V99, TRUE)</f>
        <v>22.043787226309355</v>
      </c>
      <c r="N99" s="6678" cm="1">
        <f t="array" aca="1" ref="N99" ca="1">INDIRECT("'※ 재무_세부시트'!"&amp;N$1&amp;$V99, TRUE)</f>
        <v>10.641019988912744</v>
      </c>
      <c r="O99" s="4345" cm="1">
        <f t="array" aca="1" ref="O99" ca="1">INDIRECT("'※ 재무_세부시트'!"&amp;O$1&amp;$V99, TRUE)</f>
        <v>11.402767237396612</v>
      </c>
      <c r="P99" s="6813" cm="1">
        <f t="array" aca="1" ref="P99" ca="1">INDIRECT("'※ 재무_세부시트'!"&amp;P$1&amp;$V99, TRUE)</f>
        <v>0.76174724848386788</v>
      </c>
      <c r="Q99" s="6813" cm="1">
        <f t="array" aca="1" ref="Q99" ca="1">INDIRECT("'※ 재무_세부시트'!"&amp;Q$1&amp;$V99, TRUE)</f>
        <v>-7.7807918235162585</v>
      </c>
      <c r="R99" s="806" cm="1">
        <f t="array" aca="1" ref="R99" ca="1">INDIRECT("'※ 재무_세부시트'!"&amp;R$1&amp;$V99, TRUE)</f>
        <v>22.043787226309355</v>
      </c>
      <c r="S99" s="793"/>
      <c r="T99" s="760"/>
      <c r="U99" s="807" cm="1">
        <f t="array" aca="1" ref="U99" ca="1">INDIRECT("'※ 재무_세부시트'!"&amp;U$1&amp;$V99, TRUE)</f>
        <v>-8.4029669853808571</v>
      </c>
      <c r="V99" s="581">
        <v>140</v>
      </c>
      <c r="W99" s="581"/>
      <c r="X99" s="591"/>
      <c r="Y99" s="591"/>
    </row>
    <row r="100" spans="1:25" ht="17.25" customHeight="1" x14ac:dyDescent="0.55000000000000004">
      <c r="A100" s="784"/>
      <c r="B100" s="594"/>
      <c r="C100" s="803"/>
      <c r="D100" s="803" t="s">
        <v>14</v>
      </c>
      <c r="E100" s="803"/>
      <c r="F100" s="6728" cm="1">
        <f t="array" aca="1" ref="F100" ca="1">INDIRECT("'※ 재무_세부시트'!"&amp;F$1&amp;$V100, TRUE)</f>
        <v>45.113313187959896</v>
      </c>
      <c r="G100" s="6678" cm="1">
        <f t="array" aca="1" ref="G100" ca="1">INDIRECT("'※ 재무_세부시트'!"&amp;G$1&amp;$V100, TRUE)</f>
        <v>4.1202875271079433</v>
      </c>
      <c r="H100" s="4345" cm="1">
        <f t="array" aca="1" ref="H100" ca="1">INDIRECT("'※ 재무_세부시트'!"&amp;H$1&amp;$V100, TRUE)</f>
        <v>3.8893027359993382</v>
      </c>
      <c r="I100" s="4345" cm="1">
        <f t="array" aca="1" ref="I100" ca="1">INDIRECT("'※ 재무_세부시트'!"&amp;I$1&amp;$V100, TRUE)</f>
        <v>3.5901103302616222</v>
      </c>
      <c r="J100" s="4345" cm="1">
        <f t="array" aca="1" ref="J100" ca="1">INDIRECT("'※ 재무_세부시트'!"&amp;J$1&amp;$V100, TRUE)</f>
        <v>3.4978945153615095</v>
      </c>
      <c r="K100" s="4345" cm="1">
        <f t="array" aca="1" ref="K100" ca="1">INDIRECT("'※ 재무_세부시트'!"&amp;K$1&amp;$V100, TRUE)</f>
        <v>3.316387728775561</v>
      </c>
      <c r="L100" s="4345" cm="1">
        <f t="array" aca="1" ref="L100" ca="1">INDIRECT("'※ 재무_세부시트'!"&amp;L$1&amp;$V100, TRUE)</f>
        <v>3.2097177630316498</v>
      </c>
      <c r="M100" s="6788" cm="1">
        <f t="array" aca="1" ref="M100" ca="1">INDIRECT("'※ 재무_세부시트'!"&amp;M$1&amp;$V100, TRUE)</f>
        <v>8.8104792814958497</v>
      </c>
      <c r="N100" s="6678" cm="1">
        <f t="array" aca="1" ref="N100" ca="1">INDIRECT("'※ 재무_세부시트'!"&amp;N$1&amp;$V100, TRUE)</f>
        <v>4.7898227359636518</v>
      </c>
      <c r="O100" s="4345" cm="1">
        <f t="array" aca="1" ref="O100" ca="1">INDIRECT("'※ 재무_세부시트'!"&amp;O$1&amp;$V100, TRUE)</f>
        <v>4.0206565455321979</v>
      </c>
      <c r="P100" s="6813" cm="1">
        <f t="array" aca="1" ref="P100" ca="1">INDIRECT("'※ 재무_세부시트'!"&amp;P$1&amp;$V100, TRUE)</f>
        <v>-0.76916619043145396</v>
      </c>
      <c r="Q100" s="6813" cm="1">
        <f t="array" aca="1" ref="Q100" ca="1">INDIRECT("'※ 재무_세부시트'!"&amp;Q$1&amp;$V100, TRUE)</f>
        <v>0.13135380953285969</v>
      </c>
      <c r="R100" s="806" cm="1">
        <f t="array" aca="1" ref="R100" ca="1">INDIRECT("'※ 재무_세부시트'!"&amp;R$1&amp;$V100, TRUE)</f>
        <v>8.8104792814958497</v>
      </c>
      <c r="S100" s="793"/>
      <c r="T100" s="760"/>
      <c r="U100" s="807" cm="1">
        <f t="array" aca="1" ref="U100" ca="1">INDIRECT("'※ 재무_세부시트'!"&amp;U$1&amp;$V100, TRUE)</f>
        <v>0.80088901838856863</v>
      </c>
      <c r="V100" s="581">
        <v>141</v>
      </c>
      <c r="W100" s="581"/>
      <c r="X100" s="591"/>
      <c r="Y100" s="591"/>
    </row>
    <row r="101" spans="1:25" ht="17.25" customHeight="1" x14ac:dyDescent="0.55000000000000004">
      <c r="A101" s="784"/>
      <c r="B101" s="594"/>
      <c r="C101" s="803"/>
      <c r="D101" s="803" t="s">
        <v>16</v>
      </c>
      <c r="E101" s="803"/>
      <c r="F101" s="6728" cm="1">
        <f t="array" aca="1" ref="F101" ca="1">INDIRECT("'※ 재무_세부시트'!"&amp;F$1&amp;$V101, TRUE)</f>
        <v>78.751136941150534</v>
      </c>
      <c r="G101" s="6678" cm="1">
        <f t="array" aca="1" ref="G101" ca="1">INDIRECT("'※ 재무_세부시트'!"&amp;G$1&amp;$V101, TRUE)</f>
        <v>6.5191167653144628</v>
      </c>
      <c r="H101" s="4345" cm="1">
        <f t="array" aca="1" ref="H101" ca="1">INDIRECT("'※ 재무_세부시트'!"&amp;H$1&amp;$V101, TRUE)</f>
        <v>7.5956305597166489</v>
      </c>
      <c r="I101" s="4345" cm="1">
        <f t="array" aca="1" ref="I101" ca="1">INDIRECT("'※ 재무_세부시트'!"&amp;I$1&amp;$V101, TRUE)</f>
        <v>7.0916250480833796</v>
      </c>
      <c r="J101" s="4345" cm="1">
        <f t="array" aca="1" ref="J101" ca="1">INDIRECT("'※ 재무_세부시트'!"&amp;J$1&amp;$V101, TRUE)</f>
        <v>7.4348190897704463</v>
      </c>
      <c r="K101" s="4345" cm="1">
        <f t="array" aca="1" ref="K101" ca="1">INDIRECT("'※ 재무_세부시트'!"&amp;K$1&amp;$V101, TRUE)</f>
        <v>7.4927521665600896</v>
      </c>
      <c r="L101" s="4345" cm="1">
        <f t="array" aca="1" ref="L101" ca="1">INDIRECT("'※ 재무_세부시트'!"&amp;L$1&amp;$V101, TRUE)</f>
        <v>5.3522877407102518</v>
      </c>
      <c r="M101" s="6788" cm="1">
        <f t="array" aca="1" ref="M101" ca="1">INDIRECT("'※ 재무_세부시트'!"&amp;M$1&amp;$V101, TRUE)</f>
        <v>10.354360681525261</v>
      </c>
      <c r="N101" s="6678" cm="1">
        <f t="array" aca="1" ref="N101" ca="1">INDIRECT("'※ 재무_세부시트'!"&amp;N$1&amp;$V101, TRUE)</f>
        <v>5.4066761668116881</v>
      </c>
      <c r="O101" s="4345" cm="1">
        <f t="array" aca="1" ref="O101" ca="1">INDIRECT("'※ 재무_세부시트'!"&amp;O$1&amp;$V101, TRUE)</f>
        <v>4.9476845147135737</v>
      </c>
      <c r="P101" s="6813" cm="1">
        <f t="array" aca="1" ref="P101" ca="1">INDIRECT("'※ 재무_세부시트'!"&amp;P$1&amp;$V101, TRUE)</f>
        <v>-0.45899165209811432</v>
      </c>
      <c r="Q101" s="6813" cm="1">
        <f t="array" aca="1" ref="Q101" ca="1">INDIRECT("'※ 재무_세부시트'!"&amp;Q$1&amp;$V101, TRUE)</f>
        <v>-2.6479460450030752</v>
      </c>
      <c r="R101" s="806" cm="1">
        <f t="array" aca="1" ref="R101" ca="1">INDIRECT("'※ 재무_세부시트'!"&amp;R$1&amp;$V101, TRUE)</f>
        <v>10.354360681525261</v>
      </c>
      <c r="S101" s="793"/>
      <c r="T101" s="760"/>
      <c r="U101" s="807" cm="1">
        <f t="array" aca="1" ref="U101" ca="1">INDIRECT("'※ 재무_세부시트'!"&amp;U$1&amp;$V101, TRUE)</f>
        <v>-3.7603866435058499</v>
      </c>
      <c r="V101" s="581">
        <v>142</v>
      </c>
      <c r="W101" s="581"/>
      <c r="X101" s="591"/>
      <c r="Y101" s="591"/>
    </row>
    <row r="102" spans="1:25" ht="17.25" customHeight="1" x14ac:dyDescent="0.55000000000000004">
      <c r="A102" s="784"/>
      <c r="B102" s="594"/>
      <c r="C102" s="812" t="s">
        <v>17</v>
      </c>
      <c r="D102" s="813"/>
      <c r="E102" s="813"/>
      <c r="F102" s="6729" cm="1">
        <f t="array" aca="1" ref="F102" ca="1">INDIRECT("'※ 재무_세부시트'!"&amp;F$1&amp;$V102, TRUE)</f>
        <v>49.526347851288762</v>
      </c>
      <c r="G102" s="6858" cm="1">
        <f t="array" aca="1" ref="G102" ca="1">INDIRECT("'※ 재무_세부시트'!"&amp;G$1&amp;$V102, TRUE)</f>
        <v>-18.295066779738935</v>
      </c>
      <c r="H102" s="6677" cm="1">
        <f t="array" aca="1" ref="H102" ca="1">INDIRECT("'※ 재무_세부시트'!"&amp;H$1&amp;$V102, TRUE)</f>
        <v>34.361785092111376</v>
      </c>
      <c r="I102" s="6677" cm="1">
        <f t="array" aca="1" ref="I102" ca="1">INDIRECT("'※ 재무_세부시트'!"&amp;I$1&amp;$V102, TRUE)</f>
        <v>11.391866476265804</v>
      </c>
      <c r="J102" s="6677" cm="1">
        <f t="array" aca="1" ref="J102" ca="1">INDIRECT("'※ 재무_세부시트'!"&amp;J$1&amp;$V102, TRUE)</f>
        <v>16.529726748202631</v>
      </c>
      <c r="K102" s="6677" cm="1">
        <f t="array" aca="1" ref="K102" ca="1">INDIRECT("'※ 재무_세부시트'!"&amp;K$1&amp;$V102, TRUE)</f>
        <v>36.827465569778163</v>
      </c>
      <c r="L102" s="6677" cm="1">
        <f t="array" aca="1" ref="L102" ca="1">INDIRECT("'※ 재무_세부시트'!"&amp;L$1&amp;$V102, TRUE)</f>
        <v>-2.2899241677573894</v>
      </c>
      <c r="M102" s="6789" cm="1">
        <f t="array" aca="1" ref="M102" ca="1">INDIRECT("'※ 재무_세부시트'!"&amp;M$1&amp;$V102, TRUE)</f>
        <v>0.60968699615693644</v>
      </c>
      <c r="N102" s="6858" cm="1">
        <f t="array" aca="1" ref="N102" ca="1">INDIRECT("'※ 재무_세부시트'!"&amp;N$1&amp;$V102, TRUE)</f>
        <v>15.719919661860887</v>
      </c>
      <c r="O102" s="6677" cm="1">
        <f t="array" aca="1" ref="O102" ca="1">INDIRECT("'※ 재무_세부시트'!"&amp;O$1&amp;$V102, TRUE)</f>
        <v>-15.110232665703951</v>
      </c>
      <c r="P102" s="6814" cm="1">
        <f t="array" aca="1" ref="P102" ca="1">INDIRECT("'※ 재무_세부시트'!"&amp;P$1&amp;$V102, TRUE)</f>
        <v>-30.830152327564839</v>
      </c>
      <c r="Q102" s="6814" cm="1">
        <f t="array" aca="1" ref="Q102" ca="1">INDIRECT("'※ 재무_세부시트'!"&amp;Q$1&amp;$V102, TRUE)</f>
        <v>-49.472017757815323</v>
      </c>
      <c r="R102" s="815" cm="1">
        <f t="array" aca="1" ref="R102" ca="1">INDIRECT("'※ 재무_세부시트'!"&amp;R$1&amp;$V102, TRUE)</f>
        <v>0.60968699615693644</v>
      </c>
      <c r="S102" s="793"/>
      <c r="T102" s="760"/>
      <c r="U102" s="816" cm="1">
        <f t="array" aca="1" ref="U102" ca="1">INDIRECT("'※ 재무_세부시트'!"&amp;U$1&amp;$V102, TRUE)</f>
        <v>-15.457031316215504</v>
      </c>
      <c r="V102" s="581">
        <v>143</v>
      </c>
      <c r="W102" s="581"/>
      <c r="X102" s="591"/>
      <c r="Y102" s="591"/>
    </row>
    <row r="103" spans="1:25" ht="17.25" customHeight="1" x14ac:dyDescent="0.55000000000000004">
      <c r="A103" s="784"/>
      <c r="B103" s="594"/>
      <c r="C103" s="594"/>
      <c r="D103" s="594" t="s">
        <v>600</v>
      </c>
      <c r="E103" s="594"/>
      <c r="F103" s="6730" cm="1">
        <f t="array" aca="1" ref="F103" ca="1">INDIRECT("'※ 재무_세부시트'!"&amp;F$1&amp;$V103, TRUE)</f>
        <v>128.00168171105977</v>
      </c>
      <c r="G103" s="6833" cm="1">
        <f t="array" aca="1" ref="G103" ca="1">INDIRECT("'※ 재무_세부시트'!"&amp;G$1&amp;$V103, TRUE)</f>
        <v>-2.3101536899456172</v>
      </c>
      <c r="H103" s="4301" cm="1">
        <f t="array" aca="1" ref="H103" ca="1">INDIRECT("'※ 재무_세부시트'!"&amp;H$1&amp;$V103, TRUE)</f>
        <v>22.35090530490001</v>
      </c>
      <c r="I103" s="4301" cm="1">
        <f t="array" aca="1" ref="I103" ca="1">INDIRECT("'※ 재무_세부시트'!"&amp;I$1&amp;$V103, TRUE)</f>
        <v>5.4754565719999997</v>
      </c>
      <c r="J103" s="4301" cm="1">
        <f t="array" aca="1" ref="J103" ca="1">INDIRECT("'※ 재무_세부시트'!"&amp;J$1&amp;$V103, TRUE)</f>
        <v>6.1836324183999993</v>
      </c>
      <c r="K103" s="4301" cm="1">
        <f t="array" aca="1" ref="K103" ca="1">INDIRECT("'※ 재무_세부시트'!"&amp;K$1&amp;$V103, TRUE)</f>
        <v>17.203948140599998</v>
      </c>
      <c r="L103" s="4301" cm="1">
        <f t="array" aca="1" ref="L103" ca="1">INDIRECT("'※ 재무_세부시트'!"&amp;L$1&amp;$V103, TRUE)</f>
        <v>3.9585251565000004</v>
      </c>
      <c r="M103" s="6767" cm="1">
        <f t="array" aca="1" ref="M103" ca="1">INDIRECT("'※ 재무_세부시트'!"&amp;M$1&amp;$V103, TRUE)</f>
        <v>17.284195195442436</v>
      </c>
      <c r="N103" s="6833" cm="1">
        <f t="array" aca="1" ref="N103" ca="1">INDIRECT("'※ 재무_세부시트'!"&amp;N$1&amp;$V103, TRUE)</f>
        <v>2.4225594490735727</v>
      </c>
      <c r="O103" s="4301" cm="1">
        <f t="array" aca="1" ref="O103" ca="1">INDIRECT("'※ 재무_세부시트'!"&amp;O$1&amp;$V103, TRUE)</f>
        <v>14.861635746368865</v>
      </c>
      <c r="P103" s="6792" cm="1">
        <f t="array" aca="1" ref="P103" ca="1">INDIRECT("'※ 재무_세부시트'!"&amp;P$1&amp;$V103, TRUE)</f>
        <v>12.439076297295292</v>
      </c>
      <c r="Q103" s="6792" cm="1">
        <f t="array" aca="1" ref="Q103" ca="1">INDIRECT("'※ 재무_세부시트'!"&amp;Q$1&amp;$V103, TRUE)</f>
        <v>-7.4892695585311451</v>
      </c>
      <c r="R103" s="599" cm="1">
        <f t="array" aca="1" ref="R103" ca="1">INDIRECT("'※ 재무_세부시트'!"&amp;R$1&amp;$V103, TRUE)</f>
        <v>17.284195195442436</v>
      </c>
      <c r="S103" s="793"/>
      <c r="T103" s="760"/>
      <c r="U103" s="761" cm="1">
        <f t="array" aca="1" ref="U103" ca="1">INDIRECT("'※ 재무_세부시트'!"&amp;U$1&amp;$V103, TRUE)</f>
        <v>-2.7565564195119556</v>
      </c>
      <c r="V103" s="581">
        <v>144</v>
      </c>
      <c r="W103" s="581"/>
      <c r="X103" s="591"/>
      <c r="Y103" s="591"/>
    </row>
    <row r="104" spans="1:25" ht="17.25" customHeight="1" x14ac:dyDescent="0.55000000000000004">
      <c r="A104" s="819"/>
      <c r="B104" s="829" t="s">
        <v>20</v>
      </c>
      <c r="C104" s="830" t="s">
        <v>1226</v>
      </c>
      <c r="D104" s="831"/>
      <c r="E104" s="6731"/>
      <c r="F104" s="6726" cm="1">
        <f t="array" aca="1" ref="F104" ca="1">INDIRECT("'※ 재무_세부시트'!"&amp;F$1&amp;$V104, TRUE)</f>
        <v>476.07802193882145</v>
      </c>
      <c r="G104" s="6855" cm="1">
        <f t="array" aca="1" ref="G104" ca="1">INDIRECT("'※ 재무_세부시트'!"&amp;G$1&amp;$V104, TRUE)</f>
        <v>44.517633818966651</v>
      </c>
      <c r="H104" s="6856" cm="1">
        <f t="array" aca="1" ref="H104" ca="1">INDIRECT("'※ 재무_세부시트'!"&amp;H$1&amp;$V104, TRUE)</f>
        <v>46.736148333194528</v>
      </c>
      <c r="I104" s="6856" cm="1">
        <f t="array" aca="1" ref="I104" ca="1">INDIRECT("'※ 재무_세부시트'!"&amp;I$1&amp;$V104, TRUE)</f>
        <v>39.487868103449372</v>
      </c>
      <c r="J104" s="6856" cm="1">
        <f t="array" aca="1" ref="J104" ca="1">INDIRECT("'※ 재무_세부시트'!"&amp;J$1&amp;$V104, TRUE)</f>
        <v>38.925384655474929</v>
      </c>
      <c r="K104" s="6856" cm="1">
        <f t="array" aca="1" ref="K104" ca="1">INDIRECT("'※ 재무_세부시트'!"&amp;K$1&amp;$V104, TRUE)</f>
        <v>36.960215620997808</v>
      </c>
      <c r="L104" s="6856" cm="1">
        <f t="array" aca="1" ref="L104" ca="1">INDIRECT("'※ 재무_세부시트'!"&amp;L$1&amp;$V104, TRUE)</f>
        <v>39.269661141566097</v>
      </c>
      <c r="M104" s="6786" cm="1">
        <f t="array" aca="1" ref="M104" ca="1">INDIRECT("'※ 재무_세부시트'!"&amp;M$1&amp;$V104, TRUE)</f>
        <v>156.03538348248213</v>
      </c>
      <c r="N104" s="6855" cm="1">
        <f t="array" aca="1" ref="N104" ca="1">INDIRECT("'※ 재무_세부시트'!"&amp;N$1&amp;$V104, TRUE)</f>
        <v>111.14510561308305</v>
      </c>
      <c r="O104" s="6856" cm="1">
        <f t="array" aca="1" ref="O104" ca="1">INDIRECT("'※ 재무_세부시트'!"&amp;O$1&amp;$V104, TRUE)</f>
        <v>44.890277869399071</v>
      </c>
      <c r="P104" s="6811" cm="1">
        <f t="array" aca="1" ref="P104" ca="1">INDIRECT("'※ 재무_세부시트'!"&amp;P$1&amp;$V104, TRUE)</f>
        <v>-66.254827743683975</v>
      </c>
      <c r="Q104" s="6811" cm="1">
        <f t="array" aca="1" ref="Q104" ca="1">INDIRECT("'※ 재무_세부시트'!"&amp;Q$1&amp;$V104, TRUE)</f>
        <v>-1.8458704637954568</v>
      </c>
      <c r="R104" s="832" cm="1">
        <f t="array" aca="1" ref="R104" ca="1">INDIRECT("'※ 재무_세부시트'!"&amp;R$1&amp;$V104, TRUE)</f>
        <v>156.03538348248213</v>
      </c>
      <c r="S104" s="820"/>
      <c r="T104" s="821"/>
      <c r="U104" s="836" cm="1">
        <f t="array" aca="1" ref="U104" ca="1">INDIRECT("'※ 재무_세부시트'!"&amp;U$1&amp;$V104, TRUE)</f>
        <v>64.781601330320953</v>
      </c>
      <c r="V104" s="581">
        <v>145</v>
      </c>
      <c r="W104" s="581"/>
      <c r="X104" s="591"/>
      <c r="Y104" s="591"/>
    </row>
    <row r="105" spans="1:25" ht="17.25" customHeight="1" x14ac:dyDescent="0.55000000000000004">
      <c r="A105" s="784"/>
      <c r="B105" s="594"/>
      <c r="C105" s="786"/>
      <c r="D105" s="786" t="s">
        <v>10</v>
      </c>
      <c r="E105" s="786"/>
      <c r="F105" s="6727" cm="1">
        <f t="array" aca="1" ref="F105" ca="1">INDIRECT("'※ 재무_세부시트'!"&amp;F$1&amp;$V105, TRUE)</f>
        <v>37.520663490000004</v>
      </c>
      <c r="G105" s="6857" cm="1">
        <f t="array" aca="1" ref="G105" ca="1">INDIRECT("'※ 재무_세부시트'!"&amp;G$1&amp;$V105, TRUE)</f>
        <v>6.6308218300000004</v>
      </c>
      <c r="H105" s="4294" cm="1">
        <f t="array" aca="1" ref="H105" ca="1">INDIRECT("'※ 재무_세부시트'!"&amp;H$1&amp;$V105, TRUE)</f>
        <v>8.1350248300000008</v>
      </c>
      <c r="I105" s="4294" cm="1">
        <f t="array" aca="1" ref="I105" ca="1">INDIRECT("'※ 재무_세부시트'!"&amp;I$1&amp;$V105, TRUE)</f>
        <v>3.26957684</v>
      </c>
      <c r="J105" s="4294" cm="1">
        <f t="array" aca="1" ref="J105" ca="1">INDIRECT("'※ 재무_세부시트'!"&amp;J$1&amp;$V105, TRUE)</f>
        <v>2.0404628599999999</v>
      </c>
      <c r="K105" s="4294" cm="1">
        <f t="array" aca="1" ref="K105" ca="1">INDIRECT("'※ 재무_세부시트'!"&amp;K$1&amp;$V105, TRUE)</f>
        <v>4.1415626100000003</v>
      </c>
      <c r="L105" s="4294" cm="1">
        <f t="array" aca="1" ref="L105" ca="1">INDIRECT("'※ 재무_세부시트'!"&amp;L$1&amp;$V105, TRUE)</f>
        <v>2.0046762299999998</v>
      </c>
      <c r="M105" s="6787" cm="1">
        <f t="array" aca="1" ref="M105" ca="1">INDIRECT("'※ 재무_세부시트'!"&amp;M$1&amp;$V105, TRUE)</f>
        <v>86.928603839999994</v>
      </c>
      <c r="N105" s="6857" cm="1">
        <f t="array" aca="1" ref="N105" ca="1">INDIRECT("'※ 재무_세부시트'!"&amp;N$1&amp;$V105, TRUE)</f>
        <v>76.329985339999993</v>
      </c>
      <c r="O105" s="4294" cm="1">
        <f t="array" aca="1" ref="O105" ca="1">INDIRECT("'※ 재무_세부시트'!"&amp;O$1&amp;$V105, TRUE)</f>
        <v>10.598618500000001</v>
      </c>
      <c r="P105" s="6812" cm="1">
        <f t="array" aca="1" ref="P105" ca="1">INDIRECT("'※ 재무_세부시트'!"&amp;P$1&amp;$V105, TRUE)</f>
        <v>-65.731366839999993</v>
      </c>
      <c r="Q105" s="6812" cm="1">
        <f t="array" aca="1" ref="Q105" ca="1">INDIRECT("'※ 재무_세부시트'!"&amp;Q$1&amp;$V105, TRUE)</f>
        <v>2.4635936699999998</v>
      </c>
      <c r="R105" s="792" cm="1">
        <f t="array" aca="1" ref="R105" ca="1">INDIRECT("'※ 재무_세부시트'!"&amp;R$1&amp;$V105, TRUE)</f>
        <v>86.928603839999994</v>
      </c>
      <c r="S105" s="793"/>
      <c r="T105" s="760"/>
      <c r="U105" s="794" cm="1">
        <f t="array" aca="1" ref="U105" ca="1">INDIRECT("'※ 재무_세부시트'!"&amp;U$1&amp;$V105, TRUE)</f>
        <v>72.16275718</v>
      </c>
      <c r="V105" s="581">
        <v>146</v>
      </c>
      <c r="W105" s="581"/>
      <c r="X105" s="591"/>
      <c r="Y105" s="591"/>
    </row>
    <row r="106" spans="1:25" ht="17.25" customHeight="1" x14ac:dyDescent="0.55000000000000004">
      <c r="A106" s="784"/>
      <c r="B106" s="594"/>
      <c r="C106" s="786"/>
      <c r="D106" s="786" t="s">
        <v>6</v>
      </c>
      <c r="E106" s="786"/>
      <c r="F106" s="6727" cm="1">
        <f t="array" aca="1" ref="F106" ca="1">INDIRECT("'※ 재무_세부시트'!"&amp;F$1&amp;$V106, TRUE)</f>
        <v>14.562839692288454</v>
      </c>
      <c r="G106" s="6857" cm="1">
        <f t="array" aca="1" ref="G106" ca="1">INDIRECT("'※ 재무_세부시트'!"&amp;G$1&amp;$V106, TRUE)</f>
        <v>1.8922512386029322</v>
      </c>
      <c r="H106" s="4294" cm="1">
        <f t="array" aca="1" ref="H106" ca="1">INDIRECT("'※ 재무_세부시트'!"&amp;H$1&amp;$V106, TRUE)</f>
        <v>2.4818941900000002</v>
      </c>
      <c r="I106" s="4294" cm="1">
        <f t="array" aca="1" ref="I106" ca="1">INDIRECT("'※ 재무_세부시트'!"&amp;I$1&amp;$V106, TRUE)</f>
        <v>0.70588277825719248</v>
      </c>
      <c r="J106" s="4294" cm="1">
        <f t="array" aca="1" ref="J106" ca="1">INDIRECT("'※ 재무_세부시트'!"&amp;J$1&amp;$V106, TRUE)</f>
        <v>3.8676703799999999</v>
      </c>
      <c r="K106" s="4294" cm="1">
        <f t="array" aca="1" ref="K106" ca="1">INDIRECT("'※ 재무_세부시트'!"&amp;K$1&amp;$V106, TRUE)</f>
        <v>0.20809046</v>
      </c>
      <c r="L106" s="4294" cm="1">
        <f t="array" aca="1" ref="L106" ca="1">INDIRECT("'※ 재무_세부시트'!"&amp;L$1&amp;$V106, TRUE)</f>
        <v>0.95145148999999996</v>
      </c>
      <c r="M106" s="6787" cm="1">
        <f t="array" aca="1" ref="M106" ca="1">INDIRECT("'※ 재무_세부시트'!"&amp;M$1&amp;$V106, TRUE)</f>
        <v>2.05523049</v>
      </c>
      <c r="N106" s="6857" cm="1">
        <f t="array" aca="1" ref="N106" ca="1">INDIRECT("'※ 재무_세부시트'!"&amp;N$1&amp;$V106, TRUE)</f>
        <v>1.16736518</v>
      </c>
      <c r="O106" s="4294" cm="1">
        <f t="array" aca="1" ref="O106" ca="1">INDIRECT("'※ 재무_세부시트'!"&amp;O$1&amp;$V106, TRUE)</f>
        <v>0.88786531000000002</v>
      </c>
      <c r="P106" s="6812" cm="1">
        <f t="array" aca="1" ref="P106" ca="1">INDIRECT("'※ 재무_세부시트'!"&amp;P$1&amp;$V106, TRUE)</f>
        <v>-0.27949986999999998</v>
      </c>
      <c r="Q106" s="6812" cm="1">
        <f t="array" aca="1" ref="Q106" ca="1">INDIRECT("'※ 재무_세부시트'!"&amp;Q$1&amp;$V106, TRUE)</f>
        <v>-1.5940288800000002</v>
      </c>
      <c r="R106" s="792" cm="1">
        <f t="array" aca="1" ref="R106" ca="1">INDIRECT("'※ 재무_세부시트'!"&amp;R$1&amp;$V106, TRUE)</f>
        <v>2.05523049</v>
      </c>
      <c r="S106" s="793"/>
      <c r="T106" s="760"/>
      <c r="U106" s="794" cm="1">
        <f t="array" aca="1" ref="U106" ca="1">INDIRECT("'※ 재무_세부시트'!"&amp;U$1&amp;$V106, TRUE)</f>
        <v>-2.3189149386029322</v>
      </c>
      <c r="V106" s="581">
        <v>147</v>
      </c>
      <c r="W106" s="581"/>
      <c r="X106" s="591"/>
      <c r="Y106" s="591"/>
    </row>
    <row r="107" spans="1:25" ht="17.25" customHeight="1" x14ac:dyDescent="0.55000000000000004">
      <c r="A107" s="784"/>
      <c r="B107" s="594"/>
      <c r="C107" s="786"/>
      <c r="D107" s="786" t="s">
        <v>0</v>
      </c>
      <c r="E107" s="786"/>
      <c r="F107" s="6727" cm="1">
        <f t="array" aca="1" ref="F107" ca="1">INDIRECT("'※ 재무_세부시트'!"&amp;F$1&amp;$V107, TRUE)</f>
        <v>107.78417602653298</v>
      </c>
      <c r="G107" s="6857" cm="1">
        <f t="array" aca="1" ref="G107" ca="1">INDIRECT("'※ 재무_세부시트'!"&amp;G$1&amp;$V107, TRUE)</f>
        <v>9.0695834803637165</v>
      </c>
      <c r="H107" s="4294" cm="1">
        <f t="array" aca="1" ref="H107" ca="1">INDIRECT("'※ 재무_세부시트'!"&amp;H$1&amp;$V107, TRUE)</f>
        <v>9.083092943194524</v>
      </c>
      <c r="I107" s="4294" cm="1">
        <f t="array" aca="1" ref="I107" ca="1">INDIRECT("'※ 재무_세부시트'!"&amp;I$1&amp;$V107, TRUE)</f>
        <v>8.5533175751921764</v>
      </c>
      <c r="J107" s="4294" cm="1">
        <f t="array" aca="1" ref="J107" ca="1">INDIRECT("'※ 재무_세부시트'!"&amp;J$1&amp;$V107, TRUE)</f>
        <v>8.0081605054749314</v>
      </c>
      <c r="K107" s="4294" cm="1">
        <f t="array" aca="1" ref="K107" ca="1">INDIRECT("'※ 재무_세부시트'!"&amp;K$1&amp;$V107, TRUE)</f>
        <v>7.601471640997806</v>
      </c>
      <c r="L107" s="4294" cm="1">
        <f t="array" aca="1" ref="L107" ca="1">INDIRECT("'※ 재무_세부시트'!"&amp;L$1&amp;$V107, TRUE)</f>
        <v>11.299897061566099</v>
      </c>
      <c r="M107" s="6787" cm="1">
        <f t="array" aca="1" ref="M107" ca="1">INDIRECT("'※ 재무_세부시트'!"&amp;M$1&amp;$V107, TRUE)</f>
        <v>17.051549152482117</v>
      </c>
      <c r="N107" s="6857" cm="1">
        <f t="array" aca="1" ref="N107" ca="1">INDIRECT("'※ 재무_세부시트'!"&amp;N$1&amp;$V107, TRUE)</f>
        <v>8.6477550930830454</v>
      </c>
      <c r="O107" s="4294" cm="1">
        <f t="array" aca="1" ref="O107" ca="1">INDIRECT("'※ 재무_세부시트'!"&amp;O$1&amp;$V107, TRUE)</f>
        <v>8.4037940593990701</v>
      </c>
      <c r="P107" s="6812" cm="1">
        <f t="array" aca="1" ref="P107" ca="1">INDIRECT("'※ 재무_세부시트'!"&amp;P$1&amp;$V107, TRUE)</f>
        <v>-0.24396103368397526</v>
      </c>
      <c r="Q107" s="6812" cm="1">
        <f t="array" aca="1" ref="Q107" ca="1">INDIRECT("'※ 재무_세부시트'!"&amp;Q$1&amp;$V107, TRUE)</f>
        <v>-0.67929888379545389</v>
      </c>
      <c r="R107" s="792" cm="1">
        <f t="array" aca="1" ref="R107" ca="1">INDIRECT("'※ 재무_세부시트'!"&amp;R$1&amp;$V107, TRUE)</f>
        <v>17.051549152482117</v>
      </c>
      <c r="S107" s="793"/>
      <c r="T107" s="760"/>
      <c r="U107" s="794" cm="1">
        <f t="array" aca="1" ref="U107" ca="1">INDIRECT("'※ 재무_세부시트'!"&amp;U$1&amp;$V107, TRUE)</f>
        <v>-1.1011272710761233</v>
      </c>
      <c r="V107" s="581">
        <v>148</v>
      </c>
      <c r="W107" s="581"/>
      <c r="X107" s="591"/>
      <c r="Y107" s="591"/>
    </row>
    <row r="108" spans="1:25" ht="17.25" customHeight="1" x14ac:dyDescent="0.55000000000000004">
      <c r="A108" s="784"/>
      <c r="B108" s="594"/>
      <c r="C108" s="786"/>
      <c r="D108" s="786" t="s">
        <v>7</v>
      </c>
      <c r="E108" s="786"/>
      <c r="F108" s="6727" cm="1">
        <f t="array" aca="1" ref="F108" ca="1">INDIRECT("'※ 재무_세부시트'!"&amp;F$1&amp;$V108, TRUE)</f>
        <v>316.21034272999998</v>
      </c>
      <c r="G108" s="6857" cm="1">
        <f t="array" aca="1" ref="G108" ca="1">INDIRECT("'※ 재무_세부시트'!"&amp;G$1&amp;$V108, TRUE)</f>
        <v>26.924977269999999</v>
      </c>
      <c r="H108" s="4294" cm="1">
        <f t="array" aca="1" ref="H108" ca="1">INDIRECT("'※ 재무_세부시트'!"&amp;H$1&amp;$V108, TRUE)</f>
        <v>27.036136370000001</v>
      </c>
      <c r="I108" s="4294" cm="1">
        <f t="array" aca="1" ref="I108" ca="1">INDIRECT("'※ 재무_세부시트'!"&amp;I$1&amp;$V108, TRUE)</f>
        <v>26.95909091</v>
      </c>
      <c r="J108" s="4294" cm="1">
        <f t="array" aca="1" ref="J108" ca="1">INDIRECT("'※ 재무_세부시트'!"&amp;J$1&amp;$V108, TRUE)</f>
        <v>25.009090910000001</v>
      </c>
      <c r="K108" s="4294" cm="1">
        <f t="array" aca="1" ref="K108" ca="1">INDIRECT("'※ 재무_세부시트'!"&amp;K$1&amp;$V108, TRUE)</f>
        <v>25.009090910000001</v>
      </c>
      <c r="L108" s="4294" cm="1">
        <f t="array" aca="1" ref="L108" ca="1">INDIRECT("'※ 재무_세부시트'!"&amp;L$1&amp;$V108, TRUE)</f>
        <v>25.01363636</v>
      </c>
      <c r="M108" s="6787" cm="1">
        <f t="array" aca="1" ref="M108" ca="1">INDIRECT("'※ 재무_세부시트'!"&amp;M$1&amp;$V108, TRUE)</f>
        <v>50</v>
      </c>
      <c r="N108" s="6857" cm="1">
        <f t="array" aca="1" ref="N108" ca="1">INDIRECT("'※ 재무_세부시트'!"&amp;N$1&amp;$V108, TRUE)</f>
        <v>25</v>
      </c>
      <c r="O108" s="4294" cm="1">
        <f t="array" aca="1" ref="O108" ca="1">INDIRECT("'※ 재무_세부시트'!"&amp;O$1&amp;$V108, TRUE)</f>
        <v>25</v>
      </c>
      <c r="P108" s="6812" cm="1">
        <f t="array" aca="1" ref="P108" ca="1">INDIRECT("'※ 재무_세부시트'!"&amp;P$1&amp;$V108, TRUE)</f>
        <v>0</v>
      </c>
      <c r="Q108" s="6812" cm="1">
        <f t="array" aca="1" ref="Q108" ca="1">INDIRECT("'※ 재무_세부시트'!"&amp;Q$1&amp;$V108, TRUE)</f>
        <v>-2.0361363700000012</v>
      </c>
      <c r="R108" s="792" cm="1">
        <f t="array" aca="1" ref="R108" ca="1">INDIRECT("'※ 재무_세부시트'!"&amp;R$1&amp;$V108, TRUE)</f>
        <v>50</v>
      </c>
      <c r="S108" s="793"/>
      <c r="T108" s="760"/>
      <c r="U108" s="794" cm="1">
        <f t="array" aca="1" ref="U108" ca="1">INDIRECT("'※ 재무_세부시트'!"&amp;U$1&amp;$V108, TRUE)</f>
        <v>-3.9611136400000007</v>
      </c>
      <c r="V108" s="581">
        <v>149</v>
      </c>
      <c r="W108" s="581"/>
      <c r="X108" s="591"/>
      <c r="Y108" s="591"/>
    </row>
    <row r="109" spans="1:25" ht="17.25" customHeight="1" x14ac:dyDescent="0.55000000000000004">
      <c r="A109" s="784"/>
      <c r="B109" s="785"/>
      <c r="C109" s="823" t="s">
        <v>1228</v>
      </c>
      <c r="D109" s="803"/>
      <c r="E109" s="803"/>
      <c r="F109" s="6728" cm="1">
        <f t="array" aca="1" ref="F109" ca="1">INDIRECT("'※ 재무_세부시트'!"&amp;F$1&amp;$V109, TRUE)</f>
        <v>337.97779670126175</v>
      </c>
      <c r="G109" s="6678" cm="1">
        <f t="array" aca="1" ref="G109" ca="1">INDIRECT("'※ 재무_세부시트'!"&amp;G$1&amp;$V109, TRUE)</f>
        <v>36.083116509213582</v>
      </c>
      <c r="H109" s="4345" cm="1">
        <f t="array" aca="1" ref="H109" ca="1">INDIRECT("'※ 재무_세부시트'!"&amp;H$1&amp;$V109, TRUE)</f>
        <v>28.99805460131504</v>
      </c>
      <c r="I109" s="4345" cm="1">
        <f t="array" aca="1" ref="I109" ca="1">INDIRECT("'※ 재무_세부시트'!"&amp;I$1&amp;$V109, TRUE)</f>
        <v>29.121302787002239</v>
      </c>
      <c r="J109" s="4345" cm="1">
        <f t="array" aca="1" ref="J109" ca="1">INDIRECT("'※ 재무_세부시트'!"&amp;J$1&amp;$V109, TRUE)</f>
        <v>28.083782651917847</v>
      </c>
      <c r="K109" s="4345" cm="1">
        <f t="array" aca="1" ref="K109" ca="1">INDIRECT("'※ 재무_세부시트'!"&amp;K$1&amp;$V109, TRUE)</f>
        <v>22.2785212253801</v>
      </c>
      <c r="L109" s="4345" cm="1">
        <f t="array" aca="1" ref="L109" ca="1">INDIRECT("'※ 재무_세부시트'!"&amp;L$1&amp;$V109, TRUE)</f>
        <v>24.782897848214933</v>
      </c>
      <c r="M109" s="6788" cm="1">
        <f t="array" aca="1" ref="M109" ca="1">INDIRECT("'※ 재무_세부시트'!"&amp;M$1&amp;$V109, TRUE)</f>
        <v>131.65848183636481</v>
      </c>
      <c r="N109" s="6678" cm="1">
        <f t="array" aca="1" ref="N109" ca="1">INDIRECT("'※ 재무_세부시트'!"&amp;N$1&amp;$V109, TRUE)</f>
        <v>99.062619604341648</v>
      </c>
      <c r="O109" s="4345" cm="1">
        <f t="array" aca="1" ref="O109" ca="1">INDIRECT("'※ 재무_세부시트'!"&amp;O$1&amp;$V109, TRUE)</f>
        <v>32.595862232023158</v>
      </c>
      <c r="P109" s="6813" cm="1">
        <f t="array" aca="1" ref="P109" ca="1">INDIRECT("'※ 재무_세부시트'!"&amp;P$1&amp;$V109, TRUE)</f>
        <v>-66.466757372318483</v>
      </c>
      <c r="Q109" s="6813" cm="1">
        <f t="array" aca="1" ref="Q109" ca="1">INDIRECT("'※ 재무_세부시트'!"&amp;Q$1&amp;$V109, TRUE)</f>
        <v>3.5978076307081182</v>
      </c>
      <c r="R109" s="806" cm="1">
        <f t="array" aca="1" ref="R109" ca="1">INDIRECT("'※ 재무_세부시트'!"&amp;R$1&amp;$V109, TRUE)</f>
        <v>131.65848183636481</v>
      </c>
      <c r="S109" s="793"/>
      <c r="T109" s="760"/>
      <c r="U109" s="835" cm="1">
        <f t="array" aca="1" ref="U109" ca="1">INDIRECT("'※ 재무_세부시트'!"&amp;U$1&amp;$V109, TRUE)</f>
        <v>66.577310725836185</v>
      </c>
      <c r="V109" s="581">
        <v>150</v>
      </c>
      <c r="W109" s="581"/>
      <c r="X109" s="591"/>
      <c r="Y109" s="591"/>
    </row>
    <row r="110" spans="1:25" ht="17.25" customHeight="1" x14ac:dyDescent="0.55000000000000004">
      <c r="A110" s="784"/>
      <c r="B110" s="594"/>
      <c r="C110" s="803"/>
      <c r="D110" s="803" t="s">
        <v>41</v>
      </c>
      <c r="E110" s="803"/>
      <c r="F110" s="6728" cm="1">
        <f t="array" aca="1" ref="F110" ca="1">INDIRECT("'※ 재무_세부시트'!"&amp;F$1&amp;$V110, TRUE)</f>
        <v>19.936072730000003</v>
      </c>
      <c r="G110" s="6678" cm="1">
        <f t="array" aca="1" ref="G110" ca="1">INDIRECT("'※ 재무_세부시트'!"&amp;G$1&amp;$V110, TRUE)</f>
        <v>6.5737609099999998</v>
      </c>
      <c r="H110" s="4345" cm="1">
        <f t="array" aca="1" ref="H110" ca="1">INDIRECT("'※ 재무_세부시트'!"&amp;H$1&amp;$V110, TRUE)</f>
        <v>5.9374799999999999</v>
      </c>
      <c r="I110" s="4345" cm="1">
        <f t="array" aca="1" ref="I110" ca="1">INDIRECT("'※ 재무_세부시트'!"&amp;I$1&amp;$V110, TRUE)</f>
        <v>2.3205800000000001</v>
      </c>
      <c r="J110" s="4345" cm="1">
        <f t="array" aca="1" ref="J110" ca="1">INDIRECT("'※ 재무_세부시트'!"&amp;J$1&amp;$V110, TRUE)</f>
        <v>0.75180999999999998</v>
      </c>
      <c r="K110" s="4345" cm="1">
        <f t="array" aca="1" ref="K110" ca="1">INDIRECT("'※ 재무_세부시트'!"&amp;K$1&amp;$V110, TRUE)</f>
        <v>0.43518000000000001</v>
      </c>
      <c r="L110" s="4345" cm="1">
        <f t="array" aca="1" ref="L110" ca="1">INDIRECT("'※ 재무_세부시트'!"&amp;L$1&amp;$V110, TRUE)</f>
        <v>0.66324000000000005</v>
      </c>
      <c r="M110" s="6788" cm="1">
        <f t="array" aca="1" ref="M110" ca="1">INDIRECT("'※ 재무_세부시트'!"&amp;M$1&amp;$V110, TRUE)</f>
        <v>81.354931859999994</v>
      </c>
      <c r="N110" s="6678" cm="1">
        <f t="array" aca="1" ref="N110" ca="1">INDIRECT("'※ 재무_세부시트'!"&amp;N$1&amp;$V110, TRUE)</f>
        <v>72.832747659999995</v>
      </c>
      <c r="O110" s="4345" cm="1">
        <f t="array" aca="1" ref="O110" ca="1">INDIRECT("'※ 재무_세부시트'!"&amp;O$1&amp;$V110, TRUE)</f>
        <v>8.5221841999999999</v>
      </c>
      <c r="P110" s="6813" cm="1">
        <f t="array" aca="1" ref="P110" ca="1">INDIRECT("'※ 재무_세부시트'!"&amp;P$1&amp;$V110, TRUE)</f>
        <v>-64.310563459999997</v>
      </c>
      <c r="Q110" s="6813" cm="1">
        <f t="array" aca="1" ref="Q110" ca="1">INDIRECT("'※ 재무_세부시트'!"&amp;Q$1&amp;$V110, TRUE)</f>
        <v>2.5847042</v>
      </c>
      <c r="R110" s="806" cm="1">
        <f t="array" aca="1" ref="R110" ca="1">INDIRECT("'※ 재무_세부시트'!"&amp;R$1&amp;$V110, TRUE)</f>
        <v>81.354931859999994</v>
      </c>
      <c r="S110" s="793"/>
      <c r="T110" s="760"/>
      <c r="U110" s="835" cm="1">
        <f t="array" aca="1" ref="U110" ca="1">INDIRECT("'※ 재무_세부시트'!"&amp;U$1&amp;$V110, TRUE)</f>
        <v>68.843690949999996</v>
      </c>
      <c r="V110" s="581">
        <v>151</v>
      </c>
      <c r="W110" s="581"/>
      <c r="X110" s="591"/>
      <c r="Y110" s="591"/>
    </row>
    <row r="111" spans="1:25" ht="17.25" customHeight="1" x14ac:dyDescent="0.55000000000000004">
      <c r="A111" s="784"/>
      <c r="B111" s="594"/>
      <c r="C111" s="803"/>
      <c r="D111" s="803" t="s">
        <v>13</v>
      </c>
      <c r="E111" s="803"/>
      <c r="F111" s="6728" cm="1">
        <f t="array" aca="1" ref="F111" ca="1">INDIRECT("'※ 재무_세부시트'!"&amp;F$1&amp;$V111, TRUE)</f>
        <v>234.57438466344482</v>
      </c>
      <c r="G111" s="6678" cm="1">
        <f t="array" aca="1" ref="G111" ca="1">INDIRECT("'※ 재무_세부시트'!"&amp;G$1&amp;$V111, TRUE)</f>
        <v>22.038547830097563</v>
      </c>
      <c r="H111" s="4345" cm="1">
        <f t="array" aca="1" ref="H111" ca="1">INDIRECT("'※ 재무_세부시트'!"&amp;H$1&amp;$V111, TRUE)</f>
        <v>16.769815691893839</v>
      </c>
      <c r="I111" s="4345" cm="1">
        <f t="array" aca="1" ref="I111" ca="1">INDIRECT("'※ 재무_세부시트'!"&amp;I$1&amp;$V111, TRUE)</f>
        <v>21.312237807224037</v>
      </c>
      <c r="J111" s="4345" cm="1">
        <f t="array" aca="1" ref="J111" ca="1">INDIRECT("'※ 재무_세부시트'!"&amp;J$1&amp;$V111, TRUE)</f>
        <v>21.598500302568745</v>
      </c>
      <c r="K111" s="4345" cm="1">
        <f t="array" aca="1" ref="K111" ca="1">INDIRECT("'※ 재무_세부시트'!"&amp;K$1&amp;$V111, TRUE)</f>
        <v>16.692266520214382</v>
      </c>
      <c r="L111" s="4345" cm="1">
        <f t="array" aca="1" ref="L111" ca="1">INDIRECT("'※ 재무_세부시트'!"&amp;L$1&amp;$V111, TRUE)</f>
        <v>18.741527660111977</v>
      </c>
      <c r="M111" s="6788" cm="1">
        <f t="array" aca="1" ref="M111" ca="1">INDIRECT("'※ 재무_세부시트'!"&amp;M$1&amp;$V111, TRUE)</f>
        <v>38.621804920806973</v>
      </c>
      <c r="N111" s="6678" cm="1">
        <f t="array" aca="1" ref="N111" ca="1">INDIRECT("'※ 재무_세부시트'!"&amp;N$1&amp;$V111, TRUE)</f>
        <v>20.946281601334146</v>
      </c>
      <c r="O111" s="4345" cm="1">
        <f t="array" aca="1" ref="O111" ca="1">INDIRECT("'※ 재무_세부시트'!"&amp;O$1&amp;$V111, TRUE)</f>
        <v>17.675523319472827</v>
      </c>
      <c r="P111" s="6813" cm="1">
        <f t="array" aca="1" ref="P111" ca="1">INDIRECT("'※ 재무_세부시트'!"&amp;P$1&amp;$V111, TRUE)</f>
        <v>-3.270758281861319</v>
      </c>
      <c r="Q111" s="6813" cm="1">
        <f t="array" aca="1" ref="Q111" ca="1">INDIRECT("'※ 재무_세부시트'!"&amp;Q$1&amp;$V111, TRUE)</f>
        <v>0.90570762757898748</v>
      </c>
      <c r="R111" s="806" cm="1">
        <f t="array" aca="1" ref="R111" ca="1">INDIRECT("'※ 재무_세부시트'!"&amp;R$1&amp;$V111, TRUE)</f>
        <v>38.621804920806973</v>
      </c>
      <c r="S111" s="793"/>
      <c r="T111" s="760"/>
      <c r="U111" s="807" cm="1">
        <f t="array" aca="1" ref="U111" ca="1">INDIRECT("'※ 재무_세부시트'!"&amp;U$1&amp;$V111, TRUE)</f>
        <v>-0.18655860118443002</v>
      </c>
      <c r="V111" s="581">
        <v>152</v>
      </c>
      <c r="W111" s="581"/>
      <c r="X111" s="591"/>
      <c r="Y111" s="591"/>
    </row>
    <row r="112" spans="1:25" ht="17.25" customHeight="1" x14ac:dyDescent="0.55000000000000004">
      <c r="A112" s="784"/>
      <c r="B112" s="594"/>
      <c r="C112" s="803"/>
      <c r="D112" s="803" t="s">
        <v>42</v>
      </c>
      <c r="E112" s="803"/>
      <c r="F112" s="6728" cm="1">
        <f t="array" aca="1" ref="F112" ca="1">INDIRECT("'※ 재무_세부시트'!"&amp;F$1&amp;$V112, TRUE)</f>
        <v>7.5135264751715134</v>
      </c>
      <c r="G112" s="6678" cm="1">
        <f t="array" aca="1" ref="G112" ca="1">INDIRECT("'※ 재무_세부시트'!"&amp;G$1&amp;$V112, TRUE)</f>
        <v>1.9120388792226557</v>
      </c>
      <c r="H112" s="4345" cm="1">
        <f t="array" aca="1" ref="H112" ca="1">INDIRECT("'※ 재무_세부시트'!"&amp;H$1&amp;$V112, TRUE)</f>
        <v>1.0550962990871278</v>
      </c>
      <c r="I112" s="4345" cm="1">
        <f t="array" aca="1" ref="I112" ca="1">INDIRECT("'※ 재무_세부시트'!"&amp;I$1&amp;$V112, TRUE)</f>
        <v>0.30674904688633736</v>
      </c>
      <c r="J112" s="4345" cm="1">
        <f t="array" aca="1" ref="J112" ca="1">INDIRECT("'※ 재무_세부시트'!"&amp;J$1&amp;$V112, TRUE)</f>
        <v>0.53445333167614162</v>
      </c>
      <c r="K112" s="4345" cm="1">
        <f t="array" aca="1" ref="K112" ca="1">INDIRECT("'※ 재무_세부시트'!"&amp;K$1&amp;$V112, TRUE)</f>
        <v>0.25143689483428511</v>
      </c>
      <c r="L112" s="4345" cm="1">
        <f t="array" aca="1" ref="L112" ca="1">INDIRECT("'※ 재무_세부시트'!"&amp;L$1&amp;$V112, TRUE)</f>
        <v>0.3600294255574249</v>
      </c>
      <c r="M112" s="6788" cm="1">
        <f t="array" aca="1" ref="M112" ca="1">INDIRECT("'※ 재무_세부시트'!"&amp;M$1&amp;$V112, TRUE)</f>
        <v>0.70672849369064339</v>
      </c>
      <c r="N112" s="6678" cm="1">
        <f t="array" aca="1" ref="N112" ca="1">INDIRECT("'※ 재무_세부시트'!"&amp;N$1&amp;$V112, TRUE)</f>
        <v>3.8583291087256909E-2</v>
      </c>
      <c r="O112" s="4345" cm="1">
        <f t="array" aca="1" ref="O112" ca="1">INDIRECT("'※ 재무_세부시트'!"&amp;O$1&amp;$V112, TRUE)</f>
        <v>0.6681452026033865</v>
      </c>
      <c r="P112" s="6813" cm="1">
        <f t="array" aca="1" ref="P112" ca="1">INDIRECT("'※ 재무_세부시트'!"&amp;P$1&amp;$V112, TRUE)</f>
        <v>0.62956191151612961</v>
      </c>
      <c r="Q112" s="6813" cm="1">
        <f t="array" aca="1" ref="Q112" ca="1">INDIRECT("'※ 재무_세부시트'!"&amp;Q$1&amp;$V112, TRUE)</f>
        <v>-0.38695109648374126</v>
      </c>
      <c r="R112" s="806" cm="1">
        <f t="array" aca="1" ref="R112" ca="1">INDIRECT("'※ 재무_세부시트'!"&amp;R$1&amp;$V112, TRUE)</f>
        <v>0.70672849369064339</v>
      </c>
      <c r="S112" s="793"/>
      <c r="T112" s="760"/>
      <c r="U112" s="807" cm="1">
        <f t="array" aca="1" ref="U112" ca="1">INDIRECT("'※ 재무_세부시트'!"&amp;U$1&amp;$V112, TRUE)</f>
        <v>-2.2604066846191402</v>
      </c>
      <c r="V112" s="581">
        <v>153</v>
      </c>
      <c r="W112" s="581"/>
      <c r="X112" s="591"/>
      <c r="Y112" s="591"/>
    </row>
    <row r="113" spans="1:25" ht="17.25" customHeight="1" x14ac:dyDescent="0.55000000000000004">
      <c r="A113" s="784"/>
      <c r="B113" s="594"/>
      <c r="C113" s="803"/>
      <c r="D113" s="803" t="s">
        <v>14</v>
      </c>
      <c r="E113" s="803"/>
      <c r="F113" s="6728" cm="1">
        <f t="array" aca="1" ref="F113" ca="1">INDIRECT("'※ 재무_세부시트'!"&amp;F$1&amp;$V113, TRUE)</f>
        <v>32.545033281457933</v>
      </c>
      <c r="G113" s="6678" cm="1">
        <f t="array" aca="1" ref="G113" ca="1">INDIRECT("'※ 재무_세부시트'!"&amp;G$1&amp;$V113, TRUE)</f>
        <v>2.7356366417339482</v>
      </c>
      <c r="H113" s="4345" cm="1">
        <f t="array" aca="1" ref="H113" ca="1">INDIRECT("'※ 재무_세부시트'!"&amp;H$1&amp;$V113, TRUE)</f>
        <v>2.6044904282698269</v>
      </c>
      <c r="I113" s="4345" cm="1">
        <f t="array" aca="1" ref="I113" ca="1">INDIRECT("'※ 재무_세부시트'!"&amp;I$1&amp;$V113, TRUE)</f>
        <v>2.5261414602450118</v>
      </c>
      <c r="J113" s="4345" cm="1">
        <f t="array" aca="1" ref="J113" ca="1">INDIRECT("'※ 재무_세부시트'!"&amp;J$1&amp;$V113, TRUE)</f>
        <v>2.6774053666521258</v>
      </c>
      <c r="K113" s="4345" cm="1">
        <f t="array" aca="1" ref="K113" ca="1">INDIRECT("'※ 재무_세부시트'!"&amp;K$1&amp;$V113, TRUE)</f>
        <v>2.7165191938454023</v>
      </c>
      <c r="L113" s="4345" cm="1">
        <f t="array" aca="1" ref="L113" ca="1">INDIRECT("'※ 재무_세부시트'!"&amp;L$1&amp;$V113, TRUE)</f>
        <v>2.5090587933264792</v>
      </c>
      <c r="M113" s="6788" cm="1">
        <f t="array" aca="1" ref="M113" ca="1">INDIRECT("'※ 재무_세부시트'!"&amp;M$1&amp;$V113, TRUE)</f>
        <v>5.7286890885041508</v>
      </c>
      <c r="N113" s="6678" cm="1">
        <f t="array" aca="1" ref="N113" ca="1">INDIRECT("'※ 재무_세부시트'!"&amp;N$1&amp;$V113, TRUE)</f>
        <v>2.8003943140363483</v>
      </c>
      <c r="O113" s="4345" cm="1">
        <f t="array" aca="1" ref="O113" ca="1">INDIRECT("'※ 재무_세부시트'!"&amp;O$1&amp;$V113, TRUE)</f>
        <v>2.9282947744678021</v>
      </c>
      <c r="P113" s="6813" cm="1">
        <f t="array" aca="1" ref="P113" ca="1">INDIRECT("'※ 재무_세부시트'!"&amp;P$1&amp;$V113, TRUE)</f>
        <v>0.12790046043145376</v>
      </c>
      <c r="Q113" s="6813" cm="1">
        <f t="array" aca="1" ref="Q113" ca="1">INDIRECT("'※ 재무_세부시트'!"&amp;Q$1&amp;$V113, TRUE)</f>
        <v>0.32380434619797516</v>
      </c>
      <c r="R113" s="806" cm="1">
        <f t="array" aca="1" ref="R113" ca="1">INDIRECT("'※ 재무_세부시트'!"&amp;R$1&amp;$V113, TRUE)</f>
        <v>5.7286890885041508</v>
      </c>
      <c r="S113" s="793"/>
      <c r="T113" s="760"/>
      <c r="U113" s="807" cm="1">
        <f t="array" aca="1" ref="U113" ca="1">INDIRECT("'※ 재무_세부시트'!"&amp;U$1&amp;$V113, TRUE)</f>
        <v>0.38856201850037575</v>
      </c>
      <c r="V113" s="581">
        <v>154</v>
      </c>
      <c r="W113" s="581"/>
      <c r="X113" s="591"/>
      <c r="Y113" s="591"/>
    </row>
    <row r="114" spans="1:25" ht="17.25" customHeight="1" x14ac:dyDescent="0.55000000000000004">
      <c r="A114" s="784"/>
      <c r="B114" s="594"/>
      <c r="C114" s="803"/>
      <c r="D114" s="803" t="s">
        <v>16</v>
      </c>
      <c r="E114" s="803"/>
      <c r="F114" s="6728" cm="1">
        <f t="array" aca="1" ref="F114" ca="1">INDIRECT("'※ 재무_세부시트'!"&amp;F$1&amp;$V114, TRUE)</f>
        <v>43.4087795511875</v>
      </c>
      <c r="G114" s="6678" cm="1">
        <f t="array" aca="1" ref="G114" ca="1">INDIRECT("'※ 재무_세부시트'!"&amp;G$1&amp;$V114, TRUE)</f>
        <v>2.8231322481594132</v>
      </c>
      <c r="H114" s="4345" cm="1">
        <f t="array" aca="1" ref="H114" ca="1">INDIRECT("'※ 재무_세부시트'!"&amp;H$1&amp;$V114, TRUE)</f>
        <v>2.631172182064244</v>
      </c>
      <c r="I114" s="4345" cm="1">
        <f t="array" aca="1" ref="I114" ca="1">INDIRECT("'※ 재무_세부시트'!"&amp;I$1&amp;$V114, TRUE)</f>
        <v>2.6555944726468526</v>
      </c>
      <c r="J114" s="4345" cm="1">
        <f t="array" aca="1" ref="J114" ca="1">INDIRECT("'※ 재무_세부시트'!"&amp;J$1&amp;$V114, TRUE)</f>
        <v>2.5216136510208389</v>
      </c>
      <c r="K114" s="4345" cm="1">
        <f t="array" aca="1" ref="K114" ca="1">INDIRECT("'※ 재무_세부시트'!"&amp;K$1&amp;$V114, TRUE)</f>
        <v>2.183118616486031</v>
      </c>
      <c r="L114" s="4345" cm="1">
        <f t="array" aca="1" ref="L114" ca="1">INDIRECT("'※ 재무_세부시트'!"&amp;L$1&amp;$V114, TRUE)</f>
        <v>2.5090419692190506</v>
      </c>
      <c r="M114" s="6788" cm="1">
        <f t="array" aca="1" ref="M114" ca="1">INDIRECT("'※ 재무_세부시트'!"&amp;M$1&amp;$V114, TRUE)</f>
        <v>5.2463274733630314</v>
      </c>
      <c r="N114" s="6678" cm="1">
        <f t="array" aca="1" ref="N114" ca="1">INDIRECT("'※ 재무_세부시트'!"&amp;N$1&amp;$V114, TRUE)</f>
        <v>2.4446127378838929</v>
      </c>
      <c r="O114" s="4345" cm="1">
        <f t="array" aca="1" ref="O114" ca="1">INDIRECT("'※ 재무_세부시트'!"&amp;O$1&amp;$V114, TRUE)</f>
        <v>2.801714735479139</v>
      </c>
      <c r="P114" s="6813" cm="1">
        <f t="array" aca="1" ref="P114" ca="1">INDIRECT("'※ 재무_세부시트'!"&amp;P$1&amp;$V114, TRUE)</f>
        <v>0.35710199759524608</v>
      </c>
      <c r="Q114" s="6813" cm="1">
        <f t="array" aca="1" ref="Q114" ca="1">INDIRECT("'※ 재무_세부시트'!"&amp;Q$1&amp;$V114, TRUE)</f>
        <v>0.17054255341489499</v>
      </c>
      <c r="R114" s="806" cm="1">
        <f t="array" aca="1" ref="R114" ca="1">INDIRECT("'※ 재무_세부시트'!"&amp;R$1&amp;$V114, TRUE)</f>
        <v>5.2463274733630314</v>
      </c>
      <c r="S114" s="793"/>
      <c r="T114" s="760"/>
      <c r="U114" s="807" cm="1">
        <f t="array" aca="1" ref="U114" ca="1">INDIRECT("'※ 재무_세부시트'!"&amp;U$1&amp;$V114, TRUE)</f>
        <v>-0.20797695686062578</v>
      </c>
      <c r="V114" s="581">
        <v>155</v>
      </c>
      <c r="W114" s="581"/>
      <c r="X114" s="591"/>
      <c r="Y114" s="591"/>
    </row>
    <row r="115" spans="1:25" ht="17.25" customHeight="1" x14ac:dyDescent="0.55000000000000004">
      <c r="A115" s="784"/>
      <c r="B115" s="594"/>
      <c r="C115" s="812" t="s">
        <v>17</v>
      </c>
      <c r="D115" s="813"/>
      <c r="E115" s="813"/>
      <c r="F115" s="6729" cm="1">
        <f t="array" aca="1" ref="F115" ca="1">INDIRECT("'※ 재무_세부시트'!"&amp;F$1&amp;$V115, TRUE)</f>
        <v>29.168868437338606</v>
      </c>
      <c r="G115" s="6858" cm="1">
        <f t="array" aca="1" ref="G115" ca="1">INDIRECT("'※ 재무_세부시트'!"&amp;G$1&amp;$V115, TRUE)</f>
        <v>10.406786212515296</v>
      </c>
      <c r="H115" s="6677" cm="1">
        <f t="array" aca="1" ref="H115" ca="1">INDIRECT("'※ 재무_세부시트'!"&amp;H$1&amp;$V115, TRUE)</f>
        <v>-1.2838893361205201</v>
      </c>
      <c r="I115" s="6677" cm="1">
        <f t="array" aca="1" ref="I115" ca="1">INDIRECT("'※ 재무_세부시트'!"&amp;I$1&amp;$V115, TRUE)</f>
        <v>5.7066022764471329</v>
      </c>
      <c r="J115" s="6677" cm="1">
        <f t="array" aca="1" ref="J115" ca="1">INDIRECT("'※ 재무_세부시트'!"&amp;J$1&amp;$V115, TRUE)</f>
        <v>5.5789361155570818</v>
      </c>
      <c r="K115" s="6677" cm="1">
        <f t="array" aca="1" ref="K115" ca="1">INDIRECT("'※ 재무_세부시트'!"&amp;K$1&amp;$V115, TRUE)</f>
        <v>4.0036403617705218E-2</v>
      </c>
      <c r="L115" s="6677" cm="1">
        <f t="array" aca="1" ref="L115" ca="1">INDIRECT("'※ 재무_세부시트'!"&amp;L$1&amp;$V115, TRUE)</f>
        <v>11.117805713351164</v>
      </c>
      <c r="M115" s="6789" cm="1">
        <f t="array" aca="1" ref="M115" ca="1">INDIRECT("'※ 재무_세부시트'!"&amp;M$1&amp;$V115, TRUE)</f>
        <v>10.034697122239541</v>
      </c>
      <c r="N115" s="6858" cm="1">
        <f t="array" aca="1" ref="N115" ca="1">INDIRECT("'※ 재무_세부시트'!"&amp;N$1&amp;$V115, TRUE)</f>
        <v>10.072277104190986</v>
      </c>
      <c r="O115" s="6677" cm="1">
        <f t="array" aca="1" ref="O115" ca="1">INDIRECT("'※ 재무_세부시트'!"&amp;O$1&amp;$V115, TRUE)</f>
        <v>-3.7579981951445518E-2</v>
      </c>
      <c r="P115" s="6814" cm="1">
        <f t="array" aca="1" ref="P115" ca="1">INDIRECT("'※ 재무_세부시트'!"&amp;P$1&amp;$V115, TRUE)</f>
        <v>-10.109857086142432</v>
      </c>
      <c r="Q115" s="6814" cm="1">
        <f t="array" aca="1" ref="Q115" ca="1">INDIRECT("'※ 재무_세부시트'!"&amp;Q$1&amp;$V115, TRUE)</f>
        <v>1.2463093541690746</v>
      </c>
      <c r="R115" s="815" cm="1">
        <f t="array" aca="1" ref="R115" ca="1">INDIRECT("'※ 재무_세부시트'!"&amp;R$1&amp;$V115, TRUE)</f>
        <v>10.034697122239541</v>
      </c>
      <c r="S115" s="793"/>
      <c r="T115" s="760"/>
      <c r="U115" s="816" cm="1">
        <f t="array" aca="1" ref="U115" ca="1">INDIRECT("'※ 재무_세부시트'!"&amp;U$1&amp;$V115, TRUE)</f>
        <v>0.91180024584476449</v>
      </c>
      <c r="V115" s="581">
        <v>156</v>
      </c>
      <c r="W115" s="581"/>
      <c r="X115" s="591"/>
      <c r="Y115" s="591"/>
    </row>
    <row r="116" spans="1:25" ht="17.25" customHeight="1" x14ac:dyDescent="0.55000000000000004">
      <c r="A116" s="784"/>
      <c r="B116" s="594"/>
      <c r="C116" s="594"/>
      <c r="D116" s="594" t="s">
        <v>600</v>
      </c>
      <c r="E116" s="594"/>
      <c r="F116" s="6730" cm="1">
        <f t="array" aca="1" ref="F116" ca="1">INDIRECT("'※ 재무_세부시트'!"&amp;F$1&amp;$V116, TRUE)</f>
        <v>108.93135680022108</v>
      </c>
      <c r="G116" s="6833" cm="1">
        <f t="array" aca="1" ref="G116" ca="1">INDIRECT("'※ 재무_세부시트'!"&amp;G$1&amp;$V116, TRUE)</f>
        <v>-1.9722689027622273</v>
      </c>
      <c r="H116" s="4301" cm="1">
        <f t="array" aca="1" ref="H116" ca="1">INDIRECT("'※ 재무_세부시트'!"&amp;H$1&amp;$V116, TRUE)</f>
        <v>19.021983068000008</v>
      </c>
      <c r="I116" s="4301" cm="1">
        <f t="array" aca="1" ref="I116" ca="1">INDIRECT("'※ 재무_세부시트'!"&amp;I$1&amp;$V116, TRUE)</f>
        <v>4.6599630400000001</v>
      </c>
      <c r="J116" s="4301" cm="1">
        <f t="array" aca="1" ref="J116" ca="1">INDIRECT("'※ 재무_세부시트'!"&amp;J$1&amp;$V116, TRUE)</f>
        <v>5.2626658879999999</v>
      </c>
      <c r="K116" s="4301" cm="1">
        <f t="array" aca="1" ref="K116" ca="1">INDIRECT("'※ 재무_세부시트'!"&amp;K$1&amp;$V116, TRUE)</f>
        <v>14.641657992000003</v>
      </c>
      <c r="L116" s="4301" cm="1">
        <f t="array" aca="1" ref="L116" ca="1">INDIRECT("'※ 재무_세부시트'!"&amp;L$1&amp;$V116, TRUE)</f>
        <v>3.36895758</v>
      </c>
      <c r="M116" s="6767" cm="1">
        <f t="array" aca="1" ref="M116" ca="1">INDIRECT("'※ 재무_세부시트'!"&amp;M$1&amp;$V116, TRUE)</f>
        <v>14.34220452387777</v>
      </c>
      <c r="N116" s="6833" cm="1">
        <f t="array" aca="1" ref="N116" ca="1">INDIRECT("'※ 재무_세부시트'!"&amp;N$1&amp;$V116, TRUE)</f>
        <v>2.0102089045504115</v>
      </c>
      <c r="O116" s="4301" cm="1">
        <f t="array" aca="1" ref="O116" ca="1">INDIRECT("'※ 재무_세부시트'!"&amp;O$1&amp;$V116, TRUE)</f>
        <v>12.331995619327358</v>
      </c>
      <c r="P116" s="6792" cm="1">
        <f t="array" aca="1" ref="P116" ca="1">INDIRECT("'※ 재무_세부시트'!"&amp;P$1&amp;$V116, TRUE)</f>
        <v>10.321786714776946</v>
      </c>
      <c r="Q116" s="6792" cm="1">
        <f t="array" aca="1" ref="Q116" ca="1">INDIRECT("'※ 재무_세부시트'!"&amp;Q$1&amp;$V116, TRUE)</f>
        <v>-6.6899874486726496</v>
      </c>
      <c r="R116" s="599" cm="1">
        <f t="array" aca="1" ref="R116" ca="1">INDIRECT("'※ 재무_세부시트'!"&amp;R$1&amp;$V116, TRUE)</f>
        <v>14.34220452387777</v>
      </c>
      <c r="S116" s="793"/>
      <c r="T116" s="760"/>
      <c r="U116" s="761" cm="1">
        <f t="array" aca="1" ref="U116" ca="1">INDIRECT("'※ 재무_세부시트'!"&amp;U$1&amp;$V116, TRUE)</f>
        <v>-2.7075096413600104</v>
      </c>
      <c r="V116" s="581">
        <v>157</v>
      </c>
      <c r="W116" s="581"/>
      <c r="X116" s="591"/>
      <c r="Y116" s="591"/>
    </row>
    <row r="117" spans="1:25" ht="17.25" customHeight="1" x14ac:dyDescent="0.55000000000000004">
      <c r="A117" s="819"/>
      <c r="B117" s="829" t="s">
        <v>869</v>
      </c>
      <c r="C117" s="830" t="s">
        <v>1226</v>
      </c>
      <c r="D117" s="831"/>
      <c r="E117" s="831"/>
      <c r="F117" s="6726" cm="1">
        <f t="array" aca="1" ref="F117" ca="1">INDIRECT("'※ 재무_세부시트'!"&amp;F$1&amp;$V117, TRUE)</f>
        <v>1976.1641934999998</v>
      </c>
      <c r="G117" s="6855" cm="1">
        <f t="array" aca="1" ref="G117" ca="1">INDIRECT("'※ 재무_세부시트'!"&amp;G$1&amp;$V117, TRUE)</f>
        <v>98.641518840000003</v>
      </c>
      <c r="H117" s="6856" cm="1">
        <f t="array" aca="1" ref="H117" ca="1">INDIRECT("'※ 재무_세부시트'!"&amp;H$1&amp;$V117, TRUE)</f>
        <v>225.45248805999998</v>
      </c>
      <c r="I117" s="6856" cm="1">
        <f t="array" aca="1" ref="I117" ca="1">INDIRECT("'※ 재무_세부시트'!"&amp;I$1&amp;$V117, TRUE)</f>
        <v>96.966151910000008</v>
      </c>
      <c r="J117" s="6856" cm="1">
        <f t="array" aca="1" ref="J117" ca="1">INDIRECT("'※ 재무_세부시트'!"&amp;J$1&amp;$V117, TRUE)</f>
        <v>102.94316917000002</v>
      </c>
      <c r="K117" s="6856" cm="1">
        <f t="array" aca="1" ref="K117" ca="1">INDIRECT("'※ 재무_세부시트'!"&amp;K$1&amp;$V117, TRUE)</f>
        <v>115.26143298</v>
      </c>
      <c r="L117" s="6856" cm="1">
        <f t="array" aca="1" ref="L117" ca="1">INDIRECT("'※ 재무_세부시트'!"&amp;L$1&amp;$V117, TRUE)</f>
        <v>98.587445670000008</v>
      </c>
      <c r="M117" s="6786" cm="1">
        <f t="array" aca="1" ref="M117" ca="1">INDIRECT("'※ 재무_세부시트'!"&amp;M$1&amp;$V117, TRUE)</f>
        <v>504.09812062000003</v>
      </c>
      <c r="N117" s="6855" cm="1">
        <f t="array" aca="1" ref="N117" ca="1">INDIRECT("'※ 재무_세부시트'!"&amp;N$1&amp;$V117, TRUE)</f>
        <v>346.59578597000001</v>
      </c>
      <c r="O117" s="6856" cm="1">
        <f t="array" aca="1" ref="O117" ca="1">INDIRECT("'※ 재무_세부시트'!"&amp;O$1&amp;$V117, TRUE)</f>
        <v>157.50233464999999</v>
      </c>
      <c r="P117" s="6811" cm="1">
        <f t="array" aca="1" ref="P117" ca="1">INDIRECT("'※ 재무_세부시트'!"&amp;P$1&amp;$V117, TRUE)</f>
        <v>-189.09345132000001</v>
      </c>
      <c r="Q117" s="6811" cm="1">
        <f t="array" aca="1" ref="Q117" ca="1">INDIRECT("'※ 재무_세부시트'!"&amp;Q$1&amp;$V117, TRUE)</f>
        <v>-67.950153409999984</v>
      </c>
      <c r="R117" s="832" cm="1">
        <f t="array" aca="1" ref="R117" ca="1">INDIRECT("'※ 재무_세부시트'!"&amp;R$1&amp;$V117, TRUE)</f>
        <v>504.09812062000003</v>
      </c>
      <c r="S117" s="820"/>
      <c r="T117" s="821"/>
      <c r="U117" s="833" cm="1">
        <f t="array" aca="1" ref="U117" ca="1">INDIRECT("'※ 재무_세부시트'!"&amp;U$1&amp;$V117, TRUE)</f>
        <v>180.00411372000008</v>
      </c>
      <c r="V117" s="581">
        <v>158</v>
      </c>
      <c r="W117" s="581"/>
      <c r="X117" s="591"/>
      <c r="Y117" s="591"/>
    </row>
    <row r="118" spans="1:25" ht="17.25" customHeight="1" x14ac:dyDescent="0.55000000000000004">
      <c r="A118" s="784"/>
      <c r="B118" s="594"/>
      <c r="C118" s="786"/>
      <c r="D118" s="786" t="s">
        <v>10</v>
      </c>
      <c r="E118" s="786"/>
      <c r="F118" s="6727" cm="1">
        <f t="array" aca="1" ref="F118" ca="1">INDIRECT("'※ 재무_세부시트'!"&amp;F$1&amp;$V118, TRUE)</f>
        <v>1446.01540733</v>
      </c>
      <c r="G118" s="6857" cm="1">
        <f t="array" aca="1" ref="G118" ca="1">INDIRECT("'※ 재무_세부시트'!"&amp;G$1&amp;$V118, TRUE)</f>
        <v>65.130045139999993</v>
      </c>
      <c r="H118" s="4294" cm="1">
        <f t="array" aca="1" ref="H118" ca="1">INDIRECT("'※ 재무_세부시트'!"&amp;H$1&amp;$V118, TRUE)</f>
        <v>186.68648873999999</v>
      </c>
      <c r="I118" s="4294" cm="1">
        <f t="array" aca="1" ref="I118" ca="1">INDIRECT("'※ 재무_세부시트'!"&amp;I$1&amp;$V118, TRUE)</f>
        <v>74.432348340000004</v>
      </c>
      <c r="J118" s="4294" cm="1">
        <f t="array" aca="1" ref="J118" ca="1">INDIRECT("'※ 재무_세부시트'!"&amp;J$1&amp;$V118, TRUE)</f>
        <v>78.435447730000007</v>
      </c>
      <c r="K118" s="4294" cm="1">
        <f t="array" aca="1" ref="K118" ca="1">INDIRECT("'※ 재무_세부시트'!"&amp;K$1&amp;$V118, TRUE)</f>
        <v>86.414820919999997</v>
      </c>
      <c r="L118" s="4294" cm="1">
        <f t="array" aca="1" ref="L118" ca="1">INDIRECT("'※ 재무_세부시트'!"&amp;L$1&amp;$V118, TRUE)</f>
        <v>61.379269280000003</v>
      </c>
      <c r="M118" s="6787" cm="1">
        <f t="array" aca="1" ref="M118" ca="1">INDIRECT("'※ 재무_세부시트'!"&amp;M$1&amp;$V118, TRUE)</f>
        <v>385.94533470000005</v>
      </c>
      <c r="N118" s="6857" cm="1">
        <f t="array" aca="1" ref="N118" ca="1">INDIRECT("'※ 재무_세부시트'!"&amp;N$1&amp;$V118, TRUE)</f>
        <v>278.91641041000003</v>
      </c>
      <c r="O118" s="4294" cm="1">
        <f t="array" aca="1" ref="O118" ca="1">INDIRECT("'※ 재무_세부시트'!"&amp;O$1&amp;$V118, TRUE)</f>
        <v>107.02892429000001</v>
      </c>
      <c r="P118" s="6812" cm="1">
        <f t="array" aca="1" ref="P118" ca="1">INDIRECT("'※ 재무_세부시트'!"&amp;P$1&amp;$V118, TRUE)</f>
        <v>-171.88748612000001</v>
      </c>
      <c r="Q118" s="6812" cm="1">
        <f t="array" aca="1" ref="Q118" ca="1">INDIRECT("'※ 재무_세부시트'!"&amp;Q$1&amp;$V118, TRUE)</f>
        <v>-79.657564449999981</v>
      </c>
      <c r="R118" s="792" cm="1">
        <f t="array" aca="1" ref="R118" ca="1">INDIRECT("'※ 재무_세부시트'!"&amp;R$1&amp;$V118, TRUE)</f>
        <v>385.94533470000005</v>
      </c>
      <c r="S118" s="793"/>
      <c r="T118" s="760"/>
      <c r="U118" s="834" cm="1">
        <f t="array" aca="1" ref="U118" ca="1">INDIRECT("'※ 재무_세부시트'!"&amp;U$1&amp;$V118, TRUE)</f>
        <v>134.12880082000007</v>
      </c>
      <c r="V118" s="581">
        <v>159</v>
      </c>
      <c r="W118" s="581"/>
      <c r="X118" s="591"/>
      <c r="Y118" s="591"/>
    </row>
    <row r="119" spans="1:25" ht="17.25" customHeight="1" x14ac:dyDescent="0.55000000000000004">
      <c r="A119" s="784"/>
      <c r="B119" s="594"/>
      <c r="C119" s="786"/>
      <c r="D119" s="786" t="s">
        <v>6</v>
      </c>
      <c r="E119" s="786"/>
      <c r="F119" s="6727" cm="1">
        <f t="array" aca="1" ref="F119" ca="1">INDIRECT("'※ 재무_세부시트'!"&amp;F$1&amp;$V119, TRUE)</f>
        <v>364.05739935999998</v>
      </c>
      <c r="G119" s="6857" cm="1">
        <f t="array" aca="1" ref="G119" ca="1">INDIRECT("'※ 재무_세부시트'!"&amp;G$1&amp;$V119, TRUE)</f>
        <v>24.539149869999999</v>
      </c>
      <c r="H119" s="4294" cm="1">
        <f t="array" aca="1" ref="H119" ca="1">INDIRECT("'※ 재무_세부시트'!"&amp;H$1&amp;$V119, TRUE)</f>
        <v>24.976993329999999</v>
      </c>
      <c r="I119" s="4294" cm="1">
        <f t="array" aca="1" ref="I119" ca="1">INDIRECT("'※ 재무_세부시트'!"&amp;I$1&amp;$V119, TRUE)</f>
        <v>8.5582727799999994</v>
      </c>
      <c r="J119" s="4294" cm="1">
        <f t="array" aca="1" ref="J119" ca="1">INDIRECT("'※ 재무_세부시트'!"&amp;J$1&amp;$V119, TRUE)</f>
        <v>10.23685229</v>
      </c>
      <c r="K119" s="4294" cm="1">
        <f t="array" aca="1" ref="K119" ca="1">INDIRECT("'※ 재무_세부시트'!"&amp;K$1&amp;$V119, TRUE)</f>
        <v>13.66836558</v>
      </c>
      <c r="L119" s="4294" cm="1">
        <f t="array" aca="1" ref="L119" ca="1">INDIRECT("'※ 재무_세부시트'!"&amp;L$1&amp;$V119, TRUE)</f>
        <v>22.24111684</v>
      </c>
      <c r="M119" s="6787" cm="1">
        <f t="array" aca="1" ref="M119" ca="1">INDIRECT("'※ 재무_세부시트'!"&amp;M$1&amp;$V119, TRUE)</f>
        <v>87.604155149999997</v>
      </c>
      <c r="N119" s="6857" cm="1">
        <f t="array" aca="1" ref="N119" ca="1">INDIRECT("'※ 재무_세부시트'!"&amp;N$1&amp;$V119, TRUE)</f>
        <v>53.249711380000001</v>
      </c>
      <c r="O119" s="4294" cm="1">
        <f t="array" aca="1" ref="O119" ca="1">INDIRECT("'※ 재무_세부시트'!"&amp;O$1&amp;$V119, TRUE)</f>
        <v>34.354443770000003</v>
      </c>
      <c r="P119" s="6812" cm="1">
        <f t="array" aca="1" ref="P119" ca="1">INDIRECT("'※ 재무_세부시트'!"&amp;P$1&amp;$V119, TRUE)</f>
        <v>-18.895267609999998</v>
      </c>
      <c r="Q119" s="6812" cm="1">
        <f t="array" aca="1" ref="Q119" ca="1">INDIRECT("'※ 재무_세부시트'!"&amp;Q$1&amp;$V119, TRUE)</f>
        <v>9.3774504400000041</v>
      </c>
      <c r="R119" s="792" cm="1">
        <f t="array" aca="1" ref="R119" ca="1">INDIRECT("'※ 재무_세부시트'!"&amp;R$1&amp;$V119, TRUE)</f>
        <v>87.604155149999997</v>
      </c>
      <c r="S119" s="793"/>
      <c r="T119" s="760"/>
      <c r="U119" s="794" cm="1">
        <f t="array" aca="1" ref="U119" ca="1">INDIRECT("'※ 재무_세부시트'!"&amp;U$1&amp;$V119, TRUE)</f>
        <v>38.088011949999995</v>
      </c>
      <c r="V119" s="581">
        <v>160</v>
      </c>
      <c r="W119" s="581"/>
      <c r="X119" s="591"/>
      <c r="Y119" s="591"/>
    </row>
    <row r="120" spans="1:25" ht="17.25" customHeight="1" x14ac:dyDescent="0.55000000000000004">
      <c r="A120" s="784"/>
      <c r="B120" s="594"/>
      <c r="C120" s="786"/>
      <c r="D120" s="786" t="s">
        <v>0</v>
      </c>
      <c r="E120" s="786"/>
      <c r="F120" s="6727" cm="1">
        <f t="array" aca="1" ref="F120" ca="1">INDIRECT("'※ 재무_세부시트'!"&amp;F$1&amp;$V120, TRUE)</f>
        <v>60.125982319999991</v>
      </c>
      <c r="G120" s="6857" cm="1">
        <f t="array" aca="1" ref="G120" ca="1">INDIRECT("'※ 재무_세부시트'!"&amp;G$1&amp;$V120, TRUE)</f>
        <v>5.2481265800000001</v>
      </c>
      <c r="H120" s="4294" cm="1">
        <f t="array" aca="1" ref="H120" ca="1">INDIRECT("'※ 재무_세부시트'!"&amp;H$1&amp;$V120, TRUE)</f>
        <v>5.3671953700000001</v>
      </c>
      <c r="I120" s="4294" cm="1">
        <f t="array" aca="1" ref="I120" ca="1">INDIRECT("'※ 재무_세부시트'!"&amp;I$1&amp;$V120, TRUE)</f>
        <v>5.1954725699999997</v>
      </c>
      <c r="J120" s="4294" cm="1">
        <f t="array" aca="1" ref="J120" ca="1">INDIRECT("'※ 재무_세부시트'!"&amp;J$1&amp;$V120, TRUE)</f>
        <v>5.0662480399999996</v>
      </c>
      <c r="K120" s="4294" cm="1">
        <f t="array" aca="1" ref="K120" ca="1">INDIRECT("'※ 재무_세부시트'!"&amp;K$1&amp;$V120, TRUE)</f>
        <v>4.9718197100000001</v>
      </c>
      <c r="L120" s="4294" cm="1">
        <f t="array" aca="1" ref="L120" ca="1">INDIRECT("'※ 재무_세부시트'!"&amp;L$1&amp;$V120, TRUE)</f>
        <v>5.0249524000000001</v>
      </c>
      <c r="M120" s="6787" cm="1">
        <f t="array" aca="1" ref="M120" ca="1">INDIRECT("'※ 재무_세부시트'!"&amp;M$1&amp;$V120, TRUE)</f>
        <v>9.4725024500000004</v>
      </c>
      <c r="N120" s="6857" cm="1">
        <f t="array" aca="1" ref="N120" ca="1">INDIRECT("'※ 재무_세부시트'!"&amp;N$1&amp;$V120, TRUE)</f>
        <v>4.5258831700000002</v>
      </c>
      <c r="O120" s="4294" cm="1">
        <f t="array" aca="1" ref="O120" ca="1">INDIRECT("'※ 재무_세부시트'!"&amp;O$1&amp;$V120, TRUE)</f>
        <v>4.9466192800000002</v>
      </c>
      <c r="P120" s="6812" cm="1">
        <f t="array" aca="1" ref="P120" ca="1">INDIRECT("'※ 재무_세부시트'!"&amp;P$1&amp;$V120, TRUE)</f>
        <v>0.42073611</v>
      </c>
      <c r="Q120" s="6812" cm="1">
        <f t="array" aca="1" ref="Q120" ca="1">INDIRECT("'※ 재무_세부시트'!"&amp;Q$1&amp;$V120, TRUE)</f>
        <v>-0.42057608999999996</v>
      </c>
      <c r="R120" s="792" cm="1">
        <f t="array" aca="1" ref="R120" ca="1">INDIRECT("'※ 재무_세부시트'!"&amp;R$1&amp;$V120, TRUE)</f>
        <v>9.4725024500000004</v>
      </c>
      <c r="S120" s="793"/>
      <c r="T120" s="760"/>
      <c r="U120" s="794" cm="1">
        <f t="array" aca="1" ref="U120" ca="1">INDIRECT("'※ 재무_세부시트'!"&amp;U$1&amp;$V120, TRUE)</f>
        <v>-1.1428194999999999</v>
      </c>
      <c r="V120" s="581">
        <v>161</v>
      </c>
      <c r="W120" s="581"/>
      <c r="X120" s="591"/>
      <c r="Y120" s="591"/>
    </row>
    <row r="121" spans="1:25" ht="17.25" customHeight="1" x14ac:dyDescent="0.55000000000000004">
      <c r="A121" s="784"/>
      <c r="B121" s="594"/>
      <c r="C121" s="786"/>
      <c r="D121" s="786" t="s">
        <v>7</v>
      </c>
      <c r="E121" s="786"/>
      <c r="F121" s="6727" cm="1">
        <f t="array" aca="1" ref="F121" ca="1">INDIRECT("'※ 재무_세부시트'!"&amp;F$1&amp;$V121, TRUE)</f>
        <v>105.96540449</v>
      </c>
      <c r="G121" s="6857" cm="1">
        <f t="array" aca="1" ref="G121" ca="1">INDIRECT("'※ 재무_세부시트'!"&amp;G$1&amp;$V121, TRUE)</f>
        <v>3.72419725</v>
      </c>
      <c r="H121" s="4294" cm="1">
        <f t="array" aca="1" ref="H121" ca="1">INDIRECT("'※ 재무_세부시트'!"&amp;H$1&amp;$V121, TRUE)</f>
        <v>8.4218106200000005</v>
      </c>
      <c r="I121" s="4294" cm="1">
        <f t="array" aca="1" ref="I121" ca="1">INDIRECT("'※ 재무_세부시트'!"&amp;I$1&amp;$V121, TRUE)</f>
        <v>8.7800582200000008</v>
      </c>
      <c r="J121" s="4294" cm="1">
        <f t="array" aca="1" ref="J121" ca="1">INDIRECT("'※ 재무_세부시트'!"&amp;J$1&amp;$V121, TRUE)</f>
        <v>9.2046211099999997</v>
      </c>
      <c r="K121" s="4294" cm="1">
        <f t="array" aca="1" ref="K121" ca="1">INDIRECT("'※ 재무_세부시트'!"&amp;K$1&amp;$V121, TRUE)</f>
        <v>10.20642677</v>
      </c>
      <c r="L121" s="4294" cm="1">
        <f t="array" aca="1" ref="L121" ca="1">INDIRECT("'※ 재무_세부시트'!"&amp;L$1&amp;$V121, TRUE)</f>
        <v>9.94210715</v>
      </c>
      <c r="M121" s="6787" cm="1">
        <f t="array" aca="1" ref="M121" ca="1">INDIRECT("'※ 재무_세부시트'!"&amp;M$1&amp;$V121, TRUE)</f>
        <v>21.076128319999999</v>
      </c>
      <c r="N121" s="6857" cm="1">
        <f t="array" aca="1" ref="N121" ca="1">INDIRECT("'※ 재무_세부시트'!"&amp;N$1&amp;$V121, TRUE)</f>
        <v>9.9037810099999994</v>
      </c>
      <c r="O121" s="4294" cm="1">
        <f t="array" aca="1" ref="O121" ca="1">INDIRECT("'※ 재무_세부시트'!"&amp;O$1&amp;$V121, TRUE)</f>
        <v>11.172347309999999</v>
      </c>
      <c r="P121" s="6812" cm="1">
        <f t="array" aca="1" ref="P121" ca="1">INDIRECT("'※ 재무_세부시트'!"&amp;P$1&amp;$V121, TRUE)</f>
        <v>1.2685662999999998</v>
      </c>
      <c r="Q121" s="6812" cm="1">
        <f t="array" aca="1" ref="Q121" ca="1">INDIRECT("'※ 재무_세부시트'!"&amp;Q$1&amp;$V121, TRUE)</f>
        <v>2.7505366899999988</v>
      </c>
      <c r="R121" s="792" cm="1">
        <f t="array" aca="1" ref="R121" ca="1">INDIRECT("'※ 재무_세부시트'!"&amp;R$1&amp;$V121, TRUE)</f>
        <v>21.076128319999999</v>
      </c>
      <c r="S121" s="793"/>
      <c r="T121" s="760"/>
      <c r="U121" s="794" cm="1">
        <f t="array" aca="1" ref="U121" ca="1">INDIRECT("'※ 재무_세부시트'!"&amp;U$1&amp;$V121, TRUE)</f>
        <v>8.9301204499999987</v>
      </c>
      <c r="V121" s="581">
        <v>162</v>
      </c>
      <c r="W121" s="581"/>
      <c r="X121" s="591"/>
      <c r="Y121" s="591"/>
    </row>
    <row r="122" spans="1:25" ht="17.25" customHeight="1" x14ac:dyDescent="0.55000000000000004">
      <c r="A122" s="784"/>
      <c r="B122" s="785"/>
      <c r="C122" s="823" t="s">
        <v>1228</v>
      </c>
      <c r="D122" s="803"/>
      <c r="E122" s="803"/>
      <c r="F122" s="6728" cm="1">
        <f t="array" aca="1" ref="F122" ca="1">INDIRECT("'※ 재무_세부시트'!"&amp;F$1&amp;$V122, TRUE)</f>
        <v>1895.0203173919078</v>
      </c>
      <c r="G122" s="6678" cm="1">
        <f t="array" aca="1" ref="G122" ca="1">INDIRECT("'※ 재무_세부시트'!"&amp;G$1&amp;$V122, TRUE)</f>
        <v>93.696069752068567</v>
      </c>
      <c r="H122" s="4345" cm="1">
        <f t="array" aca="1" ref="H122" ca="1">INDIRECT("'※ 재무_세부시트'!"&amp;H$1&amp;$V122, TRUE)</f>
        <v>224.39843197889095</v>
      </c>
      <c r="I122" s="4345" cm="1">
        <f t="array" aca="1" ref="I122" ca="1">INDIRECT("'※ 재무_세부시트'!"&amp;I$1&amp;$V122, TRUE)</f>
        <v>94.798995354712872</v>
      </c>
      <c r="J122" s="4345" cm="1">
        <f t="array" aca="1" ref="J122" ca="1">INDIRECT("'※ 재무_세부시트'!"&amp;J$1&amp;$V122, TRUE)</f>
        <v>100.39645581015965</v>
      </c>
      <c r="K122" s="4345" cm="1">
        <f t="array" aca="1" ref="K122" ca="1">INDIRECT("'※ 재무_세부시트'!"&amp;K$1&amp;$V122, TRUE)</f>
        <v>113.20618135599587</v>
      </c>
      <c r="L122" s="4345" cm="1">
        <f t="array" aca="1" ref="L122" ca="1">INDIRECT("'※ 재무_세부시트'!"&amp;L$1&amp;$V122, TRUE)</f>
        <v>91.946164552093819</v>
      </c>
      <c r="M122" s="6788" cm="1">
        <f t="array" aca="1" ref="M122" ca="1">INDIRECT("'※ 재무_세부시트'!"&amp;M$1&amp;$V122, TRUE)</f>
        <v>481.52823633771669</v>
      </c>
      <c r="N122" s="6678" cm="1">
        <f t="array" aca="1" ref="N122" ca="1">INDIRECT("'※ 재무_세부시트'!"&amp;N$1&amp;$V122, TRUE)</f>
        <v>336.46763547967583</v>
      </c>
      <c r="O122" s="4345" cm="1">
        <f t="array" aca="1" ref="O122" ca="1">INDIRECT("'※ 재무_세부시트'!"&amp;O$1&amp;$V122, TRUE)</f>
        <v>145.06060085804086</v>
      </c>
      <c r="P122" s="6813" cm="1">
        <f t="array" aca="1" ref="P122" ca="1">INDIRECT("'※ 재무_세부시트'!"&amp;P$1&amp;$V122, TRUE)</f>
        <v>-191.40703462163498</v>
      </c>
      <c r="Q122" s="6813" cm="1">
        <f t="array" aca="1" ref="Q122" ca="1">INDIRECT("'※ 재무_세부시트'!"&amp;Q$1&amp;$V122, TRUE)</f>
        <v>-79.337831120850097</v>
      </c>
      <c r="R122" s="806" cm="1">
        <f t="array" aca="1" ref="R122" ca="1">INDIRECT("'※ 재무_세부시트'!"&amp;R$1&amp;$V122, TRUE)</f>
        <v>481.52823633771669</v>
      </c>
      <c r="S122" s="793"/>
      <c r="T122" s="760"/>
      <c r="U122" s="835" cm="1">
        <f t="array" aca="1" ref="U122" ca="1">INDIRECT("'※ 재무_세부시트'!"&amp;U$1&amp;$V122, TRUE)</f>
        <v>163.43373460675718</v>
      </c>
      <c r="V122" s="581">
        <v>163</v>
      </c>
      <c r="W122" s="581"/>
      <c r="X122" s="591"/>
      <c r="Y122" s="591"/>
    </row>
    <row r="123" spans="1:25" ht="17.25" customHeight="1" x14ac:dyDescent="0.55000000000000004">
      <c r="A123" s="784"/>
      <c r="B123" s="594"/>
      <c r="C123" s="803"/>
      <c r="D123" s="803" t="s">
        <v>41</v>
      </c>
      <c r="E123" s="803"/>
      <c r="F123" s="6728" cm="1">
        <f t="array" aca="1" ref="F123" ca="1">INDIRECT("'※ 재무_세부시트'!"&amp;F$1&amp;$V123, TRUE)</f>
        <v>1564.6265405400002</v>
      </c>
      <c r="G123" s="6678" cm="1">
        <f t="array" aca="1" ref="G123" ca="1">INDIRECT("'※ 재무_세부시트'!"&amp;G$1&amp;$V123, TRUE)</f>
        <v>57.113328750000001</v>
      </c>
      <c r="H123" s="4345" cm="1">
        <f t="array" aca="1" ref="H123" ca="1">INDIRECT("'※ 재무_세부시트'!"&amp;H$1&amp;$V123, TRUE)</f>
        <v>206.81805313999999</v>
      </c>
      <c r="I123" s="4345" cm="1">
        <f t="array" aca="1" ref="I123" ca="1">INDIRECT("'※ 재무_세부시트'!"&amp;I$1&amp;$V123, TRUE)</f>
        <v>78.186720859999994</v>
      </c>
      <c r="J123" s="4345" cm="1">
        <f t="array" aca="1" ref="J123" ca="1">INDIRECT("'※ 재무_세부시트'!"&amp;J$1&amp;$V123, TRUE)</f>
        <v>83.066149379999999</v>
      </c>
      <c r="K123" s="4345" cm="1">
        <f t="array" aca="1" ref="K123" ca="1">INDIRECT("'※ 재무_세부시트'!"&amp;K$1&amp;$V123, TRUE)</f>
        <v>94.202627809999996</v>
      </c>
      <c r="L123" s="4345" cm="1">
        <f t="array" aca="1" ref="L123" ca="1">INDIRECT("'※ 재무_세부시트'!"&amp;L$1&amp;$V123, TRUE)</f>
        <v>67.409114290000005</v>
      </c>
      <c r="M123" s="6788" cm="1">
        <f t="array" aca="1" ref="M123" ca="1">INDIRECT("'※ 재무_세부시트'!"&amp;M$1&amp;$V123, TRUE)</f>
        <v>416.09061272999998</v>
      </c>
      <c r="N123" s="6678" cm="1">
        <f t="array" aca="1" ref="N123" ca="1">INDIRECT("'※ 재무_세부시트'!"&amp;N$1&amp;$V123, TRUE)</f>
        <v>304.45027703</v>
      </c>
      <c r="O123" s="4345" cm="1">
        <f t="array" aca="1" ref="O123" ca="1">INDIRECT("'※ 재무_세부시트'!"&amp;O$1&amp;$V123, TRUE)</f>
        <v>111.64033569999999</v>
      </c>
      <c r="P123" s="6813" cm="1">
        <f t="array" aca="1" ref="P123" ca="1">INDIRECT("'※ 재무_세부시트'!"&amp;P$1&amp;$V123, TRUE)</f>
        <v>-192.80994133000002</v>
      </c>
      <c r="Q123" s="6813" cm="1">
        <f t="array" aca="1" ref="Q123" ca="1">INDIRECT("'※ 재무_세부시트'!"&amp;Q$1&amp;$V123, TRUE)</f>
        <v>-95.177717439999995</v>
      </c>
      <c r="R123" s="806" cm="1">
        <f t="array" aca="1" ref="R123" ca="1">INDIRECT("'※ 재무_세부시트'!"&amp;R$1&amp;$V123, TRUE)</f>
        <v>416.09061272999998</v>
      </c>
      <c r="S123" s="793"/>
      <c r="T123" s="760"/>
      <c r="U123" s="835" cm="1">
        <f t="array" aca="1" ref="U123" ca="1">INDIRECT("'※ 재무_세부시트'!"&amp;U$1&amp;$V123, TRUE)</f>
        <v>152.15923083999996</v>
      </c>
      <c r="V123" s="581">
        <v>164</v>
      </c>
      <c r="W123" s="581"/>
      <c r="X123" s="591"/>
      <c r="Y123" s="591"/>
    </row>
    <row r="124" spans="1:25" ht="17.25" customHeight="1" x14ac:dyDescent="0.55000000000000004">
      <c r="A124" s="784"/>
      <c r="B124" s="594"/>
      <c r="C124" s="803"/>
      <c r="D124" s="803" t="s">
        <v>13</v>
      </c>
      <c r="E124" s="803"/>
      <c r="F124" s="6728" cm="1">
        <f t="array" aca="1" ref="F124" ca="1">INDIRECT("'※ 재무_세부시트'!"&amp;F$1&amp;$V124, TRUE)</f>
        <v>77.059296231664007</v>
      </c>
      <c r="G124" s="6678" cm="1">
        <f t="array" aca="1" ref="G124" ca="1">INDIRECT("'※ 재무_세부시트'!"&amp;G$1&amp;$V124, TRUE)</f>
        <v>5.2826852723842883</v>
      </c>
      <c r="H124" s="4345" cm="1">
        <f t="array" aca="1" ref="H124" ca="1">INDIRECT("'※ 재무_세부시트'!"&amp;H$1&amp;$V124, TRUE)</f>
        <v>5.3600846349410238</v>
      </c>
      <c r="I124" s="4345" cm="1">
        <f t="array" aca="1" ref="I124" ca="1">INDIRECT("'※ 재무_세부시트'!"&amp;I$1&amp;$V124, TRUE)</f>
        <v>6.5251705759497467</v>
      </c>
      <c r="J124" s="4345" cm="1">
        <f t="array" aca="1" ref="J124" ca="1">INDIRECT("'※ 재무_세부시트'!"&amp;J$1&amp;$V124, TRUE)</f>
        <v>5.6544795929645764</v>
      </c>
      <c r="K124" s="4345" cm="1">
        <f t="array" aca="1" ref="K124" ca="1">INDIRECT("'※ 재무_세부시트'!"&amp;K$1&amp;$V124, TRUE)</f>
        <v>5.8535597416629503</v>
      </c>
      <c r="L124" s="4345" cm="1">
        <f t="array" aca="1" ref="L124" ca="1">INDIRECT("'※ 재무_세부시트'!"&amp;L$1&amp;$V124, TRUE)</f>
        <v>7.2227390983812407</v>
      </c>
      <c r="M124" s="6788" cm="1">
        <f t="array" aca="1" ref="M124" ca="1">INDIRECT("'※ 재무_세부시트'!"&amp;M$1&amp;$V124, TRUE)</f>
        <v>13.263421892604985</v>
      </c>
      <c r="N124" s="6678" cm="1">
        <f t="array" aca="1" ref="N124" ca="1">INDIRECT("'※ 재무_세부시트'!"&amp;N$1&amp;$V124, TRUE)</f>
        <v>6.4584803143714167</v>
      </c>
      <c r="O124" s="4345" cm="1">
        <f t="array" aca="1" ref="O124" ca="1">INDIRECT("'※ 재무_세부시트'!"&amp;O$1&amp;$V124, TRUE)</f>
        <v>6.8049415782335689</v>
      </c>
      <c r="P124" s="6813" cm="1">
        <f t="array" aca="1" ref="P124" ca="1">INDIRECT("'※ 재무_세부시트'!"&amp;P$1&amp;$V124, TRUE)</f>
        <v>0.34646126386215226</v>
      </c>
      <c r="Q124" s="6813" cm="1">
        <f t="array" aca="1" ref="Q124" ca="1">INDIRECT("'※ 재무_세부시트'!"&amp;Q$1&amp;$V124, TRUE)</f>
        <v>1.4448569432925451</v>
      </c>
      <c r="R124" s="806" cm="1">
        <f t="array" aca="1" ref="R124" ca="1">INDIRECT("'※ 재무_세부시트'!"&amp;R$1&amp;$V124, TRUE)</f>
        <v>13.263421892604985</v>
      </c>
      <c r="S124" s="793"/>
      <c r="T124" s="760"/>
      <c r="U124" s="807" cm="1">
        <f t="array" aca="1" ref="U124" ca="1">INDIRECT("'※ 재무_세부시트'!"&amp;U$1&amp;$V124, TRUE)</f>
        <v>2.6206519852796717</v>
      </c>
      <c r="V124" s="581">
        <v>165</v>
      </c>
      <c r="W124" s="581"/>
      <c r="X124" s="591"/>
      <c r="Y124" s="591"/>
    </row>
    <row r="125" spans="1:25" ht="17.25" customHeight="1" x14ac:dyDescent="0.55000000000000004">
      <c r="A125" s="784"/>
      <c r="B125" s="594"/>
      <c r="C125" s="803"/>
      <c r="D125" s="803" t="s">
        <v>42</v>
      </c>
      <c r="E125" s="803"/>
      <c r="F125" s="6728" cm="1">
        <f t="array" aca="1" ref="F125" ca="1">INDIRECT("'※ 재무_세부시트'!"&amp;F$1&amp;$V125, TRUE)</f>
        <v>189.48091661000001</v>
      </c>
      <c r="G125" s="6678" cm="1">
        <f t="array" aca="1" ref="G125" ca="1">INDIRECT("'※ 재무_세부시트'!"&amp;G$1&amp;$V125, TRUE)</f>
        <v>25.454600750000001</v>
      </c>
      <c r="H125" s="4345" cm="1">
        <f t="array" aca="1" ref="H125" ca="1">INDIRECT("'※ 재무_세부시트'!"&amp;H$1&amp;$V125, TRUE)</f>
        <v>8.2220748399999994</v>
      </c>
      <c r="I125" s="4345" cm="1">
        <f t="array" aca="1" ref="I125" ca="1">INDIRECT("'※ 재무_세부시트'!"&amp;I$1&amp;$V125, TRUE)</f>
        <v>6.4922947300000002</v>
      </c>
      <c r="J125" s="4345" cm="1">
        <f t="array" aca="1" ref="J125" ca="1">INDIRECT("'※ 재무_세부시트'!"&amp;J$1&amp;$V125, TRUE)</f>
        <v>7.7515103500000002</v>
      </c>
      <c r="K125" s="4345" cm="1">
        <f t="array" aca="1" ref="K125" ca="1">INDIRECT("'※ 재무_세부시트'!"&amp;K$1&amp;$V125, TRUE)</f>
        <v>8.2240039899999999</v>
      </c>
      <c r="L125" s="4345" cm="1">
        <f t="array" aca="1" ref="L125" ca="1">INDIRECT("'※ 재무_세부시트'!"&amp;L$1&amp;$V125, TRUE)</f>
        <v>12.360798989999999</v>
      </c>
      <c r="M125" s="6788" cm="1">
        <f t="array" aca="1" ref="M125" ca="1">INDIRECT("'※ 재무_세부시트'!"&amp;M$1&amp;$V125, TRUE)</f>
        <v>37.678167500000001</v>
      </c>
      <c r="N125" s="6678" cm="1">
        <f t="array" aca="1" ref="N125" ca="1">INDIRECT("'※ 재무_세부시트'!"&amp;N$1&amp;$V125, TRUE)</f>
        <v>19.35831718</v>
      </c>
      <c r="O125" s="4345" cm="1">
        <f t="array" aca="1" ref="O125" ca="1">INDIRECT("'※ 재무_세부시트'!"&amp;O$1&amp;$V125, TRUE)</f>
        <v>18.31985032</v>
      </c>
      <c r="P125" s="6813" cm="1">
        <f t="array" aca="1" ref="P125" ca="1">INDIRECT("'※ 재무_세부시트'!"&amp;P$1&amp;$V125, TRUE)</f>
        <v>-1.0384668599999998</v>
      </c>
      <c r="Q125" s="6813" cm="1">
        <f t="array" aca="1" ref="Q125" ca="1">INDIRECT("'※ 재무_세부시트'!"&amp;Q$1&amp;$V125, TRUE)</f>
        <v>10.097775480000001</v>
      </c>
      <c r="R125" s="806" cm="1">
        <f t="array" aca="1" ref="R125" ca="1">INDIRECT("'※ 재무_세부시트'!"&amp;R$1&amp;$V125, TRUE)</f>
        <v>37.678167500000001</v>
      </c>
      <c r="S125" s="793"/>
      <c r="T125" s="760"/>
      <c r="U125" s="807" cm="1">
        <f t="array" aca="1" ref="U125" ca="1">INDIRECT("'※ 재무_세부시트'!"&amp;U$1&amp;$V125, TRUE)</f>
        <v>4.0014919099999986</v>
      </c>
      <c r="V125" s="581">
        <v>166</v>
      </c>
      <c r="W125" s="581"/>
      <c r="X125" s="591"/>
      <c r="Y125" s="591"/>
    </row>
    <row r="126" spans="1:25" ht="17.25" customHeight="1" x14ac:dyDescent="0.55000000000000004">
      <c r="A126" s="784"/>
      <c r="B126" s="594"/>
      <c r="C126" s="803"/>
      <c r="D126" s="803" t="s">
        <v>14</v>
      </c>
      <c r="E126" s="803"/>
      <c r="F126" s="6728" cm="1">
        <f t="array" aca="1" ref="F126" ca="1">INDIRECT("'※ 재무_세부시트'!"&amp;F$1&amp;$V126, TRUE)</f>
        <v>5.8025533999999999</v>
      </c>
      <c r="G126" s="6678" cm="1">
        <f t="array" aca="1" ref="G126" ca="1">INDIRECT("'※ 재무_세부시트'!"&amp;G$1&amp;$V126, TRUE)</f>
        <v>0.22968309000000001</v>
      </c>
      <c r="H126" s="4345" cm="1">
        <f t="array" aca="1" ref="H126" ca="1">INDIRECT("'※ 재무_세부시트'!"&amp;H$1&amp;$V126, TRUE)</f>
        <v>0.38513278000000001</v>
      </c>
      <c r="I126" s="4345" cm="1">
        <f t="array" aca="1" ref="I126" ca="1">INDIRECT("'※ 재무_세부시트'!"&amp;I$1&amp;$V126, TRUE)</f>
        <v>0.40296744000000001</v>
      </c>
      <c r="J126" s="4345" cm="1">
        <f t="array" aca="1" ref="J126" ca="1">INDIRECT("'※ 재무_세부시트'!"&amp;J$1&amp;$V126, TRUE)</f>
        <v>0.42084356000000001</v>
      </c>
      <c r="K126" s="4345" cm="1">
        <f t="array" aca="1" ref="K126" ca="1">INDIRECT("'※ 재무_세부시트'!"&amp;K$1&amp;$V126, TRUE)</f>
        <v>0.52421439999999997</v>
      </c>
      <c r="L126" s="4345" cm="1">
        <f t="array" aca="1" ref="L126" ca="1">INDIRECT("'※ 재무_세부시트'!"&amp;L$1&amp;$V126, TRUE)</f>
        <v>0.54788767000000005</v>
      </c>
      <c r="M126" s="6788" cm="1">
        <f t="array" aca="1" ref="M126" ca="1">INDIRECT("'※ 재무_세부시트'!"&amp;M$1&amp;$V126, TRUE)</f>
        <v>1.1746302100000001</v>
      </c>
      <c r="N126" s="6678" cm="1">
        <f t="array" aca="1" ref="N126" ca="1">INDIRECT("'※ 재무_세부시트'!"&amp;N$1&amp;$V126, TRUE)</f>
        <v>0.53696862000000001</v>
      </c>
      <c r="O126" s="4345" cm="1">
        <f t="array" aca="1" ref="O126" ca="1">INDIRECT("'※ 재무_세부시트'!"&amp;O$1&amp;$V126, TRUE)</f>
        <v>0.63766159</v>
      </c>
      <c r="P126" s="6813" cm="1">
        <f t="array" aca="1" ref="P126" ca="1">INDIRECT("'※ 재무_세부시트'!"&amp;P$1&amp;$V126, TRUE)</f>
        <v>0.10069296999999999</v>
      </c>
      <c r="Q126" s="6813" cm="1">
        <f t="array" aca="1" ref="Q126" ca="1">INDIRECT("'※ 재무_세부시트'!"&amp;Q$1&amp;$V126, TRUE)</f>
        <v>0.25252880999999999</v>
      </c>
      <c r="R126" s="806" cm="1">
        <f t="array" aca="1" ref="R126" ca="1">INDIRECT("'※ 재무_세부시트'!"&amp;R$1&amp;$V126, TRUE)</f>
        <v>1.1746302100000001</v>
      </c>
      <c r="S126" s="793"/>
      <c r="T126" s="760"/>
      <c r="U126" s="807" cm="1">
        <f t="array" aca="1" ref="U126" ca="1">INDIRECT("'※ 재무_세부시트'!"&amp;U$1&amp;$V126, TRUE)</f>
        <v>0.55981434000000008</v>
      </c>
      <c r="V126" s="581">
        <v>167</v>
      </c>
      <c r="W126" s="581"/>
      <c r="X126" s="591"/>
      <c r="Y126" s="591"/>
    </row>
    <row r="127" spans="1:25" ht="17.25" customHeight="1" x14ac:dyDescent="0.55000000000000004">
      <c r="A127" s="784"/>
      <c r="B127" s="594"/>
      <c r="C127" s="803"/>
      <c r="D127" s="803" t="s">
        <v>16</v>
      </c>
      <c r="E127" s="803"/>
      <c r="F127" s="6728" cm="1">
        <f t="array" aca="1" ref="F127" ca="1">INDIRECT("'※ 재무_세부시트'!"&amp;F$1&amp;$V127, TRUE)</f>
        <v>58.051010610244198</v>
      </c>
      <c r="G127" s="6678" cm="1">
        <f t="array" aca="1" ref="G127" ca="1">INDIRECT("'※ 재무_세부시트'!"&amp;G$1&amp;$V127, TRUE)</f>
        <v>5.6157718896842805</v>
      </c>
      <c r="H127" s="4345" cm="1">
        <f t="array" aca="1" ref="H127" ca="1">INDIRECT("'※ 재무_세부시트'!"&amp;H$1&amp;$V127, TRUE)</f>
        <v>3.6130865839499426</v>
      </c>
      <c r="I127" s="4345" cm="1">
        <f t="array" aca="1" ref="I127" ca="1">INDIRECT("'※ 재무_세부시트'!"&amp;I$1&amp;$V127, TRUE)</f>
        <v>3.1918417487631343</v>
      </c>
      <c r="J127" s="4345" cm="1">
        <f t="array" aca="1" ref="J127" ca="1">INDIRECT("'※ 재무_세부시트'!"&amp;J$1&amp;$V127, TRUE)</f>
        <v>3.5034729271950824</v>
      </c>
      <c r="K127" s="4345" cm="1">
        <f t="array" aca="1" ref="K127" ca="1">INDIRECT("'※ 재무_세부시트'!"&amp;K$1&amp;$V127, TRUE)</f>
        <v>4.4017754143329171</v>
      </c>
      <c r="L127" s="4345" cm="1">
        <f t="array" aca="1" ref="L127" ca="1">INDIRECT("'※ 재무_세부시트'!"&amp;L$1&amp;$V127, TRUE)</f>
        <v>4.4056245037125681</v>
      </c>
      <c r="M127" s="6788" cm="1">
        <f t="array" aca="1" ref="M127" ca="1">INDIRECT("'※ 재무_세부시트'!"&amp;M$1&amp;$V127, TRUE)</f>
        <v>13.321404005111708</v>
      </c>
      <c r="N127" s="6678" cm="1">
        <f t="array" aca="1" ref="N127" ca="1">INDIRECT("'※ 재무_세부시트'!"&amp;N$1&amp;$V127, TRUE)</f>
        <v>5.6635923353044202</v>
      </c>
      <c r="O127" s="4345" cm="1">
        <f t="array" aca="1" ref="O127" ca="1">INDIRECT("'※ 재무_세부시트'!"&amp;O$1&amp;$V127, TRUE)</f>
        <v>7.6578116698072876</v>
      </c>
      <c r="P127" s="6813" cm="1">
        <f t="array" aca="1" ref="P127" ca="1">INDIRECT("'※ 재무_세부시트'!"&amp;P$1&amp;$V127, TRUE)</f>
        <v>1.9942193345028674</v>
      </c>
      <c r="Q127" s="6813" cm="1">
        <f t="array" aca="1" ref="Q127" ca="1">INDIRECT("'※ 재무_세부시트'!"&amp;Q$1&amp;$V127, TRUE)</f>
        <v>4.0447250858573449</v>
      </c>
      <c r="R127" s="806" cm="1">
        <f t="array" aca="1" ref="R127" ca="1">INDIRECT("'※ 재무_세부시트'!"&amp;R$1&amp;$V127, TRUE)</f>
        <v>13.321404005111708</v>
      </c>
      <c r="S127" s="793"/>
      <c r="T127" s="760"/>
      <c r="U127" s="807" cm="1">
        <f t="array" aca="1" ref="U127" ca="1">INDIRECT("'※ 재무_세부시트'!"&amp;U$1&amp;$V127, TRUE)</f>
        <v>4.0925455314774855</v>
      </c>
      <c r="V127" s="581">
        <v>168</v>
      </c>
      <c r="W127" s="581"/>
      <c r="X127" s="591"/>
      <c r="Y127" s="591"/>
    </row>
    <row r="128" spans="1:25" ht="17.25" customHeight="1" x14ac:dyDescent="0.55000000000000004">
      <c r="A128" s="784"/>
      <c r="B128" s="594"/>
      <c r="C128" s="812" t="s">
        <v>17</v>
      </c>
      <c r="D128" s="813"/>
      <c r="E128" s="813"/>
      <c r="F128" s="6729" cm="1">
        <f t="array" aca="1" ref="F128" ca="1">INDIRECT("'※ 재무_세부시트'!"&amp;F$1&amp;$V128, TRUE)</f>
        <v>67.52745650806429</v>
      </c>
      <c r="G128" s="6858" cm="1">
        <f t="array" aca="1" ref="G128" ca="1">INDIRECT("'※ 재무_세부시트'!"&amp;G$1&amp;$V128, TRUE)</f>
        <v>5.1919827007767143</v>
      </c>
      <c r="H128" s="6677" cm="1">
        <f t="array" aca="1" ref="H128" ca="1">INDIRECT("'※ 재무_세부시트'!"&amp;H$1&amp;$V128, TRUE)</f>
        <v>-1.3236918023909765</v>
      </c>
      <c r="I128" s="6677" cm="1">
        <f t="array" aca="1" ref="I128" ca="1">INDIRECT("'※ 재무_세부시트'!"&amp;I$1&amp;$V128, TRUE)</f>
        <v>1.5846611752871356</v>
      </c>
      <c r="J128" s="6677" cm="1">
        <f t="array" aca="1" ref="J128" ca="1">INDIRECT("'※ 재무_세부시트'!"&amp;J$1&amp;$V128, TRUE)</f>
        <v>1.8888801238403676</v>
      </c>
      <c r="K128" s="6677" cm="1">
        <f t="array" aca="1" ref="K128" ca="1">INDIRECT("'※ 재무_세부시트'!"&amp;K$1&amp;$V128, TRUE)</f>
        <v>0.22504437500412822</v>
      </c>
      <c r="L128" s="6677" cm="1">
        <f t="array" aca="1" ref="L128" ca="1">INDIRECT("'※ 재무_세부시트'!"&amp;L$1&amp;$V128, TRUE)</f>
        <v>6.220161420406189</v>
      </c>
      <c r="M128" s="6789" cm="1">
        <f t="array" aca="1" ref="M128" ca="1">INDIRECT("'※ 재무_세부시트'!"&amp;M$1&amp;$V128, TRUE)</f>
        <v>20.363391278609811</v>
      </c>
      <c r="N128" s="6858" cm="1">
        <f t="array" aca="1" ref="N128" ca="1">INDIRECT("'※ 재무_세부시트'!"&amp;N$1&amp;$V128, TRUE)</f>
        <v>9.8188875819318024</v>
      </c>
      <c r="O128" s="6677" cm="1">
        <f t="array" aca="1" ref="O128" ca="1">INDIRECT("'※ 재무_세부시트'!"&amp;O$1&amp;$V128, TRUE)</f>
        <v>10.544503696678007</v>
      </c>
      <c r="P128" s="6814" cm="1">
        <f t="array" aca="1" ref="P128" ca="1">INDIRECT("'※ 재무_세부시트'!"&amp;P$1&amp;$V128, TRUE)</f>
        <v>0.72561611474620413</v>
      </c>
      <c r="Q128" s="6814" cm="1">
        <f t="array" aca="1" ref="Q128" ca="1">INDIRECT("'※ 재무_세부시트'!"&amp;Q$1&amp;$V128, TRUE)</f>
        <v>11.868195499068984</v>
      </c>
      <c r="R128" s="815" cm="1">
        <f t="array" aca="1" ref="R128" ca="1">INDIRECT("'※ 재무_세부시트'!"&amp;R$1&amp;$V128, TRUE)</f>
        <v>20.363391278609811</v>
      </c>
      <c r="S128" s="793"/>
      <c r="T128" s="760"/>
      <c r="U128" s="816" cm="1">
        <f t="array" aca="1" ref="U128" ca="1">INDIRECT("'※ 재무_세부시트'!"&amp;U$1&amp;$V128, TRUE)</f>
        <v>16.495100380224073</v>
      </c>
      <c r="V128" s="581">
        <v>169</v>
      </c>
      <c r="W128" s="581"/>
      <c r="X128" s="591"/>
      <c r="Y128" s="591"/>
    </row>
    <row r="129" spans="1:25" ht="17.25" customHeight="1" x14ac:dyDescent="0.55000000000000004">
      <c r="A129" s="784"/>
      <c r="B129" s="594"/>
      <c r="C129" s="594"/>
      <c r="D129" s="594" t="s">
        <v>600</v>
      </c>
      <c r="E129" s="594"/>
      <c r="F129" s="6730" cm="1">
        <f t="array" aca="1" ref="F129" ca="1">INDIRECT("'※ 재무_세부시트'!"&amp;F$1&amp;$V129, TRUE)</f>
        <v>13.616419600027635</v>
      </c>
      <c r="G129" s="6833" cm="1">
        <f t="array" aca="1" ref="G129" ca="1">INDIRECT("'※ 재무_세부시트'!"&amp;G$1&amp;$V129, TRUE)</f>
        <v>-0.24653361284527842</v>
      </c>
      <c r="H129" s="4301" cm="1">
        <f t="array" aca="1" ref="H129" ca="1">INDIRECT("'※ 재무_세부시트'!"&amp;H$1&amp;$V129, TRUE)</f>
        <v>2.377747883500001</v>
      </c>
      <c r="I129" s="4301" cm="1">
        <f t="array" aca="1" ref="I129" ca="1">INDIRECT("'※ 재무_세부시트'!"&amp;I$1&amp;$V129, TRUE)</f>
        <v>0.58249538000000001</v>
      </c>
      <c r="J129" s="4301" cm="1">
        <f t="array" aca="1" ref="J129" ca="1">INDIRECT("'※ 재무_세부시트'!"&amp;J$1&amp;$V129, TRUE)</f>
        <v>0.65783323599999999</v>
      </c>
      <c r="K129" s="4301" cm="1">
        <f t="array" aca="1" ref="K129" ca="1">INDIRECT("'※ 재무_세부시트'!"&amp;K$1&amp;$V129, TRUE)</f>
        <v>1.8302072490000003</v>
      </c>
      <c r="L129" s="4301" cm="1">
        <f t="array" aca="1" ref="L129" ca="1">INDIRECT("'※ 재무_세부시트'!"&amp;L$1&amp;$V129, TRUE)</f>
        <v>0.4211196975</v>
      </c>
      <c r="M129" s="6767" cm="1">
        <f t="array" aca="1" ref="M129" ca="1">INDIRECT("'※ 재무_세부시트'!"&amp;M$1&amp;$V129, TRUE)</f>
        <v>2.2064930036735029</v>
      </c>
      <c r="N129" s="6833" cm="1">
        <f t="array" aca="1" ref="N129" ca="1">INDIRECT("'※ 재무_세부시트'!"&amp;N$1&amp;$V129, TRUE)</f>
        <v>0.30926290839237103</v>
      </c>
      <c r="O129" s="4301" cm="1">
        <f t="array" aca="1" ref="O129" ca="1">INDIRECT("'※ 재무_세부시트'!"&amp;O$1&amp;$V129, TRUE)</f>
        <v>1.8972300952811318</v>
      </c>
      <c r="P129" s="6792" cm="1">
        <f t="array" aca="1" ref="P129" ca="1">INDIRECT("'※ 재무_세부시트'!"&amp;P$1&amp;$V129, TRUE)</f>
        <v>1.5879671868887608</v>
      </c>
      <c r="Q129" s="6792" cm="1">
        <f t="array" aca="1" ref="Q129" ca="1">INDIRECT("'※ 재무_세부시트'!"&amp;Q$1&amp;$V129, TRUE)</f>
        <v>-0.48051778821886915</v>
      </c>
      <c r="R129" s="599" cm="1">
        <f t="array" aca="1" ref="R129" ca="1">INDIRECT("'※ 재무_세부시트'!"&amp;R$1&amp;$V129, TRUE)</f>
        <v>2.2064930036735029</v>
      </c>
      <c r="S129" s="793"/>
      <c r="T129" s="760"/>
      <c r="U129" s="761" cm="1">
        <f t="array" aca="1" ref="U129" ca="1">INDIRECT("'※ 재무_세부시트'!"&amp;U$1&amp;$V129, TRUE)</f>
        <v>7.5278733018780297E-2</v>
      </c>
      <c r="V129" s="581">
        <v>170</v>
      </c>
      <c r="W129" s="581"/>
      <c r="X129" s="591"/>
      <c r="Y129" s="591"/>
    </row>
    <row r="130" spans="1:25" ht="17.25" customHeight="1" x14ac:dyDescent="0.55000000000000004">
      <c r="A130" s="819"/>
      <c r="B130" s="829" t="s">
        <v>939</v>
      </c>
      <c r="C130" s="830" t="s">
        <v>1226</v>
      </c>
      <c r="D130" s="831"/>
      <c r="E130" s="831"/>
      <c r="F130" s="6855" cm="1">
        <f t="array" aca="1" ref="F130" ca="1">INDIRECT("'※ 재무_세부시트'!"&amp;F$1&amp;$V130, TRUE)</f>
        <v>162.91219584000001</v>
      </c>
      <c r="G130" s="6855" cm="1">
        <f t="array" aca="1" ref="G130" ca="1">INDIRECT("'※ 재무_세부시트'!"&amp;G$1&amp;$V130, TRUE)</f>
        <v>7.0987022099999999</v>
      </c>
      <c r="H130" s="6856" cm="1">
        <f t="array" aca="1" ref="H130" ca="1">INDIRECT("'※ 재무_세부시트'!"&amp;H$1&amp;$V130, TRUE)</f>
        <v>13.071349269999999</v>
      </c>
      <c r="I130" s="6856" cm="1">
        <f t="array" aca="1" ref="I130" ca="1">INDIRECT("'※ 재무_세부시트'!"&amp;I$1&amp;$V130, TRUE)</f>
        <v>12.81520192</v>
      </c>
      <c r="J130" s="6856" cm="1">
        <f t="array" aca="1" ref="J130" ca="1">INDIRECT("'※ 재무_세부시트'!"&amp;J$1&amp;$V130, TRUE)</f>
        <v>11.667345110000001</v>
      </c>
      <c r="K130" s="6856" cm="1">
        <f t="array" aca="1" ref="K130" ca="1">INDIRECT("'※ 재무_세부시트'!"&amp;K$1&amp;$V130, TRUE)</f>
        <v>13.317545079999999</v>
      </c>
      <c r="L130" s="6856" cm="1">
        <f t="array" aca="1" ref="L130" ca="1">INDIRECT("'※ 재무_세부시트'!"&amp;L$1&amp;$V130, TRUE)</f>
        <v>14.4497476</v>
      </c>
      <c r="M130" s="6786" cm="1">
        <f t="array" aca="1" ref="M130" ca="1">INDIRECT("'※ 재무_세부시트'!"&amp;M$1&amp;$V130, TRUE)</f>
        <v>21.088358149999998</v>
      </c>
      <c r="N130" s="6855" cm="1">
        <f t="array" aca="1" ref="N130" ca="1">INDIRECT("'※ 재무_세부시트'!"&amp;N$1&amp;$V130, TRUE)</f>
        <v>12.097514969999999</v>
      </c>
      <c r="O130" s="6856" cm="1">
        <f t="array" aca="1" ref="O130" ca="1">INDIRECT("'※ 재무_세부시트'!"&amp;O$1&amp;$V130, TRUE)</f>
        <v>8.9908431800000006</v>
      </c>
      <c r="P130" s="6811" cm="1">
        <f t="array" aca="1" ref="P130" ca="1">INDIRECT("'※ 재무_세부시트'!"&amp;P$1&amp;$V130, TRUE)</f>
        <v>-3.1066717899999983</v>
      </c>
      <c r="Q130" s="6811" cm="1">
        <f t="array" aca="1" ref="Q130" ca="1">INDIRECT("'※ 재무_세부시트'!"&amp;Q$1&amp;$V130, TRUE)</f>
        <v>-4.0805060899999983</v>
      </c>
      <c r="R130" s="832" cm="1">
        <f t="array" aca="1" ref="R130" ca="1">INDIRECT("'※ 재무_세부시트'!"&amp;R$1&amp;$V130, TRUE)</f>
        <v>21.088358149999998</v>
      </c>
      <c r="S130" s="820"/>
      <c r="T130" s="821"/>
      <c r="U130" s="836" cm="1">
        <f t="array" aca="1" ref="U130" ca="1">INDIRECT("'※ 재무_세부시트'!"&amp;U$1&amp;$V130, TRUE)</f>
        <v>0.91830666999999977</v>
      </c>
      <c r="V130" s="581">
        <v>171</v>
      </c>
      <c r="W130" s="581"/>
      <c r="X130" s="591"/>
      <c r="Y130" s="591"/>
    </row>
    <row r="131" spans="1:25" ht="17.25" customHeight="1" x14ac:dyDescent="0.55000000000000004">
      <c r="A131" s="784"/>
      <c r="B131" s="594"/>
      <c r="C131" s="786"/>
      <c r="D131" s="786" t="s">
        <v>10</v>
      </c>
      <c r="E131" s="786"/>
      <c r="F131" s="6857" cm="1">
        <f t="array" aca="1" ref="F131" ca="1">INDIRECT("'※ 재무_세부시트'!"&amp;F$1&amp;$V131, TRUE)</f>
        <v>12.84494654</v>
      </c>
      <c r="G131" s="6857" cm="1">
        <f t="array" aca="1" ref="G131" ca="1">INDIRECT("'※ 재무_세부시트'!"&amp;G$1&amp;$V131, TRUE)</f>
        <v>0.51711545999999997</v>
      </c>
      <c r="H131" s="4294" cm="1">
        <f t="array" aca="1" ref="H131" ca="1">INDIRECT("'※ 재무_세부시트'!"&amp;H$1&amp;$V131, TRUE)</f>
        <v>2.7941499900000002</v>
      </c>
      <c r="I131" s="4294" cm="1">
        <f t="array" aca="1" ref="I131" ca="1">INDIRECT("'※ 재무_세부시트'!"&amp;I$1&amp;$V131, TRUE)</f>
        <v>0.57386090999999995</v>
      </c>
      <c r="J131" s="4294" cm="1">
        <f t="array" aca="1" ref="J131" ca="1">INDIRECT("'※ 재무_세부시트'!"&amp;J$1&amp;$V131, TRUE)</f>
        <v>0.62865998999999995</v>
      </c>
      <c r="K131" s="4294" cm="1">
        <f t="array" aca="1" ref="K131" ca="1">INDIRECT("'※ 재무_세부시트'!"&amp;K$1&amp;$V131, TRUE)</f>
        <v>0.95185273000000004</v>
      </c>
      <c r="L131" s="4294" cm="1">
        <f t="array" aca="1" ref="L131" ca="1">INDIRECT("'※ 재무_세부시트'!"&amp;L$1&amp;$V131, TRUE)</f>
        <v>0.45255363999999998</v>
      </c>
      <c r="M131" s="6787" cm="1">
        <f t="array" aca="1" ref="M131" ca="1">INDIRECT("'※ 재무_세부시트'!"&amp;M$1&amp;$V131, TRUE)</f>
        <v>1.1887336500000001</v>
      </c>
      <c r="N131" s="6857" cm="1">
        <f t="array" aca="1" ref="N131" ca="1">INDIRECT("'※ 재무_세부시트'!"&amp;N$1&amp;$V131, TRUE)</f>
        <v>0.83412090999999999</v>
      </c>
      <c r="O131" s="4294" cm="1">
        <f t="array" aca="1" ref="O131" ca="1">INDIRECT("'※ 재무_세부시트'!"&amp;O$1&amp;$V131, TRUE)</f>
        <v>0.35461273999999998</v>
      </c>
      <c r="P131" s="6812" cm="1">
        <f t="array" aca="1" ref="P131" ca="1">INDIRECT("'※ 재무_세부시트'!"&amp;P$1&amp;$V131, TRUE)</f>
        <v>-0.47950817000000001</v>
      </c>
      <c r="Q131" s="6812" cm="1">
        <f t="array" aca="1" ref="Q131" ca="1">INDIRECT("'※ 재무_세부시트'!"&amp;Q$1&amp;$V131, TRUE)</f>
        <v>-2.4395372500000003</v>
      </c>
      <c r="R131" s="792" cm="1">
        <f t="array" aca="1" ref="R131" ca="1">INDIRECT("'※ 재무_세부시트'!"&amp;R$1&amp;$V131, TRUE)</f>
        <v>1.1887336500000001</v>
      </c>
      <c r="S131" s="793"/>
      <c r="T131" s="760"/>
      <c r="U131" s="794" cm="1">
        <f t="array" aca="1" ref="U131" ca="1">INDIRECT("'※ 재무_세부시트'!"&amp;U$1&amp;$V131, TRUE)</f>
        <v>-2.1225318</v>
      </c>
      <c r="V131" s="581">
        <v>172</v>
      </c>
      <c r="W131" s="581"/>
      <c r="X131" s="591"/>
      <c r="Y131" s="591"/>
    </row>
    <row r="132" spans="1:25" ht="17.25" customHeight="1" x14ac:dyDescent="0.55000000000000004">
      <c r="A132" s="784"/>
      <c r="B132" s="594"/>
      <c r="C132" s="786"/>
      <c r="D132" s="786" t="s">
        <v>6</v>
      </c>
      <c r="E132" s="786"/>
      <c r="F132" s="6857" cm="1">
        <f t="array" aca="1" ref="F132" ca="1">INDIRECT("'※ 재무_세부시트'!"&amp;F$1&amp;$V132, TRUE)</f>
        <v>126.830251</v>
      </c>
      <c r="G132" s="6857" cm="1">
        <f t="array" aca="1" ref="G132" ca="1">INDIRECT("'※ 재무_세부시트'!"&amp;G$1&amp;$V132, TRUE)</f>
        <v>5.3569555199999996</v>
      </c>
      <c r="H132" s="4294" cm="1">
        <f t="array" aca="1" ref="H132" ca="1">INDIRECT("'※ 재무_세부시트'!"&amp;H$1&amp;$V132, TRUE)</f>
        <v>8.7198194000000004</v>
      </c>
      <c r="I132" s="4294" cm="1">
        <f t="array" aca="1" ref="I132" ca="1">INDIRECT("'※ 재무_세부시트'!"&amp;I$1&amp;$V132, TRUE)</f>
        <v>10.45315091</v>
      </c>
      <c r="J132" s="4294" cm="1">
        <f t="array" aca="1" ref="J132" ca="1">INDIRECT("'※ 재무_세부시트'!"&amp;J$1&amp;$V132, TRUE)</f>
        <v>9.2148367800000006</v>
      </c>
      <c r="K132" s="4294" cm="1">
        <f t="array" aca="1" ref="K132" ca="1">INDIRECT("'※ 재무_세부시트'!"&amp;K$1&amp;$V132, TRUE)</f>
        <v>10.56159312</v>
      </c>
      <c r="L132" s="4294" cm="1">
        <f t="array" aca="1" ref="L132" ca="1">INDIRECT("'※ 재무_세부시트'!"&amp;L$1&amp;$V132, TRUE)</f>
        <v>11.67948518</v>
      </c>
      <c r="M132" s="6787" cm="1">
        <f t="array" aca="1" ref="M132" ca="1">INDIRECT("'※ 재무_세부시트'!"&amp;M$1&amp;$V132, TRUE)</f>
        <v>16.192733709999999</v>
      </c>
      <c r="N132" s="6857" cm="1">
        <f t="array" aca="1" ref="N132" ca="1">INDIRECT("'※ 재무_세부시트'!"&amp;N$1&amp;$V132, TRUE)</f>
        <v>9.3637640399999995</v>
      </c>
      <c r="O132" s="4294" cm="1">
        <f t="array" aca="1" ref="O132" ca="1">INDIRECT("'※ 재무_세부시트'!"&amp;O$1&amp;$V132, TRUE)</f>
        <v>6.8289696700000002</v>
      </c>
      <c r="P132" s="6812" cm="1">
        <f t="array" aca="1" ref="P132" ca="1">INDIRECT("'※ 재무_세부시트'!"&amp;P$1&amp;$V132, TRUE)</f>
        <v>-2.5347943699999993</v>
      </c>
      <c r="Q132" s="6812" cm="1">
        <f t="array" aca="1" ref="Q132" ca="1">INDIRECT("'※ 재무_세부시트'!"&amp;Q$1&amp;$V132, TRUE)</f>
        <v>-1.8908497300000002</v>
      </c>
      <c r="R132" s="792" cm="1">
        <f t="array" aca="1" ref="R132" ca="1">INDIRECT("'※ 재무_세부시트'!"&amp;R$1&amp;$V132, TRUE)</f>
        <v>16.192733709999999</v>
      </c>
      <c r="S132" s="793"/>
      <c r="T132" s="760"/>
      <c r="U132" s="794" cm="1">
        <f t="array" aca="1" ref="U132" ca="1">INDIRECT("'※ 재무_세부시트'!"&amp;U$1&amp;$V132, TRUE)</f>
        <v>2.1159587899999988</v>
      </c>
      <c r="V132" s="581">
        <v>173</v>
      </c>
      <c r="W132" s="581"/>
      <c r="X132" s="591"/>
      <c r="Y132" s="591"/>
    </row>
    <row r="133" spans="1:25" ht="17.25" customHeight="1" x14ac:dyDescent="0.55000000000000004">
      <c r="A133" s="784"/>
      <c r="B133" s="594"/>
      <c r="C133" s="786"/>
      <c r="D133" s="786" t="s">
        <v>0</v>
      </c>
      <c r="E133" s="786"/>
      <c r="F133" s="6857" cm="1">
        <f t="array" aca="1" ref="F133" ca="1">INDIRECT("'※ 재무_세부시트'!"&amp;F$1&amp;$V133, TRUE)</f>
        <v>14.626280200000002</v>
      </c>
      <c r="G133" s="6857" cm="1">
        <f t="array" aca="1" ref="G133" ca="1">INDIRECT("'※ 재무_세부시트'!"&amp;G$1&amp;$V133, TRUE)</f>
        <v>1.2109912300000001</v>
      </c>
      <c r="H133" s="4294" cm="1">
        <f t="array" aca="1" ref="H133" ca="1">INDIRECT("'※ 재무_세부시트'!"&amp;H$1&amp;$V133, TRUE)</f>
        <v>1.3641719800000001</v>
      </c>
      <c r="I133" s="4294" cm="1">
        <f t="array" aca="1" ref="I133" ca="1">INDIRECT("'※ 재무_세부시트'!"&amp;I$1&amp;$V133, TRUE)</f>
        <v>1.272375</v>
      </c>
      <c r="J133" s="4294" cm="1">
        <f t="array" aca="1" ref="J133" ca="1">INDIRECT("'※ 재무_세부시트'!"&amp;J$1&amp;$V133, TRUE)</f>
        <v>1.2368362399999999</v>
      </c>
      <c r="K133" s="4294" cm="1">
        <f t="array" aca="1" ref="K133" ca="1">INDIRECT("'※ 재무_세부시트'!"&amp;K$1&amp;$V133, TRUE)</f>
        <v>1.21934623</v>
      </c>
      <c r="L133" s="4294" cm="1">
        <f t="array" aca="1" ref="L133" ca="1">INDIRECT("'※ 재무_세부시트'!"&amp;L$1&amp;$V133, TRUE)</f>
        <v>1.20893378</v>
      </c>
      <c r="M133" s="6787" cm="1">
        <f t="array" aca="1" ref="M133" ca="1">INDIRECT("'※ 재무_세부시트'!"&amp;M$1&amp;$V133, TRUE)</f>
        <v>2.2354135399999997</v>
      </c>
      <c r="N133" s="6857" cm="1">
        <f t="array" aca="1" ref="N133" ca="1">INDIRECT("'※ 재무_세부시트'!"&amp;N$1&amp;$V133, TRUE)</f>
        <v>1.13039742</v>
      </c>
      <c r="O133" s="4294" cm="1">
        <f t="array" aca="1" ref="O133" ca="1">INDIRECT("'※ 재무_세부시트'!"&amp;O$1&amp;$V133, TRUE)</f>
        <v>1.1050161199999999</v>
      </c>
      <c r="P133" s="6812" cm="1">
        <f t="array" aca="1" ref="P133" ca="1">INDIRECT("'※ 재무_세부시트'!"&amp;P$1&amp;$V133, TRUE)</f>
        <v>-2.5381300000000051E-2</v>
      </c>
      <c r="Q133" s="6812" cm="1">
        <f t="array" aca="1" ref="Q133" ca="1">INDIRECT("'※ 재무_세부시트'!"&amp;Q$1&amp;$V133, TRUE)</f>
        <v>-0.25915586000000013</v>
      </c>
      <c r="R133" s="792" cm="1">
        <f t="array" aca="1" ref="R133" ca="1">INDIRECT("'※ 재무_세부시트'!"&amp;R$1&amp;$V133, TRUE)</f>
        <v>2.2354135399999997</v>
      </c>
      <c r="S133" s="793"/>
      <c r="T133" s="760"/>
      <c r="U133" s="794" cm="1">
        <f t="array" aca="1" ref="U133" ca="1">INDIRECT("'※ 재무_세부시트'!"&amp;U$1&amp;$V133, TRUE)</f>
        <v>-0.33974967000000067</v>
      </c>
      <c r="V133" s="581">
        <v>174</v>
      </c>
      <c r="W133" s="581"/>
      <c r="X133" s="591"/>
      <c r="Y133" s="591"/>
    </row>
    <row r="134" spans="1:25" ht="17.25" customHeight="1" x14ac:dyDescent="0.55000000000000004">
      <c r="A134" s="784"/>
      <c r="B134" s="594"/>
      <c r="C134" s="786"/>
      <c r="D134" s="786" t="s">
        <v>7</v>
      </c>
      <c r="E134" s="786"/>
      <c r="F134" s="6857" cm="1">
        <f t="array" aca="1" ref="F134" ca="1">INDIRECT("'※ 재무_세부시트'!"&amp;F$1&amp;$V134, TRUE)</f>
        <v>8.6107180999999997</v>
      </c>
      <c r="G134" s="6857" cm="1">
        <f t="array" aca="1" ref="G134" ca="1">INDIRECT("'※ 재무_세부시트'!"&amp;G$1&amp;$V134, TRUE)</f>
        <v>1.3639999999999999E-2</v>
      </c>
      <c r="H134" s="4294" cm="1">
        <f t="array" aca="1" ref="H134" ca="1">INDIRECT("'※ 재무_세부시트'!"&amp;H$1&amp;$V134, TRUE)</f>
        <v>0.19320789999999999</v>
      </c>
      <c r="I134" s="4294" cm="1">
        <f t="array" aca="1" ref="I134" ca="1">INDIRECT("'※ 재무_세부시트'!"&amp;I$1&amp;$V134, TRUE)</f>
        <v>0.51581509999999997</v>
      </c>
      <c r="J134" s="4294" cm="1">
        <f t="array" aca="1" ref="J134" ca="1">INDIRECT("'※ 재무_세부시트'!"&amp;J$1&amp;$V134, TRUE)</f>
        <v>0.58701210000000004</v>
      </c>
      <c r="K134" s="4294" cm="1">
        <f t="array" aca="1" ref="K134" ca="1">INDIRECT("'※ 재무_세부시트'!"&amp;K$1&amp;$V134, TRUE)</f>
        <v>0.58475299999999997</v>
      </c>
      <c r="L134" s="4294" cm="1">
        <f t="array" aca="1" ref="L134" ca="1">INDIRECT("'※ 재무_세부시트'!"&amp;L$1&amp;$V134, TRUE)</f>
        <v>1.1087750000000001</v>
      </c>
      <c r="M134" s="6787" cm="1">
        <f t="array" aca="1" ref="M134" ca="1">INDIRECT("'※ 재무_세부시트'!"&amp;M$1&amp;$V134, TRUE)</f>
        <v>1.47147725</v>
      </c>
      <c r="N134" s="6857" cm="1">
        <f t="array" aca="1" ref="N134" ca="1">INDIRECT("'※ 재무_세부시트'!"&amp;N$1&amp;$V134, TRUE)</f>
        <v>0.76923260000000004</v>
      </c>
      <c r="O134" s="4294" cm="1">
        <f t="array" aca="1" ref="O134" ca="1">INDIRECT("'※ 재무_세부시트'!"&amp;O$1&amp;$V134, TRUE)</f>
        <v>0.70224465000000003</v>
      </c>
      <c r="P134" s="6812" cm="1">
        <f t="array" aca="1" ref="P134" ca="1">INDIRECT("'※ 재무_세부시트'!"&amp;P$1&amp;$V134, TRUE)</f>
        <v>-6.6987950000000018E-2</v>
      </c>
      <c r="Q134" s="6812" cm="1">
        <f t="array" aca="1" ref="Q134" ca="1">INDIRECT("'※ 재무_세부시트'!"&amp;Q$1&amp;$V134, TRUE)</f>
        <v>0.50903675000000004</v>
      </c>
      <c r="R134" s="792" cm="1">
        <f t="array" aca="1" ref="R134" ca="1">INDIRECT("'※ 재무_세부시트'!"&amp;R$1&amp;$V134, TRUE)</f>
        <v>1.47147725</v>
      </c>
      <c r="S134" s="793"/>
      <c r="T134" s="760"/>
      <c r="U134" s="794" cm="1">
        <f t="array" aca="1" ref="U134" ca="1">INDIRECT("'※ 재무_세부시트'!"&amp;U$1&amp;$V134, TRUE)</f>
        <v>1.2646293499999999</v>
      </c>
      <c r="V134" s="581">
        <v>175</v>
      </c>
      <c r="W134" s="581"/>
      <c r="X134" s="591"/>
      <c r="Y134" s="591"/>
    </row>
    <row r="135" spans="1:25" ht="17.25" customHeight="1" x14ac:dyDescent="0.55000000000000004">
      <c r="A135" s="784"/>
      <c r="B135" s="785"/>
      <c r="C135" s="823" t="s">
        <v>1228</v>
      </c>
      <c r="D135" s="803"/>
      <c r="E135" s="803"/>
      <c r="F135" s="6678" cm="1">
        <f t="array" aca="1" ref="F135" ca="1">INDIRECT("'※ 재무_세부시트'!"&amp;F$1&amp;$V135, TRUE)</f>
        <v>205.56075399768147</v>
      </c>
      <c r="G135" s="6678" cm="1">
        <f t="array" aca="1" ref="G135" ca="1">INDIRECT("'※ 재무_세부시트'!"&amp;G$1&amp;$V135, TRUE)</f>
        <v>11.377763601318172</v>
      </c>
      <c r="H135" s="4345" cm="1">
        <f t="array" aca="1" ref="H135" ca="1">INDIRECT("'※ 재무_세부시트'!"&amp;H$1&amp;$V135, TRUE)</f>
        <v>13.780593567009841</v>
      </c>
      <c r="I135" s="4345" cm="1">
        <f t="array" aca="1" ref="I135" ca="1">INDIRECT("'※ 재무_세부시트'!"&amp;I$1&amp;$V135, TRUE)</f>
        <v>15.589123468975725</v>
      </c>
      <c r="J135" s="4345" cm="1">
        <f t="array" aca="1" ref="J135" ca="1">INDIRECT("'※ 재무_세부시트'!"&amp;J$1&amp;$V135, TRUE)</f>
        <v>17.191636120390093</v>
      </c>
      <c r="K135" s="4345" cm="1">
        <f t="array" aca="1" ref="K135" ca="1">INDIRECT("'※ 재무_세부시트'!"&amp;K$1&amp;$V135, TRUE)</f>
        <v>18.368781856617865</v>
      </c>
      <c r="L135" s="4345" cm="1">
        <f t="array" aca="1" ref="L135" ca="1">INDIRECT("'※ 재무_세부시트'!"&amp;L$1&amp;$V135, TRUE)</f>
        <v>16.912273720323007</v>
      </c>
      <c r="M135" s="6788" cm="1">
        <f t="array" aca="1" ref="M135" ca="1">INDIRECT("'※ 재무_세부시트'!"&amp;M$1&amp;$V135, TRUE)</f>
        <v>22.480159317549298</v>
      </c>
      <c r="N135" s="6678" cm="1">
        <f t="array" aca="1" ref="N135" ca="1">INDIRECT("'※ 재무_세부시트'!"&amp;N$1&amp;$V135, TRUE)</f>
        <v>11.57347652002934</v>
      </c>
      <c r="O135" s="4345" cm="1">
        <f t="array" aca="1" ref="O135" ca="1">INDIRECT("'※ 재무_세부시트'!"&amp;O$1&amp;$V135, TRUE)</f>
        <v>10.906682797519958</v>
      </c>
      <c r="P135" s="6813" cm="1">
        <f t="array" aca="1" ref="P135" ca="1">INDIRECT("'※ 재무_세부시트'!"&amp;P$1&amp;$V135, TRUE)</f>
        <v>-0.66679372250938229</v>
      </c>
      <c r="Q135" s="6813" cm="1">
        <f t="array" aca="1" ref="Q135" ca="1">INDIRECT("'※ 재무_세부시트'!"&amp;Q$1&amp;$V135, TRUE)</f>
        <v>-2.8739107694898838</v>
      </c>
      <c r="R135" s="806" cm="1">
        <f t="array" aca="1" ref="R135" ca="1">INDIRECT("'※ 재무_세부시트'!"&amp;R$1&amp;$V135, TRUE)</f>
        <v>22.480159317549298</v>
      </c>
      <c r="S135" s="793"/>
      <c r="T135" s="760"/>
      <c r="U135" s="835" cm="1">
        <f t="array" aca="1" ref="U135" ca="1">INDIRECT("'※ 재무_세부시트'!"&amp;U$1&amp;$V135, TRUE)</f>
        <v>-2.6781978507787159</v>
      </c>
      <c r="V135" s="581">
        <v>176</v>
      </c>
      <c r="W135" s="581"/>
      <c r="X135" s="591"/>
      <c r="Y135" s="591"/>
    </row>
    <row r="136" spans="1:25" ht="17.25" customHeight="1" x14ac:dyDescent="0.55000000000000004">
      <c r="A136" s="784"/>
      <c r="B136" s="594"/>
      <c r="C136" s="803"/>
      <c r="D136" s="803" t="s">
        <v>41</v>
      </c>
      <c r="E136" s="803"/>
      <c r="F136" s="6678" cm="1">
        <f t="array" aca="1" ref="F136" ca="1">INDIRECT("'※ 재무_세부시트'!"&amp;F$1&amp;$V136, TRUE)</f>
        <v>17.346283410000002</v>
      </c>
      <c r="G136" s="6678" cm="1">
        <f t="array" aca="1" ref="G136" ca="1">INDIRECT("'※ 재무_세부시트'!"&amp;G$1&amp;$V136, TRUE)</f>
        <v>0.71640910000000002</v>
      </c>
      <c r="H136" s="4345" cm="1">
        <f t="array" aca="1" ref="H136" ca="1">INDIRECT("'※ 재무_세부시트'!"&amp;H$1&amp;$V136, TRUE)</f>
        <v>3.86542545</v>
      </c>
      <c r="I136" s="4345" cm="1">
        <f t="array" aca="1" ref="I136" ca="1">INDIRECT("'※ 재무_세부시트'!"&amp;I$1&amp;$V136, TRUE)</f>
        <v>0.82601363999999999</v>
      </c>
      <c r="J136" s="4345" cm="1">
        <f t="array" aca="1" ref="J136" ca="1">INDIRECT("'※ 재무_세부시트'!"&amp;J$1&amp;$V136, TRUE)</f>
        <v>0.90711724999999999</v>
      </c>
      <c r="K136" s="4345" cm="1">
        <f t="array" aca="1" ref="K136" ca="1">INDIRECT("'※ 재무_세부시트'!"&amp;K$1&amp;$V136, TRUE)</f>
        <v>1.2053418199999999</v>
      </c>
      <c r="L136" s="4345" cm="1">
        <f t="array" aca="1" ref="L136" ca="1">INDIRECT("'※ 재무_세부시트'!"&amp;L$1&amp;$V136, TRUE)</f>
        <v>0.59914451000000002</v>
      </c>
      <c r="M136" s="6788" cm="1">
        <f t="array" aca="1" ref="M136" ca="1">INDIRECT("'※ 재무_세부시트'!"&amp;M$1&amp;$V136, TRUE)</f>
        <v>1.75970187</v>
      </c>
      <c r="N136" s="6678" cm="1">
        <f t="array" aca="1" ref="N136" ca="1">INDIRECT("'※ 재무_세부시트'!"&amp;N$1&amp;$V136, TRUE)</f>
        <v>1.3119873200000001</v>
      </c>
      <c r="O136" s="4345" cm="1">
        <f t="array" aca="1" ref="O136" ca="1">INDIRECT("'※ 재무_세부시트'!"&amp;O$1&amp;$V136, TRUE)</f>
        <v>0.44771454999999999</v>
      </c>
      <c r="P136" s="6813" cm="1">
        <f t="array" aca="1" ref="P136" ca="1">INDIRECT("'※ 재무_세부시트'!"&amp;P$1&amp;$V136, TRUE)</f>
        <v>-0.86427277000000013</v>
      </c>
      <c r="Q136" s="6813" cm="1">
        <f t="array" aca="1" ref="Q136" ca="1">INDIRECT("'※ 재무_세부시트'!"&amp;Q$1&amp;$V136, TRUE)</f>
        <v>-3.4177108999999999</v>
      </c>
      <c r="R136" s="806" cm="1">
        <f t="array" aca="1" ref="R136" ca="1">INDIRECT("'※ 재무_세부시트'!"&amp;R$1&amp;$V136, TRUE)</f>
        <v>1.75970187</v>
      </c>
      <c r="S136" s="793"/>
      <c r="T136" s="760"/>
      <c r="U136" s="835" cm="1">
        <f t="array" aca="1" ref="U136" ca="1">INDIRECT("'※ 재무_세부시트'!"&amp;U$1&amp;$V136, TRUE)</f>
        <v>-2.8221326800000002</v>
      </c>
      <c r="V136" s="581">
        <v>177</v>
      </c>
      <c r="W136" s="581"/>
      <c r="X136" s="591"/>
      <c r="Y136" s="591"/>
    </row>
    <row r="137" spans="1:25" ht="17.25" customHeight="1" x14ac:dyDescent="0.55000000000000004">
      <c r="A137" s="784"/>
      <c r="B137" s="594"/>
      <c r="C137" s="803"/>
      <c r="D137" s="803" t="s">
        <v>13</v>
      </c>
      <c r="E137" s="803"/>
      <c r="F137" s="6678" cm="1">
        <f t="array" aca="1" ref="F137" ca="1">INDIRECT("'※ 재무_세부시트'!"&amp;F$1&amp;$V137, TRUE)</f>
        <v>96.607467327530046</v>
      </c>
      <c r="G137" s="6678" cm="1">
        <f t="array" aca="1" ref="G137" ca="1">INDIRECT("'※ 재무_세부시트'!"&amp;G$1&amp;$V137, TRUE)</f>
        <v>7.3742112366550181</v>
      </c>
      <c r="H137" s="4345" cm="1">
        <f t="array" aca="1" ref="H137" ca="1">INDIRECT("'※ 재무_세부시트'!"&amp;H$1&amp;$V137, TRUE)</f>
        <v>6.1842758501032948</v>
      </c>
      <c r="I137" s="4345" cm="1">
        <f t="array" aca="1" ref="I137" ca="1">INDIRECT("'※ 재무_세부시트'!"&amp;I$1&amp;$V137, TRUE)</f>
        <v>8.633835737464036</v>
      </c>
      <c r="J137" s="4345" cm="1">
        <f t="array" aca="1" ref="J137" ca="1">INDIRECT("'※ 재무_세부시트'!"&amp;J$1&amp;$V137, TRUE)</f>
        <v>8.7132750325769859</v>
      </c>
      <c r="K137" s="4345" cm="1">
        <f t="array" aca="1" ref="K137" ca="1">INDIRECT("'※ 재무_세부시트'!"&amp;K$1&amp;$V137, TRUE)</f>
        <v>8.1466078764875434</v>
      </c>
      <c r="L137" s="4345" cm="1">
        <f t="array" aca="1" ref="L137" ca="1">INDIRECT("'※ 재무_세부시트'!"&amp;L$1&amp;$V137, TRUE)</f>
        <v>8.6000436793512218</v>
      </c>
      <c r="M137" s="6788" cm="1">
        <f t="array" aca="1" ref="M137" ca="1">INDIRECT("'※ 재무_세부시트'!"&amp;M$1&amp;$V137, TRUE)</f>
        <v>9.7810325783297998</v>
      </c>
      <c r="N137" s="6678" cm="1">
        <f t="array" aca="1" ref="N137" ca="1">INDIRECT("'※ 재무_세부시트'!"&amp;N$1&amp;$V137, TRUE)</f>
        <v>5.5954829345004358</v>
      </c>
      <c r="O137" s="4345" cm="1">
        <f t="array" aca="1" ref="O137" ca="1">INDIRECT("'※ 재무_세부시트'!"&amp;O$1&amp;$V137, TRUE)</f>
        <v>4.185549643829364</v>
      </c>
      <c r="P137" s="6813" cm="1">
        <f t="array" aca="1" ref="P137" ca="1">INDIRECT("'※ 재무_세부시트'!"&amp;P$1&amp;$V137, TRUE)</f>
        <v>-1.4099332906710718</v>
      </c>
      <c r="Q137" s="6813" cm="1">
        <f t="array" aca="1" ref="Q137" ca="1">INDIRECT("'※ 재무_세부시트'!"&amp;Q$1&amp;$V137, TRUE)</f>
        <v>-1.9987262062739308</v>
      </c>
      <c r="R137" s="806" cm="1">
        <f t="array" aca="1" ref="R137" ca="1">INDIRECT("'※ 재무_세부시트'!"&amp;R$1&amp;$V137, TRUE)</f>
        <v>9.7810325783297998</v>
      </c>
      <c r="S137" s="793"/>
      <c r="T137" s="760"/>
      <c r="U137" s="807" cm="1">
        <f t="array" aca="1" ref="U137" ca="1">INDIRECT("'※ 재무_세부시트'!"&amp;U$1&amp;$V137, TRUE)</f>
        <v>-3.7774545084285123</v>
      </c>
      <c r="V137" s="581">
        <v>178</v>
      </c>
      <c r="W137" s="581"/>
      <c r="X137" s="591"/>
      <c r="Y137" s="591"/>
    </row>
    <row r="138" spans="1:25" ht="17.25" customHeight="1" x14ac:dyDescent="0.55000000000000004">
      <c r="A138" s="784"/>
      <c r="B138" s="594"/>
      <c r="C138" s="803"/>
      <c r="D138" s="803" t="s">
        <v>42</v>
      </c>
      <c r="E138" s="803"/>
      <c r="F138" s="6678" cm="1">
        <f t="array" aca="1" ref="F138" ca="1">INDIRECT("'※ 재무_세부시트'!"&amp;F$1&amp;$V138, TRUE)</f>
        <v>79.52933419</v>
      </c>
      <c r="G138" s="6678" cm="1">
        <f t="array" aca="1" ref="G138" ca="1">INDIRECT("'※ 재무_세부시트'!"&amp;G$1&amp;$V138, TRUE)</f>
        <v>2.6425338200000001</v>
      </c>
      <c r="H138" s="4345" cm="1">
        <f t="array" aca="1" ref="H138" ca="1">INDIRECT("'※ 재무_세부시트'!"&amp;H$1&amp;$V138, TRUE)</f>
        <v>2.6303095500000002</v>
      </c>
      <c r="I138" s="4345" cm="1">
        <f t="array" aca="1" ref="I138" ca="1">INDIRECT("'※ 재무_세부시트'!"&amp;I$1&amp;$V138, TRUE)</f>
        <v>4.6336322699999997</v>
      </c>
      <c r="J138" s="4345" cm="1">
        <f t="array" aca="1" ref="J138" ca="1">INDIRECT("'※ 재무_세부시트'!"&amp;J$1&amp;$V138, TRUE)</f>
        <v>6.5126472</v>
      </c>
      <c r="K138" s="4345" cm="1">
        <f t="array" aca="1" ref="K138" ca="1">INDIRECT("'※ 재무_세부시트'!"&amp;K$1&amp;$V138, TRUE)</f>
        <v>7.9611752999999998</v>
      </c>
      <c r="L138" s="4345" cm="1">
        <f t="array" aca="1" ref="L138" ca="1">INDIRECT("'※ 재무_세부시트'!"&amp;L$1&amp;$V138, TRUE)</f>
        <v>6.6979291500000002</v>
      </c>
      <c r="M138" s="6788" cm="1">
        <f t="array" aca="1" ref="M138" ca="1">INDIRECT("'※ 재무_세부시트'!"&amp;M$1&amp;$V138, TRUE)</f>
        <v>9.2946305299999992</v>
      </c>
      <c r="N138" s="6678" cm="1">
        <f t="array" aca="1" ref="N138" ca="1">INDIRECT("'※ 재무_세부시트'!"&amp;N$1&amp;$V138, TRUE)</f>
        <v>3.80605372</v>
      </c>
      <c r="O138" s="4345" cm="1">
        <f t="array" aca="1" ref="O138" ca="1">INDIRECT("'※ 재무_세부시트'!"&amp;O$1&amp;$V138, TRUE)</f>
        <v>5.4885768099999996</v>
      </c>
      <c r="P138" s="6813" cm="1">
        <f t="array" aca="1" ref="P138" ca="1">INDIRECT("'※ 재무_세부시트'!"&amp;P$1&amp;$V138, TRUE)</f>
        <v>1.6825230899999997</v>
      </c>
      <c r="Q138" s="6813" cm="1">
        <f t="array" aca="1" ref="Q138" ca="1">INDIRECT("'※ 재무_세부시트'!"&amp;Q$1&amp;$V138, TRUE)</f>
        <v>2.8582672599999994</v>
      </c>
      <c r="R138" s="806" cm="1">
        <f t="array" aca="1" ref="R138" ca="1">INDIRECT("'※ 재무_세부시트'!"&amp;R$1&amp;$V138, TRUE)</f>
        <v>9.2946305299999992</v>
      </c>
      <c r="S138" s="793"/>
      <c r="T138" s="760"/>
      <c r="U138" s="807" cm="1">
        <f t="array" aca="1" ref="U138" ca="1">INDIRECT("'※ 재무_세부시트'!"&amp;U$1&amp;$V138, TRUE)</f>
        <v>4.0217871599999988</v>
      </c>
      <c r="V138" s="581">
        <v>179</v>
      </c>
      <c r="W138" s="581"/>
      <c r="X138" s="591"/>
      <c r="Y138" s="591"/>
    </row>
    <row r="139" spans="1:25" ht="17.25" customHeight="1" x14ac:dyDescent="0.55000000000000004">
      <c r="A139" s="784"/>
      <c r="B139" s="594"/>
      <c r="C139" s="803"/>
      <c r="D139" s="803" t="s">
        <v>14</v>
      </c>
      <c r="E139" s="803"/>
      <c r="F139" s="6678" cm="1">
        <f t="array" aca="1" ref="F139" ca="1">INDIRECT("'※ 재무_세부시트'!"&amp;F$1&amp;$V139, TRUE)</f>
        <v>3.2396011253505792</v>
      </c>
      <c r="G139" s="6678" cm="1">
        <f t="array" aca="1" ref="G139" ca="1">INDIRECT("'※ 재무_세부시트'!"&amp;G$1&amp;$V139, TRUE)</f>
        <v>7.5349150000000004E-2</v>
      </c>
      <c r="H139" s="4345" cm="1">
        <f t="array" aca="1" ref="H139" ca="1">INDIRECT("'※ 재무_세부시트'!"&amp;H$1&amp;$V139, TRUE)</f>
        <v>0.37832009</v>
      </c>
      <c r="I139" s="4345" cm="1">
        <f t="array" aca="1" ref="I139" ca="1">INDIRECT("'※ 재무_세부시트'!"&amp;I$1&amp;$V139, TRUE)</f>
        <v>0.55641194999999999</v>
      </c>
      <c r="J139" s="4345" cm="1">
        <f t="array" aca="1" ref="J139" ca="1">INDIRECT("'※ 재무_세부시트'!"&amp;J$1&amp;$V139, TRUE)</f>
        <v>0.23169349</v>
      </c>
      <c r="K139" s="4345" cm="1">
        <f t="array" aca="1" ref="K139" ca="1">INDIRECT("'※ 재무_세부시트'!"&amp;K$1&amp;$V139, TRUE)</f>
        <v>0.25822068999999997</v>
      </c>
      <c r="L139" s="4345" cm="1">
        <f t="array" aca="1" ref="L139" ca="1">INDIRECT("'※ 재무_세부시트'!"&amp;L$1&amp;$V139, TRUE)</f>
        <v>0.27509021</v>
      </c>
      <c r="M139" s="6788" cm="1">
        <f t="array" aca="1" ref="M139" ca="1">INDIRECT("'※ 재무_세부시트'!"&amp;M$1&amp;$V139, TRUE)</f>
        <v>0.56758942589835948</v>
      </c>
      <c r="N139" s="6678" cm="1">
        <f t="array" aca="1" ref="N139" ca="1">INDIRECT("'※ 재무_세부시트'!"&amp;N$1&amp;$V139, TRUE)</f>
        <v>0.27421225507088681</v>
      </c>
      <c r="O139" s="4345" cm="1">
        <f t="array" aca="1" ref="O139" ca="1">INDIRECT("'※ 재무_세부시트'!"&amp;O$1&amp;$V139, TRUE)</f>
        <v>0.29337717082747267</v>
      </c>
      <c r="P139" s="6813" cm="1">
        <f t="array" aca="1" ref="P139" ca="1">INDIRECT("'※ 재무_세부시트'!"&amp;P$1&amp;$V139, TRUE)</f>
        <v>1.9164915756585854E-2</v>
      </c>
      <c r="Q139" s="6813" cm="1">
        <f t="array" aca="1" ref="Q139" ca="1">INDIRECT("'※ 재무_세부시트'!"&amp;Q$1&amp;$V139, TRUE)</f>
        <v>-8.4942919172527331E-2</v>
      </c>
      <c r="R139" s="806" cm="1">
        <f t="array" aca="1" ref="R139" ca="1">INDIRECT("'※ 재무_세부시트'!"&amp;R$1&amp;$V139, TRUE)</f>
        <v>0.56758942589835948</v>
      </c>
      <c r="S139" s="793"/>
      <c r="T139" s="760"/>
      <c r="U139" s="807" cm="1">
        <f t="array" aca="1" ref="U139" ca="1">INDIRECT("'※ 재무_세부시트'!"&amp;U$1&amp;$V139, TRUE)</f>
        <v>0.11392018589835951</v>
      </c>
      <c r="V139" s="581">
        <v>180</v>
      </c>
      <c r="W139" s="581"/>
      <c r="X139" s="591"/>
      <c r="Y139" s="591"/>
    </row>
    <row r="140" spans="1:25" ht="17.25" customHeight="1" x14ac:dyDescent="0.55000000000000004">
      <c r="A140" s="784"/>
      <c r="B140" s="594"/>
      <c r="C140" s="803"/>
      <c r="D140" s="803" t="s">
        <v>16</v>
      </c>
      <c r="E140" s="803"/>
      <c r="F140" s="6678" cm="1">
        <f t="array" aca="1" ref="F140" ca="1">INDIRECT("'※ 재무_세부시트'!"&amp;F$1&amp;$V140, TRUE)</f>
        <v>8.8380679448008372</v>
      </c>
      <c r="G140" s="6678" cm="1">
        <f t="array" aca="1" ref="G140" ca="1">INDIRECT("'※ 재무_세부시트'!"&amp;G$1&amp;$V140, TRUE)</f>
        <v>0.56926029466315398</v>
      </c>
      <c r="H140" s="4345" cm="1">
        <f t="array" aca="1" ref="H140" ca="1">INDIRECT("'※ 재무_세부시트'!"&amp;H$1&amp;$V140, TRUE)</f>
        <v>0.72226262690654608</v>
      </c>
      <c r="I140" s="4345" cm="1">
        <f t="array" aca="1" ref="I140" ca="1">INDIRECT("'※ 재무_세부시트'!"&amp;I$1&amp;$V140, TRUE)</f>
        <v>0.93922987151169135</v>
      </c>
      <c r="J140" s="4345" cm="1">
        <f t="array" aca="1" ref="J140" ca="1">INDIRECT("'※ 재무_세부시트'!"&amp;J$1&amp;$V140, TRUE)</f>
        <v>0.82690314781310681</v>
      </c>
      <c r="K140" s="4345" cm="1">
        <f t="array" aca="1" ref="K140" ca="1">INDIRECT("'※ 재무_세부시트'!"&amp;K$1&amp;$V140, TRUE)</f>
        <v>0.7974361701303232</v>
      </c>
      <c r="L140" s="4345" cm="1">
        <f t="array" aca="1" ref="L140" ca="1">INDIRECT("'※ 재무_세부시트'!"&amp;L$1&amp;$V140, TRUE)</f>
        <v>0.7400661709717874</v>
      </c>
      <c r="M140" s="6788" cm="1">
        <f t="array" aca="1" ref="M140" ca="1">INDIRECT("'※ 재무_세부시트'!"&amp;M$1&amp;$V140, TRUE)</f>
        <v>1.0772049133211379</v>
      </c>
      <c r="N140" s="6678" cm="1">
        <f t="array" aca="1" ref="N140" ca="1">INDIRECT("'※ 재무_세부시트'!"&amp;N$1&amp;$V140, TRUE)</f>
        <v>0.58574029045801679</v>
      </c>
      <c r="O140" s="4345" cm="1">
        <f t="array" aca="1" ref="O140" ca="1">INDIRECT("'※ 재무_세부시트'!"&amp;O$1&amp;$V140, TRUE)</f>
        <v>0.4914646228631212</v>
      </c>
      <c r="P140" s="6813" cm="1">
        <f t="array" aca="1" ref="P140" ca="1">INDIRECT("'※ 재무_세부시트'!"&amp;P$1&amp;$V140, TRUE)</f>
        <v>-9.4275667594895585E-2</v>
      </c>
      <c r="Q140" s="6813" cm="1">
        <f t="array" aca="1" ref="Q140" ca="1">INDIRECT("'※ 재무_세부시트'!"&amp;Q$1&amp;$V140, TRUE)</f>
        <v>-0.23079800404342488</v>
      </c>
      <c r="R140" s="806" cm="1">
        <f t="array" aca="1" ref="R140" ca="1">INDIRECT("'※ 재무_세부시트'!"&amp;R$1&amp;$V140, TRUE)</f>
        <v>1.0772049133211379</v>
      </c>
      <c r="S140" s="793"/>
      <c r="T140" s="760"/>
      <c r="U140" s="807" cm="1">
        <f t="array" aca="1" ref="U140" ca="1">INDIRECT("'※ 재무_세부시트'!"&amp;U$1&amp;$V140, TRUE)</f>
        <v>-0.21431800824856229</v>
      </c>
      <c r="V140" s="581">
        <v>181</v>
      </c>
      <c r="W140" s="581"/>
      <c r="X140" s="591"/>
      <c r="Y140" s="591"/>
    </row>
    <row r="141" spans="1:25" ht="17.25" customHeight="1" x14ac:dyDescent="0.55000000000000004">
      <c r="A141" s="784"/>
      <c r="B141" s="594"/>
      <c r="C141" s="812" t="s">
        <v>17</v>
      </c>
      <c r="D141" s="813"/>
      <c r="E141" s="813"/>
      <c r="F141" s="6858" cm="1">
        <f t="array" aca="1" ref="F141" ca="1">INDIRECT("'※ 재무_세부시트'!"&amp;F$1&amp;$V141, TRUE)</f>
        <v>-48.095125997692513</v>
      </c>
      <c r="G141" s="6858" cm="1">
        <f t="array" aca="1" ref="G141" ca="1">INDIRECT("'※ 재무_세부시트'!"&amp;G$1&amp;$V141, TRUE)</f>
        <v>-4.1804479461800605</v>
      </c>
      <c r="H141" s="6677" cm="1">
        <f t="array" aca="1" ref="H141" ca="1">INDIRECT("'※ 재무_세부시트'!"&amp;H$1&amp;$V141, TRUE)</f>
        <v>-1.6603434504098429</v>
      </c>
      <c r="I141" s="6677" cm="1">
        <f t="array" aca="1" ref="I141" ca="1">INDIRECT("'※ 재무_세부시트'!"&amp;I$1&amp;$V141, TRUE)</f>
        <v>-3.0069197009757249</v>
      </c>
      <c r="J141" s="6677" cm="1">
        <f t="array" aca="1" ref="J141" ca="1">INDIRECT("'※ 재무_세부시트'!"&amp;J$1&amp;$V141, TRUE)</f>
        <v>-5.7874243047900924</v>
      </c>
      <c r="K141" s="6677" cm="1">
        <f t="array" aca="1" ref="K141" ca="1">INDIRECT("'※ 재무_세부시트'!"&amp;K$1&amp;$V141, TRUE)</f>
        <v>-5.7833196762178662</v>
      </c>
      <c r="L141" s="6677" cm="1">
        <f t="array" aca="1" ref="L141" ca="1">INDIRECT("'※ 재무_세부시트'!"&amp;L$1&amp;$V141, TRUE)</f>
        <v>-2.630973999323007</v>
      </c>
      <c r="M141" s="6789" cm="1">
        <f t="array" aca="1" ref="M141" ca="1">INDIRECT("'※ 재무_세부시트'!"&amp;M$1&amp;$V141, TRUE)</f>
        <v>-2.1272988354404658</v>
      </c>
      <c r="N141" s="6858" cm="1">
        <f t="array" aca="1" ref="N141" ca="1">INDIRECT("'※ 재무_세부시트'!"&amp;N$1&amp;$V141, TRUE)</f>
        <v>0.42095081383986865</v>
      </c>
      <c r="O141" s="6677" cm="1">
        <f t="array" aca="1" ref="O141" ca="1">INDIRECT("'※ 재무_세부시트'!"&amp;O$1&amp;$V141, TRUE)</f>
        <v>-2.5482496492803346</v>
      </c>
      <c r="P141" s="6814" cm="1">
        <f t="array" aca="1" ref="P141" ca="1">INDIRECT("'※ 재무_세부시트'!"&amp;P$1&amp;$V141, TRUE)</f>
        <v>-2.9692004631202034</v>
      </c>
      <c r="Q141" s="6814" cm="1">
        <f t="array" aca="1" ref="Q141" ca="1">INDIRECT("'※ 재무_세부시트'!"&amp;Q$1&amp;$V141, TRUE)</f>
        <v>-0.88790619887049171</v>
      </c>
      <c r="R141" s="815" cm="1">
        <f t="array" aca="1" ref="R141" ca="1">INDIRECT("'※ 재무_세부시트'!"&amp;R$1&amp;$V141, TRUE)</f>
        <v>-2.1272988354404658</v>
      </c>
      <c r="S141" s="793"/>
      <c r="T141" s="760"/>
      <c r="U141" s="816" cm="1">
        <f t="array" aca="1" ref="U141" ca="1">INDIRECT("'※ 재무_세부시트'!"&amp;U$1&amp;$V141, TRUE)</f>
        <v>3.7134925611494376</v>
      </c>
      <c r="V141" s="581">
        <v>182</v>
      </c>
      <c r="W141" s="581"/>
      <c r="X141" s="591"/>
      <c r="Y141" s="591"/>
    </row>
    <row r="142" spans="1:25" ht="17.25" customHeight="1" thickBot="1" x14ac:dyDescent="0.6">
      <c r="A142" s="837"/>
      <c r="B142" s="838"/>
      <c r="C142" s="838"/>
      <c r="D142" s="838" t="s">
        <v>600</v>
      </c>
      <c r="E142" s="838"/>
      <c r="F142" s="6853" cm="1">
        <f t="array" aca="1" ref="F142" ca="1">INDIRECT("'※ 재무_세부시트'!"&amp;F$1&amp;$V142, TRUE)</f>
        <v>5.4465678400110535</v>
      </c>
      <c r="G142" s="6853" cm="1">
        <f t="array" aca="1" ref="G142" ca="1">INDIRECT("'※ 재무_세부시트'!"&amp;G$1&amp;$V142, TRUE)</f>
        <v>-9.8613445138111364E-2</v>
      </c>
      <c r="H142" s="6854" cm="1">
        <f t="array" aca="1" ref="H142" ca="1">INDIRECT("'※ 재무_세부시트'!"&amp;H$1&amp;$V142, TRUE)</f>
        <v>0.9510991534000004</v>
      </c>
      <c r="I142" s="6854" cm="1">
        <f t="array" aca="1" ref="I142" ca="1">INDIRECT("'※ 재무_세부시트'!"&amp;I$1&amp;$V142, TRUE)</f>
        <v>0.23299815200000001</v>
      </c>
      <c r="J142" s="6854" cm="1">
        <f t="array" aca="1" ref="J142" ca="1">INDIRECT("'※ 재무_세부시트'!"&amp;J$1&amp;$V142, TRUE)</f>
        <v>0.2631332944</v>
      </c>
      <c r="K142" s="6854" cm="1">
        <f t="array" aca="1" ref="K142" ca="1">INDIRECT("'※ 재무_세부시트'!"&amp;K$1&amp;$V142, TRUE)</f>
        <v>0.73208289959999995</v>
      </c>
      <c r="L142" s="6854" cm="1">
        <f t="array" aca="1" ref="L142" ca="1">INDIRECT("'※ 재무_세부시트'!"&amp;L$1&amp;$V142, TRUE)</f>
        <v>0.16844787900000002</v>
      </c>
      <c r="M142" s="6767" cm="1">
        <f t="array" aca="1" ref="M142" ca="1">INDIRECT("'※ 재무_세부시트'!"&amp;M$1&amp;$V142, TRUE)</f>
        <v>0.73549766789116766</v>
      </c>
      <c r="N142" s="6853" cm="1">
        <f t="array" aca="1" ref="N142" ca="1">INDIRECT("'※ 재무_세부시트'!"&amp;N$1&amp;$V142, TRUE)</f>
        <v>0.10308763613079033</v>
      </c>
      <c r="O142" s="6854" cm="1">
        <f t="array" aca="1" ref="O142" ca="1">INDIRECT("'※ 재무_세부시트'!"&amp;O$1&amp;$V142, TRUE)</f>
        <v>0.63241003176037736</v>
      </c>
      <c r="P142" s="6810" cm="1">
        <f t="array" aca="1" ref="P142" ca="1">INDIRECT("'※ 재무_세부시트'!"&amp;P$1&amp;$V142, TRUE)</f>
        <v>0.52932239562958705</v>
      </c>
      <c r="Q142" s="6810" cm="1">
        <f t="array" aca="1" ref="Q142" ca="1">INDIRECT("'※ 재무_세부시트'!"&amp;Q$1&amp;$V142, TRUE)</f>
        <v>-0.31868912163962304</v>
      </c>
      <c r="R142" s="776" cm="1">
        <f t="array" aca="1" ref="R142" ca="1">INDIRECT("'※ 재무_세부시트'!"&amp;R$1&amp;$V142, TRUE)</f>
        <v>0.73549766789116766</v>
      </c>
      <c r="S142" s="839"/>
      <c r="T142" s="778"/>
      <c r="U142" s="779" cm="1">
        <f t="array" aca="1" ref="U142" ca="1">INDIRECT("'※ 재무_세부시트'!"&amp;U$1&amp;$V142, TRUE)</f>
        <v>-0.11698804037072141</v>
      </c>
      <c r="V142" s="581">
        <v>183</v>
      </c>
      <c r="W142" s="581"/>
      <c r="X142" s="591"/>
      <c r="Y142" s="591"/>
    </row>
    <row r="143" spans="1:25" ht="15.45" thickTop="1" x14ac:dyDescent="0.55000000000000004"/>
  </sheetData>
  <mergeCells count="5">
    <mergeCell ref="A5:D5"/>
    <mergeCell ref="R4:U4"/>
    <mergeCell ref="A2:U2"/>
    <mergeCell ref="G4:L4"/>
    <mergeCell ref="N4:Q4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8" fitToHeight="0" orientation="landscape" r:id="rId1"/>
  <headerFooter scaleWithDoc="0">
    <oddFooter>&amp;R&amp;"-,기울임꼴"&amp;8&amp;P &amp; 페이지</oddFooter>
  </headerFooter>
  <rowBreaks count="2" manualBreakCount="2">
    <brk id="54" max="16383" man="1"/>
    <brk id="90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91CA-90EA-4353-9903-9B9E60016AB8}">
  <sheetPr codeName="Sheet2">
    <tabColor theme="7" tint="0.79998168889431442"/>
  </sheetPr>
  <dimension ref="A1:DT216"/>
  <sheetViews>
    <sheetView showGridLines="0" view="pageBreakPreview" topLeftCell="A49" zoomScale="55" zoomScaleNormal="40" zoomScaleSheetLayoutView="55" workbookViewId="0">
      <pane xSplit="5" topLeftCell="BP1" activePane="topRight" state="frozen"/>
      <selection activeCell="CK20" sqref="CK20"/>
      <selection pane="topRight" activeCell="CK20" sqref="CK20"/>
    </sheetView>
  </sheetViews>
  <sheetFormatPr defaultColWidth="9.140625" defaultRowHeight="15" outlineLevelRow="1" outlineLevelCol="4" x14ac:dyDescent="0.55000000000000004"/>
  <cols>
    <col min="1" max="1" width="9.92578125" style="559" customWidth="1"/>
    <col min="2" max="2" width="6.35546875" style="559" customWidth="1"/>
    <col min="3" max="3" width="10.85546875" style="559" customWidth="1"/>
    <col min="4" max="4" width="22" style="559" customWidth="1"/>
    <col min="5" max="5" width="34.640625" style="559" customWidth="1"/>
    <col min="6" max="17" width="11.42578125" style="559" hidden="1" customWidth="1" outlineLevel="4"/>
    <col min="18" max="29" width="11.42578125" style="559" hidden="1" customWidth="1" outlineLevel="3"/>
    <col min="30" max="41" width="11.42578125" style="559" hidden="1" customWidth="1" outlineLevel="2"/>
    <col min="42" max="42" width="11.42578125" style="594" hidden="1" customWidth="1" outlineLevel="2"/>
    <col min="43" max="64" width="9.640625" style="559" hidden="1" customWidth="1" outlineLevel="1"/>
    <col min="65" max="65" width="9.42578125" style="559" hidden="1" customWidth="1" outlineLevel="1"/>
    <col min="66" max="66" width="9.42578125" style="3686" hidden="1" customWidth="1" outlineLevel="1"/>
    <col min="67" max="67" width="9.42578125" style="559" hidden="1" customWidth="1" outlineLevel="1"/>
    <col min="68" max="68" width="9.42578125" style="559" customWidth="1" collapsed="1"/>
    <col min="69" max="69" width="9.640625" style="559" customWidth="1"/>
    <col min="70" max="70" width="9.640625" style="2775" customWidth="1"/>
    <col min="71" max="77" width="9.640625" style="559" customWidth="1"/>
    <col min="78" max="78" width="9.42578125" style="559" customWidth="1"/>
    <col min="79" max="79" width="9.42578125" style="3686" customWidth="1"/>
    <col min="80" max="81" width="9.42578125" style="559" customWidth="1"/>
    <col min="82" max="82" width="9.640625" style="559" customWidth="1"/>
    <col min="83" max="83" width="9.640625" style="2775" customWidth="1"/>
    <col min="84" max="90" width="9.640625" style="559" customWidth="1"/>
    <col min="91" max="91" width="9.42578125" style="559" customWidth="1"/>
    <col min="92" max="92" width="9.42578125" style="3686" customWidth="1"/>
    <col min="93" max="93" width="9.42578125" style="559" customWidth="1"/>
    <col min="94" max="95" width="9.640625" style="559" hidden="1" customWidth="1"/>
    <col min="96" max="98" width="9.640625" style="559" customWidth="1"/>
    <col min="99" max="99" width="9.85546875" style="559" customWidth="1"/>
    <col min="100" max="101" width="9.640625" style="559" hidden="1" customWidth="1"/>
    <col min="102" max="102" width="9.640625" style="559" customWidth="1"/>
    <col min="103" max="103" width="10.0703125" style="559" customWidth="1"/>
    <col min="104" max="104" width="15.7109375" style="559" customWidth="1"/>
    <col min="105" max="117" width="9.640625" style="559" customWidth="1"/>
    <col min="118" max="118" width="8.640625" style="559" customWidth="1"/>
    <col min="119" max="119" width="10.640625" style="559" customWidth="1"/>
    <col min="120" max="122" width="8.640625" style="559" customWidth="1"/>
    <col min="123" max="123" width="9.5" style="559" bestFit="1" customWidth="1"/>
    <col min="124" max="16384" width="9.140625" style="559"/>
  </cols>
  <sheetData>
    <row r="1" spans="1:124" x14ac:dyDescent="0.55000000000000004">
      <c r="F1" s="1150" t="s">
        <v>638</v>
      </c>
      <c r="G1" s="1150"/>
      <c r="H1" s="1150"/>
      <c r="I1" s="1150"/>
      <c r="J1" s="1150"/>
      <c r="K1" s="1150"/>
      <c r="L1" s="1150"/>
      <c r="M1" s="1150"/>
      <c r="N1" s="1150"/>
      <c r="O1" s="1150"/>
      <c r="P1" s="1150"/>
      <c r="Q1" s="1150"/>
      <c r="R1" s="1150" t="s">
        <v>638</v>
      </c>
      <c r="S1" s="1150"/>
      <c r="T1" s="1150"/>
      <c r="U1" s="1150"/>
      <c r="V1" s="1150"/>
      <c r="W1" s="1150"/>
      <c r="X1" s="1150"/>
      <c r="Y1" s="1150"/>
      <c r="Z1" s="1150"/>
      <c r="AA1" s="1150"/>
      <c r="AB1" s="1150"/>
      <c r="AC1" s="1150"/>
      <c r="AD1" s="1150"/>
      <c r="AE1" s="1150"/>
      <c r="AF1" s="1150"/>
      <c r="AG1" s="1150"/>
      <c r="AH1" s="1150"/>
      <c r="AI1" s="1150"/>
      <c r="AJ1" s="1150"/>
      <c r="AK1" s="1150"/>
      <c r="AL1" s="1150"/>
      <c r="AM1" s="1150"/>
      <c r="AN1" s="1150"/>
      <c r="AO1" s="1150"/>
      <c r="AP1" s="3685"/>
      <c r="BD1" s="1521"/>
      <c r="BE1" s="1521"/>
      <c r="BF1" s="1521"/>
      <c r="BG1" s="1521"/>
      <c r="BH1" s="1521"/>
      <c r="BI1" s="1521"/>
      <c r="BJ1" s="1521"/>
      <c r="BK1" s="1521"/>
      <c r="BL1" s="1521"/>
      <c r="BM1" s="1521"/>
      <c r="BN1" s="1521"/>
      <c r="BO1" s="1521"/>
      <c r="BP1" s="6237"/>
      <c r="BQ1" s="3687"/>
      <c r="BR1" s="3687"/>
      <c r="BS1" s="3687"/>
      <c r="BT1" s="3687"/>
      <c r="BU1" s="3687"/>
      <c r="BV1" s="3687"/>
      <c r="BW1" s="3687"/>
      <c r="BX1" s="3687"/>
      <c r="BY1" s="3687"/>
      <c r="BZ1" s="3687"/>
      <c r="CD1" s="3687"/>
      <c r="CE1" s="3687"/>
      <c r="CF1" s="3687"/>
      <c r="CG1" s="3687"/>
      <c r="CH1" s="3687"/>
      <c r="CI1" s="3687"/>
      <c r="CJ1" s="3687"/>
      <c r="CK1" s="3687"/>
      <c r="CL1" s="3687"/>
      <c r="CM1" s="3687"/>
      <c r="CR1" s="581" t="str">
        <f>SUBSTITUTE(ADDRESS(1,COLUMN(),4),"1","")</f>
        <v>CR</v>
      </c>
      <c r="CS1" s="581" t="str">
        <f t="shared" ref="CS1:CX1" si="0">SUBSTITUTE(ADDRESS(1,COLUMN(),4),"1","")</f>
        <v>CS</v>
      </c>
      <c r="CT1" s="581" t="str">
        <f t="shared" si="0"/>
        <v>CT</v>
      </c>
      <c r="CU1" s="581" t="str">
        <f t="shared" si="0"/>
        <v>CU</v>
      </c>
      <c r="CV1" s="581" t="str">
        <f t="shared" si="0"/>
        <v>CV</v>
      </c>
      <c r="CW1" s="581" t="str">
        <f t="shared" si="0"/>
        <v>CW</v>
      </c>
      <c r="CX1" s="581" t="str">
        <f t="shared" si="0"/>
        <v>CX</v>
      </c>
      <c r="DA1" s="570"/>
    </row>
    <row r="2" spans="1:124" ht="25.5" customHeight="1" thickBot="1" x14ac:dyDescent="0.6">
      <c r="A2" s="2678" t="s">
        <v>18</v>
      </c>
      <c r="E2" s="4476">
        <f>'0. 개요'!AE2</f>
        <v>46054</v>
      </c>
      <c r="F2" s="3688">
        <v>2020.01</v>
      </c>
      <c r="G2" s="3688">
        <v>2020.02</v>
      </c>
      <c r="H2" s="3688">
        <v>2020.03</v>
      </c>
      <c r="I2" s="3688">
        <v>2020.04</v>
      </c>
      <c r="J2" s="3688">
        <v>2020.05</v>
      </c>
      <c r="K2" s="3688">
        <v>2020.06</v>
      </c>
      <c r="L2" s="3688">
        <v>2020.07</v>
      </c>
      <c r="M2" s="3688">
        <v>2020.08</v>
      </c>
      <c r="N2" s="3688">
        <v>2020.09</v>
      </c>
      <c r="O2" s="3688">
        <v>2020.1</v>
      </c>
      <c r="P2" s="3688">
        <v>2020.11</v>
      </c>
      <c r="Q2" s="3688">
        <v>2020.12</v>
      </c>
      <c r="R2" s="3688">
        <v>2021.01</v>
      </c>
      <c r="S2" s="3688">
        <v>2021.02</v>
      </c>
      <c r="T2" s="3688">
        <v>2021.03</v>
      </c>
      <c r="U2" s="3688">
        <v>2021.04</v>
      </c>
      <c r="V2" s="3688">
        <v>2021.05</v>
      </c>
      <c r="W2" s="3688">
        <v>2021.06</v>
      </c>
      <c r="X2" s="3688">
        <v>2021.07</v>
      </c>
      <c r="Y2" s="3688">
        <v>2021.08</v>
      </c>
      <c r="Z2" s="3688">
        <v>2021.09</v>
      </c>
      <c r="AA2" s="3688">
        <v>2021.1</v>
      </c>
      <c r="AB2" s="3688">
        <v>2021.11</v>
      </c>
      <c r="AC2" s="3688">
        <v>2021.12</v>
      </c>
      <c r="AD2" s="3688">
        <v>2022.01</v>
      </c>
      <c r="AE2" s="3688">
        <v>2022.02</v>
      </c>
      <c r="AF2" s="3688">
        <v>2022.03</v>
      </c>
      <c r="AG2" s="3688">
        <v>2022.04</v>
      </c>
      <c r="AH2" s="3688">
        <v>2022.05</v>
      </c>
      <c r="AI2" s="3688">
        <v>2022.06</v>
      </c>
      <c r="AJ2" s="3688">
        <v>2022.07</v>
      </c>
      <c r="AK2" s="3688">
        <v>2022.08</v>
      </c>
      <c r="AL2" s="3688">
        <v>2022.09</v>
      </c>
      <c r="AM2" s="3688">
        <v>2022.1</v>
      </c>
      <c r="AN2" s="3688">
        <v>2022.11</v>
      </c>
      <c r="AO2" s="3688">
        <v>2022.12</v>
      </c>
      <c r="AP2" s="3689"/>
      <c r="AQ2" s="3688">
        <v>2023.01</v>
      </c>
      <c r="AR2" s="3688">
        <v>2023.02</v>
      </c>
      <c r="AS2" s="3688">
        <v>2023.03</v>
      </c>
      <c r="AT2" s="3688">
        <v>2023.04</v>
      </c>
      <c r="AU2" s="3688">
        <v>2023.05</v>
      </c>
      <c r="AV2" s="3688">
        <v>2023.06</v>
      </c>
      <c r="AW2" s="3688">
        <v>2023.07</v>
      </c>
      <c r="AX2" s="3688">
        <v>2023.08</v>
      </c>
      <c r="AY2" s="3688">
        <v>2023.09</v>
      </c>
      <c r="AZ2" s="3688">
        <v>2023.1</v>
      </c>
      <c r="BA2" s="3688">
        <v>2023.11</v>
      </c>
      <c r="BB2" s="3688">
        <v>2023.12</v>
      </c>
      <c r="BC2" s="3688"/>
      <c r="BD2" s="3688">
        <v>2024.01</v>
      </c>
      <c r="BE2" s="3688">
        <v>2024.02</v>
      </c>
      <c r="BF2" s="3688">
        <v>2024.03</v>
      </c>
      <c r="BG2" s="3688">
        <v>2024.04</v>
      </c>
      <c r="BH2" s="3688">
        <v>2024.05</v>
      </c>
      <c r="BI2" s="3688">
        <v>2024.06</v>
      </c>
      <c r="BJ2" s="3688">
        <v>2024.07</v>
      </c>
      <c r="BK2" s="3688">
        <v>2024.08</v>
      </c>
      <c r="BL2" s="3688">
        <v>2024.09</v>
      </c>
      <c r="BM2" s="3688">
        <v>2024.1</v>
      </c>
      <c r="BN2" s="3688">
        <v>2024.11</v>
      </c>
      <c r="BO2" s="3688">
        <v>2024.12</v>
      </c>
      <c r="BP2" s="3690"/>
      <c r="BQ2" s="4477"/>
      <c r="BR2" s="4477"/>
      <c r="BS2" s="4477"/>
      <c r="BT2" s="4477"/>
      <c r="BU2" s="4477"/>
      <c r="BV2" s="4477"/>
      <c r="BW2" s="4477"/>
      <c r="BX2" s="4477"/>
      <c r="BY2" s="4477"/>
      <c r="BZ2" s="4477"/>
      <c r="CA2" s="4477"/>
      <c r="CB2" s="4477"/>
      <c r="CC2" s="3688"/>
      <c r="CD2" s="4477"/>
      <c r="CE2" s="4477"/>
      <c r="CF2" s="4477"/>
      <c r="CG2" s="4477"/>
      <c r="CH2" s="4477"/>
      <c r="CI2" s="4477"/>
      <c r="CJ2" s="4477"/>
      <c r="CK2" s="4477"/>
      <c r="CL2" s="4477"/>
      <c r="CM2" s="4477"/>
      <c r="CN2" s="4477"/>
      <c r="CO2" s="4477"/>
      <c r="CU2" s="3691"/>
      <c r="CV2" s="3691"/>
      <c r="CW2" s="3691"/>
      <c r="CX2" s="3691"/>
      <c r="CY2" s="3691"/>
      <c r="DA2" s="3692">
        <v>1.0009999999999999</v>
      </c>
      <c r="DB2" s="3692">
        <v>2.0009999999999999</v>
      </c>
      <c r="DC2" s="3692">
        <v>3.0009999999999999</v>
      </c>
      <c r="DD2" s="3692">
        <v>4.0010000000000003</v>
      </c>
      <c r="DE2" s="3692">
        <v>5.0010000000000003</v>
      </c>
      <c r="DF2" s="3692">
        <v>6.0010000000000003</v>
      </c>
      <c r="DG2" s="3692">
        <v>7.0010000000000003</v>
      </c>
      <c r="DH2" s="3692">
        <v>8.0009999999999994</v>
      </c>
      <c r="DI2" s="3692">
        <v>9.0009999999999994</v>
      </c>
      <c r="DJ2" s="3692">
        <v>10.000999999999999</v>
      </c>
      <c r="DK2" s="3692">
        <v>11.000999999999999</v>
      </c>
      <c r="DL2" s="3692">
        <v>12.000999999999999</v>
      </c>
    </row>
    <row r="3" spans="1:124" ht="26.05" customHeight="1" thickBot="1" x14ac:dyDescent="0.6">
      <c r="A3" s="559" t="s">
        <v>4</v>
      </c>
      <c r="B3" s="567"/>
      <c r="C3" s="567"/>
      <c r="D3" s="567"/>
      <c r="E3" s="568" t="s">
        <v>602</v>
      </c>
      <c r="F3" s="3693" t="s">
        <v>639</v>
      </c>
      <c r="G3" s="3694"/>
      <c r="H3" s="3694"/>
      <c r="I3" s="3695"/>
      <c r="J3" s="3695"/>
      <c r="K3" s="3695"/>
      <c r="L3" s="3695"/>
      <c r="M3" s="3696">
        <f>M5-M7-M54</f>
        <v>20.234601349999963</v>
      </c>
      <c r="N3" s="3695"/>
      <c r="O3" s="3695"/>
      <c r="P3" s="3695"/>
      <c r="Q3" s="3697"/>
      <c r="R3" s="3698" t="s">
        <v>640</v>
      </c>
      <c r="S3" s="3699"/>
      <c r="T3" s="3699"/>
      <c r="U3" s="3699"/>
      <c r="V3" s="3699"/>
      <c r="W3" s="3699"/>
      <c r="X3" s="3699"/>
      <c r="Y3" s="3700">
        <f>Y5-Y7-Y54</f>
        <v>7.497450260000079</v>
      </c>
      <c r="Z3" s="3699"/>
      <c r="AA3" s="3699"/>
      <c r="AB3" s="3699"/>
      <c r="AC3" s="3699"/>
      <c r="AD3" s="3701" t="s">
        <v>641</v>
      </c>
      <c r="AE3" s="3702"/>
      <c r="AF3" s="3702"/>
      <c r="AG3" s="3702"/>
      <c r="AH3" s="3702"/>
      <c r="AI3" s="3702"/>
      <c r="AJ3" s="3702"/>
      <c r="AK3" s="3703">
        <f>AK5-AK7-AK54</f>
        <v>10.433726100000058</v>
      </c>
      <c r="AL3" s="3702"/>
      <c r="AM3" s="3704"/>
      <c r="AN3" s="3704"/>
      <c r="AO3" s="3704"/>
      <c r="AP3" s="3704"/>
      <c r="AQ3" s="3705" t="s">
        <v>996</v>
      </c>
      <c r="AR3" s="3706"/>
      <c r="AS3" s="3706"/>
      <c r="AT3" s="3706"/>
      <c r="AU3" s="3706"/>
      <c r="AV3" s="3706"/>
      <c r="AW3" s="3706"/>
      <c r="AX3" s="3706"/>
      <c r="AY3" s="3706"/>
      <c r="AZ3" s="3706"/>
      <c r="BA3" s="3706"/>
      <c r="BB3" s="3706"/>
      <c r="BC3" s="3707"/>
      <c r="BD3" s="3708" t="s">
        <v>997</v>
      </c>
      <c r="BE3" s="3709"/>
      <c r="BF3" s="3709"/>
      <c r="BG3" s="3709"/>
      <c r="BH3" s="3709"/>
      <c r="BI3" s="3709"/>
      <c r="BJ3" s="3709"/>
      <c r="BK3" s="3709"/>
      <c r="BL3" s="3709"/>
      <c r="BM3" s="3709"/>
      <c r="BN3" s="3709"/>
      <c r="BO3" s="3709"/>
      <c r="BP3" s="3710"/>
      <c r="BQ3" s="4470" t="s">
        <v>998</v>
      </c>
      <c r="BR3" s="4471"/>
      <c r="BS3" s="4472"/>
      <c r="BT3" s="4472"/>
      <c r="BU3" s="4472"/>
      <c r="BV3" s="4472"/>
      <c r="BW3" s="4472"/>
      <c r="BX3" s="4472"/>
      <c r="BY3" s="4472"/>
      <c r="BZ3" s="4472"/>
      <c r="CA3" s="4472"/>
      <c r="CB3" s="4472"/>
      <c r="CC3" s="4472"/>
      <c r="CD3" s="3711" t="s">
        <v>1121</v>
      </c>
      <c r="CE3" s="3712"/>
      <c r="CF3" s="3713"/>
      <c r="CG3" s="3713"/>
      <c r="CH3" s="3713"/>
      <c r="CI3" s="3713"/>
      <c r="CJ3" s="3713"/>
      <c r="CK3" s="3713"/>
      <c r="CL3" s="3713"/>
      <c r="CM3" s="3713"/>
      <c r="CN3" s="3713"/>
      <c r="CO3" s="3713"/>
      <c r="CP3" s="3713"/>
      <c r="CQ3" s="3713"/>
      <c r="CR3" s="3713"/>
      <c r="CS3" s="3713"/>
      <c r="CT3" s="3714"/>
      <c r="CU3" s="7071" t="str">
        <f>"연간누적실적(~"&amp;MONTH(E2)&amp;"월)"</f>
        <v>연간누적실적(~2월)</v>
      </c>
      <c r="CV3" s="7072"/>
      <c r="CW3" s="7072"/>
      <c r="CX3" s="7073"/>
    </row>
    <row r="4" spans="1:124" ht="16.75" customHeight="1" thickBot="1" x14ac:dyDescent="0.6">
      <c r="A4" s="7066" t="s">
        <v>124</v>
      </c>
      <c r="B4" s="7067"/>
      <c r="C4" s="7067"/>
      <c r="D4" s="7068"/>
      <c r="E4" s="3715" t="s">
        <v>125</v>
      </c>
      <c r="F4" s="3716" t="s">
        <v>642</v>
      </c>
      <c r="G4" s="3717" t="s">
        <v>643</v>
      </c>
      <c r="H4" s="3717" t="s">
        <v>644</v>
      </c>
      <c r="I4" s="3717" t="s">
        <v>645</v>
      </c>
      <c r="J4" s="3717" t="s">
        <v>646</v>
      </c>
      <c r="K4" s="3717" t="s">
        <v>647</v>
      </c>
      <c r="L4" s="3717" t="s">
        <v>648</v>
      </c>
      <c r="M4" s="3717" t="s">
        <v>649</v>
      </c>
      <c r="N4" s="3717" t="s">
        <v>650</v>
      </c>
      <c r="O4" s="3717" t="s">
        <v>651</v>
      </c>
      <c r="P4" s="3717" t="s">
        <v>652</v>
      </c>
      <c r="Q4" s="3718" t="s">
        <v>653</v>
      </c>
      <c r="R4" s="3719" t="s">
        <v>654</v>
      </c>
      <c r="S4" s="3719" t="s">
        <v>655</v>
      </c>
      <c r="T4" s="3719" t="s">
        <v>656</v>
      </c>
      <c r="U4" s="3719" t="s">
        <v>657</v>
      </c>
      <c r="V4" s="3719" t="s">
        <v>658</v>
      </c>
      <c r="W4" s="3719" t="s">
        <v>659</v>
      </c>
      <c r="X4" s="3719" t="s">
        <v>660</v>
      </c>
      <c r="Y4" s="3719" t="s">
        <v>661</v>
      </c>
      <c r="Z4" s="3719" t="s">
        <v>662</v>
      </c>
      <c r="AA4" s="3719" t="s">
        <v>663</v>
      </c>
      <c r="AB4" s="3719" t="s">
        <v>664</v>
      </c>
      <c r="AC4" s="3719" t="s">
        <v>665</v>
      </c>
      <c r="AD4" s="3720" t="s">
        <v>478</v>
      </c>
      <c r="AE4" s="3721" t="s">
        <v>364</v>
      </c>
      <c r="AF4" s="3721" t="s">
        <v>365</v>
      </c>
      <c r="AG4" s="3721" t="s">
        <v>366</v>
      </c>
      <c r="AH4" s="3721" t="s">
        <v>367</v>
      </c>
      <c r="AI4" s="3721" t="s">
        <v>368</v>
      </c>
      <c r="AJ4" s="3721" t="s">
        <v>369</v>
      </c>
      <c r="AK4" s="3721" t="s">
        <v>370</v>
      </c>
      <c r="AL4" s="3721" t="s">
        <v>371</v>
      </c>
      <c r="AM4" s="3721" t="s">
        <v>372</v>
      </c>
      <c r="AN4" s="3721" t="s">
        <v>373</v>
      </c>
      <c r="AO4" s="3721" t="s">
        <v>374</v>
      </c>
      <c r="AP4" s="3722" t="s">
        <v>565</v>
      </c>
      <c r="AQ4" s="3723" t="s">
        <v>553</v>
      </c>
      <c r="AR4" s="3724" t="s">
        <v>554</v>
      </c>
      <c r="AS4" s="3724" t="s">
        <v>555</v>
      </c>
      <c r="AT4" s="3724" t="s">
        <v>556</v>
      </c>
      <c r="AU4" s="3724" t="s">
        <v>557</v>
      </c>
      <c r="AV4" s="3724" t="s">
        <v>558</v>
      </c>
      <c r="AW4" s="3724" t="s">
        <v>559</v>
      </c>
      <c r="AX4" s="3724" t="s">
        <v>560</v>
      </c>
      <c r="AY4" s="3724" t="s">
        <v>561</v>
      </c>
      <c r="AZ4" s="3724" t="s">
        <v>562</v>
      </c>
      <c r="BA4" s="3724" t="s">
        <v>563</v>
      </c>
      <c r="BB4" s="3724" t="s">
        <v>564</v>
      </c>
      <c r="BC4" s="3725" t="s">
        <v>565</v>
      </c>
      <c r="BD4" s="3726" t="s">
        <v>2</v>
      </c>
      <c r="BE4" s="3726" t="s">
        <v>3</v>
      </c>
      <c r="BF4" s="3726" t="s">
        <v>155</v>
      </c>
      <c r="BG4" s="3726" t="s">
        <v>341</v>
      </c>
      <c r="BH4" s="3726" t="s">
        <v>342</v>
      </c>
      <c r="BI4" s="3726" t="s">
        <v>604</v>
      </c>
      <c r="BJ4" s="3726" t="s">
        <v>666</v>
      </c>
      <c r="BK4" s="3726" t="s">
        <v>667</v>
      </c>
      <c r="BL4" s="3726" t="s">
        <v>346</v>
      </c>
      <c r="BM4" s="3726" t="s">
        <v>347</v>
      </c>
      <c r="BN4" s="3727" t="s">
        <v>348</v>
      </c>
      <c r="BO4" s="3726" t="s">
        <v>349</v>
      </c>
      <c r="BP4" s="3728" t="s">
        <v>565</v>
      </c>
      <c r="BQ4" s="4473" t="s">
        <v>941</v>
      </c>
      <c r="BR4" s="4474" t="s">
        <v>942</v>
      </c>
      <c r="BS4" s="4473" t="s">
        <v>944</v>
      </c>
      <c r="BT4" s="4473" t="s">
        <v>945</v>
      </c>
      <c r="BU4" s="4473" t="s">
        <v>946</v>
      </c>
      <c r="BV4" s="4473" t="s">
        <v>947</v>
      </c>
      <c r="BW4" s="4473" t="s">
        <v>948</v>
      </c>
      <c r="BX4" s="4473" t="s">
        <v>949</v>
      </c>
      <c r="BY4" s="4473" t="s">
        <v>950</v>
      </c>
      <c r="BZ4" s="4473" t="s">
        <v>951</v>
      </c>
      <c r="CA4" s="4473" t="s">
        <v>999</v>
      </c>
      <c r="CB4" s="4473" t="s">
        <v>953</v>
      </c>
      <c r="CC4" s="4475" t="s">
        <v>565</v>
      </c>
      <c r="CD4" s="3729" t="s">
        <v>1122</v>
      </c>
      <c r="CE4" s="3730" t="s">
        <v>1072</v>
      </c>
      <c r="CF4" s="3729" t="s">
        <v>1073</v>
      </c>
      <c r="CG4" s="3729" t="s">
        <v>1074</v>
      </c>
      <c r="CH4" s="3729" t="s">
        <v>1075</v>
      </c>
      <c r="CI4" s="3729" t="s">
        <v>1076</v>
      </c>
      <c r="CJ4" s="3729" t="s">
        <v>1077</v>
      </c>
      <c r="CK4" s="3729" t="s">
        <v>1078</v>
      </c>
      <c r="CL4" s="3729" t="s">
        <v>1079</v>
      </c>
      <c r="CM4" s="3729" t="s">
        <v>1080</v>
      </c>
      <c r="CN4" s="3729" t="s">
        <v>1081</v>
      </c>
      <c r="CO4" s="3729" t="s">
        <v>1082</v>
      </c>
      <c r="CP4" s="3729" t="s">
        <v>8</v>
      </c>
      <c r="CQ4" s="3729" t="s">
        <v>9</v>
      </c>
      <c r="CR4" s="576" t="s">
        <v>130</v>
      </c>
      <c r="CS4" s="577" t="s">
        <v>444</v>
      </c>
      <c r="CT4" s="577" t="s">
        <v>699</v>
      </c>
      <c r="CU4" s="3731" t="s">
        <v>44</v>
      </c>
      <c r="CV4" s="579" t="s">
        <v>8</v>
      </c>
      <c r="CW4" s="579" t="s">
        <v>9</v>
      </c>
      <c r="CX4" s="3732" t="s">
        <v>569</v>
      </c>
      <c r="DA4" s="3733" t="s">
        <v>1122</v>
      </c>
      <c r="DB4" s="3733" t="s">
        <v>1072</v>
      </c>
      <c r="DC4" s="3733" t="s">
        <v>1073</v>
      </c>
      <c r="DD4" s="3733" t="s">
        <v>1074</v>
      </c>
      <c r="DE4" s="3733" t="s">
        <v>1075</v>
      </c>
      <c r="DF4" s="3733" t="s">
        <v>1076</v>
      </c>
      <c r="DG4" s="3733" t="s">
        <v>1077</v>
      </c>
      <c r="DH4" s="3733" t="s">
        <v>1078</v>
      </c>
      <c r="DI4" s="3733" t="s">
        <v>1079</v>
      </c>
      <c r="DJ4" s="3733" t="s">
        <v>1080</v>
      </c>
      <c r="DK4" s="3733" t="s">
        <v>1081</v>
      </c>
      <c r="DL4" s="3733" t="s">
        <v>1082</v>
      </c>
      <c r="DM4" s="3734" t="s">
        <v>565</v>
      </c>
    </row>
    <row r="5" spans="1:124" ht="16.5" customHeight="1" x14ac:dyDescent="0.55000000000000004">
      <c r="A5" s="3735" t="s">
        <v>1101</v>
      </c>
      <c r="B5" s="1929"/>
      <c r="C5" s="1929"/>
      <c r="D5" s="1929"/>
      <c r="E5" s="1929"/>
      <c r="F5" s="3736">
        <v>569.51146795</v>
      </c>
      <c r="G5" s="3737">
        <v>578.34211667</v>
      </c>
      <c r="H5" s="3737">
        <v>568.02298876999998</v>
      </c>
      <c r="I5" s="3737">
        <v>502.95302114999998</v>
      </c>
      <c r="J5" s="3737">
        <v>524.24926958000003</v>
      </c>
      <c r="K5" s="3737">
        <v>452.26849212000002</v>
      </c>
      <c r="L5" s="3737">
        <v>441.22264401000001</v>
      </c>
      <c r="M5" s="3737">
        <v>662.73823578999998</v>
      </c>
      <c r="N5" s="3737">
        <v>521.37493799000003</v>
      </c>
      <c r="O5" s="3737">
        <v>575.08277333000001</v>
      </c>
      <c r="P5" s="3737">
        <v>654.55505189999997</v>
      </c>
      <c r="Q5" s="3738">
        <v>561.64880821999998</v>
      </c>
      <c r="R5" s="3737">
        <v>567.26061665999998</v>
      </c>
      <c r="S5" s="3737">
        <v>506.97307469999998</v>
      </c>
      <c r="T5" s="3737">
        <v>509.60569885000001</v>
      </c>
      <c r="U5" s="3737">
        <v>534.82581274000006</v>
      </c>
      <c r="V5" s="3737">
        <v>511.04062663999997</v>
      </c>
      <c r="W5" s="3737">
        <v>530.63334063000002</v>
      </c>
      <c r="X5" s="3737">
        <v>495.89081677999997</v>
      </c>
      <c r="Y5" s="3737">
        <v>721.12800621000008</v>
      </c>
      <c r="Z5" s="3737">
        <v>658.38127472999997</v>
      </c>
      <c r="AA5" s="3737">
        <v>804.74587844000007</v>
      </c>
      <c r="AB5" s="3737">
        <v>644.27229915999999</v>
      </c>
      <c r="AC5" s="3737">
        <v>616.92995840000003</v>
      </c>
      <c r="AD5" s="3736">
        <f t="shared" ref="AD5:AI5" si="1">AD6+AD12+AD49</f>
        <v>465.97</v>
      </c>
      <c r="AE5" s="3737">
        <f t="shared" si="1"/>
        <v>686.76050108000004</v>
      </c>
      <c r="AF5" s="3737">
        <f t="shared" si="1"/>
        <v>518.85</v>
      </c>
      <c r="AG5" s="3737">
        <f t="shared" si="1"/>
        <v>515.35</v>
      </c>
      <c r="AH5" s="3737">
        <f t="shared" si="1"/>
        <v>562.34999999999991</v>
      </c>
      <c r="AI5" s="3739">
        <f t="shared" si="1"/>
        <v>609.07305031999999</v>
      </c>
      <c r="AJ5" s="3737">
        <v>486.34171562</v>
      </c>
      <c r="AK5" s="3737">
        <v>764.86150228999998</v>
      </c>
      <c r="AL5" s="3737">
        <v>529.65775699999995</v>
      </c>
      <c r="AM5" s="3737">
        <v>958.54831197999999</v>
      </c>
      <c r="AN5" s="3737">
        <v>582.43953033000003</v>
      </c>
      <c r="AO5" s="3737">
        <v>605.07119650999994</v>
      </c>
      <c r="AP5" s="3738">
        <f>SUM(AD5:AO5)</f>
        <v>7285.273565129999</v>
      </c>
      <c r="AQ5" s="3740">
        <v>474.37247896999997</v>
      </c>
      <c r="AR5" s="3741">
        <v>736.97131250999996</v>
      </c>
      <c r="AS5" s="3741">
        <v>520.49605724000003</v>
      </c>
      <c r="AT5" s="3741">
        <v>489.87118201000004</v>
      </c>
      <c r="AU5" s="3741">
        <v>510.89927579999988</v>
      </c>
      <c r="AV5" s="3741">
        <v>472.27082456000005</v>
      </c>
      <c r="AW5" s="3741">
        <v>412.06066977</v>
      </c>
      <c r="AX5" s="3741">
        <v>845.34421192000002</v>
      </c>
      <c r="AY5" s="3741">
        <v>469.75417109</v>
      </c>
      <c r="AZ5" s="3741">
        <v>1016.6928875100001</v>
      </c>
      <c r="BA5" s="3741">
        <v>514.05646851999995</v>
      </c>
      <c r="BB5" s="3741">
        <v>488.55514677999997</v>
      </c>
      <c r="BC5" s="3742">
        <v>6951.3446866799995</v>
      </c>
      <c r="BD5" s="3743">
        <f t="shared" ref="BD5:BJ5" si="2">BD6+BD12+BD49</f>
        <v>1190.05803769</v>
      </c>
      <c r="BE5" s="3743">
        <f t="shared" si="2"/>
        <v>614.86194016999991</v>
      </c>
      <c r="BF5" s="3743">
        <f t="shared" si="2"/>
        <v>557.68207872000005</v>
      </c>
      <c r="BG5" s="3743">
        <f t="shared" si="2"/>
        <v>500.51676944999997</v>
      </c>
      <c r="BH5" s="3743">
        <f t="shared" si="2"/>
        <v>429.96829689999998</v>
      </c>
      <c r="BI5" s="3743">
        <f t="shared" si="2"/>
        <v>619.57998966000002</v>
      </c>
      <c r="BJ5" s="3743">
        <f t="shared" si="2"/>
        <v>762.35505736999994</v>
      </c>
      <c r="BK5" s="3743">
        <v>568.02691506999997</v>
      </c>
      <c r="BL5" s="3743">
        <v>936.12681763000001</v>
      </c>
      <c r="BM5" s="3743">
        <v>881.98862596000004</v>
      </c>
      <c r="BN5" s="3743">
        <v>494.88055277000001</v>
      </c>
      <c r="BO5" s="3743">
        <v>517.02605612000002</v>
      </c>
      <c r="BP5" s="6682">
        <v>8073.07113751</v>
      </c>
      <c r="BQ5" s="6580">
        <f t="shared" ref="BQ5:CE5" si="3">BQ6+BQ12+BQ49</f>
        <v>560.63832912000009</v>
      </c>
      <c r="BR5" s="6550">
        <f t="shared" si="3"/>
        <v>1003.2939245800001</v>
      </c>
      <c r="BS5" s="6550">
        <f t="shared" si="3"/>
        <v>569.23055278000004</v>
      </c>
      <c r="BT5" s="6550">
        <f t="shared" si="3"/>
        <v>449.51814091999995</v>
      </c>
      <c r="BU5" s="6550">
        <f t="shared" si="3"/>
        <v>517.36253804</v>
      </c>
      <c r="BV5" s="6550">
        <f t="shared" si="3"/>
        <v>544.95947401000012</v>
      </c>
      <c r="BW5" s="6550">
        <f t="shared" si="3"/>
        <v>810.20837570000003</v>
      </c>
      <c r="BX5" s="6550">
        <f t="shared" si="3"/>
        <v>537.55464549999999</v>
      </c>
      <c r="BY5" s="6550">
        <f t="shared" si="3"/>
        <v>892.84893813999997</v>
      </c>
      <c r="BZ5" s="6550">
        <f t="shared" si="3"/>
        <v>572.41535059</v>
      </c>
      <c r="CA5" s="6550">
        <f t="shared" si="3"/>
        <v>569.38080047000005</v>
      </c>
      <c r="CB5" s="6550">
        <f t="shared" si="3"/>
        <v>507.16995210000005</v>
      </c>
      <c r="CC5" s="6581">
        <f t="shared" ref="CC5:CC52" si="4">SUM(BQ5:CB5)</f>
        <v>7534.5810219500017</v>
      </c>
      <c r="CD5" s="6695">
        <f t="shared" si="3"/>
        <v>776.6417670400001</v>
      </c>
      <c r="CE5" s="6695">
        <f t="shared" si="3"/>
        <v>490.15396447999996</v>
      </c>
      <c r="CF5" s="3744"/>
      <c r="CG5" s="3744"/>
      <c r="CH5" s="3744"/>
      <c r="CI5" s="3744"/>
      <c r="CJ5" s="3745"/>
      <c r="CK5" s="3745"/>
      <c r="CL5" s="3745"/>
      <c r="CM5" s="3745"/>
      <c r="CN5" s="3745"/>
      <c r="CO5" s="3745"/>
      <c r="CP5" s="3746" t="e">
        <f t="shared" ref="CP5:CP15" si="5">HLOOKUP($E$2,$BQ$2:$CB$530,ROW()-1,0)-HLOOKUP($E$2,$DA$2:$DL$437,ROW()-1,0)</f>
        <v>#N/A</v>
      </c>
      <c r="CQ5" s="3747">
        <f>IFERROR(HLOOKUP($E$2,$BQ$2:$CB$530,ROW()-1,0)/HLOOKUP($E$2,$DA$2:$DL$437,ROW()-1,0),0)</f>
        <v>0</v>
      </c>
      <c r="CR5" s="6860">
        <f>CE5-CD5</f>
        <v>-286.48780256000015</v>
      </c>
      <c r="CS5" s="6861">
        <f>CE5-BR5</f>
        <v>-513.13996010000005</v>
      </c>
      <c r="CT5" s="3748"/>
      <c r="CU5" s="6909">
        <f t="shared" ref="CU5:CU68" si="6">SUM(CD5:CO5)</f>
        <v>1266.7957315200001</v>
      </c>
      <c r="CV5" s="6861">
        <f>CU5-SUM(DA5:DB5)</f>
        <v>1266.7957315200001</v>
      </c>
      <c r="CW5" s="6861">
        <f>IFERROR(CU5/SUM(DA5:DB5),0)</f>
        <v>0</v>
      </c>
      <c r="CX5" s="6910">
        <f>SUM(CD5:CE5)-SUM(BQ5:BR5)</f>
        <v>-297.13652218000016</v>
      </c>
      <c r="CY5" s="2775"/>
      <c r="CZ5" s="660" t="str">
        <f>A5</f>
        <v>총매출 (ⓐ+ⓑ+ⓒ+ⓓ)</v>
      </c>
      <c r="DA5" s="3749"/>
      <c r="DB5" s="3749"/>
      <c r="DC5" s="3749"/>
      <c r="DD5" s="3749"/>
      <c r="DE5" s="3749"/>
      <c r="DF5" s="3749"/>
      <c r="DG5" s="3749"/>
      <c r="DH5" s="3749"/>
      <c r="DI5" s="3749"/>
      <c r="DJ5" s="3749"/>
      <c r="DK5" s="3749"/>
      <c r="DL5" s="3749"/>
      <c r="DM5" s="3750">
        <f t="shared" ref="DM5:DM11" si="7">SUM(DA5:DL5)</f>
        <v>0</v>
      </c>
      <c r="DQ5" s="2775"/>
      <c r="DS5" s="2261"/>
      <c r="DT5" s="2261"/>
    </row>
    <row r="6" spans="1:124" ht="16.3" customHeight="1" x14ac:dyDescent="0.55000000000000004">
      <c r="A6" s="3751" t="s">
        <v>857</v>
      </c>
      <c r="F6" s="3752">
        <v>425.12579846</v>
      </c>
      <c r="G6" s="3753">
        <v>435.59136783000002</v>
      </c>
      <c r="H6" s="3753">
        <v>417.06115769000002</v>
      </c>
      <c r="I6" s="3753">
        <v>362.08609870999999</v>
      </c>
      <c r="J6" s="3753">
        <v>376.76338571000002</v>
      </c>
      <c r="K6" s="3753">
        <v>311.12636391000001</v>
      </c>
      <c r="L6" s="3753">
        <v>298.44902960000002</v>
      </c>
      <c r="M6" s="3753">
        <v>511.91694640999998</v>
      </c>
      <c r="N6" s="3753">
        <v>377.02539264000001</v>
      </c>
      <c r="O6" s="3753">
        <v>417.60570401000001</v>
      </c>
      <c r="P6" s="3753">
        <v>478.98465484000002</v>
      </c>
      <c r="Q6" s="3754">
        <v>421.78798834000003</v>
      </c>
      <c r="R6" s="3753">
        <v>427.30240947999999</v>
      </c>
      <c r="S6" s="3753">
        <v>359.95052336000003</v>
      </c>
      <c r="T6" s="3753">
        <v>373.13112110000003</v>
      </c>
      <c r="U6" s="3753">
        <v>392.55808775999998</v>
      </c>
      <c r="V6" s="3753">
        <v>350.17414830000001</v>
      </c>
      <c r="W6" s="3753">
        <v>355.84174249</v>
      </c>
      <c r="X6" s="3753">
        <v>327.18940106999997</v>
      </c>
      <c r="Y6" s="3753">
        <v>533.93235392999998</v>
      </c>
      <c r="Z6" s="3753">
        <v>487.44124083999998</v>
      </c>
      <c r="AA6" s="3753">
        <v>619.26928742999996</v>
      </c>
      <c r="AB6" s="3753">
        <v>478.39390176999996</v>
      </c>
      <c r="AC6" s="3753">
        <v>371.54031760999999</v>
      </c>
      <c r="AD6" s="3752">
        <f t="shared" ref="AD6:AI6" si="8">AD11+AD52</f>
        <v>314.07</v>
      </c>
      <c r="AE6" s="3753">
        <f t="shared" si="8"/>
        <v>510.5</v>
      </c>
      <c r="AF6" s="3753">
        <f t="shared" si="8"/>
        <v>363.69</v>
      </c>
      <c r="AG6" s="3753">
        <f t="shared" si="8"/>
        <v>337.67</v>
      </c>
      <c r="AH6" s="3753">
        <f t="shared" si="8"/>
        <v>367.09</v>
      </c>
      <c r="AI6" s="3753">
        <f t="shared" si="8"/>
        <v>398.52305031999998</v>
      </c>
      <c r="AJ6" s="3753">
        <v>292.67988764999996</v>
      </c>
      <c r="AK6" s="3753">
        <v>544.67726660000005</v>
      </c>
      <c r="AL6" s="3753">
        <v>342.49629461000001</v>
      </c>
      <c r="AM6" s="3753">
        <v>769.85843898999997</v>
      </c>
      <c r="AN6" s="3753">
        <v>414.74087357999997</v>
      </c>
      <c r="AO6" s="3755">
        <v>321.00397748</v>
      </c>
      <c r="AP6" s="3754"/>
      <c r="AQ6" s="3756">
        <v>326.19489231</v>
      </c>
      <c r="AR6" s="3757">
        <v>526.58672906000004</v>
      </c>
      <c r="AS6" s="3757">
        <v>341.83855597000002</v>
      </c>
      <c r="AT6" s="3757">
        <v>294.56878303000008</v>
      </c>
      <c r="AU6" s="3757">
        <v>312.07730736999997</v>
      </c>
      <c r="AV6" s="3757">
        <v>247.2728238</v>
      </c>
      <c r="AW6" s="3757">
        <v>221.53120198000002</v>
      </c>
      <c r="AX6" s="3757">
        <v>575.99764282000001</v>
      </c>
      <c r="AY6" s="3757">
        <v>273.79614848</v>
      </c>
      <c r="AZ6" s="3757">
        <v>776.33182365000016</v>
      </c>
      <c r="BA6" s="3757">
        <v>344.11766620999998</v>
      </c>
      <c r="BB6" s="3757">
        <v>287.62392925</v>
      </c>
      <c r="BC6" s="3758">
        <v>4527.9375039300003</v>
      </c>
      <c r="BD6" s="628">
        <f t="shared" ref="BD6:BN6" si="9">BD11+BD52</f>
        <v>940.06421659</v>
      </c>
      <c r="BE6" s="3759">
        <f t="shared" si="9"/>
        <v>427.55353878</v>
      </c>
      <c r="BF6" s="3759">
        <f t="shared" si="9"/>
        <v>367.05735073999995</v>
      </c>
      <c r="BG6" s="3759">
        <f t="shared" si="9"/>
        <v>287.88901774999999</v>
      </c>
      <c r="BH6" s="596">
        <f t="shared" si="9"/>
        <v>238.00012124</v>
      </c>
      <c r="BI6" s="596">
        <f t="shared" si="9"/>
        <v>431.33398294</v>
      </c>
      <c r="BJ6" s="596">
        <f t="shared" si="9"/>
        <v>492.63717124000004</v>
      </c>
      <c r="BK6" s="596">
        <f t="shared" si="9"/>
        <v>361.22709442000001</v>
      </c>
      <c r="BL6" s="596">
        <f t="shared" si="9"/>
        <v>667.71170180000001</v>
      </c>
      <c r="BM6" s="596">
        <f t="shared" si="9"/>
        <v>662.28134587</v>
      </c>
      <c r="BN6" s="596">
        <f t="shared" si="9"/>
        <v>285.92329057000001</v>
      </c>
      <c r="BO6" s="596">
        <v>290.83168840000002</v>
      </c>
      <c r="BP6" s="6538">
        <v>5452.5105203399999</v>
      </c>
      <c r="BQ6" s="6572">
        <f t="shared" ref="BQ6:CE6" si="10">BQ11+BQ52</f>
        <v>377.48240117</v>
      </c>
      <c r="BR6" s="6537">
        <f t="shared" si="10"/>
        <v>737.19830149000006</v>
      </c>
      <c r="BS6" s="6537">
        <f t="shared" si="10"/>
        <v>368.49674788999999</v>
      </c>
      <c r="BT6" s="6537">
        <f t="shared" si="10"/>
        <v>243.45806517</v>
      </c>
      <c r="BU6" s="6537">
        <f t="shared" si="10"/>
        <v>287.03541559000001</v>
      </c>
      <c r="BV6" s="6537">
        <f t="shared" si="10"/>
        <v>319.55447298000001</v>
      </c>
      <c r="BW6" s="6537">
        <f t="shared" si="10"/>
        <v>493.41568697000002</v>
      </c>
      <c r="BX6" s="6537">
        <f t="shared" si="10"/>
        <v>313.17966244000002</v>
      </c>
      <c r="BY6" s="6537">
        <f t="shared" si="10"/>
        <v>611.85294778000002</v>
      </c>
      <c r="BZ6" s="6537">
        <f t="shared" si="10"/>
        <v>365.72221931000001</v>
      </c>
      <c r="CA6" s="6537">
        <f t="shared" si="10"/>
        <v>336.72216888000003</v>
      </c>
      <c r="CB6" s="6537">
        <f t="shared" si="10"/>
        <v>222.84258446999999</v>
      </c>
      <c r="CC6" s="6573">
        <f t="shared" si="4"/>
        <v>4676.9606741399994</v>
      </c>
      <c r="CD6" s="6536">
        <f t="shared" si="10"/>
        <v>508.33630897</v>
      </c>
      <c r="CE6" s="6536">
        <f t="shared" si="10"/>
        <v>288.02521234</v>
      </c>
      <c r="CF6" s="3760"/>
      <c r="CG6" s="3760"/>
      <c r="CH6" s="3760"/>
      <c r="CI6" s="3760"/>
      <c r="CJ6" s="3687"/>
      <c r="CK6" s="3687"/>
      <c r="CL6" s="3687"/>
      <c r="CM6" s="3687"/>
      <c r="CN6" s="3687"/>
      <c r="CO6" s="3687"/>
      <c r="CP6" s="3761" t="e">
        <f t="shared" si="5"/>
        <v>#N/A</v>
      </c>
      <c r="CQ6" s="3762">
        <f>IFERROR(HLOOKUP($E$2,$BQ$2:$CB$530,ROW()-1,0)/HLOOKUP($E$2,$DA$2:$DL$437,ROW()-1,0),0)</f>
        <v>0</v>
      </c>
      <c r="CR6" s="6862">
        <f t="shared" ref="CR6:CR52" si="11">CE6-CD6</f>
        <v>-220.31109663000001</v>
      </c>
      <c r="CS6" s="6747">
        <f t="shared" ref="CS6:CS52" si="12">CE6-BR6</f>
        <v>-449.17308915000007</v>
      </c>
      <c r="CT6" s="604"/>
      <c r="CU6" s="6911">
        <f t="shared" si="6"/>
        <v>796.36152130999994</v>
      </c>
      <c r="CV6" s="6747">
        <f t="shared" ref="CV6:CV15" si="13">CU6-SUM(DA6:DB6)</f>
        <v>796.36152130999994</v>
      </c>
      <c r="CW6" s="6747">
        <f>IFERROR(CU6/SUM(DA6:DB6),0)</f>
        <v>0</v>
      </c>
      <c r="CX6" s="6744">
        <f t="shared" ref="CX6:CX69" si="14">SUM(CD6:CE6)-SUM(BQ6:BR6)</f>
        <v>-318.31918135000001</v>
      </c>
      <c r="CY6" s="2775"/>
      <c r="CZ6" s="590" t="str">
        <f>A6</f>
        <v>상품매출 (ⓐ+ⓓ)</v>
      </c>
      <c r="DA6" s="3763"/>
      <c r="DB6" s="3763"/>
      <c r="DC6" s="3763"/>
      <c r="DD6" s="3763"/>
      <c r="DE6" s="3763"/>
      <c r="DF6" s="3763"/>
      <c r="DG6" s="3763"/>
      <c r="DH6" s="3763"/>
      <c r="DI6" s="3763"/>
      <c r="DJ6" s="3763"/>
      <c r="DK6" s="3763"/>
      <c r="DL6" s="3763"/>
      <c r="DM6" s="603">
        <f t="shared" si="7"/>
        <v>0</v>
      </c>
      <c r="DO6" s="2261"/>
      <c r="DP6" s="2261"/>
      <c r="DS6" s="2261"/>
      <c r="DT6" s="2261"/>
    </row>
    <row r="7" spans="1:124" ht="16" customHeight="1" x14ac:dyDescent="0.55000000000000004">
      <c r="A7" s="3751" t="s">
        <v>858</v>
      </c>
      <c r="F7" s="3752">
        <v>431.05112014000002</v>
      </c>
      <c r="G7" s="3753">
        <v>439.98350914999997</v>
      </c>
      <c r="H7" s="3753">
        <v>418.06971897</v>
      </c>
      <c r="I7" s="3753">
        <v>355.84579238999999</v>
      </c>
      <c r="J7" s="3753">
        <v>376.48167332999998</v>
      </c>
      <c r="K7" s="3753">
        <v>305.23117058999998</v>
      </c>
      <c r="L7" s="3753">
        <v>297.57589748999999</v>
      </c>
      <c r="M7" s="3753">
        <v>510.57503628000001</v>
      </c>
      <c r="N7" s="3753">
        <v>381.12291375000001</v>
      </c>
      <c r="O7" s="3753">
        <v>415.98217873999999</v>
      </c>
      <c r="P7" s="3753">
        <v>486.80890016000001</v>
      </c>
      <c r="Q7" s="3754">
        <v>421.27194372000002</v>
      </c>
      <c r="R7" s="3753">
        <v>430.31800007999999</v>
      </c>
      <c r="S7" s="3753">
        <v>362.04685917</v>
      </c>
      <c r="T7" s="3753">
        <v>366.78753781</v>
      </c>
      <c r="U7" s="3753">
        <v>397.33485161999999</v>
      </c>
      <c r="V7" s="3753">
        <v>361.32010392000001</v>
      </c>
      <c r="W7" s="3753">
        <v>374.570785</v>
      </c>
      <c r="X7" s="3753">
        <v>345.47227576999995</v>
      </c>
      <c r="Y7" s="3753">
        <v>572.08191302</v>
      </c>
      <c r="Z7" s="3753">
        <v>500.30266526999998</v>
      </c>
      <c r="AA7" s="3753">
        <v>644.31455966999999</v>
      </c>
      <c r="AB7" s="3753">
        <v>489.55600170999998</v>
      </c>
      <c r="AC7" s="3753">
        <v>403.14611238999998</v>
      </c>
      <c r="AD7" s="3752">
        <v>335.93</v>
      </c>
      <c r="AE7" s="3753">
        <v>528.1</v>
      </c>
      <c r="AF7" s="3753">
        <v>336.8</v>
      </c>
      <c r="AG7" s="3753">
        <v>350.28</v>
      </c>
      <c r="AH7" s="3753">
        <v>381.14</v>
      </c>
      <c r="AI7" s="3753">
        <v>425.59491615000002</v>
      </c>
      <c r="AJ7" s="3753">
        <v>309.76084385000001</v>
      </c>
      <c r="AK7" s="3753">
        <v>583.86100965999992</v>
      </c>
      <c r="AL7" s="3753">
        <v>340.89587435000004</v>
      </c>
      <c r="AM7" s="3753">
        <v>777.74195485000007</v>
      </c>
      <c r="AN7" s="3753">
        <v>419.88815813000002</v>
      </c>
      <c r="AO7" s="3755">
        <v>321.84355977999996</v>
      </c>
      <c r="AP7" s="3754"/>
      <c r="AQ7" s="3756">
        <v>332.61488631999998</v>
      </c>
      <c r="AR7" s="3757">
        <v>563.94444568999995</v>
      </c>
      <c r="AS7" s="3757">
        <v>347.83519862000003</v>
      </c>
      <c r="AT7" s="3757">
        <v>318.36151551</v>
      </c>
      <c r="AU7" s="3757">
        <v>338.16961079999999</v>
      </c>
      <c r="AV7" s="3757">
        <v>266.59198839999999</v>
      </c>
      <c r="AW7" s="3757">
        <v>230.31366503000001</v>
      </c>
      <c r="AX7" s="3757">
        <v>636.29756194000004</v>
      </c>
      <c r="AY7" s="3757">
        <v>264.79659497</v>
      </c>
      <c r="AZ7" s="3757">
        <v>768.34303264999994</v>
      </c>
      <c r="BA7" s="3757">
        <v>341.94121783000003</v>
      </c>
      <c r="BB7" s="3757">
        <v>284.83683071000002</v>
      </c>
      <c r="BC7" s="3764">
        <v>4694.0465484699998</v>
      </c>
      <c r="BD7" s="628">
        <v>998.07680091999998</v>
      </c>
      <c r="BE7" s="3759">
        <v>439.12201545999994</v>
      </c>
      <c r="BF7" s="3759">
        <v>382.10199898999997</v>
      </c>
      <c r="BG7" s="3759">
        <v>315.69318045</v>
      </c>
      <c r="BH7" s="596">
        <v>265.66272387999999</v>
      </c>
      <c r="BI7" s="596">
        <v>461.67626223000002</v>
      </c>
      <c r="BJ7" s="596">
        <v>564.07346846999997</v>
      </c>
      <c r="BK7" s="596">
        <v>389.93011116000002</v>
      </c>
      <c r="BL7" s="596">
        <v>703.64603259</v>
      </c>
      <c r="BM7" s="596">
        <v>663.13772890999996</v>
      </c>
      <c r="BN7" s="596">
        <v>316.72314609</v>
      </c>
      <c r="BO7" s="596">
        <v>325.68991124000001</v>
      </c>
      <c r="BP7" s="6538">
        <v>5825.5333803899994</v>
      </c>
      <c r="BQ7" s="6572">
        <v>388.74830183</v>
      </c>
      <c r="BR7" s="6537">
        <v>790.57613643000002</v>
      </c>
      <c r="BS7" s="6537">
        <v>385.18886522999998</v>
      </c>
      <c r="BT7" s="6537">
        <v>256.63170775999998</v>
      </c>
      <c r="BU7" s="6537">
        <v>307.72261552999998</v>
      </c>
      <c r="BV7" s="6537">
        <v>324.79941638999998</v>
      </c>
      <c r="BW7" s="6537">
        <v>562.04739076999999</v>
      </c>
      <c r="BX7" s="6537">
        <v>357.89968886999998</v>
      </c>
      <c r="BY7" s="6537">
        <v>628.35758573999999</v>
      </c>
      <c r="BZ7" s="6537">
        <v>396.72068184</v>
      </c>
      <c r="CA7" s="6537">
        <v>359.62469528000003</v>
      </c>
      <c r="CB7" s="6537">
        <v>254.39444005999999</v>
      </c>
      <c r="CC7" s="6573">
        <f t="shared" si="4"/>
        <v>5012.7115257300011</v>
      </c>
      <c r="CD7" s="6536">
        <v>565.01271076</v>
      </c>
      <c r="CE7" s="6591">
        <v>313.49450204999999</v>
      </c>
      <c r="CF7" s="3759"/>
      <c r="CG7" s="3766"/>
      <c r="CH7" s="596"/>
      <c r="CI7" s="3760"/>
      <c r="CJ7" s="3687"/>
      <c r="CK7" s="3760"/>
      <c r="CL7" s="3760"/>
      <c r="CM7" s="596"/>
      <c r="CN7" s="596"/>
      <c r="CO7" s="596"/>
      <c r="CP7" s="3761" t="e">
        <f t="shared" si="5"/>
        <v>#N/A</v>
      </c>
      <c r="CQ7" s="3762">
        <f>IFERROR(HLOOKUP($E$2,$BQ$2:$CB$530,ROW()-1,0)/HLOOKUP($E$2,$DA$2:$DL$437,ROW()-1,0),0)</f>
        <v>0</v>
      </c>
      <c r="CR7" s="6862">
        <f t="shared" si="11"/>
        <v>-251.51820871000001</v>
      </c>
      <c r="CS7" s="6747">
        <f t="shared" si="12"/>
        <v>-477.08163438000003</v>
      </c>
      <c r="CT7" s="604"/>
      <c r="CU7" s="6911">
        <f t="shared" si="6"/>
        <v>878.50721281000006</v>
      </c>
      <c r="CV7" s="6747">
        <f t="shared" si="13"/>
        <v>878.50721281000006</v>
      </c>
      <c r="CW7" s="6747">
        <f>IFERROR(CU7/SUM(DA7:DB7),0)</f>
        <v>0</v>
      </c>
      <c r="CX7" s="6744">
        <f t="shared" si="14"/>
        <v>-300.81722545000002</v>
      </c>
      <c r="CY7" s="2775"/>
      <c r="CZ7" s="590" t="str">
        <f>A7</f>
        <v>상품원가</v>
      </c>
      <c r="DA7" s="3763"/>
      <c r="DB7" s="3763"/>
      <c r="DC7" s="3763"/>
      <c r="DD7" s="3763"/>
      <c r="DE7" s="3763"/>
      <c r="DF7" s="3763"/>
      <c r="DG7" s="3763"/>
      <c r="DH7" s="3763"/>
      <c r="DI7" s="3763"/>
      <c r="DJ7" s="3763"/>
      <c r="DK7" s="3763"/>
      <c r="DL7" s="3763"/>
      <c r="DM7" s="605">
        <f t="shared" si="7"/>
        <v>0</v>
      </c>
      <c r="DO7" s="2261"/>
      <c r="DP7" s="2261"/>
      <c r="DS7" s="2261"/>
      <c r="DT7" s="2261"/>
    </row>
    <row r="8" spans="1:124" ht="16.3" hidden="1" customHeight="1" outlineLevel="1" x14ac:dyDescent="0.55000000000000004">
      <c r="A8" s="3767" t="s">
        <v>859</v>
      </c>
      <c r="B8" s="1523"/>
      <c r="C8" s="1523"/>
      <c r="D8" s="1523"/>
      <c r="E8" s="1523"/>
      <c r="F8" s="3768">
        <f>(F6-F7)</f>
        <v>-5.9253216800000246</v>
      </c>
      <c r="G8" s="3769">
        <f t="shared" ref="G8:Q8" si="15">(G6-G7)</f>
        <v>-4.3921413199999506</v>
      </c>
      <c r="H8" s="3769">
        <f t="shared" si="15"/>
        <v>-1.0085612799999808</v>
      </c>
      <c r="I8" s="3769">
        <f t="shared" si="15"/>
        <v>6.240306320000002</v>
      </c>
      <c r="J8" s="3769">
        <f t="shared" si="15"/>
        <v>0.2817123800000445</v>
      </c>
      <c r="K8" s="3769">
        <f t="shared" si="15"/>
        <v>5.8951933200000326</v>
      </c>
      <c r="L8" s="3769">
        <f t="shared" si="15"/>
        <v>0.87313211000002866</v>
      </c>
      <c r="M8" s="3769">
        <f t="shared" si="15"/>
        <v>1.3419101299999738</v>
      </c>
      <c r="N8" s="3769">
        <f t="shared" si="15"/>
        <v>-4.0975211100000024</v>
      </c>
      <c r="O8" s="3769">
        <f t="shared" si="15"/>
        <v>1.623525270000016</v>
      </c>
      <c r="P8" s="3769">
        <f t="shared" si="15"/>
        <v>-7.8242453199999886</v>
      </c>
      <c r="Q8" s="3770">
        <f t="shared" si="15"/>
        <v>0.5160446200000024</v>
      </c>
      <c r="R8" s="3769">
        <v>-3.0155905999999644</v>
      </c>
      <c r="S8" s="3769">
        <v>-2.0963358100000025</v>
      </c>
      <c r="T8" s="3769">
        <v>6.3435832900000211</v>
      </c>
      <c r="U8" s="3769">
        <v>-4.7767638600000142</v>
      </c>
      <c r="V8" s="3769">
        <v>-11.145955620000004</v>
      </c>
      <c r="W8" s="3769">
        <v>-18.729042509999992</v>
      </c>
      <c r="X8" s="3769">
        <v>-18.282874699999986</v>
      </c>
      <c r="Y8" s="3769">
        <v>-38.149559089999975</v>
      </c>
      <c r="Z8" s="3769">
        <v>-12.861424430000007</v>
      </c>
      <c r="AA8" s="3769">
        <v>-25.04527224000001</v>
      </c>
      <c r="AB8" s="3769">
        <v>-11.162099939999997</v>
      </c>
      <c r="AC8" s="3769">
        <v>-31.605794779999972</v>
      </c>
      <c r="AD8" s="3768">
        <f t="shared" ref="AD8:AI8" si="16">AD6-AD7</f>
        <v>-21.860000000000014</v>
      </c>
      <c r="AE8" s="3769">
        <f t="shared" si="16"/>
        <v>-17.600000000000023</v>
      </c>
      <c r="AF8" s="3769">
        <f t="shared" si="16"/>
        <v>26.889999999999986</v>
      </c>
      <c r="AG8" s="3769">
        <f t="shared" si="16"/>
        <v>-12.609999999999957</v>
      </c>
      <c r="AH8" s="3769">
        <f t="shared" si="16"/>
        <v>-14.050000000000011</v>
      </c>
      <c r="AI8" s="3769">
        <f t="shared" si="16"/>
        <v>-27.071865830000036</v>
      </c>
      <c r="AJ8" s="3769">
        <v>-17.080956200000049</v>
      </c>
      <c r="AK8" s="3769">
        <v>-39.183743059999941</v>
      </c>
      <c r="AL8" s="3769">
        <v>1.6004202599999904</v>
      </c>
      <c r="AM8" s="3769">
        <v>-7.8835158600000144</v>
      </c>
      <c r="AN8" s="3769">
        <v>-5.1472845500000117</v>
      </c>
      <c r="AO8" s="3769">
        <v>-0.83958229999995226</v>
      </c>
      <c r="AP8" s="3770"/>
      <c r="AQ8" s="3771">
        <v>-6.4199940099999822</v>
      </c>
      <c r="AR8" s="3772">
        <v>-37.357716629999913</v>
      </c>
      <c r="AS8" s="3772">
        <v>-5.9966426500000125</v>
      </c>
      <c r="AT8" s="3772">
        <v>-23.792732479999927</v>
      </c>
      <c r="AU8" s="3772">
        <v>-26.092303430000015</v>
      </c>
      <c r="AV8" s="3772">
        <v>-19.319164599999993</v>
      </c>
      <c r="AW8" s="3772">
        <v>-8.7824630499999898</v>
      </c>
      <c r="AX8" s="3772">
        <v>-60.299919120000027</v>
      </c>
      <c r="AY8" s="3772">
        <v>8.9995535099999984</v>
      </c>
      <c r="AZ8" s="3772">
        <v>7.9887910000002194</v>
      </c>
      <c r="BA8" s="3772">
        <v>2.1764483799999539</v>
      </c>
      <c r="BB8" s="3772">
        <v>2.7870985399999881</v>
      </c>
      <c r="BC8" s="3773">
        <v>-166.1090445399997</v>
      </c>
      <c r="BD8" s="3774">
        <f>BD6-BD7</f>
        <v>-58.012584329999981</v>
      </c>
      <c r="BE8" s="3775">
        <f t="shared" ref="BE8:BL8" si="17">BE6-BE7</f>
        <v>-11.568476679999947</v>
      </c>
      <c r="BF8" s="3775">
        <f t="shared" si="17"/>
        <v>-15.044648250000023</v>
      </c>
      <c r="BG8" s="3775">
        <f t="shared" si="17"/>
        <v>-27.804162700000006</v>
      </c>
      <c r="BH8" s="3775">
        <f t="shared" si="17"/>
        <v>-27.662602639999989</v>
      </c>
      <c r="BI8" s="3775">
        <f t="shared" si="17"/>
        <v>-30.342279290000022</v>
      </c>
      <c r="BJ8" s="3775">
        <f t="shared" si="17"/>
        <v>-71.436297229999923</v>
      </c>
      <c r="BK8" s="3775">
        <f t="shared" si="17"/>
        <v>-28.70301674000001</v>
      </c>
      <c r="BL8" s="3775">
        <f t="shared" si="17"/>
        <v>-35.93433078999999</v>
      </c>
      <c r="BM8" s="3775">
        <f>BM6-BM7</f>
        <v>-0.85638303999996879</v>
      </c>
      <c r="BN8" s="3775">
        <f>BN6-BN7</f>
        <v>-30.799855519999994</v>
      </c>
      <c r="BO8" s="3775">
        <f>BO6-BO7</f>
        <v>-34.858222839999996</v>
      </c>
      <c r="BP8" s="3775">
        <v>-373.02286004999985</v>
      </c>
      <c r="BQ8" s="6574">
        <f>BQ6-BQ7</f>
        <v>-11.26590066</v>
      </c>
      <c r="BR8" s="6541">
        <f>BR6-BR7</f>
        <v>-53.377834939999957</v>
      </c>
      <c r="BS8" s="6541">
        <v>-16.692117339999982</v>
      </c>
      <c r="BT8" s="6541">
        <v>-13.173642589999986</v>
      </c>
      <c r="BU8" s="6541">
        <v>-20.687199939999971</v>
      </c>
      <c r="BV8" s="6541">
        <v>-5.2449434099999621</v>
      </c>
      <c r="BW8" s="6541">
        <v>-68.631703799999968</v>
      </c>
      <c r="BX8" s="6541">
        <v>-44.720026429999962</v>
      </c>
      <c r="BY8" s="6541">
        <v>-16.504637959999968</v>
      </c>
      <c r="BZ8" s="6541">
        <v>-30.998462529999983</v>
      </c>
      <c r="CA8" s="6541">
        <v>-22.902526399999999</v>
      </c>
      <c r="CB8" s="6541">
        <v>-31.551855590000002</v>
      </c>
      <c r="CC8" s="6575">
        <f t="shared" si="4"/>
        <v>-335.75085158999974</v>
      </c>
      <c r="CD8" s="6539">
        <v>-56.67640179</v>
      </c>
      <c r="CE8" s="6539">
        <v>-25.469289709999998</v>
      </c>
      <c r="CF8" s="3775"/>
      <c r="CG8" s="3776"/>
      <c r="CH8" s="3775"/>
      <c r="CI8" s="3775"/>
      <c r="CJ8" s="3777"/>
      <c r="CK8" s="3775"/>
      <c r="CL8" s="3775"/>
      <c r="CM8" s="3775"/>
      <c r="CN8" s="3775"/>
      <c r="CO8" s="3775"/>
      <c r="CP8" s="3778" t="e">
        <f t="shared" si="5"/>
        <v>#N/A</v>
      </c>
      <c r="CQ8" s="3779" t="s">
        <v>462</v>
      </c>
      <c r="CR8" s="6863">
        <f t="shared" si="11"/>
        <v>31.207112080000002</v>
      </c>
      <c r="CS8" s="6733">
        <f t="shared" si="12"/>
        <v>27.908545229999959</v>
      </c>
      <c r="CT8" s="3780"/>
      <c r="CU8" s="6912">
        <f t="shared" si="6"/>
        <v>-82.145691499999998</v>
      </c>
      <c r="CV8" s="6733">
        <f t="shared" si="13"/>
        <v>-82.145691499999998</v>
      </c>
      <c r="CW8" s="6913" t="s">
        <v>461</v>
      </c>
      <c r="CX8" s="6734">
        <f t="shared" si="14"/>
        <v>-17.501955900000041</v>
      </c>
      <c r="CY8" s="2775"/>
      <c r="CZ8" s="590" t="str">
        <f>A8</f>
        <v>상품이익</v>
      </c>
      <c r="DA8" s="3781"/>
      <c r="DB8" s="3781"/>
      <c r="DC8" s="3781"/>
      <c r="DD8" s="3781"/>
      <c r="DE8" s="3781"/>
      <c r="DF8" s="3781"/>
      <c r="DG8" s="3781"/>
      <c r="DH8" s="3781"/>
      <c r="DI8" s="3781"/>
      <c r="DJ8" s="3781"/>
      <c r="DK8" s="3781"/>
      <c r="DL8" s="3781"/>
      <c r="DM8" s="603">
        <f t="shared" si="7"/>
        <v>0</v>
      </c>
      <c r="DO8" s="2261"/>
      <c r="DP8" s="2261"/>
      <c r="DS8" s="2261"/>
      <c r="DT8" s="2261"/>
    </row>
    <row r="9" spans="1:124" s="615" customFormat="1" ht="16.3" hidden="1" customHeight="1" outlineLevel="1" x14ac:dyDescent="0.55000000000000004">
      <c r="A9" s="3782"/>
      <c r="B9" s="1550" t="s">
        <v>860</v>
      </c>
      <c r="C9" s="1550"/>
      <c r="D9" s="1550"/>
      <c r="E9" s="1550"/>
      <c r="F9" s="3783"/>
      <c r="G9" s="3784"/>
      <c r="H9" s="3784"/>
      <c r="I9" s="3784"/>
      <c r="J9" s="3784"/>
      <c r="K9" s="3784"/>
      <c r="L9" s="3784"/>
      <c r="M9" s="3784"/>
      <c r="N9" s="3784"/>
      <c r="O9" s="3784"/>
      <c r="P9" s="3784"/>
      <c r="Q9" s="3785"/>
      <c r="R9" s="3786">
        <v>0.22047449999999999</v>
      </c>
      <c r="S9" s="3786">
        <v>1.19275186</v>
      </c>
      <c r="T9" s="3786">
        <v>2.9505761499999998</v>
      </c>
      <c r="U9" s="3786">
        <v>3.4128351400000003</v>
      </c>
      <c r="V9" s="3786">
        <v>2.7226736800000002</v>
      </c>
      <c r="W9" s="3786">
        <v>9.8159840700000007</v>
      </c>
      <c r="X9" s="3786">
        <v>18.613159760000002</v>
      </c>
      <c r="Y9" s="3786">
        <v>33.801400289999997</v>
      </c>
      <c r="Z9" s="3786">
        <v>13.00358567</v>
      </c>
      <c r="AA9" s="3786">
        <v>12.992892810000001</v>
      </c>
      <c r="AB9" s="3786">
        <v>10.694397689999999</v>
      </c>
      <c r="AC9" s="3786">
        <v>10.168739449999999</v>
      </c>
      <c r="AD9" s="3787">
        <v>10.513296</v>
      </c>
      <c r="AE9" s="3786">
        <v>19.25646064</v>
      </c>
      <c r="AF9" s="3786">
        <v>11.210794269999999</v>
      </c>
      <c r="AG9" s="3786">
        <v>11.913513569999999</v>
      </c>
      <c r="AH9" s="3786">
        <v>11.241396910000001</v>
      </c>
      <c r="AI9" s="3786">
        <v>23.00663664</v>
      </c>
      <c r="AJ9" s="3786">
        <v>8.7868278000000011</v>
      </c>
      <c r="AK9" s="3786">
        <v>27.52399497</v>
      </c>
      <c r="AL9" s="3786">
        <v>11.14571127</v>
      </c>
      <c r="AM9" s="3786">
        <v>12.81058127</v>
      </c>
      <c r="AN9" s="3786">
        <v>9.0803425000000004</v>
      </c>
      <c r="AO9" s="3786">
        <v>8.0588852000000006</v>
      </c>
      <c r="AP9" s="3788"/>
      <c r="AQ9" s="3789">
        <v>8.9098141818181809</v>
      </c>
      <c r="AR9" s="3790">
        <v>21.6892493736364</v>
      </c>
      <c r="AS9" s="3790">
        <v>14.507443909090901</v>
      </c>
      <c r="AT9" s="3790">
        <v>17.838918654545502</v>
      </c>
      <c r="AU9" s="3790">
        <v>17.416590454545499</v>
      </c>
      <c r="AV9" s="3790">
        <v>16.897780480000002</v>
      </c>
      <c r="AW9" s="3790">
        <v>11.35646</v>
      </c>
      <c r="AX9" s="3790">
        <v>35.958989363636363</v>
      </c>
      <c r="AY9" s="3790">
        <v>8.8794840000000015</v>
      </c>
      <c r="AZ9" s="3790">
        <v>21.659157418181799</v>
      </c>
      <c r="BA9" s="3790">
        <v>9.1784308181818197</v>
      </c>
      <c r="BB9" s="3790">
        <v>5.9321401818181805</v>
      </c>
      <c r="BC9" s="3791">
        <v>190.22445883545461</v>
      </c>
      <c r="BD9" s="3792">
        <v>46.83065931727274</v>
      </c>
      <c r="BE9" s="3793">
        <v>28.69083071</v>
      </c>
      <c r="BF9" s="3793">
        <v>23.280653914545454</v>
      </c>
      <c r="BG9" s="3793">
        <v>21.779792746363636</v>
      </c>
      <c r="BH9" s="3793">
        <v>23.4126601818182</v>
      </c>
      <c r="BI9" s="3793">
        <v>25.559513700000004</v>
      </c>
      <c r="BJ9" s="3793">
        <v>67.529861330000003</v>
      </c>
      <c r="BK9" s="3793">
        <v>26.370876314545452</v>
      </c>
      <c r="BL9" s="3793">
        <v>40.438865174545427</v>
      </c>
      <c r="BM9" s="3793">
        <v>18.06998527181819</v>
      </c>
      <c r="BN9" s="3793">
        <v>17.555632718181805</v>
      </c>
      <c r="BO9" s="3793">
        <v>13.6417818763636</v>
      </c>
      <c r="BP9" s="3793">
        <v>353.16111325545455</v>
      </c>
      <c r="BQ9" s="6582">
        <v>15.730996770909101</v>
      </c>
      <c r="BR9" s="6542">
        <v>40.752403027272699</v>
      </c>
      <c r="BS9" s="6542"/>
      <c r="BT9" s="6542"/>
      <c r="BU9" s="6542"/>
      <c r="BV9" s="6542"/>
      <c r="BW9" s="6542"/>
      <c r="BX9" s="6542"/>
      <c r="BY9" s="6542"/>
      <c r="BZ9" s="6542"/>
      <c r="CA9" s="6542"/>
      <c r="CB9" s="6542"/>
      <c r="CC9" s="6583">
        <f t="shared" si="4"/>
        <v>56.4833997981818</v>
      </c>
      <c r="CD9" s="6543"/>
      <c r="CE9" s="6542"/>
      <c r="CF9" s="3793"/>
      <c r="CG9" s="3795"/>
      <c r="CH9" s="3793"/>
      <c r="CI9" s="3793"/>
      <c r="CJ9" s="3794"/>
      <c r="CK9" s="3793"/>
      <c r="CL9" s="3793"/>
      <c r="CM9" s="3793"/>
      <c r="CN9" s="3793"/>
      <c r="CO9" s="3793"/>
      <c r="CP9" s="3796" t="e">
        <f t="shared" si="5"/>
        <v>#N/A</v>
      </c>
      <c r="CQ9" s="3797">
        <f>IFERROR(2-ABS(HLOOKUP($E$2,$BQ$2:$CB$530,ROW()-1,0)/HLOOKUP($E$2,$DA$2:$DL$437,ROW()-1,0)),0)</f>
        <v>0</v>
      </c>
      <c r="CR9" s="6864">
        <f t="shared" si="11"/>
        <v>0</v>
      </c>
      <c r="CS9" s="6735">
        <f t="shared" si="12"/>
        <v>-40.752403027272699</v>
      </c>
      <c r="CT9" s="3798"/>
      <c r="CU9" s="6914">
        <f t="shared" si="6"/>
        <v>0</v>
      </c>
      <c r="CV9" s="6735">
        <f t="shared" si="13"/>
        <v>0</v>
      </c>
      <c r="CW9" s="6915">
        <f>IFERROR(2-ABS(CU9/SUM(DA9:DB9)),0)</f>
        <v>0</v>
      </c>
      <c r="CX9" s="6736">
        <f t="shared" si="14"/>
        <v>-56.4833997981818</v>
      </c>
      <c r="CY9" s="2775"/>
      <c r="CZ9" s="3799" t="str">
        <f>B9</f>
        <v>* 프리할부</v>
      </c>
      <c r="DA9" s="3800"/>
      <c r="DB9" s="3800"/>
      <c r="DC9" s="3800"/>
      <c r="DD9" s="3800"/>
      <c r="DE9" s="3800"/>
      <c r="DF9" s="3800"/>
      <c r="DG9" s="3800"/>
      <c r="DH9" s="3800"/>
      <c r="DI9" s="3800"/>
      <c r="DJ9" s="3800"/>
      <c r="DK9" s="3800"/>
      <c r="DL9" s="3800"/>
      <c r="DM9" s="3801">
        <f t="shared" si="7"/>
        <v>0</v>
      </c>
      <c r="DO9" s="2261"/>
      <c r="DP9" s="2261"/>
      <c r="DQ9" s="559"/>
      <c r="DS9" s="2261"/>
      <c r="DT9" s="2261"/>
    </row>
    <row r="10" spans="1:124" s="615" customFormat="1" ht="16.3" customHeight="1" collapsed="1" x14ac:dyDescent="0.55000000000000004">
      <c r="A10" s="3802" t="s">
        <v>733</v>
      </c>
      <c r="B10" s="3803"/>
      <c r="C10" s="3803"/>
      <c r="D10" s="3803"/>
      <c r="E10" s="3803"/>
      <c r="F10" s="3804">
        <f>F11+F12</f>
        <v>569.51146795</v>
      </c>
      <c r="G10" s="3805">
        <f t="shared" ref="G10:AC10" si="18">G11+G12</f>
        <v>578.34211667</v>
      </c>
      <c r="H10" s="3805">
        <f t="shared" si="18"/>
        <v>568.02298876999998</v>
      </c>
      <c r="I10" s="3805">
        <f t="shared" si="18"/>
        <v>502.95302114999998</v>
      </c>
      <c r="J10" s="3805">
        <f t="shared" si="18"/>
        <v>524.24926958000003</v>
      </c>
      <c r="K10" s="3805">
        <f t="shared" si="18"/>
        <v>452.26849212000002</v>
      </c>
      <c r="L10" s="3805">
        <f t="shared" si="18"/>
        <v>441.22264401000001</v>
      </c>
      <c r="M10" s="3805">
        <f t="shared" si="18"/>
        <v>662.73823578999998</v>
      </c>
      <c r="N10" s="3805">
        <f t="shared" si="18"/>
        <v>521.37493799000003</v>
      </c>
      <c r="O10" s="3805">
        <f t="shared" si="18"/>
        <v>575.08277333000001</v>
      </c>
      <c r="P10" s="3805">
        <f t="shared" si="18"/>
        <v>654.55505190000008</v>
      </c>
      <c r="Q10" s="3806">
        <f t="shared" si="18"/>
        <v>561.64880822000009</v>
      </c>
      <c r="R10" s="3807">
        <f t="shared" si="18"/>
        <v>567.26061665999998</v>
      </c>
      <c r="S10" s="3807">
        <f t="shared" si="18"/>
        <v>506.97307469999998</v>
      </c>
      <c r="T10" s="3807">
        <f t="shared" si="18"/>
        <v>509.60569885000007</v>
      </c>
      <c r="U10" s="3807">
        <f t="shared" si="18"/>
        <v>534.82581273999995</v>
      </c>
      <c r="V10" s="3807">
        <f t="shared" si="18"/>
        <v>511.04062664000003</v>
      </c>
      <c r="W10" s="3807">
        <f t="shared" si="18"/>
        <v>530.63334063000002</v>
      </c>
      <c r="X10" s="3807">
        <f t="shared" si="18"/>
        <v>495.89081677999997</v>
      </c>
      <c r="Y10" s="3807">
        <f t="shared" si="18"/>
        <v>721.12800620999997</v>
      </c>
      <c r="Z10" s="3807">
        <f t="shared" si="18"/>
        <v>658.38127473000009</v>
      </c>
      <c r="AA10" s="3807">
        <f t="shared" si="18"/>
        <v>804.74587844000007</v>
      </c>
      <c r="AB10" s="3807">
        <f t="shared" si="18"/>
        <v>644.27229915999987</v>
      </c>
      <c r="AC10" s="3807">
        <f t="shared" si="18"/>
        <v>616.92995839999992</v>
      </c>
      <c r="AD10" s="3808"/>
      <c r="AE10" s="3807"/>
      <c r="AF10" s="3807"/>
      <c r="AG10" s="3807"/>
      <c r="AH10" s="3807"/>
      <c r="AI10" s="3807"/>
      <c r="AJ10" s="3807"/>
      <c r="AK10" s="3807"/>
      <c r="AL10" s="3807"/>
      <c r="AM10" s="3807"/>
      <c r="AN10" s="3807"/>
      <c r="AO10" s="3807"/>
      <c r="AP10" s="3809"/>
      <c r="AQ10" s="3771">
        <f>AQ11+AQ12</f>
        <v>455.44411862999999</v>
      </c>
      <c r="AR10" s="3772">
        <f t="shared" ref="AR10:BB10" si="19">AR11+AR12</f>
        <v>716.63619097000003</v>
      </c>
      <c r="AS10" s="3772">
        <f>AW11+AW12</f>
        <v>405.68139678</v>
      </c>
      <c r="AT10" s="3772">
        <f t="shared" si="19"/>
        <v>465.41110929000001</v>
      </c>
      <c r="AU10" s="3772">
        <f t="shared" si="19"/>
        <v>466.02965399999994</v>
      </c>
      <c r="AV10" s="3772">
        <f t="shared" si="19"/>
        <v>463.61064787999999</v>
      </c>
      <c r="AW10" s="3772">
        <f t="shared" si="19"/>
        <v>405.68139678</v>
      </c>
      <c r="AX10" s="3772">
        <f t="shared" si="19"/>
        <v>822.26186137000002</v>
      </c>
      <c r="AY10" s="3772">
        <f t="shared" si="19"/>
        <v>434.32382740000003</v>
      </c>
      <c r="AZ10" s="3772">
        <f t="shared" si="19"/>
        <v>986.75108071000022</v>
      </c>
      <c r="BA10" s="3772">
        <f t="shared" si="19"/>
        <v>503.84647468000003</v>
      </c>
      <c r="BB10" s="3772">
        <f t="shared" si="19"/>
        <v>449.86678083999993</v>
      </c>
      <c r="BC10" s="3773">
        <f>SUM(AQ10:BB10)</f>
        <v>6575.5445393300006</v>
      </c>
      <c r="BD10" s="3774">
        <f>BD11+BD12</f>
        <v>1186.5925866699999</v>
      </c>
      <c r="BE10" s="3774">
        <f t="shared" ref="BE10:BM10" si="20">BE11+BE12</f>
        <v>597.79147747000002</v>
      </c>
      <c r="BF10" s="3774">
        <f t="shared" si="20"/>
        <v>529.86588035</v>
      </c>
      <c r="BG10" s="3774">
        <f t="shared" si="20"/>
        <v>441.67582613000002</v>
      </c>
      <c r="BH10" s="3774">
        <f t="shared" si="20"/>
        <v>402.75331869000001</v>
      </c>
      <c r="BI10" s="3774">
        <f t="shared" si="20"/>
        <v>611.33346903000006</v>
      </c>
      <c r="BJ10" s="3774">
        <f t="shared" si="20"/>
        <v>748.57846373999996</v>
      </c>
      <c r="BK10" s="3774">
        <f t="shared" si="20"/>
        <v>515.44757273000005</v>
      </c>
      <c r="BL10" s="3774">
        <f t="shared" si="20"/>
        <v>877.49960500999998</v>
      </c>
      <c r="BM10" s="3774">
        <f t="shared" si="20"/>
        <v>814.86444354000002</v>
      </c>
      <c r="BN10" s="3774">
        <f>BN11+BN12</f>
        <v>457.90013779000003</v>
      </c>
      <c r="BO10" s="3774">
        <f>BO11+BO12</f>
        <v>489.19613828000001</v>
      </c>
      <c r="BP10" s="6683">
        <v>7673.4989194300015</v>
      </c>
      <c r="BQ10" s="6574">
        <f>BQ11+BQ12</f>
        <v>533.56526463</v>
      </c>
      <c r="BR10" s="6541">
        <f t="shared" ref="BR10:CE10" si="21">BR11+BR12</f>
        <v>937.03689825000004</v>
      </c>
      <c r="BS10" s="6541">
        <f t="shared" si="21"/>
        <v>520.82450781</v>
      </c>
      <c r="BT10" s="6541">
        <f t="shared" si="21"/>
        <v>413.50723091999998</v>
      </c>
      <c r="BU10" s="6541">
        <f t="shared" si="21"/>
        <v>474.81408935000002</v>
      </c>
      <c r="BV10" s="6541">
        <f t="shared" si="21"/>
        <v>497.40316263000005</v>
      </c>
      <c r="BW10" s="6541">
        <f t="shared" si="21"/>
        <v>753.50974447999999</v>
      </c>
      <c r="BX10" s="6541">
        <f t="shared" si="21"/>
        <v>479.3554901</v>
      </c>
      <c r="BY10" s="6541">
        <f t="shared" si="21"/>
        <v>835.81191424000008</v>
      </c>
      <c r="BZ10" s="6541">
        <f t="shared" si="21"/>
        <v>526.29929918000005</v>
      </c>
      <c r="CA10" s="6541">
        <f t="shared" si="21"/>
        <v>515.05238196000005</v>
      </c>
      <c r="CB10" s="6541">
        <f t="shared" si="21"/>
        <v>490.81679814000006</v>
      </c>
      <c r="CC10" s="6575">
        <f t="shared" si="4"/>
        <v>6977.9967816900007</v>
      </c>
      <c r="CD10" s="6539">
        <f t="shared" si="21"/>
        <v>761.9083437700001</v>
      </c>
      <c r="CE10" s="6541">
        <f t="shared" si="21"/>
        <v>462.24414727999999</v>
      </c>
      <c r="CF10" s="3777"/>
      <c r="CG10" s="3777"/>
      <c r="CH10" s="3777"/>
      <c r="CI10" s="3777"/>
      <c r="CJ10" s="3777"/>
      <c r="CK10" s="3777"/>
      <c r="CL10" s="3777"/>
      <c r="CM10" s="3777"/>
      <c r="CN10" s="3777"/>
      <c r="CO10" s="3777"/>
      <c r="CP10" s="3778" t="e">
        <f t="shared" si="5"/>
        <v>#N/A</v>
      </c>
      <c r="CQ10" s="3810">
        <f t="shared" ref="CQ10:CQ15" si="22">IFERROR(HLOOKUP($E$2,$BQ$2:$CB$530,ROW()-1,0)/HLOOKUP($E$2,$DA$2:$DL$437,ROW()-1,0),0)</f>
        <v>0</v>
      </c>
      <c r="CR10" s="6863">
        <f t="shared" si="11"/>
        <v>-299.66419649000011</v>
      </c>
      <c r="CS10" s="6733">
        <f t="shared" si="12"/>
        <v>-474.79275097000004</v>
      </c>
      <c r="CT10" s="3780"/>
      <c r="CU10" s="6916">
        <f t="shared" si="6"/>
        <v>1224.1524910500002</v>
      </c>
      <c r="CV10" s="6733">
        <f t="shared" si="13"/>
        <v>1224.1524910500002</v>
      </c>
      <c r="CW10" s="6733">
        <f t="shared" ref="CW10:CW15" si="23">IFERROR(CU10/SUM(DA10:DB10),0)</f>
        <v>0</v>
      </c>
      <c r="CX10" s="6734">
        <f t="shared" si="14"/>
        <v>-246.44967182999972</v>
      </c>
      <c r="CY10" s="2775"/>
      <c r="CZ10" s="590" t="str">
        <f>A10</f>
        <v>통신매출</v>
      </c>
      <c r="DA10" s="3811"/>
      <c r="DB10" s="3811"/>
      <c r="DC10" s="3811"/>
      <c r="DD10" s="3811"/>
      <c r="DE10" s="3811"/>
      <c r="DF10" s="3811"/>
      <c r="DG10" s="3811"/>
      <c r="DH10" s="3811"/>
      <c r="DI10" s="3811"/>
      <c r="DJ10" s="3811"/>
      <c r="DK10" s="3811"/>
      <c r="DL10" s="3811"/>
      <c r="DM10" s="623">
        <f>DM11+DM12</f>
        <v>0</v>
      </c>
      <c r="DO10" s="2261"/>
      <c r="DP10" s="2261"/>
      <c r="DQ10" s="559"/>
      <c r="DS10" s="2261"/>
      <c r="DT10" s="2261"/>
    </row>
    <row r="11" spans="1:124" ht="16.3" customHeight="1" x14ac:dyDescent="0.55000000000000004">
      <c r="A11" s="3812"/>
      <c r="B11" s="2771" t="s">
        <v>1089</v>
      </c>
      <c r="C11" s="2771"/>
      <c r="F11" s="3752">
        <v>425.12579846</v>
      </c>
      <c r="G11" s="3753">
        <f>G6</f>
        <v>435.59136783000002</v>
      </c>
      <c r="H11" s="3753">
        <f t="shared" ref="H11:Q11" si="24">H6</f>
        <v>417.06115769000002</v>
      </c>
      <c r="I11" s="3753">
        <f t="shared" si="24"/>
        <v>362.08609870999999</v>
      </c>
      <c r="J11" s="3753">
        <f t="shared" si="24"/>
        <v>376.76338571000002</v>
      </c>
      <c r="K11" s="3753">
        <f t="shared" si="24"/>
        <v>311.12636391000001</v>
      </c>
      <c r="L11" s="3753">
        <f t="shared" si="24"/>
        <v>298.44902960000002</v>
      </c>
      <c r="M11" s="3753">
        <f t="shared" si="24"/>
        <v>511.91694640999998</v>
      </c>
      <c r="N11" s="3753">
        <f t="shared" si="24"/>
        <v>377.02539264000001</v>
      </c>
      <c r="O11" s="3753">
        <f t="shared" si="24"/>
        <v>417.60570401000001</v>
      </c>
      <c r="P11" s="3753">
        <f t="shared" si="24"/>
        <v>478.98465484000002</v>
      </c>
      <c r="Q11" s="3754">
        <f t="shared" si="24"/>
        <v>421.78798834000003</v>
      </c>
      <c r="R11" s="3753">
        <v>427.30240947999999</v>
      </c>
      <c r="S11" s="3753">
        <v>359.95052336000003</v>
      </c>
      <c r="T11" s="3753">
        <v>373.13112110000003</v>
      </c>
      <c r="U11" s="3753">
        <v>392.55808775999998</v>
      </c>
      <c r="V11" s="3753">
        <v>350.17414830000001</v>
      </c>
      <c r="W11" s="3753">
        <v>355.84174249</v>
      </c>
      <c r="X11" s="3753">
        <v>327.18940106999997</v>
      </c>
      <c r="Y11" s="3753">
        <v>533.93235392999998</v>
      </c>
      <c r="Z11" s="3753">
        <v>487.44124083999998</v>
      </c>
      <c r="AA11" s="3753">
        <v>619.26928742999996</v>
      </c>
      <c r="AB11" s="3753">
        <v>478.39390176999996</v>
      </c>
      <c r="AC11" s="3753">
        <v>371.54031760999999</v>
      </c>
      <c r="AD11" s="3752">
        <v>314.07</v>
      </c>
      <c r="AE11" s="3753">
        <v>510.5</v>
      </c>
      <c r="AF11" s="3753">
        <v>363.69</v>
      </c>
      <c r="AG11" s="3753">
        <v>337.67</v>
      </c>
      <c r="AH11" s="3753">
        <v>367.09</v>
      </c>
      <c r="AI11" s="3753">
        <v>398.52305031999998</v>
      </c>
      <c r="AJ11" s="3753">
        <v>292.67988764999996</v>
      </c>
      <c r="AK11" s="3753">
        <v>544.67726660000005</v>
      </c>
      <c r="AL11" s="3753">
        <v>342.49629461000001</v>
      </c>
      <c r="AM11" s="3753">
        <v>769.85843898999997</v>
      </c>
      <c r="AN11" s="3753">
        <v>414.74087357999997</v>
      </c>
      <c r="AO11" s="3755">
        <v>321.00397748</v>
      </c>
      <c r="AP11" s="3754"/>
      <c r="AQ11" s="3756">
        <v>307.56190311</v>
      </c>
      <c r="AR11" s="3757">
        <v>506.34739579000001</v>
      </c>
      <c r="AS11" s="3757">
        <v>335.51970858999999</v>
      </c>
      <c r="AT11" s="3757">
        <v>270.10871031000005</v>
      </c>
      <c r="AU11" s="3757">
        <v>267.22186732</v>
      </c>
      <c r="AV11" s="3757">
        <v>238.84647827000001</v>
      </c>
      <c r="AW11" s="3757">
        <v>215.18169999000003</v>
      </c>
      <c r="AX11" s="3757">
        <v>553.17258282</v>
      </c>
      <c r="AY11" s="3757">
        <v>238.47595929000002</v>
      </c>
      <c r="AZ11" s="3757">
        <v>746.45886135000012</v>
      </c>
      <c r="BA11" s="3757">
        <v>333.94233086999998</v>
      </c>
      <c r="BB11" s="3757">
        <v>251.21295194999999</v>
      </c>
      <c r="BC11" s="3758">
        <v>4264.0504496600006</v>
      </c>
      <c r="BD11" s="628">
        <v>937.30233009000005</v>
      </c>
      <c r="BE11" s="596">
        <v>412.93290717000002</v>
      </c>
      <c r="BF11" s="596">
        <v>340.37764573999993</v>
      </c>
      <c r="BG11" s="596">
        <v>236.73678525</v>
      </c>
      <c r="BH11" s="596">
        <v>212.96512344999999</v>
      </c>
      <c r="BI11" s="596">
        <f>42433.744472/100</f>
        <v>424.33744472000001</v>
      </c>
      <c r="BJ11" s="596">
        <v>480.94916848000003</v>
      </c>
      <c r="BK11" s="596">
        <v>311.64623167000002</v>
      </c>
      <c r="BL11" s="596">
        <v>614.09557116999997</v>
      </c>
      <c r="BM11" s="596">
        <v>599.40743623000003</v>
      </c>
      <c r="BN11" s="596">
        <v>263.8661894</v>
      </c>
      <c r="BO11" s="596">
        <v>268.77934285999999</v>
      </c>
      <c r="BP11" s="6538">
        <v>5103.3961762299996</v>
      </c>
      <c r="BQ11" s="6572">
        <v>355.07525212000002</v>
      </c>
      <c r="BR11" s="6537">
        <v>679.23028433000002</v>
      </c>
      <c r="BS11" s="6537">
        <v>321.53379536</v>
      </c>
      <c r="BT11" s="6537">
        <v>213.07457941000001</v>
      </c>
      <c r="BU11" s="6537">
        <v>246.36238930000002</v>
      </c>
      <c r="BV11" s="6537">
        <v>274.80846724000003</v>
      </c>
      <c r="BW11" s="6537">
        <v>441.47967010000002</v>
      </c>
      <c r="BX11" s="6537">
        <v>256.74804626000002</v>
      </c>
      <c r="BY11" s="6537">
        <v>559.57756142000005</v>
      </c>
      <c r="BZ11" s="6537">
        <v>324.98229727</v>
      </c>
      <c r="CA11" s="6537">
        <v>284.83313692000002</v>
      </c>
      <c r="CB11" s="6537">
        <v>209.09681289</v>
      </c>
      <c r="CC11" s="6573">
        <f t="shared" si="4"/>
        <v>4166.802292620001</v>
      </c>
      <c r="CD11" s="6544">
        <v>497.57641733000003</v>
      </c>
      <c r="CE11" s="6537">
        <v>261.19274733999998</v>
      </c>
      <c r="CF11" s="596"/>
      <c r="CG11" s="3760"/>
      <c r="CH11" s="596"/>
      <c r="CI11" s="3813"/>
      <c r="CJ11" s="3687"/>
      <c r="CK11" s="3813"/>
      <c r="CL11" s="3813"/>
      <c r="CM11" s="596"/>
      <c r="CN11" s="596"/>
      <c r="CO11" s="596"/>
      <c r="CP11" s="3761" t="e">
        <f t="shared" si="5"/>
        <v>#N/A</v>
      </c>
      <c r="CQ11" s="3762">
        <f t="shared" si="22"/>
        <v>0</v>
      </c>
      <c r="CR11" s="6862">
        <f t="shared" si="11"/>
        <v>-236.38366999000004</v>
      </c>
      <c r="CS11" s="6732">
        <f t="shared" si="12"/>
        <v>-418.03753699000004</v>
      </c>
      <c r="CT11" s="604"/>
      <c r="CU11" s="6911">
        <f t="shared" si="6"/>
        <v>758.76916467000001</v>
      </c>
      <c r="CV11" s="6747">
        <f t="shared" si="13"/>
        <v>758.76916467000001</v>
      </c>
      <c r="CW11" s="6747">
        <f t="shared" si="23"/>
        <v>0</v>
      </c>
      <c r="CX11" s="6744">
        <f t="shared" si="14"/>
        <v>-275.53637178000008</v>
      </c>
      <c r="CY11" s="2775"/>
      <c r="CZ11" s="614" t="str">
        <f>B11</f>
        <v>상품매출(통신) ⓐ</v>
      </c>
      <c r="DA11" s="3781"/>
      <c r="DB11" s="3781"/>
      <c r="DC11" s="3781"/>
      <c r="DD11" s="3781"/>
      <c r="DE11" s="3781"/>
      <c r="DF11" s="3781"/>
      <c r="DG11" s="3781"/>
      <c r="DH11" s="3781"/>
      <c r="DI11" s="3781"/>
      <c r="DJ11" s="3781"/>
      <c r="DK11" s="3781"/>
      <c r="DL11" s="3781"/>
      <c r="DM11" s="603">
        <f t="shared" si="7"/>
        <v>0</v>
      </c>
      <c r="DO11" s="2261"/>
      <c r="DP11" s="2261"/>
      <c r="DS11" s="2261"/>
      <c r="DT11" s="2261"/>
    </row>
    <row r="12" spans="1:124" ht="16.3" customHeight="1" x14ac:dyDescent="0.55000000000000004">
      <c r="A12" s="3751"/>
      <c r="B12" s="2771" t="s">
        <v>1090</v>
      </c>
      <c r="F12" s="3752">
        <v>144.38566949</v>
      </c>
      <c r="G12" s="3753">
        <v>142.75074884</v>
      </c>
      <c r="H12" s="3753">
        <v>150.96183108</v>
      </c>
      <c r="I12" s="3753">
        <v>140.86692244</v>
      </c>
      <c r="J12" s="3753">
        <v>147.48588387000001</v>
      </c>
      <c r="K12" s="3753">
        <v>141.14212821000001</v>
      </c>
      <c r="L12" s="3814">
        <v>142.77361440999999</v>
      </c>
      <c r="M12" s="3814">
        <v>150.82128938</v>
      </c>
      <c r="N12" s="3814">
        <v>144.34954535</v>
      </c>
      <c r="O12" s="3814">
        <v>157.47706932</v>
      </c>
      <c r="P12" s="3814">
        <v>175.57039706</v>
      </c>
      <c r="Q12" s="3815">
        <v>139.86081988000001</v>
      </c>
      <c r="R12" s="3816">
        <v>139.95820717999996</v>
      </c>
      <c r="S12" s="3816">
        <v>147.02255133999998</v>
      </c>
      <c r="T12" s="3816">
        <v>136.47457775000001</v>
      </c>
      <c r="U12" s="3816">
        <v>142.26772498000003</v>
      </c>
      <c r="V12" s="3816">
        <v>160.86647833999999</v>
      </c>
      <c r="W12" s="3816">
        <v>174.79159813999999</v>
      </c>
      <c r="X12" s="3816">
        <v>168.70141570999999</v>
      </c>
      <c r="Y12" s="3816">
        <v>187.19565228000002</v>
      </c>
      <c r="Z12" s="3816">
        <v>170.94003389000005</v>
      </c>
      <c r="AA12" s="3816">
        <v>185.47659101000011</v>
      </c>
      <c r="AB12" s="3816">
        <v>165.87839738999998</v>
      </c>
      <c r="AC12" s="3816">
        <v>245.38964078999996</v>
      </c>
      <c r="AD12" s="3752">
        <v>151.9</v>
      </c>
      <c r="AE12" s="3753">
        <v>176.26050108000001</v>
      </c>
      <c r="AF12" s="3753">
        <v>155.16</v>
      </c>
      <c r="AG12" s="3753">
        <v>177.68</v>
      </c>
      <c r="AH12" s="3753">
        <v>195.26</v>
      </c>
      <c r="AI12" s="3753">
        <v>210.55</v>
      </c>
      <c r="AJ12" s="3814">
        <v>193.66182796999999</v>
      </c>
      <c r="AK12" s="3814">
        <v>220.18423569000001</v>
      </c>
      <c r="AL12" s="3814">
        <v>187.16146239000003</v>
      </c>
      <c r="AM12" s="3814">
        <v>188.68793299000001</v>
      </c>
      <c r="AN12" s="3814">
        <v>167.69944674999999</v>
      </c>
      <c r="AO12" s="3814">
        <v>284.06721903000005</v>
      </c>
      <c r="AP12" s="3815"/>
      <c r="AQ12" s="3756">
        <v>147.88221551999999</v>
      </c>
      <c r="AR12" s="3757">
        <v>210.28879517999999</v>
      </c>
      <c r="AS12" s="3757">
        <v>178.60839277000002</v>
      </c>
      <c r="AT12" s="3757">
        <v>195.30239897999996</v>
      </c>
      <c r="AU12" s="3757">
        <v>198.80778667999996</v>
      </c>
      <c r="AV12" s="3757">
        <v>224.76416961000001</v>
      </c>
      <c r="AW12" s="3757">
        <v>190.49969679</v>
      </c>
      <c r="AX12" s="3757">
        <v>269.08927855000002</v>
      </c>
      <c r="AY12" s="3757">
        <v>195.84786810999998</v>
      </c>
      <c r="AZ12" s="3757">
        <v>240.29221936000005</v>
      </c>
      <c r="BA12" s="3757">
        <v>169.90414381000002</v>
      </c>
      <c r="BB12" s="3757">
        <v>198.65382888999994</v>
      </c>
      <c r="BC12" s="3758">
        <v>2419.9407942499997</v>
      </c>
      <c r="BD12" s="628">
        <f t="shared" ref="BD12:BJ12" si="25">BD13+BD21+BD37</f>
        <v>249.29025658</v>
      </c>
      <c r="BE12" s="3759">
        <f t="shared" si="25"/>
        <v>184.8585703</v>
      </c>
      <c r="BF12" s="3759">
        <f t="shared" si="25"/>
        <v>189.48823461000001</v>
      </c>
      <c r="BG12" s="3759">
        <f t="shared" si="25"/>
        <v>204.93904087999999</v>
      </c>
      <c r="BH12" s="596">
        <f t="shared" si="25"/>
        <v>189.78819523999999</v>
      </c>
      <c r="BI12" s="596">
        <f t="shared" si="25"/>
        <v>186.99602431</v>
      </c>
      <c r="BJ12" s="596">
        <f t="shared" si="25"/>
        <v>267.62929525999999</v>
      </c>
      <c r="BK12" s="596">
        <v>203.80134106</v>
      </c>
      <c r="BL12" s="596">
        <v>263.40403384000001</v>
      </c>
      <c r="BM12" s="596">
        <v>215.45700731000002</v>
      </c>
      <c r="BN12" s="596">
        <v>194.03394839000001</v>
      </c>
      <c r="BO12" s="596">
        <v>220.41679542</v>
      </c>
      <c r="BP12" s="6538">
        <v>2570.1027432000001</v>
      </c>
      <c r="BQ12" s="6572">
        <f t="shared" ref="BQ12:CE12" si="26">BQ13+BQ21+BQ37</f>
        <v>178.49001250999999</v>
      </c>
      <c r="BR12" s="6537">
        <f t="shared" si="26"/>
        <v>257.80661392000002</v>
      </c>
      <c r="BS12" s="6537">
        <f t="shared" si="26"/>
        <v>199.29071245</v>
      </c>
      <c r="BT12" s="6537">
        <f t="shared" si="26"/>
        <v>200.43265151</v>
      </c>
      <c r="BU12" s="6537">
        <f t="shared" si="26"/>
        <v>228.45170005</v>
      </c>
      <c r="BV12" s="6537">
        <f t="shared" si="26"/>
        <v>222.59469539000003</v>
      </c>
      <c r="BW12" s="6537">
        <f t="shared" si="26"/>
        <v>312.03007437999997</v>
      </c>
      <c r="BX12" s="6537">
        <f t="shared" si="26"/>
        <v>222.60744383999997</v>
      </c>
      <c r="BY12" s="6537">
        <f t="shared" si="26"/>
        <v>276.23435281999997</v>
      </c>
      <c r="BZ12" s="6537">
        <f t="shared" si="26"/>
        <v>201.31700191000002</v>
      </c>
      <c r="CA12" s="6537">
        <f t="shared" si="26"/>
        <v>230.21924503999998</v>
      </c>
      <c r="CB12" s="6537">
        <f t="shared" si="26"/>
        <v>281.71998525000004</v>
      </c>
      <c r="CC12" s="6573">
        <f t="shared" si="4"/>
        <v>2811.1944890699997</v>
      </c>
      <c r="CD12" s="6538">
        <f t="shared" si="26"/>
        <v>264.33192644000002</v>
      </c>
      <c r="CE12" s="6538">
        <f t="shared" si="26"/>
        <v>201.05139993999998</v>
      </c>
      <c r="CF12" s="596"/>
      <c r="CG12" s="596"/>
      <c r="CH12" s="596"/>
      <c r="CI12" s="596"/>
      <c r="CJ12" s="3687"/>
      <c r="CK12" s="3687"/>
      <c r="CL12" s="3687"/>
      <c r="CM12" s="3687"/>
      <c r="CN12" s="3687"/>
      <c r="CO12" s="3687"/>
      <c r="CP12" s="3761" t="e">
        <f t="shared" si="5"/>
        <v>#N/A</v>
      </c>
      <c r="CQ12" s="3762">
        <f t="shared" si="22"/>
        <v>0</v>
      </c>
      <c r="CR12" s="6862">
        <f t="shared" si="11"/>
        <v>-63.280526500000036</v>
      </c>
      <c r="CS12" s="6747">
        <f t="shared" si="12"/>
        <v>-56.755213980000036</v>
      </c>
      <c r="CT12" s="607"/>
      <c r="CU12" s="6911">
        <f t="shared" si="6"/>
        <v>465.38332637999997</v>
      </c>
      <c r="CV12" s="6747">
        <f t="shared" si="13"/>
        <v>465.38332637999997</v>
      </c>
      <c r="CW12" s="6747">
        <f t="shared" si="23"/>
        <v>0</v>
      </c>
      <c r="CX12" s="6744">
        <f t="shared" si="14"/>
        <v>29.086699949999968</v>
      </c>
      <c r="CY12" s="2775"/>
      <c r="CZ12" s="614" t="str">
        <f>B12</f>
        <v>수수료매출(통신) ⓑ</v>
      </c>
      <c r="DA12" s="3781"/>
      <c r="DB12" s="3781"/>
      <c r="DC12" s="3781"/>
      <c r="DD12" s="3781"/>
      <c r="DE12" s="3781"/>
      <c r="DF12" s="3781"/>
      <c r="DG12" s="3781"/>
      <c r="DH12" s="3781"/>
      <c r="DI12" s="3781"/>
      <c r="DJ12" s="3781"/>
      <c r="DK12" s="3781"/>
      <c r="DL12" s="3781"/>
      <c r="DM12" s="603">
        <f t="shared" ref="DM12:DM78" si="27">SUM(DA12:DL12)</f>
        <v>0</v>
      </c>
      <c r="DO12" s="2261"/>
      <c r="DP12" s="2261"/>
      <c r="DS12" s="2261"/>
      <c r="DT12" s="2261"/>
    </row>
    <row r="13" spans="1:124" ht="16.3" customHeight="1" x14ac:dyDescent="0.55000000000000004">
      <c r="A13" s="3751"/>
      <c r="C13" s="2771" t="s">
        <v>6</v>
      </c>
      <c r="F13" s="3752">
        <f>F14+F15</f>
        <v>66.505845960000002</v>
      </c>
      <c r="G13" s="3753">
        <f t="shared" ref="G13:Q13" si="28">G14+G15</f>
        <v>61.655319900000002</v>
      </c>
      <c r="H13" s="3753">
        <f t="shared" si="28"/>
        <v>68.598155660000003</v>
      </c>
      <c r="I13" s="3753">
        <f t="shared" si="28"/>
        <v>62.736615530000002</v>
      </c>
      <c r="J13" s="3753">
        <f t="shared" si="28"/>
        <v>71.736810570000003</v>
      </c>
      <c r="K13" s="3753">
        <f t="shared" si="28"/>
        <v>67.407588590000003</v>
      </c>
      <c r="L13" s="3753">
        <f t="shared" si="28"/>
        <v>66.153399129999997</v>
      </c>
      <c r="M13" s="3753">
        <f t="shared" si="28"/>
        <v>73.141149130000002</v>
      </c>
      <c r="N13" s="3753">
        <f t="shared" si="28"/>
        <v>69.979594890000001</v>
      </c>
      <c r="O13" s="3753">
        <f t="shared" si="28"/>
        <v>82.369230959999996</v>
      </c>
      <c r="P13" s="3753">
        <f t="shared" si="28"/>
        <v>103.52138165000001</v>
      </c>
      <c r="Q13" s="3754">
        <f t="shared" si="28"/>
        <v>65.332407230000001</v>
      </c>
      <c r="R13" s="3753">
        <v>67.759317260000003</v>
      </c>
      <c r="S13" s="3753">
        <v>70.007579199999995</v>
      </c>
      <c r="T13" s="3753">
        <v>62.487498330000001</v>
      </c>
      <c r="U13" s="3753">
        <v>56.43667095</v>
      </c>
      <c r="V13" s="3753">
        <v>82.521390840000009</v>
      </c>
      <c r="W13" s="3753">
        <v>96.041538750000001</v>
      </c>
      <c r="X13" s="3753">
        <v>88.505992730000003</v>
      </c>
      <c r="Y13" s="3753">
        <v>106.62664536</v>
      </c>
      <c r="Z13" s="3753">
        <v>91.159278470000004</v>
      </c>
      <c r="AA13" s="3753">
        <v>100.95803033</v>
      </c>
      <c r="AB13" s="3753">
        <v>83.633351180000005</v>
      </c>
      <c r="AC13" s="3753">
        <v>162.32011111000003</v>
      </c>
      <c r="AD13" s="3752">
        <f t="shared" ref="AD13:AI13" si="29">AD14+AD15</f>
        <v>67.677050410000007</v>
      </c>
      <c r="AE13" s="3753">
        <f t="shared" si="29"/>
        <v>93.341094460000008</v>
      </c>
      <c r="AF13" s="3753">
        <f t="shared" si="29"/>
        <v>66.686359429999996</v>
      </c>
      <c r="AG13" s="3753">
        <f t="shared" si="29"/>
        <v>96.551789549999995</v>
      </c>
      <c r="AH13" s="3753">
        <f t="shared" si="29"/>
        <v>102.01928487000001</v>
      </c>
      <c r="AI13" s="3753">
        <f t="shared" si="29"/>
        <v>107.70269567</v>
      </c>
      <c r="AJ13" s="3753">
        <v>104.29413284</v>
      </c>
      <c r="AK13" s="3753">
        <v>128.8038249</v>
      </c>
      <c r="AL13" s="3753">
        <v>91.154753830000004</v>
      </c>
      <c r="AM13" s="3753">
        <v>108.84660195000001</v>
      </c>
      <c r="AN13" s="3753">
        <v>75.910747560000004</v>
      </c>
      <c r="AO13" s="3755">
        <v>198.09710472</v>
      </c>
      <c r="AP13" s="3754"/>
      <c r="AQ13" s="3756">
        <v>39.929752489999998</v>
      </c>
      <c r="AR13" s="3757">
        <v>126.18733025999998</v>
      </c>
      <c r="AS13" s="3757">
        <v>78.48728340000001</v>
      </c>
      <c r="AT13" s="3757">
        <v>106.54674632999999</v>
      </c>
      <c r="AU13" s="3757">
        <v>107.44778007999999</v>
      </c>
      <c r="AV13" s="3757">
        <v>126.97076551999999</v>
      </c>
      <c r="AW13" s="3757">
        <v>94.720604569999992</v>
      </c>
      <c r="AX13" s="3757">
        <v>176.59733647000002</v>
      </c>
      <c r="AY13" s="3757">
        <v>99.013854939999987</v>
      </c>
      <c r="AZ13" s="3757">
        <v>146.00524172999999</v>
      </c>
      <c r="BA13" s="3757">
        <v>80.48795358000001</v>
      </c>
      <c r="BB13" s="3757">
        <v>105.05089002000001</v>
      </c>
      <c r="BC13" s="3758">
        <v>1287.44553939</v>
      </c>
      <c r="BD13" s="628">
        <f>BD14+BD15</f>
        <v>149.15128453</v>
      </c>
      <c r="BE13" s="3759">
        <f t="shared" ref="BE13:BM13" si="30">BE14+BE15</f>
        <v>88.394004989999999</v>
      </c>
      <c r="BF13" s="3759">
        <f t="shared" si="30"/>
        <v>98.747062619999994</v>
      </c>
      <c r="BG13" s="3759">
        <f t="shared" si="30"/>
        <v>104.10232276000001</v>
      </c>
      <c r="BH13" s="596">
        <f t="shared" si="30"/>
        <v>98.473284500000005</v>
      </c>
      <c r="BI13" s="596">
        <f t="shared" si="30"/>
        <v>90.23088611</v>
      </c>
      <c r="BJ13" s="596">
        <f t="shared" si="30"/>
        <v>167.22273009</v>
      </c>
      <c r="BK13" s="596">
        <f t="shared" si="30"/>
        <v>100.31821041000001</v>
      </c>
      <c r="BL13" s="596">
        <f t="shared" si="30"/>
        <v>155.99796676</v>
      </c>
      <c r="BM13" s="596">
        <f t="shared" si="30"/>
        <v>121.89961690999999</v>
      </c>
      <c r="BN13" s="596">
        <f>BN14+BN15</f>
        <v>91.538160610000006</v>
      </c>
      <c r="BO13" s="596">
        <v>113.04964587000001</v>
      </c>
      <c r="BP13" s="6538">
        <v>1379.1251761600001</v>
      </c>
      <c r="BQ13" s="6572">
        <f t="shared" ref="BQ13:CE13" si="31">BQ14+BQ15</f>
        <v>95.784423849999996</v>
      </c>
      <c r="BR13" s="6537">
        <f t="shared" si="31"/>
        <v>166.62481603999998</v>
      </c>
      <c r="BS13" s="6537">
        <f t="shared" si="31"/>
        <v>110.26219452000001</v>
      </c>
      <c r="BT13" s="6537">
        <f t="shared" si="31"/>
        <v>103.99977730000001</v>
      </c>
      <c r="BU13" s="6537">
        <f t="shared" si="31"/>
        <v>141.27506871</v>
      </c>
      <c r="BV13" s="6537">
        <f t="shared" si="31"/>
        <v>121.71603564</v>
      </c>
      <c r="BW13" s="6537">
        <f t="shared" si="31"/>
        <v>222.07761886999998</v>
      </c>
      <c r="BX13" s="6537">
        <f t="shared" si="31"/>
        <v>134.99655784999999</v>
      </c>
      <c r="BY13" s="6537">
        <f t="shared" si="31"/>
        <v>185.93206875999999</v>
      </c>
      <c r="BZ13" s="6537">
        <f t="shared" si="31"/>
        <v>119.40087632000001</v>
      </c>
      <c r="CA13" s="6537">
        <f t="shared" si="31"/>
        <v>143.23107128999999</v>
      </c>
      <c r="CB13" s="6537">
        <f t="shared" si="31"/>
        <v>183.73159751000003</v>
      </c>
      <c r="CC13" s="6573">
        <f t="shared" si="4"/>
        <v>1729.03210666</v>
      </c>
      <c r="CD13" s="6544">
        <f t="shared" si="31"/>
        <v>177.21646773000001</v>
      </c>
      <c r="CE13" s="6544">
        <f t="shared" si="31"/>
        <v>114.3984888</v>
      </c>
      <c r="CF13" s="3813"/>
      <c r="CG13" s="3813"/>
      <c r="CH13" s="3813"/>
      <c r="CI13" s="3813"/>
      <c r="CJ13" s="3687"/>
      <c r="CK13" s="3760"/>
      <c r="CL13" s="3760"/>
      <c r="CM13" s="3760"/>
      <c r="CN13" s="3760"/>
      <c r="CO13" s="3760"/>
      <c r="CP13" s="3761" t="e">
        <f t="shared" si="5"/>
        <v>#N/A</v>
      </c>
      <c r="CQ13" s="3762">
        <f t="shared" si="22"/>
        <v>0</v>
      </c>
      <c r="CR13" s="6862">
        <f t="shared" si="11"/>
        <v>-62.81797893000001</v>
      </c>
      <c r="CS13" s="6747">
        <f t="shared" si="12"/>
        <v>-52.226327239999989</v>
      </c>
      <c r="CT13" s="607"/>
      <c r="CU13" s="6911">
        <f t="shared" si="6"/>
        <v>291.61495652999997</v>
      </c>
      <c r="CV13" s="6747">
        <f t="shared" si="13"/>
        <v>291.61495652999997</v>
      </c>
      <c r="CW13" s="6747">
        <f t="shared" si="23"/>
        <v>0</v>
      </c>
      <c r="CX13" s="6744">
        <f t="shared" si="14"/>
        <v>29.205716639999991</v>
      </c>
      <c r="CY13" s="2775"/>
      <c r="CZ13" s="590" t="str">
        <f>C13</f>
        <v>정책수수료</v>
      </c>
      <c r="DA13" s="3781"/>
      <c r="DB13" s="3781"/>
      <c r="DC13" s="3781"/>
      <c r="DD13" s="3781"/>
      <c r="DE13" s="3781"/>
      <c r="DF13" s="3781"/>
      <c r="DG13" s="3781"/>
      <c r="DH13" s="3781"/>
      <c r="DI13" s="3781"/>
      <c r="DJ13" s="3781"/>
      <c r="DK13" s="3781"/>
      <c r="DL13" s="3781"/>
      <c r="DM13" s="603">
        <f t="shared" si="27"/>
        <v>0</v>
      </c>
      <c r="DO13" s="2261"/>
      <c r="DP13" s="2261"/>
      <c r="DS13" s="2261"/>
      <c r="DT13" s="2261"/>
    </row>
    <row r="14" spans="1:124" ht="16.3" customHeight="1" x14ac:dyDescent="0.55000000000000004">
      <c r="A14" s="3751"/>
      <c r="C14" s="3817" t="s">
        <v>688</v>
      </c>
      <c r="D14" s="3817" t="s">
        <v>100</v>
      </c>
      <c r="E14" s="3817" t="s">
        <v>1222</v>
      </c>
      <c r="F14" s="3818">
        <v>62.752190300000002</v>
      </c>
      <c r="G14" s="3819">
        <v>62.168843420000002</v>
      </c>
      <c r="H14" s="3819">
        <v>60.70369599</v>
      </c>
      <c r="I14" s="3819">
        <v>57.652084700000003</v>
      </c>
      <c r="J14" s="3819">
        <v>71.994799409999999</v>
      </c>
      <c r="K14" s="3819">
        <v>63.717376880000003</v>
      </c>
      <c r="L14" s="3819">
        <v>62.150368120000003</v>
      </c>
      <c r="M14" s="3819">
        <v>68.340835319999996</v>
      </c>
      <c r="N14" s="3819">
        <v>67.181898270000005</v>
      </c>
      <c r="O14" s="3819">
        <v>77.373198939999995</v>
      </c>
      <c r="P14" s="3819">
        <v>100.84694176000001</v>
      </c>
      <c r="Q14" s="3820">
        <v>62.704470319999999</v>
      </c>
      <c r="R14" s="3819">
        <v>61.290172570000003</v>
      </c>
      <c r="S14" s="3819">
        <v>69.716658069999994</v>
      </c>
      <c r="T14" s="3819">
        <v>66.15537587</v>
      </c>
      <c r="U14" s="3819">
        <v>53.694533590000006</v>
      </c>
      <c r="V14" s="3819">
        <v>79.413040930000008</v>
      </c>
      <c r="W14" s="3819">
        <v>92.119046389999994</v>
      </c>
      <c r="X14" s="3819">
        <v>86.365992930000004</v>
      </c>
      <c r="Y14" s="3819">
        <v>105.34176443999999</v>
      </c>
      <c r="Z14" s="3819">
        <v>86.918445329999997</v>
      </c>
      <c r="AA14" s="3819">
        <v>95.634805299999996</v>
      </c>
      <c r="AB14" s="3819">
        <v>78.468243060000006</v>
      </c>
      <c r="AC14" s="3819">
        <v>160.86679315000001</v>
      </c>
      <c r="AD14" s="3821">
        <v>63.36888244</v>
      </c>
      <c r="AE14" s="3819">
        <v>89.881480550000006</v>
      </c>
      <c r="AF14" s="3822">
        <v>68.727471129999998</v>
      </c>
      <c r="AG14" s="3819">
        <v>91.613518139999996</v>
      </c>
      <c r="AH14" s="3819">
        <v>99.935671850000006</v>
      </c>
      <c r="AI14" s="3819">
        <v>107.03450198</v>
      </c>
      <c r="AJ14" s="3819">
        <v>105.11114354999999</v>
      </c>
      <c r="AK14" s="3819">
        <v>123.94395268000001</v>
      </c>
      <c r="AL14" s="3819">
        <v>78.889359909999996</v>
      </c>
      <c r="AM14" s="3819">
        <v>103.79931115000001</v>
      </c>
      <c r="AN14" s="3819">
        <v>76.776727950000009</v>
      </c>
      <c r="AO14" s="3819">
        <v>201.97584856</v>
      </c>
      <c r="AP14" s="3820"/>
      <c r="AQ14" s="3823">
        <v>39.607889669999999</v>
      </c>
      <c r="AR14" s="3824">
        <v>121.51035846999999</v>
      </c>
      <c r="AS14" s="3824">
        <v>77.057831120000003</v>
      </c>
      <c r="AT14" s="3824">
        <v>102.43475540999999</v>
      </c>
      <c r="AU14" s="3824">
        <v>104.80835252999999</v>
      </c>
      <c r="AV14" s="3824">
        <v>127.02525718999999</v>
      </c>
      <c r="AW14" s="3824">
        <v>97.747710499999997</v>
      </c>
      <c r="AX14" s="3824">
        <v>170.64927391000001</v>
      </c>
      <c r="AY14" s="3824">
        <v>104.00489709999999</v>
      </c>
      <c r="AZ14" s="3824">
        <v>145.86148137000001</v>
      </c>
      <c r="BA14" s="3824">
        <v>81.000903090000008</v>
      </c>
      <c r="BB14" s="3824">
        <v>105.20128683000002</v>
      </c>
      <c r="BC14" s="3825">
        <v>1276.9099971900002</v>
      </c>
      <c r="BD14" s="3826">
        <f>(14291.505822/100)-BD50</f>
        <v>142.52133094999999</v>
      </c>
      <c r="BE14" s="3827">
        <f>(9284.452229/100)-BE50</f>
        <v>90.686995699999997</v>
      </c>
      <c r="BF14" s="3827">
        <f>(8770.307297/100)-BF50</f>
        <v>87.087719669999998</v>
      </c>
      <c r="BG14" s="3827">
        <f>(9702.226127/100)-BG50</f>
        <v>92.756790820000006</v>
      </c>
      <c r="BH14" s="3827">
        <f>86.95162969-BH50</f>
        <v>85.287552430000005</v>
      </c>
      <c r="BI14" s="3827">
        <f>77.96328659-BI50</f>
        <v>77.151312730000001</v>
      </c>
      <c r="BJ14" s="3827">
        <f>157.8282656-BJ50</f>
        <v>156.24823773</v>
      </c>
      <c r="BK14" s="3827">
        <v>97.70964275</v>
      </c>
      <c r="BL14" s="3827">
        <v>143.05632341999998</v>
      </c>
      <c r="BM14" s="3827">
        <f>120.75488342-BM50</f>
        <v>117.21301577999999</v>
      </c>
      <c r="BN14" s="3827">
        <f>100.21921748-BN50</f>
        <v>85.758135960000004</v>
      </c>
      <c r="BO14" s="3827">
        <v>106.62768609</v>
      </c>
      <c r="BP14" s="6545">
        <v>1282.1047440300001</v>
      </c>
      <c r="BQ14" s="6584">
        <f>94.15998888-BQ50</f>
        <v>90.128599940000001</v>
      </c>
      <c r="BR14" s="6546">
        <f>151.65931031-BR50</f>
        <v>143.86297662999999</v>
      </c>
      <c r="BS14" s="6546">
        <f>102.7766701-BS50</f>
        <v>101.90001775</v>
      </c>
      <c r="BT14" s="6546">
        <f>96.94536196-BT50</f>
        <v>94.597901870000001</v>
      </c>
      <c r="BU14" s="6546">
        <f>124.46163737-BU50</f>
        <v>123.08660382000001</v>
      </c>
      <c r="BV14" s="6546">
        <f>124.27085998-BV50</f>
        <v>121.90912466</v>
      </c>
      <c r="BW14" s="6546">
        <f>205.26703566-BW50</f>
        <v>202.7067563</v>
      </c>
      <c r="BX14" s="6546">
        <f>131.93518587-BX50</f>
        <v>131.07890674999999</v>
      </c>
      <c r="BY14" s="6546">
        <f>174.5332867-BY50</f>
        <v>170.82371760999999</v>
      </c>
      <c r="BZ14" s="6546">
        <f>119.42022718-BZ50</f>
        <v>115.48542496</v>
      </c>
      <c r="CA14" s="6546">
        <f>(133.48945797)-CA50</f>
        <v>131.92251568999998</v>
      </c>
      <c r="CB14" s="6546">
        <f>(16319.165186/100)-CB50</f>
        <v>161.46234918000002</v>
      </c>
      <c r="CC14" s="6585">
        <f t="shared" si="4"/>
        <v>1588.96489516</v>
      </c>
      <c r="CD14" s="6545">
        <f>161.33931091-CD50</f>
        <v>158.60710329</v>
      </c>
      <c r="CE14" s="6545">
        <f>98.35605829-CE50</f>
        <v>98.10253019999999</v>
      </c>
      <c r="CF14" s="3827"/>
      <c r="CG14" s="3828"/>
      <c r="CH14" s="3827"/>
      <c r="CI14" s="3827"/>
      <c r="CJ14" s="3829"/>
      <c r="CK14" s="3828"/>
      <c r="CL14" s="3828"/>
      <c r="CM14" s="3828"/>
      <c r="CN14" s="3828"/>
      <c r="CO14" s="3828"/>
      <c r="CP14" s="3830" t="e">
        <f t="shared" si="5"/>
        <v>#N/A</v>
      </c>
      <c r="CQ14" s="3831">
        <f t="shared" si="22"/>
        <v>0</v>
      </c>
      <c r="CR14" s="6865">
        <f t="shared" si="11"/>
        <v>-60.504573090000008</v>
      </c>
      <c r="CS14" s="6866">
        <f t="shared" si="12"/>
        <v>-45.760446430000002</v>
      </c>
      <c r="CT14" s="3832"/>
      <c r="CU14" s="6917">
        <f t="shared" si="6"/>
        <v>256.70963348999999</v>
      </c>
      <c r="CV14" s="6866">
        <f t="shared" si="13"/>
        <v>256.70963348999999</v>
      </c>
      <c r="CW14" s="6866">
        <f t="shared" si="23"/>
        <v>0</v>
      </c>
      <c r="CX14" s="6918">
        <f t="shared" si="14"/>
        <v>22.718056919999981</v>
      </c>
      <c r="CY14" s="2775"/>
      <c r="CZ14" s="590" t="str">
        <f t="shared" ref="CZ14:CZ20" si="32">D14</f>
        <v>무선</v>
      </c>
      <c r="DA14" s="643"/>
      <c r="DB14" s="643"/>
      <c r="DC14" s="643"/>
      <c r="DD14" s="643"/>
      <c r="DE14" s="643"/>
      <c r="DF14" s="643"/>
      <c r="DG14" s="643"/>
      <c r="DH14" s="643"/>
      <c r="DI14" s="643"/>
      <c r="DJ14" s="643"/>
      <c r="DK14" s="643"/>
      <c r="DL14" s="643"/>
      <c r="DM14" s="603">
        <f t="shared" si="27"/>
        <v>0</v>
      </c>
      <c r="DO14" s="2261"/>
      <c r="DP14" s="2261"/>
      <c r="DS14" s="2261"/>
      <c r="DT14" s="2261"/>
    </row>
    <row r="15" spans="1:124" ht="16.3" customHeight="1" x14ac:dyDescent="0.55000000000000004">
      <c r="A15" s="3751"/>
      <c r="C15" s="3833"/>
      <c r="D15" s="3834" t="s">
        <v>101</v>
      </c>
      <c r="E15" s="3834" t="s">
        <v>1223</v>
      </c>
      <c r="F15" s="3835">
        <v>3.7536556600000002</v>
      </c>
      <c r="G15" s="3836">
        <v>-0.51352352000000001</v>
      </c>
      <c r="H15" s="3836">
        <v>7.8944596699999998</v>
      </c>
      <c r="I15" s="3836">
        <v>5.0845308300000003</v>
      </c>
      <c r="J15" s="3836">
        <v>-0.25798884</v>
      </c>
      <c r="K15" s="3836">
        <v>3.6902117099999998</v>
      </c>
      <c r="L15" s="3836">
        <v>4.0030310099999999</v>
      </c>
      <c r="M15" s="3836">
        <v>4.8003138099999996</v>
      </c>
      <c r="N15" s="3836">
        <v>2.79769662</v>
      </c>
      <c r="O15" s="3836">
        <v>4.9960320200000004</v>
      </c>
      <c r="P15" s="3836">
        <v>2.6744398899999999</v>
      </c>
      <c r="Q15" s="3837">
        <v>2.6279369099999998</v>
      </c>
      <c r="R15" s="3836">
        <v>6.4691446900000003</v>
      </c>
      <c r="S15" s="3836">
        <v>0.29092113000000003</v>
      </c>
      <c r="T15" s="3836">
        <v>-3.6678775400000001</v>
      </c>
      <c r="U15" s="3836">
        <v>2.7421373600000001</v>
      </c>
      <c r="V15" s="3836">
        <v>3.1083499100000003</v>
      </c>
      <c r="W15" s="3836">
        <v>3.9224923599999997</v>
      </c>
      <c r="X15" s="3836">
        <v>2.1399998</v>
      </c>
      <c r="Y15" s="3836">
        <v>1.28488092</v>
      </c>
      <c r="Z15" s="3836">
        <v>4.2408331399999994</v>
      </c>
      <c r="AA15" s="3836">
        <v>5.3232250300000006</v>
      </c>
      <c r="AB15" s="3836">
        <v>5.1651081200000002</v>
      </c>
      <c r="AC15" s="3836">
        <v>1.4533179599999999</v>
      </c>
      <c r="AD15" s="3838">
        <v>4.3081679700000004</v>
      </c>
      <c r="AE15" s="3836">
        <v>3.4596139099999998</v>
      </c>
      <c r="AF15" s="3839">
        <v>-2.0411117000000001</v>
      </c>
      <c r="AG15" s="3836">
        <v>4.9382714099999996</v>
      </c>
      <c r="AH15" s="3836">
        <v>2.08361302</v>
      </c>
      <c r="AI15" s="3836">
        <v>0.66819368999999995</v>
      </c>
      <c r="AJ15" s="3836">
        <v>-0.81701070999999992</v>
      </c>
      <c r="AK15" s="3836">
        <v>4.8598722199999997</v>
      </c>
      <c r="AL15" s="3836">
        <v>12.265393919999999</v>
      </c>
      <c r="AM15" s="3836">
        <v>5.0472907999999999</v>
      </c>
      <c r="AN15" s="3836">
        <v>-0.86598039000000004</v>
      </c>
      <c r="AO15" s="3836">
        <v>-3.8787438399999998</v>
      </c>
      <c r="AP15" s="3837"/>
      <c r="AQ15" s="3840">
        <v>0.32186281999999999</v>
      </c>
      <c r="AR15" s="3841">
        <v>4.6769717899999996</v>
      </c>
      <c r="AS15" s="3841">
        <v>1.4294522799999998</v>
      </c>
      <c r="AT15" s="3841">
        <v>4.1119909200000002</v>
      </c>
      <c r="AU15" s="3841">
        <v>2.6394275499999997</v>
      </c>
      <c r="AV15" s="3841">
        <v>-5.4491669999999999E-2</v>
      </c>
      <c r="AW15" s="3841">
        <v>-3.0271059299999981</v>
      </c>
      <c r="AX15" s="3841">
        <v>5.9480625599999994</v>
      </c>
      <c r="AY15" s="3841">
        <v>-4.9910421600000001</v>
      </c>
      <c r="AZ15" s="3841">
        <v>0.14376036</v>
      </c>
      <c r="BA15" s="3841">
        <v>-0.51294951</v>
      </c>
      <c r="BB15" s="3841">
        <v>-0.15039680999999999</v>
      </c>
      <c r="BC15" s="3842">
        <v>10.535542200000002</v>
      </c>
      <c r="BD15" s="3843">
        <v>6.6299535800000005</v>
      </c>
      <c r="BE15" s="3844">
        <v>-2.2929907099999998</v>
      </c>
      <c r="BF15" s="3844">
        <v>11.659342950000001</v>
      </c>
      <c r="BG15" s="3844">
        <v>11.345531940000001</v>
      </c>
      <c r="BH15" s="3844">
        <v>13.18573207</v>
      </c>
      <c r="BI15" s="3844">
        <v>13.079573379999999</v>
      </c>
      <c r="BJ15" s="3844">
        <v>10.974492359999999</v>
      </c>
      <c r="BK15" s="3844">
        <v>2.6085676599999998</v>
      </c>
      <c r="BL15" s="3844">
        <v>12.941643340000001</v>
      </c>
      <c r="BM15" s="3844">
        <f>4.68660113</f>
        <v>4.6866011299999997</v>
      </c>
      <c r="BN15" s="3844">
        <v>5.7800246499999997</v>
      </c>
      <c r="BO15" s="3844">
        <v>6.4219597799999999</v>
      </c>
      <c r="BP15" s="6548">
        <v>97.020432130000003</v>
      </c>
      <c r="BQ15" s="6586">
        <v>5.6558239100000005</v>
      </c>
      <c r="BR15" s="6547">
        <v>22.761839409999997</v>
      </c>
      <c r="BS15" s="6547">
        <v>8.3621767699999996</v>
      </c>
      <c r="BT15" s="6547">
        <v>9.4018754300000005</v>
      </c>
      <c r="BU15" s="6547">
        <v>18.188464889999999</v>
      </c>
      <c r="BV15" s="6547">
        <v>-0.19308901999999861</v>
      </c>
      <c r="BW15" s="6547">
        <v>19.37086257</v>
      </c>
      <c r="BX15" s="6547">
        <v>3.9176511000000001</v>
      </c>
      <c r="BY15" s="6547">
        <v>15.108351150000001</v>
      </c>
      <c r="BZ15" s="6547">
        <v>3.9154513599999987</v>
      </c>
      <c r="CA15" s="6547">
        <v>11.3085556</v>
      </c>
      <c r="CB15" s="6547">
        <v>22.26924833</v>
      </c>
      <c r="CC15" s="6587">
        <f t="shared" si="4"/>
        <v>140.06721150000001</v>
      </c>
      <c r="CD15" s="6549">
        <v>18.60936444</v>
      </c>
      <c r="CE15" s="6547">
        <v>16.295958599999999</v>
      </c>
      <c r="CF15" s="3844"/>
      <c r="CG15" s="3845"/>
      <c r="CH15" s="3844"/>
      <c r="CI15" s="3846"/>
      <c r="CJ15" s="3846"/>
      <c r="CK15" s="3845"/>
      <c r="CL15" s="3845"/>
      <c r="CM15" s="3844"/>
      <c r="CN15" s="3844"/>
      <c r="CO15" s="3844"/>
      <c r="CP15" s="3847" t="e">
        <f t="shared" si="5"/>
        <v>#N/A</v>
      </c>
      <c r="CQ15" s="3848">
        <f t="shared" si="22"/>
        <v>0</v>
      </c>
      <c r="CR15" s="6867">
        <f t="shared" si="11"/>
        <v>-2.3134058400000015</v>
      </c>
      <c r="CS15" s="6737">
        <f t="shared" si="12"/>
        <v>-6.465880809999998</v>
      </c>
      <c r="CT15" s="3849"/>
      <c r="CU15" s="6919">
        <f t="shared" si="6"/>
        <v>34.905323039999999</v>
      </c>
      <c r="CV15" s="6920">
        <f t="shared" si="13"/>
        <v>34.905323039999999</v>
      </c>
      <c r="CW15" s="6920">
        <f t="shared" si="23"/>
        <v>0</v>
      </c>
      <c r="CX15" s="6921">
        <f t="shared" si="14"/>
        <v>6.4876597200000035</v>
      </c>
      <c r="CY15" s="2775"/>
      <c r="CZ15" s="590" t="str">
        <f t="shared" si="32"/>
        <v>유선</v>
      </c>
      <c r="DA15" s="602"/>
      <c r="DB15" s="602"/>
      <c r="DC15" s="602"/>
      <c r="DD15" s="602"/>
      <c r="DE15" s="602"/>
      <c r="DF15" s="602"/>
      <c r="DG15" s="602"/>
      <c r="DH15" s="602"/>
      <c r="DI15" s="602"/>
      <c r="DJ15" s="602"/>
      <c r="DK15" s="602"/>
      <c r="DL15" s="602"/>
      <c r="DM15" s="603">
        <f t="shared" si="27"/>
        <v>0</v>
      </c>
      <c r="DO15" s="2261"/>
      <c r="DP15" s="2261"/>
      <c r="DS15" s="2261"/>
      <c r="DT15" s="2261"/>
    </row>
    <row r="16" spans="1:124" ht="16.3" customHeight="1" x14ac:dyDescent="0.55000000000000004">
      <c r="A16" s="3751"/>
      <c r="C16" s="657" t="s">
        <v>689</v>
      </c>
      <c r="D16" s="657" t="s">
        <v>19</v>
      </c>
      <c r="E16" s="657"/>
      <c r="F16" s="3850"/>
      <c r="G16" s="3851"/>
      <c r="H16" s="3851"/>
      <c r="I16" s="3851"/>
      <c r="J16" s="3851"/>
      <c r="K16" s="3851"/>
      <c r="L16" s="3851"/>
      <c r="M16" s="3851"/>
      <c r="N16" s="3851"/>
      <c r="O16" s="3851"/>
      <c r="P16" s="3851"/>
      <c r="Q16" s="3852"/>
      <c r="R16" s="3851"/>
      <c r="S16" s="3851"/>
      <c r="T16" s="3851"/>
      <c r="U16" s="3851"/>
      <c r="V16" s="3851"/>
      <c r="W16" s="3851"/>
      <c r="X16" s="3851"/>
      <c r="Y16" s="3851"/>
      <c r="Z16" s="3851"/>
      <c r="AA16" s="3851"/>
      <c r="AB16" s="3851"/>
      <c r="AC16" s="3851"/>
      <c r="AD16" s="3752"/>
      <c r="AE16" s="3851"/>
      <c r="AF16" s="3853"/>
      <c r="AG16" s="3851"/>
      <c r="AH16" s="3851"/>
      <c r="AI16" s="3851"/>
      <c r="AJ16" s="3851"/>
      <c r="AK16" s="3851"/>
      <c r="AL16" s="3851"/>
      <c r="AM16" s="3851"/>
      <c r="AN16" s="3851"/>
      <c r="AO16" s="3854"/>
      <c r="AP16" s="3852"/>
      <c r="AQ16" s="3756">
        <v>65.196454645454537</v>
      </c>
      <c r="AR16" s="3757">
        <v>101.14363206363635</v>
      </c>
      <c r="AS16" s="3757">
        <v>83.760335400000002</v>
      </c>
      <c r="AT16" s="3757">
        <v>86.435154800000007</v>
      </c>
      <c r="AU16" s="3757">
        <v>88.062806490909097</v>
      </c>
      <c r="AV16" s="3757">
        <v>86.666751163636363</v>
      </c>
      <c r="AW16" s="3757">
        <v>68.686928145454544</v>
      </c>
      <c r="AX16" s="3757">
        <v>136.58719861818179</v>
      </c>
      <c r="AY16" s="3757">
        <v>53.766597872727267</v>
      </c>
      <c r="AZ16" s="3757">
        <v>99.132962363636366</v>
      </c>
      <c r="BA16" s="3757">
        <v>63.846133331818173</v>
      </c>
      <c r="BB16" s="3757">
        <v>50.37641919090909</v>
      </c>
      <c r="BC16" s="3758">
        <v>983.66137408636359</v>
      </c>
      <c r="BD16" s="628">
        <f>BD91</f>
        <v>119.22844173999999</v>
      </c>
      <c r="BE16" s="3759">
        <f>BE91</f>
        <v>76.720495190452382</v>
      </c>
      <c r="BF16" s="3759">
        <f t="shared" ref="BF16:BL16" si="33">BF91</f>
        <v>78.067282197083799</v>
      </c>
      <c r="BG16" s="3759">
        <f t="shared" si="33"/>
        <v>76.931196384567201</v>
      </c>
      <c r="BH16" s="3759">
        <f t="shared" si="33"/>
        <v>76.158187668242093</v>
      </c>
      <c r="BI16" s="3759">
        <f t="shared" si="33"/>
        <v>74.807018300410789</v>
      </c>
      <c r="BJ16" s="3759">
        <f t="shared" si="33"/>
        <v>133.57699194930106</v>
      </c>
      <c r="BK16" s="3759">
        <f t="shared" si="33"/>
        <v>87.913465349536054</v>
      </c>
      <c r="BL16" s="596">
        <f t="shared" si="33"/>
        <v>110.98873115148167</v>
      </c>
      <c r="BM16" s="596">
        <f>BM91</f>
        <v>88.056731837037901</v>
      </c>
      <c r="BN16" s="596">
        <f>BN91</f>
        <v>75.031802942764685</v>
      </c>
      <c r="BO16" s="596">
        <f>BO91</f>
        <v>64.713366496306492</v>
      </c>
      <c r="BP16" s="6538">
        <v>1062.1937112071842</v>
      </c>
      <c r="BQ16" s="6572">
        <v>49.550632411397068</v>
      </c>
      <c r="BR16" s="6537">
        <v>135.13312066999998</v>
      </c>
      <c r="BS16" s="6537">
        <v>97.077539061742797</v>
      </c>
      <c r="BT16" s="6537">
        <v>93.319227909999995</v>
      </c>
      <c r="BU16" s="6537">
        <v>120.71903759999999</v>
      </c>
      <c r="BV16" s="6537">
        <v>87.744516999999988</v>
      </c>
      <c r="BW16" s="6537">
        <v>170.43939724999998</v>
      </c>
      <c r="BX16" s="6537">
        <v>100.73823685000001</v>
      </c>
      <c r="BY16" s="6537">
        <v>110.14978865</v>
      </c>
      <c r="BZ16" s="6537">
        <v>79.77300421999999</v>
      </c>
      <c r="CA16" s="6537">
        <v>66.225831493298131</v>
      </c>
      <c r="CB16" s="6537">
        <v>63.352057251273543</v>
      </c>
      <c r="CC16" s="6573">
        <f t="shared" si="4"/>
        <v>1174.2223903677113</v>
      </c>
      <c r="CD16" s="6544">
        <v>89.842143429999993</v>
      </c>
      <c r="CE16" s="6591">
        <v>59.52325433</v>
      </c>
      <c r="CF16" s="3759"/>
      <c r="CG16" s="3766"/>
      <c r="CH16" s="3759"/>
      <c r="CI16" s="3855"/>
      <c r="CJ16" s="3765"/>
      <c r="CK16" s="3855"/>
      <c r="CL16" s="3813"/>
      <c r="CM16" s="596"/>
      <c r="CN16" s="596"/>
      <c r="CO16" s="596"/>
      <c r="CP16" s="3856"/>
      <c r="CQ16" s="768"/>
      <c r="CR16" s="6862">
        <f t="shared" si="11"/>
        <v>-30.318889099999993</v>
      </c>
      <c r="CS16" s="6747">
        <f t="shared" si="12"/>
        <v>-75.609866339999982</v>
      </c>
      <c r="CT16" s="3857"/>
      <c r="CU16" s="6911">
        <f t="shared" si="6"/>
        <v>149.36539776000001</v>
      </c>
      <c r="CV16" s="6922"/>
      <c r="CW16" s="6922"/>
      <c r="CX16" s="6744">
        <f t="shared" si="14"/>
        <v>-35.318355321397036</v>
      </c>
      <c r="CY16" s="2775"/>
      <c r="CZ16" s="590" t="str">
        <f t="shared" si="32"/>
        <v>소매</v>
      </c>
      <c r="DA16" s="3858"/>
      <c r="DB16" s="3858"/>
      <c r="DC16" s="3858"/>
      <c r="DD16" s="3858"/>
      <c r="DE16" s="3858"/>
      <c r="DF16" s="3858"/>
      <c r="DG16" s="3858"/>
      <c r="DH16" s="3858"/>
      <c r="DI16" s="3858"/>
      <c r="DJ16" s="3858"/>
      <c r="DK16" s="3858"/>
      <c r="DL16" s="3858"/>
      <c r="DM16" s="603">
        <f t="shared" si="27"/>
        <v>0</v>
      </c>
      <c r="DO16" s="2261"/>
      <c r="DP16" s="2261"/>
      <c r="DS16" s="2261"/>
      <c r="DT16" s="2261"/>
    </row>
    <row r="17" spans="1:124" ht="16.3" customHeight="1" x14ac:dyDescent="0.55000000000000004">
      <c r="A17" s="3751"/>
      <c r="C17" s="1860"/>
      <c r="D17" s="657" t="s">
        <v>20</v>
      </c>
      <c r="E17" s="657"/>
      <c r="F17" s="3850"/>
      <c r="G17" s="3851"/>
      <c r="H17" s="3851"/>
      <c r="I17" s="3851"/>
      <c r="J17" s="3851"/>
      <c r="K17" s="3851"/>
      <c r="L17" s="3851"/>
      <c r="M17" s="3851"/>
      <c r="N17" s="3851"/>
      <c r="O17" s="3851"/>
      <c r="P17" s="3851"/>
      <c r="Q17" s="3852"/>
      <c r="R17" s="3851"/>
      <c r="S17" s="3851"/>
      <c r="T17" s="3851"/>
      <c r="U17" s="3851"/>
      <c r="V17" s="3851"/>
      <c r="W17" s="3851"/>
      <c r="X17" s="3851"/>
      <c r="Y17" s="3851"/>
      <c r="Z17" s="3851"/>
      <c r="AA17" s="3851"/>
      <c r="AB17" s="3851"/>
      <c r="AC17" s="3851"/>
      <c r="AD17" s="3752"/>
      <c r="AE17" s="3851"/>
      <c r="AF17" s="3853"/>
      <c r="AG17" s="3851"/>
      <c r="AH17" s="3851"/>
      <c r="AI17" s="3851"/>
      <c r="AJ17" s="3851"/>
      <c r="AK17" s="3851"/>
      <c r="AL17" s="3851"/>
      <c r="AM17" s="3851"/>
      <c r="AN17" s="3851"/>
      <c r="AO17" s="3854"/>
      <c r="AP17" s="3852"/>
      <c r="AQ17" s="3756">
        <v>79.726587539999997</v>
      </c>
      <c r="AR17" s="3757">
        <v>101.15128841000002</v>
      </c>
      <c r="AS17" s="3757">
        <v>75.106436419999994</v>
      </c>
      <c r="AT17" s="3757">
        <v>81.7203667</v>
      </c>
      <c r="AU17" s="3757">
        <v>74.699835210000003</v>
      </c>
      <c r="AV17" s="3757">
        <v>71.695196330000002</v>
      </c>
      <c r="AW17" s="3757">
        <v>88.783247250000002</v>
      </c>
      <c r="AX17" s="3757">
        <v>121.17300809</v>
      </c>
      <c r="AY17" s="3757">
        <v>87.086653681077493</v>
      </c>
      <c r="AZ17" s="3757">
        <v>95.300378201577402</v>
      </c>
      <c r="BA17" s="3757">
        <v>75.288409722199802</v>
      </c>
      <c r="BB17" s="3757">
        <v>64.490087519501401</v>
      </c>
      <c r="BC17" s="3758">
        <v>1016.221495074356</v>
      </c>
      <c r="BD17" s="628">
        <f>BD112</f>
        <v>93.681876590000002</v>
      </c>
      <c r="BE17" s="628">
        <f t="shared" ref="BE17:BM17" si="34">BE112</f>
        <v>62.089300527458896</v>
      </c>
      <c r="BF17" s="628">
        <f t="shared" si="34"/>
        <v>49.030871930089013</v>
      </c>
      <c r="BG17" s="628">
        <f t="shared" si="34"/>
        <v>51.625608865952451</v>
      </c>
      <c r="BH17" s="628">
        <f t="shared" si="34"/>
        <v>47.577181599997331</v>
      </c>
      <c r="BI17" s="628">
        <f t="shared" si="34"/>
        <v>47.880170992705509</v>
      </c>
      <c r="BJ17" s="628">
        <f t="shared" si="34"/>
        <v>50.827455253879393</v>
      </c>
      <c r="BK17" s="628">
        <f t="shared" si="34"/>
        <v>30.005933840463953</v>
      </c>
      <c r="BL17" s="596">
        <f t="shared" si="34"/>
        <v>18.977916748518325</v>
      </c>
      <c r="BM17" s="596">
        <f t="shared" si="34"/>
        <v>10.944332392962133</v>
      </c>
      <c r="BN17" s="596">
        <f>BN112</f>
        <v>6.0690275672353193</v>
      </c>
      <c r="BO17" s="596">
        <f>BO112</f>
        <v>7.2124588436934935</v>
      </c>
      <c r="BP17" s="6538">
        <v>475.92213515295583</v>
      </c>
      <c r="BQ17" s="6572">
        <v>1.8922512386029322</v>
      </c>
      <c r="BR17" s="6537">
        <v>2.4818941900000002</v>
      </c>
      <c r="BS17" s="6537">
        <v>0.70588277825719248</v>
      </c>
      <c r="BT17" s="6537">
        <v>3.8676703799999999</v>
      </c>
      <c r="BU17" s="6537">
        <v>0.20809046</v>
      </c>
      <c r="BV17" s="6537">
        <v>0.95145148999999996</v>
      </c>
      <c r="BW17" s="6537">
        <v>1.1885326399999998</v>
      </c>
      <c r="BX17" s="6537">
        <v>0.66414165999999997</v>
      </c>
      <c r="BY17" s="6537">
        <v>2.6811764299999998</v>
      </c>
      <c r="BZ17" s="6537">
        <v>-1.43874788</v>
      </c>
      <c r="CA17" s="6537">
        <v>0.55627282670187073</v>
      </c>
      <c r="CB17" s="6537">
        <v>0.80422347872646049</v>
      </c>
      <c r="CC17" s="6573">
        <f t="shared" si="4"/>
        <v>14.562839692288454</v>
      </c>
      <c r="CD17" s="6544">
        <v>1.16736518</v>
      </c>
      <c r="CE17" s="6537">
        <v>0.88786531000000002</v>
      </c>
      <c r="CF17" s="596"/>
      <c r="CG17" s="3859"/>
      <c r="CH17" s="596"/>
      <c r="CI17" s="3813"/>
      <c r="CJ17" s="3687"/>
      <c r="CK17" s="3813"/>
      <c r="CL17" s="3813"/>
      <c r="CM17" s="596"/>
      <c r="CN17" s="596"/>
      <c r="CO17" s="596"/>
      <c r="CP17" s="3856"/>
      <c r="CQ17" s="768"/>
      <c r="CR17" s="6862">
        <f t="shared" si="11"/>
        <v>-0.27949986999999998</v>
      </c>
      <c r="CS17" s="6747">
        <f t="shared" si="12"/>
        <v>-1.5940288800000002</v>
      </c>
      <c r="CT17" s="3857"/>
      <c r="CU17" s="6911">
        <f t="shared" si="6"/>
        <v>2.05523049</v>
      </c>
      <c r="CV17" s="6922"/>
      <c r="CW17" s="6922"/>
      <c r="CX17" s="6744">
        <f t="shared" si="14"/>
        <v>-2.3189149386029322</v>
      </c>
      <c r="CY17" s="2775"/>
      <c r="CZ17" s="590" t="str">
        <f t="shared" si="32"/>
        <v>도매</v>
      </c>
      <c r="DA17" s="3858"/>
      <c r="DB17" s="3858"/>
      <c r="DC17" s="3858"/>
      <c r="DD17" s="3858"/>
      <c r="DE17" s="3858"/>
      <c r="DF17" s="3858"/>
      <c r="DG17" s="3858"/>
      <c r="DH17" s="3858"/>
      <c r="DI17" s="3858"/>
      <c r="DJ17" s="3858"/>
      <c r="DK17" s="3858"/>
      <c r="DL17" s="3858"/>
      <c r="DM17" s="603">
        <f t="shared" si="27"/>
        <v>0</v>
      </c>
      <c r="DO17" s="2261"/>
      <c r="DP17" s="2261"/>
      <c r="DS17" s="2261"/>
      <c r="DT17" s="2261"/>
    </row>
    <row r="18" spans="1:124" ht="16.3" customHeight="1" x14ac:dyDescent="0.55000000000000004">
      <c r="A18" s="3751"/>
      <c r="C18" s="1860"/>
      <c r="D18" s="657" t="s">
        <v>875</v>
      </c>
      <c r="E18" s="657"/>
      <c r="F18" s="3850"/>
      <c r="G18" s="3851"/>
      <c r="H18" s="3851"/>
      <c r="I18" s="3851"/>
      <c r="J18" s="3851"/>
      <c r="K18" s="3851"/>
      <c r="L18" s="3851"/>
      <c r="M18" s="3851"/>
      <c r="N18" s="3851"/>
      <c r="O18" s="3851"/>
      <c r="P18" s="3851"/>
      <c r="Q18" s="3852"/>
      <c r="R18" s="3851"/>
      <c r="S18" s="3851"/>
      <c r="T18" s="3851"/>
      <c r="U18" s="3851"/>
      <c r="V18" s="3851"/>
      <c r="W18" s="3851"/>
      <c r="X18" s="3851"/>
      <c r="Y18" s="3851"/>
      <c r="Z18" s="3851"/>
      <c r="AA18" s="3851"/>
      <c r="AB18" s="3851"/>
      <c r="AC18" s="3851"/>
      <c r="AD18" s="3752"/>
      <c r="AE18" s="3851"/>
      <c r="AF18" s="3853"/>
      <c r="AG18" s="3851"/>
      <c r="AH18" s="3851"/>
      <c r="AI18" s="3851"/>
      <c r="AJ18" s="3851"/>
      <c r="AK18" s="3851"/>
      <c r="AL18" s="3851"/>
      <c r="AM18" s="3851"/>
      <c r="AN18" s="3851"/>
      <c r="AO18" s="3854"/>
      <c r="AP18" s="3852"/>
      <c r="AQ18" s="3756">
        <v>2.2492078100000001</v>
      </c>
      <c r="AR18" s="3757">
        <v>15.326399090000001</v>
      </c>
      <c r="AS18" s="3757">
        <v>9.97892285</v>
      </c>
      <c r="AT18" s="3757">
        <v>8.0602548600000006</v>
      </c>
      <c r="AU18" s="3757">
        <v>10.574178959999999</v>
      </c>
      <c r="AV18" s="3757">
        <v>11.279598180000001</v>
      </c>
      <c r="AW18" s="3757">
        <v>9.4175660299999997</v>
      </c>
      <c r="AX18" s="3757">
        <v>22.97286021</v>
      </c>
      <c r="AY18" s="3757">
        <v>2.5173947499999998</v>
      </c>
      <c r="AZ18" s="3757">
        <v>20.538734359999999</v>
      </c>
      <c r="BA18" s="3757">
        <v>10.85683671</v>
      </c>
      <c r="BB18" s="3757">
        <v>10.036640970000001</v>
      </c>
      <c r="BC18" s="3758">
        <v>133.80859477999999</v>
      </c>
      <c r="BD18" s="628">
        <f>BD160</f>
        <v>15.268876150000001</v>
      </c>
      <c r="BE18" s="628">
        <f t="shared" ref="BE18:BM18" si="35">BE160</f>
        <v>9.56613617</v>
      </c>
      <c r="BF18" s="628">
        <f t="shared" si="35"/>
        <v>13.16603301</v>
      </c>
      <c r="BG18" s="628">
        <f t="shared" si="35"/>
        <v>13.42700893</v>
      </c>
      <c r="BH18" s="628">
        <f t="shared" si="35"/>
        <v>18.838185459999998</v>
      </c>
      <c r="BI18" s="628">
        <f t="shared" si="35"/>
        <v>11.711347229999999</v>
      </c>
      <c r="BJ18" s="628">
        <f t="shared" si="35"/>
        <v>18.233952299999999</v>
      </c>
      <c r="BK18" s="628">
        <f t="shared" si="35"/>
        <v>13.10290077</v>
      </c>
      <c r="BL18" s="596">
        <f t="shared" si="35"/>
        <v>23.172468859999999</v>
      </c>
      <c r="BM18" s="596">
        <f t="shared" si="35"/>
        <v>22.131848040000001</v>
      </c>
      <c r="BN18" s="596">
        <f>BN160</f>
        <v>17.781846250000001</v>
      </c>
      <c r="BO18" s="596">
        <f>BO160</f>
        <v>11.927290940000001</v>
      </c>
      <c r="BP18" s="6538">
        <v>188.32789410999999</v>
      </c>
      <c r="BQ18" s="6572">
        <v>24.539149869999999</v>
      </c>
      <c r="BR18" s="6537">
        <v>24.976993330000003</v>
      </c>
      <c r="BS18" s="6537">
        <v>8.5582727800000029</v>
      </c>
      <c r="BT18" s="6537">
        <v>10.23685229</v>
      </c>
      <c r="BU18" s="6537">
        <v>13.66836558</v>
      </c>
      <c r="BV18" s="6537">
        <v>22.24111684</v>
      </c>
      <c r="BW18" s="6537">
        <v>45.687561489999993</v>
      </c>
      <c r="BX18" s="6537">
        <v>35.560174449999998</v>
      </c>
      <c r="BY18" s="6537">
        <v>53.929139360000001</v>
      </c>
      <c r="BZ18" s="6542">
        <v>45.383741640000004</v>
      </c>
      <c r="CA18" s="6537">
        <v>37.088442920000006</v>
      </c>
      <c r="CB18" s="6537">
        <v>42.187588810000001</v>
      </c>
      <c r="CC18" s="6573">
        <f t="shared" si="4"/>
        <v>364.05739936000003</v>
      </c>
      <c r="CD18" s="6544">
        <v>53.249711380000001</v>
      </c>
      <c r="CE18" s="6537">
        <v>34.354443770000003</v>
      </c>
      <c r="CF18" s="596"/>
      <c r="CG18" s="3859"/>
      <c r="CH18" s="596"/>
      <c r="CI18" s="3813"/>
      <c r="CJ18" s="3687"/>
      <c r="CK18" s="3813"/>
      <c r="CL18" s="3813"/>
      <c r="CM18" s="596"/>
      <c r="CN18" s="596"/>
      <c r="CO18" s="596"/>
      <c r="CP18" s="3856"/>
      <c r="CQ18" s="768"/>
      <c r="CR18" s="6862">
        <f t="shared" si="11"/>
        <v>-18.895267609999998</v>
      </c>
      <c r="CS18" s="6747">
        <f t="shared" si="12"/>
        <v>9.3774504400000005</v>
      </c>
      <c r="CT18" s="3857"/>
      <c r="CU18" s="6911">
        <f t="shared" si="6"/>
        <v>87.604155149999997</v>
      </c>
      <c r="CV18" s="6922"/>
      <c r="CW18" s="6922"/>
      <c r="CX18" s="6744">
        <f t="shared" si="14"/>
        <v>38.088011949999995</v>
      </c>
      <c r="CY18" s="2775"/>
      <c r="CZ18" s="590" t="str">
        <f t="shared" si="32"/>
        <v>디지털</v>
      </c>
      <c r="DA18" s="3858"/>
      <c r="DB18" s="3858"/>
      <c r="DC18" s="3858"/>
      <c r="DD18" s="3858"/>
      <c r="DE18" s="3858"/>
      <c r="DF18" s="3858"/>
      <c r="DG18" s="3858"/>
      <c r="DH18" s="3858"/>
      <c r="DI18" s="3858"/>
      <c r="DJ18" s="3858"/>
      <c r="DK18" s="3858"/>
      <c r="DL18" s="3858"/>
      <c r="DM18" s="603">
        <f t="shared" si="27"/>
        <v>0</v>
      </c>
      <c r="DO18" s="2261"/>
      <c r="DP18" s="2261"/>
      <c r="DS18" s="2261"/>
      <c r="DT18" s="2261"/>
    </row>
    <row r="19" spans="1:124" ht="16.3" customHeight="1" x14ac:dyDescent="0.55000000000000004">
      <c r="A19" s="3751"/>
      <c r="C19" s="656" t="s">
        <v>1036</v>
      </c>
      <c r="D19" s="657" t="s">
        <v>66</v>
      </c>
      <c r="E19" s="657" t="s">
        <v>1102</v>
      </c>
      <c r="F19" s="3850"/>
      <c r="G19" s="3851"/>
      <c r="H19" s="3851"/>
      <c r="I19" s="3851"/>
      <c r="J19" s="3851"/>
      <c r="K19" s="3851"/>
      <c r="L19" s="3851"/>
      <c r="M19" s="3851"/>
      <c r="N19" s="3851"/>
      <c r="O19" s="3851"/>
      <c r="P19" s="3851"/>
      <c r="Q19" s="3852"/>
      <c r="R19" s="3851"/>
      <c r="S19" s="3851"/>
      <c r="T19" s="3851"/>
      <c r="U19" s="3851"/>
      <c r="V19" s="3851"/>
      <c r="W19" s="3851"/>
      <c r="X19" s="3851"/>
      <c r="Y19" s="3851"/>
      <c r="Z19" s="3851"/>
      <c r="AA19" s="3851"/>
      <c r="AB19" s="3851"/>
      <c r="AC19" s="3851"/>
      <c r="AD19" s="3752"/>
      <c r="AE19" s="3851"/>
      <c r="AF19" s="3853"/>
      <c r="AG19" s="3851"/>
      <c r="AH19" s="3851"/>
      <c r="AI19" s="3851"/>
      <c r="AJ19" s="3851"/>
      <c r="AK19" s="3851"/>
      <c r="AL19" s="3851"/>
      <c r="AM19" s="3851"/>
      <c r="AN19" s="3851"/>
      <c r="AO19" s="3854"/>
      <c r="AP19" s="3852"/>
      <c r="AQ19" s="3756">
        <v>-14.952390405454537</v>
      </c>
      <c r="AR19" s="3757">
        <v>20.65425406636362</v>
      </c>
      <c r="AS19" s="3757">
        <v>6.5305214800000044</v>
      </c>
      <c r="AT19" s="3757">
        <v>23.230122759999986</v>
      </c>
      <c r="AU19" s="3757">
        <v>26.516637999090889</v>
      </c>
      <c r="AV19" s="3757">
        <v>49.049275256363622</v>
      </c>
      <c r="AW19" s="3757">
        <v>29.098264124545437</v>
      </c>
      <c r="AX19" s="3757">
        <v>40.529453101818234</v>
      </c>
      <c r="AY19" s="3757">
        <v>51.771138106195224</v>
      </c>
      <c r="AZ19" s="3757">
        <v>44.569634494786214</v>
      </c>
      <c r="BA19" s="3757">
        <v>27.532633515982027</v>
      </c>
      <c r="BB19" s="3757">
        <v>58.175622579589522</v>
      </c>
      <c r="BC19" s="3758">
        <v>362.70516707928022</v>
      </c>
      <c r="BD19" s="628">
        <v>11.68552173</v>
      </c>
      <c r="BE19" s="3759">
        <v>5.1762130620887348</v>
      </c>
      <c r="BF19" s="3759">
        <v>8.9916792228271589</v>
      </c>
      <c r="BG19" s="596">
        <v>13.13554831948035</v>
      </c>
      <c r="BH19" s="596">
        <v>10.677747471760568</v>
      </c>
      <c r="BI19" s="596">
        <v>10.078795036883719</v>
      </c>
      <c r="BJ19" s="596">
        <v>35.617727826819561</v>
      </c>
      <c r="BK19" s="596">
        <v>14.76793004000001</v>
      </c>
      <c r="BL19" s="596">
        <v>32.623446299999983</v>
      </c>
      <c r="BM19" s="596">
        <v>30.549016720000001</v>
      </c>
      <c r="BN19" s="596">
        <v>19.268504620000002</v>
      </c>
      <c r="BO19" s="596">
        <v>20.268504620000002</v>
      </c>
      <c r="BP19" s="6538">
        <v>212.84063496986005</v>
      </c>
      <c r="BQ19" s="6572">
        <v>18.417865639999999</v>
      </c>
      <c r="BR19" s="6537">
        <v>28.322452739999999</v>
      </c>
      <c r="BS19" s="6537">
        <v>23.072599889999999</v>
      </c>
      <c r="BT19" s="6537">
        <v>21.997285290000001</v>
      </c>
      <c r="BU19" s="6537">
        <v>29.546987189999999</v>
      </c>
      <c r="BV19" s="6537">
        <v>48.038093379999999</v>
      </c>
      <c r="BW19" s="6537">
        <v>41.151348370000008</v>
      </c>
      <c r="BX19" s="6537">
        <v>31.099450229999999</v>
      </c>
      <c r="BY19" s="6537">
        <v>40.848417150000003</v>
      </c>
      <c r="BZ19" s="6537">
        <v>24.811002490000003</v>
      </c>
      <c r="CA19" s="6537">
        <v>51.910726690000011</v>
      </c>
      <c r="CB19" s="6537">
        <v>35.002715450000004</v>
      </c>
      <c r="CC19" s="6573">
        <f t="shared" si="4"/>
        <v>394.21894450999997</v>
      </c>
      <c r="CD19" s="6544">
        <v>37.62606366</v>
      </c>
      <c r="CE19" s="6591">
        <v>32.749709199999998</v>
      </c>
      <c r="CF19" s="3759"/>
      <c r="CG19" s="3760"/>
      <c r="CH19" s="596"/>
      <c r="CI19" s="3813"/>
      <c r="CJ19" s="3687"/>
      <c r="CK19" s="3813"/>
      <c r="CL19" s="3813"/>
      <c r="CM19" s="596"/>
      <c r="CN19" s="596"/>
      <c r="CO19" s="596"/>
      <c r="CP19" s="3856"/>
      <c r="CQ19" s="768"/>
      <c r="CR19" s="6862">
        <f t="shared" si="11"/>
        <v>-4.8763544600000017</v>
      </c>
      <c r="CS19" s="6747">
        <f t="shared" si="12"/>
        <v>4.4272564599999988</v>
      </c>
      <c r="CT19" s="3857"/>
      <c r="CU19" s="6911">
        <f t="shared" si="6"/>
        <v>70.375772859999998</v>
      </c>
      <c r="CV19" s="6922"/>
      <c r="CW19" s="6922"/>
      <c r="CX19" s="6744">
        <f t="shared" si="14"/>
        <v>23.63545448</v>
      </c>
      <c r="CY19" s="2775"/>
      <c r="CZ19" s="590" t="str">
        <f t="shared" si="32"/>
        <v>기타</v>
      </c>
      <c r="DA19" s="3858"/>
      <c r="DB19" s="3858"/>
      <c r="DC19" s="3858"/>
      <c r="DD19" s="3858"/>
      <c r="DE19" s="3858"/>
      <c r="DF19" s="3858"/>
      <c r="DG19" s="3858"/>
      <c r="DH19" s="3858"/>
      <c r="DI19" s="3858"/>
      <c r="DJ19" s="3858"/>
      <c r="DK19" s="3858"/>
      <c r="DL19" s="3858"/>
      <c r="DM19" s="603">
        <f t="shared" si="27"/>
        <v>0</v>
      </c>
      <c r="DO19" s="2261"/>
      <c r="DP19" s="2261"/>
      <c r="DS19" s="2261"/>
      <c r="DT19" s="2261"/>
    </row>
    <row r="20" spans="1:124" ht="16.3" customHeight="1" thickBot="1" x14ac:dyDescent="0.6">
      <c r="A20" s="3751"/>
      <c r="C20" s="1860"/>
      <c r="D20" s="657" t="s">
        <v>700</v>
      </c>
      <c r="E20" s="657"/>
      <c r="F20" s="3850"/>
      <c r="G20" s="3851"/>
      <c r="H20" s="3851"/>
      <c r="I20" s="3851"/>
      <c r="J20" s="3851"/>
      <c r="K20" s="3851"/>
      <c r="L20" s="3851"/>
      <c r="M20" s="3851"/>
      <c r="N20" s="3851"/>
      <c r="O20" s="3851"/>
      <c r="P20" s="3851"/>
      <c r="Q20" s="3852"/>
      <c r="R20" s="3851"/>
      <c r="S20" s="3851"/>
      <c r="T20" s="3851"/>
      <c r="U20" s="3851"/>
      <c r="V20" s="3851"/>
      <c r="W20" s="3851"/>
      <c r="X20" s="3851"/>
      <c r="Y20" s="3851"/>
      <c r="Z20" s="3851"/>
      <c r="AA20" s="3851"/>
      <c r="AB20" s="3851"/>
      <c r="AC20" s="3851"/>
      <c r="AD20" s="3752"/>
      <c r="AE20" s="3851"/>
      <c r="AF20" s="3853"/>
      <c r="AG20" s="3851"/>
      <c r="AH20" s="3851"/>
      <c r="AI20" s="3851"/>
      <c r="AJ20" s="3851"/>
      <c r="AK20" s="3851"/>
      <c r="AL20" s="3851"/>
      <c r="AM20" s="3851"/>
      <c r="AN20" s="3851"/>
      <c r="AO20" s="3854"/>
      <c r="AP20" s="3852"/>
      <c r="AQ20" s="3756">
        <v>-92.2901071</v>
      </c>
      <c r="AR20" s="3757">
        <v>-112.08824337</v>
      </c>
      <c r="AS20" s="3757">
        <v>-96.888932749999995</v>
      </c>
      <c r="AT20" s="3757">
        <v>-92.899152790000002</v>
      </c>
      <c r="AU20" s="3757">
        <v>-92.40567858</v>
      </c>
      <c r="AV20" s="3757">
        <v>-91.720055410000001</v>
      </c>
      <c r="AW20" s="3757">
        <v>-101.26540098</v>
      </c>
      <c r="AX20" s="3757">
        <v>-144.66518354999999</v>
      </c>
      <c r="AY20" s="3757">
        <v>-96.127929469999998</v>
      </c>
      <c r="AZ20" s="3757">
        <v>-113.53646768999999</v>
      </c>
      <c r="BA20" s="3757">
        <v>-97.036059699999996</v>
      </c>
      <c r="BB20" s="3757">
        <v>-78.027880240000002</v>
      </c>
      <c r="BC20" s="3758">
        <v>-1208.9510916299998</v>
      </c>
      <c r="BD20" s="628">
        <f t="shared" ref="BD20:BO20" si="36">BD13-BD16-BD17-BD18-BD19</f>
        <v>-90.713431679999999</v>
      </c>
      <c r="BE20" s="628">
        <f t="shared" si="36"/>
        <v>-65.158139960000014</v>
      </c>
      <c r="BF20" s="628">
        <f t="shared" si="36"/>
        <v>-50.508803739999976</v>
      </c>
      <c r="BG20" s="628">
        <f t="shared" si="36"/>
        <v>-51.017039739999994</v>
      </c>
      <c r="BH20" s="628">
        <f t="shared" si="36"/>
        <v>-54.778017699999985</v>
      </c>
      <c r="BI20" s="628">
        <f t="shared" si="36"/>
        <v>-54.246445450000017</v>
      </c>
      <c r="BJ20" s="628">
        <f t="shared" si="36"/>
        <v>-71.033397240000014</v>
      </c>
      <c r="BK20" s="628">
        <f t="shared" si="36"/>
        <v>-45.472019590000009</v>
      </c>
      <c r="BL20" s="628">
        <f t="shared" si="36"/>
        <v>-29.764596299999983</v>
      </c>
      <c r="BM20" s="596">
        <f t="shared" si="36"/>
        <v>-29.782312080000043</v>
      </c>
      <c r="BN20" s="596">
        <f t="shared" si="36"/>
        <v>-26.613020770000002</v>
      </c>
      <c r="BO20" s="596">
        <f t="shared" si="36"/>
        <v>8.9280249700000169</v>
      </c>
      <c r="BP20" s="6538">
        <v>-560.15919927999994</v>
      </c>
      <c r="BQ20" s="6572">
        <f t="shared" ref="BQ20:CE20" si="37">BQ13-BQ16-BQ17-BQ18-BQ19</f>
        <v>1.3845246899999992</v>
      </c>
      <c r="BR20" s="6537">
        <f t="shared" si="37"/>
        <v>-24.289644889999998</v>
      </c>
      <c r="BS20" s="6537">
        <f t="shared" si="37"/>
        <v>-19.152099989999982</v>
      </c>
      <c r="BT20" s="6537">
        <f t="shared" si="37"/>
        <v>-25.421258569999992</v>
      </c>
      <c r="BU20" s="6537">
        <f t="shared" si="37"/>
        <v>-22.867412119999994</v>
      </c>
      <c r="BV20" s="6537">
        <f t="shared" si="37"/>
        <v>-37.259143069999979</v>
      </c>
      <c r="BW20" s="6537">
        <f t="shared" si="37"/>
        <v>-36.389220880000003</v>
      </c>
      <c r="BX20" s="6537">
        <f t="shared" si="37"/>
        <v>-33.065445340000011</v>
      </c>
      <c r="BY20" s="6537">
        <f t="shared" si="37"/>
        <v>-21.676452830000009</v>
      </c>
      <c r="BZ20" s="6537">
        <f t="shared" si="37"/>
        <v>-29.128124149999987</v>
      </c>
      <c r="CA20" s="6537">
        <f t="shared" si="37"/>
        <v>-12.55020264000003</v>
      </c>
      <c r="CB20" s="6537">
        <f t="shared" si="37"/>
        <v>42.385012520000011</v>
      </c>
      <c r="CC20" s="6573">
        <f t="shared" si="4"/>
        <v>-218.02946727000003</v>
      </c>
      <c r="CD20" s="6538">
        <f t="shared" si="37"/>
        <v>-4.668815919999993</v>
      </c>
      <c r="CE20" s="6538">
        <f t="shared" si="37"/>
        <v>-13.116783810000008</v>
      </c>
      <c r="CF20" s="596"/>
      <c r="CG20" s="596"/>
      <c r="CH20" s="596"/>
      <c r="CI20" s="596"/>
      <c r="CJ20" s="3687"/>
      <c r="CK20" s="3687"/>
      <c r="CL20" s="3687"/>
      <c r="CM20" s="3687"/>
      <c r="CN20" s="3687"/>
      <c r="CO20" s="3687"/>
      <c r="CP20" s="3856"/>
      <c r="CQ20" s="768"/>
      <c r="CR20" s="6862">
        <f t="shared" si="11"/>
        <v>-8.4479678900000152</v>
      </c>
      <c r="CS20" s="6747">
        <f t="shared" si="12"/>
        <v>11.17286107999999</v>
      </c>
      <c r="CT20" s="3857"/>
      <c r="CU20" s="6911">
        <f t="shared" si="6"/>
        <v>-17.785599730000001</v>
      </c>
      <c r="CV20" s="6922"/>
      <c r="CW20" s="6922"/>
      <c r="CX20" s="6744">
        <f t="shared" si="14"/>
        <v>5.1195204699999977</v>
      </c>
      <c r="CY20" s="2775"/>
      <c r="CZ20" s="590" t="str">
        <f t="shared" si="32"/>
        <v>순액처리</v>
      </c>
      <c r="DA20" s="3858"/>
      <c r="DB20" s="3858"/>
      <c r="DC20" s="3858"/>
      <c r="DD20" s="3858"/>
      <c r="DE20" s="3858"/>
      <c r="DF20" s="3858"/>
      <c r="DG20" s="3858"/>
      <c r="DH20" s="3858"/>
      <c r="DI20" s="3858"/>
      <c r="DJ20" s="3858"/>
      <c r="DK20" s="3858"/>
      <c r="DL20" s="3858"/>
      <c r="DM20" s="603">
        <f t="shared" si="27"/>
        <v>0</v>
      </c>
      <c r="DO20" s="2261"/>
      <c r="DP20" s="2261"/>
      <c r="DS20" s="2261"/>
      <c r="DT20" s="2261"/>
    </row>
    <row r="21" spans="1:124" ht="16.3" customHeight="1" thickBot="1" x14ac:dyDescent="0.6">
      <c r="A21" s="3751"/>
      <c r="C21" s="3860" t="s">
        <v>0</v>
      </c>
      <c r="D21" s="3861"/>
      <c r="E21" s="3861"/>
      <c r="F21" s="3862">
        <v>38.873878980000001</v>
      </c>
      <c r="G21" s="3863">
        <v>40.312330289999998</v>
      </c>
      <c r="H21" s="3863">
        <v>42.25212801</v>
      </c>
      <c r="I21" s="3863">
        <v>39.439888590000002</v>
      </c>
      <c r="J21" s="3863">
        <v>43.594259569999998</v>
      </c>
      <c r="K21" s="3863">
        <v>40.877616490000001</v>
      </c>
      <c r="L21" s="3863">
        <v>41.06556217</v>
      </c>
      <c r="M21" s="3863">
        <v>44.865415859999999</v>
      </c>
      <c r="N21" s="3863">
        <v>42.496813099999997</v>
      </c>
      <c r="O21" s="3863">
        <v>43.838211229999999</v>
      </c>
      <c r="P21" s="3863">
        <v>40.671534909999998</v>
      </c>
      <c r="Q21" s="3864">
        <v>42.174853429999999</v>
      </c>
      <c r="R21" s="3863">
        <v>41.181558699999997</v>
      </c>
      <c r="S21" s="3863">
        <v>46.179168099999949</v>
      </c>
      <c r="T21" s="3863">
        <v>43.56221352</v>
      </c>
      <c r="U21" s="3863">
        <v>52.919490050000022</v>
      </c>
      <c r="V21" s="3863">
        <v>46.568343689999971</v>
      </c>
      <c r="W21" s="3863">
        <v>47.585660719999986</v>
      </c>
      <c r="X21" s="3863">
        <v>46.753641399999992</v>
      </c>
      <c r="Y21" s="3863">
        <v>49.66568737999998</v>
      </c>
      <c r="Z21" s="3863">
        <v>46.422715719999999</v>
      </c>
      <c r="AA21" s="3863">
        <v>49.670652089999997</v>
      </c>
      <c r="AB21" s="3863">
        <v>50.466019699999997</v>
      </c>
      <c r="AC21" s="3863">
        <v>48.955665310000001</v>
      </c>
      <c r="AD21" s="3862">
        <v>50.46</v>
      </c>
      <c r="AE21" s="3863">
        <v>52.316194940000003</v>
      </c>
      <c r="AF21" s="3863">
        <v>52.320335229999998</v>
      </c>
      <c r="AG21" s="3863">
        <v>49.769259599999998</v>
      </c>
      <c r="AH21" s="3863">
        <v>52.548349369999997</v>
      </c>
      <c r="AI21" s="3863">
        <v>52.622964090000004</v>
      </c>
      <c r="AJ21" s="3863">
        <v>54.929104880000004</v>
      </c>
      <c r="AK21" s="3863">
        <v>55.588359850000003</v>
      </c>
      <c r="AL21" s="3863">
        <v>54.052958029999999</v>
      </c>
      <c r="AM21" s="3863">
        <v>45.170608100000003</v>
      </c>
      <c r="AN21" s="3863">
        <v>56.900434689999997</v>
      </c>
      <c r="AO21" s="3863">
        <v>48.675596710000001</v>
      </c>
      <c r="AP21" s="3864"/>
      <c r="AQ21" s="3865">
        <v>67.035031750000002</v>
      </c>
      <c r="AR21" s="3866">
        <v>50.863375660000003</v>
      </c>
      <c r="AS21" s="3866">
        <v>59.716036480000028</v>
      </c>
      <c r="AT21" s="3866">
        <v>55.567620829999989</v>
      </c>
      <c r="AU21" s="3866">
        <v>58.716058899999965</v>
      </c>
      <c r="AV21" s="3866">
        <v>57.91467945000003</v>
      </c>
      <c r="AW21" s="3866">
        <v>60.555175100000007</v>
      </c>
      <c r="AX21" s="3866">
        <v>58.62319042</v>
      </c>
      <c r="AY21" s="3866">
        <v>53.750966200000001</v>
      </c>
      <c r="AZ21" s="3866">
        <v>60.481486310000037</v>
      </c>
      <c r="BA21" s="3866">
        <v>55.964690570000002</v>
      </c>
      <c r="BB21" s="3866">
        <v>61.162646949999946</v>
      </c>
      <c r="BC21" s="3867">
        <v>700.35095862000003</v>
      </c>
      <c r="BD21" s="3868">
        <v>59.825448600000001</v>
      </c>
      <c r="BE21" s="3868">
        <v>58.204345259999997</v>
      </c>
      <c r="BF21" s="3868">
        <v>57.755821100000006</v>
      </c>
      <c r="BG21" s="3868">
        <v>55.445384420000003</v>
      </c>
      <c r="BH21" s="3868">
        <v>55.358036609999999</v>
      </c>
      <c r="BI21" s="3868">
        <v>55.127946979999997</v>
      </c>
      <c r="BJ21" s="3868">
        <v>57.009084979999997</v>
      </c>
      <c r="BK21" s="3868">
        <v>55.18860171</v>
      </c>
      <c r="BL21" s="3868">
        <v>53.705683180000001</v>
      </c>
      <c r="BM21" s="3868">
        <v>60.367560839999996</v>
      </c>
      <c r="BN21" s="3868">
        <v>50.244769759999997</v>
      </c>
      <c r="BO21" s="3868">
        <v>67.090588879999999</v>
      </c>
      <c r="BP21" s="6684">
        <v>685.32327232000011</v>
      </c>
      <c r="BQ21" s="6557">
        <v>49.926384159999998</v>
      </c>
      <c r="BR21" s="6524">
        <v>52.970257590000003</v>
      </c>
      <c r="BS21" s="6524">
        <v>49.264714550000001</v>
      </c>
      <c r="BT21" s="6524">
        <v>56.603339949999999</v>
      </c>
      <c r="BU21" s="6524">
        <v>46.224100550000003</v>
      </c>
      <c r="BV21" s="6524">
        <v>59.260521970000006</v>
      </c>
      <c r="BW21" s="6524">
        <v>53.276578299999997</v>
      </c>
      <c r="BX21" s="6524">
        <v>50.293205839999999</v>
      </c>
      <c r="BY21" s="6524">
        <v>52.541221059999998</v>
      </c>
      <c r="BZ21" s="6524">
        <v>44.020951680000003</v>
      </c>
      <c r="CA21" s="6524">
        <v>50.254107279999999</v>
      </c>
      <c r="CB21" s="6524">
        <v>51.007164610000004</v>
      </c>
      <c r="CC21" s="6558">
        <f t="shared" si="4"/>
        <v>615.64254754000001</v>
      </c>
      <c r="CD21" s="6525">
        <v>49.89606534</v>
      </c>
      <c r="CE21" s="6524">
        <v>48.94602124</v>
      </c>
      <c r="CF21" s="3870"/>
      <c r="CG21" s="3869"/>
      <c r="CH21" s="3869"/>
      <c r="CI21" s="3869"/>
      <c r="CJ21" s="3870"/>
      <c r="CK21" s="3870"/>
      <c r="CL21" s="3870"/>
      <c r="CM21" s="3870"/>
      <c r="CN21" s="3870"/>
      <c r="CO21" s="3870"/>
      <c r="CP21" s="3871" t="e">
        <f>HLOOKUP($E$2,$BQ$2:$CB$530,ROW()-1,0)-HLOOKUP($E$2,$DA$2:$DL$437,ROW()-1,0)</f>
        <v>#N/A</v>
      </c>
      <c r="CQ21" s="3872">
        <f>IFERROR(HLOOKUP($E$2,$BQ$2:$CB$530,ROW()-1,0)/HLOOKUP($E$2,$DA$2:$DL$437,ROW()-1,0),0)</f>
        <v>0</v>
      </c>
      <c r="CR21" s="6868">
        <f t="shared" si="11"/>
        <v>-0.9500440999999995</v>
      </c>
      <c r="CS21" s="6738">
        <f t="shared" si="12"/>
        <v>-4.0242363500000025</v>
      </c>
      <c r="CT21" s="3873"/>
      <c r="CU21" s="6923">
        <f t="shared" si="6"/>
        <v>98.84208658</v>
      </c>
      <c r="CV21" s="6738">
        <f>CU21-SUM(DA21:DB21)</f>
        <v>98.84208658</v>
      </c>
      <c r="CW21" s="6738">
        <f>IFERROR(CU21/SUM(DA21:DB21),0)</f>
        <v>0</v>
      </c>
      <c r="CX21" s="6738">
        <f t="shared" si="14"/>
        <v>-4.0545551700000004</v>
      </c>
      <c r="CY21" s="2775"/>
      <c r="CZ21" s="590" t="str">
        <f>C21</f>
        <v>관리수수료</v>
      </c>
      <c r="DA21" s="3874"/>
      <c r="DB21" s="3874"/>
      <c r="DC21" s="3874"/>
      <c r="DD21" s="3874"/>
      <c r="DE21" s="3874"/>
      <c r="DF21" s="3874"/>
      <c r="DG21" s="3874"/>
      <c r="DH21" s="3874"/>
      <c r="DI21" s="3874"/>
      <c r="DJ21" s="3874"/>
      <c r="DK21" s="3874"/>
      <c r="DL21" s="602"/>
      <c r="DM21" s="603">
        <f t="shared" si="27"/>
        <v>0</v>
      </c>
      <c r="DO21" s="2261"/>
      <c r="DP21" s="2261"/>
      <c r="DS21" s="2261"/>
      <c r="DT21" s="2261"/>
    </row>
    <row r="22" spans="1:124" ht="16.3" customHeight="1" x14ac:dyDescent="0.55000000000000004">
      <c r="A22" s="3751"/>
      <c r="C22" s="823" t="s">
        <v>688</v>
      </c>
      <c r="D22" s="803" t="s">
        <v>100</v>
      </c>
      <c r="E22" s="803" t="s">
        <v>810</v>
      </c>
      <c r="F22" s="3875"/>
      <c r="G22" s="3876"/>
      <c r="H22" s="3876"/>
      <c r="I22" s="3876"/>
      <c r="J22" s="3876"/>
      <c r="K22" s="3876"/>
      <c r="L22" s="3876"/>
      <c r="M22" s="3876"/>
      <c r="N22" s="3876"/>
      <c r="O22" s="3876"/>
      <c r="P22" s="3876"/>
      <c r="Q22" s="3877"/>
      <c r="R22" s="3876"/>
      <c r="S22" s="3876"/>
      <c r="T22" s="3876"/>
      <c r="U22" s="3876"/>
      <c r="V22" s="3876"/>
      <c r="W22" s="3876"/>
      <c r="X22" s="3876"/>
      <c r="Y22" s="3876"/>
      <c r="Z22" s="3876"/>
      <c r="AA22" s="3876"/>
      <c r="AB22" s="3876"/>
      <c r="AC22" s="3876"/>
      <c r="AD22" s="3875">
        <f>AD25+AD26+AD27</f>
        <v>36.428542853636365</v>
      </c>
      <c r="AE22" s="3875">
        <f t="shared" ref="AE22:CE22" si="38">AE25+AE26+AE27</f>
        <v>38.254324260909087</v>
      </c>
      <c r="AF22" s="3875">
        <f t="shared" si="38"/>
        <v>37.680997964545455</v>
      </c>
      <c r="AG22" s="3875">
        <f t="shared" si="38"/>
        <v>35.350519639090905</v>
      </c>
      <c r="AH22" s="3875">
        <f t="shared" si="38"/>
        <v>37.954123283636356</v>
      </c>
      <c r="AI22" s="3875">
        <f t="shared" si="38"/>
        <v>37.87506258545455</v>
      </c>
      <c r="AJ22" s="3875">
        <f t="shared" si="38"/>
        <v>39.621379166363639</v>
      </c>
      <c r="AK22" s="3875">
        <f t="shared" si="38"/>
        <v>39.924886035454549</v>
      </c>
      <c r="AL22" s="3875">
        <f t="shared" si="38"/>
        <v>38.526019104545455</v>
      </c>
      <c r="AM22" s="3875">
        <f t="shared" si="38"/>
        <v>29.168063264545459</v>
      </c>
      <c r="AN22" s="3875">
        <f t="shared" si="38"/>
        <v>42.307779870909087</v>
      </c>
      <c r="AO22" s="3875">
        <f t="shared" si="38"/>
        <v>32.301912268181816</v>
      </c>
      <c r="AP22" s="3875"/>
      <c r="AQ22" s="3875">
        <f t="shared" si="38"/>
        <v>50.943309609008267</v>
      </c>
      <c r="AR22" s="3875">
        <f t="shared" si="38"/>
        <v>36.288816136694223</v>
      </c>
      <c r="AS22" s="3875">
        <f t="shared" si="38"/>
        <v>43.633406842148794</v>
      </c>
      <c r="AT22" s="3875">
        <f t="shared" si="38"/>
        <v>40.448860002975202</v>
      </c>
      <c r="AU22" s="3875">
        <f t="shared" si="38"/>
        <v>43.287400390165253</v>
      </c>
      <c r="AV22" s="3875">
        <f t="shared" si="38"/>
        <v>42.465737609834747</v>
      </c>
      <c r="AW22" s="3875">
        <f t="shared" si="38"/>
        <v>44.93037177355373</v>
      </c>
      <c r="AX22" s="3875">
        <f t="shared" si="38"/>
        <v>43.320757604958679</v>
      </c>
      <c r="AY22" s="3875">
        <f t="shared" si="38"/>
        <v>38.834797307107436</v>
      </c>
      <c r="AZ22" s="3875">
        <f t="shared" si="38"/>
        <v>44.760478685041363</v>
      </c>
      <c r="BA22" s="3875">
        <f t="shared" si="38"/>
        <v>40.903997311818181</v>
      </c>
      <c r="BB22" s="3875">
        <f t="shared" si="38"/>
        <v>45.432667414875972</v>
      </c>
      <c r="BC22" s="3875">
        <f t="shared" si="38"/>
        <v>515.25060068818186</v>
      </c>
      <c r="BD22" s="3875">
        <f t="shared" si="38"/>
        <v>44.928006994545449</v>
      </c>
      <c r="BE22" s="3875">
        <f t="shared" si="38"/>
        <v>43.079317677272719</v>
      </c>
      <c r="BF22" s="3875">
        <f t="shared" si="38"/>
        <v>42.611626180000009</v>
      </c>
      <c r="BG22" s="3875">
        <f t="shared" si="38"/>
        <v>40.295523250909092</v>
      </c>
      <c r="BH22" s="3875">
        <f t="shared" si="38"/>
        <v>40.384887300909085</v>
      </c>
      <c r="BI22" s="3875">
        <f t="shared" si="38"/>
        <v>40.355936529090911</v>
      </c>
      <c r="BJ22" s="3875">
        <f t="shared" si="38"/>
        <v>41.903555544545455</v>
      </c>
      <c r="BK22" s="3875">
        <f t="shared" si="38"/>
        <v>40.486781719090914</v>
      </c>
      <c r="BL22" s="3875">
        <f t="shared" si="38"/>
        <v>38.895624990909084</v>
      </c>
      <c r="BM22" s="3875">
        <f t="shared" si="38"/>
        <v>44.39128627909092</v>
      </c>
      <c r="BN22" s="3875">
        <f t="shared" si="38"/>
        <v>35.69195678727273</v>
      </c>
      <c r="BO22" s="3875">
        <f t="shared" si="38"/>
        <v>51.957692070909097</v>
      </c>
      <c r="BP22" s="6685">
        <f t="shared" si="38"/>
        <v>504.98219532454573</v>
      </c>
      <c r="BQ22" s="6559">
        <f t="shared" si="38"/>
        <v>35.549796920909095</v>
      </c>
      <c r="BR22" s="6560">
        <f t="shared" si="38"/>
        <v>38.023935420909098</v>
      </c>
      <c r="BS22" s="6560">
        <f t="shared" si="38"/>
        <v>34.712851677272724</v>
      </c>
      <c r="BT22" s="6560">
        <f t="shared" si="38"/>
        <v>42.59015751545455</v>
      </c>
      <c r="BU22" s="6560">
        <f t="shared" si="38"/>
        <v>32.231391938181822</v>
      </c>
      <c r="BV22" s="6560">
        <f t="shared" si="38"/>
        <v>45.135691693636367</v>
      </c>
      <c r="BW22" s="6560">
        <f t="shared" si="38"/>
        <v>38.94933758818182</v>
      </c>
      <c r="BX22" s="6560">
        <f t="shared" si="38"/>
        <v>37.446916998181813</v>
      </c>
      <c r="BY22" s="6560">
        <f t="shared" si="38"/>
        <v>38.870689267272724</v>
      </c>
      <c r="BZ22" s="6560">
        <f t="shared" si="38"/>
        <v>37.753138377272727</v>
      </c>
      <c r="CA22" s="6560">
        <f t="shared" si="38"/>
        <v>37.364049498181821</v>
      </c>
      <c r="CB22" s="6560">
        <f t="shared" si="38"/>
        <v>38.150326797272733</v>
      </c>
      <c r="CC22" s="6561">
        <f t="shared" si="4"/>
        <v>456.77828369272726</v>
      </c>
      <c r="CD22" s="6696">
        <f t="shared" si="38"/>
        <v>36.605243588181821</v>
      </c>
      <c r="CE22" s="6526">
        <f t="shared" si="38"/>
        <v>35.962807680909087</v>
      </c>
      <c r="CF22" s="3883"/>
      <c r="CG22" s="3884"/>
      <c r="CH22" s="3884"/>
      <c r="CI22" s="3881"/>
      <c r="CJ22" s="3883"/>
      <c r="CK22" s="3883"/>
      <c r="CL22" s="3883"/>
      <c r="CM22" s="3883"/>
      <c r="CN22" s="3883"/>
      <c r="CO22" s="3883"/>
      <c r="CP22" s="3856"/>
      <c r="CQ22" s="768"/>
      <c r="CR22" s="6869">
        <f t="shared" si="11"/>
        <v>-0.64243590727273414</v>
      </c>
      <c r="CS22" s="6740">
        <f t="shared" si="12"/>
        <v>-2.0611277400000105</v>
      </c>
      <c r="CT22" s="3885"/>
      <c r="CU22" s="6924">
        <f t="shared" si="6"/>
        <v>72.568051269090915</v>
      </c>
      <c r="CV22" s="6739"/>
      <c r="CW22" s="6739"/>
      <c r="CX22" s="6740">
        <f t="shared" si="14"/>
        <v>-1.0056810727272705</v>
      </c>
      <c r="CY22" s="2775"/>
      <c r="CZ22" s="590" t="str">
        <f t="shared" ref="CZ22:CZ36" si="39">D22</f>
        <v>무선</v>
      </c>
      <c r="DA22" s="3858"/>
      <c r="DB22" s="3858"/>
      <c r="DC22" s="3858"/>
      <c r="DD22" s="3858"/>
      <c r="DE22" s="3858"/>
      <c r="DF22" s="3858"/>
      <c r="DG22" s="3858"/>
      <c r="DH22" s="3858"/>
      <c r="DI22" s="3858"/>
      <c r="DJ22" s="3858"/>
      <c r="DK22" s="3858"/>
      <c r="DL22" s="3858"/>
      <c r="DM22" s="603">
        <f t="shared" si="27"/>
        <v>0</v>
      </c>
      <c r="DO22" s="2261"/>
      <c r="DP22" s="2261"/>
      <c r="DS22" s="2261"/>
      <c r="DT22" s="2261"/>
    </row>
    <row r="23" spans="1:124" ht="16.3" customHeight="1" x14ac:dyDescent="0.55000000000000004">
      <c r="A23" s="3751"/>
      <c r="C23" s="823"/>
      <c r="D23" s="803" t="s">
        <v>101</v>
      </c>
      <c r="E23" s="803"/>
      <c r="F23" s="3875"/>
      <c r="G23" s="3876"/>
      <c r="H23" s="3876"/>
      <c r="I23" s="3876"/>
      <c r="J23" s="3876"/>
      <c r="K23" s="3876"/>
      <c r="L23" s="3876"/>
      <c r="M23" s="3876"/>
      <c r="N23" s="3876"/>
      <c r="O23" s="3876"/>
      <c r="P23" s="3876"/>
      <c r="Q23" s="3877"/>
      <c r="R23" s="3876"/>
      <c r="S23" s="3876"/>
      <c r="T23" s="3876"/>
      <c r="U23" s="3876"/>
      <c r="V23" s="3876"/>
      <c r="W23" s="3876"/>
      <c r="X23" s="3876"/>
      <c r="Y23" s="3876"/>
      <c r="Z23" s="3876"/>
      <c r="AA23" s="3876"/>
      <c r="AB23" s="3876"/>
      <c r="AC23" s="3876"/>
      <c r="AD23" s="3875">
        <f>AD28+AD29+AD30</f>
        <v>5.8428892363636358</v>
      </c>
      <c r="AE23" s="3876">
        <f t="shared" ref="AE23:AO23" si="40">AE28+AE29+AE30</f>
        <v>5.9340303090909083</v>
      </c>
      <c r="AF23" s="3876">
        <f t="shared" si="40"/>
        <v>6.2747439454545448</v>
      </c>
      <c r="AG23" s="3876">
        <f t="shared" si="40"/>
        <v>5.9320030909090908</v>
      </c>
      <c r="AH23" s="3876">
        <f t="shared" si="40"/>
        <v>5.9550830363636358</v>
      </c>
      <c r="AI23" s="3876">
        <f t="shared" si="40"/>
        <v>6.0698821545454535</v>
      </c>
      <c r="AJ23" s="3876">
        <f t="shared" si="40"/>
        <v>6.3395444636363685</v>
      </c>
      <c r="AK23" s="3876">
        <f t="shared" si="40"/>
        <v>6.5420081545454547</v>
      </c>
      <c r="AL23" s="3876">
        <f t="shared" si="40"/>
        <v>6.5000519454545458</v>
      </c>
      <c r="AM23" s="3876">
        <f t="shared" si="40"/>
        <v>6.5747953454545449</v>
      </c>
      <c r="AN23" s="3876">
        <f t="shared" si="40"/>
        <v>6.6870911990909123</v>
      </c>
      <c r="AO23" s="3876">
        <f t="shared" si="40"/>
        <v>6.7006724818181818</v>
      </c>
      <c r="AP23" s="3877"/>
      <c r="AQ23" s="3876">
        <f>AQ28+AQ29+AQ30</f>
        <v>7.8971089809917352</v>
      </c>
      <c r="AR23" s="3878">
        <f t="shared" ref="AR23:BM23" si="41">AR28+AR29+AR30</f>
        <v>6.5027426033057862</v>
      </c>
      <c r="AS23" s="3878">
        <f>AW28+AW29+AW30</f>
        <v>7.816819226446281</v>
      </c>
      <c r="AT23" s="3878">
        <f t="shared" si="41"/>
        <v>7.2734129570247923</v>
      </c>
      <c r="AU23" s="3878">
        <f t="shared" si="41"/>
        <v>7.2877746198347104</v>
      </c>
      <c r="AV23" s="3878">
        <f t="shared" si="41"/>
        <v>7.2841511801652885</v>
      </c>
      <c r="AW23" s="3878">
        <f t="shared" si="41"/>
        <v>7.816819226446281</v>
      </c>
      <c r="AX23" s="3878">
        <f t="shared" si="41"/>
        <v>7.4730159950413224</v>
      </c>
      <c r="AY23" s="3878">
        <f t="shared" si="41"/>
        <v>7.359623552892562</v>
      </c>
      <c r="AZ23" s="3878">
        <f t="shared" si="41"/>
        <v>7.6295910049586775</v>
      </c>
      <c r="BA23" s="3878">
        <f t="shared" si="41"/>
        <v>7.5977578181818188</v>
      </c>
      <c r="BB23" s="3878">
        <f t="shared" si="41"/>
        <v>8.1445388851239677</v>
      </c>
      <c r="BC23" s="3879">
        <f t="shared" si="41"/>
        <v>90.192254881818187</v>
      </c>
      <c r="BD23" s="3878">
        <f t="shared" si="41"/>
        <v>7.2644085454545442</v>
      </c>
      <c r="BE23" s="3878">
        <f t="shared" si="41"/>
        <v>7.1212762727272718</v>
      </c>
      <c r="BF23" s="3878">
        <f t="shared" si="41"/>
        <v>7.1391580000000001</v>
      </c>
      <c r="BG23" s="3878">
        <f t="shared" si="41"/>
        <v>7.0969749090909096</v>
      </c>
      <c r="BH23" s="3878">
        <f t="shared" si="41"/>
        <v>6.9187135090909093</v>
      </c>
      <c r="BI23" s="3878">
        <f t="shared" si="41"/>
        <v>6.8127734909090902</v>
      </c>
      <c r="BJ23" s="3878">
        <f t="shared" si="41"/>
        <v>6.7605919454545456</v>
      </c>
      <c r="BK23" s="3878">
        <f t="shared" si="41"/>
        <v>6.59665279090909</v>
      </c>
      <c r="BL23" s="3878">
        <f t="shared" si="41"/>
        <v>6.5263161090909083</v>
      </c>
      <c r="BM23" s="800">
        <f t="shared" si="41"/>
        <v>7.4553363909090908</v>
      </c>
      <c r="BN23" s="800">
        <f>BN28+BN29+BN30</f>
        <v>6.2991596727272725</v>
      </c>
      <c r="BO23" s="800">
        <f>BO28+BO29+BO30</f>
        <v>6.5815449090909084</v>
      </c>
      <c r="BP23" s="6635">
        <v>82.572906545454529</v>
      </c>
      <c r="BQ23" s="6562">
        <v>5.8569293190909093</v>
      </c>
      <c r="BR23" s="6526">
        <v>6.3086738090909087</v>
      </c>
      <c r="BS23" s="6527">
        <v>6.4937647727272729</v>
      </c>
      <c r="BT23" s="6526">
        <v>5.7726903545454542</v>
      </c>
      <c r="BU23" s="6526">
        <v>5.6720752818181817</v>
      </c>
      <c r="BV23" s="6527">
        <v>5.5931315363636358</v>
      </c>
      <c r="BW23" s="6527">
        <v>6.1463115818181802</v>
      </c>
      <c r="BX23" s="6527">
        <v>5.4555208818181811</v>
      </c>
      <c r="BY23" s="6527">
        <v>5.3701455727272727</v>
      </c>
      <c r="BZ23" s="6527">
        <v>5.3701455727272727</v>
      </c>
      <c r="CA23" s="6527">
        <v>5.1315710818181817</v>
      </c>
      <c r="CB23" s="6527">
        <v>5.1079652727272729</v>
      </c>
      <c r="CC23" s="6563">
        <f t="shared" si="4"/>
        <v>68.278925037272728</v>
      </c>
      <c r="CD23" s="6529">
        <v>5.4769686818181818</v>
      </c>
      <c r="CE23" s="6526">
        <v>4.7650012090909089</v>
      </c>
      <c r="CF23" s="3883"/>
      <c r="CG23" s="3884"/>
      <c r="CH23" s="3884"/>
      <c r="CI23" s="3886"/>
      <c r="CJ23" s="3883"/>
      <c r="CK23" s="3883"/>
      <c r="CL23" s="3883"/>
      <c r="CM23" s="3883"/>
      <c r="CN23" s="3883"/>
      <c r="CO23" s="3883"/>
      <c r="CP23" s="3856"/>
      <c r="CQ23" s="768"/>
      <c r="CR23" s="6869">
        <f t="shared" si="11"/>
        <v>-0.7119674727272729</v>
      </c>
      <c r="CS23" s="6740">
        <f t="shared" si="12"/>
        <v>-1.5436725999999998</v>
      </c>
      <c r="CT23" s="3885"/>
      <c r="CU23" s="6924">
        <f t="shared" si="6"/>
        <v>10.24196989090909</v>
      </c>
      <c r="CV23" s="6739"/>
      <c r="CW23" s="6739"/>
      <c r="CX23" s="6740">
        <f t="shared" si="14"/>
        <v>-1.9236332372727283</v>
      </c>
      <c r="CY23" s="2775"/>
      <c r="CZ23" s="590" t="str">
        <f t="shared" si="39"/>
        <v>유선</v>
      </c>
      <c r="DA23" s="3858"/>
      <c r="DB23" s="3858"/>
      <c r="DC23" s="3858"/>
      <c r="DD23" s="3858"/>
      <c r="DE23" s="3858"/>
      <c r="DF23" s="3858"/>
      <c r="DG23" s="3858"/>
      <c r="DH23" s="3858"/>
      <c r="DI23" s="3858"/>
      <c r="DJ23" s="3858"/>
      <c r="DK23" s="3858"/>
      <c r="DL23" s="3858"/>
      <c r="DM23" s="603">
        <f t="shared" si="27"/>
        <v>0</v>
      </c>
      <c r="DO23" s="2261"/>
      <c r="DP23" s="2261"/>
      <c r="DS23" s="2261"/>
      <c r="DT23" s="2261"/>
    </row>
    <row r="24" spans="1:124" ht="16.3" customHeight="1" thickBot="1" x14ac:dyDescent="0.6">
      <c r="A24" s="3751"/>
      <c r="C24" s="823"/>
      <c r="D24" s="803" t="s">
        <v>66</v>
      </c>
      <c r="E24" s="803"/>
      <c r="F24" s="3875"/>
      <c r="G24" s="3876"/>
      <c r="H24" s="3876"/>
      <c r="I24" s="3876"/>
      <c r="J24" s="3876"/>
      <c r="K24" s="3876"/>
      <c r="L24" s="3876"/>
      <c r="M24" s="3876"/>
      <c r="N24" s="3876"/>
      <c r="O24" s="3876"/>
      <c r="P24" s="3876"/>
      <c r="Q24" s="3877"/>
      <c r="R24" s="3876"/>
      <c r="S24" s="3876"/>
      <c r="T24" s="3876"/>
      <c r="U24" s="3876"/>
      <c r="V24" s="3876"/>
      <c r="W24" s="3876"/>
      <c r="X24" s="3876"/>
      <c r="Y24" s="3876"/>
      <c r="Z24" s="3876"/>
      <c r="AA24" s="3876"/>
      <c r="AB24" s="3876"/>
      <c r="AC24" s="3876"/>
      <c r="AD24" s="3875">
        <f>AD31+AD32</f>
        <v>8.1885679099999997</v>
      </c>
      <c r="AE24" s="3876">
        <f t="shared" ref="AE24:AN24" si="42">AE31+AE32</f>
        <v>8.1278403699999995</v>
      </c>
      <c r="AF24" s="3876">
        <f t="shared" si="42"/>
        <v>8.3645933200000009</v>
      </c>
      <c r="AG24" s="3876">
        <f t="shared" si="42"/>
        <v>8.4867368699999997</v>
      </c>
      <c r="AH24" s="3876">
        <f t="shared" si="42"/>
        <v>8.6391430499999995</v>
      </c>
      <c r="AI24" s="3876">
        <f t="shared" si="42"/>
        <v>8.6780193499999996</v>
      </c>
      <c r="AJ24" s="3876">
        <f t="shared" si="42"/>
        <v>8.9681812500000007</v>
      </c>
      <c r="AK24" s="3876">
        <f t="shared" si="42"/>
        <v>9.1214656599999984</v>
      </c>
      <c r="AL24" s="3876">
        <f t="shared" si="42"/>
        <v>9.0268869800000004</v>
      </c>
      <c r="AM24" s="3876">
        <f t="shared" si="42"/>
        <v>9.4277494900000001</v>
      </c>
      <c r="AN24" s="3876">
        <f t="shared" si="42"/>
        <v>7.9055636199999997</v>
      </c>
      <c r="AO24" s="3876">
        <f>AO31+AO32</f>
        <v>9.6730119600000002</v>
      </c>
      <c r="AP24" s="3877"/>
      <c r="AQ24" s="3876">
        <f>AQ31+AQ32</f>
        <v>8.1946131599999994</v>
      </c>
      <c r="AR24" s="3878">
        <f t="shared" ref="AR24:BM24" si="43">AR31+AR32</f>
        <v>8.0718169199999998</v>
      </c>
      <c r="AS24" s="3878">
        <f>AW31+AW32</f>
        <v>7.8079840999999996</v>
      </c>
      <c r="AT24" s="3878">
        <f t="shared" si="43"/>
        <v>7.8453478699999994</v>
      </c>
      <c r="AU24" s="3878">
        <f t="shared" si="43"/>
        <v>8.1408838899999996</v>
      </c>
      <c r="AV24" s="3878">
        <f t="shared" si="43"/>
        <v>8.1647906599999995</v>
      </c>
      <c r="AW24" s="3878">
        <f t="shared" si="43"/>
        <v>7.8079840999999996</v>
      </c>
      <c r="AX24" s="3878">
        <f t="shared" si="43"/>
        <v>7.8294168199999996</v>
      </c>
      <c r="AY24" s="3878">
        <f t="shared" si="43"/>
        <v>7.5565453400000004</v>
      </c>
      <c r="AZ24" s="3878">
        <f t="shared" si="43"/>
        <v>8.0914166200000004</v>
      </c>
      <c r="BA24" s="3878">
        <f t="shared" si="43"/>
        <v>7.4629354399999999</v>
      </c>
      <c r="BB24" s="3878">
        <f t="shared" si="43"/>
        <v>7.5854406499999989</v>
      </c>
      <c r="BC24" s="3879">
        <f t="shared" si="43"/>
        <v>94.908103049999994</v>
      </c>
      <c r="BD24" s="3878">
        <f t="shared" si="43"/>
        <v>7.6330330600000007</v>
      </c>
      <c r="BE24" s="3878">
        <f t="shared" si="43"/>
        <v>8.0037513100000002</v>
      </c>
      <c r="BF24" s="3878">
        <f t="shared" si="43"/>
        <v>8.0050369200000002</v>
      </c>
      <c r="BG24" s="3878">
        <f t="shared" si="43"/>
        <v>8.0528862599999993</v>
      </c>
      <c r="BH24" s="3878">
        <f t="shared" si="43"/>
        <v>8.0544358000000003</v>
      </c>
      <c r="BI24" s="3878">
        <f t="shared" si="43"/>
        <v>7.9592369600000001</v>
      </c>
      <c r="BJ24" s="3878">
        <f t="shared" si="43"/>
        <v>8.3449374899999995</v>
      </c>
      <c r="BK24" s="3878">
        <f t="shared" si="43"/>
        <v>8.1051672000000003</v>
      </c>
      <c r="BL24" s="3878">
        <f t="shared" si="43"/>
        <v>8.2837420799999997</v>
      </c>
      <c r="BM24" s="800">
        <f t="shared" si="43"/>
        <v>8.5209381700000009</v>
      </c>
      <c r="BN24" s="800">
        <f>BN31+BN32</f>
        <v>8.2536532999999999</v>
      </c>
      <c r="BO24" s="800">
        <f>BO31+BO32</f>
        <v>8.5513519000000002</v>
      </c>
      <c r="BP24" s="6635">
        <v>97.76817045</v>
      </c>
      <c r="BQ24" s="6562">
        <v>8.5196579200000002</v>
      </c>
      <c r="BR24" s="6526">
        <v>8.63764836</v>
      </c>
      <c r="BS24" s="6527">
        <v>8.0580981000000005</v>
      </c>
      <c r="BT24" s="6526">
        <v>8.2404920799999992</v>
      </c>
      <c r="BU24" s="6526">
        <v>8.3206333299999997</v>
      </c>
      <c r="BV24" s="6527">
        <v>8.5316987399999995</v>
      </c>
      <c r="BW24" s="6527">
        <v>8.1809291299999991</v>
      </c>
      <c r="BX24" s="6527">
        <v>7.3907679599999998</v>
      </c>
      <c r="BY24" s="6527">
        <v>8.30038622</v>
      </c>
      <c r="BZ24" s="6527">
        <v>0.89766773</v>
      </c>
      <c r="CA24" s="6527">
        <v>7.7584866999999997</v>
      </c>
      <c r="CB24" s="6527">
        <v>7.7488725399999998</v>
      </c>
      <c r="CC24" s="6563">
        <f t="shared" si="4"/>
        <v>90.585338809999996</v>
      </c>
      <c r="CD24" s="6530">
        <v>7.8138530699999995</v>
      </c>
      <c r="CE24" s="6526">
        <v>8.2182123499999999</v>
      </c>
      <c r="CF24" s="3883"/>
      <c r="CG24" s="3884"/>
      <c r="CH24" s="3884"/>
      <c r="CI24" s="3881"/>
      <c r="CJ24" s="3883"/>
      <c r="CK24" s="3883"/>
      <c r="CL24" s="3883"/>
      <c r="CM24" s="3883"/>
      <c r="CN24" s="3883"/>
      <c r="CO24" s="3883"/>
      <c r="CP24" s="3856"/>
      <c r="CQ24" s="768"/>
      <c r="CR24" s="6869">
        <f t="shared" si="11"/>
        <v>0.40435928000000043</v>
      </c>
      <c r="CS24" s="6740">
        <f t="shared" si="12"/>
        <v>-0.41943601000000008</v>
      </c>
      <c r="CT24" s="3885"/>
      <c r="CU24" s="6924">
        <f t="shared" si="6"/>
        <v>16.032065419999999</v>
      </c>
      <c r="CV24" s="6739"/>
      <c r="CW24" s="6739"/>
      <c r="CX24" s="6740">
        <f t="shared" si="14"/>
        <v>-1.1252408600000017</v>
      </c>
      <c r="CY24" s="2775"/>
      <c r="CZ24" s="590" t="str">
        <f t="shared" si="39"/>
        <v>기타</v>
      </c>
      <c r="DA24" s="3858"/>
      <c r="DB24" s="3858"/>
      <c r="DC24" s="3858"/>
      <c r="DD24" s="3858"/>
      <c r="DE24" s="3858"/>
      <c r="DF24" s="3858"/>
      <c r="DG24" s="3858"/>
      <c r="DH24" s="3858"/>
      <c r="DI24" s="3858"/>
      <c r="DJ24" s="3858"/>
      <c r="DK24" s="3858"/>
      <c r="DL24" s="3858"/>
      <c r="DM24" s="603">
        <f t="shared" si="27"/>
        <v>0</v>
      </c>
      <c r="DO24" s="2261"/>
      <c r="DP24" s="2261"/>
      <c r="DS24" s="2261"/>
      <c r="DT24" s="2261"/>
    </row>
    <row r="25" spans="1:124" ht="16.3" customHeight="1" x14ac:dyDescent="0.55000000000000004">
      <c r="A25" s="3751"/>
      <c r="C25" s="3887" t="s">
        <v>801</v>
      </c>
      <c r="D25" s="3888" t="s">
        <v>102</v>
      </c>
      <c r="E25" s="3888" t="s">
        <v>156</v>
      </c>
      <c r="F25" s="3890">
        <f t="shared" ref="F25:AO25" si="44">F21-F26-F27-F28-F29-F30-F31-F32</f>
        <v>25.474383582232687</v>
      </c>
      <c r="G25" s="3890">
        <f t="shared" si="44"/>
        <v>27.318579577332585</v>
      </c>
      <c r="H25" s="3890">
        <f t="shared" si="44"/>
        <v>29.295901934867999</v>
      </c>
      <c r="I25" s="3890">
        <f t="shared" si="44"/>
        <v>27.008509090652232</v>
      </c>
      <c r="J25" s="3890">
        <f t="shared" si="44"/>
        <v>29.267277154189813</v>
      </c>
      <c r="K25" s="3890">
        <f t="shared" si="44"/>
        <v>26.679872630635771</v>
      </c>
      <c r="L25" s="3890">
        <f t="shared" si="44"/>
        <v>25.865262955684543</v>
      </c>
      <c r="M25" s="3890">
        <f t="shared" si="44"/>
        <v>28.419974034849723</v>
      </c>
      <c r="N25" s="3890">
        <f t="shared" si="44"/>
        <v>26.107096675124087</v>
      </c>
      <c r="O25" s="3890">
        <f t="shared" si="44"/>
        <v>27.429746654855624</v>
      </c>
      <c r="P25" s="3890">
        <f t="shared" si="44"/>
        <v>24.607261811181722</v>
      </c>
      <c r="Q25" s="3890">
        <f t="shared" si="44"/>
        <v>26.174531745994269</v>
      </c>
      <c r="R25" s="3890">
        <f t="shared" si="44"/>
        <v>25.21365230795622</v>
      </c>
      <c r="S25" s="3890">
        <f t="shared" si="44"/>
        <v>30.621428970116405</v>
      </c>
      <c r="T25" s="3890">
        <f t="shared" si="44"/>
        <v>27.001398897738813</v>
      </c>
      <c r="U25" s="3890">
        <f t="shared" si="44"/>
        <v>36.523990082512711</v>
      </c>
      <c r="V25" s="3890">
        <f t="shared" si="44"/>
        <v>30.469541083157161</v>
      </c>
      <c r="W25" s="3890">
        <f t="shared" si="44"/>
        <v>31.262936802916979</v>
      </c>
      <c r="X25" s="3890">
        <f t="shared" si="44"/>
        <v>30.449155505201851</v>
      </c>
      <c r="Y25" s="3890">
        <f t="shared" si="44"/>
        <v>32.988356499684429</v>
      </c>
      <c r="Z25" s="3890">
        <f t="shared" si="44"/>
        <v>30.04093550996128</v>
      </c>
      <c r="AA25" s="3890">
        <f t="shared" si="44"/>
        <v>32.89495980563963</v>
      </c>
      <c r="AB25" s="3890">
        <f t="shared" si="44"/>
        <v>33.907429022842265</v>
      </c>
      <c r="AC25" s="3890">
        <f t="shared" si="44"/>
        <v>32.043318014355229</v>
      </c>
      <c r="AD25" s="3890">
        <f t="shared" si="44"/>
        <v>33.465427347385194</v>
      </c>
      <c r="AE25" s="3890">
        <f t="shared" si="44"/>
        <v>35.26922572616099</v>
      </c>
      <c r="AF25" s="3890">
        <f t="shared" si="44"/>
        <v>34.720346493283195</v>
      </c>
      <c r="AG25" s="3890">
        <f t="shared" si="44"/>
        <v>32.402161513506265</v>
      </c>
      <c r="AH25" s="3890">
        <f t="shared" si="44"/>
        <v>35.000732495575889</v>
      </c>
      <c r="AI25" s="3890">
        <f t="shared" si="44"/>
        <v>34.939860210789647</v>
      </c>
      <c r="AJ25" s="3890">
        <f t="shared" si="44"/>
        <v>36.555783095003008</v>
      </c>
      <c r="AK25" s="3890">
        <f t="shared" si="44"/>
        <v>36.845838981193268</v>
      </c>
      <c r="AL25" s="3890">
        <f t="shared" si="44"/>
        <v>35.418599948537917</v>
      </c>
      <c r="AM25" s="3890">
        <f t="shared" si="44"/>
        <v>26.10884572233228</v>
      </c>
      <c r="AN25" s="3890">
        <f t="shared" si="44"/>
        <v>39.350988257310085</v>
      </c>
      <c r="AO25" s="3890">
        <f t="shared" si="44"/>
        <v>29.312466367992997</v>
      </c>
      <c r="AP25" s="3890"/>
      <c r="AQ25" s="3890">
        <f t="shared" ref="AQ25:CE25" si="45">AQ21-AQ26-AQ27-AQ28-AQ29-AQ30-AQ31-AQ32</f>
        <v>47.720432609008263</v>
      </c>
      <c r="AR25" s="3890">
        <f t="shared" si="45"/>
        <v>33.07237788669422</v>
      </c>
      <c r="AS25" s="3890">
        <f t="shared" si="45"/>
        <v>40.489843342148795</v>
      </c>
      <c r="AT25" s="3890">
        <f t="shared" si="45"/>
        <v>37.308587702975203</v>
      </c>
      <c r="AU25" s="3890">
        <f t="shared" si="45"/>
        <v>40.195821173165257</v>
      </c>
      <c r="AV25" s="3890">
        <f t="shared" si="45"/>
        <v>39.381576275004747</v>
      </c>
      <c r="AW25" s="3890">
        <f t="shared" si="45"/>
        <v>41.855624019572026</v>
      </c>
      <c r="AX25" s="3890">
        <f t="shared" si="45"/>
        <v>40.2585512635168</v>
      </c>
      <c r="AY25" s="3890">
        <f t="shared" si="45"/>
        <v>35.783527326579971</v>
      </c>
      <c r="AZ25" s="3890">
        <f t="shared" si="45"/>
        <v>41.709722864319176</v>
      </c>
      <c r="BA25" s="3890">
        <f t="shared" si="45"/>
        <v>37.854155534303217</v>
      </c>
      <c r="BB25" s="3890">
        <f t="shared" si="45"/>
        <v>42.394727882636154</v>
      </c>
      <c r="BC25" s="3890">
        <f t="shared" si="45"/>
        <v>478.02494787992384</v>
      </c>
      <c r="BD25" s="3890">
        <f t="shared" si="45"/>
        <v>41.506899494545451</v>
      </c>
      <c r="BE25" s="3890">
        <f t="shared" si="45"/>
        <v>39.758628427272718</v>
      </c>
      <c r="BF25" s="3890">
        <f t="shared" si="45"/>
        <v>39.301463930000011</v>
      </c>
      <c r="BG25" s="3890">
        <f t="shared" si="45"/>
        <v>37.079995500909092</v>
      </c>
      <c r="BH25" s="3890">
        <f t="shared" si="45"/>
        <v>37.184887300909082</v>
      </c>
      <c r="BI25" s="3890">
        <f t="shared" si="45"/>
        <v>37.166236529090909</v>
      </c>
      <c r="BJ25" s="3890">
        <f t="shared" si="45"/>
        <v>38.752964326291504</v>
      </c>
      <c r="BK25" s="3890">
        <f t="shared" si="45"/>
        <v>37.374950455062141</v>
      </c>
      <c r="BL25" s="3890">
        <f t="shared" si="45"/>
        <v>35.756393033628356</v>
      </c>
      <c r="BM25" s="3890">
        <f t="shared" si="45"/>
        <v>41.259862419682108</v>
      </c>
      <c r="BN25" s="3890">
        <f t="shared" si="45"/>
        <v>32.573616506728229</v>
      </c>
      <c r="BO25" s="3890">
        <f t="shared" si="45"/>
        <v>48.809786710933096</v>
      </c>
      <c r="BP25" s="6531">
        <f t="shared" si="45"/>
        <v>466.52568463505293</v>
      </c>
      <c r="BQ25" s="6564">
        <f t="shared" si="45"/>
        <v>32.386891660607873</v>
      </c>
      <c r="BR25" s="6565">
        <f t="shared" si="45"/>
        <v>34.844771604441192</v>
      </c>
      <c r="BS25" s="6565">
        <f t="shared" si="45"/>
        <v>31.558001129695405</v>
      </c>
      <c r="BT25" s="6565">
        <f t="shared" si="45"/>
        <v>39.311071763021324</v>
      </c>
      <c r="BU25" s="6565">
        <f t="shared" si="45"/>
        <v>28.91745373346691</v>
      </c>
      <c r="BV25" s="6565">
        <f t="shared" si="45"/>
        <v>41.972786433335145</v>
      </c>
      <c r="BW25" s="6565">
        <f t="shared" si="45"/>
        <v>35.685858728890729</v>
      </c>
      <c r="BX25" s="6565">
        <f t="shared" si="45"/>
        <v>34.183438138890722</v>
      </c>
      <c r="BY25" s="6565">
        <f t="shared" si="45"/>
        <v>35.637486922988636</v>
      </c>
      <c r="BZ25" s="6565">
        <f t="shared" si="45"/>
        <v>34.468971725486227</v>
      </c>
      <c r="CA25" s="6565">
        <f t="shared" si="45"/>
        <v>34.122600556423187</v>
      </c>
      <c r="CB25" s="6565">
        <f t="shared" si="45"/>
        <v>34.896665721496824</v>
      </c>
      <c r="CC25" s="6566">
        <f t="shared" si="4"/>
        <v>417.98599811874413</v>
      </c>
      <c r="CD25" s="6531">
        <f t="shared" si="45"/>
        <v>33.415785711583226</v>
      </c>
      <c r="CE25" s="6565">
        <f t="shared" si="45"/>
        <v>32.849453850586222</v>
      </c>
      <c r="CF25" s="3893"/>
      <c r="CG25" s="3894"/>
      <c r="CH25" s="3894"/>
      <c r="CI25" s="3892"/>
      <c r="CJ25" s="3893"/>
      <c r="CK25" s="3893"/>
      <c r="CL25" s="3893"/>
      <c r="CM25" s="3893"/>
      <c r="CN25" s="3893"/>
      <c r="CO25" s="3893"/>
      <c r="CP25" s="3895"/>
      <c r="CQ25" s="3896"/>
      <c r="CR25" s="6870">
        <f t="shared" si="11"/>
        <v>-0.56633186099700339</v>
      </c>
      <c r="CS25" s="6741">
        <f t="shared" si="12"/>
        <v>-1.9953177538549696</v>
      </c>
      <c r="CT25" s="3897"/>
      <c r="CU25" s="6925">
        <f t="shared" si="6"/>
        <v>66.265239562169455</v>
      </c>
      <c r="CV25" s="6926"/>
      <c r="CW25" s="6926"/>
      <c r="CX25" s="6741">
        <f t="shared" si="14"/>
        <v>-0.96642370287960944</v>
      </c>
      <c r="CY25" s="2775"/>
      <c r="CZ25" s="590" t="str">
        <f t="shared" si="39"/>
        <v>무선후불</v>
      </c>
      <c r="DA25" s="3858"/>
      <c r="DB25" s="3858"/>
      <c r="DC25" s="3858"/>
      <c r="DD25" s="3858"/>
      <c r="DE25" s="3858"/>
      <c r="DF25" s="3858"/>
      <c r="DG25" s="3858"/>
      <c r="DH25" s="3858"/>
      <c r="DI25" s="3858"/>
      <c r="DJ25" s="3858"/>
      <c r="DK25" s="3858"/>
      <c r="DL25" s="3858"/>
      <c r="DM25" s="603">
        <f t="shared" si="27"/>
        <v>0</v>
      </c>
      <c r="DO25" s="2261"/>
      <c r="DP25" s="2261"/>
      <c r="DS25" s="2261"/>
      <c r="DT25" s="2261"/>
    </row>
    <row r="26" spans="1:124" ht="16.3" customHeight="1" x14ac:dyDescent="0.55000000000000004">
      <c r="A26" s="3751"/>
      <c r="C26" s="803"/>
      <c r="D26" s="803" t="s">
        <v>110</v>
      </c>
      <c r="E26" s="803" t="s">
        <v>118</v>
      </c>
      <c r="F26" s="3875">
        <v>1.8591970942218634</v>
      </c>
      <c r="G26" s="3876">
        <v>1.8169540137583182</v>
      </c>
      <c r="H26" s="3876">
        <v>1.754570373313818</v>
      </c>
      <c r="I26" s="3876">
        <v>1.6970742171659543</v>
      </c>
      <c r="J26" s="3876">
        <v>1.6522098502647276</v>
      </c>
      <c r="K26" s="3876">
        <v>1.6173927388642275</v>
      </c>
      <c r="L26" s="3876">
        <v>1.5718329785881817</v>
      </c>
      <c r="M26" s="3876">
        <v>1.5565831186957273</v>
      </c>
      <c r="N26" s="3876">
        <v>1.5211876066940906</v>
      </c>
      <c r="O26" s="3876">
        <v>1.4865384893716362</v>
      </c>
      <c r="P26" s="3876">
        <v>1.407586042772818</v>
      </c>
      <c r="Q26" s="3877">
        <v>1.3166522969148182</v>
      </c>
      <c r="R26" s="3876">
        <v>1.3896909040892274</v>
      </c>
      <c r="S26" s="3876">
        <v>1.335801161929</v>
      </c>
      <c r="T26" s="3876">
        <v>1.3284744449202726</v>
      </c>
      <c r="U26" s="3876">
        <v>1.3292354089077727</v>
      </c>
      <c r="V26" s="3876">
        <v>1.2939247626610002</v>
      </c>
      <c r="W26" s="3876">
        <v>1.2629758007648184</v>
      </c>
      <c r="X26" s="3876">
        <v>1.2569758476163182</v>
      </c>
      <c r="Y26" s="3876">
        <v>1.2565529194519092</v>
      </c>
      <c r="Z26" s="3876">
        <v>1.2582339754478185</v>
      </c>
      <c r="AA26" s="3876">
        <v>1.265571277314909</v>
      </c>
      <c r="AB26" s="3876">
        <v>1.2370028896122727</v>
      </c>
      <c r="AC26" s="3876">
        <v>1.2647143944174999</v>
      </c>
      <c r="AD26" s="3875">
        <v>0.9921887729086255</v>
      </c>
      <c r="AE26" s="3876">
        <v>1.0342916148048036</v>
      </c>
      <c r="AF26" s="3876">
        <v>1.0559026635892765</v>
      </c>
      <c r="AG26" s="3876">
        <v>1.0725136730131599</v>
      </c>
      <c r="AH26" s="3876">
        <v>1.0878432915967247</v>
      </c>
      <c r="AI26" s="3876">
        <v>1.1060233510291613</v>
      </c>
      <c r="AJ26" s="3876">
        <v>1.3026811971333601</v>
      </c>
      <c r="AK26" s="3876">
        <v>1.32845856398855</v>
      </c>
      <c r="AL26" s="3876">
        <v>1.3594350981893599</v>
      </c>
      <c r="AM26" s="3876">
        <v>1.34939449248591</v>
      </c>
      <c r="AN26" s="3876">
        <v>1.3250952977353601</v>
      </c>
      <c r="AO26" s="3876">
        <v>1.37363891173427</v>
      </c>
      <c r="AP26" s="3877"/>
      <c r="AQ26" s="3898">
        <v>1.7</v>
      </c>
      <c r="AR26" s="3878">
        <v>1.6830000000000001</v>
      </c>
      <c r="AS26" s="3878">
        <v>1.6661699999999999</v>
      </c>
      <c r="AT26" s="3878">
        <v>1.6495082999999999</v>
      </c>
      <c r="AU26" s="3878">
        <v>1.6330132169999998</v>
      </c>
      <c r="AV26" s="3878">
        <v>1.61668308483</v>
      </c>
      <c r="AW26" s="3878">
        <v>1.6005162539816999</v>
      </c>
      <c r="AX26" s="3878">
        <v>1.5845110914418827</v>
      </c>
      <c r="AY26" s="3878">
        <v>1.5686659805274641</v>
      </c>
      <c r="AZ26" s="3878">
        <v>1.5529793207221891</v>
      </c>
      <c r="BA26" s="3878">
        <v>1.5374495275149673</v>
      </c>
      <c r="BB26" s="3878">
        <v>1.5220750322398178</v>
      </c>
      <c r="BC26" s="3879">
        <v>19.314571808258023</v>
      </c>
      <c r="BD26" s="800">
        <v>1.62</v>
      </c>
      <c r="BE26" s="800">
        <v>1.59</v>
      </c>
      <c r="BF26" s="800">
        <v>1.58</v>
      </c>
      <c r="BG26" s="800">
        <v>1.57</v>
      </c>
      <c r="BH26" s="800">
        <v>1.5</v>
      </c>
      <c r="BI26" s="800">
        <v>1.4897</v>
      </c>
      <c r="BJ26" s="800">
        <v>1.4094260358448627</v>
      </c>
      <c r="BK26" s="800">
        <v>1.4074729230287721</v>
      </c>
      <c r="BL26" s="800">
        <v>1.4052530813261817</v>
      </c>
      <c r="BM26" s="800">
        <v>1.3966001761815432</v>
      </c>
      <c r="BN26" s="800">
        <v>1.4064341837263161</v>
      </c>
      <c r="BO26" s="800">
        <v>1.4204459793850897</v>
      </c>
      <c r="BP26" s="6635">
        <v>17.795332379492766</v>
      </c>
      <c r="BQ26" s="6567">
        <v>1.4180424187103164</v>
      </c>
      <c r="BR26" s="6526">
        <v>1.4337837506497257</v>
      </c>
      <c r="BS26" s="6526">
        <v>1.427474434531864</v>
      </c>
      <c r="BT26" s="6526">
        <v>1.5287668697968635</v>
      </c>
      <c r="BU26" s="6526">
        <v>1.5329222165330907</v>
      </c>
      <c r="BV26" s="6526">
        <v>1.4180424187103164</v>
      </c>
      <c r="BW26" s="6526">
        <v>1.518616017700182</v>
      </c>
      <c r="BX26" s="6526">
        <v>1.518616017700182</v>
      </c>
      <c r="BY26" s="6526">
        <v>1.5016432583749997</v>
      </c>
      <c r="BZ26" s="6526">
        <v>1.5257767711046817</v>
      </c>
      <c r="CA26" s="6526">
        <v>1.4983585047131818</v>
      </c>
      <c r="CB26" s="6526">
        <v>1.5105706387304547</v>
      </c>
      <c r="CC26" s="6563">
        <f t="shared" si="4"/>
        <v>17.832613317255856</v>
      </c>
      <c r="CD26" s="6528">
        <v>1.5242187038713182</v>
      </c>
      <c r="CE26" s="6526">
        <v>1.4968762552319541</v>
      </c>
      <c r="CF26" s="3882"/>
      <c r="CG26" s="3884"/>
      <c r="CH26" s="3884"/>
      <c r="CI26" s="3884"/>
      <c r="CJ26" s="3882"/>
      <c r="CK26" s="3882"/>
      <c r="CL26" s="3882"/>
      <c r="CM26" s="3882"/>
      <c r="CN26" s="3882"/>
      <c r="CO26" s="3882"/>
      <c r="CP26" s="3856"/>
      <c r="CQ26" s="768"/>
      <c r="CR26" s="6869">
        <f t="shared" si="11"/>
        <v>-2.7342448639364081E-2</v>
      </c>
      <c r="CS26" s="6740">
        <f t="shared" si="12"/>
        <v>6.309250458222837E-2</v>
      </c>
      <c r="CT26" s="3885"/>
      <c r="CU26" s="6924">
        <f t="shared" si="6"/>
        <v>3.0210949591032721</v>
      </c>
      <c r="CV26" s="6739"/>
      <c r="CW26" s="6739"/>
      <c r="CX26" s="6740">
        <f t="shared" si="14"/>
        <v>0.16926878974322968</v>
      </c>
      <c r="CY26" s="2775"/>
      <c r="CZ26" s="590" t="str">
        <f t="shared" si="39"/>
        <v>2nd 등 기타단말</v>
      </c>
      <c r="DA26" s="3858"/>
      <c r="DB26" s="3858"/>
      <c r="DC26" s="3858"/>
      <c r="DD26" s="3858"/>
      <c r="DE26" s="3858"/>
      <c r="DF26" s="3858"/>
      <c r="DG26" s="3858"/>
      <c r="DH26" s="3858"/>
      <c r="DI26" s="3858"/>
      <c r="DJ26" s="3858"/>
      <c r="DK26" s="3858"/>
      <c r="DL26" s="3858"/>
      <c r="DM26" s="603">
        <f t="shared" si="27"/>
        <v>0</v>
      </c>
      <c r="DO26" s="2261"/>
      <c r="DP26" s="2261"/>
      <c r="DS26" s="2261"/>
      <c r="DT26" s="2261"/>
    </row>
    <row r="27" spans="1:124" ht="16.3" customHeight="1" x14ac:dyDescent="0.55000000000000004">
      <c r="A27" s="3751"/>
      <c r="C27" s="803"/>
      <c r="D27" s="803" t="s">
        <v>52</v>
      </c>
      <c r="E27" s="803" t="s">
        <v>119</v>
      </c>
      <c r="F27" s="3875">
        <v>2.0496657935454543</v>
      </c>
      <c r="G27" s="3876">
        <v>1.8883216016363635</v>
      </c>
      <c r="H27" s="3876">
        <v>1.8591887572727273</v>
      </c>
      <c r="I27" s="3876">
        <v>1.8411987885454544</v>
      </c>
      <c r="J27" s="3876">
        <v>1.8375548864545455</v>
      </c>
      <c r="K27" s="3876">
        <v>1.8341817750454545</v>
      </c>
      <c r="L27" s="3876">
        <v>2.9678198939090912</v>
      </c>
      <c r="M27" s="3876">
        <v>1.8542415146363638</v>
      </c>
      <c r="N27" s="3876">
        <v>1.8644706418181818</v>
      </c>
      <c r="O27" s="3876">
        <v>1.8599187148636365</v>
      </c>
      <c r="P27" s="3876">
        <v>1.8170062005909091</v>
      </c>
      <c r="Q27" s="3877">
        <v>1.8180759325454545</v>
      </c>
      <c r="R27" s="3876">
        <v>1.7818134543181818</v>
      </c>
      <c r="S27" s="3876">
        <v>1.7777955043181819</v>
      </c>
      <c r="T27" s="3876">
        <v>1.78677347825</v>
      </c>
      <c r="U27" s="3876">
        <v>1.8048432413068181</v>
      </c>
      <c r="V27" s="3876">
        <v>1.832966176909091</v>
      </c>
      <c r="W27" s="3876">
        <v>1.8329404845000004</v>
      </c>
      <c r="X27" s="3876">
        <v>1.8624729208181816</v>
      </c>
      <c r="Y27" s="3876">
        <v>1.8714750490454546</v>
      </c>
      <c r="Z27" s="3876">
        <v>1.8474245818636363</v>
      </c>
      <c r="AA27" s="3876">
        <v>1.8373948461363636</v>
      </c>
      <c r="AB27" s="3876">
        <v>1.7821269057272728</v>
      </c>
      <c r="AC27" s="3876">
        <v>1.8303570903181818</v>
      </c>
      <c r="AD27" s="3875">
        <v>1.9709267333425418</v>
      </c>
      <c r="AE27" s="3876">
        <v>1.9508069199432987</v>
      </c>
      <c r="AF27" s="3876">
        <v>1.9047488076729775</v>
      </c>
      <c r="AG27" s="3876">
        <v>1.8758444525714753</v>
      </c>
      <c r="AH27" s="3876">
        <v>1.865547496463742</v>
      </c>
      <c r="AI27" s="3876">
        <v>1.8291790236357433</v>
      </c>
      <c r="AJ27" s="3876">
        <v>1.7629148742272698</v>
      </c>
      <c r="AK27" s="3876">
        <v>1.7505884902727298</v>
      </c>
      <c r="AL27" s="3876">
        <v>1.74798405781818</v>
      </c>
      <c r="AM27" s="3876">
        <v>1.70982304972727</v>
      </c>
      <c r="AN27" s="3876">
        <v>1.6316963158636399</v>
      </c>
      <c r="AO27" s="3876">
        <v>1.6158069884545498</v>
      </c>
      <c r="AP27" s="3877"/>
      <c r="AQ27" s="3898">
        <v>1.522877</v>
      </c>
      <c r="AR27" s="3878">
        <v>1.5334382500000001</v>
      </c>
      <c r="AS27" s="3878">
        <v>1.4773935</v>
      </c>
      <c r="AT27" s="3878">
        <v>1.490764</v>
      </c>
      <c r="AU27" s="3878">
        <v>1.4585659999999998</v>
      </c>
      <c r="AV27" s="3878">
        <v>1.4674782500000001</v>
      </c>
      <c r="AW27" s="3878">
        <v>1.4742314999999999</v>
      </c>
      <c r="AX27" s="3878">
        <v>1.4776952499999998</v>
      </c>
      <c r="AY27" s="3878">
        <v>1.482604</v>
      </c>
      <c r="AZ27" s="3878">
        <v>1.4977764999999998</v>
      </c>
      <c r="BA27" s="3878">
        <v>1.51239225</v>
      </c>
      <c r="BB27" s="3878">
        <v>1.5158645000000002</v>
      </c>
      <c r="BC27" s="3879">
        <v>17.911080999999999</v>
      </c>
      <c r="BD27" s="800">
        <v>1.8011074999999999</v>
      </c>
      <c r="BE27" s="800">
        <v>1.7306892500000002</v>
      </c>
      <c r="BF27" s="800">
        <v>1.73016225</v>
      </c>
      <c r="BG27" s="800">
        <v>1.6455277500000001</v>
      </c>
      <c r="BH27" s="800">
        <v>1.7</v>
      </c>
      <c r="BI27" s="800">
        <v>1.7</v>
      </c>
      <c r="BJ27" s="800">
        <v>1.741165182409091</v>
      </c>
      <c r="BK27" s="800">
        <v>1.7043583409999998</v>
      </c>
      <c r="BL27" s="800">
        <v>1.7339788759545454</v>
      </c>
      <c r="BM27" s="800">
        <v>1.7348236832272725</v>
      </c>
      <c r="BN27" s="800">
        <v>1.7119060968181818</v>
      </c>
      <c r="BO27" s="800">
        <v>1.7274593805909091</v>
      </c>
      <c r="BP27" s="6635">
        <v>20.661178309999997</v>
      </c>
      <c r="BQ27" s="6567">
        <v>1.74486284159091</v>
      </c>
      <c r="BR27" s="6526">
        <v>1.7453800658181817</v>
      </c>
      <c r="BS27" s="6526">
        <v>1.7273761130454546</v>
      </c>
      <c r="BT27" s="6526">
        <v>1.7503188826363636</v>
      </c>
      <c r="BU27" s="6526">
        <v>1.7810159881818182</v>
      </c>
      <c r="BV27" s="6526">
        <v>1.74486284159091</v>
      </c>
      <c r="BW27" s="6526">
        <v>1.74486284159091</v>
      </c>
      <c r="BX27" s="6526">
        <v>1.74486284159091</v>
      </c>
      <c r="BY27" s="6526">
        <v>1.731559085909091</v>
      </c>
      <c r="BZ27" s="6526">
        <v>1.7583898806818181</v>
      </c>
      <c r="CA27" s="6526">
        <v>1.7430904370454547</v>
      </c>
      <c r="CB27" s="6526">
        <v>1.7430904370454547</v>
      </c>
      <c r="CC27" s="6563">
        <f t="shared" si="4"/>
        <v>20.959672256727277</v>
      </c>
      <c r="CD27" s="6528">
        <v>1.6652391727272728</v>
      </c>
      <c r="CE27" s="6526">
        <v>1.6164775750909091</v>
      </c>
      <c r="CF27" s="3882"/>
      <c r="CG27" s="3884"/>
      <c r="CH27" s="3884"/>
      <c r="CI27" s="3884"/>
      <c r="CJ27" s="3882"/>
      <c r="CK27" s="3882"/>
      <c r="CL27" s="3882"/>
      <c r="CM27" s="3882"/>
      <c r="CN27" s="3882"/>
      <c r="CO27" s="3882"/>
      <c r="CP27" s="3856"/>
      <c r="CQ27" s="768"/>
      <c r="CR27" s="6869">
        <f t="shared" si="11"/>
        <v>-4.8761597636363785E-2</v>
      </c>
      <c r="CS27" s="6740">
        <f t="shared" si="12"/>
        <v>-0.12890249072727267</v>
      </c>
      <c r="CT27" s="3885"/>
      <c r="CU27" s="6924">
        <f t="shared" si="6"/>
        <v>3.2817167478181819</v>
      </c>
      <c r="CV27" s="6739"/>
      <c r="CW27" s="6739"/>
      <c r="CX27" s="6740">
        <f t="shared" si="14"/>
        <v>-0.20852615959090981</v>
      </c>
      <c r="CY27" s="2775"/>
      <c r="CZ27" s="590" t="str">
        <f t="shared" si="39"/>
        <v>IoT</v>
      </c>
      <c r="DA27" s="3858"/>
      <c r="DB27" s="3858"/>
      <c r="DC27" s="3858"/>
      <c r="DD27" s="3858"/>
      <c r="DE27" s="3858"/>
      <c r="DF27" s="3858"/>
      <c r="DG27" s="3858"/>
      <c r="DH27" s="3858"/>
      <c r="DI27" s="3858"/>
      <c r="DJ27" s="3858"/>
      <c r="DK27" s="3858"/>
      <c r="DL27" s="3858"/>
      <c r="DM27" s="603">
        <f t="shared" si="27"/>
        <v>0</v>
      </c>
      <c r="DO27" s="2261"/>
      <c r="DP27" s="2261"/>
      <c r="DS27" s="2261"/>
      <c r="DT27" s="2261"/>
    </row>
    <row r="28" spans="1:124" ht="16.3" customHeight="1" x14ac:dyDescent="0.55000000000000004">
      <c r="A28" s="3751"/>
      <c r="C28" s="803"/>
      <c r="D28" s="803" t="s">
        <v>86</v>
      </c>
      <c r="E28" s="803"/>
      <c r="F28" s="3875">
        <v>2.8319186363636364</v>
      </c>
      <c r="G28" s="3876">
        <v>2.7747745454545449</v>
      </c>
      <c r="H28" s="3876">
        <v>2.8072120909090907</v>
      </c>
      <c r="I28" s="3876">
        <v>2.7751740909090907</v>
      </c>
      <c r="J28" s="3876">
        <v>3.7064539999999995</v>
      </c>
      <c r="K28" s="3876">
        <v>3.710770818181818</v>
      </c>
      <c r="L28" s="3876">
        <v>3.6954438181818183</v>
      </c>
      <c r="M28" s="3876">
        <v>3.6906620000000001</v>
      </c>
      <c r="N28" s="3876">
        <v>3.6973195454545449</v>
      </c>
      <c r="O28" s="3876">
        <v>3.7111818181818181</v>
      </c>
      <c r="P28" s="3876">
        <v>3.7157199999999992</v>
      </c>
      <c r="Q28" s="3877">
        <v>3.7363342727272726</v>
      </c>
      <c r="R28" s="3876">
        <v>3.7239959999999996</v>
      </c>
      <c r="S28" s="3876">
        <v>3.6172210909090907</v>
      </c>
      <c r="T28" s="3876">
        <v>3.8684580909090909</v>
      </c>
      <c r="U28" s="3876">
        <v>3.7628204545454547</v>
      </c>
      <c r="V28" s="3876">
        <v>3.783579636363636</v>
      </c>
      <c r="W28" s="3876">
        <v>3.913649545454545</v>
      </c>
      <c r="X28" s="3876">
        <v>3.8884717272727269</v>
      </c>
      <c r="Y28" s="3876">
        <v>4.0009168181818184</v>
      </c>
      <c r="Z28" s="3876">
        <v>3.9628550909090907</v>
      </c>
      <c r="AA28" s="3876">
        <v>4.0118372727272726</v>
      </c>
      <c r="AB28" s="3876">
        <v>4.0941511818181811</v>
      </c>
      <c r="AC28" s="3876">
        <v>3.8918232727272724</v>
      </c>
      <c r="AD28" s="3875">
        <v>4.0836059999999996</v>
      </c>
      <c r="AE28" s="3876">
        <v>4.1496891818181814</v>
      </c>
      <c r="AF28" s="3876">
        <v>4.4607770363636359</v>
      </c>
      <c r="AG28" s="3876">
        <v>4.1496891818181814</v>
      </c>
      <c r="AH28" s="3876">
        <v>4.1548569090909089</v>
      </c>
      <c r="AI28" s="3876">
        <v>4.2358683636363628</v>
      </c>
      <c r="AJ28" s="3876">
        <v>4.27994154545455</v>
      </c>
      <c r="AK28" s="3876">
        <v>4.4049079999999998</v>
      </c>
      <c r="AL28" s="3876">
        <v>4.3785670000000003</v>
      </c>
      <c r="AM28" s="3876">
        <v>4.4183479999999999</v>
      </c>
      <c r="AN28" s="3876">
        <v>4.4847528454545493</v>
      </c>
      <c r="AO28" s="3876">
        <v>4.4855169999999998</v>
      </c>
      <c r="AP28" s="3877"/>
      <c r="AQ28" s="3898">
        <v>5.0341109999999993</v>
      </c>
      <c r="AR28" s="3878">
        <v>4.233279636363636</v>
      </c>
      <c r="AS28" s="3878">
        <v>4.916624399999999</v>
      </c>
      <c r="AT28" s="3878">
        <v>4.5693361818181817</v>
      </c>
      <c r="AU28" s="3878">
        <v>4.5908375454545451</v>
      </c>
      <c r="AV28" s="3878">
        <v>4.5822824545454539</v>
      </c>
      <c r="AW28" s="3878">
        <v>4.9184787272727268</v>
      </c>
      <c r="AX28" s="3878">
        <v>4.678644454545454</v>
      </c>
      <c r="AY28" s="3878">
        <v>4.6044433636363626</v>
      </c>
      <c r="AZ28" s="3878">
        <v>4.773463545454546</v>
      </c>
      <c r="BA28" s="3878">
        <v>4.7316570909090903</v>
      </c>
      <c r="BB28" s="3878">
        <v>5.0583822727272727</v>
      </c>
      <c r="BC28" s="3879">
        <v>56.691540672727271</v>
      </c>
      <c r="BD28" s="800">
        <v>4.8145570909090898</v>
      </c>
      <c r="BE28" s="800">
        <v>4.7889017272727266</v>
      </c>
      <c r="BF28" s="800">
        <v>4.8234308181818184</v>
      </c>
      <c r="BG28" s="800">
        <v>4.7762958181818185</v>
      </c>
      <c r="BH28" s="800">
        <v>4.6528247272727272</v>
      </c>
      <c r="BI28" s="800">
        <v>4.5738333636363633</v>
      </c>
      <c r="BJ28" s="800">
        <v>4.5105966363636361</v>
      </c>
      <c r="BK28" s="800">
        <v>4.3819244545454543</v>
      </c>
      <c r="BL28" s="800">
        <v>4.3197047272727271</v>
      </c>
      <c r="BM28" s="3884">
        <v>4.8752289999999991</v>
      </c>
      <c r="BN28" s="800">
        <v>4.132522909090909</v>
      </c>
      <c r="BO28" s="800">
        <v>4.2814632727272723</v>
      </c>
      <c r="BP28" s="6635">
        <v>54.931284545454545</v>
      </c>
      <c r="BQ28" s="6567">
        <v>3.8039284545454546</v>
      </c>
      <c r="BR28" s="6526">
        <v>4.1171956363636362</v>
      </c>
      <c r="BS28" s="6526">
        <v>4.3993616454545448</v>
      </c>
      <c r="BT28" s="6526">
        <v>3.739106636363636</v>
      </c>
      <c r="BU28" s="6526">
        <v>3.6557820909090908</v>
      </c>
      <c r="BV28" s="6526">
        <v>3.5924522727272725</v>
      </c>
      <c r="BW28" s="6526">
        <v>3.8894031818181811</v>
      </c>
      <c r="BX28" s="6526">
        <v>3.4551302727272724</v>
      </c>
      <c r="BY28" s="6526">
        <v>3.382942545454545</v>
      </c>
      <c r="BZ28" s="6526">
        <v>3.382942545454545</v>
      </c>
      <c r="CA28" s="6526">
        <v>3.1911021818181813</v>
      </c>
      <c r="CB28" s="6526">
        <v>3.1645737272727268</v>
      </c>
      <c r="CC28" s="6563">
        <f t="shared" si="4"/>
        <v>43.773921190909093</v>
      </c>
      <c r="CD28" s="6638">
        <v>3.3585185454545452</v>
      </c>
      <c r="CE28" s="6526">
        <v>2.9137028181818181</v>
      </c>
      <c r="CF28" s="3882"/>
      <c r="CG28" s="3884"/>
      <c r="CH28" s="3884"/>
      <c r="CI28" s="3884"/>
      <c r="CJ28" s="3882"/>
      <c r="CK28" s="3882"/>
      <c r="CL28" s="3882"/>
      <c r="CM28" s="3882"/>
      <c r="CN28" s="3882"/>
      <c r="CO28" s="3882"/>
      <c r="CP28" s="3856"/>
      <c r="CQ28" s="768"/>
      <c r="CR28" s="6869">
        <f t="shared" si="11"/>
        <v>-0.44481572727272711</v>
      </c>
      <c r="CS28" s="6740">
        <f t="shared" si="12"/>
        <v>-1.2034928181818181</v>
      </c>
      <c r="CT28" s="3885"/>
      <c r="CU28" s="6924">
        <f t="shared" si="6"/>
        <v>6.2722213636363637</v>
      </c>
      <c r="CV28" s="6739"/>
      <c r="CW28" s="6739"/>
      <c r="CX28" s="6740">
        <f t="shared" si="14"/>
        <v>-1.648902727272727</v>
      </c>
      <c r="CY28" s="2775"/>
      <c r="CZ28" s="590" t="str">
        <f t="shared" si="39"/>
        <v>인터넷</v>
      </c>
      <c r="DA28" s="3858"/>
      <c r="DB28" s="3858"/>
      <c r="DC28" s="3858"/>
      <c r="DD28" s="3858"/>
      <c r="DE28" s="3858"/>
      <c r="DF28" s="3858"/>
      <c r="DG28" s="3858"/>
      <c r="DH28" s="3858"/>
      <c r="DI28" s="3858"/>
      <c r="DJ28" s="3858"/>
      <c r="DK28" s="3858"/>
      <c r="DL28" s="3858"/>
      <c r="DM28" s="603">
        <f t="shared" si="27"/>
        <v>0</v>
      </c>
      <c r="DO28" s="2261"/>
      <c r="DP28" s="2261"/>
      <c r="DS28" s="2261"/>
      <c r="DT28" s="2261"/>
    </row>
    <row r="29" spans="1:124" ht="16.3" customHeight="1" x14ac:dyDescent="0.55000000000000004">
      <c r="A29" s="3751"/>
      <c r="C29" s="803"/>
      <c r="D29" s="803" t="s">
        <v>87</v>
      </c>
      <c r="E29" s="803"/>
      <c r="F29" s="3875">
        <v>1.1862099090909091</v>
      </c>
      <c r="G29" s="3876">
        <v>1.171648909090909</v>
      </c>
      <c r="H29" s="3876">
        <v>1.1478351818181818</v>
      </c>
      <c r="I29" s="3876">
        <v>1.1099224545454545</v>
      </c>
      <c r="J29" s="3876">
        <v>1.8486406363636363</v>
      </c>
      <c r="K29" s="3876">
        <v>1.8199534545454543</v>
      </c>
      <c r="L29" s="3876">
        <v>1.8135665454545453</v>
      </c>
      <c r="M29" s="3876">
        <v>1.7916101818181815</v>
      </c>
      <c r="N29" s="3876">
        <v>1.7797416363636362</v>
      </c>
      <c r="O29" s="3876">
        <v>1.7558139090909091</v>
      </c>
      <c r="P29" s="3876">
        <v>1.7228359090909091</v>
      </c>
      <c r="Q29" s="3877">
        <v>1.7046977272727273</v>
      </c>
      <c r="R29" s="3876">
        <v>1.6832072727272724</v>
      </c>
      <c r="S29" s="3876">
        <v>1.6089168181818181</v>
      </c>
      <c r="T29" s="3876">
        <v>1.6991037272727274</v>
      </c>
      <c r="U29" s="3876">
        <v>1.6112271818181816</v>
      </c>
      <c r="V29" s="3876">
        <v>1.5743053636363635</v>
      </c>
      <c r="W29" s="3876">
        <v>1.5836084545454543</v>
      </c>
      <c r="X29" s="3876">
        <v>1.5427433636363634</v>
      </c>
      <c r="Y29" s="3876">
        <v>1.5822535454545454</v>
      </c>
      <c r="Z29" s="3876">
        <v>1.5518969090909092</v>
      </c>
      <c r="AA29" s="3876">
        <v>1.7180076363636363</v>
      </c>
      <c r="AB29" s="3876">
        <v>2.8612783636363632</v>
      </c>
      <c r="AC29" s="3876">
        <v>1.7501654545454544</v>
      </c>
      <c r="AD29" s="3875">
        <v>1.7327599090909092</v>
      </c>
      <c r="AE29" s="3876">
        <v>1.7578672727272726</v>
      </c>
      <c r="AF29" s="3876">
        <v>1.784618</v>
      </c>
      <c r="AG29" s="3876">
        <v>1.7578672727272726</v>
      </c>
      <c r="AH29" s="3876">
        <v>1.7712138181818182</v>
      </c>
      <c r="AI29" s="3876">
        <v>1.8049611818181817</v>
      </c>
      <c r="AJ29" s="3876">
        <v>2.0319552999999999</v>
      </c>
      <c r="AK29" s="3876">
        <v>2.1079583999999998</v>
      </c>
      <c r="AL29" s="3876">
        <v>2.0922692999999999</v>
      </c>
      <c r="AM29" s="3876">
        <v>2.1288882999999998</v>
      </c>
      <c r="AN29" s="3876">
        <v>2.1728996899999999</v>
      </c>
      <c r="AO29" s="3876">
        <v>2.1858507999999999</v>
      </c>
      <c r="AP29" s="3877"/>
      <c r="AQ29" s="3898">
        <v>1.9871370909090909</v>
      </c>
      <c r="AR29" s="3878">
        <v>2.1905009999999998</v>
      </c>
      <c r="AS29" s="3878">
        <v>1.6563014363636364</v>
      </c>
      <c r="AT29" s="3878">
        <v>2.3826345454545454</v>
      </c>
      <c r="AU29" s="3878">
        <v>2.0444982727272727</v>
      </c>
      <c r="AV29" s="3878">
        <v>2.0659987272727274</v>
      </c>
      <c r="AW29" s="3878">
        <v>2.0694203636363633</v>
      </c>
      <c r="AX29" s="3878">
        <v>2.2355180909090908</v>
      </c>
      <c r="AY29" s="3878">
        <v>2.1392998181818181</v>
      </c>
      <c r="AZ29" s="3878">
        <v>2.1141679090909089</v>
      </c>
      <c r="BA29" s="3878">
        <v>2.1989009090909089</v>
      </c>
      <c r="BB29" s="3878">
        <v>2.2006523636363635</v>
      </c>
      <c r="BC29" s="3879">
        <v>25.285030527272731</v>
      </c>
      <c r="BD29" s="800">
        <v>2.3898514545454548</v>
      </c>
      <c r="BE29" s="800">
        <v>2.262374545454545</v>
      </c>
      <c r="BF29" s="800">
        <v>2.2457271818181819</v>
      </c>
      <c r="BG29" s="800">
        <v>2.2506790909090908</v>
      </c>
      <c r="BH29" s="800">
        <v>2.2239742727272724</v>
      </c>
      <c r="BI29" s="800">
        <v>2.1981428181818181</v>
      </c>
      <c r="BJ29" s="800">
        <v>2.2025613636363635</v>
      </c>
      <c r="BK29" s="800">
        <v>2.1641347272727267</v>
      </c>
      <c r="BL29" s="800">
        <v>2.1498160909090904</v>
      </c>
      <c r="BM29" s="800">
        <v>2.4963488181818181</v>
      </c>
      <c r="BN29" s="800">
        <v>2.0994082727272727</v>
      </c>
      <c r="BO29" s="800">
        <v>2.2071336363636362</v>
      </c>
      <c r="BP29" s="6635">
        <v>26.890152272727274</v>
      </c>
      <c r="BQ29" s="6567">
        <v>1.9646244545454543</v>
      </c>
      <c r="BR29" s="6526">
        <v>2.1139592727272727</v>
      </c>
      <c r="BS29" s="6526">
        <v>2.0006825454545454</v>
      </c>
      <c r="BT29" s="6526">
        <v>1.9445589999999997</v>
      </c>
      <c r="BU29" s="6526">
        <v>1.9207853636363634</v>
      </c>
      <c r="BV29" s="6526">
        <v>1.9006985454545453</v>
      </c>
      <c r="BW29" s="6526">
        <v>2.1088226363636364</v>
      </c>
      <c r="BX29" s="6526">
        <v>1.8780528181818181</v>
      </c>
      <c r="BY29" s="6526">
        <v>1.8569470909090906</v>
      </c>
      <c r="BZ29" s="6526">
        <v>1.8569470909090906</v>
      </c>
      <c r="CA29" s="6526">
        <v>1.7957804545454543</v>
      </c>
      <c r="CB29" s="6526">
        <v>1.7909318181818181</v>
      </c>
      <c r="CC29" s="6563">
        <f t="shared" si="4"/>
        <v>23.132791090909091</v>
      </c>
      <c r="CD29" s="6638">
        <v>1.9274904545454543</v>
      </c>
      <c r="CE29" s="6526">
        <v>1.6843154545454544</v>
      </c>
      <c r="CF29" s="3882"/>
      <c r="CG29" s="3884"/>
      <c r="CH29" s="3884"/>
      <c r="CI29" s="3884"/>
      <c r="CJ29" s="3882"/>
      <c r="CK29" s="3882"/>
      <c r="CL29" s="3882"/>
      <c r="CM29" s="3882"/>
      <c r="CN29" s="3882"/>
      <c r="CO29" s="3882"/>
      <c r="CP29" s="3856"/>
      <c r="CQ29" s="768"/>
      <c r="CR29" s="6869">
        <f t="shared" si="11"/>
        <v>-0.24317499999999992</v>
      </c>
      <c r="CS29" s="6740">
        <f t="shared" si="12"/>
        <v>-0.42964381818181829</v>
      </c>
      <c r="CT29" s="3885"/>
      <c r="CU29" s="6924">
        <f t="shared" si="6"/>
        <v>3.6118059090909087</v>
      </c>
      <c r="CV29" s="6739"/>
      <c r="CW29" s="6739"/>
      <c r="CX29" s="6740">
        <f t="shared" si="14"/>
        <v>-0.46677781818181874</v>
      </c>
      <c r="CY29" s="2775"/>
      <c r="CZ29" s="590" t="str">
        <f t="shared" si="39"/>
        <v>TV</v>
      </c>
      <c r="DA29" s="3858"/>
      <c r="DB29" s="3858"/>
      <c r="DC29" s="3858"/>
      <c r="DD29" s="3858"/>
      <c r="DE29" s="3858"/>
      <c r="DF29" s="3858"/>
      <c r="DG29" s="3858"/>
      <c r="DH29" s="3858"/>
      <c r="DI29" s="3858"/>
      <c r="DJ29" s="3858"/>
      <c r="DK29" s="3858"/>
      <c r="DL29" s="3858"/>
      <c r="DM29" s="603">
        <f t="shared" si="27"/>
        <v>0</v>
      </c>
      <c r="DO29" s="2261"/>
      <c r="DP29" s="2261"/>
      <c r="DS29" s="2261"/>
      <c r="DT29" s="2261"/>
    </row>
    <row r="30" spans="1:124" ht="16.3" customHeight="1" x14ac:dyDescent="0.55000000000000004">
      <c r="A30" s="3751"/>
      <c r="C30" s="803"/>
      <c r="D30" s="803" t="s">
        <v>103</v>
      </c>
      <c r="E30" s="803" t="s">
        <v>115</v>
      </c>
      <c r="F30" s="3875">
        <v>2.1736054545454547E-2</v>
      </c>
      <c r="G30" s="3876">
        <v>1.9277772727272723E-2</v>
      </c>
      <c r="H30" s="3876">
        <v>2.0036681818181818E-2</v>
      </c>
      <c r="I30" s="3876">
        <v>1.9458718181818182E-2</v>
      </c>
      <c r="J30" s="3876">
        <v>2.3965372727272723E-2</v>
      </c>
      <c r="K30" s="3876">
        <v>2.4830072727272726E-2</v>
      </c>
      <c r="L30" s="3876">
        <v>2.5184418181818179E-2</v>
      </c>
      <c r="M30" s="3876">
        <v>2.4936400000000001E-2</v>
      </c>
      <c r="N30" s="3876">
        <v>2.4402054545454542E-2</v>
      </c>
      <c r="O30" s="3876">
        <v>2.4128963636363632E-2</v>
      </c>
      <c r="P30" s="3876">
        <v>2.3571536363636361E-2</v>
      </c>
      <c r="Q30" s="3877">
        <v>2.4561454545454543E-2</v>
      </c>
      <c r="R30" s="3876">
        <v>2.409919090909185E-2</v>
      </c>
      <c r="S30" s="3876">
        <v>2.4071754545454169E-2</v>
      </c>
      <c r="T30" s="3876">
        <v>2.5913790909090312E-2</v>
      </c>
      <c r="U30" s="3876">
        <v>2.602209090909036E-2</v>
      </c>
      <c r="V30" s="3876">
        <v>2.529912727272627E-2</v>
      </c>
      <c r="W30" s="3876">
        <v>2.5760081818181787E-2</v>
      </c>
      <c r="X30" s="3876">
        <v>2.5516845454545925E-2</v>
      </c>
      <c r="Y30" s="3876">
        <v>2.6451918181817514E-2</v>
      </c>
      <c r="Z30" s="3876">
        <v>2.6320572727272288E-2</v>
      </c>
      <c r="AA30" s="3876">
        <v>2.6058481818180997E-2</v>
      </c>
      <c r="AB30" s="3876">
        <v>2.7497736363636796E-2</v>
      </c>
      <c r="AC30" s="3876">
        <v>2.6132263636363437E-2</v>
      </c>
      <c r="AD30" s="3875">
        <v>2.6523327272727271E-2</v>
      </c>
      <c r="AE30" s="3876">
        <v>2.6473854545454541E-2</v>
      </c>
      <c r="AF30" s="3876">
        <v>2.9348909090909089E-2</v>
      </c>
      <c r="AG30" s="3876">
        <v>2.4446636363636361E-2</v>
      </c>
      <c r="AH30" s="3876">
        <v>2.9012309090909086E-2</v>
      </c>
      <c r="AI30" s="3876">
        <v>2.9052609090909086E-2</v>
      </c>
      <c r="AJ30" s="3876">
        <v>2.7647618181818202E-2</v>
      </c>
      <c r="AK30" s="3876">
        <v>2.91417545454545E-2</v>
      </c>
      <c r="AL30" s="3876">
        <v>2.92156454545455E-2</v>
      </c>
      <c r="AM30" s="3876">
        <v>2.7559045454545499E-2</v>
      </c>
      <c r="AN30" s="3876">
        <v>2.9438663636363598E-2</v>
      </c>
      <c r="AO30" s="3876">
        <v>2.9304681818181799E-2</v>
      </c>
      <c r="AP30" s="3877"/>
      <c r="AQ30" s="3898">
        <v>0.87586089008264478</v>
      </c>
      <c r="AR30" s="3878">
        <v>7.8961966942149908E-2</v>
      </c>
      <c r="AS30" s="3878">
        <v>1.3527922214876045</v>
      </c>
      <c r="AT30" s="3878">
        <v>0.32144222975206582</v>
      </c>
      <c r="AU30" s="3878">
        <v>0.6524388016528927</v>
      </c>
      <c r="AV30" s="3878">
        <v>0.63586999834710745</v>
      </c>
      <c r="AW30" s="3878">
        <v>0.82892013553719091</v>
      </c>
      <c r="AX30" s="3878">
        <v>0.5588534495867773</v>
      </c>
      <c r="AY30" s="3878">
        <v>0.61588037107438143</v>
      </c>
      <c r="AZ30" s="3878">
        <v>0.74195955041322303</v>
      </c>
      <c r="BA30" s="3878">
        <v>0.66719981818181906</v>
      </c>
      <c r="BB30" s="3878">
        <v>0.88550424876033118</v>
      </c>
      <c r="BC30" s="3879">
        <v>8.215683681818188</v>
      </c>
      <c r="BD30" s="800">
        <v>0.06</v>
      </c>
      <c r="BE30" s="800">
        <v>7.0000000000000007E-2</v>
      </c>
      <c r="BF30" s="800">
        <v>7.0000000000000007E-2</v>
      </c>
      <c r="BG30" s="800">
        <v>7.0000000000000007E-2</v>
      </c>
      <c r="BH30" s="800">
        <v>4.1914509090909088E-2</v>
      </c>
      <c r="BI30" s="800">
        <v>4.079730909090884E-2</v>
      </c>
      <c r="BJ30" s="800">
        <v>4.7433945454545601E-2</v>
      </c>
      <c r="BK30" s="800">
        <v>5.0593609090908806E-2</v>
      </c>
      <c r="BL30" s="800">
        <v>5.6795290909090905E-2</v>
      </c>
      <c r="BM30" s="800">
        <v>8.3758572727272718E-2</v>
      </c>
      <c r="BN30" s="800">
        <v>6.7228490909090902E-2</v>
      </c>
      <c r="BO30" s="800">
        <v>9.2947999999999809E-2</v>
      </c>
      <c r="BP30" s="6635">
        <v>0.75146972727272665</v>
      </c>
      <c r="BQ30" s="6567">
        <v>8.8376410000000002E-2</v>
      </c>
      <c r="BR30" s="6526">
        <v>7.7518899999999835E-2</v>
      </c>
      <c r="BS30" s="6526">
        <v>9.3720581818182769E-2</v>
      </c>
      <c r="BT30" s="6526">
        <v>8.9024718181818452E-2</v>
      </c>
      <c r="BU30" s="6526">
        <v>9.5507827272727441E-2</v>
      </c>
      <c r="BV30" s="6526">
        <v>9.9980718181818862E-2</v>
      </c>
      <c r="BW30" s="6526">
        <v>0.1480857636363635</v>
      </c>
      <c r="BX30" s="6526">
        <v>0.12233779090909058</v>
      </c>
      <c r="BY30" s="6526">
        <v>0.13025593636363708</v>
      </c>
      <c r="BZ30" s="6526">
        <v>0.13025593636363708</v>
      </c>
      <c r="CA30" s="6526">
        <v>0.14468844545454607</v>
      </c>
      <c r="CB30" s="6526">
        <v>0.15245972727272794</v>
      </c>
      <c r="CC30" s="6563">
        <f t="shared" si="4"/>
        <v>1.3722127554545496</v>
      </c>
      <c r="CD30" s="6528">
        <v>0.19095968181818135</v>
      </c>
      <c r="CE30" s="6526">
        <v>0.16698293636363637</v>
      </c>
      <c r="CF30" s="3882"/>
      <c r="CG30" s="3884"/>
      <c r="CH30" s="3884"/>
      <c r="CI30" s="3884"/>
      <c r="CJ30" s="3882"/>
      <c r="CK30" s="3882"/>
      <c r="CL30" s="3882"/>
      <c r="CM30" s="3882"/>
      <c r="CN30" s="3882"/>
      <c r="CO30" s="3882"/>
      <c r="CP30" s="3856"/>
      <c r="CQ30" s="768"/>
      <c r="CR30" s="6869">
        <f t="shared" si="11"/>
        <v>-2.3976745454544979E-2</v>
      </c>
      <c r="CS30" s="6740">
        <f t="shared" si="12"/>
        <v>8.9464036363636534E-2</v>
      </c>
      <c r="CT30" s="3885"/>
      <c r="CU30" s="6924">
        <f t="shared" si="6"/>
        <v>0.35794261818181772</v>
      </c>
      <c r="CV30" s="6739"/>
      <c r="CW30" s="6739"/>
      <c r="CX30" s="6740">
        <f t="shared" si="14"/>
        <v>0.19204730818181787</v>
      </c>
      <c r="CY30" s="2775"/>
      <c r="CZ30" s="590" t="str">
        <f t="shared" si="39"/>
        <v>유선기타</v>
      </c>
      <c r="DA30" s="3858"/>
      <c r="DB30" s="3858"/>
      <c r="DC30" s="3858"/>
      <c r="DD30" s="3858"/>
      <c r="DE30" s="3858"/>
      <c r="DF30" s="3858"/>
      <c r="DG30" s="3858"/>
      <c r="DH30" s="3858"/>
      <c r="DI30" s="3858"/>
      <c r="DJ30" s="3858"/>
      <c r="DK30" s="3858"/>
      <c r="DL30" s="3858"/>
      <c r="DM30" s="603">
        <f t="shared" si="27"/>
        <v>0</v>
      </c>
      <c r="DO30" s="2261"/>
      <c r="DP30" s="2261"/>
      <c r="DS30" s="2261"/>
      <c r="DT30" s="2261"/>
    </row>
    <row r="31" spans="1:124" ht="16.3" customHeight="1" x14ac:dyDescent="0.45">
      <c r="A31" s="3751"/>
      <c r="C31" s="803"/>
      <c r="D31" s="803" t="s">
        <v>107</v>
      </c>
      <c r="E31" s="803" t="s">
        <v>1103</v>
      </c>
      <c r="F31" s="3900">
        <v>0.75039630999999996</v>
      </c>
      <c r="G31" s="3901">
        <v>0.70240427000000005</v>
      </c>
      <c r="H31" s="3901">
        <v>0.67715013999999996</v>
      </c>
      <c r="I31" s="3901">
        <v>0.71141728999999998</v>
      </c>
      <c r="J31" s="3901">
        <v>0.71719927000000006</v>
      </c>
      <c r="K31" s="3901">
        <v>0.72171653000000002</v>
      </c>
      <c r="L31" s="3901">
        <v>0.72252894000000001</v>
      </c>
      <c r="M31" s="3901">
        <v>0.67832362999999996</v>
      </c>
      <c r="N31" s="3901">
        <v>0.68035809000000003</v>
      </c>
      <c r="O31" s="3901">
        <v>0.65314771999999999</v>
      </c>
      <c r="P31" s="3901">
        <v>0.63587112000000001</v>
      </c>
      <c r="Q31" s="3902">
        <v>0.6</v>
      </c>
      <c r="R31" s="3901">
        <v>0.63430847999999995</v>
      </c>
      <c r="S31" s="3901">
        <v>0.69238188000000001</v>
      </c>
      <c r="T31" s="3901">
        <v>0.67038286999999996</v>
      </c>
      <c r="U31" s="3901">
        <v>0.95676457000000004</v>
      </c>
      <c r="V31" s="3901">
        <v>0.59000193999999995</v>
      </c>
      <c r="W31" s="3901">
        <v>0.63244184999999997</v>
      </c>
      <c r="X31" s="3901">
        <v>0.63892992000000004</v>
      </c>
      <c r="Y31" s="3901">
        <v>0.62649979</v>
      </c>
      <c r="Z31" s="3901">
        <v>0.59313702999999995</v>
      </c>
      <c r="AA31" s="3901">
        <v>0.59049806000000005</v>
      </c>
      <c r="AB31" s="3901">
        <v>0.58983945999999998</v>
      </c>
      <c r="AC31" s="3901">
        <v>0.63162516000000002</v>
      </c>
      <c r="AD31" s="3875">
        <v>0.60857249000000002</v>
      </c>
      <c r="AE31" s="3876">
        <v>0.55560361999999996</v>
      </c>
      <c r="AF31" s="3876">
        <v>0.57832629000000002</v>
      </c>
      <c r="AG31" s="3876">
        <v>0.76406870000000005</v>
      </c>
      <c r="AH31" s="3876">
        <v>0.77330588</v>
      </c>
      <c r="AI31" s="3876">
        <v>0.75535163999999999</v>
      </c>
      <c r="AJ31" s="3876">
        <v>0.76877136000000001</v>
      </c>
      <c r="AK31" s="3876">
        <v>0.77995281000000005</v>
      </c>
      <c r="AL31" s="3876">
        <v>0.73066151000000001</v>
      </c>
      <c r="AM31" s="3876">
        <v>0.72061025000000001</v>
      </c>
      <c r="AN31" s="3876">
        <v>0.72683315999999998</v>
      </c>
      <c r="AO31" s="3876">
        <v>0.84091362999999997</v>
      </c>
      <c r="AP31" s="3877"/>
      <c r="AQ31" s="3898">
        <v>0.69246335999999997</v>
      </c>
      <c r="AR31" s="3878">
        <v>0.73521293999999993</v>
      </c>
      <c r="AS31" s="3878">
        <v>0.74165734999999999</v>
      </c>
      <c r="AT31" s="3878">
        <v>0.64946560000000009</v>
      </c>
      <c r="AU31" s="3878">
        <v>0.68373459999999997</v>
      </c>
      <c r="AV31" s="3878">
        <v>0.70764137000000005</v>
      </c>
      <c r="AW31" s="3878">
        <v>0.7130357100000001</v>
      </c>
      <c r="AX31" s="3878">
        <v>0.75867724999999997</v>
      </c>
      <c r="AY31" s="3878">
        <v>0.63747105999999998</v>
      </c>
      <c r="AZ31" s="3878">
        <v>0.71637870000000003</v>
      </c>
      <c r="BA31" s="3878">
        <v>0.68336764000000005</v>
      </c>
      <c r="BB31" s="3878">
        <v>0.62569349000000007</v>
      </c>
      <c r="BC31" s="3879">
        <v>8.3447990700000005</v>
      </c>
      <c r="BD31" s="800">
        <v>0.69062104000000002</v>
      </c>
      <c r="BE31" s="800">
        <v>0.67475181000000006</v>
      </c>
      <c r="BF31" s="800">
        <v>0.65596743000000002</v>
      </c>
      <c r="BG31" s="800">
        <v>0.66106860999999995</v>
      </c>
      <c r="BH31" s="800">
        <v>0.66754687999999995</v>
      </c>
      <c r="BI31" s="800">
        <v>0.64455618000000003</v>
      </c>
      <c r="BJ31" s="800">
        <v>0.70951200000000003</v>
      </c>
      <c r="BK31" s="800">
        <v>0.70516719999999999</v>
      </c>
      <c r="BL31" s="800">
        <v>0.62985632999999996</v>
      </c>
      <c r="BM31" s="800">
        <v>0.65229932000000002</v>
      </c>
      <c r="BN31" s="800">
        <v>0.63941378000000004</v>
      </c>
      <c r="BO31" s="800">
        <v>0.61422584999999996</v>
      </c>
      <c r="BP31" s="6635">
        <v>7.9449864300000002</v>
      </c>
      <c r="BQ31" s="6567">
        <v>0.58253186999999995</v>
      </c>
      <c r="BR31" s="6526">
        <v>0.66603878000000005</v>
      </c>
      <c r="BS31" s="6526">
        <v>0.63645967999999997</v>
      </c>
      <c r="BT31" s="6526">
        <v>0.59906740999999997</v>
      </c>
      <c r="BU31" s="6526">
        <v>0.69777632999999994</v>
      </c>
      <c r="BV31" s="6526">
        <v>0.75951674000000002</v>
      </c>
      <c r="BW31" s="6526">
        <v>0.68965745000000001</v>
      </c>
      <c r="BX31" s="6526">
        <v>0.71409785000000003</v>
      </c>
      <c r="BY31" s="6526">
        <v>1.3731127999999999</v>
      </c>
      <c r="BZ31" s="6526">
        <v>0.67433715000000005</v>
      </c>
      <c r="CA31" s="6526">
        <v>0.88575873999999999</v>
      </c>
      <c r="CB31" s="6526">
        <v>0.90341731000000003</v>
      </c>
      <c r="CC31" s="6563">
        <f t="shared" si="4"/>
        <v>9.1817721099999989</v>
      </c>
      <c r="CD31" s="6528">
        <v>0.94112510999999999</v>
      </c>
      <c r="CE31" s="6526">
        <v>1.31821166</v>
      </c>
      <c r="CF31" s="3882"/>
      <c r="CG31" s="3884"/>
      <c r="CH31" s="3884"/>
      <c r="CI31" s="3884"/>
      <c r="CJ31" s="3882"/>
      <c r="CK31" s="3882"/>
      <c r="CL31" s="3882"/>
      <c r="CM31" s="3882"/>
      <c r="CN31" s="3882"/>
      <c r="CO31" s="3882"/>
      <c r="CP31" s="3856"/>
      <c r="CQ31" s="768"/>
      <c r="CR31" s="6869">
        <f t="shared" si="11"/>
        <v>0.37708655000000002</v>
      </c>
      <c r="CS31" s="6740">
        <f t="shared" si="12"/>
        <v>0.65217287999999995</v>
      </c>
      <c r="CT31" s="3885"/>
      <c r="CU31" s="6924">
        <f t="shared" si="6"/>
        <v>2.25933677</v>
      </c>
      <c r="CV31" s="6739"/>
      <c r="CW31" s="6739"/>
      <c r="CX31" s="6740">
        <f t="shared" si="14"/>
        <v>1.01076612</v>
      </c>
      <c r="CY31" s="2775"/>
      <c r="CZ31" s="590" t="str">
        <f t="shared" si="39"/>
        <v>매장성수수료</v>
      </c>
      <c r="DA31" s="3858"/>
      <c r="DB31" s="3858"/>
      <c r="DC31" s="3858"/>
      <c r="DD31" s="3858"/>
      <c r="DE31" s="3858"/>
      <c r="DF31" s="3858"/>
      <c r="DG31" s="3858"/>
      <c r="DH31" s="3858"/>
      <c r="DI31" s="3858"/>
      <c r="DJ31" s="3858"/>
      <c r="DK31" s="3858"/>
      <c r="DL31" s="3858"/>
      <c r="DM31" s="603">
        <f t="shared" si="27"/>
        <v>0</v>
      </c>
      <c r="DO31" s="2261"/>
      <c r="DP31" s="2261"/>
      <c r="DS31" s="2261"/>
      <c r="DT31" s="2261"/>
    </row>
    <row r="32" spans="1:124" ht="16.3" customHeight="1" thickBot="1" x14ac:dyDescent="0.5">
      <c r="A32" s="3751"/>
      <c r="C32" s="3903"/>
      <c r="D32" s="3903" t="s">
        <v>734</v>
      </c>
      <c r="E32" s="3903" t="s">
        <v>735</v>
      </c>
      <c r="F32" s="3904">
        <v>4.7003716000000004</v>
      </c>
      <c r="G32" s="3905">
        <v>4.6203696000000001</v>
      </c>
      <c r="H32" s="3905">
        <v>4.6902328500000001</v>
      </c>
      <c r="I32" s="3905">
        <v>4.2771339399999997</v>
      </c>
      <c r="J32" s="3905">
        <v>4.5409584000000001</v>
      </c>
      <c r="K32" s="3905">
        <v>4.4688984700000001</v>
      </c>
      <c r="L32" s="3905">
        <v>4.4039226200000003</v>
      </c>
      <c r="M32" s="3905">
        <v>6.8490849799999998</v>
      </c>
      <c r="N32" s="3905">
        <v>6.8222368500000004</v>
      </c>
      <c r="O32" s="3905">
        <v>6.9177349599999998</v>
      </c>
      <c r="P32" s="3905">
        <v>6.74168229</v>
      </c>
      <c r="Q32" s="3906">
        <v>6.8</v>
      </c>
      <c r="R32" s="3905">
        <v>6.7307910899999994</v>
      </c>
      <c r="S32" s="3905">
        <v>6.5015509199999997</v>
      </c>
      <c r="T32" s="3905">
        <v>7.18170822</v>
      </c>
      <c r="U32" s="3905">
        <v>6.9045870199999992</v>
      </c>
      <c r="V32" s="3905">
        <v>6.9987255999999993</v>
      </c>
      <c r="W32" s="3905">
        <v>7.0713477000000005</v>
      </c>
      <c r="X32" s="3905">
        <v>7.0893752699999997</v>
      </c>
      <c r="Y32" s="3905">
        <v>7.3131808400000002</v>
      </c>
      <c r="Z32" s="3905">
        <v>7.1419120500000002</v>
      </c>
      <c r="AA32" s="3905">
        <v>7.3263247099999997</v>
      </c>
      <c r="AB32" s="3905">
        <v>5.9666941399999995</v>
      </c>
      <c r="AC32" s="3905">
        <v>7.5175296600000001</v>
      </c>
      <c r="AD32" s="3907">
        <v>7.5799954200000004</v>
      </c>
      <c r="AE32" s="3908">
        <v>7.5722367500000001</v>
      </c>
      <c r="AF32" s="3908">
        <v>7.7862670300000003</v>
      </c>
      <c r="AG32" s="3908">
        <v>7.7226681700000004</v>
      </c>
      <c r="AH32" s="3908">
        <v>7.8658371699999998</v>
      </c>
      <c r="AI32" s="3908">
        <v>7.9226677099999998</v>
      </c>
      <c r="AJ32" s="3908">
        <v>8.1994098900000001</v>
      </c>
      <c r="AK32" s="3908">
        <v>8.3415128499999991</v>
      </c>
      <c r="AL32" s="3908">
        <v>8.2962254699999995</v>
      </c>
      <c r="AM32" s="3908">
        <v>8.7071392400000001</v>
      </c>
      <c r="AN32" s="3908">
        <v>7.1787304599999997</v>
      </c>
      <c r="AO32" s="3908">
        <v>8.8320983300000009</v>
      </c>
      <c r="AP32" s="3909"/>
      <c r="AQ32" s="3910">
        <v>7.5021497999999998</v>
      </c>
      <c r="AR32" s="3911">
        <v>7.3366039799999996</v>
      </c>
      <c r="AS32" s="3911">
        <v>7.4152542300000004</v>
      </c>
      <c r="AT32" s="3911">
        <v>7.1958822699999994</v>
      </c>
      <c r="AU32" s="3911">
        <v>7.4571492900000003</v>
      </c>
      <c r="AV32" s="3911">
        <v>7.4571492900000003</v>
      </c>
      <c r="AW32" s="3911">
        <v>7.0949483899999999</v>
      </c>
      <c r="AX32" s="3911">
        <v>7.0707395699999998</v>
      </c>
      <c r="AY32" s="3911">
        <v>6.9190742800000002</v>
      </c>
      <c r="AZ32" s="3911">
        <v>7.3750379199999996</v>
      </c>
      <c r="BA32" s="3911">
        <v>6.7795677999999997</v>
      </c>
      <c r="BB32" s="3911">
        <v>6.9597471599999992</v>
      </c>
      <c r="BC32" s="3912">
        <v>86.563303980000001</v>
      </c>
      <c r="BD32" s="827">
        <v>6.9424120200000008</v>
      </c>
      <c r="BE32" s="827">
        <v>7.3289995000000001</v>
      </c>
      <c r="BF32" s="827">
        <v>7.3490694900000006</v>
      </c>
      <c r="BG32" s="827">
        <v>7.3918176500000001</v>
      </c>
      <c r="BH32" s="827">
        <v>7.3868889199999996</v>
      </c>
      <c r="BI32" s="827">
        <v>7.3146807799999998</v>
      </c>
      <c r="BJ32" s="827">
        <v>7.6354254900000003</v>
      </c>
      <c r="BK32" s="827">
        <v>7.4</v>
      </c>
      <c r="BL32" s="827">
        <v>7.6538857499999997</v>
      </c>
      <c r="BM32" s="827">
        <v>7.86863885</v>
      </c>
      <c r="BN32" s="827">
        <v>7.6142395199999999</v>
      </c>
      <c r="BO32" s="827">
        <v>7.9371260499999998</v>
      </c>
      <c r="BP32" s="6686">
        <v>89.823184019999999</v>
      </c>
      <c r="BQ32" s="6568">
        <v>7.9371260499999998</v>
      </c>
      <c r="BR32" s="6532">
        <v>7.97160958</v>
      </c>
      <c r="BS32" s="6532">
        <v>7.4216384199999998</v>
      </c>
      <c r="BT32" s="6532">
        <v>7.6414246700000001</v>
      </c>
      <c r="BU32" s="6532">
        <v>7.6228569999999998</v>
      </c>
      <c r="BV32" s="6532">
        <v>7.7721819999999999</v>
      </c>
      <c r="BW32" s="6532">
        <v>7.4912716799999997</v>
      </c>
      <c r="BX32" s="6532">
        <v>6.6766701099999999</v>
      </c>
      <c r="BY32" s="6532">
        <v>6.9272734199999997</v>
      </c>
      <c r="BZ32" s="6532">
        <v>0.22333058</v>
      </c>
      <c r="CA32" s="6532">
        <v>6.8727279599999997</v>
      </c>
      <c r="CB32" s="6532">
        <v>6.8454552299999998</v>
      </c>
      <c r="CC32" s="6569">
        <f t="shared" si="4"/>
        <v>81.403566699999999</v>
      </c>
      <c r="CD32" s="6533">
        <v>6.8727279599999997</v>
      </c>
      <c r="CE32" s="6532">
        <v>6.9000006899999997</v>
      </c>
      <c r="CF32" s="3914"/>
      <c r="CG32" s="3913"/>
      <c r="CH32" s="3913"/>
      <c r="CI32" s="3913"/>
      <c r="CJ32" s="3914"/>
      <c r="CK32" s="3914"/>
      <c r="CL32" s="3914"/>
      <c r="CM32" s="3914"/>
      <c r="CN32" s="3914"/>
      <c r="CO32" s="3914"/>
      <c r="CP32" s="3915"/>
      <c r="CQ32" s="3916"/>
      <c r="CR32" s="6871">
        <f t="shared" si="11"/>
        <v>2.7272729999999967E-2</v>
      </c>
      <c r="CS32" s="6742">
        <f t="shared" si="12"/>
        <v>-1.0716088900000003</v>
      </c>
      <c r="CT32" s="3917"/>
      <c r="CU32" s="6927">
        <f t="shared" si="6"/>
        <v>13.772728649999999</v>
      </c>
      <c r="CV32" s="6928"/>
      <c r="CW32" s="6928"/>
      <c r="CX32" s="6742">
        <f t="shared" si="14"/>
        <v>-2.1360069799999994</v>
      </c>
      <c r="CY32" s="2775"/>
      <c r="CZ32" s="590" t="str">
        <f t="shared" si="39"/>
        <v>프라자3.0</v>
      </c>
      <c r="DA32" s="3858"/>
      <c r="DB32" s="3858"/>
      <c r="DC32" s="3858"/>
      <c r="DD32" s="3858"/>
      <c r="DE32" s="3858"/>
      <c r="DF32" s="3858"/>
      <c r="DG32" s="3858"/>
      <c r="DH32" s="3858"/>
      <c r="DI32" s="3858"/>
      <c r="DJ32" s="3858"/>
      <c r="DK32" s="3858"/>
      <c r="DL32" s="3858"/>
      <c r="DM32" s="603">
        <f t="shared" si="27"/>
        <v>0</v>
      </c>
      <c r="DO32" s="2261"/>
      <c r="DP32" s="2261"/>
      <c r="DS32" s="2261"/>
      <c r="DT32" s="2261"/>
    </row>
    <row r="33" spans="1:124" ht="16.3" customHeight="1" x14ac:dyDescent="0.45">
      <c r="A33" s="3751"/>
      <c r="C33" s="823" t="s">
        <v>736</v>
      </c>
      <c r="D33" s="803" t="s">
        <v>405</v>
      </c>
      <c r="E33" s="804" t="s">
        <v>1063</v>
      </c>
      <c r="F33" s="3900"/>
      <c r="G33" s="3901"/>
      <c r="H33" s="3901"/>
      <c r="I33" s="3901"/>
      <c r="J33" s="3901"/>
      <c r="K33" s="3901"/>
      <c r="L33" s="3901"/>
      <c r="M33" s="3901"/>
      <c r="N33" s="3901"/>
      <c r="O33" s="3901"/>
      <c r="P33" s="3901"/>
      <c r="Q33" s="3902"/>
      <c r="R33" s="3901"/>
      <c r="S33" s="3901"/>
      <c r="T33" s="3901"/>
      <c r="U33" s="3901"/>
      <c r="V33" s="3901"/>
      <c r="W33" s="3901"/>
      <c r="X33" s="3901"/>
      <c r="Y33" s="3901"/>
      <c r="Z33" s="3901"/>
      <c r="AA33" s="3901"/>
      <c r="AB33" s="3901"/>
      <c r="AC33" s="3901"/>
      <c r="AD33" s="3875"/>
      <c r="AE33" s="3876"/>
      <c r="AF33" s="3876"/>
      <c r="AG33" s="3876"/>
      <c r="AH33" s="3876"/>
      <c r="AI33" s="3876"/>
      <c r="AJ33" s="3876"/>
      <c r="AK33" s="3876"/>
      <c r="AL33" s="3876"/>
      <c r="AM33" s="3876"/>
      <c r="AN33" s="3876"/>
      <c r="AO33" s="3876"/>
      <c r="AP33" s="3877"/>
      <c r="AQ33" s="3898">
        <f t="shared" ref="AQ33:BA33" si="46">AQ108+AQ31</f>
        <v>24.157487098822198</v>
      </c>
      <c r="AR33" s="3878">
        <f t="shared" si="46"/>
        <v>25.568396033472702</v>
      </c>
      <c r="AS33" s="3878">
        <f>AW108+AW31</f>
        <v>26.877775132511299</v>
      </c>
      <c r="AT33" s="3878">
        <f t="shared" si="46"/>
        <v>25.876094105092101</v>
      </c>
      <c r="AU33" s="3878">
        <f t="shared" si="46"/>
        <v>26.402348693600004</v>
      </c>
      <c r="AV33" s="3878">
        <f t="shared" si="46"/>
        <v>25.661230335385401</v>
      </c>
      <c r="AW33" s="3878">
        <f t="shared" si="46"/>
        <v>26.877775132511299</v>
      </c>
      <c r="AX33" s="3878">
        <f t="shared" si="46"/>
        <v>27.447558908241426</v>
      </c>
      <c r="AY33" s="3878">
        <f t="shared" si="46"/>
        <v>27.124463037000798</v>
      </c>
      <c r="AZ33" s="3878">
        <f t="shared" si="46"/>
        <v>27.995904443142301</v>
      </c>
      <c r="BA33" s="3878">
        <f t="shared" si="46"/>
        <v>27.797599489413301</v>
      </c>
      <c r="BB33" s="3878">
        <v>27.3766725722428</v>
      </c>
      <c r="BC33" s="3879">
        <f>SUM(AQ33:BB33)</f>
        <v>319.1633049814356</v>
      </c>
      <c r="BD33" s="800">
        <f t="shared" ref="BD33:BN33" si="47">BD108+BD31</f>
        <v>27.734043700047497</v>
      </c>
      <c r="BE33" s="800">
        <f t="shared" si="47"/>
        <v>28.1183914827465</v>
      </c>
      <c r="BF33" s="800">
        <f t="shared" si="47"/>
        <v>27.531077728693315</v>
      </c>
      <c r="BG33" s="800">
        <f t="shared" si="47"/>
        <v>27.795423650078202</v>
      </c>
      <c r="BH33" s="800">
        <f t="shared" si="47"/>
        <v>27.498891871859335</v>
      </c>
      <c r="BI33" s="800">
        <f t="shared" si="47"/>
        <v>27.729110769279732</v>
      </c>
      <c r="BJ33" s="800">
        <f t="shared" si="47"/>
        <v>27.664939634607325</v>
      </c>
      <c r="BK33" s="800">
        <f t="shared" si="47"/>
        <v>27.504843982396871</v>
      </c>
      <c r="BL33" s="800">
        <f t="shared" si="47"/>
        <v>27.526153916993792</v>
      </c>
      <c r="BM33" s="800">
        <f t="shared" si="47"/>
        <v>27.254276487736313</v>
      </c>
      <c r="BN33" s="800">
        <f t="shared" si="47"/>
        <v>27.008654753480602</v>
      </c>
      <c r="BO33" s="800">
        <f>BO108+BO31</f>
        <v>26.608953640300662</v>
      </c>
      <c r="BP33" s="6635">
        <v>322.02977518822013</v>
      </c>
      <c r="BQ33" s="6567">
        <v>24.447654166317502</v>
      </c>
      <c r="BR33" s="6526">
        <v>25.343578776805501</v>
      </c>
      <c r="BS33" s="6526">
        <f>BS108+BS99</f>
        <v>25.657675074807802</v>
      </c>
      <c r="BT33" s="6526">
        <f>BT108+BT99</f>
        <v>24.383281744525071</v>
      </c>
      <c r="BU33" s="6526">
        <f>BU108+BU99</f>
        <v>24.233099849002187</v>
      </c>
      <c r="BV33" s="6526">
        <f>BV108+BV99</f>
        <v>24.855322338433893</v>
      </c>
      <c r="BW33" s="6526">
        <f>BW108+BW99</f>
        <v>26.207974570805973</v>
      </c>
      <c r="BX33" s="6526">
        <v>24.532887888018397</v>
      </c>
      <c r="BY33" s="6526">
        <v>24.6919041594325</v>
      </c>
      <c r="BZ33" s="6526">
        <v>24.472204628218499</v>
      </c>
      <c r="CA33" s="6526">
        <v>24.593802922222</v>
      </c>
      <c r="CB33" s="6526">
        <v>24.545370561558901</v>
      </c>
      <c r="CC33" s="6563">
        <f t="shared" si="4"/>
        <v>297.96475668014824</v>
      </c>
      <c r="CD33" s="6638">
        <v>24.125426026916951</v>
      </c>
      <c r="CE33" s="6526">
        <v>23.555413710600931</v>
      </c>
      <c r="CF33" s="3882"/>
      <c r="CG33" s="3882"/>
      <c r="CH33" s="3882"/>
      <c r="CI33" s="3882"/>
      <c r="CJ33" s="3882"/>
      <c r="CK33" s="3882"/>
      <c r="CL33" s="3882"/>
      <c r="CM33" s="3882"/>
      <c r="CN33" s="3882"/>
      <c r="CO33" s="3882"/>
      <c r="CP33" s="3856"/>
      <c r="CQ33" s="768"/>
      <c r="CR33" s="6869">
        <f t="shared" si="11"/>
        <v>-0.57001231631602067</v>
      </c>
      <c r="CS33" s="6740">
        <f t="shared" si="12"/>
        <v>-1.7881650662045701</v>
      </c>
      <c r="CT33" s="3885"/>
      <c r="CU33" s="6924">
        <f t="shared" si="6"/>
        <v>47.680839737517886</v>
      </c>
      <c r="CV33" s="6739"/>
      <c r="CW33" s="6739"/>
      <c r="CX33" s="6740">
        <f t="shared" si="14"/>
        <v>-2.1103932056051207</v>
      </c>
      <c r="CY33" s="2775"/>
      <c r="CZ33" s="590" t="str">
        <f t="shared" si="39"/>
        <v>소매</v>
      </c>
      <c r="DA33" s="3858"/>
      <c r="DB33" s="3858"/>
      <c r="DC33" s="3858"/>
      <c r="DD33" s="3858"/>
      <c r="DE33" s="3858"/>
      <c r="DF33" s="3858"/>
      <c r="DG33" s="3858"/>
      <c r="DH33" s="3858"/>
      <c r="DI33" s="3858"/>
      <c r="DJ33" s="3858"/>
      <c r="DK33" s="3858"/>
      <c r="DL33" s="3858"/>
      <c r="DM33" s="603">
        <f t="shared" si="27"/>
        <v>0</v>
      </c>
      <c r="DO33" s="2261"/>
      <c r="DP33" s="2261"/>
      <c r="DS33" s="2261"/>
      <c r="DT33" s="2261"/>
    </row>
    <row r="34" spans="1:124" ht="16.3" customHeight="1" x14ac:dyDescent="0.45">
      <c r="A34" s="3751"/>
      <c r="C34" s="803"/>
      <c r="D34" s="803" t="s">
        <v>407</v>
      </c>
      <c r="E34" s="803"/>
      <c r="F34" s="3900"/>
      <c r="G34" s="3901"/>
      <c r="H34" s="3901"/>
      <c r="I34" s="3901"/>
      <c r="J34" s="3901"/>
      <c r="K34" s="3901"/>
      <c r="L34" s="3901"/>
      <c r="M34" s="3901"/>
      <c r="N34" s="3901"/>
      <c r="O34" s="3901"/>
      <c r="P34" s="3901"/>
      <c r="Q34" s="3902"/>
      <c r="R34" s="3901"/>
      <c r="S34" s="3901"/>
      <c r="T34" s="3901"/>
      <c r="U34" s="3901"/>
      <c r="V34" s="3901"/>
      <c r="W34" s="3901"/>
      <c r="X34" s="3901"/>
      <c r="Y34" s="3901"/>
      <c r="Z34" s="3901"/>
      <c r="AA34" s="3901"/>
      <c r="AB34" s="3901"/>
      <c r="AC34" s="3901"/>
      <c r="AD34" s="3875"/>
      <c r="AE34" s="3876"/>
      <c r="AF34" s="3876"/>
      <c r="AG34" s="3876"/>
      <c r="AH34" s="3876"/>
      <c r="AI34" s="3876"/>
      <c r="AJ34" s="3876"/>
      <c r="AK34" s="3876"/>
      <c r="AL34" s="3876"/>
      <c r="AM34" s="3876"/>
      <c r="AN34" s="3876"/>
      <c r="AO34" s="3876"/>
      <c r="AP34" s="3877"/>
      <c r="AQ34" s="3898">
        <v>14.614718331177802</v>
      </c>
      <c r="AR34" s="3878">
        <v>14.209055806527299</v>
      </c>
      <c r="AS34" s="3878">
        <v>14.780465866386699</v>
      </c>
      <c r="AT34" s="3878">
        <v>14.649513024907899</v>
      </c>
      <c r="AU34" s="3878">
        <v>14.581835706400001</v>
      </c>
      <c r="AV34" s="3878">
        <v>14.243939044614601</v>
      </c>
      <c r="AW34" s="3878">
        <v>14.415164137488699</v>
      </c>
      <c r="AX34" s="3878">
        <v>14.217451471758601</v>
      </c>
      <c r="AY34" s="3878">
        <v>13.834609112999201</v>
      </c>
      <c r="AZ34" s="3878">
        <v>13.867733926857703</v>
      </c>
      <c r="BA34" s="3878">
        <v>13.5456691405867</v>
      </c>
      <c r="BB34" s="3878">
        <v>13.4163222777572</v>
      </c>
      <c r="BC34" s="3879">
        <f>SUM(AQ34:BB34)</f>
        <v>170.37647784746241</v>
      </c>
      <c r="BD34" s="800">
        <f>BD126</f>
        <v>13.062488629952499</v>
      </c>
      <c r="BE34" s="800">
        <f t="shared" ref="BE34:BM34" si="48">BE126</f>
        <v>12.592116266194401</v>
      </c>
      <c r="BF34" s="800">
        <f t="shared" si="48"/>
        <v>12.397129716687598</v>
      </c>
      <c r="BG34" s="800">
        <f t="shared" si="48"/>
        <v>12.070754440830701</v>
      </c>
      <c r="BH34" s="800">
        <f t="shared" si="48"/>
        <v>11.645300551936613</v>
      </c>
      <c r="BI34" s="800">
        <f t="shared" si="48"/>
        <v>11.27059863287119</v>
      </c>
      <c r="BJ34" s="800">
        <f t="shared" si="48"/>
        <v>11.114054631143121</v>
      </c>
      <c r="BK34" s="800">
        <f t="shared" si="48"/>
        <v>10.797321287603133</v>
      </c>
      <c r="BL34" s="800">
        <f t="shared" si="48"/>
        <v>10.567151913006208</v>
      </c>
      <c r="BM34" s="800">
        <f t="shared" si="48"/>
        <v>10.355958002263687</v>
      </c>
      <c r="BN34" s="800">
        <f>BN126</f>
        <v>9.9233191365193996</v>
      </c>
      <c r="BO34" s="800">
        <f>BO126</f>
        <v>9.625676759699342</v>
      </c>
      <c r="BP34" s="6635">
        <v>135.42186996870788</v>
      </c>
      <c r="BQ34" s="6567">
        <v>9.0666553336824993</v>
      </c>
      <c r="BR34" s="6526">
        <v>9.0830929431945204</v>
      </c>
      <c r="BS34" s="6526">
        <v>8.5529125751921757</v>
      </c>
      <c r="BT34" s="6526">
        <v>8.0079655054749317</v>
      </c>
      <c r="BU34" s="6526">
        <v>7.6013216409978055</v>
      </c>
      <c r="BV34" s="6526">
        <v>11.278029041566105</v>
      </c>
      <c r="BW34" s="6526">
        <v>9.4702209891940257</v>
      </c>
      <c r="BX34" s="6526">
        <v>9.1587074919815805</v>
      </c>
      <c r="BY34" s="6526">
        <v>9.0471217205674606</v>
      </c>
      <c r="BZ34" s="6526">
        <v>8.9171924917815204</v>
      </c>
      <c r="CA34" s="6526">
        <v>8.8098991677780099</v>
      </c>
      <c r="CB34" s="6526">
        <v>8.7081341384411317</v>
      </c>
      <c r="CC34" s="6563">
        <f t="shared" si="4"/>
        <v>107.70125303985176</v>
      </c>
      <c r="CD34" s="6528">
        <v>8.5817412730830451</v>
      </c>
      <c r="CE34" s="6526">
        <v>8.5817412730830451</v>
      </c>
      <c r="CF34" s="3882"/>
      <c r="CG34" s="3884"/>
      <c r="CH34" s="3884"/>
      <c r="CI34" s="3884"/>
      <c r="CJ34" s="3882"/>
      <c r="CK34" s="3882"/>
      <c r="CL34" s="3882"/>
      <c r="CM34" s="3882"/>
      <c r="CN34" s="3882"/>
      <c r="CO34" s="3882"/>
      <c r="CP34" s="3856"/>
      <c r="CQ34" s="768"/>
      <c r="CR34" s="6869">
        <f t="shared" si="11"/>
        <v>0</v>
      </c>
      <c r="CS34" s="6740">
        <f t="shared" si="12"/>
        <v>-0.5013516701114753</v>
      </c>
      <c r="CT34" s="3885"/>
      <c r="CU34" s="6924">
        <f t="shared" si="6"/>
        <v>17.16348254616609</v>
      </c>
      <c r="CV34" s="6739"/>
      <c r="CW34" s="6739"/>
      <c r="CX34" s="6740">
        <f t="shared" si="14"/>
        <v>-0.98626573071092949</v>
      </c>
      <c r="CY34" s="2775"/>
      <c r="CZ34" s="590" t="str">
        <f t="shared" si="39"/>
        <v>도매</v>
      </c>
      <c r="DA34" s="3858"/>
      <c r="DB34" s="3858"/>
      <c r="DC34" s="3858"/>
      <c r="DD34" s="3858"/>
      <c r="DE34" s="3858"/>
      <c r="DF34" s="3858"/>
      <c r="DG34" s="3858"/>
      <c r="DH34" s="3858"/>
      <c r="DI34" s="3858"/>
      <c r="DJ34" s="3858"/>
      <c r="DK34" s="3858"/>
      <c r="DL34" s="3858"/>
      <c r="DM34" s="603">
        <f t="shared" si="27"/>
        <v>0</v>
      </c>
      <c r="DO34" s="2261"/>
      <c r="DP34" s="2261"/>
      <c r="DS34" s="2261"/>
      <c r="DT34" s="2261"/>
    </row>
    <row r="35" spans="1:124" ht="16.3" customHeight="1" x14ac:dyDescent="0.45">
      <c r="A35" s="3751"/>
      <c r="C35" s="803"/>
      <c r="D35" s="803" t="s">
        <v>869</v>
      </c>
      <c r="E35" s="803"/>
      <c r="F35" s="3900"/>
      <c r="G35" s="3901"/>
      <c r="H35" s="3901"/>
      <c r="I35" s="3901"/>
      <c r="J35" s="3901"/>
      <c r="K35" s="3901"/>
      <c r="L35" s="3901"/>
      <c r="M35" s="3901"/>
      <c r="N35" s="3901"/>
      <c r="O35" s="3901"/>
      <c r="P35" s="3901"/>
      <c r="Q35" s="3902"/>
      <c r="R35" s="3901"/>
      <c r="S35" s="3901"/>
      <c r="T35" s="3901"/>
      <c r="U35" s="3901"/>
      <c r="V35" s="3901"/>
      <c r="W35" s="3901"/>
      <c r="X35" s="3901"/>
      <c r="Y35" s="3901"/>
      <c r="Z35" s="3901"/>
      <c r="AA35" s="3901"/>
      <c r="AB35" s="3901"/>
      <c r="AC35" s="3901"/>
      <c r="AD35" s="3875"/>
      <c r="AE35" s="3876"/>
      <c r="AF35" s="3876"/>
      <c r="AG35" s="3876"/>
      <c r="AH35" s="3876"/>
      <c r="AI35" s="3876"/>
      <c r="AJ35" s="3876"/>
      <c r="AK35" s="3876"/>
      <c r="AL35" s="3876"/>
      <c r="AM35" s="3876"/>
      <c r="AN35" s="3876"/>
      <c r="AO35" s="3876"/>
      <c r="AP35" s="3877"/>
      <c r="AQ35" s="3898">
        <v>5.7071177100000003</v>
      </c>
      <c r="AR35" s="3878">
        <v>5.7489088400000004</v>
      </c>
      <c r="AS35" s="3878">
        <v>5.8226918300000001</v>
      </c>
      <c r="AT35" s="3878">
        <v>5.7612517900000002</v>
      </c>
      <c r="AU35" s="3878">
        <v>5.7821658400000002</v>
      </c>
      <c r="AV35" s="3878">
        <v>5.5630937300000003</v>
      </c>
      <c r="AW35" s="3878">
        <v>5.88801738</v>
      </c>
      <c r="AX35" s="3878">
        <v>5.9146264300000011</v>
      </c>
      <c r="AY35" s="3878">
        <v>5.8894420300000005</v>
      </c>
      <c r="AZ35" s="3878">
        <v>5.9852158600000003</v>
      </c>
      <c r="BA35" s="3878">
        <v>5.9909112700000007</v>
      </c>
      <c r="BB35" s="3878">
        <v>6.0235367699999998</v>
      </c>
      <c r="BC35" s="3879">
        <f>SUM(AQ35:BB35)</f>
        <v>70.076979480000006</v>
      </c>
      <c r="BD35" s="800">
        <f>BD161</f>
        <v>5.9703263399999997</v>
      </c>
      <c r="BE35" s="800">
        <f t="shared" ref="BE35:BM35" si="49">BE161</f>
        <v>5.6551406399999999</v>
      </c>
      <c r="BF35" s="800">
        <f t="shared" si="49"/>
        <v>5.8670983000000003</v>
      </c>
      <c r="BG35" s="800">
        <f t="shared" si="49"/>
        <v>5.8223608699999998</v>
      </c>
      <c r="BH35" s="800">
        <f>BH161</f>
        <v>5.7668647799999997</v>
      </c>
      <c r="BI35" s="800">
        <f t="shared" si="49"/>
        <v>5.7274192199999998</v>
      </c>
      <c r="BJ35" s="800">
        <f t="shared" si="49"/>
        <v>5.7640095899999997</v>
      </c>
      <c r="BK35" s="800">
        <f t="shared" si="49"/>
        <v>5.7255819199999998</v>
      </c>
      <c r="BL35" s="800">
        <f t="shared" si="49"/>
        <v>5.6775775199999998</v>
      </c>
      <c r="BM35" s="800">
        <f t="shared" si="49"/>
        <v>5.6784659599999996</v>
      </c>
      <c r="BN35" s="800">
        <f>BN161</f>
        <v>5.5838229100000003</v>
      </c>
      <c r="BO35" s="800">
        <f>BO161</f>
        <v>5.4971771900000004</v>
      </c>
      <c r="BP35" s="6635">
        <v>68.735845239999989</v>
      </c>
      <c r="BQ35" s="6567">
        <v>5.2481265800000001</v>
      </c>
      <c r="BR35" s="6526">
        <v>5.3671953700000001</v>
      </c>
      <c r="BS35" s="6526">
        <v>5.1954725700000006</v>
      </c>
      <c r="BT35" s="6526">
        <v>5.0662480399999996</v>
      </c>
      <c r="BU35" s="6526">
        <v>4.9718197100000001</v>
      </c>
      <c r="BV35" s="6526">
        <v>5.0249524000000001</v>
      </c>
      <c r="BW35" s="6526">
        <v>5.0402239</v>
      </c>
      <c r="BX35" s="6526">
        <v>5.0574361099999994</v>
      </c>
      <c r="BY35" s="6526">
        <v>4.9543201099999994</v>
      </c>
      <c r="BZ35" s="6526">
        <v>4.8782752499999997</v>
      </c>
      <c r="CA35" s="6526">
        <v>4.68329182</v>
      </c>
      <c r="CB35" s="6526">
        <v>4.6386204600000003</v>
      </c>
      <c r="CC35" s="6563">
        <f t="shared" si="4"/>
        <v>60.125982319999991</v>
      </c>
      <c r="CD35" s="6528">
        <v>4.5258831700000002</v>
      </c>
      <c r="CE35" s="6526">
        <v>4.9466192800000002</v>
      </c>
      <c r="CF35" s="3882"/>
      <c r="CG35" s="3884"/>
      <c r="CH35" s="3884"/>
      <c r="CI35" s="3884"/>
      <c r="CJ35" s="3882"/>
      <c r="CK35" s="3882"/>
      <c r="CL35" s="3882"/>
      <c r="CM35" s="3882"/>
      <c r="CN35" s="3882"/>
      <c r="CO35" s="3882"/>
      <c r="CP35" s="3856"/>
      <c r="CQ35" s="768"/>
      <c r="CR35" s="6869">
        <f t="shared" si="11"/>
        <v>0.42073611</v>
      </c>
      <c r="CS35" s="6740">
        <f t="shared" si="12"/>
        <v>-0.42057608999999996</v>
      </c>
      <c r="CT35" s="3885"/>
      <c r="CU35" s="6924">
        <f t="shared" si="6"/>
        <v>9.4725024500000004</v>
      </c>
      <c r="CV35" s="6739"/>
      <c r="CW35" s="6739"/>
      <c r="CX35" s="6740">
        <f t="shared" si="14"/>
        <v>-1.1428194999999999</v>
      </c>
      <c r="CY35" s="2775"/>
      <c r="CZ35" s="590" t="str">
        <f t="shared" si="39"/>
        <v>디지털</v>
      </c>
      <c r="DA35" s="3858"/>
      <c r="DB35" s="3858"/>
      <c r="DC35" s="3858"/>
      <c r="DD35" s="3858"/>
      <c r="DE35" s="3858"/>
      <c r="DF35" s="3858"/>
      <c r="DG35" s="3858"/>
      <c r="DH35" s="3858"/>
      <c r="DI35" s="3858"/>
      <c r="DJ35" s="3858"/>
      <c r="DK35" s="3858"/>
      <c r="DL35" s="3858"/>
      <c r="DM35" s="603">
        <f t="shared" si="27"/>
        <v>0</v>
      </c>
      <c r="DO35" s="2261"/>
      <c r="DP35" s="2261"/>
      <c r="DS35" s="2261"/>
      <c r="DT35" s="2261"/>
    </row>
    <row r="36" spans="1:124" ht="16.3" customHeight="1" thickBot="1" x14ac:dyDescent="0.6">
      <c r="A36" s="3751"/>
      <c r="C36" s="3918"/>
      <c r="D36" s="3918" t="s">
        <v>66</v>
      </c>
      <c r="E36" s="3919" t="s">
        <v>1010</v>
      </c>
      <c r="F36" s="3920"/>
      <c r="G36" s="3921"/>
      <c r="H36" s="3921"/>
      <c r="I36" s="3921"/>
      <c r="J36" s="3921"/>
      <c r="K36" s="3921"/>
      <c r="L36" s="3921"/>
      <c r="M36" s="3921"/>
      <c r="N36" s="3921"/>
      <c r="O36" s="3921"/>
      <c r="P36" s="3921"/>
      <c r="Q36" s="3922"/>
      <c r="R36" s="3921"/>
      <c r="S36" s="3921"/>
      <c r="T36" s="3921"/>
      <c r="U36" s="3921"/>
      <c r="V36" s="3921"/>
      <c r="W36" s="3921"/>
      <c r="X36" s="3921"/>
      <c r="Y36" s="3921"/>
      <c r="Z36" s="3921"/>
      <c r="AA36" s="3921"/>
      <c r="AB36" s="3921"/>
      <c r="AC36" s="3921"/>
      <c r="AD36" s="3920"/>
      <c r="AE36" s="3921"/>
      <c r="AF36" s="3921"/>
      <c r="AG36" s="3921"/>
      <c r="AH36" s="3921"/>
      <c r="AI36" s="3921"/>
      <c r="AJ36" s="3921"/>
      <c r="AK36" s="3921"/>
      <c r="AL36" s="3921"/>
      <c r="AM36" s="3921"/>
      <c r="AN36" s="3921"/>
      <c r="AO36" s="3921"/>
      <c r="AP36" s="3922"/>
      <c r="AQ36" s="3923">
        <v>23.248171970000001</v>
      </c>
      <c r="AR36" s="3924">
        <v>6.0722279200000013</v>
      </c>
      <c r="AS36" s="3924">
        <v>13.358644360000032</v>
      </c>
      <c r="AT36" s="3924">
        <v>9.9302275099999875</v>
      </c>
      <c r="AU36" s="3924">
        <v>12.633443259999961</v>
      </c>
      <c r="AV36" s="3924">
        <v>13.15405771000003</v>
      </c>
      <c r="AW36" s="3924">
        <v>14.087254160000011</v>
      </c>
      <c r="AX36" s="3924">
        <v>11.802230859999973</v>
      </c>
      <c r="AY36" s="3924">
        <v>7.5399230800000003</v>
      </c>
      <c r="AZ36" s="3924">
        <v>13.349010780000032</v>
      </c>
      <c r="BA36" s="3924">
        <v>9.3138783099999998</v>
      </c>
      <c r="BB36" s="3924">
        <v>14.346115329999943</v>
      </c>
      <c r="BC36" s="3925">
        <f>SUM(AQ36:BB36)</f>
        <v>148.83518524999997</v>
      </c>
      <c r="BD36" s="3926">
        <f t="shared" ref="BD36:BO36" si="50">BD21-BD33-BD34-BD35</f>
        <v>13.058589930000011</v>
      </c>
      <c r="BE36" s="3926">
        <f t="shared" si="50"/>
        <v>11.838696871059099</v>
      </c>
      <c r="BF36" s="3926">
        <f t="shared" si="50"/>
        <v>11.960515354619092</v>
      </c>
      <c r="BG36" s="3926">
        <f t="shared" si="50"/>
        <v>9.7568454590910996</v>
      </c>
      <c r="BH36" s="3926">
        <f t="shared" si="50"/>
        <v>10.446979406204051</v>
      </c>
      <c r="BI36" s="3926">
        <f t="shared" si="50"/>
        <v>10.400818357849078</v>
      </c>
      <c r="BJ36" s="3926">
        <f t="shared" si="50"/>
        <v>12.466081124249548</v>
      </c>
      <c r="BK36" s="3926">
        <f t="shared" si="50"/>
        <v>11.160854519999997</v>
      </c>
      <c r="BL36" s="3926">
        <f t="shared" si="50"/>
        <v>9.9347998300000011</v>
      </c>
      <c r="BM36" s="3926">
        <f t="shared" si="50"/>
        <v>17.078860389999996</v>
      </c>
      <c r="BN36" s="3926">
        <f t="shared" si="50"/>
        <v>7.7289729599999948</v>
      </c>
      <c r="BO36" s="3926">
        <f t="shared" si="50"/>
        <v>25.358781289999996</v>
      </c>
      <c r="BP36" s="6534">
        <v>159.13578192307196</v>
      </c>
      <c r="BQ36" s="6570">
        <f t="shared" ref="BQ36:CE36" si="51">BQ21-BQ33-BQ34-BQ35</f>
        <v>11.163948079999994</v>
      </c>
      <c r="BR36" s="6535">
        <f t="shared" si="51"/>
        <v>13.176390499999979</v>
      </c>
      <c r="BS36" s="6535">
        <f t="shared" si="51"/>
        <v>9.8586543300000216</v>
      </c>
      <c r="BT36" s="6535">
        <f t="shared" si="51"/>
        <v>19.145844659999995</v>
      </c>
      <c r="BU36" s="6535">
        <f t="shared" si="51"/>
        <v>9.4178593500000094</v>
      </c>
      <c r="BV36" s="6535">
        <f t="shared" si="51"/>
        <v>18.102218190000006</v>
      </c>
      <c r="BW36" s="6535">
        <f t="shared" si="51"/>
        <v>12.558158839999997</v>
      </c>
      <c r="BX36" s="6535">
        <f t="shared" si="51"/>
        <v>11.544174350000022</v>
      </c>
      <c r="BY36" s="6535">
        <f t="shared" si="51"/>
        <v>13.847875070000038</v>
      </c>
      <c r="BZ36" s="6535">
        <f t="shared" si="51"/>
        <v>5.7532793099999839</v>
      </c>
      <c r="CA36" s="6535">
        <f t="shared" si="51"/>
        <v>12.167113369999988</v>
      </c>
      <c r="CB36" s="6535">
        <f t="shared" si="51"/>
        <v>13.115039449999971</v>
      </c>
      <c r="CC36" s="6571">
        <f t="shared" si="4"/>
        <v>149.85055550000001</v>
      </c>
      <c r="CD36" s="6534">
        <f t="shared" si="51"/>
        <v>12.663014870000005</v>
      </c>
      <c r="CE36" s="6534">
        <f t="shared" si="51"/>
        <v>11.862246976316023</v>
      </c>
      <c r="CF36" s="3927"/>
      <c r="CG36" s="3927"/>
      <c r="CH36" s="3927"/>
      <c r="CI36" s="3927"/>
      <c r="CJ36" s="3927"/>
      <c r="CK36" s="3927"/>
      <c r="CL36" s="3927"/>
      <c r="CM36" s="3927"/>
      <c r="CN36" s="3927"/>
      <c r="CO36" s="3927"/>
      <c r="CP36" s="3928"/>
      <c r="CQ36" s="3929"/>
      <c r="CR36" s="6872">
        <f t="shared" si="11"/>
        <v>-0.80076789368398238</v>
      </c>
      <c r="CS36" s="6743">
        <f t="shared" si="12"/>
        <v>-1.3141435236839563</v>
      </c>
      <c r="CT36" s="3930"/>
      <c r="CU36" s="6929">
        <f t="shared" si="6"/>
        <v>24.525261846316027</v>
      </c>
      <c r="CV36" s="6930"/>
      <c r="CW36" s="6930"/>
      <c r="CX36" s="6743">
        <f t="shared" si="14"/>
        <v>0.18492326631605494</v>
      </c>
      <c r="CY36" s="2775"/>
      <c r="CZ36" s="590" t="str">
        <f t="shared" si="39"/>
        <v>기타</v>
      </c>
      <c r="DA36" s="3858"/>
      <c r="DB36" s="3858"/>
      <c r="DC36" s="3858"/>
      <c r="DD36" s="3858"/>
      <c r="DE36" s="3858"/>
      <c r="DF36" s="3858"/>
      <c r="DG36" s="3858"/>
      <c r="DH36" s="3858"/>
      <c r="DI36" s="3858"/>
      <c r="DJ36" s="3858"/>
      <c r="DK36" s="3858"/>
      <c r="DL36" s="3858"/>
      <c r="DM36" s="603">
        <f t="shared" si="27"/>
        <v>0</v>
      </c>
      <c r="DO36" s="2261"/>
      <c r="DP36" s="2261"/>
      <c r="DS36" s="2261"/>
      <c r="DT36" s="2261"/>
    </row>
    <row r="37" spans="1:124" ht="16.3" customHeight="1" x14ac:dyDescent="0.55000000000000004">
      <c r="A37" s="3751"/>
      <c r="C37" s="2771" t="s">
        <v>7</v>
      </c>
      <c r="F37" s="3752">
        <v>38.997096369999994</v>
      </c>
      <c r="G37" s="3753">
        <v>40.783098649999999</v>
      </c>
      <c r="H37" s="3753">
        <v>40.11154741</v>
      </c>
      <c r="I37" s="3753">
        <v>38.676927460000002</v>
      </c>
      <c r="J37" s="3753">
        <v>32.154813730000001</v>
      </c>
      <c r="K37" s="3753">
        <v>32.856923129999998</v>
      </c>
      <c r="L37" s="3753">
        <v>35.554653109999997</v>
      </c>
      <c r="M37" s="3753">
        <v>32.814724390000002</v>
      </c>
      <c r="N37" s="3753">
        <v>31.873137360000001</v>
      </c>
      <c r="O37" s="3753">
        <v>31.26962713</v>
      </c>
      <c r="P37" s="3753">
        <v>31.377480500000001</v>
      </c>
      <c r="Q37" s="3754">
        <v>32.353559219999994</v>
      </c>
      <c r="R37" s="3753">
        <v>31.022034699999999</v>
      </c>
      <c r="S37" s="3753">
        <v>30.840044249999998</v>
      </c>
      <c r="T37" s="3753">
        <v>30.42893188</v>
      </c>
      <c r="U37" s="3753">
        <v>32.915240140000002</v>
      </c>
      <c r="V37" s="3753">
        <v>31.780334660000005</v>
      </c>
      <c r="W37" s="3753">
        <v>31.167747009999999</v>
      </c>
      <c r="X37" s="3753">
        <v>33.444980020000003</v>
      </c>
      <c r="Y37" s="3753">
        <v>30.906358409999996</v>
      </c>
      <c r="Z37" s="3753">
        <v>33.360826670000002</v>
      </c>
      <c r="AA37" s="3753">
        <v>34.850647020000004</v>
      </c>
      <c r="AB37" s="3753">
        <v>31.781550450000005</v>
      </c>
      <c r="AC37" s="3753">
        <v>34.11570657</v>
      </c>
      <c r="AD37" s="3752">
        <v>33.760411789999999</v>
      </c>
      <c r="AE37" s="3753">
        <v>30.603211680000005</v>
      </c>
      <c r="AF37" s="3753">
        <v>36.158983640000002</v>
      </c>
      <c r="AG37" s="3753">
        <v>31.34398302</v>
      </c>
      <c r="AH37" s="3753">
        <v>40.698382850000002</v>
      </c>
      <c r="AI37" s="3753">
        <v>50.225481190000004</v>
      </c>
      <c r="AJ37" s="3753">
        <v>34.438590249999997</v>
      </c>
      <c r="AK37" s="3753">
        <v>35.792050939999996</v>
      </c>
      <c r="AL37" s="3753">
        <v>41.953750530000001</v>
      </c>
      <c r="AM37" s="3753">
        <v>34.670722939999997</v>
      </c>
      <c r="AN37" s="3753">
        <v>34.888264499999998</v>
      </c>
      <c r="AO37" s="3755">
        <v>37.294517599999999</v>
      </c>
      <c r="AP37" s="3754"/>
      <c r="AQ37" s="3756">
        <v>40.917431279999995</v>
      </c>
      <c r="AR37" s="3757">
        <v>33.238089260000002</v>
      </c>
      <c r="AS37" s="3757">
        <v>40.40507289</v>
      </c>
      <c r="AT37" s="3757">
        <v>33.188031819999999</v>
      </c>
      <c r="AU37" s="3757">
        <v>32.643947700000005</v>
      </c>
      <c r="AV37" s="3757">
        <v>39.878724640000002</v>
      </c>
      <c r="AW37" s="3757">
        <v>35.223917120000003</v>
      </c>
      <c r="AX37" s="3757">
        <v>33.868751660000001</v>
      </c>
      <c r="AY37" s="3757">
        <v>43.083046970000005</v>
      </c>
      <c r="AZ37" s="3757">
        <v>33.805491320000002</v>
      </c>
      <c r="BA37" s="3757">
        <v>33.451499660000003</v>
      </c>
      <c r="BB37" s="3757">
        <v>32.44029192</v>
      </c>
      <c r="BC37" s="3758">
        <v>432.14429624000002</v>
      </c>
      <c r="BD37" s="628">
        <v>40.313523449999998</v>
      </c>
      <c r="BE37" s="3759">
        <v>38.260220050000001</v>
      </c>
      <c r="BF37" s="3759">
        <v>32.985350889999999</v>
      </c>
      <c r="BG37" s="596">
        <v>45.391333699999997</v>
      </c>
      <c r="BH37" s="596">
        <v>35.956874129999996</v>
      </c>
      <c r="BI37" s="596">
        <v>41.637191219999998</v>
      </c>
      <c r="BJ37" s="596">
        <v>43.397480189999996</v>
      </c>
      <c r="BK37" s="596">
        <v>48.294528939999999</v>
      </c>
      <c r="BL37" s="596">
        <v>53.700383899999999</v>
      </c>
      <c r="BM37" s="596">
        <f>33.90141003-BM51</f>
        <v>33.193004889999997</v>
      </c>
      <c r="BN37" s="596">
        <v>52.251018019999997</v>
      </c>
      <c r="BO37" s="596">
        <v>40.276560669999995</v>
      </c>
      <c r="BP37" s="6538">
        <v>505.65747005000003</v>
      </c>
      <c r="BQ37" s="6572">
        <f>33.413731-BQ51</f>
        <v>32.779204499999999</v>
      </c>
      <c r="BR37" s="6537">
        <v>38.211540289999995</v>
      </c>
      <c r="BS37" s="6537">
        <v>39.763803379999999</v>
      </c>
      <c r="BT37" s="6537">
        <v>39.829534260000003</v>
      </c>
      <c r="BU37" s="6537">
        <v>40.952530789999997</v>
      </c>
      <c r="BV37" s="6537">
        <v>41.618137779999998</v>
      </c>
      <c r="BW37" s="6537">
        <v>36.675877210000003</v>
      </c>
      <c r="BX37" s="6537">
        <v>37.317680150000001</v>
      </c>
      <c r="BY37" s="6537">
        <v>37.761063</v>
      </c>
      <c r="BZ37" s="6537">
        <v>37.895173910000004</v>
      </c>
      <c r="CA37" s="6537">
        <v>36.734066470000002</v>
      </c>
      <c r="CB37" s="6537">
        <v>46.981223130000004</v>
      </c>
      <c r="CC37" s="6573">
        <f t="shared" si="4"/>
        <v>466.51983486999995</v>
      </c>
      <c r="CD37" s="6538">
        <v>37.219393369999999</v>
      </c>
      <c r="CE37" s="6591">
        <v>37.7068899</v>
      </c>
      <c r="CF37" s="3759"/>
      <c r="CG37" s="3760"/>
      <c r="CH37" s="3760"/>
      <c r="CI37" s="3813"/>
      <c r="CJ37" s="596"/>
      <c r="CK37" s="3813"/>
      <c r="CL37" s="3931"/>
      <c r="CM37" s="3931"/>
      <c r="CN37" s="3931"/>
      <c r="CO37" s="3931"/>
      <c r="CP37" s="3761" t="e">
        <f t="shared" ref="CP37:CP52" si="52">HLOOKUP($E$2,$BQ$2:$CB$530,ROW()-1,0)-HLOOKUP($E$2,$DA$2:$DL$437,ROW()-1,0)</f>
        <v>#N/A</v>
      </c>
      <c r="CQ37" s="3762">
        <f t="shared" ref="CQ37:CQ49" si="53">IFERROR(HLOOKUP($E$2,$BQ$2:$CB$530,ROW()-1,0)/HLOOKUP($E$2,$DA$2:$DL$437,ROW()-1,0),0)</f>
        <v>0</v>
      </c>
      <c r="CR37" s="6862">
        <f t="shared" si="11"/>
        <v>0.48749653000000137</v>
      </c>
      <c r="CS37" s="6747">
        <f t="shared" si="12"/>
        <v>-0.50465038999999479</v>
      </c>
      <c r="CT37" s="607"/>
      <c r="CU37" s="6911">
        <f t="shared" si="6"/>
        <v>74.926283269999999</v>
      </c>
      <c r="CV37" s="6747">
        <f t="shared" ref="CV37:CV52" si="54">CU37-SUM(DA37:DB37)</f>
        <v>74.926283269999999</v>
      </c>
      <c r="CW37" s="6747">
        <f t="shared" ref="CW37:CW49" si="55">IFERROR(CU37/SUM(DA37:DB37),0)</f>
        <v>0</v>
      </c>
      <c r="CX37" s="6744">
        <f t="shared" si="14"/>
        <v>3.9355384800000053</v>
      </c>
      <c r="CY37" s="2775"/>
      <c r="CZ37" s="590" t="str">
        <f>C37</f>
        <v>기타수수료</v>
      </c>
      <c r="DA37" s="3932"/>
      <c r="DB37" s="3932"/>
      <c r="DC37" s="3932"/>
      <c r="DD37" s="3932"/>
      <c r="DE37" s="3932"/>
      <c r="DF37" s="3932"/>
      <c r="DG37" s="3932"/>
      <c r="DH37" s="3932"/>
      <c r="DI37" s="3932"/>
      <c r="DJ37" s="3932"/>
      <c r="DK37" s="3932"/>
      <c r="DL37" s="3932"/>
      <c r="DM37" s="603">
        <f t="shared" si="27"/>
        <v>0</v>
      </c>
      <c r="DO37" s="2261"/>
      <c r="DP37" s="2261"/>
      <c r="DS37" s="2261"/>
      <c r="DT37" s="2261"/>
    </row>
    <row r="38" spans="1:124" ht="16.3" customHeight="1" x14ac:dyDescent="0.55000000000000004">
      <c r="A38" s="3751"/>
      <c r="D38" s="559" t="s">
        <v>109</v>
      </c>
      <c r="E38" s="559" t="s">
        <v>131</v>
      </c>
      <c r="F38" s="3752">
        <v>24.67</v>
      </c>
      <c r="G38" s="3753">
        <v>24.67</v>
      </c>
      <c r="H38" s="3753">
        <v>24.67</v>
      </c>
      <c r="I38" s="3753">
        <v>24.67</v>
      </c>
      <c r="J38" s="3753">
        <v>27.17</v>
      </c>
      <c r="K38" s="3753">
        <v>25.17</v>
      </c>
      <c r="L38" s="3753">
        <v>25.17</v>
      </c>
      <c r="M38" s="3753">
        <v>25.17</v>
      </c>
      <c r="N38" s="3753">
        <v>25.17</v>
      </c>
      <c r="O38" s="3753">
        <v>25.17</v>
      </c>
      <c r="P38" s="3753">
        <v>25.17</v>
      </c>
      <c r="Q38" s="3754">
        <v>25.17</v>
      </c>
      <c r="R38" s="3753">
        <v>25.17</v>
      </c>
      <c r="S38" s="3753">
        <v>25.17</v>
      </c>
      <c r="T38" s="3753">
        <v>25.17</v>
      </c>
      <c r="U38" s="3753">
        <v>25.17</v>
      </c>
      <c r="V38" s="3753">
        <v>25.17</v>
      </c>
      <c r="W38" s="3753">
        <v>25.17</v>
      </c>
      <c r="X38" s="3753">
        <v>25.17</v>
      </c>
      <c r="Y38" s="3753">
        <v>25.17</v>
      </c>
      <c r="Z38" s="3753">
        <v>25.17</v>
      </c>
      <c r="AA38" s="3753">
        <v>25.17</v>
      </c>
      <c r="AB38" s="3753">
        <v>25.17</v>
      </c>
      <c r="AC38" s="3753">
        <v>25.17</v>
      </c>
      <c r="AD38" s="3752">
        <v>25.17</v>
      </c>
      <c r="AE38" s="3753">
        <v>25.17</v>
      </c>
      <c r="AF38" s="3753">
        <v>25.17</v>
      </c>
      <c r="AG38" s="3753">
        <v>25.17</v>
      </c>
      <c r="AH38" s="3753">
        <v>27.9</v>
      </c>
      <c r="AI38" s="3753">
        <v>38.799999999999997</v>
      </c>
      <c r="AJ38" s="3753">
        <v>27.9</v>
      </c>
      <c r="AK38" s="3753">
        <v>27.9</v>
      </c>
      <c r="AL38" s="3753">
        <v>27.9</v>
      </c>
      <c r="AM38" s="3753">
        <v>27.9</v>
      </c>
      <c r="AN38" s="3753">
        <v>27.9</v>
      </c>
      <c r="AO38" s="3755">
        <v>27.9</v>
      </c>
      <c r="AP38" s="3754"/>
      <c r="AQ38" s="3756">
        <v>26.4</v>
      </c>
      <c r="AR38" s="3757">
        <v>26.4</v>
      </c>
      <c r="AS38" s="3757">
        <v>26.4</v>
      </c>
      <c r="AT38" s="3757">
        <v>26.4</v>
      </c>
      <c r="AU38" s="3757">
        <v>26.4</v>
      </c>
      <c r="AV38" s="3757">
        <v>26.4</v>
      </c>
      <c r="AW38" s="3757">
        <v>26.4</v>
      </c>
      <c r="AX38" s="3757">
        <v>26.4</v>
      </c>
      <c r="AY38" s="3757">
        <v>26.4</v>
      </c>
      <c r="AZ38" s="3757">
        <v>26.4</v>
      </c>
      <c r="BA38" s="3757">
        <v>26.4</v>
      </c>
      <c r="BB38" s="3757">
        <v>26.4</v>
      </c>
      <c r="BC38" s="3758">
        <v>316.79999999999995</v>
      </c>
      <c r="BD38" s="628">
        <v>26.4</v>
      </c>
      <c r="BE38" s="3759">
        <v>26.4</v>
      </c>
      <c r="BF38" s="3759">
        <v>26.4</v>
      </c>
      <c r="BG38" s="3759">
        <v>26.4</v>
      </c>
      <c r="BH38" s="596">
        <v>26.4</v>
      </c>
      <c r="BI38" s="596">
        <v>27.231036419999999</v>
      </c>
      <c r="BJ38" s="596">
        <v>24</v>
      </c>
      <c r="BK38" s="596">
        <v>23.263662150000002</v>
      </c>
      <c r="BL38" s="596">
        <v>22.23681333</v>
      </c>
      <c r="BM38" s="596">
        <v>23</v>
      </c>
      <c r="BN38" s="596">
        <v>23</v>
      </c>
      <c r="BO38" s="596">
        <v>14.02537036</v>
      </c>
      <c r="BP38" s="6538">
        <v>288.75688226</v>
      </c>
      <c r="BQ38" s="6572">
        <v>26.927904990000002</v>
      </c>
      <c r="BR38" s="6537">
        <v>27.037246369999998</v>
      </c>
      <c r="BS38" s="6537">
        <v>26.95</v>
      </c>
      <c r="BT38" s="6537">
        <v>25</v>
      </c>
      <c r="BU38" s="6537">
        <v>25</v>
      </c>
      <c r="BV38" s="6537">
        <v>25</v>
      </c>
      <c r="BW38" s="6537">
        <v>25</v>
      </c>
      <c r="BX38" s="6537">
        <v>25</v>
      </c>
      <c r="BY38" s="6537">
        <v>25</v>
      </c>
      <c r="BZ38" s="6537">
        <v>25</v>
      </c>
      <c r="CA38" s="6537">
        <v>25</v>
      </c>
      <c r="CB38" s="6537">
        <f>3525832000/100000000</f>
        <v>35.258319999999998</v>
      </c>
      <c r="CC38" s="6573">
        <f t="shared" si="4"/>
        <v>316.17347136000001</v>
      </c>
      <c r="CD38" s="6538">
        <v>25</v>
      </c>
      <c r="CE38" s="6591">
        <v>25</v>
      </c>
      <c r="CF38" s="3759"/>
      <c r="CG38" s="3766"/>
      <c r="CH38" s="3766"/>
      <c r="CI38" s="3813"/>
      <c r="CJ38" s="596"/>
      <c r="CK38" s="596"/>
      <c r="CL38" s="3931"/>
      <c r="CM38" s="3931"/>
      <c r="CN38" s="3931"/>
      <c r="CO38" s="3931"/>
      <c r="CP38" s="3761" t="e">
        <f t="shared" si="52"/>
        <v>#N/A</v>
      </c>
      <c r="CQ38" s="3762">
        <f t="shared" si="53"/>
        <v>0</v>
      </c>
      <c r="CR38" s="6862">
        <f t="shared" si="11"/>
        <v>0</v>
      </c>
      <c r="CS38" s="6747">
        <f t="shared" si="12"/>
        <v>-2.0372463699999983</v>
      </c>
      <c r="CT38" s="607"/>
      <c r="CU38" s="6911">
        <f t="shared" si="6"/>
        <v>50</v>
      </c>
      <c r="CV38" s="6747">
        <f t="shared" si="54"/>
        <v>50</v>
      </c>
      <c r="CW38" s="6747">
        <f t="shared" si="55"/>
        <v>0</v>
      </c>
      <c r="CX38" s="6744">
        <f t="shared" si="14"/>
        <v>-3.9651513600000001</v>
      </c>
      <c r="CY38" s="2775"/>
      <c r="CZ38" s="590" t="str">
        <f t="shared" ref="CZ38:CZ43" si="56">D38</f>
        <v>도매위탁</v>
      </c>
      <c r="DA38" s="602"/>
      <c r="DB38" s="602"/>
      <c r="DC38" s="602"/>
      <c r="DD38" s="602"/>
      <c r="DE38" s="602"/>
      <c r="DF38" s="602"/>
      <c r="DG38" s="602"/>
      <c r="DH38" s="602"/>
      <c r="DI38" s="602"/>
      <c r="DJ38" s="602"/>
      <c r="DK38" s="602"/>
      <c r="DL38" s="602"/>
      <c r="DM38" s="603">
        <f t="shared" si="27"/>
        <v>0</v>
      </c>
      <c r="DO38" s="2261"/>
      <c r="DP38" s="2261"/>
      <c r="DS38" s="2261"/>
      <c r="DT38" s="2261"/>
    </row>
    <row r="39" spans="1:124" ht="16.3" customHeight="1" x14ac:dyDescent="0.55000000000000004">
      <c r="A39" s="3751"/>
      <c r="D39" s="559" t="s">
        <v>111</v>
      </c>
      <c r="E39" s="559" t="s">
        <v>1173</v>
      </c>
      <c r="F39" s="3752">
        <v>3.3441500000000004</v>
      </c>
      <c r="G39" s="3753">
        <v>3.9491399999999999</v>
      </c>
      <c r="H39" s="3753">
        <v>2.91317</v>
      </c>
      <c r="I39" s="3753">
        <v>2.8448500000000001</v>
      </c>
      <c r="J39" s="3753">
        <v>2.8351199999999999</v>
      </c>
      <c r="K39" s="3753">
        <v>2.8327</v>
      </c>
      <c r="L39" s="3753">
        <v>2.8471100000000003</v>
      </c>
      <c r="M39" s="3753">
        <v>2.8510300000000002</v>
      </c>
      <c r="N39" s="3753">
        <v>2.8822199999999998</v>
      </c>
      <c r="O39" s="3753">
        <v>2.8469600000000002</v>
      </c>
      <c r="P39" s="3753">
        <v>2.8898899999999998</v>
      </c>
      <c r="Q39" s="3754">
        <v>2.8874900000000001</v>
      </c>
      <c r="R39" s="3753">
        <v>2.8770600000000002</v>
      </c>
      <c r="S39" s="3753">
        <v>2.8272400000000002</v>
      </c>
      <c r="T39" s="3753">
        <v>2.8832</v>
      </c>
      <c r="U39" s="3753">
        <v>2.8498299999999999</v>
      </c>
      <c r="V39" s="3753">
        <v>2.89947</v>
      </c>
      <c r="W39" s="3753">
        <v>2.9285199999999993</v>
      </c>
      <c r="X39" s="3753">
        <v>2.8597000000000006</v>
      </c>
      <c r="Y39" s="3753">
        <v>2.9100999999999999</v>
      </c>
      <c r="Z39" s="3753">
        <v>2.78694</v>
      </c>
      <c r="AA39" s="3753">
        <v>3.30281</v>
      </c>
      <c r="AB39" s="3753">
        <v>2.8002600000000002</v>
      </c>
      <c r="AC39" s="3753">
        <v>2.7840600000000002</v>
      </c>
      <c r="AD39" s="3752">
        <v>2.79</v>
      </c>
      <c r="AE39" s="3753">
        <v>2.71</v>
      </c>
      <c r="AF39" s="3753">
        <v>2.4778899999999999</v>
      </c>
      <c r="AG39" s="3753">
        <v>2.4778899999999999</v>
      </c>
      <c r="AH39" s="3753">
        <v>2.4778899999999999</v>
      </c>
      <c r="AI39" s="3753">
        <v>2.4778899999999999</v>
      </c>
      <c r="AJ39" s="3753">
        <v>2.2715299999999998</v>
      </c>
      <c r="AK39" s="3753">
        <v>2.3039200000000002</v>
      </c>
      <c r="AL39" s="3753">
        <v>2.2536200000000002</v>
      </c>
      <c r="AM39" s="3753">
        <v>2.25061</v>
      </c>
      <c r="AN39" s="3753">
        <v>2.2464</v>
      </c>
      <c r="AO39" s="3755">
        <v>2.2464499999999998</v>
      </c>
      <c r="AP39" s="3754"/>
      <c r="AQ39" s="3756">
        <v>2.2633199999999998</v>
      </c>
      <c r="AR39" s="3757">
        <v>2.2260300000000002</v>
      </c>
      <c r="AS39" s="3757">
        <v>2.2425200000000003</v>
      </c>
      <c r="AT39" s="3757">
        <v>2.27033</v>
      </c>
      <c r="AU39" s="3757">
        <v>2.1792199999999999</v>
      </c>
      <c r="AV39" s="3757">
        <v>2.10995</v>
      </c>
      <c r="AW39" s="3757">
        <v>2.0794200000000003</v>
      </c>
      <c r="AX39" s="3757">
        <v>2.0732300000000001</v>
      </c>
      <c r="AY39" s="3757">
        <v>1.98326</v>
      </c>
      <c r="AZ39" s="3757">
        <v>1.9454</v>
      </c>
      <c r="BA39" s="3757">
        <v>1.98583</v>
      </c>
      <c r="BB39" s="3757">
        <v>1.9940899999999999</v>
      </c>
      <c r="BC39" s="3758">
        <v>25.352599999999999</v>
      </c>
      <c r="BD39" s="628">
        <v>1.9647800000000002</v>
      </c>
      <c r="BE39" s="3759">
        <v>1.9582900000000001</v>
      </c>
      <c r="BF39" s="3759">
        <v>1.6901200000000001</v>
      </c>
      <c r="BG39" s="3759">
        <v>1.4397800000000001</v>
      </c>
      <c r="BH39" s="596">
        <v>1.4486000000000001</v>
      </c>
      <c r="BI39" s="596">
        <v>1.43418</v>
      </c>
      <c r="BJ39" s="596">
        <v>1.4318500000000001</v>
      </c>
      <c r="BK39" s="596">
        <v>1.4457900000000001</v>
      </c>
      <c r="BL39" s="596">
        <v>1.42872</v>
      </c>
      <c r="BM39" s="596">
        <v>1.44546</v>
      </c>
      <c r="BN39" s="596">
        <v>1.4451400000000001</v>
      </c>
      <c r="BO39" s="596">
        <v>1.3666199999999999</v>
      </c>
      <c r="BP39" s="6538">
        <v>18.499330000000004</v>
      </c>
      <c r="BQ39" s="6572">
        <v>1.35002</v>
      </c>
      <c r="BR39" s="6537">
        <v>1.3266800000000001</v>
      </c>
      <c r="BS39" s="6537">
        <v>1.35615</v>
      </c>
      <c r="BT39" s="6537">
        <v>1.26417</v>
      </c>
      <c r="BU39" s="6537">
        <v>1.27146</v>
      </c>
      <c r="BV39" s="6537">
        <v>1.11978</v>
      </c>
      <c r="BW39" s="6537">
        <v>1.1329100000000001</v>
      </c>
      <c r="BX39" s="6537">
        <v>1.0345200000000001</v>
      </c>
      <c r="BY39" s="6537">
        <v>1.0655600000000001</v>
      </c>
      <c r="BZ39" s="6537">
        <v>0.95565</v>
      </c>
      <c r="CA39" s="6537">
        <v>0.95984999999999998</v>
      </c>
      <c r="CB39" s="6537">
        <v>0.77314000000000005</v>
      </c>
      <c r="CC39" s="6573">
        <f t="shared" si="4"/>
        <v>13.60989</v>
      </c>
      <c r="CD39" s="6538">
        <v>0.46681</v>
      </c>
      <c r="CE39" s="6591">
        <v>0.20327000000000001</v>
      </c>
      <c r="CF39" s="3759"/>
      <c r="CG39" s="3766"/>
      <c r="CH39" s="3766"/>
      <c r="CI39" s="3813"/>
      <c r="CJ39" s="596"/>
      <c r="CK39" s="596"/>
      <c r="CL39" s="3931"/>
      <c r="CM39" s="3931"/>
      <c r="CN39" s="3931"/>
      <c r="CO39" s="3931"/>
      <c r="CP39" s="3761" t="e">
        <f t="shared" si="52"/>
        <v>#N/A</v>
      </c>
      <c r="CQ39" s="3762">
        <f t="shared" si="53"/>
        <v>0</v>
      </c>
      <c r="CR39" s="6862">
        <f t="shared" si="11"/>
        <v>-0.26354</v>
      </c>
      <c r="CS39" s="6747">
        <f t="shared" si="12"/>
        <v>-1.12341</v>
      </c>
      <c r="CT39" s="607"/>
      <c r="CU39" s="6911">
        <f t="shared" si="6"/>
        <v>0.67008000000000001</v>
      </c>
      <c r="CV39" s="6747">
        <f t="shared" si="54"/>
        <v>0.67008000000000001</v>
      </c>
      <c r="CW39" s="6747">
        <f t="shared" si="55"/>
        <v>0</v>
      </c>
      <c r="CX39" s="6744">
        <f t="shared" si="14"/>
        <v>-2.0066200000000003</v>
      </c>
      <c r="CY39" s="2775"/>
      <c r="CZ39" s="590" t="str">
        <f t="shared" si="56"/>
        <v>KTAC 위탁</v>
      </c>
      <c r="DA39" s="602"/>
      <c r="DB39" s="602"/>
      <c r="DC39" s="602"/>
      <c r="DD39" s="602"/>
      <c r="DE39" s="602"/>
      <c r="DF39" s="602"/>
      <c r="DG39" s="602"/>
      <c r="DH39" s="602"/>
      <c r="DI39" s="602"/>
      <c r="DJ39" s="602"/>
      <c r="DK39" s="602"/>
      <c r="DL39" s="602"/>
      <c r="DM39" s="603">
        <f t="shared" si="27"/>
        <v>0</v>
      </c>
      <c r="DO39" s="2261"/>
      <c r="DP39" s="2261"/>
      <c r="DS39" s="2261"/>
      <c r="DT39" s="2261"/>
    </row>
    <row r="40" spans="1:124" ht="16.3" customHeight="1" x14ac:dyDescent="0.55000000000000004">
      <c r="A40" s="3751"/>
      <c r="D40" s="559" t="s">
        <v>112</v>
      </c>
      <c r="E40" s="559" t="s">
        <v>116</v>
      </c>
      <c r="F40" s="3752">
        <v>0</v>
      </c>
      <c r="G40" s="3753">
        <v>0</v>
      </c>
      <c r="H40" s="3753">
        <v>6.7191509999999996E-2</v>
      </c>
      <c r="I40" s="3753">
        <v>0</v>
      </c>
      <c r="J40" s="3753">
        <v>0.35002727</v>
      </c>
      <c r="K40" s="3753">
        <v>7.0000000000000007E-2</v>
      </c>
      <c r="L40" s="3753">
        <v>0.55872295999999999</v>
      </c>
      <c r="M40" s="3753">
        <v>0</v>
      </c>
      <c r="N40" s="3753">
        <v>0.15487348000000001</v>
      </c>
      <c r="O40" s="3753">
        <v>0.68811378000000001</v>
      </c>
      <c r="P40" s="3753">
        <v>7.0000000000000007E-2</v>
      </c>
      <c r="Q40" s="3754">
        <v>1.5506536499999999</v>
      </c>
      <c r="R40" s="3753">
        <v>0</v>
      </c>
      <c r="S40" s="3753">
        <v>0</v>
      </c>
      <c r="T40" s="3753">
        <v>0.10734545000000001</v>
      </c>
      <c r="U40" s="3753">
        <v>0.74339999999999995</v>
      </c>
      <c r="V40" s="3753">
        <v>0</v>
      </c>
      <c r="W40" s="3753">
        <v>1.6100000000000003E-2</v>
      </c>
      <c r="X40" s="3753">
        <v>0.99818066000000005</v>
      </c>
      <c r="Y40" s="3753">
        <v>0</v>
      </c>
      <c r="Z40" s="3753">
        <v>0</v>
      </c>
      <c r="AA40" s="3753">
        <v>2.6549644799999998</v>
      </c>
      <c r="AB40" s="3753">
        <v>0</v>
      </c>
      <c r="AC40" s="3753">
        <v>2.6549999999999998</v>
      </c>
      <c r="AD40" s="3752">
        <v>0.28000000000000003</v>
      </c>
      <c r="AE40" s="3753">
        <v>0.28000000000000003</v>
      </c>
      <c r="AF40" s="3753">
        <v>5.3239000000000001</v>
      </c>
      <c r="AG40" s="3753">
        <v>0.29395453999999999</v>
      </c>
      <c r="AH40" s="3753">
        <v>0.28000000000000003</v>
      </c>
      <c r="AI40" s="3753">
        <v>4.8163</v>
      </c>
      <c r="AJ40" s="3753">
        <v>0</v>
      </c>
      <c r="AK40" s="3753">
        <v>0</v>
      </c>
      <c r="AL40" s="3753">
        <v>0.60435000000000005</v>
      </c>
      <c r="AM40" s="3753">
        <v>0</v>
      </c>
      <c r="AN40" s="3753">
        <v>0</v>
      </c>
      <c r="AO40" s="3755">
        <v>0</v>
      </c>
      <c r="AP40" s="3754"/>
      <c r="AQ40" s="3756">
        <v>6.8422000000000001</v>
      </c>
      <c r="AR40" s="3757">
        <v>0</v>
      </c>
      <c r="AS40" s="3757">
        <v>0</v>
      </c>
      <c r="AT40" s="3757">
        <v>3.9887000000000001</v>
      </c>
      <c r="AU40" s="3757">
        <v>0</v>
      </c>
      <c r="AV40" s="3757">
        <v>0</v>
      </c>
      <c r="AW40" s="3757">
        <v>5.1328999999999994</v>
      </c>
      <c r="AX40" s="3757">
        <v>0</v>
      </c>
      <c r="AY40" s="3757">
        <v>0</v>
      </c>
      <c r="AZ40" s="3757">
        <v>4.9604999999999997</v>
      </c>
      <c r="BA40" s="3757">
        <v>0</v>
      </c>
      <c r="BB40" s="3757">
        <v>0</v>
      </c>
      <c r="BC40" s="3758">
        <v>20.924299999999999</v>
      </c>
      <c r="BD40" s="628">
        <v>6.2450999999999999</v>
      </c>
      <c r="BE40" s="3759">
        <v>3.3807</v>
      </c>
      <c r="BF40" s="3759">
        <v>0</v>
      </c>
      <c r="BG40" s="3759">
        <v>7</v>
      </c>
      <c r="BH40" s="596">
        <v>3.4</v>
      </c>
      <c r="BI40" s="596">
        <v>3</v>
      </c>
      <c r="BJ40" s="596">
        <v>7.2</v>
      </c>
      <c r="BK40" s="596">
        <v>10.390699999999999</v>
      </c>
      <c r="BL40" s="596">
        <v>12.502700000000001</v>
      </c>
      <c r="BM40" s="596">
        <v>25</v>
      </c>
      <c r="BN40" s="596">
        <v>13.7628</v>
      </c>
      <c r="BO40" s="596">
        <v>12</v>
      </c>
      <c r="BP40" s="6538">
        <v>103.88199999999999</v>
      </c>
      <c r="BQ40" s="6572">
        <v>1.7813861</v>
      </c>
      <c r="BR40" s="6537">
        <v>6.4918800000000001</v>
      </c>
      <c r="BS40" s="6537">
        <v>6.49594</v>
      </c>
      <c r="BT40" s="6537">
        <v>6.9941842000000003</v>
      </c>
      <c r="BU40" s="6537">
        <v>6.8979999999999997</v>
      </c>
      <c r="BV40" s="6537">
        <v>6.8990200000000002</v>
      </c>
      <c r="BW40" s="6537">
        <v>6.89</v>
      </c>
      <c r="BX40" s="6537">
        <v>6.8982999999999999</v>
      </c>
      <c r="BY40" s="6537">
        <v>6.8982999999999999</v>
      </c>
      <c r="BZ40" s="6537">
        <v>7.0006000000000004</v>
      </c>
      <c r="CA40" s="6537">
        <v>6.9066400000000003</v>
      </c>
      <c r="CB40" s="6537">
        <v>6.8982999999999999</v>
      </c>
      <c r="CC40" s="6573">
        <f t="shared" si="4"/>
        <v>77.052550300000007</v>
      </c>
      <c r="CD40" s="6538">
        <v>7.4986600000000001</v>
      </c>
      <c r="CE40" s="6591">
        <v>7.6297800000000002</v>
      </c>
      <c r="CF40" s="3759"/>
      <c r="CG40" s="3766"/>
      <c r="CH40" s="3766"/>
      <c r="CI40" s="3813"/>
      <c r="CJ40" s="596"/>
      <c r="CK40" s="596"/>
      <c r="CL40" s="3931"/>
      <c r="CM40" s="3931"/>
      <c r="CN40" s="3931"/>
      <c r="CO40" s="3931"/>
      <c r="CP40" s="3761" t="e">
        <f t="shared" si="52"/>
        <v>#N/A</v>
      </c>
      <c r="CQ40" s="3762">
        <f t="shared" si="53"/>
        <v>0</v>
      </c>
      <c r="CR40" s="6862">
        <f t="shared" si="11"/>
        <v>0.13112000000000013</v>
      </c>
      <c r="CS40" s="6747">
        <f t="shared" si="12"/>
        <v>1.1379000000000001</v>
      </c>
      <c r="CT40" s="607"/>
      <c r="CU40" s="6911">
        <f t="shared" si="6"/>
        <v>15.128440000000001</v>
      </c>
      <c r="CV40" s="6747">
        <f t="shared" si="54"/>
        <v>15.128440000000001</v>
      </c>
      <c r="CW40" s="6747">
        <f t="shared" si="55"/>
        <v>0</v>
      </c>
      <c r="CX40" s="6744">
        <f t="shared" si="14"/>
        <v>6.8551739000000005</v>
      </c>
      <c r="CY40" s="2775"/>
      <c r="CZ40" s="590" t="str">
        <f t="shared" si="56"/>
        <v>KT SHOP 위탁</v>
      </c>
      <c r="DA40" s="602"/>
      <c r="DB40" s="602"/>
      <c r="DC40" s="602"/>
      <c r="DD40" s="602"/>
      <c r="DE40" s="602"/>
      <c r="DF40" s="602"/>
      <c r="DG40" s="602"/>
      <c r="DH40" s="602"/>
      <c r="DI40" s="602"/>
      <c r="DJ40" s="602"/>
      <c r="DK40" s="602"/>
      <c r="DL40" s="602"/>
      <c r="DM40" s="603">
        <f t="shared" si="27"/>
        <v>0</v>
      </c>
      <c r="DO40" s="2261"/>
      <c r="DP40" s="2261"/>
      <c r="DS40" s="2261"/>
      <c r="DT40" s="2261"/>
    </row>
    <row r="41" spans="1:124" ht="16.3" customHeight="1" x14ac:dyDescent="0.55000000000000004">
      <c r="A41" s="3751"/>
      <c r="D41" s="559" t="s">
        <v>876</v>
      </c>
      <c r="E41" s="559" t="s">
        <v>737</v>
      </c>
      <c r="F41" s="3752"/>
      <c r="G41" s="3753"/>
      <c r="H41" s="3753"/>
      <c r="I41" s="3753"/>
      <c r="J41" s="3753"/>
      <c r="K41" s="3753"/>
      <c r="L41" s="3753"/>
      <c r="M41" s="3753"/>
      <c r="N41" s="3753"/>
      <c r="O41" s="3753"/>
      <c r="P41" s="3753"/>
      <c r="Q41" s="3754"/>
      <c r="R41" s="3753"/>
      <c r="S41" s="3753"/>
      <c r="T41" s="3753"/>
      <c r="U41" s="3753"/>
      <c r="V41" s="3753"/>
      <c r="W41" s="3753"/>
      <c r="X41" s="3753"/>
      <c r="Y41" s="3753"/>
      <c r="Z41" s="3753"/>
      <c r="AA41" s="3753"/>
      <c r="AB41" s="3753"/>
      <c r="AC41" s="3753"/>
      <c r="AD41" s="3752"/>
      <c r="AE41" s="3753"/>
      <c r="AF41" s="3753"/>
      <c r="AG41" s="3753"/>
      <c r="AH41" s="3753"/>
      <c r="AI41" s="3753"/>
      <c r="AJ41" s="3753"/>
      <c r="AK41" s="3753"/>
      <c r="AL41" s="3753"/>
      <c r="AM41" s="3753"/>
      <c r="AN41" s="3753"/>
      <c r="AO41" s="3755"/>
      <c r="AP41" s="3754"/>
      <c r="AQ41" s="3756">
        <v>0.5604365</v>
      </c>
      <c r="AR41" s="3757">
        <v>0.85484000000000004</v>
      </c>
      <c r="AS41" s="3757">
        <v>0.93778499999999998</v>
      </c>
      <c r="AT41" s="3757">
        <v>0.74354649999999989</v>
      </c>
      <c r="AU41" s="3757">
        <v>0.9319345</v>
      </c>
      <c r="AV41" s="3757">
        <v>1.0283450000000001</v>
      </c>
      <c r="AW41" s="3757">
        <v>1.1859855000000001</v>
      </c>
      <c r="AX41" s="3757">
        <v>1.263655</v>
      </c>
      <c r="AY41" s="3757">
        <v>1.0388907000000001</v>
      </c>
      <c r="AZ41" s="3757">
        <v>0.94389260000000008</v>
      </c>
      <c r="BA41" s="3757">
        <v>1.0354207</v>
      </c>
      <c r="BB41" s="3757">
        <v>1.247385</v>
      </c>
      <c r="BC41" s="3758">
        <v>11.772116999999998</v>
      </c>
      <c r="BD41" s="628">
        <v>1.3865771</v>
      </c>
      <c r="BE41" s="3759">
        <v>1.8524075</v>
      </c>
      <c r="BF41" s="3759">
        <v>1.4731646999999999</v>
      </c>
      <c r="BG41" s="3759">
        <v>1.6499329</v>
      </c>
      <c r="BH41" s="596">
        <v>1.4916411999999999</v>
      </c>
      <c r="BI41" s="596">
        <v>1.5104562000000001</v>
      </c>
      <c r="BJ41" s="596">
        <v>1.2035791999999998</v>
      </c>
      <c r="BK41" s="596">
        <v>1.6562593000000001</v>
      </c>
      <c r="BL41" s="596">
        <v>1.7205367</v>
      </c>
      <c r="BM41" s="596">
        <v>1.8134246999999999</v>
      </c>
      <c r="BN41" s="596">
        <v>1.7056521</v>
      </c>
      <c r="BO41" s="596">
        <v>1.8815996000000001</v>
      </c>
      <c r="BP41" s="6538">
        <v>19.345231200000001</v>
      </c>
      <c r="BQ41" s="6572">
        <v>1.7700148</v>
      </c>
      <c r="BR41" s="6537">
        <v>1.7853178999999999</v>
      </c>
      <c r="BS41" s="6537">
        <v>1.8493655</v>
      </c>
      <c r="BT41" s="6537">
        <v>1.9933751</v>
      </c>
      <c r="BU41" s="6537">
        <v>3.1633886000000002</v>
      </c>
      <c r="BV41" s="6537">
        <v>2.9196507999999999</v>
      </c>
      <c r="BW41" s="6537">
        <v>1.7446758</v>
      </c>
      <c r="BX41" s="6537">
        <v>3.0228695000000001</v>
      </c>
      <c r="BY41" s="6537">
        <v>2.0392779999999999</v>
      </c>
      <c r="BZ41" s="6537">
        <v>2.2039651</v>
      </c>
      <c r="CA41" s="6537">
        <v>1.9829121000000001</v>
      </c>
      <c r="CB41" s="6537">
        <v>1.9966793</v>
      </c>
      <c r="CC41" s="6573">
        <f t="shared" si="4"/>
        <v>26.4714925</v>
      </c>
      <c r="CD41" s="6538">
        <v>2.0352792000000002</v>
      </c>
      <c r="CE41" s="6591">
        <v>3.2670219999999999</v>
      </c>
      <c r="CF41" s="3759"/>
      <c r="CG41" s="3766"/>
      <c r="CH41" s="3766"/>
      <c r="CI41" s="3813"/>
      <c r="CJ41" s="596"/>
      <c r="CK41" s="596"/>
      <c r="CL41" s="3931"/>
      <c r="CM41" s="3931"/>
      <c r="CN41" s="3931"/>
      <c r="CO41" s="3931"/>
      <c r="CP41" s="3761" t="e">
        <f t="shared" si="52"/>
        <v>#N/A</v>
      </c>
      <c r="CQ41" s="3762">
        <f t="shared" si="53"/>
        <v>0</v>
      </c>
      <c r="CR41" s="6862">
        <f t="shared" si="11"/>
        <v>1.2317427999999997</v>
      </c>
      <c r="CS41" s="6747">
        <f t="shared" si="12"/>
        <v>1.4817041</v>
      </c>
      <c r="CT41" s="607"/>
      <c r="CU41" s="6911">
        <f t="shared" si="6"/>
        <v>5.3023012000000005</v>
      </c>
      <c r="CV41" s="6747">
        <f t="shared" si="54"/>
        <v>5.3023012000000005</v>
      </c>
      <c r="CW41" s="6747">
        <f t="shared" si="55"/>
        <v>0</v>
      </c>
      <c r="CX41" s="6744">
        <f t="shared" si="14"/>
        <v>1.7469685000000004</v>
      </c>
      <c r="CY41" s="2775"/>
      <c r="CZ41" s="590" t="str">
        <f t="shared" si="56"/>
        <v>디지털 바로배송/유심</v>
      </c>
      <c r="DA41" s="602"/>
      <c r="DB41" s="602"/>
      <c r="DC41" s="602"/>
      <c r="DD41" s="602"/>
      <c r="DE41" s="602"/>
      <c r="DF41" s="602"/>
      <c r="DG41" s="602"/>
      <c r="DH41" s="602"/>
      <c r="DI41" s="602"/>
      <c r="DJ41" s="602"/>
      <c r="DK41" s="602"/>
      <c r="DL41" s="602"/>
      <c r="DM41" s="603">
        <f t="shared" si="27"/>
        <v>0</v>
      </c>
      <c r="DO41" s="2261"/>
      <c r="DP41" s="2261"/>
      <c r="DS41" s="2261"/>
      <c r="DT41" s="2261"/>
    </row>
    <row r="42" spans="1:124" ht="16.3" customHeight="1" x14ac:dyDescent="0.55000000000000004">
      <c r="A42" s="3751"/>
      <c r="D42" s="559" t="s">
        <v>738</v>
      </c>
      <c r="E42" s="559" t="s">
        <v>739</v>
      </c>
      <c r="F42" s="3752"/>
      <c r="G42" s="3753"/>
      <c r="H42" s="3753"/>
      <c r="I42" s="3753"/>
      <c r="J42" s="3753"/>
      <c r="K42" s="3753"/>
      <c r="L42" s="3753"/>
      <c r="M42" s="3753"/>
      <c r="N42" s="3753"/>
      <c r="O42" s="3753"/>
      <c r="P42" s="3753"/>
      <c r="Q42" s="3754"/>
      <c r="R42" s="3753"/>
      <c r="S42" s="3753"/>
      <c r="T42" s="3753"/>
      <c r="U42" s="3753"/>
      <c r="V42" s="3753"/>
      <c r="W42" s="3753"/>
      <c r="X42" s="3753"/>
      <c r="Y42" s="3753"/>
      <c r="Z42" s="3753"/>
      <c r="AA42" s="3753"/>
      <c r="AB42" s="3753"/>
      <c r="AC42" s="3753"/>
      <c r="AD42" s="3752"/>
      <c r="AE42" s="3753"/>
      <c r="AF42" s="3753"/>
      <c r="AG42" s="3753"/>
      <c r="AH42" s="3753"/>
      <c r="AI42" s="3753"/>
      <c r="AJ42" s="3753"/>
      <c r="AK42" s="3753"/>
      <c r="AL42" s="3753"/>
      <c r="AM42" s="3753"/>
      <c r="AN42" s="3753"/>
      <c r="AO42" s="3755"/>
      <c r="AP42" s="3754"/>
      <c r="AQ42" s="3756">
        <v>0.35760000000000003</v>
      </c>
      <c r="AR42" s="3757">
        <v>0.35850000000000004</v>
      </c>
      <c r="AS42" s="3757">
        <v>0.32750000000000001</v>
      </c>
      <c r="AT42" s="3757">
        <v>0.32750000000000001</v>
      </c>
      <c r="AU42" s="3757">
        <v>0.32750000000000001</v>
      </c>
      <c r="AV42" s="3757">
        <v>0.32750000000000001</v>
      </c>
      <c r="AW42" s="3757">
        <v>0.17519999999999999</v>
      </c>
      <c r="AX42" s="3757">
        <v>0.47980000000000006</v>
      </c>
      <c r="AY42" s="3757">
        <v>0.32750000000000001</v>
      </c>
      <c r="AZ42" s="3757">
        <v>0.32750000000000001</v>
      </c>
      <c r="BA42" s="3757">
        <v>0.32750000000000001</v>
      </c>
      <c r="BB42" s="3757">
        <v>0.15229999999999999</v>
      </c>
      <c r="BC42" s="3758">
        <v>3.8159000000000005</v>
      </c>
      <c r="BD42" s="628">
        <v>0.50269999999999992</v>
      </c>
      <c r="BE42" s="3759">
        <v>0.32780000000000004</v>
      </c>
      <c r="BF42" s="3759">
        <v>0.33110000000000001</v>
      </c>
      <c r="BG42" s="3759">
        <v>0.33110000000000001</v>
      </c>
      <c r="BH42" s="596">
        <v>0.33110000000000001</v>
      </c>
      <c r="BI42" s="596">
        <v>0.33110000000000001</v>
      </c>
      <c r="BJ42" s="596">
        <v>0.33110000000000001</v>
      </c>
      <c r="BK42" s="596">
        <v>0.33110000000000001</v>
      </c>
      <c r="BL42" s="596">
        <v>0.33110000000000001</v>
      </c>
      <c r="BM42" s="596">
        <v>0.33110000000000001</v>
      </c>
      <c r="BN42" s="596">
        <v>0.33110000000000001</v>
      </c>
      <c r="BO42" s="596">
        <v>0.97555000000000003</v>
      </c>
      <c r="BP42" s="6538">
        <v>4.7859500000000006</v>
      </c>
      <c r="BQ42" s="6572">
        <v>0.33110000000000001</v>
      </c>
      <c r="BR42" s="6537">
        <v>0.33139999999999997</v>
      </c>
      <c r="BS42" s="6537">
        <v>0.42475833000000002</v>
      </c>
      <c r="BT42" s="6537">
        <v>0.42475833000000002</v>
      </c>
      <c r="BU42" s="6537">
        <v>0.42475833000000002</v>
      </c>
      <c r="BV42" s="6537">
        <v>0.42475833000000002</v>
      </c>
      <c r="BW42" s="6537">
        <v>0.46783332999999999</v>
      </c>
      <c r="BX42" s="6537">
        <v>0.30433333000000001</v>
      </c>
      <c r="BY42" s="6537">
        <v>0.63133333000000003</v>
      </c>
      <c r="BZ42" s="6537">
        <v>0.46783332999999999</v>
      </c>
      <c r="CA42" s="6537">
        <v>0.46783332999999999</v>
      </c>
      <c r="CB42" s="6537">
        <v>0.46783332999999999</v>
      </c>
      <c r="CC42" s="6573">
        <f t="shared" si="4"/>
        <v>5.1685333000000009</v>
      </c>
      <c r="CD42" s="6538">
        <v>0.46783332999999999</v>
      </c>
      <c r="CE42" s="6591">
        <v>0.46783337000000003</v>
      </c>
      <c r="CF42" s="3759"/>
      <c r="CG42" s="3766"/>
      <c r="CH42" s="3766"/>
      <c r="CI42" s="3813"/>
      <c r="CJ42" s="596"/>
      <c r="CK42" s="596"/>
      <c r="CL42" s="3931"/>
      <c r="CM42" s="3931"/>
      <c r="CN42" s="3931"/>
      <c r="CO42" s="3931"/>
      <c r="CP42" s="3761" t="e">
        <f t="shared" si="52"/>
        <v>#N/A</v>
      </c>
      <c r="CQ42" s="3762">
        <f t="shared" si="53"/>
        <v>0</v>
      </c>
      <c r="CR42" s="6862">
        <f t="shared" si="11"/>
        <v>4.0000000034456917E-8</v>
      </c>
      <c r="CS42" s="6747">
        <f t="shared" si="12"/>
        <v>0.13643337000000005</v>
      </c>
      <c r="CT42" s="607"/>
      <c r="CU42" s="6911">
        <f t="shared" si="6"/>
        <v>0.93566670000000007</v>
      </c>
      <c r="CV42" s="6747">
        <f t="shared" si="54"/>
        <v>0.93566670000000007</v>
      </c>
      <c r="CW42" s="6747">
        <f t="shared" si="55"/>
        <v>0</v>
      </c>
      <c r="CX42" s="6744">
        <f t="shared" si="14"/>
        <v>0.2731667000000001</v>
      </c>
      <c r="CY42" s="2775"/>
      <c r="CZ42" s="590" t="str">
        <f t="shared" si="56"/>
        <v>B2B 도급 수수료</v>
      </c>
      <c r="DA42" s="602"/>
      <c r="DB42" s="602"/>
      <c r="DC42" s="602"/>
      <c r="DD42" s="602"/>
      <c r="DE42" s="602"/>
      <c r="DF42" s="602"/>
      <c r="DG42" s="602"/>
      <c r="DH42" s="602"/>
      <c r="DI42" s="602"/>
      <c r="DJ42" s="602"/>
      <c r="DK42" s="602"/>
      <c r="DL42" s="602"/>
      <c r="DM42" s="603">
        <f t="shared" si="27"/>
        <v>0</v>
      </c>
      <c r="DO42" s="2261"/>
      <c r="DP42" s="2261"/>
      <c r="DS42" s="2261"/>
      <c r="DT42" s="2261"/>
    </row>
    <row r="43" spans="1:124" ht="16.3" customHeight="1" x14ac:dyDescent="0.55000000000000004">
      <c r="A43" s="3751"/>
      <c r="D43" s="559" t="s">
        <v>740</v>
      </c>
      <c r="E43" s="3933" t="s">
        <v>1004</v>
      </c>
      <c r="F43" s="3934">
        <f>F37-SUM(F38:F40)</f>
        <v>10.982946369999993</v>
      </c>
      <c r="G43" s="3935">
        <f t="shared" ref="G43:Q43" si="57">G37-SUM(G38:G40)</f>
        <v>12.163958649999998</v>
      </c>
      <c r="H43" s="3935">
        <f t="shared" si="57"/>
        <v>12.461185899999997</v>
      </c>
      <c r="I43" s="3935">
        <f t="shared" si="57"/>
        <v>11.162077459999999</v>
      </c>
      <c r="J43" s="3935">
        <f t="shared" si="57"/>
        <v>1.7996664599999974</v>
      </c>
      <c r="K43" s="3935">
        <f t="shared" si="57"/>
        <v>4.7842231299999973</v>
      </c>
      <c r="L43" s="3935">
        <f t="shared" si="57"/>
        <v>6.9788201499999936</v>
      </c>
      <c r="M43" s="3935">
        <f t="shared" si="57"/>
        <v>4.7936943899999989</v>
      </c>
      <c r="N43" s="3935">
        <f t="shared" si="57"/>
        <v>3.6660438800000001</v>
      </c>
      <c r="O43" s="3935">
        <f t="shared" si="57"/>
        <v>2.5645533500000006</v>
      </c>
      <c r="P43" s="3935">
        <f t="shared" si="57"/>
        <v>3.2475904999999976</v>
      </c>
      <c r="Q43" s="3936">
        <f t="shared" si="57"/>
        <v>2.7454155699999916</v>
      </c>
      <c r="R43" s="3935">
        <v>2.9749746999999993</v>
      </c>
      <c r="S43" s="3935">
        <v>2.8428042499999999</v>
      </c>
      <c r="T43" s="3935">
        <v>2.2683864299999996</v>
      </c>
      <c r="U43" s="3935">
        <v>4.1520101400000007</v>
      </c>
      <c r="V43" s="3935">
        <v>3.7108646600000039</v>
      </c>
      <c r="W43" s="3935">
        <v>3.0531270099999981</v>
      </c>
      <c r="X43" s="3935">
        <v>4.4170993600000035</v>
      </c>
      <c r="Y43" s="3935">
        <v>2.8262584099999963</v>
      </c>
      <c r="Z43" s="3935">
        <v>5.4038866700000021</v>
      </c>
      <c r="AA43" s="3935">
        <v>3.7228725400000027</v>
      </c>
      <c r="AB43" s="3935">
        <v>3.8112904500000031</v>
      </c>
      <c r="AC43" s="3935">
        <v>3.5066465700000005</v>
      </c>
      <c r="AD43" s="3934">
        <f t="shared" ref="AD43:AI43" si="58">AD37-SUM(AD38:AD40)</f>
        <v>5.5204117899999972</v>
      </c>
      <c r="AE43" s="3935">
        <f t="shared" si="58"/>
        <v>2.443211680000001</v>
      </c>
      <c r="AF43" s="3935">
        <f t="shared" si="58"/>
        <v>3.1871936400000038</v>
      </c>
      <c r="AG43" s="3935">
        <f t="shared" si="58"/>
        <v>3.4021384799999979</v>
      </c>
      <c r="AH43" s="3935">
        <f t="shared" si="58"/>
        <v>10.040492850000003</v>
      </c>
      <c r="AI43" s="3935">
        <f t="shared" si="58"/>
        <v>4.131291190000006</v>
      </c>
      <c r="AJ43" s="3935">
        <v>4.2670602500000001</v>
      </c>
      <c r="AK43" s="3935">
        <v>5.5881309399999974</v>
      </c>
      <c r="AL43" s="3935">
        <v>11.19578053</v>
      </c>
      <c r="AM43" s="3935">
        <v>4.520112939999998</v>
      </c>
      <c r="AN43" s="3935">
        <v>4.7418645000000001</v>
      </c>
      <c r="AO43" s="3937">
        <v>7.1480676000000019</v>
      </c>
      <c r="AP43" s="3936"/>
      <c r="AQ43" s="3938">
        <v>4.4938747799999987</v>
      </c>
      <c r="AR43" s="3939">
        <v>3.3987192600000036</v>
      </c>
      <c r="AS43" s="3939">
        <v>10.49726789</v>
      </c>
      <c r="AT43" s="3939">
        <v>-0.54204468000000361</v>
      </c>
      <c r="AU43" s="3939">
        <v>2.8052932000000048</v>
      </c>
      <c r="AV43" s="3939">
        <v>10.012929639999999</v>
      </c>
      <c r="AW43" s="3939">
        <v>0.25041162000000838</v>
      </c>
      <c r="AX43" s="3939">
        <v>3.6520666600000027</v>
      </c>
      <c r="AY43" s="3939">
        <v>13.333396270000005</v>
      </c>
      <c r="AZ43" s="3939">
        <v>-0.77180127999999115</v>
      </c>
      <c r="BA43" s="3939">
        <v>3.7027489600000045</v>
      </c>
      <c r="BB43" s="3939">
        <v>2.6465169199999998</v>
      </c>
      <c r="BC43" s="3940">
        <v>53.479379240000029</v>
      </c>
      <c r="BD43" s="628">
        <f>BD37-BD38-BD39-BD40-BD41-BD42</f>
        <v>3.8143663499999985</v>
      </c>
      <c r="BE43" s="628">
        <f t="shared" ref="BE43:BN43" si="59">BE37-BE38-BE39-BE40-BE41-BE42</f>
        <v>4.3410225500000026</v>
      </c>
      <c r="BF43" s="628">
        <f t="shared" si="59"/>
        <v>3.0909661900000005</v>
      </c>
      <c r="BG43" s="628">
        <f t="shared" si="59"/>
        <v>8.5705208000000006</v>
      </c>
      <c r="BH43" s="628">
        <f t="shared" si="59"/>
        <v>2.8855329299999957</v>
      </c>
      <c r="BI43" s="628">
        <f t="shared" si="59"/>
        <v>8.1304186000000005</v>
      </c>
      <c r="BJ43" s="628">
        <f t="shared" si="59"/>
        <v>9.2309509899999966</v>
      </c>
      <c r="BK43" s="628">
        <f t="shared" si="59"/>
        <v>11.20701749</v>
      </c>
      <c r="BL43" s="628">
        <f t="shared" si="59"/>
        <v>15.480513869999999</v>
      </c>
      <c r="BM43" s="596">
        <f t="shared" si="59"/>
        <v>-18.396979810000001</v>
      </c>
      <c r="BN43" s="596">
        <f t="shared" si="59"/>
        <v>12.006325919999998</v>
      </c>
      <c r="BO43" s="596">
        <v>10.027420709999994</v>
      </c>
      <c r="BP43" s="6538">
        <v>70.388076589999969</v>
      </c>
      <c r="BQ43" s="6572">
        <f t="shared" ref="BQ43:CE43" si="60">BQ37-BQ38-BQ39-BQ40-BQ41-BQ42</f>
        <v>0.61877860999999745</v>
      </c>
      <c r="BR43" s="6537">
        <f t="shared" si="60"/>
        <v>1.2390160199999971</v>
      </c>
      <c r="BS43" s="6537">
        <f t="shared" si="60"/>
        <v>2.6875895499999998</v>
      </c>
      <c r="BT43" s="6537">
        <f t="shared" si="60"/>
        <v>4.1530466300000022</v>
      </c>
      <c r="BU43" s="6537">
        <f t="shared" si="60"/>
        <v>4.1949238599999976</v>
      </c>
      <c r="BV43" s="6537">
        <f t="shared" si="60"/>
        <v>5.2549286499999974</v>
      </c>
      <c r="BW43" s="6537">
        <f t="shared" si="60"/>
        <v>1.4404580800000026</v>
      </c>
      <c r="BX43" s="6537">
        <f t="shared" si="60"/>
        <v>1.0576573200000006</v>
      </c>
      <c r="BY43" s="6537">
        <f t="shared" si="60"/>
        <v>2.1265916700000007</v>
      </c>
      <c r="BZ43" s="6537">
        <f t="shared" si="60"/>
        <v>2.2671254800000034</v>
      </c>
      <c r="CA43" s="6537">
        <f t="shared" si="60"/>
        <v>1.4168310400000022</v>
      </c>
      <c r="CB43" s="6537">
        <f t="shared" si="60"/>
        <v>1.5869505000000061</v>
      </c>
      <c r="CC43" s="6573">
        <f t="shared" si="4"/>
        <v>28.043897410000007</v>
      </c>
      <c r="CD43" s="6538">
        <f t="shared" si="60"/>
        <v>1.750810839999998</v>
      </c>
      <c r="CE43" s="6538">
        <f t="shared" si="60"/>
        <v>1.1389845300000001</v>
      </c>
      <c r="CF43" s="596"/>
      <c r="CG43" s="596"/>
      <c r="CH43" s="596"/>
      <c r="CI43" s="3813"/>
      <c r="CJ43" s="3813"/>
      <c r="CK43" s="3813"/>
      <c r="CL43" s="3931"/>
      <c r="CM43" s="3931"/>
      <c r="CN43" s="3931"/>
      <c r="CO43" s="3931"/>
      <c r="CP43" s="3761" t="e">
        <f t="shared" si="52"/>
        <v>#N/A</v>
      </c>
      <c r="CQ43" s="3762">
        <f t="shared" si="53"/>
        <v>0</v>
      </c>
      <c r="CR43" s="6862">
        <f t="shared" si="11"/>
        <v>-0.61182630999999787</v>
      </c>
      <c r="CS43" s="6747">
        <f t="shared" si="12"/>
        <v>-0.100031489999997</v>
      </c>
      <c r="CT43" s="607"/>
      <c r="CU43" s="6911">
        <f t="shared" si="6"/>
        <v>2.8897953699999981</v>
      </c>
      <c r="CV43" s="6747">
        <f t="shared" si="54"/>
        <v>2.8897953699999981</v>
      </c>
      <c r="CW43" s="6747">
        <f t="shared" si="55"/>
        <v>0</v>
      </c>
      <c r="CX43" s="6744">
        <f t="shared" si="14"/>
        <v>1.0320007400000035</v>
      </c>
      <c r="CY43" s="2775"/>
      <c r="CZ43" s="660" t="str">
        <f t="shared" si="56"/>
        <v>기타도급 및 지원</v>
      </c>
      <c r="DA43" s="659"/>
      <c r="DB43" s="659"/>
      <c r="DC43" s="659"/>
      <c r="DD43" s="659"/>
      <c r="DE43" s="659"/>
      <c r="DF43" s="659"/>
      <c r="DG43" s="659"/>
      <c r="DH43" s="659"/>
      <c r="DI43" s="659"/>
      <c r="DJ43" s="659"/>
      <c r="DK43" s="659"/>
      <c r="DL43" s="659"/>
      <c r="DM43" s="603">
        <f t="shared" si="27"/>
        <v>0</v>
      </c>
      <c r="DO43" s="2261"/>
      <c r="DP43" s="2261"/>
      <c r="DS43" s="2261"/>
      <c r="DT43" s="2261"/>
    </row>
    <row r="44" spans="1:124" ht="16.3" customHeight="1" x14ac:dyDescent="0.55000000000000004">
      <c r="A44" s="1522" t="s">
        <v>741</v>
      </c>
      <c r="B44" s="1523"/>
      <c r="C44" s="1523"/>
      <c r="D44" s="1523"/>
      <c r="E44" s="1523"/>
      <c r="F44" s="3941"/>
      <c r="G44" s="3941"/>
      <c r="H44" s="3941"/>
      <c r="I44" s="3941"/>
      <c r="J44" s="3941"/>
      <c r="K44" s="3941"/>
      <c r="L44" s="3941"/>
      <c r="M44" s="3941"/>
      <c r="N44" s="3941"/>
      <c r="O44" s="3941"/>
      <c r="P44" s="3941"/>
      <c r="Q44" s="3785"/>
      <c r="R44" s="7074">
        <v>143.24</v>
      </c>
      <c r="S44" s="7075"/>
      <c r="T44" s="7075"/>
      <c r="U44" s="7075"/>
      <c r="V44" s="7075"/>
      <c r="W44" s="7075"/>
      <c r="X44" s="7075"/>
      <c r="Y44" s="7075"/>
      <c r="Z44" s="7075"/>
      <c r="AA44" s="7075"/>
      <c r="AB44" s="7075"/>
      <c r="AC44" s="7076"/>
      <c r="AD44" s="3769">
        <v>0.70792522999999996</v>
      </c>
      <c r="AE44" s="3769">
        <v>42.509062069999999</v>
      </c>
      <c r="AF44" s="3769">
        <v>0.79514901000000004</v>
      </c>
      <c r="AG44" s="3769">
        <v>0.76218900000000001</v>
      </c>
      <c r="AH44" s="3769">
        <v>24.655640860000002</v>
      </c>
      <c r="AI44" s="3769">
        <v>1.2211345199999999</v>
      </c>
      <c r="AJ44" s="3769">
        <v>1.1505651299999999</v>
      </c>
      <c r="AK44" s="3769">
        <v>21.463901719999999</v>
      </c>
      <c r="AL44" s="3769">
        <v>3.1823472000000002</v>
      </c>
      <c r="AM44" s="3769">
        <v>8.6464857599999991</v>
      </c>
      <c r="AN44" s="3769">
        <v>39.035453340000004</v>
      </c>
      <c r="AO44" s="3769">
        <v>20.492119030000001</v>
      </c>
      <c r="AP44" s="3770"/>
      <c r="AQ44" s="3756">
        <v>18.928360340000001</v>
      </c>
      <c r="AR44" s="3757">
        <v>20.335121540000003</v>
      </c>
      <c r="AS44" s="3757">
        <v>6.3679558799999993</v>
      </c>
      <c r="AT44" s="3757">
        <v>24.460072720000003</v>
      </c>
      <c r="AU44" s="3757">
        <v>44.869621799999997</v>
      </c>
      <c r="AV44" s="3757">
        <v>8.6601766800000011</v>
      </c>
      <c r="AW44" s="3757">
        <v>6.3792729900000005</v>
      </c>
      <c r="AX44" s="3757">
        <v>23.082350550000005</v>
      </c>
      <c r="AY44" s="3757">
        <v>35.430343689999994</v>
      </c>
      <c r="AZ44" s="3757">
        <v>29.941806799999995</v>
      </c>
      <c r="BA44" s="3757">
        <v>10.209993839999999</v>
      </c>
      <c r="BB44" s="3757">
        <v>38.688365940000004</v>
      </c>
      <c r="BC44" s="3764">
        <v>267.35344277000002</v>
      </c>
      <c r="BD44" s="3774">
        <f>BD49+BD52</f>
        <v>3.4654510200000006</v>
      </c>
      <c r="BE44" s="3775">
        <f t="shared" ref="BE44:BN44" si="61">BE49+BE52</f>
        <v>17.0704627</v>
      </c>
      <c r="BF44" s="3775">
        <f t="shared" si="61"/>
        <v>27.816198369999999</v>
      </c>
      <c r="BG44" s="3775">
        <f t="shared" si="61"/>
        <v>58.840943319999994</v>
      </c>
      <c r="BH44" s="3775">
        <f t="shared" si="61"/>
        <v>27.214978209999998</v>
      </c>
      <c r="BI44" s="3775">
        <f t="shared" si="61"/>
        <v>8.2465206299999991</v>
      </c>
      <c r="BJ44" s="3775">
        <f t="shared" si="61"/>
        <v>13.776593630000001</v>
      </c>
      <c r="BK44" s="3775">
        <f t="shared" si="61"/>
        <v>52.579342339999997</v>
      </c>
      <c r="BL44" s="3775">
        <f t="shared" si="61"/>
        <v>58.627212620000002</v>
      </c>
      <c r="BM44" s="3775">
        <f t="shared" si="61"/>
        <v>67.124182419999997</v>
      </c>
      <c r="BN44" s="3775">
        <f t="shared" si="61"/>
        <v>36.980414979999999</v>
      </c>
      <c r="BO44" s="3775">
        <f>BO49+BO52</f>
        <v>27.82991784</v>
      </c>
      <c r="BP44" s="6539">
        <v>399.57221808000003</v>
      </c>
      <c r="BQ44" s="6574">
        <f>BQ49+BQ52</f>
        <v>27.073064489999997</v>
      </c>
      <c r="BR44" s="6541">
        <f>BR49+BR52</f>
        <v>66.257026330000002</v>
      </c>
      <c r="BS44" s="6541">
        <f>BS49+BS52</f>
        <v>48.406044970000004</v>
      </c>
      <c r="BT44" s="6541">
        <f t="shared" ref="BT44:CE44" si="62">BT49+BT52</f>
        <v>36.010909999999996</v>
      </c>
      <c r="BU44" s="6541">
        <f t="shared" si="62"/>
        <v>42.548448689999994</v>
      </c>
      <c r="BV44" s="6541">
        <f t="shared" si="62"/>
        <v>47.556311380000004</v>
      </c>
      <c r="BW44" s="6541">
        <f t="shared" si="62"/>
        <v>56.698631220000003</v>
      </c>
      <c r="BX44" s="6541">
        <f t="shared" si="62"/>
        <v>58.199155399999995</v>
      </c>
      <c r="BY44" s="6541">
        <f t="shared" si="62"/>
        <v>57.037023900000001</v>
      </c>
      <c r="BZ44" s="6541">
        <f t="shared" si="62"/>
        <v>46.116051410000004</v>
      </c>
      <c r="CA44" s="6541">
        <f t="shared" si="62"/>
        <v>54.328418509999999</v>
      </c>
      <c r="CB44" s="6541">
        <f t="shared" si="62"/>
        <v>16.35315396</v>
      </c>
      <c r="CC44" s="6575">
        <f t="shared" si="4"/>
        <v>556.58424025999989</v>
      </c>
      <c r="CD44" s="6540">
        <f t="shared" si="62"/>
        <v>14.733423269999999</v>
      </c>
      <c r="CE44" s="6540">
        <f t="shared" si="62"/>
        <v>27.909817199999999</v>
      </c>
      <c r="CF44" s="3776"/>
      <c r="CG44" s="3776"/>
      <c r="CH44" s="3776"/>
      <c r="CI44" s="3776"/>
      <c r="CJ44" s="3776"/>
      <c r="CK44" s="3776"/>
      <c r="CL44" s="3775"/>
      <c r="CM44" s="3775"/>
      <c r="CN44" s="3775"/>
      <c r="CO44" s="3775"/>
      <c r="CP44" s="3778" t="e">
        <f t="shared" si="52"/>
        <v>#N/A</v>
      </c>
      <c r="CQ44" s="3810">
        <f t="shared" si="53"/>
        <v>0</v>
      </c>
      <c r="CR44" s="6863">
        <f t="shared" si="11"/>
        <v>13.17639393</v>
      </c>
      <c r="CS44" s="6733">
        <f t="shared" si="12"/>
        <v>-38.347209130000003</v>
      </c>
      <c r="CT44" s="3780"/>
      <c r="CU44" s="6916">
        <f t="shared" si="6"/>
        <v>42.643240469999995</v>
      </c>
      <c r="CV44" s="6733">
        <f t="shared" si="54"/>
        <v>42.643240469999995</v>
      </c>
      <c r="CW44" s="6733">
        <f t="shared" si="55"/>
        <v>0</v>
      </c>
      <c r="CX44" s="6734">
        <f t="shared" si="14"/>
        <v>-50.68685035</v>
      </c>
      <c r="CY44" s="2775"/>
      <c r="CZ44" s="590" t="str">
        <f>A44</f>
        <v>유통플랫폼사업 매출</v>
      </c>
      <c r="DA44" s="3781"/>
      <c r="DB44" s="3781"/>
      <c r="DC44" s="3781"/>
      <c r="DD44" s="3781"/>
      <c r="DE44" s="3781"/>
      <c r="DF44" s="3781"/>
      <c r="DG44" s="3781"/>
      <c r="DH44" s="3781"/>
      <c r="DI44" s="3781"/>
      <c r="DJ44" s="3781"/>
      <c r="DK44" s="3781"/>
      <c r="DL44" s="3781"/>
      <c r="DM44" s="605">
        <f t="shared" si="27"/>
        <v>0</v>
      </c>
      <c r="DO44" s="2261"/>
      <c r="DP44" s="2261"/>
      <c r="DS44" s="2261"/>
      <c r="DT44" s="2261"/>
    </row>
    <row r="45" spans="1:124" ht="16.3" customHeight="1" x14ac:dyDescent="0.55000000000000004">
      <c r="A45" s="3751"/>
      <c r="C45" s="559" t="s">
        <v>104</v>
      </c>
      <c r="F45" s="3941"/>
      <c r="G45" s="3941"/>
      <c r="H45" s="3941"/>
      <c r="I45" s="3941"/>
      <c r="J45" s="3941"/>
      <c r="K45" s="3941"/>
      <c r="L45" s="3941"/>
      <c r="M45" s="3941"/>
      <c r="N45" s="3941"/>
      <c r="O45" s="3941"/>
      <c r="P45" s="3941"/>
      <c r="Q45" s="3785"/>
      <c r="R45" s="3783"/>
      <c r="S45" s="3941"/>
      <c r="T45" s="3941"/>
      <c r="U45" s="3941"/>
      <c r="V45" s="3941"/>
      <c r="W45" s="3941"/>
      <c r="X45" s="3941"/>
      <c r="Y45" s="3941"/>
      <c r="Z45" s="3941"/>
      <c r="AA45" s="3941"/>
      <c r="AB45" s="3941"/>
      <c r="AC45" s="3785"/>
      <c r="AD45" s="3753">
        <v>0</v>
      </c>
      <c r="AE45" s="3753">
        <v>42.002751269999997</v>
      </c>
      <c r="AF45" s="3753">
        <v>0</v>
      </c>
      <c r="AG45" s="3753">
        <v>0</v>
      </c>
      <c r="AH45" s="3753">
        <v>22.933459920000001</v>
      </c>
      <c r="AI45" s="3753">
        <v>0</v>
      </c>
      <c r="AJ45" s="3753">
        <v>0</v>
      </c>
      <c r="AK45" s="3753">
        <v>20.532201199999999</v>
      </c>
      <c r="AL45" s="3753">
        <v>0</v>
      </c>
      <c r="AM45" s="3753">
        <v>6.133248</v>
      </c>
      <c r="AN45" s="3753">
        <v>30.815623339999998</v>
      </c>
      <c r="AO45" s="3755">
        <v>14.310486449999999</v>
      </c>
      <c r="AP45" s="3754"/>
      <c r="AQ45" s="3756">
        <v>17.558160740000002</v>
      </c>
      <c r="AR45" s="3757">
        <v>18.645582400000002</v>
      </c>
      <c r="AS45" s="3757">
        <v>4.5061599999999995</v>
      </c>
      <c r="AT45" s="3757">
        <v>22.357863399999999</v>
      </c>
      <c r="AU45" s="3757">
        <v>37.613899599999996</v>
      </c>
      <c r="AV45" s="3757">
        <v>0</v>
      </c>
      <c r="AW45" s="3757">
        <v>0</v>
      </c>
      <c r="AX45" s="3757">
        <v>0</v>
      </c>
      <c r="AY45" s="3757">
        <v>27.401271999999999</v>
      </c>
      <c r="AZ45" s="3757">
        <v>8.6376131999999988</v>
      </c>
      <c r="BA45" s="3757">
        <v>0</v>
      </c>
      <c r="BB45" s="3757">
        <v>30.763149800000001</v>
      </c>
      <c r="BC45" s="3758">
        <v>167.48370114000002</v>
      </c>
      <c r="BD45" s="628">
        <v>0</v>
      </c>
      <c r="BE45" s="3759">
        <v>12.523212289999998</v>
      </c>
      <c r="BF45" s="3759">
        <v>19.657249660000002</v>
      </c>
      <c r="BG45" s="596">
        <v>41.176872719999999</v>
      </c>
      <c r="BH45" s="596">
        <v>8.1741848400000006</v>
      </c>
      <c r="BI45" s="596">
        <v>3.1105545399999999</v>
      </c>
      <c r="BJ45" s="596">
        <v>0</v>
      </c>
      <c r="BK45" s="596">
        <v>23.874692360000001</v>
      </c>
      <c r="BL45" s="596">
        <v>26.838303629999999</v>
      </c>
      <c r="BM45" s="596">
        <v>27.355619999999998</v>
      </c>
      <c r="BN45" s="596">
        <v>9.0598167200000006</v>
      </c>
      <c r="BO45" s="596">
        <v>6.4741745399999999</v>
      </c>
      <c r="BP45" s="6538">
        <v>178.2446813</v>
      </c>
      <c r="BQ45" s="6572">
        <v>6.2247795200000002</v>
      </c>
      <c r="BR45" s="6537">
        <v>41.723454240000002</v>
      </c>
      <c r="BS45" s="6537">
        <v>33.803715529999998</v>
      </c>
      <c r="BT45" s="6537">
        <v>17.317671820000001</v>
      </c>
      <c r="BU45" s="6537">
        <v>33.886691740000003</v>
      </c>
      <c r="BV45" s="6537">
        <v>36.226487110000001</v>
      </c>
      <c r="BW45" s="6537">
        <v>38.549267039999997</v>
      </c>
      <c r="BX45" s="6537">
        <v>44.359253440000003</v>
      </c>
      <c r="BY45" s="6537">
        <v>38.491672719999997</v>
      </c>
      <c r="BZ45" s="6537">
        <v>32.401693850000001</v>
      </c>
      <c r="CA45" s="6537">
        <v>38.025056239999998</v>
      </c>
      <c r="CB45" s="6537">
        <v>8.4948652300000003</v>
      </c>
      <c r="CC45" s="6573">
        <f t="shared" si="4"/>
        <v>369.50460848000006</v>
      </c>
      <c r="CD45" s="6536">
        <v>6.6673620949999997</v>
      </c>
      <c r="CE45" s="6591">
        <v>20.213732270000001</v>
      </c>
      <c r="CF45" s="3759"/>
      <c r="CG45" s="3760"/>
      <c r="CH45" s="3760"/>
      <c r="CI45" s="3760"/>
      <c r="CJ45" s="596"/>
      <c r="CK45" s="596"/>
      <c r="CL45" s="596"/>
      <c r="CM45" s="596"/>
      <c r="CN45" s="596"/>
      <c r="CO45" s="596"/>
      <c r="CP45" s="3761" t="e">
        <f t="shared" si="52"/>
        <v>#N/A</v>
      </c>
      <c r="CQ45" s="3762">
        <f t="shared" si="53"/>
        <v>0</v>
      </c>
      <c r="CR45" s="6862">
        <f t="shared" si="11"/>
        <v>13.546370175000002</v>
      </c>
      <c r="CS45" s="6747">
        <f t="shared" si="12"/>
        <v>-21.509721970000001</v>
      </c>
      <c r="CT45" s="607"/>
      <c r="CU45" s="6911">
        <f t="shared" si="6"/>
        <v>26.881094365000003</v>
      </c>
      <c r="CV45" s="6747">
        <f t="shared" si="54"/>
        <v>26.881094365000003</v>
      </c>
      <c r="CW45" s="6747">
        <f t="shared" si="55"/>
        <v>0</v>
      </c>
      <c r="CX45" s="6744">
        <f t="shared" si="14"/>
        <v>-21.067139394999998</v>
      </c>
      <c r="CY45" s="2775"/>
      <c r="CZ45" s="590" t="str">
        <f>C45</f>
        <v>시연폰</v>
      </c>
      <c r="DA45" s="3942"/>
      <c r="DB45" s="3942"/>
      <c r="DC45" s="3942"/>
      <c r="DD45" s="3942"/>
      <c r="DE45" s="3942"/>
      <c r="DF45" s="3942"/>
      <c r="DG45" s="3942"/>
      <c r="DH45" s="3942"/>
      <c r="DI45" s="3942"/>
      <c r="DJ45" s="3942"/>
      <c r="DK45" s="3942"/>
      <c r="DL45" s="3942"/>
      <c r="DM45" s="603">
        <f t="shared" si="27"/>
        <v>0</v>
      </c>
      <c r="DO45" s="2261"/>
      <c r="DP45" s="2261"/>
      <c r="DS45" s="2261"/>
      <c r="DT45" s="2261"/>
    </row>
    <row r="46" spans="1:124" ht="16.3" customHeight="1" x14ac:dyDescent="0.55000000000000004">
      <c r="A46" s="3751"/>
      <c r="C46" s="559" t="s">
        <v>105</v>
      </c>
      <c r="F46" s="3941"/>
      <c r="G46" s="3941"/>
      <c r="H46" s="3941"/>
      <c r="I46" s="3941"/>
      <c r="J46" s="3941"/>
      <c r="K46" s="3941"/>
      <c r="L46" s="3941"/>
      <c r="M46" s="3941"/>
      <c r="N46" s="3941"/>
      <c r="O46" s="3941"/>
      <c r="P46" s="3941"/>
      <c r="Q46" s="3785"/>
      <c r="R46" s="3783"/>
      <c r="S46" s="3941"/>
      <c r="T46" s="3941"/>
      <c r="U46" s="3941"/>
      <c r="V46" s="3941"/>
      <c r="W46" s="3941"/>
      <c r="X46" s="3941"/>
      <c r="Y46" s="3941"/>
      <c r="Z46" s="3941"/>
      <c r="AA46" s="3941"/>
      <c r="AB46" s="3941"/>
      <c r="AC46" s="3785"/>
      <c r="AD46" s="3753">
        <v>0</v>
      </c>
      <c r="AE46" s="3753">
        <v>1.5018E-3</v>
      </c>
      <c r="AF46" s="3753">
        <v>1.1877000000000001E-3</v>
      </c>
      <c r="AG46" s="3753">
        <v>1.2255E-3</v>
      </c>
      <c r="AH46" s="3753">
        <v>0.18850764</v>
      </c>
      <c r="AI46" s="3753">
        <v>0</v>
      </c>
      <c r="AJ46" s="3753">
        <v>3.8850699999999995E-2</v>
      </c>
      <c r="AK46" s="3753">
        <v>2.36805E-2</v>
      </c>
      <c r="AL46" s="3753">
        <v>6.4839499999999994E-2</v>
      </c>
      <c r="AM46" s="3753">
        <v>6.5674720000000006E-2</v>
      </c>
      <c r="AN46" s="3753">
        <v>5.7326500000000002E-2</v>
      </c>
      <c r="AO46" s="3755">
        <v>5.2946500000000001E-2</v>
      </c>
      <c r="AP46" s="3754"/>
      <c r="AQ46" s="3756">
        <v>0.31406331999999998</v>
      </c>
      <c r="AR46" s="3757">
        <v>8.7426999999999991E-2</v>
      </c>
      <c r="AS46" s="3757">
        <v>7.0408499999999999E-2</v>
      </c>
      <c r="AT46" s="3757">
        <v>1.762E-2</v>
      </c>
      <c r="AU46" s="3757">
        <v>4.4458969999999995</v>
      </c>
      <c r="AV46" s="3757">
        <v>4.7673085999999998</v>
      </c>
      <c r="AW46" s="3757">
        <v>3.9633629999999997</v>
      </c>
      <c r="AX46" s="3757">
        <v>18.96047798</v>
      </c>
      <c r="AY46" s="3757">
        <v>5.2997445000000001</v>
      </c>
      <c r="AZ46" s="3757">
        <v>19.070398999999998</v>
      </c>
      <c r="BA46" s="3757">
        <v>8.6262544999999999</v>
      </c>
      <c r="BB46" s="3757">
        <v>7.1969756800000004</v>
      </c>
      <c r="BC46" s="3758">
        <v>72.819939079999997</v>
      </c>
      <c r="BD46" s="628">
        <v>2.3468045000000002</v>
      </c>
      <c r="BE46" s="3759">
        <v>0.51050499999999988</v>
      </c>
      <c r="BF46" s="3759">
        <v>7.1351486399999997</v>
      </c>
      <c r="BG46" s="596">
        <v>13.683895459999999</v>
      </c>
      <c r="BH46" s="596">
        <v>16.88595454</v>
      </c>
      <c r="BI46" s="596">
        <v>3.9140000000000001</v>
      </c>
      <c r="BJ46" s="596">
        <v>11.792809999999999</v>
      </c>
      <c r="BK46" s="596">
        <v>19.230899090000001</v>
      </c>
      <c r="BL46" s="596">
        <v>23.088423639999998</v>
      </c>
      <c r="BM46" s="596">
        <v>25.66321159</v>
      </c>
      <c r="BN46" s="596">
        <v>15.651435449999999</v>
      </c>
      <c r="BO46" s="596">
        <v>2.3071636400000002</v>
      </c>
      <c r="BP46" s="6538">
        <v>142.21025155000001</v>
      </c>
      <c r="BQ46" s="6572">
        <v>5.1468545299999997</v>
      </c>
      <c r="BR46" s="6537">
        <v>7.8131886499999998</v>
      </c>
      <c r="BS46" s="6537">
        <v>4.2391668100000004</v>
      </c>
      <c r="BT46" s="6537">
        <v>9.1465706600000001</v>
      </c>
      <c r="BU46" s="6537">
        <v>2.31143455</v>
      </c>
      <c r="BV46" s="6537">
        <v>5.93451182</v>
      </c>
      <c r="BW46" s="6537">
        <v>12.66002535</v>
      </c>
      <c r="BX46" s="6537">
        <v>11.85544908</v>
      </c>
      <c r="BY46" s="6537">
        <v>13.403727269999999</v>
      </c>
      <c r="BZ46" s="6537">
        <v>8.2778563599999995</v>
      </c>
      <c r="CA46" s="6537">
        <v>13.30973724</v>
      </c>
      <c r="CB46" s="6537">
        <v>5.8643154400000004</v>
      </c>
      <c r="CC46" s="6573">
        <f t="shared" si="4"/>
        <v>99.962837759999999</v>
      </c>
      <c r="CD46" s="6536">
        <v>3.260368165</v>
      </c>
      <c r="CE46" s="6591">
        <v>5.9138181699999999</v>
      </c>
      <c r="CF46" s="3759"/>
      <c r="CG46" s="3760"/>
      <c r="CH46" s="3760"/>
      <c r="CI46" s="3760"/>
      <c r="CJ46" s="3760"/>
      <c r="CK46" s="596"/>
      <c r="CL46" s="596"/>
      <c r="CM46" s="596"/>
      <c r="CN46" s="596"/>
      <c r="CO46" s="596"/>
      <c r="CP46" s="3761" t="e">
        <f t="shared" si="52"/>
        <v>#N/A</v>
      </c>
      <c r="CQ46" s="3762">
        <f t="shared" si="53"/>
        <v>0</v>
      </c>
      <c r="CR46" s="6862">
        <f t="shared" si="11"/>
        <v>2.6534500049999998</v>
      </c>
      <c r="CS46" s="6747">
        <f t="shared" si="12"/>
        <v>-1.89937048</v>
      </c>
      <c r="CT46" s="607"/>
      <c r="CU46" s="6911">
        <f t="shared" si="6"/>
        <v>9.1741863349999999</v>
      </c>
      <c r="CV46" s="6747">
        <f t="shared" si="54"/>
        <v>9.1741863349999999</v>
      </c>
      <c r="CW46" s="6747">
        <f t="shared" si="55"/>
        <v>0</v>
      </c>
      <c r="CX46" s="6744">
        <f t="shared" si="14"/>
        <v>-3.7858568449999996</v>
      </c>
      <c r="CY46" s="2775"/>
      <c r="CZ46" s="590" t="str">
        <f>C46</f>
        <v>굿바이</v>
      </c>
      <c r="DA46" s="3942"/>
      <c r="DB46" s="3942"/>
      <c r="DC46" s="3942"/>
      <c r="DD46" s="3942"/>
      <c r="DE46" s="3942"/>
      <c r="DF46" s="3942"/>
      <c r="DG46" s="3942"/>
      <c r="DH46" s="3942"/>
      <c r="DI46" s="3942"/>
      <c r="DJ46" s="3942"/>
      <c r="DK46" s="3942"/>
      <c r="DL46" s="3942"/>
      <c r="DM46" s="603">
        <f t="shared" si="27"/>
        <v>0</v>
      </c>
      <c r="DO46" s="2261"/>
      <c r="DP46" s="2261"/>
      <c r="DS46" s="2261"/>
      <c r="DT46" s="2261"/>
    </row>
    <row r="47" spans="1:124" ht="16.3" customHeight="1" x14ac:dyDescent="0.55000000000000004">
      <c r="A47" s="3751"/>
      <c r="C47" s="559" t="s">
        <v>106</v>
      </c>
      <c r="F47" s="3941"/>
      <c r="G47" s="3941"/>
      <c r="H47" s="3941"/>
      <c r="I47" s="3941"/>
      <c r="J47" s="3941"/>
      <c r="K47" s="3941"/>
      <c r="L47" s="3941"/>
      <c r="M47" s="3941"/>
      <c r="N47" s="3941"/>
      <c r="O47" s="3941"/>
      <c r="P47" s="3941"/>
      <c r="Q47" s="3785"/>
      <c r="R47" s="3783"/>
      <c r="S47" s="3941"/>
      <c r="T47" s="3941"/>
      <c r="U47" s="3941"/>
      <c r="V47" s="3941"/>
      <c r="W47" s="3941"/>
      <c r="X47" s="3941"/>
      <c r="Y47" s="3941"/>
      <c r="Z47" s="3941"/>
      <c r="AA47" s="3941"/>
      <c r="AB47" s="3941"/>
      <c r="AC47" s="3785"/>
      <c r="AD47" s="3753">
        <v>0</v>
      </c>
      <c r="AE47" s="3753">
        <v>0</v>
      </c>
      <c r="AF47" s="3753">
        <v>0</v>
      </c>
      <c r="AG47" s="3753">
        <v>0</v>
      </c>
      <c r="AH47" s="3753">
        <v>0</v>
      </c>
      <c r="AI47" s="3753">
        <v>0</v>
      </c>
      <c r="AJ47" s="3753">
        <v>0</v>
      </c>
      <c r="AK47" s="3753">
        <v>8.6972729999999998E-2</v>
      </c>
      <c r="AL47" s="3753">
        <v>2.1517505499999996</v>
      </c>
      <c r="AM47" s="3753">
        <v>1.1831123600000002</v>
      </c>
      <c r="AN47" s="3753">
        <v>7.2881978299999997</v>
      </c>
      <c r="AO47" s="3755">
        <v>5.0096112699999997</v>
      </c>
      <c r="AP47" s="3754"/>
      <c r="AQ47" s="3756">
        <v>0.20109090999999998</v>
      </c>
      <c r="AR47" s="3757">
        <v>1.10161018</v>
      </c>
      <c r="AS47" s="3757">
        <v>1.31764773</v>
      </c>
      <c r="AT47" s="3757">
        <v>1.64691371</v>
      </c>
      <c r="AU47" s="3757">
        <v>2.02553764</v>
      </c>
      <c r="AV47" s="3757">
        <v>3.0005778600000004</v>
      </c>
      <c r="AW47" s="3757">
        <v>1.65249552</v>
      </c>
      <c r="AX47" s="3757">
        <v>3.2620175599999999</v>
      </c>
      <c r="AY47" s="3757">
        <v>2.2386986499999999</v>
      </c>
      <c r="AZ47" s="3757">
        <v>1.1238791000000001</v>
      </c>
      <c r="BA47" s="3757">
        <v>0.81183922999999991</v>
      </c>
      <c r="BB47" s="3757">
        <v>0.36171345999999999</v>
      </c>
      <c r="BC47" s="3758">
        <v>18.744021550000003</v>
      </c>
      <c r="BD47" s="628">
        <v>1.11864652</v>
      </c>
      <c r="BE47" s="3759">
        <v>3.4670918199999998</v>
      </c>
      <c r="BF47" s="3759">
        <v>0.79960006999999989</v>
      </c>
      <c r="BG47" s="596">
        <v>3.4319926399999998</v>
      </c>
      <c r="BH47" s="596">
        <v>1.79293883</v>
      </c>
      <c r="BI47" s="596">
        <v>0.85896609000000002</v>
      </c>
      <c r="BJ47" s="596">
        <v>1.61878363</v>
      </c>
      <c r="BK47" s="596">
        <v>9.1338508899999997</v>
      </c>
      <c r="BL47" s="596">
        <v>8.3936853500000002</v>
      </c>
      <c r="BM47" s="596">
        <v>13.81075083</v>
      </c>
      <c r="BN47" s="596">
        <v>11.966562810000001</v>
      </c>
      <c r="BO47" s="596">
        <v>18.75037966</v>
      </c>
      <c r="BP47" s="6538">
        <v>75.143249139999995</v>
      </c>
      <c r="BQ47" s="6572">
        <v>15.04792136</v>
      </c>
      <c r="BR47" s="6537">
        <v>15.968165239999999</v>
      </c>
      <c r="BS47" s="6537">
        <v>9.4010444500000006</v>
      </c>
      <c r="BT47" s="6537">
        <v>6.3480070599999996</v>
      </c>
      <c r="BU47" s="6537">
        <v>5.4892405799999997</v>
      </c>
      <c r="BV47" s="6537">
        <v>4.7302215399999996</v>
      </c>
      <c r="BW47" s="6537">
        <v>3.7068985400000001</v>
      </c>
      <c r="BX47" s="6537">
        <v>0.78530741999999998</v>
      </c>
      <c r="BY47" s="6537">
        <v>2.3982148200000002</v>
      </c>
      <c r="BZ47" s="6537">
        <v>1.7681286899999999</v>
      </c>
      <c r="CA47" s="6537">
        <v>0.50962746000000003</v>
      </c>
      <c r="CB47" s="6537">
        <v>0.35757329999999998</v>
      </c>
      <c r="CC47" s="6573">
        <f t="shared" si="4"/>
        <v>66.510350460000012</v>
      </c>
      <c r="CD47" s="6536">
        <v>2.6226311899999999</v>
      </c>
      <c r="CE47" s="6591">
        <v>0.18859219999999999</v>
      </c>
      <c r="CF47" s="3759"/>
      <c r="CG47" s="3760"/>
      <c r="CH47" s="3760"/>
      <c r="CI47" s="3760"/>
      <c r="CJ47" s="596"/>
      <c r="CK47" s="596"/>
      <c r="CL47" s="596"/>
      <c r="CM47" s="596"/>
      <c r="CN47" s="596"/>
      <c r="CO47" s="596"/>
      <c r="CP47" s="3761" t="e">
        <f t="shared" si="52"/>
        <v>#N/A</v>
      </c>
      <c r="CQ47" s="3762">
        <f t="shared" si="53"/>
        <v>0</v>
      </c>
      <c r="CR47" s="6862">
        <f t="shared" si="11"/>
        <v>-2.4340389899999999</v>
      </c>
      <c r="CS47" s="6747">
        <f t="shared" si="12"/>
        <v>-15.779573039999999</v>
      </c>
      <c r="CT47" s="607"/>
      <c r="CU47" s="6911">
        <f t="shared" si="6"/>
        <v>2.8112233899999999</v>
      </c>
      <c r="CV47" s="6747">
        <f t="shared" si="54"/>
        <v>2.8112233899999999</v>
      </c>
      <c r="CW47" s="6747">
        <f t="shared" si="55"/>
        <v>0</v>
      </c>
      <c r="CX47" s="6744">
        <f t="shared" si="14"/>
        <v>-28.204863210000003</v>
      </c>
      <c r="CY47" s="2775"/>
      <c r="CZ47" s="590" t="str">
        <f>C47</f>
        <v>코코넛</v>
      </c>
      <c r="DA47" s="3942"/>
      <c r="DB47" s="3942"/>
      <c r="DC47" s="3942"/>
      <c r="DD47" s="3942"/>
      <c r="DE47" s="3942"/>
      <c r="DF47" s="3942"/>
      <c r="DG47" s="3942"/>
      <c r="DH47" s="3942"/>
      <c r="DI47" s="3942"/>
      <c r="DJ47" s="3942"/>
      <c r="DK47" s="3942"/>
      <c r="DL47" s="3942"/>
      <c r="DM47" s="603">
        <f t="shared" si="27"/>
        <v>0</v>
      </c>
      <c r="DO47" s="2261"/>
      <c r="DP47" s="2261"/>
      <c r="DS47" s="2261"/>
      <c r="DT47" s="2261"/>
    </row>
    <row r="48" spans="1:124" ht="16.3" customHeight="1" x14ac:dyDescent="0.55000000000000004">
      <c r="A48" s="3751"/>
      <c r="C48" s="559" t="s">
        <v>1027</v>
      </c>
      <c r="F48" s="3941"/>
      <c r="G48" s="3941"/>
      <c r="H48" s="3941"/>
      <c r="I48" s="3941"/>
      <c r="J48" s="3941"/>
      <c r="K48" s="3941"/>
      <c r="L48" s="3941"/>
      <c r="M48" s="3941"/>
      <c r="N48" s="3941"/>
      <c r="O48" s="3941"/>
      <c r="P48" s="3941"/>
      <c r="Q48" s="3785"/>
      <c r="R48" s="3783"/>
      <c r="S48" s="3941"/>
      <c r="T48" s="3941"/>
      <c r="U48" s="3941"/>
      <c r="V48" s="3941"/>
      <c r="W48" s="3941"/>
      <c r="X48" s="3941"/>
      <c r="Y48" s="3941"/>
      <c r="Z48" s="3941"/>
      <c r="AA48" s="3941"/>
      <c r="AB48" s="3941"/>
      <c r="AC48" s="3785"/>
      <c r="AD48" s="3753">
        <v>0.70701919999999996</v>
      </c>
      <c r="AE48" s="3753">
        <v>0.50480899999999995</v>
      </c>
      <c r="AF48" s="3753">
        <v>0.79396131000000003</v>
      </c>
      <c r="AG48" s="3753">
        <v>0.76096350000000001</v>
      </c>
      <c r="AH48" s="3753">
        <v>1.5336733</v>
      </c>
      <c r="AI48" s="3753">
        <v>1.2211345199999999</v>
      </c>
      <c r="AJ48" s="3753">
        <v>1.1117144299999999</v>
      </c>
      <c r="AK48" s="3753">
        <v>0.8210472899999991</v>
      </c>
      <c r="AL48" s="3753">
        <v>0.9657571500000004</v>
      </c>
      <c r="AM48" s="3753">
        <v>1.2644506799999997</v>
      </c>
      <c r="AN48" s="3753">
        <v>0.87430567000000181</v>
      </c>
      <c r="AO48" s="3755">
        <v>1.1190748100000023</v>
      </c>
      <c r="AP48" s="3754"/>
      <c r="AQ48" s="3756">
        <v>0.85504537000000003</v>
      </c>
      <c r="AR48" s="3757">
        <v>0.50050196000000002</v>
      </c>
      <c r="AS48" s="3757">
        <v>0.47373964999999996</v>
      </c>
      <c r="AT48" s="3757">
        <v>0.43767560999999999</v>
      </c>
      <c r="AU48" s="3757">
        <v>0.78428756000000011</v>
      </c>
      <c r="AV48" s="3757">
        <v>0.89229022000000002</v>
      </c>
      <c r="AW48" s="3757">
        <v>0.76341447000000007</v>
      </c>
      <c r="AX48" s="3757">
        <v>0.85985500999999998</v>
      </c>
      <c r="AY48" s="3757">
        <v>0.49062854</v>
      </c>
      <c r="AZ48" s="3757">
        <v>1.1099155000000001</v>
      </c>
      <c r="BA48" s="3757">
        <v>0.77190011000000003</v>
      </c>
      <c r="BB48" s="3757">
        <v>0.36652700000000005</v>
      </c>
      <c r="BC48" s="3758">
        <v>8.3057810000000014</v>
      </c>
      <c r="BD48" s="628">
        <v>0</v>
      </c>
      <c r="BE48" s="3759">
        <v>0.56965359000000004</v>
      </c>
      <c r="BF48" s="3759">
        <v>0.22420000000000001</v>
      </c>
      <c r="BG48" s="596">
        <v>0.54818250000000002</v>
      </c>
      <c r="BH48" s="596">
        <v>0.3619</v>
      </c>
      <c r="BI48" s="596">
        <v>0.36299999999999999</v>
      </c>
      <c r="BJ48" s="596">
        <v>0.36499999999999999</v>
      </c>
      <c r="BK48" s="596">
        <v>0.33989999999999998</v>
      </c>
      <c r="BL48" s="596">
        <v>0.30680000000000002</v>
      </c>
      <c r="BM48" s="596">
        <v>0.29459999999999997</v>
      </c>
      <c r="BN48" s="596">
        <v>0.30260000000000004</v>
      </c>
      <c r="BO48" s="596">
        <v>0.29820000000000002</v>
      </c>
      <c r="BP48" s="6538">
        <v>3.9740360899999998</v>
      </c>
      <c r="BQ48" s="6572">
        <f t="shared" ref="BQ48" si="63">BQ44-BQ45-BQ46-BQ47</f>
        <v>0.65350907999999563</v>
      </c>
      <c r="BR48" s="6537">
        <f t="shared" ref="BR48" si="64">BR44-BR45-BR46-BR47</f>
        <v>0.75221819999999973</v>
      </c>
      <c r="BS48" s="6537">
        <f t="shared" ref="BS48" si="65">BS44-BS45-BS46-BS47</f>
        <v>0.96211818000000449</v>
      </c>
      <c r="BT48" s="6537">
        <f t="shared" ref="BT48" si="66">BT44-BT45-BT46-BT47</f>
        <v>3.1986604599999948</v>
      </c>
      <c r="BU48" s="6537">
        <f t="shared" ref="BU48" si="67">BU44-BU45-BU46-BU47</f>
        <v>0.861081819999991</v>
      </c>
      <c r="BV48" s="6537">
        <f t="shared" ref="BV48" si="68">BV44-BV45-BV46-BV47</f>
        <v>0.66509091000000353</v>
      </c>
      <c r="BW48" s="6537">
        <f t="shared" ref="BW48" si="69">BW44-BW45-BW46-BW47</f>
        <v>1.7824402900000065</v>
      </c>
      <c r="BX48" s="6537">
        <f t="shared" ref="BX48" si="70">BX44-BX45-BX46-BX47</f>
        <v>1.199145459999992</v>
      </c>
      <c r="BY48" s="6537">
        <f t="shared" ref="BY48" si="71">BY44-BY45-BY46-BY47</f>
        <v>2.743409090000005</v>
      </c>
      <c r="BZ48" s="6537">
        <f t="shared" ref="BZ48" si="72">BZ44-BZ45-BZ46-BZ47</f>
        <v>3.6683725100000038</v>
      </c>
      <c r="CA48" s="6537">
        <f>CA44-CA45-CA46-CA47</f>
        <v>2.4839975700000005</v>
      </c>
      <c r="CB48" s="6537">
        <f>CB44-CB45-CB46-CB47</f>
        <v>1.6363999899999997</v>
      </c>
      <c r="CC48" s="6573">
        <f t="shared" si="4"/>
        <v>20.606443559999999</v>
      </c>
      <c r="CD48" s="6536">
        <v>2.1830618199999998</v>
      </c>
      <c r="CE48" s="6591">
        <v>1.59367456</v>
      </c>
      <c r="CF48" s="3759"/>
      <c r="CG48" s="3760"/>
      <c r="CH48" s="3760"/>
      <c r="CI48" s="3760"/>
      <c r="CJ48" s="596"/>
      <c r="CK48" s="596"/>
      <c r="CL48" s="596"/>
      <c r="CM48" s="596"/>
      <c r="CN48" s="596"/>
      <c r="CO48" s="596"/>
      <c r="CP48" s="3761" t="e">
        <f t="shared" si="52"/>
        <v>#N/A</v>
      </c>
      <c r="CQ48" s="3762">
        <f t="shared" si="53"/>
        <v>0</v>
      </c>
      <c r="CR48" s="6862">
        <f t="shared" si="11"/>
        <v>-0.58938725999999986</v>
      </c>
      <c r="CS48" s="6747">
        <f t="shared" si="12"/>
        <v>0.84145636000000024</v>
      </c>
      <c r="CT48" s="607"/>
      <c r="CU48" s="6911">
        <f t="shared" si="6"/>
        <v>3.77673638</v>
      </c>
      <c r="CV48" s="6747">
        <f t="shared" si="54"/>
        <v>3.77673638</v>
      </c>
      <c r="CW48" s="6747">
        <f t="shared" si="55"/>
        <v>0</v>
      </c>
      <c r="CX48" s="6744">
        <f t="shared" si="14"/>
        <v>2.3710091000000046</v>
      </c>
      <c r="CY48" s="2775"/>
      <c r="CZ48" s="590" t="str">
        <f>C48</f>
        <v>기타(A/S, 임대, 물류, 중고폰 전문매장 등)</v>
      </c>
      <c r="DA48" s="3942"/>
      <c r="DB48" s="3942"/>
      <c r="DC48" s="3942"/>
      <c r="DD48" s="3942"/>
      <c r="DE48" s="3942"/>
      <c r="DF48" s="3942"/>
      <c r="DG48" s="3942"/>
      <c r="DH48" s="3942"/>
      <c r="DI48" s="3942"/>
      <c r="DJ48" s="3942"/>
      <c r="DK48" s="3942"/>
      <c r="DL48" s="3942"/>
      <c r="DM48" s="603">
        <f t="shared" si="27"/>
        <v>0</v>
      </c>
      <c r="DO48" s="2261"/>
      <c r="DP48" s="2261"/>
      <c r="DS48" s="2261"/>
      <c r="DT48" s="2261"/>
    </row>
    <row r="49" spans="1:124" ht="16.3" customHeight="1" x14ac:dyDescent="0.55000000000000004">
      <c r="A49" s="3751"/>
      <c r="C49" s="1028" t="s">
        <v>582</v>
      </c>
      <c r="D49" s="1028"/>
      <c r="E49" s="1028"/>
      <c r="F49" s="3941"/>
      <c r="G49" s="3941"/>
      <c r="H49" s="3941"/>
      <c r="I49" s="3941"/>
      <c r="J49" s="3941"/>
      <c r="K49" s="3941"/>
      <c r="L49" s="3941"/>
      <c r="M49" s="3941"/>
      <c r="N49" s="3941"/>
      <c r="O49" s="3941"/>
      <c r="P49" s="3941"/>
      <c r="Q49" s="3785"/>
      <c r="R49" s="3783"/>
      <c r="S49" s="3941"/>
      <c r="T49" s="3941"/>
      <c r="U49" s="3941"/>
      <c r="V49" s="3941"/>
      <c r="W49" s="3941"/>
      <c r="X49" s="3941"/>
      <c r="Y49" s="3941"/>
      <c r="Z49" s="3941"/>
      <c r="AA49" s="3941"/>
      <c r="AB49" s="3941"/>
      <c r="AC49" s="3785"/>
      <c r="AD49" s="3941"/>
      <c r="AE49" s="3941"/>
      <c r="AF49" s="3941"/>
      <c r="AG49" s="3941"/>
      <c r="AH49" s="3941"/>
      <c r="AI49" s="3941"/>
      <c r="AJ49" s="3941"/>
      <c r="AK49" s="3941"/>
      <c r="AL49" s="3941"/>
      <c r="AM49" s="3941"/>
      <c r="AN49" s="3941"/>
      <c r="AO49" s="3941"/>
      <c r="AP49" s="3784"/>
      <c r="AQ49" s="3943">
        <v>0.29537113999999998</v>
      </c>
      <c r="AR49" s="3944">
        <v>9.5788270000000009E-2</v>
      </c>
      <c r="AS49" s="3944">
        <v>4.9108499999999999E-2</v>
      </c>
      <c r="AT49" s="3944">
        <v>0</v>
      </c>
      <c r="AU49" s="3944">
        <v>1.418175E-2</v>
      </c>
      <c r="AV49" s="3944">
        <v>0.23383114999999999</v>
      </c>
      <c r="AW49" s="3944">
        <v>2.9771000000000002E-2</v>
      </c>
      <c r="AX49" s="3944">
        <v>0.25729055000000001</v>
      </c>
      <c r="AY49" s="3944">
        <v>0.11015449999999999</v>
      </c>
      <c r="AZ49" s="3944">
        <v>6.8844500000000003E-2</v>
      </c>
      <c r="BA49" s="3944">
        <v>3.4658500000000002E-2</v>
      </c>
      <c r="BB49" s="3944">
        <v>2.2773886399999999</v>
      </c>
      <c r="BC49" s="3945">
        <v>3.4663884999999999</v>
      </c>
      <c r="BD49" s="789">
        <f t="shared" ref="BD49:BM49" si="73">BD50+BD51</f>
        <v>0.70356452000000003</v>
      </c>
      <c r="BE49" s="3946">
        <f t="shared" si="73"/>
        <v>2.44983109</v>
      </c>
      <c r="BF49" s="3946">
        <f t="shared" si="73"/>
        <v>1.1364933699999999</v>
      </c>
      <c r="BG49" s="789">
        <f t="shared" si="73"/>
        <v>7.6887108200000007</v>
      </c>
      <c r="BH49" s="789">
        <f t="shared" si="73"/>
        <v>2.1799804200000001</v>
      </c>
      <c r="BI49" s="789">
        <f t="shared" si="73"/>
        <v>1.2499824099999999</v>
      </c>
      <c r="BJ49" s="789">
        <f t="shared" si="73"/>
        <v>2.08859087</v>
      </c>
      <c r="BK49" s="789">
        <f t="shared" si="73"/>
        <v>2.9984795899999996</v>
      </c>
      <c r="BL49" s="789">
        <f t="shared" si="73"/>
        <v>5.0110819900000001</v>
      </c>
      <c r="BM49" s="789">
        <f t="shared" si="73"/>
        <v>4.2502727799999995</v>
      </c>
      <c r="BN49" s="789">
        <f>BN50+BN51</f>
        <v>14.92331381</v>
      </c>
      <c r="BO49" s="789">
        <f>BO50+BO51</f>
        <v>5.7775723000000001</v>
      </c>
      <c r="BP49" s="6552">
        <v>50.457873970000001</v>
      </c>
      <c r="BQ49" s="6576">
        <f>BQ50+BQ51</f>
        <v>4.66591544</v>
      </c>
      <c r="BR49" s="6553">
        <f>BR50+BR51</f>
        <v>8.2890091699999999</v>
      </c>
      <c r="BS49" s="6553">
        <f>BS50+BS51</f>
        <v>1.44309244</v>
      </c>
      <c r="BT49" s="6553">
        <f t="shared" ref="BT49:CE49" si="74">BT50+BT51</f>
        <v>5.6274242399999999</v>
      </c>
      <c r="BU49" s="6553">
        <f t="shared" si="74"/>
        <v>1.8754223999999999</v>
      </c>
      <c r="BV49" s="6553">
        <f t="shared" si="74"/>
        <v>2.8103056400000002</v>
      </c>
      <c r="BW49" s="6553">
        <f t="shared" si="74"/>
        <v>4.7626143499999998</v>
      </c>
      <c r="BX49" s="6553">
        <f t="shared" si="74"/>
        <v>1.7675392199999997</v>
      </c>
      <c r="BY49" s="6553">
        <f t="shared" si="74"/>
        <v>4.7616375399999997</v>
      </c>
      <c r="BZ49" s="6553">
        <f t="shared" si="74"/>
        <v>5.3761293700000001</v>
      </c>
      <c r="CA49" s="6553">
        <f t="shared" si="74"/>
        <v>2.43938655</v>
      </c>
      <c r="CB49" s="6553">
        <f t="shared" si="74"/>
        <v>2.6073823799999998</v>
      </c>
      <c r="CC49" s="6577">
        <f t="shared" si="4"/>
        <v>46.425858740000002</v>
      </c>
      <c r="CD49" s="6551">
        <f t="shared" si="74"/>
        <v>3.9735316300000001</v>
      </c>
      <c r="CE49" s="6551">
        <f t="shared" si="74"/>
        <v>1.0773522</v>
      </c>
      <c r="CF49" s="3948"/>
      <c r="CG49" s="3948"/>
      <c r="CH49" s="3948"/>
      <c r="CI49" s="3948"/>
      <c r="CJ49" s="3948"/>
      <c r="CK49" s="3948"/>
      <c r="CL49" s="3948"/>
      <c r="CM49" s="3948"/>
      <c r="CN49" s="3948"/>
      <c r="CO49" s="3948"/>
      <c r="CP49" s="3949" t="e">
        <f t="shared" si="52"/>
        <v>#N/A</v>
      </c>
      <c r="CQ49" s="3950">
        <f t="shared" si="53"/>
        <v>0</v>
      </c>
      <c r="CR49" s="6873">
        <f t="shared" si="11"/>
        <v>-2.8961794300000001</v>
      </c>
      <c r="CS49" s="6874">
        <f t="shared" si="12"/>
        <v>-7.2116569699999999</v>
      </c>
      <c r="CT49" s="795"/>
      <c r="CU49" s="6765">
        <f t="shared" si="6"/>
        <v>5.0508838300000001</v>
      </c>
      <c r="CV49" s="6874">
        <f t="shared" si="54"/>
        <v>5.0508838300000001</v>
      </c>
      <c r="CW49" s="6874">
        <f t="shared" si="55"/>
        <v>0</v>
      </c>
      <c r="CX49" s="6745">
        <f t="shared" si="14"/>
        <v>-7.904040779999999</v>
      </c>
      <c r="CY49" s="2775"/>
      <c r="CZ49" s="590" t="str">
        <f>C49</f>
        <v>수수료매출 ⓒ</v>
      </c>
      <c r="DA49" s="3952"/>
      <c r="DB49" s="3952"/>
      <c r="DC49" s="3952"/>
      <c r="DD49" s="3952"/>
      <c r="DE49" s="3952"/>
      <c r="DF49" s="3952"/>
      <c r="DG49" s="3952"/>
      <c r="DH49" s="3952"/>
      <c r="DI49" s="3952"/>
      <c r="DJ49" s="3952"/>
      <c r="DK49" s="3952"/>
      <c r="DL49" s="3952"/>
      <c r="DM49" s="603">
        <f t="shared" si="27"/>
        <v>0</v>
      </c>
      <c r="DO49" s="2261"/>
      <c r="DP49" s="2261"/>
      <c r="DS49" s="2261"/>
      <c r="DT49" s="2261"/>
    </row>
    <row r="50" spans="1:124" ht="16.3" customHeight="1" x14ac:dyDescent="0.55000000000000004">
      <c r="A50" s="3751"/>
      <c r="C50" s="1028"/>
      <c r="D50" s="1028" t="s">
        <v>6</v>
      </c>
      <c r="E50" s="1028"/>
      <c r="F50" s="3941"/>
      <c r="G50" s="3941"/>
      <c r="H50" s="3941"/>
      <c r="I50" s="3941"/>
      <c r="J50" s="3941"/>
      <c r="K50" s="3941"/>
      <c r="L50" s="3941"/>
      <c r="M50" s="3941"/>
      <c r="N50" s="3941"/>
      <c r="O50" s="3941"/>
      <c r="P50" s="3941"/>
      <c r="Q50" s="3785"/>
      <c r="R50" s="3783"/>
      <c r="S50" s="3941"/>
      <c r="T50" s="3941"/>
      <c r="U50" s="3941"/>
      <c r="V50" s="3941"/>
      <c r="W50" s="3941"/>
      <c r="X50" s="3941"/>
      <c r="Y50" s="3941"/>
      <c r="Z50" s="3941"/>
      <c r="AA50" s="3941"/>
      <c r="AB50" s="3941"/>
      <c r="AC50" s="3785"/>
      <c r="AD50" s="3941"/>
      <c r="AE50" s="3941"/>
      <c r="AF50" s="3941"/>
      <c r="AG50" s="3941"/>
      <c r="AH50" s="3941"/>
      <c r="AI50" s="3941"/>
      <c r="AJ50" s="3941"/>
      <c r="AK50" s="3941"/>
      <c r="AL50" s="3941"/>
      <c r="AM50" s="3941"/>
      <c r="AN50" s="3941"/>
      <c r="AO50" s="3941"/>
      <c r="AP50" s="3784"/>
      <c r="AQ50" s="3943">
        <v>0</v>
      </c>
      <c r="AR50" s="3944">
        <v>0</v>
      </c>
      <c r="AS50" s="3944">
        <v>0</v>
      </c>
      <c r="AT50" s="3944">
        <v>0</v>
      </c>
      <c r="AU50" s="3944">
        <v>0</v>
      </c>
      <c r="AV50" s="3944">
        <v>0</v>
      </c>
      <c r="AW50" s="3944">
        <v>0</v>
      </c>
      <c r="AX50" s="3944">
        <v>0</v>
      </c>
      <c r="AY50" s="3944">
        <v>0</v>
      </c>
      <c r="AZ50" s="3944">
        <v>0</v>
      </c>
      <c r="BA50" s="3944">
        <v>0</v>
      </c>
      <c r="BB50" s="3944">
        <v>0</v>
      </c>
      <c r="BC50" s="3945">
        <v>0</v>
      </c>
      <c r="BD50" s="789">
        <v>0.39372727000000002</v>
      </c>
      <c r="BE50" s="3946">
        <v>2.1575265899999998</v>
      </c>
      <c r="BF50" s="3946">
        <v>0.61535329999999999</v>
      </c>
      <c r="BG50" s="789">
        <v>4.2654704500000005</v>
      </c>
      <c r="BH50" s="789">
        <v>1.66407726</v>
      </c>
      <c r="BI50" s="789">
        <v>0.81197385999999994</v>
      </c>
      <c r="BJ50" s="789">
        <v>1.5800278700000001</v>
      </c>
      <c r="BK50" s="789">
        <v>2.5205904499999998</v>
      </c>
      <c r="BL50" s="789">
        <v>4.6236797200000002</v>
      </c>
      <c r="BM50" s="789">
        <v>3.54186764</v>
      </c>
      <c r="BN50" s="789">
        <v>14.46108152</v>
      </c>
      <c r="BO50" s="789">
        <v>5.2873835099999997</v>
      </c>
      <c r="BP50" s="6552">
        <v>41.92275944</v>
      </c>
      <c r="BQ50" s="6576">
        <v>4.0313889400000003</v>
      </c>
      <c r="BR50" s="6553">
        <v>7.79633368</v>
      </c>
      <c r="BS50" s="6553">
        <v>0.87665234999999997</v>
      </c>
      <c r="BT50" s="6553">
        <v>2.3474600900000002</v>
      </c>
      <c r="BU50" s="6553">
        <v>1.3750335499999999</v>
      </c>
      <c r="BV50" s="6553">
        <v>2.3617353200000002</v>
      </c>
      <c r="BW50" s="6553">
        <v>2.56027936</v>
      </c>
      <c r="BX50" s="6553">
        <v>0.85627911999999995</v>
      </c>
      <c r="BY50" s="6553">
        <v>3.70956909</v>
      </c>
      <c r="BZ50" s="6553">
        <v>3.9348022199999999</v>
      </c>
      <c r="CA50" s="6553">
        <v>1.5669422799999999</v>
      </c>
      <c r="CB50" s="6553">
        <v>1.72930268</v>
      </c>
      <c r="CC50" s="6577">
        <f t="shared" si="4"/>
        <v>33.145778679999992</v>
      </c>
      <c r="CD50" s="6551">
        <v>2.7322076200000001</v>
      </c>
      <c r="CE50" s="6633">
        <v>0.25352808999999998</v>
      </c>
      <c r="CF50" s="3946"/>
      <c r="CG50" s="3948"/>
      <c r="CH50" s="3948"/>
      <c r="CI50" s="3948"/>
      <c r="CJ50" s="789"/>
      <c r="CK50" s="789"/>
      <c r="CL50" s="789"/>
      <c r="CM50" s="789"/>
      <c r="CN50" s="789"/>
      <c r="CO50" s="789"/>
      <c r="CP50" s="3949" t="e">
        <f t="shared" si="52"/>
        <v>#N/A</v>
      </c>
      <c r="CQ50" s="3953" t="s">
        <v>461</v>
      </c>
      <c r="CR50" s="6873">
        <f t="shared" si="11"/>
        <v>-2.47867953</v>
      </c>
      <c r="CS50" s="6874">
        <f t="shared" si="12"/>
        <v>-7.5428055900000004</v>
      </c>
      <c r="CT50" s="795"/>
      <c r="CU50" s="6765">
        <f t="shared" si="6"/>
        <v>2.9857357100000002</v>
      </c>
      <c r="CV50" s="6874">
        <f t="shared" si="54"/>
        <v>2.9857357100000002</v>
      </c>
      <c r="CW50" s="6931" t="s">
        <v>461</v>
      </c>
      <c r="CX50" s="6745">
        <f t="shared" si="14"/>
        <v>-8.8419869099999993</v>
      </c>
      <c r="CY50" s="2775"/>
      <c r="CZ50" s="590" t="str">
        <f>D50</f>
        <v>정책수수료</v>
      </c>
      <c r="DA50" s="3763"/>
      <c r="DB50" s="3763"/>
      <c r="DC50" s="3763"/>
      <c r="DD50" s="3763"/>
      <c r="DE50" s="3763"/>
      <c r="DF50" s="3763"/>
      <c r="DG50" s="3763"/>
      <c r="DH50" s="3763"/>
      <c r="DI50" s="3763"/>
      <c r="DJ50" s="3763"/>
      <c r="DK50" s="3763"/>
      <c r="DL50" s="3763"/>
      <c r="DM50" s="603">
        <f t="shared" si="27"/>
        <v>0</v>
      </c>
      <c r="DO50" s="2261"/>
      <c r="DP50" s="2261"/>
      <c r="DS50" s="2261"/>
      <c r="DT50" s="2261"/>
    </row>
    <row r="51" spans="1:124" ht="16.3" customHeight="1" x14ac:dyDescent="0.55000000000000004">
      <c r="A51" s="3751"/>
      <c r="C51" s="1028"/>
      <c r="D51" s="1028" t="s">
        <v>7</v>
      </c>
      <c r="E51" s="1028"/>
      <c r="F51" s="3941"/>
      <c r="G51" s="3941"/>
      <c r="H51" s="3941"/>
      <c r="I51" s="3941"/>
      <c r="J51" s="3941"/>
      <c r="K51" s="3941"/>
      <c r="L51" s="3941"/>
      <c r="M51" s="3941"/>
      <c r="N51" s="3941"/>
      <c r="O51" s="3941"/>
      <c r="P51" s="3941"/>
      <c r="Q51" s="3785"/>
      <c r="R51" s="3783"/>
      <c r="S51" s="3941"/>
      <c r="T51" s="3941"/>
      <c r="U51" s="3941"/>
      <c r="V51" s="3941"/>
      <c r="W51" s="3941"/>
      <c r="X51" s="3941"/>
      <c r="Y51" s="3941"/>
      <c r="Z51" s="3941"/>
      <c r="AA51" s="3941"/>
      <c r="AB51" s="3941"/>
      <c r="AC51" s="3785"/>
      <c r="AD51" s="3941"/>
      <c r="AE51" s="3941"/>
      <c r="AF51" s="3941"/>
      <c r="AG51" s="3941"/>
      <c r="AH51" s="3941"/>
      <c r="AI51" s="3941"/>
      <c r="AJ51" s="3941"/>
      <c r="AK51" s="3941"/>
      <c r="AL51" s="3941"/>
      <c r="AM51" s="3941"/>
      <c r="AN51" s="3941"/>
      <c r="AO51" s="3941"/>
      <c r="AP51" s="3784"/>
      <c r="AQ51" s="3943">
        <v>0.29537113999999998</v>
      </c>
      <c r="AR51" s="3944">
        <v>9.5788270000000009E-2</v>
      </c>
      <c r="AS51" s="3944">
        <v>4.9108499999999999E-2</v>
      </c>
      <c r="AT51" s="3944">
        <v>0</v>
      </c>
      <c r="AU51" s="3944">
        <v>1.418175E-2</v>
      </c>
      <c r="AV51" s="3944">
        <v>0.23383114999999999</v>
      </c>
      <c r="AW51" s="3944">
        <v>2.9771000000000002E-2</v>
      </c>
      <c r="AX51" s="3944">
        <v>0.25729055000000001</v>
      </c>
      <c r="AY51" s="3944">
        <v>0.11015449999999999</v>
      </c>
      <c r="AZ51" s="3944">
        <v>6.8844500000000003E-2</v>
      </c>
      <c r="BA51" s="3944">
        <v>3.4658500000000002E-2</v>
      </c>
      <c r="BB51" s="3944">
        <v>2.2773886399999999</v>
      </c>
      <c r="BC51" s="3945">
        <v>3.4663884999999999</v>
      </c>
      <c r="BD51" s="789">
        <v>0.30983725000000001</v>
      </c>
      <c r="BE51" s="3946">
        <v>0.29230450000000002</v>
      </c>
      <c r="BF51" s="3946">
        <v>0.52114006999999996</v>
      </c>
      <c r="BG51" s="789">
        <v>3.4232403699999998</v>
      </c>
      <c r="BH51" s="789">
        <v>0.51590316000000003</v>
      </c>
      <c r="BI51" s="789">
        <v>0.43800855</v>
      </c>
      <c r="BJ51" s="789">
        <v>0.50856299999999999</v>
      </c>
      <c r="BK51" s="789">
        <v>0.47788913999999999</v>
      </c>
      <c r="BL51" s="789">
        <v>0.38740226999999999</v>
      </c>
      <c r="BM51" s="789">
        <v>0.70840513999999999</v>
      </c>
      <c r="BN51" s="789">
        <v>0.46223228999999999</v>
      </c>
      <c r="BO51" s="789">
        <v>0.49018879000000004</v>
      </c>
      <c r="BP51" s="6552">
        <v>8.5351145299999978</v>
      </c>
      <c r="BQ51" s="6576">
        <v>0.63452649999999999</v>
      </c>
      <c r="BR51" s="6553">
        <v>0.49267549000000005</v>
      </c>
      <c r="BS51" s="6553">
        <v>0.56644008999999995</v>
      </c>
      <c r="BT51" s="6553">
        <v>3.2799641500000001</v>
      </c>
      <c r="BU51" s="6553">
        <v>0.50038885</v>
      </c>
      <c r="BV51" s="6553">
        <v>0.44857031999999997</v>
      </c>
      <c r="BW51" s="6553">
        <v>2.2023349899999998</v>
      </c>
      <c r="BX51" s="6553">
        <v>0.91126009999999991</v>
      </c>
      <c r="BY51" s="6553">
        <v>1.0520684499999999</v>
      </c>
      <c r="BZ51" s="6553">
        <v>1.44132715</v>
      </c>
      <c r="CA51" s="6553">
        <v>0.87244427000000002</v>
      </c>
      <c r="CB51" s="6553">
        <v>0.87807970000000002</v>
      </c>
      <c r="CC51" s="6577">
        <f t="shared" si="4"/>
        <v>13.280080060000001</v>
      </c>
      <c r="CD51" s="6551">
        <v>1.24132401</v>
      </c>
      <c r="CE51" s="6632">
        <v>0.82382411</v>
      </c>
      <c r="CF51" s="3954"/>
      <c r="CG51" s="3948"/>
      <c r="CH51" s="3948"/>
      <c r="CI51" s="3948"/>
      <c r="CJ51" s="789"/>
      <c r="CK51" s="789"/>
      <c r="CL51" s="789"/>
      <c r="CM51" s="789"/>
      <c r="CN51" s="789"/>
      <c r="CO51" s="789"/>
      <c r="CP51" s="3949" t="e">
        <f t="shared" si="52"/>
        <v>#N/A</v>
      </c>
      <c r="CQ51" s="3950">
        <f>IFERROR(HLOOKUP($E$2,$BQ$2:$CB$530,ROW()-1,0)/HLOOKUP($E$2,$DA$2:$DL$437,ROW()-1,0),0)</f>
        <v>0</v>
      </c>
      <c r="CR51" s="6873">
        <f t="shared" si="11"/>
        <v>-0.41749990000000003</v>
      </c>
      <c r="CS51" s="6874">
        <f t="shared" si="12"/>
        <v>0.33114861999999995</v>
      </c>
      <c r="CT51" s="795"/>
      <c r="CU51" s="6765">
        <f t="shared" si="6"/>
        <v>2.0651481199999999</v>
      </c>
      <c r="CV51" s="6874">
        <f t="shared" si="54"/>
        <v>2.0651481199999999</v>
      </c>
      <c r="CW51" s="6874">
        <f>IFERROR(CU51/SUM(DA51:DB51),0)</f>
        <v>0</v>
      </c>
      <c r="CX51" s="6745">
        <f t="shared" si="14"/>
        <v>0.93794612999999982</v>
      </c>
      <c r="CY51" s="2775"/>
      <c r="CZ51" s="590" t="str">
        <f>D51</f>
        <v>기타수수료</v>
      </c>
      <c r="DA51" s="3763"/>
      <c r="DB51" s="3763"/>
      <c r="DC51" s="3763"/>
      <c r="DD51" s="3763"/>
      <c r="DE51" s="3763"/>
      <c r="DF51" s="3763"/>
      <c r="DG51" s="3763"/>
      <c r="DH51" s="3763"/>
      <c r="DI51" s="3763"/>
      <c r="DJ51" s="3763"/>
      <c r="DK51" s="3763"/>
      <c r="DL51" s="3763"/>
      <c r="DM51" s="603">
        <f t="shared" si="27"/>
        <v>0</v>
      </c>
      <c r="DO51" s="2261"/>
      <c r="DP51" s="2261"/>
      <c r="DS51" s="2261"/>
      <c r="DT51" s="2261"/>
    </row>
    <row r="52" spans="1:124" ht="16.3" customHeight="1" thickBot="1" x14ac:dyDescent="0.6">
      <c r="A52" s="3955"/>
      <c r="B52" s="887"/>
      <c r="C52" s="3956" t="s">
        <v>583</v>
      </c>
      <c r="D52" s="3956"/>
      <c r="E52" s="3956"/>
      <c r="F52" s="3941"/>
      <c r="G52" s="3941"/>
      <c r="H52" s="3941"/>
      <c r="I52" s="3941"/>
      <c r="J52" s="3941"/>
      <c r="K52" s="3941"/>
      <c r="L52" s="3941"/>
      <c r="M52" s="3941"/>
      <c r="N52" s="3941"/>
      <c r="O52" s="3941"/>
      <c r="P52" s="3941"/>
      <c r="Q52" s="3785"/>
      <c r="R52" s="3783"/>
      <c r="S52" s="3941"/>
      <c r="T52" s="3941"/>
      <c r="U52" s="3941"/>
      <c r="V52" s="3941"/>
      <c r="W52" s="3941"/>
      <c r="X52" s="3941"/>
      <c r="Y52" s="3941"/>
      <c r="Z52" s="3941"/>
      <c r="AA52" s="3941"/>
      <c r="AB52" s="3941"/>
      <c r="AC52" s="3785"/>
      <c r="AD52" s="3941"/>
      <c r="AE52" s="3941"/>
      <c r="AF52" s="3941"/>
      <c r="AG52" s="3941"/>
      <c r="AH52" s="3941"/>
      <c r="AI52" s="3941"/>
      <c r="AJ52" s="3941"/>
      <c r="AK52" s="3941"/>
      <c r="AL52" s="3941"/>
      <c r="AM52" s="3941"/>
      <c r="AN52" s="3941"/>
      <c r="AO52" s="3941"/>
      <c r="AP52" s="3784"/>
      <c r="AQ52" s="3957">
        <v>18.632989200000001</v>
      </c>
      <c r="AR52" s="3958">
        <v>20.239333270000003</v>
      </c>
      <c r="AS52" s="3958">
        <v>6.3188473799999993</v>
      </c>
      <c r="AT52" s="3958">
        <v>24.460072720000003</v>
      </c>
      <c r="AU52" s="3958">
        <v>44.855440049999999</v>
      </c>
      <c r="AV52" s="3958">
        <v>8.4263455300000007</v>
      </c>
      <c r="AW52" s="3958">
        <v>6.3495019900000003</v>
      </c>
      <c r="AX52" s="3958">
        <v>22.825060000000004</v>
      </c>
      <c r="AY52" s="3958">
        <v>35.320189189999994</v>
      </c>
      <c r="AZ52" s="3958">
        <v>29.872962299999994</v>
      </c>
      <c r="BA52" s="3958">
        <v>10.175335339999998</v>
      </c>
      <c r="BB52" s="3958">
        <v>36.410977300000006</v>
      </c>
      <c r="BC52" s="3959">
        <v>263.88705427000002</v>
      </c>
      <c r="BD52" s="3960">
        <v>2.7618865000000006</v>
      </c>
      <c r="BE52" s="3960">
        <v>14.620631609999998</v>
      </c>
      <c r="BF52" s="3960">
        <v>26.679704999999998</v>
      </c>
      <c r="BG52" s="3960">
        <v>51.152232499999997</v>
      </c>
      <c r="BH52" s="3960">
        <v>25.034997789999998</v>
      </c>
      <c r="BI52" s="3960">
        <v>6.9965382199999997</v>
      </c>
      <c r="BJ52" s="3960">
        <v>11.68800276</v>
      </c>
      <c r="BK52" s="3960">
        <v>49.580862749999994</v>
      </c>
      <c r="BL52" s="3960">
        <v>53.616130630000001</v>
      </c>
      <c r="BM52" s="3960">
        <v>62.873909640000001</v>
      </c>
      <c r="BN52" s="3960">
        <v>22.057101169999999</v>
      </c>
      <c r="BO52" s="3960">
        <v>22.052345540000001</v>
      </c>
      <c r="BP52" s="6556">
        <v>349.11434410999999</v>
      </c>
      <c r="BQ52" s="6578">
        <v>22.407149049999997</v>
      </c>
      <c r="BR52" s="6554">
        <v>57.968017160000002</v>
      </c>
      <c r="BS52" s="6554">
        <v>46.962952530000003</v>
      </c>
      <c r="BT52" s="6554">
        <v>30.383485759999999</v>
      </c>
      <c r="BU52" s="6554">
        <v>40.673026289999996</v>
      </c>
      <c r="BV52" s="6554">
        <v>44.746005740000001</v>
      </c>
      <c r="BW52" s="6554">
        <v>51.936016870000003</v>
      </c>
      <c r="BX52" s="6554">
        <v>56.431616179999999</v>
      </c>
      <c r="BY52" s="6554">
        <v>52.275386359999999</v>
      </c>
      <c r="BZ52" s="6554">
        <v>40.739922040000003</v>
      </c>
      <c r="CA52" s="6554">
        <v>51.889031959999997</v>
      </c>
      <c r="CB52" s="6554">
        <v>13.74577158</v>
      </c>
      <c r="CC52" s="6579">
        <f t="shared" si="4"/>
        <v>510.15838152000003</v>
      </c>
      <c r="CD52" s="6555">
        <v>10.759891639999999</v>
      </c>
      <c r="CE52" s="6554">
        <v>26.832464999999999</v>
      </c>
      <c r="CF52" s="3962"/>
      <c r="CG52" s="3961"/>
      <c r="CH52" s="3961"/>
      <c r="CI52" s="3961"/>
      <c r="CJ52" s="3960"/>
      <c r="CK52" s="3960"/>
      <c r="CL52" s="3960"/>
      <c r="CM52" s="3960"/>
      <c r="CN52" s="3960"/>
      <c r="CO52" s="3960"/>
      <c r="CP52" s="3963" t="e">
        <f t="shared" si="52"/>
        <v>#N/A</v>
      </c>
      <c r="CQ52" s="3964">
        <f>IFERROR(HLOOKUP($E$2,$BQ$2:$CB$530,ROW()-1,0)/HLOOKUP($E$2,$DA$2:$DL$437,ROW()-1,0),0)</f>
        <v>0</v>
      </c>
      <c r="CR52" s="6875">
        <f t="shared" si="11"/>
        <v>16.07257336</v>
      </c>
      <c r="CS52" s="6876">
        <f t="shared" si="12"/>
        <v>-31.135552160000003</v>
      </c>
      <c r="CT52" s="3965"/>
      <c r="CU52" s="6932">
        <f t="shared" si="6"/>
        <v>37.592356639999998</v>
      </c>
      <c r="CV52" s="6876">
        <f t="shared" si="54"/>
        <v>37.592356639999998</v>
      </c>
      <c r="CW52" s="6876">
        <f>IFERROR(CU52/SUM(DA52:DB52),0)</f>
        <v>0</v>
      </c>
      <c r="CX52" s="6746">
        <f t="shared" si="14"/>
        <v>-42.782809570000005</v>
      </c>
      <c r="CY52" s="2775"/>
      <c r="CZ52" s="590" t="str">
        <f>C52</f>
        <v>상품매출 ⓓ</v>
      </c>
      <c r="DA52" s="3966"/>
      <c r="DB52" s="3966"/>
      <c r="DC52" s="3966"/>
      <c r="DD52" s="3966"/>
      <c r="DE52" s="3966"/>
      <c r="DF52" s="3966"/>
      <c r="DG52" s="3966"/>
      <c r="DH52" s="3966"/>
      <c r="DI52" s="3966"/>
      <c r="DJ52" s="3966"/>
      <c r="DK52" s="3966"/>
      <c r="DL52" s="3966"/>
      <c r="DM52" s="697">
        <f t="shared" si="27"/>
        <v>0</v>
      </c>
      <c r="DO52" s="2261"/>
      <c r="DP52" s="2261"/>
      <c r="DS52" s="2261"/>
      <c r="DT52" s="2261"/>
    </row>
    <row r="53" spans="1:124" ht="6" customHeight="1" x14ac:dyDescent="0.55000000000000004">
      <c r="F53" s="3453"/>
      <c r="Q53" s="1055"/>
      <c r="AD53" s="3453"/>
      <c r="AO53" s="594"/>
      <c r="AP53" s="1055"/>
      <c r="AQ53" s="3756"/>
      <c r="AR53" s="3757"/>
      <c r="AS53" s="3757"/>
      <c r="AT53" s="3757"/>
      <c r="AU53" s="3757"/>
      <c r="AV53" s="3757"/>
      <c r="AW53" s="3757"/>
      <c r="AX53" s="3757"/>
      <c r="AY53" s="3757"/>
      <c r="AZ53" s="3967"/>
      <c r="BA53" s="3967"/>
      <c r="BB53" s="3967"/>
      <c r="BC53" s="3967"/>
      <c r="BD53" s="3968"/>
      <c r="BE53" s="3969"/>
      <c r="BF53" s="3969"/>
      <c r="BG53" s="700"/>
      <c r="BH53" s="700"/>
      <c r="BI53" s="700"/>
      <c r="BJ53" s="700"/>
      <c r="BK53" s="700"/>
      <c r="BL53" s="700"/>
      <c r="BM53" s="700"/>
      <c r="BN53" s="757"/>
      <c r="BO53" s="700"/>
      <c r="BP53" s="3970"/>
      <c r="BQ53" s="3968"/>
      <c r="BR53" s="3971"/>
      <c r="BS53" s="3969"/>
      <c r="BT53" s="3972"/>
      <c r="BU53" s="700"/>
      <c r="BV53" s="700"/>
      <c r="BW53" s="700"/>
      <c r="BX53" s="3972"/>
      <c r="BY53" s="700"/>
      <c r="BZ53" s="700"/>
      <c r="CA53" s="757"/>
      <c r="CB53" s="700"/>
      <c r="CC53" s="3970"/>
      <c r="CD53" s="3968"/>
      <c r="CE53" s="3971"/>
      <c r="CF53" s="3969"/>
      <c r="CG53" s="3972"/>
      <c r="CH53" s="700"/>
      <c r="CI53" s="700"/>
      <c r="CJ53" s="700"/>
      <c r="CK53" s="3972"/>
      <c r="CL53" s="700"/>
      <c r="CM53" s="700"/>
      <c r="CN53" s="757"/>
      <c r="CO53" s="700"/>
      <c r="CP53" s="3973"/>
      <c r="CQ53" s="3974"/>
      <c r="CR53" s="6877"/>
      <c r="CS53" s="6732"/>
      <c r="CT53" s="604"/>
      <c r="CU53" s="6933"/>
      <c r="CV53" s="6747"/>
      <c r="CW53" s="6747"/>
      <c r="CX53" s="6747"/>
      <c r="CY53" s="2775"/>
      <c r="CZ53" s="590"/>
      <c r="DA53" s="603"/>
      <c r="DB53" s="603"/>
      <c r="DC53" s="603"/>
      <c r="DD53" s="603"/>
      <c r="DE53" s="603"/>
      <c r="DF53" s="603"/>
      <c r="DG53" s="603"/>
      <c r="DH53" s="603"/>
      <c r="DI53" s="603"/>
      <c r="DJ53" s="603"/>
      <c r="DK53" s="603"/>
      <c r="DL53" s="603"/>
      <c r="DM53" s="603"/>
      <c r="DO53" s="2261"/>
      <c r="DP53" s="2261"/>
      <c r="DS53" s="2261"/>
      <c r="DT53" s="2261"/>
    </row>
    <row r="54" spans="1:124" ht="16.3" customHeight="1" x14ac:dyDescent="0.55000000000000004">
      <c r="A54" s="3975" t="s">
        <v>584</v>
      </c>
      <c r="B54" s="3976"/>
      <c r="C54" s="3976"/>
      <c r="D54" s="3976"/>
      <c r="E54" s="3976"/>
      <c r="F54" s="3977">
        <v>143.88211242</v>
      </c>
      <c r="G54" s="3978">
        <v>131.18332056</v>
      </c>
      <c r="H54" s="3978">
        <v>155.81362487000001</v>
      </c>
      <c r="I54" s="3978">
        <v>136.68868355000001</v>
      </c>
      <c r="J54" s="3978">
        <v>137.49504343000001</v>
      </c>
      <c r="K54" s="3978">
        <v>156.34052274999999</v>
      </c>
      <c r="L54" s="3978">
        <v>135.66974303999999</v>
      </c>
      <c r="M54" s="3978">
        <v>131.92859816000001</v>
      </c>
      <c r="N54" s="3978">
        <v>149.85468046</v>
      </c>
      <c r="O54" s="3978">
        <v>138.03089829000001</v>
      </c>
      <c r="P54" s="3978">
        <v>156.36006673</v>
      </c>
      <c r="Q54" s="3979">
        <v>181.4355937</v>
      </c>
      <c r="R54" s="3978">
        <v>141.04376418999999</v>
      </c>
      <c r="S54" s="3978">
        <v>139.80479407999999</v>
      </c>
      <c r="T54" s="3978">
        <v>135.46952626999999</v>
      </c>
      <c r="U54" s="3978">
        <v>135.40139118000002</v>
      </c>
      <c r="V54" s="3978">
        <v>141.92304751999998</v>
      </c>
      <c r="W54" s="3978">
        <v>148.88625869000001</v>
      </c>
      <c r="X54" s="3978">
        <v>146.43290228999999</v>
      </c>
      <c r="Y54" s="3978">
        <v>141.54864293</v>
      </c>
      <c r="Z54" s="3978">
        <v>154.97947887000001</v>
      </c>
      <c r="AA54" s="3978">
        <v>155.80505952999999</v>
      </c>
      <c r="AB54" s="3978">
        <v>152.59514337000002</v>
      </c>
      <c r="AC54" s="3978">
        <v>215.10038937999997</v>
      </c>
      <c r="AD54" s="3977">
        <v>126.81</v>
      </c>
      <c r="AE54" s="3978">
        <v>150.4</v>
      </c>
      <c r="AF54" s="3978">
        <v>158.51</v>
      </c>
      <c r="AG54" s="3978">
        <v>157.62412843999999</v>
      </c>
      <c r="AH54" s="3978">
        <v>161.52933469999999</v>
      </c>
      <c r="AI54" s="3980">
        <v>161.01163136</v>
      </c>
      <c r="AJ54" s="3978">
        <v>171.14472626</v>
      </c>
      <c r="AK54" s="3978">
        <v>170.56676653</v>
      </c>
      <c r="AL54" s="3978">
        <v>186.77535222</v>
      </c>
      <c r="AM54" s="3978">
        <v>166.13841029</v>
      </c>
      <c r="AN54" s="3978">
        <v>192.59266837999999</v>
      </c>
      <c r="AO54" s="3981">
        <v>294.06921181000001</v>
      </c>
      <c r="AP54" s="3979"/>
      <c r="AQ54" s="3982">
        <v>139.14345133999998</v>
      </c>
      <c r="AR54" s="3983">
        <v>160.65396770999999</v>
      </c>
      <c r="AS54" s="3983">
        <v>161.30594378000001</v>
      </c>
      <c r="AT54" s="3983">
        <v>161.14568654999999</v>
      </c>
      <c r="AU54" s="3983">
        <v>156.22467650000002</v>
      </c>
      <c r="AV54" s="3983">
        <v>192.36782733999996</v>
      </c>
      <c r="AW54" s="3983">
        <v>173.88290607000002</v>
      </c>
      <c r="AX54" s="3983">
        <v>174.10716943999998</v>
      </c>
      <c r="AY54" s="3983">
        <v>202.84506839999997</v>
      </c>
      <c r="AZ54" s="3983">
        <v>224.68714940999996</v>
      </c>
      <c r="BA54" s="3983">
        <v>201.79039946</v>
      </c>
      <c r="BB54" s="3983">
        <v>218.67707130000002</v>
      </c>
      <c r="BC54" s="3984">
        <v>2166.8313173000001</v>
      </c>
      <c r="BD54" s="3985">
        <f>BD55+BD61+BD65+BD68+BD69</f>
        <v>175.51456575999998</v>
      </c>
      <c r="BE54" s="3986">
        <f t="shared" ref="BE54:BL54" si="75">BE55+BE61+BE65+BE68+BE69</f>
        <v>158.85872894000002</v>
      </c>
      <c r="BF54" s="3986">
        <f t="shared" si="75"/>
        <v>142.95412744999999</v>
      </c>
      <c r="BG54" s="3985">
        <f t="shared" si="75"/>
        <v>157.45023018999998</v>
      </c>
      <c r="BH54" s="3985">
        <f t="shared" si="75"/>
        <v>148.60459906</v>
      </c>
      <c r="BI54" s="3985">
        <f t="shared" si="75"/>
        <v>156.91262104999998</v>
      </c>
      <c r="BJ54" s="3985">
        <f t="shared" si="75"/>
        <v>177.12681428000002</v>
      </c>
      <c r="BK54" s="3985">
        <f t="shared" si="75"/>
        <v>174.47382424</v>
      </c>
      <c r="BL54" s="3985">
        <f t="shared" si="75"/>
        <v>214.44287901000001</v>
      </c>
      <c r="BM54" s="3985">
        <f>BM55+BM61+BM65+BM68+BM69</f>
        <v>220.34397685000005</v>
      </c>
      <c r="BN54" s="3985">
        <f>BN55+BN61+BN65+BN68+BN69</f>
        <v>176.12359667000001</v>
      </c>
      <c r="BO54" s="3985">
        <f>BO55+BO61+BO65+BO68+BO69</f>
        <v>199.89053546</v>
      </c>
      <c r="BP54" s="6589">
        <v>2102.6964989600001</v>
      </c>
      <c r="BQ54" s="6588">
        <f t="shared" ref="BQ54:CQ54" si="76">BQ55+BQ61+BQ65+BQ68+BQ69</f>
        <v>175.85235663999998</v>
      </c>
      <c r="BR54" s="6588">
        <f t="shared" si="76"/>
        <v>166.07553453000003</v>
      </c>
      <c r="BS54" s="6588">
        <f t="shared" si="76"/>
        <v>163.88899436</v>
      </c>
      <c r="BT54" s="6588">
        <f t="shared" si="76"/>
        <v>168.19889910000003</v>
      </c>
      <c r="BU54" s="6588">
        <f t="shared" si="76"/>
        <v>175.42495650999999</v>
      </c>
      <c r="BV54" s="6588">
        <f t="shared" si="76"/>
        <v>195.14809958000001</v>
      </c>
      <c r="BW54" s="6588">
        <f t="shared" si="76"/>
        <v>206.72965192000004</v>
      </c>
      <c r="BX54" s="6588">
        <f t="shared" si="76"/>
        <v>176.43204990000001</v>
      </c>
      <c r="BY54" s="6588">
        <f t="shared" si="76"/>
        <v>244.04308403000002</v>
      </c>
      <c r="BZ54" s="6588">
        <f t="shared" si="76"/>
        <v>194.00156555000001</v>
      </c>
      <c r="CA54" s="6588">
        <f t="shared" si="76"/>
        <v>218.00398693</v>
      </c>
      <c r="CB54" s="6588">
        <f t="shared" si="76"/>
        <v>274.63898396000002</v>
      </c>
      <c r="CC54" s="6589">
        <f t="shared" ref="CC54:CC76" si="77">SUM(BQ54:CB54)</f>
        <v>2358.4381630100002</v>
      </c>
      <c r="CD54" s="6588">
        <f t="shared" si="76"/>
        <v>173.80259391000001</v>
      </c>
      <c r="CE54" s="6588">
        <f t="shared" si="76"/>
        <v>179.59896954999999</v>
      </c>
      <c r="CF54" s="3987"/>
      <c r="CG54" s="3987"/>
      <c r="CH54" s="3987"/>
      <c r="CI54" s="3987"/>
      <c r="CJ54" s="3987"/>
      <c r="CK54" s="3987"/>
      <c r="CL54" s="3987"/>
      <c r="CM54" s="3987"/>
      <c r="CN54" s="3987"/>
      <c r="CO54" s="3987"/>
      <c r="CP54" s="3987" t="e">
        <f t="shared" si="76"/>
        <v>#N/A</v>
      </c>
      <c r="CQ54" s="3987">
        <f t="shared" si="76"/>
        <v>0</v>
      </c>
      <c r="CR54" s="6878">
        <f t="shared" ref="CR54:CR76" si="78">CE54-CD54</f>
        <v>5.7963756399999795</v>
      </c>
      <c r="CS54" s="6879">
        <f t="shared" ref="CS54:CS76" si="79">CE54-BR54</f>
        <v>13.523435019999965</v>
      </c>
      <c r="CT54" s="658"/>
      <c r="CU54" s="6934">
        <f t="shared" si="6"/>
        <v>353.40156346000003</v>
      </c>
      <c r="CV54" s="6935">
        <f t="shared" ref="CV54:CV76" si="80">CU54-SUM(DA54:DB54)</f>
        <v>353.40156346000003</v>
      </c>
      <c r="CW54" s="6915">
        <f>IFERROR(2-ABS(CU54/SUM(DA54:DB54)),0)</f>
        <v>0</v>
      </c>
      <c r="CX54" s="6748">
        <f t="shared" si="14"/>
        <v>11.473672290000025</v>
      </c>
      <c r="CY54" s="2775"/>
      <c r="CZ54" s="590"/>
      <c r="DA54" s="603"/>
      <c r="DB54" s="603"/>
      <c r="DC54" s="603"/>
      <c r="DD54" s="603"/>
      <c r="DE54" s="603"/>
      <c r="DF54" s="603"/>
      <c r="DG54" s="603"/>
      <c r="DH54" s="603"/>
      <c r="DI54" s="603"/>
      <c r="DJ54" s="603"/>
      <c r="DK54" s="603"/>
      <c r="DL54" s="603"/>
      <c r="DM54" s="605">
        <f t="shared" si="27"/>
        <v>0</v>
      </c>
      <c r="DO54" s="2261"/>
      <c r="DP54" s="2261"/>
      <c r="DS54" s="2261"/>
      <c r="DT54" s="2261"/>
    </row>
    <row r="55" spans="1:124" ht="16.3" customHeight="1" x14ac:dyDescent="0.55000000000000004">
      <c r="A55" s="3988"/>
      <c r="B55" s="3989" t="s">
        <v>13</v>
      </c>
      <c r="C55" s="555"/>
      <c r="D55" s="555"/>
      <c r="F55" s="3752">
        <v>86.972387690000005</v>
      </c>
      <c r="G55" s="3753">
        <v>84.774465579999998</v>
      </c>
      <c r="H55" s="3753">
        <v>108.52852195</v>
      </c>
      <c r="I55" s="3753">
        <v>89.282044130000003</v>
      </c>
      <c r="J55" s="3753">
        <v>85.283798649999994</v>
      </c>
      <c r="K55" s="3753">
        <v>105.00919845999999</v>
      </c>
      <c r="L55" s="3753">
        <v>79.164886089999996</v>
      </c>
      <c r="M55" s="3753">
        <v>78.473211300000003</v>
      </c>
      <c r="N55" s="3753">
        <v>103.41392756</v>
      </c>
      <c r="O55" s="3753">
        <v>76.779283309999997</v>
      </c>
      <c r="P55" s="3753">
        <v>77.499529089999996</v>
      </c>
      <c r="Q55" s="3754">
        <v>108.8692506</v>
      </c>
      <c r="R55" s="3753">
        <v>83.358859480000007</v>
      </c>
      <c r="S55" s="3753">
        <v>86.671013770000002</v>
      </c>
      <c r="T55" s="3753">
        <v>83.825463079999992</v>
      </c>
      <c r="U55" s="3753">
        <v>85.964488750000001</v>
      </c>
      <c r="V55" s="3753">
        <v>86.315302209999999</v>
      </c>
      <c r="W55" s="3753">
        <v>91.375866849999994</v>
      </c>
      <c r="X55" s="3753">
        <v>85.364691280000002</v>
      </c>
      <c r="Y55" s="3753">
        <v>87.21681095000001</v>
      </c>
      <c r="Z55" s="3753">
        <v>95.249118540000012</v>
      </c>
      <c r="AA55" s="3753">
        <v>85.559405040000001</v>
      </c>
      <c r="AB55" s="3753">
        <v>83.864113060000008</v>
      </c>
      <c r="AC55" s="3753">
        <v>104.78395415</v>
      </c>
      <c r="AD55" s="3752">
        <v>84.7</v>
      </c>
      <c r="AE55" s="3753">
        <v>86.667000000000002</v>
      </c>
      <c r="AF55" s="3753">
        <v>88.03</v>
      </c>
      <c r="AG55" s="3753">
        <v>89.167537690000003</v>
      </c>
      <c r="AH55" s="3753">
        <v>93.980740710000006</v>
      </c>
      <c r="AI55" s="3753">
        <v>95.808535520000007</v>
      </c>
      <c r="AJ55" s="3753">
        <v>97.417820970000008</v>
      </c>
      <c r="AK55" s="3753">
        <v>93.702486449999995</v>
      </c>
      <c r="AL55" s="3753">
        <v>105.21706278999999</v>
      </c>
      <c r="AM55" s="3753">
        <v>94.47643051</v>
      </c>
      <c r="AN55" s="3753">
        <v>132.31429047999998</v>
      </c>
      <c r="AO55" s="3755">
        <v>105.89835049000001</v>
      </c>
      <c r="AP55" s="3754"/>
      <c r="AQ55" s="3756">
        <v>95.091647929999993</v>
      </c>
      <c r="AR55" s="3757">
        <v>94.743658670000002</v>
      </c>
      <c r="AS55" s="3757">
        <v>99.149542420000003</v>
      </c>
      <c r="AT55" s="3757">
        <v>103.62954842000001</v>
      </c>
      <c r="AU55" s="3757">
        <v>97.837381730000004</v>
      </c>
      <c r="AV55" s="3757">
        <v>95.417562529999998</v>
      </c>
      <c r="AW55" s="3757">
        <v>98.554298110000005</v>
      </c>
      <c r="AX55" s="3757">
        <v>94.656709390000003</v>
      </c>
      <c r="AY55" s="3757">
        <v>103.30857765999997</v>
      </c>
      <c r="AZ55" s="3757">
        <v>94.797285789999989</v>
      </c>
      <c r="BA55" s="3757">
        <v>133.65885574000001</v>
      </c>
      <c r="BB55" s="3757">
        <v>99.561705090000018</v>
      </c>
      <c r="BC55" s="3758">
        <v>1210.4067734800001</v>
      </c>
      <c r="BD55" s="628">
        <v>91.836856350000005</v>
      </c>
      <c r="BE55" s="3990">
        <v>102.96958436000001</v>
      </c>
      <c r="BF55" s="3990">
        <v>92.632131450000003</v>
      </c>
      <c r="BG55" s="757">
        <v>101.14978487</v>
      </c>
      <c r="BH55" s="757">
        <v>98.945004819999994</v>
      </c>
      <c r="BI55" s="757">
        <v>107.07639431</v>
      </c>
      <c r="BJ55" s="757">
        <v>98.280715110000003</v>
      </c>
      <c r="BK55" s="757">
        <v>104.00814096000001</v>
      </c>
      <c r="BL55" s="757">
        <v>126.21854271000002</v>
      </c>
      <c r="BM55" s="757">
        <v>117.61418986000001</v>
      </c>
      <c r="BN55" s="757">
        <v>103.17917493</v>
      </c>
      <c r="BO55" s="757">
        <v>127.07029933</v>
      </c>
      <c r="BP55" s="6592">
        <v>1270.9808190599999</v>
      </c>
      <c r="BQ55" s="6544">
        <f t="shared" ref="BQ55:CE55" si="81">BQ56+BQ57+BQ58+BQ59</f>
        <v>103.71189967999999</v>
      </c>
      <c r="BR55" s="6590">
        <f t="shared" si="81"/>
        <v>101.80097018000001</v>
      </c>
      <c r="BS55" s="6590">
        <f t="shared" si="81"/>
        <v>114.7627521</v>
      </c>
      <c r="BT55" s="6590">
        <f t="shared" si="81"/>
        <v>109.92785092</v>
      </c>
      <c r="BU55" s="6590">
        <f t="shared" si="81"/>
        <v>108.15639520000001</v>
      </c>
      <c r="BV55" s="6591">
        <f t="shared" si="81"/>
        <v>122.74480253000002</v>
      </c>
      <c r="BW55" s="6591">
        <f t="shared" si="81"/>
        <v>112.10600040000001</v>
      </c>
      <c r="BX55" s="6591">
        <f t="shared" si="81"/>
        <v>115.64040539000001</v>
      </c>
      <c r="BY55" s="6591">
        <f t="shared" si="81"/>
        <v>143.65985110000003</v>
      </c>
      <c r="BZ55" s="6591">
        <f t="shared" si="81"/>
        <v>125.28809217000003</v>
      </c>
      <c r="CA55" s="6591">
        <f t="shared" si="81"/>
        <v>106.47823278</v>
      </c>
      <c r="CB55" s="6591">
        <f t="shared" si="81"/>
        <v>143.56679887000001</v>
      </c>
      <c r="CC55" s="6592">
        <f t="shared" si="77"/>
        <v>1407.8440513200001</v>
      </c>
      <c r="CD55" s="6544">
        <f t="shared" si="81"/>
        <v>101.29218136</v>
      </c>
      <c r="CE55" s="6590">
        <f t="shared" si="81"/>
        <v>110.96959746999998</v>
      </c>
      <c r="CF55" s="3971"/>
      <c r="CG55" s="3971"/>
      <c r="CH55" s="3971"/>
      <c r="CI55" s="3765"/>
      <c r="CJ55" s="3765"/>
      <c r="CK55" s="3765"/>
      <c r="CL55" s="3765"/>
      <c r="CM55" s="3765"/>
      <c r="CN55" s="3765"/>
      <c r="CO55" s="3765"/>
      <c r="CP55" s="3761" t="e">
        <f t="shared" ref="CP55:CP76" si="82">HLOOKUP($E$2,$BQ$2:$CB$530,ROW()-1,0)-HLOOKUP($E$2,$DA$2:$DL$437,ROW()-1,0)</f>
        <v>#N/A</v>
      </c>
      <c r="CQ55" s="3797">
        <f t="shared" ref="CQ55:CQ76" si="83">IFERROR(2-ABS(HLOOKUP($E$2,$BQ$2:$CB$530,ROW()-1,0)/HLOOKUP($E$2,$DA$2:$DL$437,ROW()-1,0)),0)</f>
        <v>0</v>
      </c>
      <c r="CR55" s="6862">
        <f t="shared" si="78"/>
        <v>9.6774161099999816</v>
      </c>
      <c r="CS55" s="6747">
        <f t="shared" si="79"/>
        <v>9.168627289999975</v>
      </c>
      <c r="CT55" s="607"/>
      <c r="CU55" s="6911">
        <f t="shared" si="6"/>
        <v>212.26177882999997</v>
      </c>
      <c r="CV55" s="6936">
        <f t="shared" si="80"/>
        <v>212.26177882999997</v>
      </c>
      <c r="CW55" s="6915">
        <f t="shared" ref="CW55:CW76" si="84">IFERROR(2-ABS(CU55/SUM(DA55:DB55)),0)</f>
        <v>0</v>
      </c>
      <c r="CX55" s="6749">
        <f t="shared" si="14"/>
        <v>6.7489089699999738</v>
      </c>
      <c r="CY55" s="2775"/>
      <c r="CZ55" s="590"/>
      <c r="DA55" s="602"/>
      <c r="DB55" s="602"/>
      <c r="DC55" s="602"/>
      <c r="DD55" s="602"/>
      <c r="DE55" s="602"/>
      <c r="DF55" s="602"/>
      <c r="DG55" s="602"/>
      <c r="DH55" s="602"/>
      <c r="DI55" s="602"/>
      <c r="DJ55" s="602"/>
      <c r="DK55" s="602"/>
      <c r="DL55" s="602"/>
      <c r="DM55" s="603">
        <f t="shared" si="27"/>
        <v>0</v>
      </c>
      <c r="DO55" s="2261"/>
      <c r="DP55" s="2261"/>
      <c r="DS55" s="2261"/>
      <c r="DT55" s="2261"/>
    </row>
    <row r="56" spans="1:124" ht="16.3" customHeight="1" x14ac:dyDescent="0.55000000000000004">
      <c r="A56" s="3988"/>
      <c r="B56" s="3992"/>
      <c r="C56" s="3992" t="s">
        <v>695</v>
      </c>
      <c r="D56" s="3992"/>
      <c r="F56" s="3752"/>
      <c r="G56" s="3753"/>
      <c r="H56" s="3753"/>
      <c r="I56" s="3753"/>
      <c r="J56" s="3753"/>
      <c r="K56" s="3753"/>
      <c r="L56" s="3753"/>
      <c r="M56" s="3753"/>
      <c r="N56" s="3753"/>
      <c r="O56" s="3753"/>
      <c r="P56" s="3753"/>
      <c r="Q56" s="3754"/>
      <c r="R56" s="3753"/>
      <c r="S56" s="3753"/>
      <c r="T56" s="3753"/>
      <c r="U56" s="3753"/>
      <c r="V56" s="3753"/>
      <c r="W56" s="3753"/>
      <c r="X56" s="3753"/>
      <c r="Y56" s="3753"/>
      <c r="Z56" s="3753"/>
      <c r="AA56" s="3753"/>
      <c r="AB56" s="3753"/>
      <c r="AC56" s="3753"/>
      <c r="AD56" s="3752"/>
      <c r="AE56" s="3753"/>
      <c r="AF56" s="3753"/>
      <c r="AG56" s="3753"/>
      <c r="AH56" s="3753"/>
      <c r="AI56" s="3753"/>
      <c r="AJ56" s="3753"/>
      <c r="AK56" s="3753"/>
      <c r="AL56" s="3753"/>
      <c r="AM56" s="3753"/>
      <c r="AN56" s="3753"/>
      <c r="AO56" s="3755"/>
      <c r="AP56" s="3754"/>
      <c r="AQ56" s="3756">
        <v>66.803488520000002</v>
      </c>
      <c r="AR56" s="3757">
        <v>67.303398230000013</v>
      </c>
      <c r="AS56" s="3757">
        <v>64.436620429999991</v>
      </c>
      <c r="AT56" s="3757">
        <v>69.036023909999997</v>
      </c>
      <c r="AU56" s="3757">
        <v>67.265941499999997</v>
      </c>
      <c r="AV56" s="3757">
        <v>66.963160599999995</v>
      </c>
      <c r="AW56" s="3757">
        <v>69.217029939999989</v>
      </c>
      <c r="AX56" s="3757">
        <v>66.971230299999988</v>
      </c>
      <c r="AY56" s="3757">
        <v>66.352938899999984</v>
      </c>
      <c r="AZ56" s="3757">
        <v>66.343586999999985</v>
      </c>
      <c r="BA56" s="3757">
        <v>102.4968551</v>
      </c>
      <c r="BB56" s="3757">
        <v>73.704964760000024</v>
      </c>
      <c r="BC56" s="3758">
        <v>846.89523918999987</v>
      </c>
      <c r="BD56" s="628">
        <v>68.55635217999999</v>
      </c>
      <c r="BE56" s="3990">
        <v>69.924755279999999</v>
      </c>
      <c r="BF56" s="3990">
        <v>62.772533680000002</v>
      </c>
      <c r="BG56" s="757">
        <v>70.373974379999993</v>
      </c>
      <c r="BH56" s="757">
        <v>70.250598080000003</v>
      </c>
      <c r="BI56" s="757">
        <v>75.960434679999992</v>
      </c>
      <c r="BJ56" s="757">
        <v>69.170666620000006</v>
      </c>
      <c r="BK56" s="757">
        <v>70.176602740000007</v>
      </c>
      <c r="BL56" s="757">
        <v>87.531549939999991</v>
      </c>
      <c r="BM56" s="757">
        <v>85.387725939999996</v>
      </c>
      <c r="BN56" s="757">
        <v>71.571217340000004</v>
      </c>
      <c r="BO56" s="757">
        <v>77.67426583999999</v>
      </c>
      <c r="BP56" s="6592">
        <v>879.35067669999989</v>
      </c>
      <c r="BQ56" s="6544">
        <v>73.920033839999988</v>
      </c>
      <c r="BR56" s="6590">
        <v>75.645476740000007</v>
      </c>
      <c r="BS56" s="6593">
        <v>79.300362370000002</v>
      </c>
      <c r="BT56" s="6594">
        <v>76.339119740000001</v>
      </c>
      <c r="BU56" s="6594">
        <v>75.272432440000003</v>
      </c>
      <c r="BV56" s="6544">
        <v>74.957407240000009</v>
      </c>
      <c r="BW56" s="6538">
        <v>74.639421940000005</v>
      </c>
      <c r="BX56" s="6544">
        <v>74.248527940000002</v>
      </c>
      <c r="BY56" s="6538">
        <v>103.21339904</v>
      </c>
      <c r="BZ56" s="6538">
        <v>91.738943140000018</v>
      </c>
      <c r="CA56" s="6538">
        <v>75.114585140000003</v>
      </c>
      <c r="CB56" s="6538">
        <v>84.059313860000003</v>
      </c>
      <c r="CC56" s="6592">
        <f t="shared" si="77"/>
        <v>958.44902343000012</v>
      </c>
      <c r="CD56" s="6544">
        <v>75.736573719999996</v>
      </c>
      <c r="CE56" s="6590">
        <v>77.565516189999983</v>
      </c>
      <c r="CF56" s="3990"/>
      <c r="CG56" s="3993"/>
      <c r="CH56" s="3993"/>
      <c r="CI56" s="3813"/>
      <c r="CJ56" s="596"/>
      <c r="CK56" s="3813"/>
      <c r="CL56" s="596"/>
      <c r="CM56" s="596"/>
      <c r="CN56" s="596"/>
      <c r="CO56" s="596"/>
      <c r="CP56" s="3761" t="e">
        <f t="shared" si="82"/>
        <v>#N/A</v>
      </c>
      <c r="CQ56" s="3797">
        <f t="shared" si="83"/>
        <v>0</v>
      </c>
      <c r="CR56" s="6862">
        <f t="shared" si="78"/>
        <v>1.828942469999987</v>
      </c>
      <c r="CS56" s="6747">
        <f t="shared" si="79"/>
        <v>1.920039449999976</v>
      </c>
      <c r="CT56" s="607"/>
      <c r="CU56" s="6911">
        <f t="shared" si="6"/>
        <v>153.30208990999998</v>
      </c>
      <c r="CV56" s="6936">
        <f t="shared" si="80"/>
        <v>153.30208990999998</v>
      </c>
      <c r="CW56" s="6915">
        <f t="shared" si="84"/>
        <v>0</v>
      </c>
      <c r="CX56" s="6749">
        <f t="shared" si="14"/>
        <v>3.7365793299999837</v>
      </c>
      <c r="CY56" s="2775"/>
      <c r="CZ56" s="590"/>
      <c r="DA56" s="602"/>
      <c r="DB56" s="602"/>
      <c r="DC56" s="602"/>
      <c r="DD56" s="602"/>
      <c r="DE56" s="602"/>
      <c r="DF56" s="602"/>
      <c r="DG56" s="602"/>
      <c r="DH56" s="602"/>
      <c r="DI56" s="602"/>
      <c r="DJ56" s="602"/>
      <c r="DK56" s="602"/>
      <c r="DL56" s="602"/>
      <c r="DM56" s="603">
        <f t="shared" si="27"/>
        <v>0</v>
      </c>
      <c r="DO56" s="2261"/>
      <c r="DP56" s="2261"/>
      <c r="DS56" s="2261"/>
      <c r="DT56" s="2261"/>
    </row>
    <row r="57" spans="1:124" ht="16.3" customHeight="1" x14ac:dyDescent="0.55000000000000004">
      <c r="A57" s="3988"/>
      <c r="B57" s="3992"/>
      <c r="C57" s="3992" t="s">
        <v>701</v>
      </c>
      <c r="D57" s="3992"/>
      <c r="F57" s="3752"/>
      <c r="G57" s="3753"/>
      <c r="H57" s="3753"/>
      <c r="I57" s="3753"/>
      <c r="J57" s="3753"/>
      <c r="K57" s="3753"/>
      <c r="L57" s="3753"/>
      <c r="M57" s="3753"/>
      <c r="N57" s="3753"/>
      <c r="O57" s="3753"/>
      <c r="P57" s="3753"/>
      <c r="Q57" s="3754"/>
      <c r="R57" s="3753"/>
      <c r="S57" s="3753"/>
      <c r="T57" s="3753"/>
      <c r="U57" s="3753"/>
      <c r="V57" s="3753"/>
      <c r="W57" s="3753"/>
      <c r="X57" s="3753"/>
      <c r="Y57" s="3753"/>
      <c r="Z57" s="3753"/>
      <c r="AA57" s="3753"/>
      <c r="AB57" s="3753"/>
      <c r="AC57" s="3753"/>
      <c r="AD57" s="3752"/>
      <c r="AE57" s="3753"/>
      <c r="AF57" s="3753"/>
      <c r="AG57" s="3753"/>
      <c r="AH57" s="3753"/>
      <c r="AI57" s="3753"/>
      <c r="AJ57" s="3753"/>
      <c r="AK57" s="3753"/>
      <c r="AL57" s="3753"/>
      <c r="AM57" s="3753"/>
      <c r="AN57" s="3753"/>
      <c r="AO57" s="3755"/>
      <c r="AP57" s="3754"/>
      <c r="AQ57" s="3756">
        <v>9.0370430000000002E-2</v>
      </c>
      <c r="AR57" s="3757">
        <v>1.3526564300000001</v>
      </c>
      <c r="AS57" s="3757">
        <v>0.11977043</v>
      </c>
      <c r="AT57" s="3757">
        <v>1.3193751900000001</v>
      </c>
      <c r="AU57" s="3757">
        <v>0.10357043</v>
      </c>
      <c r="AV57" s="3757">
        <v>0.10597042999999999</v>
      </c>
      <c r="AW57" s="3757">
        <v>0.10477043</v>
      </c>
      <c r="AX57" s="3757">
        <v>0.82647042999999998</v>
      </c>
      <c r="AY57" s="3757">
        <v>0.10597042999999999</v>
      </c>
      <c r="AZ57" s="3757">
        <v>1.5557009199999998</v>
      </c>
      <c r="BA57" s="3757">
        <v>0.18464723999999999</v>
      </c>
      <c r="BB57" s="3757">
        <v>2.1943182700000001</v>
      </c>
      <c r="BC57" s="3758">
        <v>8.0635910600000003</v>
      </c>
      <c r="BD57" s="628">
        <v>0.10320023</v>
      </c>
      <c r="BE57" s="3990">
        <v>0.15840023</v>
      </c>
      <c r="BF57" s="3990">
        <v>0.15840023</v>
      </c>
      <c r="BG57" s="757">
        <v>1.3677819600000001</v>
      </c>
      <c r="BH57" s="757">
        <v>0.15840023</v>
      </c>
      <c r="BI57" s="757">
        <v>0.16240023000000001</v>
      </c>
      <c r="BJ57" s="757">
        <v>8.6400229999999995E-2</v>
      </c>
      <c r="BK57" s="757">
        <v>0.32833488</v>
      </c>
      <c r="BL57" s="757">
        <v>1.39832527</v>
      </c>
      <c r="BM57" s="757">
        <v>0.21840022999999997</v>
      </c>
      <c r="BN57" s="757">
        <v>1.51931517</v>
      </c>
      <c r="BO57" s="757">
        <v>1.41862742</v>
      </c>
      <c r="BP57" s="6592">
        <v>7.07798631</v>
      </c>
      <c r="BQ57" s="6536">
        <v>1.15603053</v>
      </c>
      <c r="BR57" s="6590">
        <v>0.11543053</v>
      </c>
      <c r="BS57" s="6593">
        <v>9.7430530000000001E-2</v>
      </c>
      <c r="BT57" s="6595">
        <v>0.30543052999999998</v>
      </c>
      <c r="BU57" s="6595">
        <v>8.6430530000000005E-2</v>
      </c>
      <c r="BV57" s="6536">
        <v>0.21243053000000001</v>
      </c>
      <c r="BW57" s="6538">
        <v>0.10143053</v>
      </c>
      <c r="BX57" s="6536">
        <v>8.5430530000000005E-2</v>
      </c>
      <c r="BY57" s="6538">
        <v>0.42693052999999997</v>
      </c>
      <c r="BZ57" s="6538">
        <v>0.17043053</v>
      </c>
      <c r="CA57" s="6538">
        <v>0.27643053000000001</v>
      </c>
      <c r="CB57" s="6538">
        <v>3.9605762800000002</v>
      </c>
      <c r="CC57" s="6592">
        <f t="shared" si="77"/>
        <v>6.9944121099999998</v>
      </c>
      <c r="CD57" s="6536">
        <v>0.12700043999999999</v>
      </c>
      <c r="CE57" s="6590">
        <v>0.12600043999999999</v>
      </c>
      <c r="CF57" s="3990"/>
      <c r="CG57" s="3994"/>
      <c r="CH57" s="3994"/>
      <c r="CI57" s="3760"/>
      <c r="CJ57" s="596"/>
      <c r="CK57" s="3760"/>
      <c r="CL57" s="596"/>
      <c r="CM57" s="596"/>
      <c r="CN57" s="596"/>
      <c r="CO57" s="596"/>
      <c r="CP57" s="3761" t="e">
        <f t="shared" si="82"/>
        <v>#N/A</v>
      </c>
      <c r="CQ57" s="3797">
        <f t="shared" si="83"/>
        <v>0</v>
      </c>
      <c r="CR57" s="6862">
        <f t="shared" si="78"/>
        <v>-1.0000000000000009E-3</v>
      </c>
      <c r="CS57" s="6747">
        <f t="shared" si="79"/>
        <v>1.0569909999999988E-2</v>
      </c>
      <c r="CT57" s="607"/>
      <c r="CU57" s="6911">
        <f t="shared" si="6"/>
        <v>0.25300087999999998</v>
      </c>
      <c r="CV57" s="6936">
        <f t="shared" si="80"/>
        <v>0.25300087999999998</v>
      </c>
      <c r="CW57" s="6915">
        <f t="shared" si="84"/>
        <v>0</v>
      </c>
      <c r="CX57" s="6749">
        <f t="shared" si="14"/>
        <v>-1.0184601799999999</v>
      </c>
      <c r="CY57" s="2775"/>
      <c r="CZ57" s="590"/>
      <c r="DA57" s="602"/>
      <c r="DB57" s="602"/>
      <c r="DC57" s="602"/>
      <c r="DD57" s="602"/>
      <c r="DE57" s="602"/>
      <c r="DF57" s="602"/>
      <c r="DG57" s="602"/>
      <c r="DH57" s="602"/>
      <c r="DI57" s="602"/>
      <c r="DJ57" s="602"/>
      <c r="DK57" s="602"/>
      <c r="DL57" s="602"/>
      <c r="DM57" s="603">
        <f t="shared" si="27"/>
        <v>0</v>
      </c>
      <c r="DO57" s="2261"/>
      <c r="DP57" s="2261"/>
      <c r="DS57" s="2261"/>
      <c r="DT57" s="2261"/>
    </row>
    <row r="58" spans="1:124" ht="16.3" customHeight="1" x14ac:dyDescent="0.45">
      <c r="A58" s="3988"/>
      <c r="B58" s="3992"/>
      <c r="C58" s="3992" t="s">
        <v>704</v>
      </c>
      <c r="D58" s="3992"/>
      <c r="F58" s="3752"/>
      <c r="G58" s="3753"/>
      <c r="H58" s="3753"/>
      <c r="I58" s="3753"/>
      <c r="J58" s="3753"/>
      <c r="K58" s="3753"/>
      <c r="L58" s="3753"/>
      <c r="M58" s="3753"/>
      <c r="N58" s="3753"/>
      <c r="O58" s="3753"/>
      <c r="P58" s="3753"/>
      <c r="Q58" s="3754"/>
      <c r="R58" s="3753"/>
      <c r="S58" s="3753"/>
      <c r="T58" s="3753"/>
      <c r="U58" s="3753"/>
      <c r="V58" s="3753"/>
      <c r="W58" s="3753"/>
      <c r="X58" s="3753"/>
      <c r="Y58" s="3753"/>
      <c r="Z58" s="3753"/>
      <c r="AA58" s="3753"/>
      <c r="AB58" s="3753"/>
      <c r="AC58" s="3753"/>
      <c r="AD58" s="3752"/>
      <c r="AE58" s="3753"/>
      <c r="AF58" s="3753"/>
      <c r="AG58" s="3753"/>
      <c r="AH58" s="3753"/>
      <c r="AI58" s="3753"/>
      <c r="AJ58" s="3753"/>
      <c r="AK58" s="3753"/>
      <c r="AL58" s="3753"/>
      <c r="AM58" s="3753"/>
      <c r="AN58" s="3753"/>
      <c r="AO58" s="3755"/>
      <c r="AP58" s="3754"/>
      <c r="AQ58" s="3756">
        <v>6.6826682400000008</v>
      </c>
      <c r="AR58" s="3757">
        <v>6.6826682400000008</v>
      </c>
      <c r="AS58" s="3757">
        <v>6.6826682400000008</v>
      </c>
      <c r="AT58" s="3757">
        <v>6.6826682400000008</v>
      </c>
      <c r="AU58" s="3757">
        <v>6.6826682400000008</v>
      </c>
      <c r="AV58" s="3757">
        <v>6.6826682400000008</v>
      </c>
      <c r="AW58" s="3757">
        <v>6.6826682400000008</v>
      </c>
      <c r="AX58" s="3757">
        <v>6.6826682400000008</v>
      </c>
      <c r="AY58" s="3757">
        <v>6.6826682400000008</v>
      </c>
      <c r="AZ58" s="3757">
        <v>6.6826682400000008</v>
      </c>
      <c r="BA58" s="3757">
        <v>6.6826682400000008</v>
      </c>
      <c r="BB58" s="3757">
        <v>-1.30996318</v>
      </c>
      <c r="BC58" s="3758">
        <v>72.199387459999997</v>
      </c>
      <c r="BD58" s="628">
        <v>6.4657751899999996</v>
      </c>
      <c r="BE58" s="3990">
        <v>6.4657751899999996</v>
      </c>
      <c r="BF58" s="3990">
        <v>6.4657751899999996</v>
      </c>
      <c r="BG58" s="757">
        <v>6.4657751899999996</v>
      </c>
      <c r="BH58" s="757">
        <v>6.4657751899999996</v>
      </c>
      <c r="BI58" s="757">
        <v>6.4657751899999996</v>
      </c>
      <c r="BJ58" s="757">
        <v>6.4657751899999996</v>
      </c>
      <c r="BK58" s="757">
        <v>6.4657751899999996</v>
      </c>
      <c r="BL58" s="757">
        <v>6.4657751899999996</v>
      </c>
      <c r="BM58" s="757">
        <v>6.4657751900000004</v>
      </c>
      <c r="BN58" s="757">
        <v>6.4657751899999996</v>
      </c>
      <c r="BO58" s="3995">
        <v>12.523563100000001</v>
      </c>
      <c r="BP58" s="6596">
        <v>83.647090190000014</v>
      </c>
      <c r="BQ58" s="6536">
        <v>7.43627707</v>
      </c>
      <c r="BR58" s="6590">
        <v>7.43627707</v>
      </c>
      <c r="BS58" s="6593">
        <v>7.43627707</v>
      </c>
      <c r="BT58" s="6595">
        <v>7.43627707</v>
      </c>
      <c r="BU58" s="6595">
        <v>7.43627707</v>
      </c>
      <c r="BV58" s="6536">
        <v>7.43627707</v>
      </c>
      <c r="BW58" s="6538">
        <v>7.43627707</v>
      </c>
      <c r="BX58" s="6536">
        <v>7.43627707</v>
      </c>
      <c r="BY58" s="6538">
        <v>7.43627707</v>
      </c>
      <c r="BZ58" s="6538">
        <v>7.43627707</v>
      </c>
      <c r="CA58" s="6538">
        <v>7.43627707</v>
      </c>
      <c r="CB58" s="6538">
        <v>20.84093601</v>
      </c>
      <c r="CC58" s="6596">
        <f t="shared" si="77"/>
        <v>102.63998378000002</v>
      </c>
      <c r="CD58" s="6536">
        <v>7.1066311399999993</v>
      </c>
      <c r="CE58" s="6590">
        <v>7.1066311399999993</v>
      </c>
      <c r="CF58" s="3990"/>
      <c r="CG58" s="3994"/>
      <c r="CH58" s="3994"/>
      <c r="CI58" s="3760"/>
      <c r="CJ58" s="596"/>
      <c r="CK58" s="3760"/>
      <c r="CL58" s="596"/>
      <c r="CM58" s="596"/>
      <c r="CN58" s="596"/>
      <c r="CO58" s="596"/>
      <c r="CP58" s="3761" t="e">
        <f t="shared" si="82"/>
        <v>#N/A</v>
      </c>
      <c r="CQ58" s="3797">
        <f t="shared" si="83"/>
        <v>0</v>
      </c>
      <c r="CR58" s="6862">
        <f t="shared" si="78"/>
        <v>0</v>
      </c>
      <c r="CS58" s="6747">
        <f t="shared" si="79"/>
        <v>-0.32964593000000075</v>
      </c>
      <c r="CT58" s="607"/>
      <c r="CU58" s="6911">
        <f t="shared" si="6"/>
        <v>14.213262279999999</v>
      </c>
      <c r="CV58" s="6936">
        <f t="shared" si="80"/>
        <v>14.213262279999999</v>
      </c>
      <c r="CW58" s="6915">
        <f t="shared" si="84"/>
        <v>0</v>
      </c>
      <c r="CX58" s="6749">
        <f t="shared" si="14"/>
        <v>-0.65929186000000151</v>
      </c>
      <c r="CY58" s="2775"/>
      <c r="CZ58" s="590"/>
      <c r="DA58" s="602"/>
      <c r="DB58" s="602"/>
      <c r="DC58" s="602"/>
      <c r="DD58" s="602"/>
      <c r="DE58" s="602"/>
      <c r="DF58" s="602"/>
      <c r="DG58" s="602"/>
      <c r="DH58" s="602"/>
      <c r="DI58" s="602"/>
      <c r="DJ58" s="602"/>
      <c r="DK58" s="602"/>
      <c r="DL58" s="602"/>
      <c r="DM58" s="603">
        <f t="shared" si="27"/>
        <v>0</v>
      </c>
      <c r="DO58" s="2261"/>
      <c r="DP58" s="2261"/>
      <c r="DS58" s="2261"/>
      <c r="DT58" s="2261"/>
    </row>
    <row r="59" spans="1:124" ht="16.3" customHeight="1" x14ac:dyDescent="0.45">
      <c r="A59" s="3988"/>
      <c r="B59" s="3992"/>
      <c r="C59" s="3992" t="s">
        <v>680</v>
      </c>
      <c r="D59" s="3992"/>
      <c r="F59" s="3752"/>
      <c r="G59" s="3753"/>
      <c r="H59" s="3753"/>
      <c r="I59" s="3753"/>
      <c r="J59" s="3753"/>
      <c r="K59" s="3753"/>
      <c r="L59" s="3753"/>
      <c r="M59" s="3753"/>
      <c r="N59" s="3753"/>
      <c r="O59" s="3753"/>
      <c r="P59" s="3753"/>
      <c r="Q59" s="3754"/>
      <c r="R59" s="3753"/>
      <c r="S59" s="3753"/>
      <c r="T59" s="3753"/>
      <c r="U59" s="3753"/>
      <c r="V59" s="3753"/>
      <c r="W59" s="3753"/>
      <c r="X59" s="3753"/>
      <c r="Y59" s="3753"/>
      <c r="Z59" s="3753"/>
      <c r="AA59" s="3753"/>
      <c r="AB59" s="3753"/>
      <c r="AC59" s="3753"/>
      <c r="AD59" s="3752"/>
      <c r="AE59" s="3753"/>
      <c r="AF59" s="3753"/>
      <c r="AG59" s="3753"/>
      <c r="AH59" s="3753"/>
      <c r="AI59" s="3753"/>
      <c r="AJ59" s="3753"/>
      <c r="AK59" s="3753"/>
      <c r="AL59" s="3753"/>
      <c r="AM59" s="3753"/>
      <c r="AN59" s="3753"/>
      <c r="AO59" s="3755"/>
      <c r="AP59" s="3754"/>
      <c r="AQ59" s="3756">
        <v>21.51512074</v>
      </c>
      <c r="AR59" s="3757">
        <v>19.404935769999998</v>
      </c>
      <c r="AS59" s="3757">
        <v>27.910483319999997</v>
      </c>
      <c r="AT59" s="3757">
        <v>26.591481079999998</v>
      </c>
      <c r="AU59" s="3757">
        <v>23.785201560000001</v>
      </c>
      <c r="AV59" s="3757">
        <v>21.665763259999999</v>
      </c>
      <c r="AW59" s="3757">
        <v>22.549829500000001</v>
      </c>
      <c r="AX59" s="3757">
        <v>20.176340419999999</v>
      </c>
      <c r="AY59" s="3757">
        <v>30.167000090000002</v>
      </c>
      <c r="AZ59" s="3757">
        <v>20.215329629999999</v>
      </c>
      <c r="BA59" s="3757">
        <v>24.29468516</v>
      </c>
      <c r="BB59" s="3757">
        <v>24.972385239999998</v>
      </c>
      <c r="BC59" s="3758">
        <v>283.24855576999994</v>
      </c>
      <c r="BD59" s="628">
        <v>16.711528749999999</v>
      </c>
      <c r="BE59" s="3990">
        <v>26.420653659999999</v>
      </c>
      <c r="BF59" s="3990">
        <v>23.23542235</v>
      </c>
      <c r="BG59" s="757">
        <v>22.942253340000001</v>
      </c>
      <c r="BH59" s="757">
        <v>22.070231320000001</v>
      </c>
      <c r="BI59" s="757">
        <v>24.487784210000001</v>
      </c>
      <c r="BJ59" s="757">
        <v>22.557873069999999</v>
      </c>
      <c r="BK59" s="757">
        <v>27.03742815</v>
      </c>
      <c r="BL59" s="757">
        <v>30.82289231</v>
      </c>
      <c r="BM59" s="757">
        <v>25.67619487</v>
      </c>
      <c r="BN59" s="757">
        <v>23.622867230000001</v>
      </c>
      <c r="BO59" s="3996">
        <v>35.453842969999997</v>
      </c>
      <c r="BP59" s="6596">
        <v>301.03897223000001</v>
      </c>
      <c r="BQ59" s="6536">
        <v>21.199558240000002</v>
      </c>
      <c r="BR59" s="6590">
        <v>18.60378584</v>
      </c>
      <c r="BS59" s="6593">
        <v>27.928682129999999</v>
      </c>
      <c r="BT59" s="6595">
        <v>25.847023579999998</v>
      </c>
      <c r="BU59" s="6595">
        <v>25.361255159999999</v>
      </c>
      <c r="BV59" s="6536">
        <v>40.138687689999998</v>
      </c>
      <c r="BW59" s="6538">
        <v>29.92887086</v>
      </c>
      <c r="BX59" s="6536">
        <v>33.870169850000003</v>
      </c>
      <c r="BY59" s="6538">
        <v>32.583244460000003</v>
      </c>
      <c r="BZ59" s="6538">
        <v>25.942441429999999</v>
      </c>
      <c r="CA59" s="6538">
        <v>23.650940039999998</v>
      </c>
      <c r="CB59" s="6538">
        <v>34.705972719999998</v>
      </c>
      <c r="CC59" s="6596">
        <f t="shared" si="77"/>
        <v>339.76063199999999</v>
      </c>
      <c r="CD59" s="6536">
        <v>18.321976060000001</v>
      </c>
      <c r="CE59" s="6590">
        <v>26.171449699999997</v>
      </c>
      <c r="CF59" s="3990"/>
      <c r="CG59" s="3994"/>
      <c r="CH59" s="3994"/>
      <c r="CI59" s="3760"/>
      <c r="CJ59" s="596"/>
      <c r="CK59" s="3760"/>
      <c r="CL59" s="596"/>
      <c r="CM59" s="596"/>
      <c r="CN59" s="596"/>
      <c r="CO59" s="596"/>
      <c r="CP59" s="3761" t="e">
        <f t="shared" si="82"/>
        <v>#N/A</v>
      </c>
      <c r="CQ59" s="3797">
        <f t="shared" si="83"/>
        <v>0</v>
      </c>
      <c r="CR59" s="6862">
        <f t="shared" si="78"/>
        <v>7.8494736399999958</v>
      </c>
      <c r="CS59" s="6747">
        <f t="shared" si="79"/>
        <v>7.5676638599999961</v>
      </c>
      <c r="CT59" s="607"/>
      <c r="CU59" s="6911">
        <f t="shared" si="6"/>
        <v>44.493425759999994</v>
      </c>
      <c r="CV59" s="6936">
        <f t="shared" si="80"/>
        <v>44.493425759999994</v>
      </c>
      <c r="CW59" s="6915">
        <f t="shared" si="84"/>
        <v>0</v>
      </c>
      <c r="CX59" s="6749">
        <f t="shared" si="14"/>
        <v>4.6900816799999916</v>
      </c>
      <c r="CY59" s="2775"/>
      <c r="CZ59" s="590"/>
      <c r="DA59" s="602"/>
      <c r="DB59" s="602"/>
      <c r="DC59" s="602"/>
      <c r="DD59" s="602"/>
      <c r="DE59" s="602"/>
      <c r="DF59" s="602"/>
      <c r="DG59" s="602"/>
      <c r="DH59" s="602"/>
      <c r="DI59" s="602"/>
      <c r="DJ59" s="602"/>
      <c r="DK59" s="602"/>
      <c r="DL59" s="602"/>
      <c r="DM59" s="603">
        <f t="shared" si="27"/>
        <v>0</v>
      </c>
      <c r="DO59" s="2261"/>
      <c r="DP59" s="2261"/>
      <c r="DS59" s="2261"/>
      <c r="DT59" s="2261"/>
    </row>
    <row r="60" spans="1:124" ht="16.3" customHeight="1" thickBot="1" x14ac:dyDescent="0.6">
      <c r="A60" s="3988"/>
      <c r="B60" s="3997"/>
      <c r="C60" s="3998" t="s">
        <v>703</v>
      </c>
      <c r="D60" s="3997"/>
      <c r="E60" s="3999"/>
      <c r="F60" s="4000"/>
      <c r="G60" s="4001"/>
      <c r="H60" s="4001"/>
      <c r="I60" s="4001"/>
      <c r="J60" s="4001"/>
      <c r="K60" s="4001"/>
      <c r="L60" s="4001"/>
      <c r="M60" s="4001"/>
      <c r="N60" s="4001"/>
      <c r="O60" s="4001"/>
      <c r="P60" s="4001"/>
      <c r="Q60" s="4002"/>
      <c r="R60" s="4001"/>
      <c r="S60" s="4001"/>
      <c r="T60" s="4001"/>
      <c r="U60" s="4001"/>
      <c r="V60" s="4001"/>
      <c r="W60" s="4001"/>
      <c r="X60" s="4001"/>
      <c r="Y60" s="4001"/>
      <c r="Z60" s="4001"/>
      <c r="AA60" s="4001"/>
      <c r="AB60" s="4001"/>
      <c r="AC60" s="4001"/>
      <c r="AD60" s="4000"/>
      <c r="AE60" s="4001"/>
      <c r="AF60" s="4001"/>
      <c r="AG60" s="4001"/>
      <c r="AH60" s="4001"/>
      <c r="AI60" s="4001"/>
      <c r="AJ60" s="4001"/>
      <c r="AK60" s="4001"/>
      <c r="AL60" s="4001"/>
      <c r="AM60" s="4001"/>
      <c r="AN60" s="4001"/>
      <c r="AO60" s="4001"/>
      <c r="AP60" s="4002"/>
      <c r="AQ60" s="4003">
        <v>12.937913019999998</v>
      </c>
      <c r="AR60" s="4004">
        <v>10.866855149999999</v>
      </c>
      <c r="AS60" s="4004">
        <v>18.280156350000002</v>
      </c>
      <c r="AT60" s="4004">
        <v>14.663401110000001</v>
      </c>
      <c r="AU60" s="4004">
        <v>10.721816200000001</v>
      </c>
      <c r="AV60" s="4004">
        <v>11.557472699999998</v>
      </c>
      <c r="AW60" s="4004">
        <v>11.23043884</v>
      </c>
      <c r="AX60" s="4004">
        <v>8.3603743300000009</v>
      </c>
      <c r="AY60" s="4004">
        <v>16.22810716</v>
      </c>
      <c r="AZ60" s="4004">
        <v>10.13763537</v>
      </c>
      <c r="BA60" s="4004">
        <v>13.544251859999999</v>
      </c>
      <c r="BB60" s="4004">
        <v>6.2678040799999994</v>
      </c>
      <c r="BC60" s="4005">
        <v>144.79622616999998</v>
      </c>
      <c r="BD60" s="4006">
        <v>7.5321794200000003</v>
      </c>
      <c r="BE60" s="4007">
        <v>14.454307529999999</v>
      </c>
      <c r="BF60" s="4007">
        <v>12.5205404</v>
      </c>
      <c r="BG60" s="4007">
        <v>10.60196972</v>
      </c>
      <c r="BH60" s="4007">
        <v>11.551881180000001</v>
      </c>
      <c r="BI60" s="4007">
        <v>12.936837990000001</v>
      </c>
      <c r="BJ60" s="4007">
        <v>11.875371250000001</v>
      </c>
      <c r="BK60" s="4007">
        <v>15.28501814</v>
      </c>
      <c r="BL60" s="4007">
        <v>16.474593800000001</v>
      </c>
      <c r="BM60" s="4007">
        <v>14.30125425</v>
      </c>
      <c r="BN60" s="4007">
        <v>12.21380055</v>
      </c>
      <c r="BO60" s="4007">
        <v>10.545793489999999</v>
      </c>
      <c r="BP60" s="6602">
        <v>150.29354772000002</v>
      </c>
      <c r="BQ60" s="6597">
        <v>9.649958250000001</v>
      </c>
      <c r="BR60" s="6598">
        <v>6.3796055699999998</v>
      </c>
      <c r="BS60" s="6599">
        <v>15.6411905</v>
      </c>
      <c r="BT60" s="6600">
        <v>12.396531400000001</v>
      </c>
      <c r="BU60" s="6600">
        <v>13.046445010000001</v>
      </c>
      <c r="BV60" s="6597">
        <v>16.806991669999999</v>
      </c>
      <c r="BW60" s="6601">
        <v>18.78525994</v>
      </c>
      <c r="BX60" s="6597">
        <v>21.300872160000001</v>
      </c>
      <c r="BY60" s="6601">
        <v>14.669675110000002</v>
      </c>
      <c r="BZ60" s="6601">
        <v>15.115384939999998</v>
      </c>
      <c r="CA60" s="6601">
        <v>12.452340399999999</v>
      </c>
      <c r="CB60" s="6601">
        <v>9.8883229999999998</v>
      </c>
      <c r="CC60" s="6602">
        <f t="shared" si="77"/>
        <v>166.13257794999998</v>
      </c>
      <c r="CD60" s="6597">
        <v>8.7674064899999991</v>
      </c>
      <c r="CE60" s="6598">
        <v>12.494701510000001</v>
      </c>
      <c r="CF60" s="4007"/>
      <c r="CG60" s="4009"/>
      <c r="CH60" s="4009"/>
      <c r="CI60" s="4008"/>
      <c r="CJ60" s="4010"/>
      <c r="CK60" s="4008"/>
      <c r="CL60" s="4010"/>
      <c r="CM60" s="4010"/>
      <c r="CN60" s="4010"/>
      <c r="CO60" s="4010"/>
      <c r="CP60" s="4011" t="e">
        <f t="shared" si="82"/>
        <v>#N/A</v>
      </c>
      <c r="CQ60" s="3797">
        <f t="shared" si="83"/>
        <v>0</v>
      </c>
      <c r="CR60" s="6880">
        <f t="shared" si="78"/>
        <v>3.7272950200000015</v>
      </c>
      <c r="CS60" s="6881">
        <f t="shared" si="79"/>
        <v>6.1150959400000007</v>
      </c>
      <c r="CT60" s="4012"/>
      <c r="CU60" s="6937">
        <f t="shared" si="6"/>
        <v>21.262107999999998</v>
      </c>
      <c r="CV60" s="6938">
        <f t="shared" si="80"/>
        <v>21.262107999999998</v>
      </c>
      <c r="CW60" s="6939">
        <f t="shared" si="84"/>
        <v>0</v>
      </c>
      <c r="CX60" s="6750">
        <f t="shared" si="14"/>
        <v>5.2325441799999979</v>
      </c>
      <c r="CY60" s="2775"/>
      <c r="CZ60" s="590"/>
      <c r="DA60" s="602"/>
      <c r="DB60" s="602"/>
      <c r="DC60" s="602"/>
      <c r="DD60" s="602"/>
      <c r="DE60" s="602"/>
      <c r="DF60" s="602"/>
      <c r="DG60" s="602"/>
      <c r="DH60" s="602"/>
      <c r="DI60" s="602"/>
      <c r="DJ60" s="602"/>
      <c r="DK60" s="602"/>
      <c r="DL60" s="602"/>
      <c r="DM60" s="603">
        <f t="shared" si="27"/>
        <v>0</v>
      </c>
      <c r="DO60" s="2261"/>
      <c r="DP60" s="2261"/>
      <c r="DS60" s="2261"/>
      <c r="DT60" s="2261"/>
    </row>
    <row r="61" spans="1:124" ht="16.3" customHeight="1" x14ac:dyDescent="0.55000000000000004">
      <c r="A61" s="3988"/>
      <c r="B61" s="3989" t="s">
        <v>42</v>
      </c>
      <c r="C61" s="555"/>
      <c r="D61" s="555"/>
      <c r="F61" s="3752">
        <v>15.807568740000001</v>
      </c>
      <c r="G61" s="3753">
        <v>15.656174010000001</v>
      </c>
      <c r="H61" s="3753">
        <v>18.299156190000001</v>
      </c>
      <c r="I61" s="3753">
        <v>19.011031849999998</v>
      </c>
      <c r="J61" s="3753">
        <v>23.66879423</v>
      </c>
      <c r="K61" s="3753">
        <v>22.87637591</v>
      </c>
      <c r="L61" s="3753">
        <v>27.241440650000001</v>
      </c>
      <c r="M61" s="3753">
        <v>23.921398079999999</v>
      </c>
      <c r="N61" s="3753">
        <v>19.618334149999999</v>
      </c>
      <c r="O61" s="3753">
        <v>34.063408019999997</v>
      </c>
      <c r="P61" s="3753">
        <v>49.401448100000003</v>
      </c>
      <c r="Q61" s="3754">
        <v>40.22943892</v>
      </c>
      <c r="R61" s="3753">
        <v>21.800728339999999</v>
      </c>
      <c r="S61" s="3753">
        <v>25.91936097</v>
      </c>
      <c r="T61" s="3753">
        <v>26.086665140000001</v>
      </c>
      <c r="U61" s="3753">
        <v>21.88674718</v>
      </c>
      <c r="V61" s="3753">
        <v>29.485148649999999</v>
      </c>
      <c r="W61" s="3753">
        <v>26.800678909999998</v>
      </c>
      <c r="X61" s="3753">
        <v>24.423401690000002</v>
      </c>
      <c r="Y61" s="3753">
        <v>24.358798270000001</v>
      </c>
      <c r="Z61" s="3753">
        <v>29.86457532</v>
      </c>
      <c r="AA61" s="3753">
        <v>34.864014220000001</v>
      </c>
      <c r="AB61" s="3753">
        <v>36.9589845</v>
      </c>
      <c r="AC61" s="3753">
        <v>57.026608039999999</v>
      </c>
      <c r="AD61" s="3752">
        <v>13.88</v>
      </c>
      <c r="AE61" s="3753">
        <v>34.796999999999997</v>
      </c>
      <c r="AF61" s="3753">
        <v>40.421999999999997</v>
      </c>
      <c r="AG61" s="3753">
        <v>34.15492776</v>
      </c>
      <c r="AH61" s="3753">
        <v>36.149872860000002</v>
      </c>
      <c r="AI61" s="3753">
        <v>35.885014810000001</v>
      </c>
      <c r="AJ61" s="3753">
        <v>34.195826390000001</v>
      </c>
      <c r="AK61" s="3753">
        <v>40.841606079999998</v>
      </c>
      <c r="AL61" s="3753">
        <v>48.167512949999995</v>
      </c>
      <c r="AM61" s="3753">
        <v>35.874090219999999</v>
      </c>
      <c r="AN61" s="3753">
        <v>26.269001469999999</v>
      </c>
      <c r="AO61" s="3755">
        <v>142.00235107999998</v>
      </c>
      <c r="AP61" s="3754"/>
      <c r="AQ61" s="3756">
        <v>10.679466099999999</v>
      </c>
      <c r="AR61" s="3757">
        <v>31.841216350000003</v>
      </c>
      <c r="AS61" s="3757">
        <v>29.512413190000004</v>
      </c>
      <c r="AT61" s="3757">
        <v>23.364959259999999</v>
      </c>
      <c r="AU61" s="3757">
        <v>26.602806840000003</v>
      </c>
      <c r="AV61" s="3757">
        <v>62.799807749999992</v>
      </c>
      <c r="AW61" s="3757">
        <v>39.640826050000001</v>
      </c>
      <c r="AX61" s="3757">
        <v>37.467097250000002</v>
      </c>
      <c r="AY61" s="3757">
        <v>68.50553330000001</v>
      </c>
      <c r="AZ61" s="3757">
        <v>87.523076189999998</v>
      </c>
      <c r="BA61" s="3757">
        <v>27.47532867</v>
      </c>
      <c r="BB61" s="3757">
        <v>76.548075170000004</v>
      </c>
      <c r="BC61" s="3758">
        <v>521.96060611999997</v>
      </c>
      <c r="BD61" s="628">
        <f>BD62+BD63+BD64</f>
        <v>46.45241351</v>
      </c>
      <c r="BE61" s="628">
        <f t="shared" ref="BE61:CE61" si="85">BE62+BE63+BE64</f>
        <v>16.186964039999999</v>
      </c>
      <c r="BF61" s="628">
        <f t="shared" si="85"/>
        <v>16.945910379999997</v>
      </c>
      <c r="BG61" s="628">
        <f t="shared" si="85"/>
        <v>21.012653220000001</v>
      </c>
      <c r="BH61" s="628">
        <f t="shared" si="85"/>
        <v>15.72153387</v>
      </c>
      <c r="BI61" s="628">
        <f t="shared" si="85"/>
        <v>15.48449055</v>
      </c>
      <c r="BJ61" s="628">
        <f t="shared" si="85"/>
        <v>30.926562569999998</v>
      </c>
      <c r="BK61" s="628">
        <f t="shared" si="85"/>
        <v>22.904374860000001</v>
      </c>
      <c r="BL61" s="628">
        <f t="shared" si="85"/>
        <v>45.733348429999999</v>
      </c>
      <c r="BM61" s="628">
        <f t="shared" si="85"/>
        <v>55.297539260000001</v>
      </c>
      <c r="BN61" s="628">
        <f t="shared" si="85"/>
        <v>34.640073510000001</v>
      </c>
      <c r="BO61" s="628">
        <f t="shared" si="85"/>
        <v>24.116262079999998</v>
      </c>
      <c r="BP61" s="6603">
        <v>345.42212627999999</v>
      </c>
      <c r="BQ61" s="6544">
        <f t="shared" si="85"/>
        <v>34.65354232</v>
      </c>
      <c r="BR61" s="6544">
        <f t="shared" si="85"/>
        <v>23.6792208</v>
      </c>
      <c r="BS61" s="6544">
        <f t="shared" si="85"/>
        <v>16.00066417</v>
      </c>
      <c r="BT61" s="6544">
        <f t="shared" si="85"/>
        <v>19.542286000000004</v>
      </c>
      <c r="BU61" s="6544">
        <f t="shared" si="85"/>
        <v>28.596062249999999</v>
      </c>
      <c r="BV61" s="6544">
        <f t="shared" si="85"/>
        <v>34.749232159999998</v>
      </c>
      <c r="BW61" s="6544">
        <f t="shared" si="85"/>
        <v>48.320244670000001</v>
      </c>
      <c r="BX61" s="6544">
        <f t="shared" si="85"/>
        <v>21.570287239999999</v>
      </c>
      <c r="BY61" s="6544">
        <f t="shared" si="85"/>
        <v>53.34040968</v>
      </c>
      <c r="BZ61" s="6544">
        <f t="shared" si="85"/>
        <v>31.012518199999999</v>
      </c>
      <c r="CA61" s="6544">
        <f t="shared" si="85"/>
        <v>65.852758309999999</v>
      </c>
      <c r="CB61" s="6544">
        <f t="shared" si="85"/>
        <v>71.012071270000007</v>
      </c>
      <c r="CC61" s="6603">
        <f t="shared" si="77"/>
        <v>448.32929707000005</v>
      </c>
      <c r="CD61" s="6544">
        <f t="shared" si="85"/>
        <v>33.16681604</v>
      </c>
      <c r="CE61" s="6544">
        <f t="shared" si="85"/>
        <v>28.869201630000003</v>
      </c>
      <c r="CF61" s="3813"/>
      <c r="CG61" s="3813"/>
      <c r="CH61" s="3813"/>
      <c r="CI61" s="3813"/>
      <c r="CJ61" s="3813"/>
      <c r="CK61" s="3813"/>
      <c r="CL61" s="3813"/>
      <c r="CM61" s="3813"/>
      <c r="CN61" s="3813"/>
      <c r="CO61" s="3813"/>
      <c r="CP61" s="3761" t="e">
        <f t="shared" si="82"/>
        <v>#N/A</v>
      </c>
      <c r="CQ61" s="3797">
        <f t="shared" si="83"/>
        <v>0</v>
      </c>
      <c r="CR61" s="6862">
        <f t="shared" si="78"/>
        <v>-4.2976144099999978</v>
      </c>
      <c r="CS61" s="6747">
        <f t="shared" si="79"/>
        <v>5.1899808300000032</v>
      </c>
      <c r="CT61" s="607"/>
      <c r="CU61" s="6911">
        <f t="shared" si="6"/>
        <v>62.036017670000007</v>
      </c>
      <c r="CV61" s="6936">
        <f t="shared" si="80"/>
        <v>62.036017670000007</v>
      </c>
      <c r="CW61" s="6915">
        <f t="shared" si="84"/>
        <v>0</v>
      </c>
      <c r="CX61" s="6749">
        <f t="shared" si="14"/>
        <v>3.7032545500000111</v>
      </c>
      <c r="CY61" s="2775"/>
      <c r="CZ61" s="590"/>
      <c r="DA61" s="602"/>
      <c r="DB61" s="602"/>
      <c r="DC61" s="602"/>
      <c r="DD61" s="602"/>
      <c r="DE61" s="602"/>
      <c r="DF61" s="602"/>
      <c r="DG61" s="602"/>
      <c r="DH61" s="602"/>
      <c r="DI61" s="602"/>
      <c r="DJ61" s="602"/>
      <c r="DK61" s="602"/>
      <c r="DL61" s="602"/>
      <c r="DM61" s="603">
        <f t="shared" si="27"/>
        <v>0</v>
      </c>
      <c r="DO61" s="2261"/>
      <c r="DP61" s="2261"/>
      <c r="DS61" s="2261"/>
      <c r="DT61" s="2261"/>
    </row>
    <row r="62" spans="1:124" ht="16.3" customHeight="1" x14ac:dyDescent="0.55000000000000004">
      <c r="A62" s="3988"/>
      <c r="B62" s="555"/>
      <c r="C62" s="3992" t="s">
        <v>34</v>
      </c>
      <c r="D62" s="555"/>
      <c r="F62" s="3752"/>
      <c r="G62" s="3753"/>
      <c r="H62" s="3753"/>
      <c r="I62" s="3753"/>
      <c r="J62" s="3753"/>
      <c r="K62" s="3753"/>
      <c r="L62" s="3753"/>
      <c r="M62" s="3753"/>
      <c r="N62" s="3753"/>
      <c r="O62" s="3753"/>
      <c r="P62" s="3753"/>
      <c r="Q62" s="3754"/>
      <c r="R62" s="3753"/>
      <c r="S62" s="3753"/>
      <c r="T62" s="3753"/>
      <c r="U62" s="3753"/>
      <c r="V62" s="3753"/>
      <c r="W62" s="3753"/>
      <c r="X62" s="3753"/>
      <c r="Y62" s="3753"/>
      <c r="Z62" s="3753"/>
      <c r="AA62" s="3753"/>
      <c r="AB62" s="3753"/>
      <c r="AC62" s="3753"/>
      <c r="AD62" s="3752"/>
      <c r="AE62" s="3753"/>
      <c r="AF62" s="3753"/>
      <c r="AG62" s="3753"/>
      <c r="AH62" s="3753"/>
      <c r="AI62" s="3753"/>
      <c r="AJ62" s="3753"/>
      <c r="AK62" s="3753"/>
      <c r="AL62" s="3753"/>
      <c r="AM62" s="3753"/>
      <c r="AN62" s="3753"/>
      <c r="AO62" s="3755"/>
      <c r="AP62" s="3754"/>
      <c r="AQ62" s="3756">
        <v>6.8452378600000001</v>
      </c>
      <c r="AR62" s="3757">
        <v>25.215925640000002</v>
      </c>
      <c r="AS62" s="3757">
        <v>23.329441510000002</v>
      </c>
      <c r="AT62" s="3757">
        <v>18.473232400000001</v>
      </c>
      <c r="AU62" s="3757">
        <v>21.261549580000001</v>
      </c>
      <c r="AV62" s="3757">
        <v>36.51020389</v>
      </c>
      <c r="AW62" s="3757">
        <v>31.865210059999999</v>
      </c>
      <c r="AX62" s="3757">
        <v>28.146493569999997</v>
      </c>
      <c r="AY62" s="3757">
        <v>48.284568380000003</v>
      </c>
      <c r="AZ62" s="3757">
        <v>36.55426791</v>
      </c>
      <c r="BA62" s="3757">
        <v>27.2309652</v>
      </c>
      <c r="BB62" s="3757">
        <v>19.341757600000001</v>
      </c>
      <c r="BC62" s="3758">
        <v>323.05885360000002</v>
      </c>
      <c r="BD62" s="628">
        <v>15.36675821</v>
      </c>
      <c r="BE62" s="3990">
        <v>8.2050924599999995</v>
      </c>
      <c r="BF62" s="3990">
        <v>11.042471219999999</v>
      </c>
      <c r="BG62" s="757">
        <v>9.9016138599999994</v>
      </c>
      <c r="BH62" s="757">
        <v>9.2817296900000006</v>
      </c>
      <c r="BI62" s="757">
        <v>6.8554461900000003</v>
      </c>
      <c r="BJ62" s="757">
        <v>17.892586359999999</v>
      </c>
      <c r="BK62" s="757">
        <v>10.8781447</v>
      </c>
      <c r="BL62" s="757">
        <v>12.295307680000001</v>
      </c>
      <c r="BM62" s="757">
        <v>35.29593637</v>
      </c>
      <c r="BN62" s="757">
        <v>16.594001519999999</v>
      </c>
      <c r="BO62" s="757">
        <v>13.849412129999999</v>
      </c>
      <c r="BP62" s="6592">
        <v>167.45850038999998</v>
      </c>
      <c r="BQ62" s="6536">
        <v>6.0935522999999998</v>
      </c>
      <c r="BR62" s="6590">
        <v>10.304066260000001</v>
      </c>
      <c r="BS62" s="6593">
        <v>9.0780226299999995</v>
      </c>
      <c r="BT62" s="6595">
        <v>7.6568158200000003</v>
      </c>
      <c r="BU62" s="6595">
        <v>15.846035990000001</v>
      </c>
      <c r="BV62" s="6536">
        <v>15.87893341</v>
      </c>
      <c r="BW62" s="6538">
        <v>7.4660656100000002</v>
      </c>
      <c r="BX62" s="6536">
        <v>5.35270869</v>
      </c>
      <c r="BY62" s="6538">
        <v>17.431917030000001</v>
      </c>
      <c r="BZ62" s="6538">
        <v>3.9416184300000001</v>
      </c>
      <c r="CA62" s="6538">
        <v>37.784167940000003</v>
      </c>
      <c r="CB62" s="6538">
        <v>17.444953040000001</v>
      </c>
      <c r="CC62" s="6592">
        <f t="shared" si="77"/>
        <v>154.27885715000002</v>
      </c>
      <c r="CD62" s="6536">
        <v>8.3941738099999998</v>
      </c>
      <c r="CE62" s="6590">
        <v>3.0241845499999997</v>
      </c>
      <c r="CF62" s="3990"/>
      <c r="CG62" s="3994"/>
      <c r="CH62" s="3994"/>
      <c r="CI62" s="3760"/>
      <c r="CJ62" s="596"/>
      <c r="CK62" s="3760"/>
      <c r="CL62" s="596"/>
      <c r="CM62" s="596"/>
      <c r="CN62" s="596"/>
      <c r="CO62" s="596"/>
      <c r="CP62" s="3761" t="e">
        <f t="shared" si="82"/>
        <v>#N/A</v>
      </c>
      <c r="CQ62" s="3797">
        <f t="shared" si="83"/>
        <v>0</v>
      </c>
      <c r="CR62" s="6862">
        <f t="shared" si="78"/>
        <v>-5.3699892600000005</v>
      </c>
      <c r="CS62" s="6747">
        <f t="shared" si="79"/>
        <v>-7.2798817100000015</v>
      </c>
      <c r="CT62" s="607"/>
      <c r="CU62" s="6911">
        <f t="shared" si="6"/>
        <v>11.418358359999999</v>
      </c>
      <c r="CV62" s="6936">
        <f t="shared" si="80"/>
        <v>11.418358359999999</v>
      </c>
      <c r="CW62" s="6915">
        <f t="shared" si="84"/>
        <v>0</v>
      </c>
      <c r="CX62" s="6749">
        <f t="shared" si="14"/>
        <v>-4.9792602000000024</v>
      </c>
      <c r="CY62" s="2775"/>
      <c r="CZ62" s="590"/>
      <c r="DA62" s="602"/>
      <c r="DB62" s="602"/>
      <c r="DC62" s="602"/>
      <c r="DD62" s="602"/>
      <c r="DE62" s="602"/>
      <c r="DF62" s="602"/>
      <c r="DG62" s="602"/>
      <c r="DH62" s="602"/>
      <c r="DI62" s="602"/>
      <c r="DJ62" s="602"/>
      <c r="DK62" s="602"/>
      <c r="DL62" s="602"/>
      <c r="DM62" s="603">
        <f t="shared" si="27"/>
        <v>0</v>
      </c>
      <c r="DO62" s="2261"/>
      <c r="DP62" s="2261"/>
      <c r="DS62" s="2261"/>
      <c r="DT62" s="2261"/>
    </row>
    <row r="63" spans="1:124" ht="16.3" customHeight="1" x14ac:dyDescent="0.55000000000000004">
      <c r="A63" s="3988"/>
      <c r="B63" s="555"/>
      <c r="C63" s="3992" t="s">
        <v>705</v>
      </c>
      <c r="D63" s="555"/>
      <c r="F63" s="3752"/>
      <c r="G63" s="3753"/>
      <c r="H63" s="3753"/>
      <c r="I63" s="3753"/>
      <c r="J63" s="3753"/>
      <c r="K63" s="3753"/>
      <c r="L63" s="3753"/>
      <c r="M63" s="3753"/>
      <c r="N63" s="3753"/>
      <c r="O63" s="3753"/>
      <c r="P63" s="3753"/>
      <c r="Q63" s="3754"/>
      <c r="R63" s="3753"/>
      <c r="S63" s="3753"/>
      <c r="T63" s="3753"/>
      <c r="U63" s="3753"/>
      <c r="V63" s="3753"/>
      <c r="W63" s="3753"/>
      <c r="X63" s="3753"/>
      <c r="Y63" s="3753"/>
      <c r="Z63" s="3753"/>
      <c r="AA63" s="3753"/>
      <c r="AB63" s="3753"/>
      <c r="AC63" s="3753"/>
      <c r="AD63" s="3752"/>
      <c r="AE63" s="3753"/>
      <c r="AF63" s="3753"/>
      <c r="AG63" s="3753"/>
      <c r="AH63" s="3753"/>
      <c r="AI63" s="3753"/>
      <c r="AJ63" s="3753"/>
      <c r="AK63" s="3753"/>
      <c r="AL63" s="3753"/>
      <c r="AM63" s="3753"/>
      <c r="AN63" s="3753"/>
      <c r="AO63" s="3755"/>
      <c r="AP63" s="3754"/>
      <c r="AQ63" s="3756">
        <v>3.8342282399999998</v>
      </c>
      <c r="AR63" s="3757">
        <v>6.6252907100000016</v>
      </c>
      <c r="AS63" s="3757">
        <v>6.154880770000001</v>
      </c>
      <c r="AT63" s="3757">
        <v>4.8817268600000006</v>
      </c>
      <c r="AU63" s="3757">
        <v>5.3314390800000009</v>
      </c>
      <c r="AV63" s="3757">
        <v>26.281240220000001</v>
      </c>
      <c r="AW63" s="3757">
        <v>7.45416145</v>
      </c>
      <c r="AX63" s="3757">
        <v>9.0224236800000011</v>
      </c>
      <c r="AY63" s="3757">
        <v>20.21623765</v>
      </c>
      <c r="AZ63" s="3757">
        <v>50.53463919</v>
      </c>
      <c r="BA63" s="3757">
        <v>0.23881802000000008</v>
      </c>
      <c r="BB63" s="3757">
        <v>57.084023029999997</v>
      </c>
      <c r="BC63" s="3758">
        <v>197.65910890000001</v>
      </c>
      <c r="BD63" s="628">
        <v>30.881655299999998</v>
      </c>
      <c r="BE63" s="3990">
        <v>7.7105124900000002</v>
      </c>
      <c r="BF63" s="3990">
        <v>5.8996209799999999</v>
      </c>
      <c r="BG63" s="757">
        <v>10.740221180000001</v>
      </c>
      <c r="BH63" s="757">
        <v>6.41471327</v>
      </c>
      <c r="BI63" s="757">
        <v>8.5998170900000002</v>
      </c>
      <c r="BJ63" s="757">
        <v>12.76933985</v>
      </c>
      <c r="BK63" s="757">
        <v>11.896321070000001</v>
      </c>
      <c r="BL63" s="757">
        <v>33.117933479999998</v>
      </c>
      <c r="BM63" s="757">
        <v>19.795412890000001</v>
      </c>
      <c r="BN63" s="757">
        <v>17.710271989999999</v>
      </c>
      <c r="BO63" s="757">
        <v>9.93835449</v>
      </c>
      <c r="BP63" s="6592">
        <v>175.47417407999998</v>
      </c>
      <c r="BQ63" s="6536">
        <v>28.278400019999999</v>
      </c>
      <c r="BR63" s="6590">
        <v>12.97501727</v>
      </c>
      <c r="BS63" s="6593">
        <v>6.7345115399999997</v>
      </c>
      <c r="BT63" s="6595">
        <v>11.502810180000001</v>
      </c>
      <c r="BU63" s="6595">
        <v>12.47760626</v>
      </c>
      <c r="BV63" s="6536">
        <v>18.479928749999999</v>
      </c>
      <c r="BW63" s="6538">
        <v>39.69380906</v>
      </c>
      <c r="BX63" s="6536">
        <v>15.493478550000001</v>
      </c>
      <c r="BY63" s="6538">
        <v>35.067862570000003</v>
      </c>
      <c r="BZ63" s="6538">
        <v>26.72762977</v>
      </c>
      <c r="CA63" s="6538">
        <v>27.82298037</v>
      </c>
      <c r="CB63" s="6538">
        <v>52.578218229999997</v>
      </c>
      <c r="CC63" s="6592">
        <f t="shared" si="77"/>
        <v>287.83225256999998</v>
      </c>
      <c r="CD63" s="6536">
        <v>24.48667223</v>
      </c>
      <c r="CE63" s="6590">
        <v>25.26678708</v>
      </c>
      <c r="CF63" s="3990"/>
      <c r="CG63" s="3994"/>
      <c r="CH63" s="3994"/>
      <c r="CI63" s="3760"/>
      <c r="CJ63" s="596"/>
      <c r="CK63" s="3760"/>
      <c r="CL63" s="596"/>
      <c r="CM63" s="596"/>
      <c r="CN63" s="596"/>
      <c r="CO63" s="596"/>
      <c r="CP63" s="3761" t="e">
        <f t="shared" si="82"/>
        <v>#N/A</v>
      </c>
      <c r="CQ63" s="3797">
        <f t="shared" si="83"/>
        <v>0</v>
      </c>
      <c r="CR63" s="6862">
        <f t="shared" si="78"/>
        <v>0.78011485000000036</v>
      </c>
      <c r="CS63" s="6747">
        <f t="shared" si="79"/>
        <v>12.29176981</v>
      </c>
      <c r="CT63" s="607"/>
      <c r="CU63" s="6911">
        <f t="shared" si="6"/>
        <v>49.753459309999997</v>
      </c>
      <c r="CV63" s="6936">
        <f t="shared" si="80"/>
        <v>49.753459309999997</v>
      </c>
      <c r="CW63" s="6915">
        <f t="shared" si="84"/>
        <v>0</v>
      </c>
      <c r="CX63" s="6749">
        <f t="shared" si="14"/>
        <v>8.5000420199999951</v>
      </c>
      <c r="CY63" s="2775"/>
      <c r="CZ63" s="590"/>
      <c r="DA63" s="602"/>
      <c r="DB63" s="602"/>
      <c r="DC63" s="602"/>
      <c r="DD63" s="602"/>
      <c r="DE63" s="602"/>
      <c r="DF63" s="602"/>
      <c r="DG63" s="602"/>
      <c r="DH63" s="602"/>
      <c r="DI63" s="602"/>
      <c r="DJ63" s="602"/>
      <c r="DK63" s="602"/>
      <c r="DL63" s="602"/>
      <c r="DM63" s="603">
        <f t="shared" si="27"/>
        <v>0</v>
      </c>
      <c r="DO63" s="2261"/>
      <c r="DP63" s="2261"/>
      <c r="DS63" s="2261"/>
      <c r="DT63" s="2261"/>
    </row>
    <row r="64" spans="1:124" ht="16.3" customHeight="1" thickBot="1" x14ac:dyDescent="0.6">
      <c r="A64" s="3988"/>
      <c r="B64" s="4013"/>
      <c r="C64" s="3997" t="s">
        <v>696</v>
      </c>
      <c r="D64" s="4013"/>
      <c r="E64" s="3999"/>
      <c r="F64" s="4000"/>
      <c r="G64" s="4001"/>
      <c r="H64" s="4001"/>
      <c r="I64" s="4001"/>
      <c r="J64" s="4001"/>
      <c r="K64" s="4001"/>
      <c r="L64" s="4001"/>
      <c r="M64" s="4001"/>
      <c r="N64" s="4001"/>
      <c r="O64" s="4001"/>
      <c r="P64" s="4001"/>
      <c r="Q64" s="4002"/>
      <c r="R64" s="4001"/>
      <c r="S64" s="4001"/>
      <c r="T64" s="4001"/>
      <c r="U64" s="4001"/>
      <c r="V64" s="4001"/>
      <c r="W64" s="4001"/>
      <c r="X64" s="4001"/>
      <c r="Y64" s="4001"/>
      <c r="Z64" s="4001"/>
      <c r="AA64" s="4001"/>
      <c r="AB64" s="4001"/>
      <c r="AC64" s="4001"/>
      <c r="AD64" s="4000"/>
      <c r="AE64" s="4001"/>
      <c r="AF64" s="4001"/>
      <c r="AG64" s="4001"/>
      <c r="AH64" s="4001"/>
      <c r="AI64" s="4001"/>
      <c r="AJ64" s="4001"/>
      <c r="AK64" s="4001"/>
      <c r="AL64" s="4001"/>
      <c r="AM64" s="4001"/>
      <c r="AN64" s="4001"/>
      <c r="AO64" s="4001"/>
      <c r="AP64" s="4002"/>
      <c r="AQ64" s="4003">
        <v>0</v>
      </c>
      <c r="AR64" s="4004">
        <v>0</v>
      </c>
      <c r="AS64" s="4004">
        <v>2.809091E-2</v>
      </c>
      <c r="AT64" s="4004">
        <v>0.01</v>
      </c>
      <c r="AU64" s="4004">
        <v>9.8181799999999993E-3</v>
      </c>
      <c r="AV64" s="4004">
        <v>8.3636400000000003E-3</v>
      </c>
      <c r="AW64" s="4004">
        <v>0.32145454000000001</v>
      </c>
      <c r="AX64" s="4004">
        <v>0.29818</v>
      </c>
      <c r="AY64" s="4004">
        <v>4.7272700000000004E-3</v>
      </c>
      <c r="AZ64" s="4004">
        <v>0.43416908999999998</v>
      </c>
      <c r="BA64" s="4004">
        <v>5.5454499999999995E-3</v>
      </c>
      <c r="BB64" s="4004">
        <v>0.12229454000000001</v>
      </c>
      <c r="BC64" s="4005">
        <v>1.2426436199999999</v>
      </c>
      <c r="BD64" s="4006">
        <v>0.20399999999999999</v>
      </c>
      <c r="BE64" s="4007">
        <v>0.27135909000000003</v>
      </c>
      <c r="BF64" s="4007">
        <v>3.81818E-3</v>
      </c>
      <c r="BG64" s="4007">
        <v>0.37081818</v>
      </c>
      <c r="BH64" s="4007">
        <v>2.5090910000000001E-2</v>
      </c>
      <c r="BI64" s="4007">
        <v>2.922727E-2</v>
      </c>
      <c r="BJ64" s="4007">
        <v>0.26463636000000001</v>
      </c>
      <c r="BK64" s="4007">
        <v>0.12990909</v>
      </c>
      <c r="BL64" s="4007">
        <v>0.32010727</v>
      </c>
      <c r="BM64" s="4007">
        <v>0.20618999999999998</v>
      </c>
      <c r="BN64" s="4007">
        <v>0.33579999999999999</v>
      </c>
      <c r="BO64" s="4007">
        <v>0.32849546000000002</v>
      </c>
      <c r="BP64" s="6602">
        <v>2.4894518099999998</v>
      </c>
      <c r="BQ64" s="6604">
        <v>0.28159000000000001</v>
      </c>
      <c r="BR64" s="6598">
        <v>0.40013726999999999</v>
      </c>
      <c r="BS64" s="6599">
        <v>0.18812999999999999</v>
      </c>
      <c r="BT64" s="6605">
        <v>0.38266</v>
      </c>
      <c r="BU64" s="6605">
        <v>0.27242</v>
      </c>
      <c r="BV64" s="6604">
        <v>0.39036999999999999</v>
      </c>
      <c r="BW64" s="6601">
        <v>1.1603699999999999</v>
      </c>
      <c r="BX64" s="6604">
        <v>0.72409999999999997</v>
      </c>
      <c r="BY64" s="6601">
        <v>0.84063007999999995</v>
      </c>
      <c r="BZ64" s="6601">
        <v>0.34327000000000002</v>
      </c>
      <c r="CA64" s="6601">
        <v>0.24560999999999999</v>
      </c>
      <c r="CB64" s="6601">
        <v>0.9889</v>
      </c>
      <c r="CC64" s="6602">
        <f t="shared" si="77"/>
        <v>6.2181873500000009</v>
      </c>
      <c r="CD64" s="6604">
        <v>0.28597</v>
      </c>
      <c r="CE64" s="6598">
        <v>0.57823000000000002</v>
      </c>
      <c r="CF64" s="4007"/>
      <c r="CG64" s="4015"/>
      <c r="CH64" s="4015"/>
      <c r="CI64" s="4014"/>
      <c r="CJ64" s="4010"/>
      <c r="CK64" s="4014"/>
      <c r="CL64" s="4010"/>
      <c r="CM64" s="4010"/>
      <c r="CN64" s="4010"/>
      <c r="CO64" s="4010"/>
      <c r="CP64" s="4011" t="e">
        <f t="shared" si="82"/>
        <v>#N/A</v>
      </c>
      <c r="CQ64" s="3797">
        <f t="shared" si="83"/>
        <v>0</v>
      </c>
      <c r="CR64" s="6880">
        <f t="shared" si="78"/>
        <v>0.29226000000000002</v>
      </c>
      <c r="CS64" s="6881">
        <f t="shared" si="79"/>
        <v>0.17809273000000003</v>
      </c>
      <c r="CT64" s="4012"/>
      <c r="CU64" s="6937">
        <f t="shared" si="6"/>
        <v>0.86420000000000008</v>
      </c>
      <c r="CV64" s="6938">
        <f t="shared" si="80"/>
        <v>0.86420000000000008</v>
      </c>
      <c r="CW64" s="6939">
        <f t="shared" si="84"/>
        <v>0</v>
      </c>
      <c r="CX64" s="6750">
        <f t="shared" si="14"/>
        <v>0.18247273000000008</v>
      </c>
      <c r="CY64" s="2775"/>
      <c r="CZ64" s="590"/>
      <c r="DA64" s="602"/>
      <c r="DB64" s="602"/>
      <c r="DC64" s="602"/>
      <c r="DD64" s="602"/>
      <c r="DE64" s="602"/>
      <c r="DF64" s="602"/>
      <c r="DG64" s="602"/>
      <c r="DH64" s="602"/>
      <c r="DI64" s="602"/>
      <c r="DJ64" s="602"/>
      <c r="DK64" s="602"/>
      <c r="DL64" s="602"/>
      <c r="DM64" s="603">
        <f t="shared" si="27"/>
        <v>0</v>
      </c>
      <c r="DO64" s="2261"/>
      <c r="DP64" s="2261"/>
      <c r="DS64" s="2261"/>
      <c r="DT64" s="2261"/>
    </row>
    <row r="65" spans="1:124" ht="16.3" customHeight="1" x14ac:dyDescent="0.55000000000000004">
      <c r="A65" s="3988"/>
      <c r="B65" s="3989" t="s">
        <v>14</v>
      </c>
      <c r="C65" s="555"/>
      <c r="D65" s="555"/>
      <c r="F65" s="3752">
        <v>11.59740697</v>
      </c>
      <c r="G65" s="3753">
        <v>10.4743184</v>
      </c>
      <c r="H65" s="3753">
        <v>-6.0585149300000003</v>
      </c>
      <c r="I65" s="3753">
        <v>9.8427787700000007</v>
      </c>
      <c r="J65" s="3753">
        <v>9.8762553900000007</v>
      </c>
      <c r="K65" s="3753">
        <v>-6.10232814</v>
      </c>
      <c r="L65" s="3753">
        <v>9.9148649100000004</v>
      </c>
      <c r="M65" s="3753">
        <v>9.7911897000000003</v>
      </c>
      <c r="N65" s="3753">
        <v>-5.5602501999999996</v>
      </c>
      <c r="O65" s="3753">
        <v>9.4467308899999995</v>
      </c>
      <c r="P65" s="3753">
        <v>9.1736682900000002</v>
      </c>
      <c r="Q65" s="3754">
        <v>-6.2604693100000004</v>
      </c>
      <c r="R65" s="3753">
        <v>9.5996665100000005</v>
      </c>
      <c r="S65" s="3753">
        <v>9.4277648599999999</v>
      </c>
      <c r="T65" s="3753">
        <v>-5.2764109000000001</v>
      </c>
      <c r="U65" s="3753">
        <v>8.7969587899999997</v>
      </c>
      <c r="V65" s="3753">
        <v>8.5377280199999994</v>
      </c>
      <c r="W65" s="3753">
        <v>-5.3879820999999994</v>
      </c>
      <c r="X65" s="3753">
        <v>8.8899210899999996</v>
      </c>
      <c r="Y65" s="3753">
        <v>8.9729632300000013</v>
      </c>
      <c r="Z65" s="3753">
        <v>-4.6391661399999995</v>
      </c>
      <c r="AA65" s="3753">
        <v>8.5445409800000007</v>
      </c>
      <c r="AB65" s="3753">
        <v>8.3468630699999995</v>
      </c>
      <c r="AC65" s="3753">
        <v>-4.4352124900000005</v>
      </c>
      <c r="AD65" s="3752">
        <v>8.85</v>
      </c>
      <c r="AE65" s="3753">
        <v>8.75</v>
      </c>
      <c r="AF65" s="3753">
        <v>-3.7789999999999999</v>
      </c>
      <c r="AG65" s="3753">
        <v>8.5071564399999993</v>
      </c>
      <c r="AH65" s="3753">
        <v>8.6323701400000008</v>
      </c>
      <c r="AI65" s="3753">
        <v>-3.8660054100000001</v>
      </c>
      <c r="AJ65" s="3753">
        <v>8.5433068300000006</v>
      </c>
      <c r="AK65" s="3753">
        <v>9.7318300099999995</v>
      </c>
      <c r="AL65" s="3753">
        <v>-2.6617800899999997</v>
      </c>
      <c r="AM65" s="3753">
        <v>10.32735048</v>
      </c>
      <c r="AN65" s="3753">
        <v>10.31551048</v>
      </c>
      <c r="AO65" s="3755">
        <v>-2.7685929300000001</v>
      </c>
      <c r="AP65" s="3754"/>
      <c r="AQ65" s="3756">
        <v>10.924286359999998</v>
      </c>
      <c r="AR65" s="3757">
        <v>11.020490260000001</v>
      </c>
      <c r="AS65" s="3757">
        <v>-5.8046399899999992</v>
      </c>
      <c r="AT65" s="3757">
        <v>10.219750550000001</v>
      </c>
      <c r="AU65" s="3757">
        <v>10.169356760000001</v>
      </c>
      <c r="AV65" s="3757">
        <v>-4.0439471899999999</v>
      </c>
      <c r="AW65" s="3757">
        <v>10.29573205</v>
      </c>
      <c r="AX65" s="3757">
        <v>11.114837939999999</v>
      </c>
      <c r="AY65" s="3757">
        <v>-5.2930238700000007</v>
      </c>
      <c r="AZ65" s="3757">
        <v>10.29650983</v>
      </c>
      <c r="BA65" s="3757">
        <v>10.591514500000001</v>
      </c>
      <c r="BB65" s="3757">
        <v>-5.2618351199999998</v>
      </c>
      <c r="BC65" s="3758">
        <v>64.229032079999996</v>
      </c>
      <c r="BD65" s="628">
        <f>BD66+BD67</f>
        <v>10.579902570000002</v>
      </c>
      <c r="BE65" s="628">
        <f t="shared" ref="BE65:BN65" si="86">BE66+BE67</f>
        <v>10.850541610000001</v>
      </c>
      <c r="BF65" s="628">
        <f t="shared" si="86"/>
        <v>-4.1060643800000003</v>
      </c>
      <c r="BG65" s="628">
        <f t="shared" si="86"/>
        <v>10.30689748</v>
      </c>
      <c r="BH65" s="628">
        <f t="shared" si="86"/>
        <v>10.203261529999999</v>
      </c>
      <c r="BI65" s="628">
        <f t="shared" si="86"/>
        <v>-4.7555993000000001</v>
      </c>
      <c r="BJ65" s="628">
        <f t="shared" si="86"/>
        <v>11.167044820000001</v>
      </c>
      <c r="BK65" s="628">
        <f t="shared" si="86"/>
        <v>10.868685459999998</v>
      </c>
      <c r="BL65" s="628">
        <f t="shared" si="86"/>
        <v>-5.5745080099999997</v>
      </c>
      <c r="BM65" s="628">
        <f t="shared" si="86"/>
        <v>9.3066427800000007</v>
      </c>
      <c r="BN65" s="628">
        <f t="shared" si="86"/>
        <v>8.7198937000000001</v>
      </c>
      <c r="BO65" s="757">
        <v>-6.6629301999999999</v>
      </c>
      <c r="BP65" s="6592">
        <v>60.903768059999997</v>
      </c>
      <c r="BQ65" s="6538">
        <f t="shared" ref="BQ65:CE65" si="87">BQ66+BQ67</f>
        <v>9.71511879</v>
      </c>
      <c r="BR65" s="6538">
        <f t="shared" si="87"/>
        <v>9.63802512</v>
      </c>
      <c r="BS65" s="6538">
        <f t="shared" si="87"/>
        <v>-5.9214587400000003</v>
      </c>
      <c r="BT65" s="6538">
        <f t="shared" si="87"/>
        <v>9.2180413699999999</v>
      </c>
      <c r="BU65" s="6538">
        <f t="shared" si="87"/>
        <v>9.1481607699999987</v>
      </c>
      <c r="BV65" s="6538">
        <f t="shared" si="87"/>
        <v>-6.5223598799999998</v>
      </c>
      <c r="BW65" s="6538">
        <f t="shared" si="87"/>
        <v>9.5283527200000009</v>
      </c>
      <c r="BX65" s="6538">
        <f t="shared" si="87"/>
        <v>9.9940479199999999</v>
      </c>
      <c r="BY65" s="6538">
        <f t="shared" si="87"/>
        <v>-5.9343351299999991</v>
      </c>
      <c r="BZ65" s="6538">
        <f t="shared" si="87"/>
        <v>9.7382467500000001</v>
      </c>
      <c r="CA65" s="6538">
        <f t="shared" si="87"/>
        <v>10.48295433</v>
      </c>
      <c r="CB65" s="6538">
        <f t="shared" si="87"/>
        <v>-5.9332800799999994</v>
      </c>
      <c r="CC65" s="6592">
        <f t="shared" si="77"/>
        <v>53.151513940000001</v>
      </c>
      <c r="CD65" s="6538">
        <f t="shared" si="87"/>
        <v>10.843324879999999</v>
      </c>
      <c r="CE65" s="6538">
        <f t="shared" si="87"/>
        <v>9.9420304399999999</v>
      </c>
      <c r="CF65" s="596"/>
      <c r="CG65" s="596"/>
      <c r="CH65" s="596"/>
      <c r="CI65" s="596"/>
      <c r="CJ65" s="596"/>
      <c r="CK65" s="596"/>
      <c r="CL65" s="596"/>
      <c r="CM65" s="596"/>
      <c r="CN65" s="596"/>
      <c r="CO65" s="596"/>
      <c r="CP65" s="3761" t="e">
        <f t="shared" si="82"/>
        <v>#N/A</v>
      </c>
      <c r="CQ65" s="3797">
        <f t="shared" si="83"/>
        <v>0</v>
      </c>
      <c r="CR65" s="6862">
        <f t="shared" si="78"/>
        <v>-0.90129443999999914</v>
      </c>
      <c r="CS65" s="6747">
        <f t="shared" si="79"/>
        <v>0.30400531999999991</v>
      </c>
      <c r="CT65" s="607"/>
      <c r="CU65" s="6911">
        <f t="shared" si="6"/>
        <v>20.785355320000001</v>
      </c>
      <c r="CV65" s="6936">
        <f t="shared" si="80"/>
        <v>20.785355320000001</v>
      </c>
      <c r="CW65" s="6915">
        <f t="shared" si="84"/>
        <v>0</v>
      </c>
      <c r="CX65" s="6749">
        <f t="shared" si="14"/>
        <v>1.4322114100000007</v>
      </c>
      <c r="CY65" s="2775"/>
      <c r="CZ65" s="590"/>
      <c r="DA65" s="602"/>
      <c r="DB65" s="602"/>
      <c r="DC65" s="602"/>
      <c r="DD65" s="602"/>
      <c r="DE65" s="602"/>
      <c r="DF65" s="602"/>
      <c r="DG65" s="602"/>
      <c r="DH65" s="602"/>
      <c r="DI65" s="602"/>
      <c r="DJ65" s="602"/>
      <c r="DK65" s="602"/>
      <c r="DL65" s="602"/>
      <c r="DM65" s="603">
        <f t="shared" si="27"/>
        <v>0</v>
      </c>
      <c r="DO65" s="2261"/>
      <c r="DP65" s="2261"/>
      <c r="DS65" s="2261"/>
      <c r="DT65" s="2261"/>
    </row>
    <row r="66" spans="1:124" ht="16.3" customHeight="1" x14ac:dyDescent="0.55000000000000004">
      <c r="A66" s="3988"/>
      <c r="B66" s="3989"/>
      <c r="C66" s="555" t="s">
        <v>697</v>
      </c>
      <c r="D66" s="555"/>
      <c r="F66" s="3752"/>
      <c r="G66" s="3753"/>
      <c r="H66" s="3753"/>
      <c r="I66" s="3753"/>
      <c r="J66" s="3753"/>
      <c r="K66" s="3753"/>
      <c r="L66" s="3753"/>
      <c r="M66" s="3753"/>
      <c r="N66" s="3753"/>
      <c r="O66" s="3753"/>
      <c r="P66" s="3753"/>
      <c r="Q66" s="3754"/>
      <c r="R66" s="3753"/>
      <c r="S66" s="3753"/>
      <c r="T66" s="3753"/>
      <c r="U66" s="3753"/>
      <c r="V66" s="3753"/>
      <c r="W66" s="3753"/>
      <c r="X66" s="3753"/>
      <c r="Y66" s="3753"/>
      <c r="Z66" s="3753"/>
      <c r="AA66" s="3753"/>
      <c r="AB66" s="3753"/>
      <c r="AC66" s="3753"/>
      <c r="AD66" s="3752"/>
      <c r="AE66" s="3753"/>
      <c r="AF66" s="3753"/>
      <c r="AG66" s="3753"/>
      <c r="AH66" s="3753"/>
      <c r="AI66" s="3753"/>
      <c r="AJ66" s="3753"/>
      <c r="AK66" s="3753"/>
      <c r="AL66" s="3753"/>
      <c r="AM66" s="3753"/>
      <c r="AN66" s="3753"/>
      <c r="AO66" s="3755"/>
      <c r="AP66" s="3754"/>
      <c r="AQ66" s="3756">
        <v>10.067227239999999</v>
      </c>
      <c r="AR66" s="3757">
        <v>10.079497290000001</v>
      </c>
      <c r="AS66" s="3757">
        <v>-6.597503989999999</v>
      </c>
      <c r="AT66" s="3757">
        <v>9.6163084000000012</v>
      </c>
      <c r="AU66" s="3757">
        <v>9.6299869299999994</v>
      </c>
      <c r="AV66" s="3757">
        <v>-4.6677410699999999</v>
      </c>
      <c r="AW66" s="3757">
        <v>9.56110054</v>
      </c>
      <c r="AX66" s="3757">
        <v>10.153815</v>
      </c>
      <c r="AY66" s="3757">
        <v>-6.1497043800000002</v>
      </c>
      <c r="AZ66" s="3757">
        <v>9.6736028600000008</v>
      </c>
      <c r="BA66" s="3757">
        <v>10.018113420000001</v>
      </c>
      <c r="BB66" s="3757">
        <v>-5.9612163899999997</v>
      </c>
      <c r="BC66" s="3758">
        <v>55.423485850000006</v>
      </c>
      <c r="BD66" s="628">
        <v>9.7662714000000008</v>
      </c>
      <c r="BE66" s="3990">
        <v>9.9195291399999999</v>
      </c>
      <c r="BF66" s="3990">
        <v>-4.8525513900000004</v>
      </c>
      <c r="BG66" s="757">
        <v>9.6943936399999995</v>
      </c>
      <c r="BH66" s="757">
        <v>9.6287925899999998</v>
      </c>
      <c r="BI66" s="757">
        <v>-5.3636931800000003</v>
      </c>
      <c r="BJ66" s="757">
        <v>10.381918170000001</v>
      </c>
      <c r="BK66" s="757">
        <v>9.8843123599999991</v>
      </c>
      <c r="BL66" s="757">
        <v>-6.4978604899999999</v>
      </c>
      <c r="BM66" s="757">
        <v>8.5749516100000012</v>
      </c>
      <c r="BN66" s="757">
        <v>8.1595566799999997</v>
      </c>
      <c r="BO66" s="757">
        <v>-7.3861428299999998</v>
      </c>
      <c r="BP66" s="6592">
        <v>51.909477700000011</v>
      </c>
      <c r="BQ66" s="6536">
        <v>8.8945883099999996</v>
      </c>
      <c r="BR66" s="6590">
        <v>8.7579190600000008</v>
      </c>
      <c r="BS66" s="6593">
        <v>-6.7442278800000004</v>
      </c>
      <c r="BT66" s="6595">
        <v>8.6368534399999994</v>
      </c>
      <c r="BU66" s="6595">
        <v>8.6179002199999992</v>
      </c>
      <c r="BV66" s="6537">
        <v>-7.0925130699999999</v>
      </c>
      <c r="BW66" s="6538">
        <v>8.8066315300000007</v>
      </c>
      <c r="BX66" s="6536">
        <v>9.1612363099999996</v>
      </c>
      <c r="BY66" s="6538">
        <v>-6.7188190499999996</v>
      </c>
      <c r="BZ66" s="6538">
        <v>9.1146556000000007</v>
      </c>
      <c r="CA66" s="6538">
        <v>9.9594284999999996</v>
      </c>
      <c r="CB66" s="6538">
        <v>-6.5082547799999997</v>
      </c>
      <c r="CC66" s="6592">
        <f t="shared" si="77"/>
        <v>44.885398190000004</v>
      </c>
      <c r="CD66" s="6536">
        <v>10.097557849999999</v>
      </c>
      <c r="CE66" s="6590">
        <v>9.1168888500000005</v>
      </c>
      <c r="CF66" s="3990"/>
      <c r="CG66" s="3994"/>
      <c r="CH66" s="3994"/>
      <c r="CI66" s="3687"/>
      <c r="CJ66" s="596"/>
      <c r="CK66" s="3760"/>
      <c r="CL66" s="596"/>
      <c r="CM66" s="596"/>
      <c r="CN66" s="596"/>
      <c r="CO66" s="596"/>
      <c r="CP66" s="3761" t="e">
        <f t="shared" si="82"/>
        <v>#N/A</v>
      </c>
      <c r="CQ66" s="3797">
        <f t="shared" si="83"/>
        <v>0</v>
      </c>
      <c r="CR66" s="6862">
        <f t="shared" si="78"/>
        <v>-0.9806689999999989</v>
      </c>
      <c r="CS66" s="6747">
        <f t="shared" si="79"/>
        <v>0.35896978999999973</v>
      </c>
      <c r="CT66" s="607"/>
      <c r="CU66" s="6911">
        <f t="shared" si="6"/>
        <v>19.2144467</v>
      </c>
      <c r="CV66" s="6936">
        <f t="shared" si="80"/>
        <v>19.2144467</v>
      </c>
      <c r="CW66" s="6915">
        <f t="shared" si="84"/>
        <v>0</v>
      </c>
      <c r="CX66" s="6749">
        <f t="shared" si="14"/>
        <v>1.5619393299999977</v>
      </c>
      <c r="CY66" s="2775"/>
      <c r="CZ66" s="590"/>
      <c r="DA66" s="602"/>
      <c r="DB66" s="602"/>
      <c r="DC66" s="602"/>
      <c r="DD66" s="602"/>
      <c r="DE66" s="602"/>
      <c r="DF66" s="602"/>
      <c r="DG66" s="602"/>
      <c r="DH66" s="602"/>
      <c r="DI66" s="602"/>
      <c r="DJ66" s="602"/>
      <c r="DK66" s="602"/>
      <c r="DL66" s="602"/>
      <c r="DM66" s="603">
        <f t="shared" si="27"/>
        <v>0</v>
      </c>
      <c r="DO66" s="2261"/>
      <c r="DP66" s="2261"/>
      <c r="DS66" s="2261"/>
      <c r="DT66" s="2261"/>
    </row>
    <row r="67" spans="1:124" ht="16.3" customHeight="1" thickBot="1" x14ac:dyDescent="0.6">
      <c r="A67" s="3988"/>
      <c r="B67" s="4013"/>
      <c r="C67" s="3997" t="s">
        <v>698</v>
      </c>
      <c r="D67" s="4013"/>
      <c r="E67" s="3999"/>
      <c r="F67" s="4000"/>
      <c r="G67" s="4001"/>
      <c r="H67" s="4001"/>
      <c r="I67" s="4001"/>
      <c r="J67" s="4001"/>
      <c r="K67" s="4001"/>
      <c r="L67" s="4001"/>
      <c r="M67" s="4001"/>
      <c r="N67" s="4001"/>
      <c r="O67" s="4001"/>
      <c r="P67" s="4001"/>
      <c r="Q67" s="4002"/>
      <c r="R67" s="4001"/>
      <c r="S67" s="4001"/>
      <c r="T67" s="4001"/>
      <c r="U67" s="4001"/>
      <c r="V67" s="4001"/>
      <c r="W67" s="4001"/>
      <c r="X67" s="4001"/>
      <c r="Y67" s="4001"/>
      <c r="Z67" s="4001"/>
      <c r="AA67" s="4001"/>
      <c r="AB67" s="4001"/>
      <c r="AC67" s="4001"/>
      <c r="AD67" s="4000"/>
      <c r="AE67" s="4001"/>
      <c r="AF67" s="4001"/>
      <c r="AG67" s="4001"/>
      <c r="AH67" s="4001"/>
      <c r="AI67" s="4001"/>
      <c r="AJ67" s="4001"/>
      <c r="AK67" s="4001"/>
      <c r="AL67" s="4001"/>
      <c r="AM67" s="4001"/>
      <c r="AN67" s="4001"/>
      <c r="AO67" s="4001"/>
      <c r="AP67" s="4002"/>
      <c r="AQ67" s="4003">
        <v>0.85705911999999995</v>
      </c>
      <c r="AR67" s="4004">
        <v>0.94099297000000004</v>
      </c>
      <c r="AS67" s="4004">
        <v>0.79286400000000001</v>
      </c>
      <c r="AT67" s="4004">
        <v>0.60344215000000001</v>
      </c>
      <c r="AU67" s="4004">
        <v>0.53936982999999994</v>
      </c>
      <c r="AV67" s="4004">
        <v>0.62379388000000002</v>
      </c>
      <c r="AW67" s="4004">
        <v>0.73463150999999993</v>
      </c>
      <c r="AX67" s="4004">
        <v>0.96102293999999999</v>
      </c>
      <c r="AY67" s="4004">
        <v>0.85668051000000001</v>
      </c>
      <c r="AZ67" s="4004">
        <v>0.62290697000000006</v>
      </c>
      <c r="BA67" s="4004">
        <v>0.57340108000000001</v>
      </c>
      <c r="BB67" s="4004">
        <v>0.69938126999999994</v>
      </c>
      <c r="BC67" s="4005">
        <v>8.8055462300000009</v>
      </c>
      <c r="BD67" s="4006">
        <v>0.81363116999999996</v>
      </c>
      <c r="BE67" s="4007">
        <v>0.93101246999999998</v>
      </c>
      <c r="BF67" s="4007">
        <v>0.74648700999999995</v>
      </c>
      <c r="BG67" s="4007">
        <v>0.61250384000000002</v>
      </c>
      <c r="BH67" s="4007">
        <v>0.57446894000000004</v>
      </c>
      <c r="BI67" s="4007">
        <v>0.60809387999999998</v>
      </c>
      <c r="BJ67" s="4007">
        <v>0.78512665000000004</v>
      </c>
      <c r="BK67" s="4007">
        <v>0.9843731</v>
      </c>
      <c r="BL67" s="4007">
        <v>0.92335248000000003</v>
      </c>
      <c r="BM67" s="4007">
        <v>0.73169116999999995</v>
      </c>
      <c r="BN67" s="4007">
        <v>0.56033701999999996</v>
      </c>
      <c r="BO67" s="4007">
        <v>0.72321263000000002</v>
      </c>
      <c r="BP67" s="6602">
        <v>8.9942903600000026</v>
      </c>
      <c r="BQ67" s="6606">
        <v>0.82053047999999995</v>
      </c>
      <c r="BR67" s="6598">
        <v>0.88010606000000002</v>
      </c>
      <c r="BS67" s="6599">
        <v>0.82276914000000001</v>
      </c>
      <c r="BT67" s="6605">
        <v>0.58118793000000002</v>
      </c>
      <c r="BU67" s="6605">
        <v>0.53026055000000005</v>
      </c>
      <c r="BV67" s="6604">
        <v>0.57015318999999998</v>
      </c>
      <c r="BW67" s="6601">
        <v>0.72172119000000001</v>
      </c>
      <c r="BX67" s="6604">
        <v>0.83281161000000004</v>
      </c>
      <c r="BY67" s="6601">
        <v>0.78448392</v>
      </c>
      <c r="BZ67" s="6601">
        <v>0.62359114999999998</v>
      </c>
      <c r="CA67" s="6601">
        <v>0.52352582999999997</v>
      </c>
      <c r="CB67" s="6601">
        <v>0.57497469999999995</v>
      </c>
      <c r="CC67" s="6602">
        <f t="shared" si="77"/>
        <v>8.2661157500000009</v>
      </c>
      <c r="CD67" s="6606">
        <v>0.74576703</v>
      </c>
      <c r="CE67" s="6598">
        <v>0.82514159000000009</v>
      </c>
      <c r="CF67" s="4007"/>
      <c r="CG67" s="4015"/>
      <c r="CH67" s="4015"/>
      <c r="CI67" s="4014"/>
      <c r="CJ67" s="4010"/>
      <c r="CK67" s="4014"/>
      <c r="CL67" s="4010"/>
      <c r="CM67" s="4010"/>
      <c r="CN67" s="4010"/>
      <c r="CO67" s="4010"/>
      <c r="CP67" s="4011" t="e">
        <f t="shared" si="82"/>
        <v>#N/A</v>
      </c>
      <c r="CQ67" s="3797">
        <f t="shared" si="83"/>
        <v>0</v>
      </c>
      <c r="CR67" s="6880">
        <f t="shared" si="78"/>
        <v>7.9374560000000094E-2</v>
      </c>
      <c r="CS67" s="6881">
        <f t="shared" si="79"/>
        <v>-5.4964469999999932E-2</v>
      </c>
      <c r="CT67" s="4012"/>
      <c r="CU67" s="6937">
        <f t="shared" si="6"/>
        <v>1.57090862</v>
      </c>
      <c r="CV67" s="6938">
        <f t="shared" si="80"/>
        <v>1.57090862</v>
      </c>
      <c r="CW67" s="6939">
        <f t="shared" si="84"/>
        <v>0</v>
      </c>
      <c r="CX67" s="6750">
        <f t="shared" si="14"/>
        <v>-0.12972792000000011</v>
      </c>
      <c r="CY67" s="2775"/>
      <c r="CZ67" s="590"/>
      <c r="DA67" s="602"/>
      <c r="DB67" s="602"/>
      <c r="DC67" s="602"/>
      <c r="DD67" s="602"/>
      <c r="DE67" s="602"/>
      <c r="DF67" s="602"/>
      <c r="DG67" s="602"/>
      <c r="DH67" s="602"/>
      <c r="DI67" s="602"/>
      <c r="DJ67" s="602"/>
      <c r="DK67" s="602"/>
      <c r="DL67" s="602"/>
      <c r="DM67" s="603">
        <f t="shared" si="27"/>
        <v>0</v>
      </c>
      <c r="DO67" s="2261"/>
      <c r="DP67" s="2261"/>
      <c r="DS67" s="2261"/>
      <c r="DT67" s="2261"/>
    </row>
    <row r="68" spans="1:124" ht="16.3" customHeight="1" thickBot="1" x14ac:dyDescent="0.6">
      <c r="A68" s="3988"/>
      <c r="B68" s="4016" t="s">
        <v>15</v>
      </c>
      <c r="C68" s="4017"/>
      <c r="D68" s="4017"/>
      <c r="E68" s="4018"/>
      <c r="F68" s="4019">
        <v>1.8441950199999999</v>
      </c>
      <c r="G68" s="4020">
        <v>1.7908790400000001</v>
      </c>
      <c r="H68" s="4020">
        <v>17.572634610000001</v>
      </c>
      <c r="I68" s="4020">
        <v>1.69229914</v>
      </c>
      <c r="J68" s="4020">
        <v>1.6372880700000001</v>
      </c>
      <c r="K68" s="4020">
        <v>16.47322921</v>
      </c>
      <c r="L68" s="4020">
        <v>1.5614584199999999</v>
      </c>
      <c r="M68" s="4020">
        <v>1.49912241</v>
      </c>
      <c r="N68" s="4020">
        <v>15.570008489999999</v>
      </c>
      <c r="O68" s="4020">
        <v>1.28823887</v>
      </c>
      <c r="P68" s="4020">
        <v>1.2643026900000001</v>
      </c>
      <c r="Q68" s="4021">
        <v>14.820513439999999</v>
      </c>
      <c r="R68" s="4020">
        <v>1.2040128600000002</v>
      </c>
      <c r="S68" s="4020">
        <v>1.1966828500000002</v>
      </c>
      <c r="T68" s="4020">
        <v>14.52381875</v>
      </c>
      <c r="U68" s="4020">
        <v>1.1806222</v>
      </c>
      <c r="V68" s="4020">
        <v>1.1701974900000001</v>
      </c>
      <c r="W68" s="4020">
        <v>14.090148510000001</v>
      </c>
      <c r="X68" s="4020">
        <v>1.1379748700000001</v>
      </c>
      <c r="Y68" s="4020">
        <v>1.1343645500000001</v>
      </c>
      <c r="Z68" s="4020">
        <v>13.599379050000001</v>
      </c>
      <c r="AA68" s="4020">
        <v>1.11064257</v>
      </c>
      <c r="AB68" s="4020">
        <v>1.09759356</v>
      </c>
      <c r="AC68" s="4020">
        <v>12.57087042</v>
      </c>
      <c r="AD68" s="4019">
        <v>1.0900000000000001</v>
      </c>
      <c r="AE68" s="4020">
        <v>1.091</v>
      </c>
      <c r="AF68" s="4020">
        <v>1.2629999999999999</v>
      </c>
      <c r="AG68" s="4020">
        <v>1.12925963</v>
      </c>
      <c r="AH68" s="4020">
        <v>1.1194170800000001</v>
      </c>
      <c r="AI68" s="4020">
        <v>12.27241282</v>
      </c>
      <c r="AJ68" s="4020">
        <v>1.1096661800000001</v>
      </c>
      <c r="AK68" s="4020">
        <v>1.1080226399999999</v>
      </c>
      <c r="AL68" s="4020">
        <v>13.781009709999999</v>
      </c>
      <c r="AM68" s="4020">
        <v>0.69966214000000004</v>
      </c>
      <c r="AN68" s="4020">
        <v>0.70322174000000004</v>
      </c>
      <c r="AO68" s="4020">
        <v>14.550508110000001</v>
      </c>
      <c r="AP68" s="4021"/>
      <c r="AQ68" s="4022">
        <v>0.74262206999999991</v>
      </c>
      <c r="AR68" s="4023">
        <v>0.7744553999999999</v>
      </c>
      <c r="AS68" s="4023">
        <v>14.416923960000002</v>
      </c>
      <c r="AT68" s="4023">
        <v>0.78998683000000003</v>
      </c>
      <c r="AU68" s="4023">
        <v>0.79131074000000001</v>
      </c>
      <c r="AV68" s="4023">
        <v>14.503235609999999</v>
      </c>
      <c r="AW68" s="4023">
        <v>0.90104266999999993</v>
      </c>
      <c r="AX68" s="4023">
        <v>0.88435212000000007</v>
      </c>
      <c r="AY68" s="4023">
        <v>14.650685309999998</v>
      </c>
      <c r="AZ68" s="4023">
        <v>0.89288020000000001</v>
      </c>
      <c r="BA68" s="4023">
        <v>0.86426654999999997</v>
      </c>
      <c r="BB68" s="4023">
        <v>14.156612180000002</v>
      </c>
      <c r="BC68" s="4024">
        <v>64.368373640000002</v>
      </c>
      <c r="BD68" s="4025">
        <v>0.87261593999999998</v>
      </c>
      <c r="BE68" s="4026">
        <v>0.6763382</v>
      </c>
      <c r="BF68" s="4026">
        <v>14.193982180000001</v>
      </c>
      <c r="BG68" s="4026">
        <v>0.68559320000000001</v>
      </c>
      <c r="BH68" s="4026">
        <v>0.68502802000000007</v>
      </c>
      <c r="BI68" s="4026">
        <v>14.313231510000001</v>
      </c>
      <c r="BJ68" s="4026">
        <v>0.66797169000000001</v>
      </c>
      <c r="BK68" s="4026">
        <v>0.66797169000000001</v>
      </c>
      <c r="BL68" s="4026">
        <v>14.982724259999999</v>
      </c>
      <c r="BM68" s="4026">
        <v>0.66797172999999999</v>
      </c>
      <c r="BN68" s="4026">
        <v>0.66298950000000001</v>
      </c>
      <c r="BO68" s="4026">
        <v>14.58285382</v>
      </c>
      <c r="BP68" s="6613">
        <v>63.659271740000008</v>
      </c>
      <c r="BQ68" s="6607">
        <v>0.65426589999999996</v>
      </c>
      <c r="BR68" s="6608">
        <v>0.65426589999999996</v>
      </c>
      <c r="BS68" s="6609">
        <v>14.606176850000001</v>
      </c>
      <c r="BT68" s="6610">
        <v>0.64824418000000006</v>
      </c>
      <c r="BU68" s="6610">
        <v>0.64533783</v>
      </c>
      <c r="BV68" s="6611">
        <v>14.50026212</v>
      </c>
      <c r="BW68" s="6612">
        <v>0.64204667000000004</v>
      </c>
      <c r="BX68" s="6611">
        <v>0.64204667000000004</v>
      </c>
      <c r="BY68" s="6612">
        <v>14.771109919999999</v>
      </c>
      <c r="BZ68" s="6612">
        <v>0.63622778999999996</v>
      </c>
      <c r="CA68" s="6612">
        <v>0.63622778999999996</v>
      </c>
      <c r="CB68" s="6612">
        <v>14.84540185</v>
      </c>
      <c r="CC68" s="6613">
        <f t="shared" si="77"/>
        <v>63.881613469999998</v>
      </c>
      <c r="CD68" s="6607">
        <v>0.34813080000000002</v>
      </c>
      <c r="CE68" s="6608">
        <v>0.34813080000000002</v>
      </c>
      <c r="CF68" s="4026"/>
      <c r="CG68" s="4027"/>
      <c r="CH68" s="4027"/>
      <c r="CI68" s="4028"/>
      <c r="CJ68" s="4029"/>
      <c r="CK68" s="4028"/>
      <c r="CL68" s="4029"/>
      <c r="CM68" s="4029"/>
      <c r="CN68" s="4029"/>
      <c r="CO68" s="4029"/>
      <c r="CP68" s="4030" t="e">
        <f t="shared" si="82"/>
        <v>#N/A</v>
      </c>
      <c r="CQ68" s="3797">
        <f t="shared" si="83"/>
        <v>0</v>
      </c>
      <c r="CR68" s="6882">
        <f t="shared" si="78"/>
        <v>0</v>
      </c>
      <c r="CS68" s="6883">
        <f t="shared" si="79"/>
        <v>-0.30613509999999994</v>
      </c>
      <c r="CT68" s="4031"/>
      <c r="CU68" s="6940">
        <f t="shared" si="6"/>
        <v>0.69626160000000004</v>
      </c>
      <c r="CV68" s="6941">
        <f t="shared" si="80"/>
        <v>0.69626160000000004</v>
      </c>
      <c r="CW68" s="6942">
        <f t="shared" si="84"/>
        <v>0</v>
      </c>
      <c r="CX68" s="6751">
        <f t="shared" si="14"/>
        <v>-0.61227019999999988</v>
      </c>
      <c r="CY68" s="2775"/>
      <c r="CZ68" s="590"/>
      <c r="DA68" s="602"/>
      <c r="DB68" s="602"/>
      <c r="DC68" s="602"/>
      <c r="DD68" s="602"/>
      <c r="DE68" s="602"/>
      <c r="DF68" s="602"/>
      <c r="DG68" s="602"/>
      <c r="DH68" s="602"/>
      <c r="DI68" s="602"/>
      <c r="DJ68" s="602"/>
      <c r="DK68" s="602"/>
      <c r="DL68" s="602"/>
      <c r="DM68" s="603">
        <f t="shared" si="27"/>
        <v>0</v>
      </c>
      <c r="DO68" s="2261"/>
      <c r="DP68" s="2261"/>
      <c r="DS68" s="2261"/>
      <c r="DT68" s="2261"/>
    </row>
    <row r="69" spans="1:124" ht="16.3" customHeight="1" x14ac:dyDescent="0.55000000000000004">
      <c r="A69" s="3988"/>
      <c r="B69" s="3989" t="s">
        <v>16</v>
      </c>
      <c r="C69" s="555"/>
      <c r="D69" s="555"/>
      <c r="F69" s="3752">
        <v>27.660553999999991</v>
      </c>
      <c r="G69" s="3753">
        <v>18.487483529999999</v>
      </c>
      <c r="H69" s="3753">
        <v>17.471827050000009</v>
      </c>
      <c r="I69" s="3753">
        <v>16.860529660000008</v>
      </c>
      <c r="J69" s="3753">
        <v>17.028907090000015</v>
      </c>
      <c r="K69" s="3753">
        <v>18.084047309999995</v>
      </c>
      <c r="L69" s="3753">
        <v>17.787092969999989</v>
      </c>
      <c r="M69" s="3753">
        <v>18.243676670000006</v>
      </c>
      <c r="N69" s="3753">
        <v>16.812660459999996</v>
      </c>
      <c r="O69" s="3753">
        <v>16.453237200000018</v>
      </c>
      <c r="P69" s="3753">
        <v>19.021118559999998</v>
      </c>
      <c r="Q69" s="3754">
        <v>23.776860049999996</v>
      </c>
      <c r="R69" s="3753">
        <v>25.080497000000001</v>
      </c>
      <c r="S69" s="3753">
        <v>16.589971629999997</v>
      </c>
      <c r="T69" s="3753">
        <v>16.309990200000001</v>
      </c>
      <c r="U69" s="3753">
        <v>17.572574260000003</v>
      </c>
      <c r="V69" s="3753">
        <v>16.41467115</v>
      </c>
      <c r="W69" s="3753">
        <v>22.007546519999995</v>
      </c>
      <c r="X69" s="3753">
        <v>26.616913359999995</v>
      </c>
      <c r="Y69" s="3753">
        <v>19.865705930000001</v>
      </c>
      <c r="Z69" s="3753">
        <v>20.905572100000001</v>
      </c>
      <c r="AA69" s="3753">
        <v>25.726456719999998</v>
      </c>
      <c r="AB69" s="3753">
        <v>22.32758918</v>
      </c>
      <c r="AC69" s="3753">
        <v>45.154169259999996</v>
      </c>
      <c r="AD69" s="3752">
        <f>AD54-SUM(AD55:AD68)</f>
        <v>18.290000000000006</v>
      </c>
      <c r="AE69" s="3753">
        <f>AE54-SUM(AE55:AE68)</f>
        <v>19.094999999999999</v>
      </c>
      <c r="AF69" s="3753">
        <f>AF54-AF55-AF61-AF65-AF68</f>
        <v>32.573999999999991</v>
      </c>
      <c r="AG69" s="3753">
        <v>24.665246920000001</v>
      </c>
      <c r="AH69" s="3753">
        <v>21.646933910000001</v>
      </c>
      <c r="AI69" s="3753">
        <v>20.911673619999998</v>
      </c>
      <c r="AJ69" s="3753">
        <v>29.878105889999954</v>
      </c>
      <c r="AK69" s="3753">
        <v>25.182821350000054</v>
      </c>
      <c r="AL69" s="3753">
        <v>22.271546860000015</v>
      </c>
      <c r="AM69" s="3753">
        <v>24.760876939999999</v>
      </c>
      <c r="AN69" s="3753">
        <v>22.99064421000001</v>
      </c>
      <c r="AO69" s="3755">
        <v>34.386595060000005</v>
      </c>
      <c r="AP69" s="3754"/>
      <c r="AQ69" s="3756">
        <v>21.705428880000003</v>
      </c>
      <c r="AR69" s="3757">
        <v>22.274147029999998</v>
      </c>
      <c r="AS69" s="3757">
        <v>24.0317042</v>
      </c>
      <c r="AT69" s="3757">
        <v>23.141441489999998</v>
      </c>
      <c r="AU69" s="3757">
        <v>20.823820430000001</v>
      </c>
      <c r="AV69" s="3757">
        <v>23.691168639999997</v>
      </c>
      <c r="AW69" s="3757">
        <v>24.491007190000005</v>
      </c>
      <c r="AX69" s="3757">
        <v>29.984172739999998</v>
      </c>
      <c r="AY69" s="3757">
        <v>21.673296000000001</v>
      </c>
      <c r="AZ69" s="3757">
        <v>31.177397399999997</v>
      </c>
      <c r="BA69" s="3757">
        <v>29.200434000000001</v>
      </c>
      <c r="BB69" s="3757">
        <v>33.672513979999984</v>
      </c>
      <c r="BC69" s="3758">
        <v>305.86653197999993</v>
      </c>
      <c r="BD69" s="628">
        <v>25.772777389999998</v>
      </c>
      <c r="BE69" s="3990">
        <v>28.175300730000004</v>
      </c>
      <c r="BF69" s="3990">
        <v>23.288167819999998</v>
      </c>
      <c r="BG69" s="757">
        <v>24.295301419999998</v>
      </c>
      <c r="BH69" s="757">
        <v>23.049770819999999</v>
      </c>
      <c r="BI69" s="757">
        <v>24.794103979999996</v>
      </c>
      <c r="BJ69" s="757">
        <v>36.084520089999998</v>
      </c>
      <c r="BK69" s="757">
        <v>36.02465127</v>
      </c>
      <c r="BL69" s="757">
        <v>33.082771619999995</v>
      </c>
      <c r="BM69" s="757">
        <v>37.457633220000005</v>
      </c>
      <c r="BN69" s="757">
        <v>28.92146503</v>
      </c>
      <c r="BO69" s="757">
        <v>40.784050430000001</v>
      </c>
      <c r="BP69" s="6592">
        <v>361.73051381999994</v>
      </c>
      <c r="BQ69" s="6614">
        <v>27.117529949999994</v>
      </c>
      <c r="BR69" s="6591">
        <v>30.303052530000002</v>
      </c>
      <c r="BS69" s="6593">
        <v>24.440859979999999</v>
      </c>
      <c r="BT69" s="6594">
        <v>28.862476630000003</v>
      </c>
      <c r="BU69" s="6594">
        <v>28.879000459999997</v>
      </c>
      <c r="BV69" s="6544">
        <v>29.676162650000002</v>
      </c>
      <c r="BW69" s="6538">
        <v>36.133007460000002</v>
      </c>
      <c r="BX69" s="6544">
        <v>28.58526268</v>
      </c>
      <c r="BY69" s="6538">
        <v>38.206048460000005</v>
      </c>
      <c r="BZ69" s="6538">
        <v>27.32648064</v>
      </c>
      <c r="CA69" s="6538">
        <v>34.553813720000001</v>
      </c>
      <c r="CB69" s="6538">
        <v>51.147992049999999</v>
      </c>
      <c r="CC69" s="6592">
        <f t="shared" si="77"/>
        <v>385.23168721000002</v>
      </c>
      <c r="CD69" s="6614">
        <v>28.15214083</v>
      </c>
      <c r="CE69" s="6591">
        <v>29.470009209999997</v>
      </c>
      <c r="CF69" s="3990"/>
      <c r="CG69" s="3993"/>
      <c r="CH69" s="3993"/>
      <c r="CI69" s="3813"/>
      <c r="CJ69" s="596"/>
      <c r="CK69" s="3813"/>
      <c r="CL69" s="596"/>
      <c r="CM69" s="596"/>
      <c r="CN69" s="596"/>
      <c r="CO69" s="596"/>
      <c r="CP69" s="3761" t="e">
        <f t="shared" si="82"/>
        <v>#N/A</v>
      </c>
      <c r="CQ69" s="3797">
        <f t="shared" si="83"/>
        <v>0</v>
      </c>
      <c r="CR69" s="6862">
        <f t="shared" si="78"/>
        <v>1.3178683799999966</v>
      </c>
      <c r="CS69" s="6747">
        <f t="shared" si="79"/>
        <v>-0.83304332000000514</v>
      </c>
      <c r="CT69" s="607"/>
      <c r="CU69" s="6911">
        <f t="shared" ref="CU69:CU132" si="88">SUM(CD69:CO69)</f>
        <v>57.622150039999994</v>
      </c>
      <c r="CV69" s="6936">
        <f t="shared" si="80"/>
        <v>57.622150039999994</v>
      </c>
      <c r="CW69" s="6915">
        <f t="shared" si="84"/>
        <v>0</v>
      </c>
      <c r="CX69" s="6749">
        <f t="shared" si="14"/>
        <v>0.20156756000000087</v>
      </c>
      <c r="CY69" s="2775"/>
      <c r="CZ69" s="590"/>
      <c r="DA69" s="602"/>
      <c r="DB69" s="602"/>
      <c r="DC69" s="602"/>
      <c r="DD69" s="602"/>
      <c r="DE69" s="602"/>
      <c r="DF69" s="602"/>
      <c r="DG69" s="602"/>
      <c r="DH69" s="602"/>
      <c r="DI69" s="602"/>
      <c r="DJ69" s="602"/>
      <c r="DK69" s="602"/>
      <c r="DL69" s="602"/>
      <c r="DM69" s="603">
        <f t="shared" si="27"/>
        <v>0</v>
      </c>
      <c r="DO69" s="2261"/>
      <c r="DP69" s="2261"/>
      <c r="DS69" s="2261"/>
      <c r="DT69" s="2261"/>
    </row>
    <row r="70" spans="1:124" ht="16.3" customHeight="1" x14ac:dyDescent="0.55000000000000004">
      <c r="A70" s="3988"/>
      <c r="B70" s="555"/>
      <c r="C70" s="555" t="s">
        <v>120</v>
      </c>
      <c r="D70" s="4032" t="s">
        <v>1031</v>
      </c>
      <c r="E70" s="4033"/>
      <c r="F70" s="3752">
        <v>8.9343964299999996</v>
      </c>
      <c r="G70" s="3753">
        <v>8.5207308099999999</v>
      </c>
      <c r="H70" s="3753">
        <v>7.9305403700000001</v>
      </c>
      <c r="I70" s="3753">
        <v>7.8399078400000004</v>
      </c>
      <c r="J70" s="3753">
        <v>7.63378669</v>
      </c>
      <c r="K70" s="3753">
        <v>7.2442956799999996</v>
      </c>
      <c r="L70" s="3753">
        <v>7.6686047400000001</v>
      </c>
      <c r="M70" s="3753">
        <v>7.4987103700000004</v>
      </c>
      <c r="N70" s="3753">
        <v>7.30548822</v>
      </c>
      <c r="O70" s="3753">
        <v>7.2134749899999999</v>
      </c>
      <c r="P70" s="3753">
        <v>7.16931049</v>
      </c>
      <c r="Q70" s="3754">
        <v>12.49828638</v>
      </c>
      <c r="R70" s="3753">
        <v>6.90321169</v>
      </c>
      <c r="S70" s="3753">
        <v>6.7695900599999996</v>
      </c>
      <c r="T70" s="3753">
        <v>6.6419764000000008</v>
      </c>
      <c r="U70" s="3753">
        <v>7.4492326100000001</v>
      </c>
      <c r="V70" s="3753">
        <v>6.8656929400000006</v>
      </c>
      <c r="W70" s="3753">
        <v>10.863175269999999</v>
      </c>
      <c r="X70" s="3753">
        <v>14.250370289999999</v>
      </c>
      <c r="Y70" s="3753">
        <v>7.5903317800000005</v>
      </c>
      <c r="Z70" s="3753">
        <v>8.2488507099999993</v>
      </c>
      <c r="AA70" s="3753">
        <v>12.50349503</v>
      </c>
      <c r="AB70" s="3753">
        <v>8.67832662</v>
      </c>
      <c r="AC70" s="3753">
        <v>18.17389859</v>
      </c>
      <c r="AD70" s="4034">
        <v>8.01</v>
      </c>
      <c r="AE70" s="4035">
        <v>7.9630000000000001</v>
      </c>
      <c r="AF70" s="4035">
        <v>8.7829999999999995</v>
      </c>
      <c r="AG70" s="4035">
        <v>8.9954166999999998</v>
      </c>
      <c r="AH70" s="4035">
        <v>8.6188182199999996</v>
      </c>
      <c r="AI70" s="4035">
        <v>8.3979437899999994</v>
      </c>
      <c r="AJ70" s="3753">
        <v>8.6092223299999997</v>
      </c>
      <c r="AK70" s="3753">
        <v>10.42275295</v>
      </c>
      <c r="AL70" s="3753">
        <v>9.5851020500000015</v>
      </c>
      <c r="AM70" s="3753">
        <v>9.8112929999999992</v>
      </c>
      <c r="AN70" s="3753">
        <v>9.5922288099999999</v>
      </c>
      <c r="AO70" s="3755">
        <v>15.07909424</v>
      </c>
      <c r="AP70" s="3754"/>
      <c r="AQ70" s="3756">
        <v>8.8479042600000017</v>
      </c>
      <c r="AR70" s="3757">
        <v>9.3419312100000003</v>
      </c>
      <c r="AS70" s="3757">
        <v>10.98023382</v>
      </c>
      <c r="AT70" s="3757">
        <v>10.43699181</v>
      </c>
      <c r="AU70" s="3757">
        <v>9.4584486299999995</v>
      </c>
      <c r="AV70" s="3757">
        <v>11.983378419999999</v>
      </c>
      <c r="AW70" s="3757">
        <v>10.262751290000001</v>
      </c>
      <c r="AX70" s="3757">
        <v>11.067936339999999</v>
      </c>
      <c r="AY70" s="3757">
        <v>10.375607309999999</v>
      </c>
      <c r="AZ70" s="3757">
        <v>16.877777229999996</v>
      </c>
      <c r="BA70" s="3757">
        <v>16.06811424</v>
      </c>
      <c r="BB70" s="3757">
        <v>13.643912849999998</v>
      </c>
      <c r="BC70" s="3758">
        <v>139.34498740999999</v>
      </c>
      <c r="BD70" s="628">
        <v>11.741474290000001</v>
      </c>
      <c r="BE70" s="3990">
        <v>15.763383839999999</v>
      </c>
      <c r="BF70" s="3990">
        <v>11.145961680000001</v>
      </c>
      <c r="BG70" s="757">
        <v>12.136766399999999</v>
      </c>
      <c r="BH70" s="757">
        <v>11.842320480000001</v>
      </c>
      <c r="BI70" s="757">
        <v>10.86711341</v>
      </c>
      <c r="BJ70" s="757">
        <v>13.252516459999999</v>
      </c>
      <c r="BK70" s="757">
        <v>24.75736719</v>
      </c>
      <c r="BL70" s="757">
        <v>20.265320169999999</v>
      </c>
      <c r="BM70" s="757">
        <v>20.048122200000002</v>
      </c>
      <c r="BN70" s="757">
        <v>14.7036184</v>
      </c>
      <c r="BO70" s="757">
        <v>21.47450632</v>
      </c>
      <c r="BP70" s="6592">
        <v>187.99847083999998</v>
      </c>
      <c r="BQ70" s="6615">
        <v>14.25933495</v>
      </c>
      <c r="BR70" s="6591">
        <v>16.11374223</v>
      </c>
      <c r="BS70" s="6593">
        <v>13.015234319999999</v>
      </c>
      <c r="BT70" s="6595">
        <v>16.231489060000001</v>
      </c>
      <c r="BU70" s="6595">
        <v>15.242258639999999</v>
      </c>
      <c r="BV70" s="6536">
        <v>16.64012511</v>
      </c>
      <c r="BW70" s="6538">
        <v>18.045363380000001</v>
      </c>
      <c r="BX70" s="6536">
        <v>15.730022440000001</v>
      </c>
      <c r="BY70" s="6538">
        <v>21.1699837</v>
      </c>
      <c r="BZ70" s="6538">
        <v>13.592907370000001</v>
      </c>
      <c r="CA70" s="6538">
        <v>19.962045929999999</v>
      </c>
      <c r="CB70" s="6538">
        <v>29.77658379</v>
      </c>
      <c r="CC70" s="6592">
        <f t="shared" si="77"/>
        <v>209.77909091999999</v>
      </c>
      <c r="CD70" s="6615">
        <v>10.473522239999999</v>
      </c>
      <c r="CE70" s="6591">
        <v>16.345429899999999</v>
      </c>
      <c r="CF70" s="3990"/>
      <c r="CG70" s="3994"/>
      <c r="CH70" s="3994"/>
      <c r="CI70" s="3760"/>
      <c r="CJ70" s="596"/>
      <c r="CK70" s="3760"/>
      <c r="CL70" s="596"/>
      <c r="CM70" s="596"/>
      <c r="CN70" s="596"/>
      <c r="CO70" s="596"/>
      <c r="CP70" s="3761" t="e">
        <f t="shared" si="82"/>
        <v>#N/A</v>
      </c>
      <c r="CQ70" s="3797">
        <f t="shared" si="83"/>
        <v>0</v>
      </c>
      <c r="CR70" s="6862">
        <f t="shared" si="78"/>
        <v>5.8719076599999998</v>
      </c>
      <c r="CS70" s="6747">
        <f t="shared" si="79"/>
        <v>0.23168766999999946</v>
      </c>
      <c r="CT70" s="607"/>
      <c r="CU70" s="6911">
        <f t="shared" si="88"/>
        <v>26.81895214</v>
      </c>
      <c r="CV70" s="6936">
        <f t="shared" si="80"/>
        <v>26.81895214</v>
      </c>
      <c r="CW70" s="6915">
        <f t="shared" si="84"/>
        <v>0</v>
      </c>
      <c r="CX70" s="6749">
        <f t="shared" ref="CX70:CX133" si="89">SUM(CD70:CE70)-SUM(BQ70:BR70)</f>
        <v>-3.5541250399999988</v>
      </c>
      <c r="CY70" s="2775"/>
      <c r="CZ70" s="590"/>
      <c r="DA70" s="602"/>
      <c r="DB70" s="602"/>
      <c r="DC70" s="602"/>
      <c r="DD70" s="602"/>
      <c r="DE70" s="602"/>
      <c r="DF70" s="602"/>
      <c r="DG70" s="602"/>
      <c r="DH70" s="602"/>
      <c r="DI70" s="602"/>
      <c r="DJ70" s="602"/>
      <c r="DK70" s="602"/>
      <c r="DL70" s="602"/>
      <c r="DM70" s="603">
        <f t="shared" si="27"/>
        <v>0</v>
      </c>
      <c r="DO70" s="2261"/>
      <c r="DP70" s="2261"/>
      <c r="DS70" s="2261"/>
      <c r="DT70" s="2261"/>
    </row>
    <row r="71" spans="1:124" ht="16.3" customHeight="1" x14ac:dyDescent="0.55000000000000004">
      <c r="A71" s="3988"/>
      <c r="B71" s="555"/>
      <c r="C71" s="555" t="s">
        <v>122</v>
      </c>
      <c r="D71" s="555"/>
      <c r="F71" s="3752">
        <v>3.11699167</v>
      </c>
      <c r="G71" s="3753">
        <v>2.91721363</v>
      </c>
      <c r="H71" s="3753">
        <v>2.8514561600000001</v>
      </c>
      <c r="I71" s="3753">
        <v>3.0933114599999998</v>
      </c>
      <c r="J71" s="3753">
        <v>2.94197306</v>
      </c>
      <c r="K71" s="3753">
        <v>3.4009307</v>
      </c>
      <c r="L71" s="3753">
        <v>3.1239981800000001</v>
      </c>
      <c r="M71" s="3753">
        <v>3.1093338699999999</v>
      </c>
      <c r="N71" s="3753">
        <v>2.84297939</v>
      </c>
      <c r="O71" s="3753">
        <v>2.7414138000000001</v>
      </c>
      <c r="P71" s="3753">
        <v>3.39628197</v>
      </c>
      <c r="Q71" s="3754">
        <v>3.49435195</v>
      </c>
      <c r="R71" s="3753">
        <v>2.56329516</v>
      </c>
      <c r="S71" s="3753">
        <v>2.5303621299999999</v>
      </c>
      <c r="T71" s="3753">
        <v>3.0998887499999999</v>
      </c>
      <c r="U71" s="3753">
        <v>3.2353885400000002</v>
      </c>
      <c r="V71" s="3753">
        <v>3.0102144700000002</v>
      </c>
      <c r="W71" s="3753">
        <v>4.1704778999999998</v>
      </c>
      <c r="X71" s="3753">
        <v>3.5405752599999998</v>
      </c>
      <c r="Y71" s="3753">
        <v>3.4219849300000003</v>
      </c>
      <c r="Z71" s="3753">
        <v>3.4680098799999999</v>
      </c>
      <c r="AA71" s="3753">
        <v>3.07025002</v>
      </c>
      <c r="AB71" s="3753">
        <v>4.5271628899999996</v>
      </c>
      <c r="AC71" s="3753">
        <v>6.6871367400000006</v>
      </c>
      <c r="AD71" s="3752">
        <v>3.09</v>
      </c>
      <c r="AE71" s="3753">
        <v>2.9689999999999999</v>
      </c>
      <c r="AF71" s="3753">
        <v>3.8332000000000002</v>
      </c>
      <c r="AG71" s="3753">
        <v>5.0026001999999998</v>
      </c>
      <c r="AH71" s="3753">
        <v>4.29535599</v>
      </c>
      <c r="AI71" s="3753">
        <v>4.4958723699999998</v>
      </c>
      <c r="AJ71" s="3753">
        <v>11.509266800000001</v>
      </c>
      <c r="AK71" s="3753">
        <v>5.0029552300000004</v>
      </c>
      <c r="AL71" s="3753">
        <v>4.81328421</v>
      </c>
      <c r="AM71" s="3753">
        <v>5.3628275800000003</v>
      </c>
      <c r="AN71" s="3753">
        <v>5.1983239299999999</v>
      </c>
      <c r="AO71" s="3755">
        <v>9.1828933599999996</v>
      </c>
      <c r="AP71" s="3754"/>
      <c r="AQ71" s="3756">
        <v>4.7874433999999999</v>
      </c>
      <c r="AR71" s="3757">
        <v>4.7190378499999994</v>
      </c>
      <c r="AS71" s="3757">
        <v>5.1492114000000004</v>
      </c>
      <c r="AT71" s="3757">
        <v>5.5242318799999994</v>
      </c>
      <c r="AU71" s="3757">
        <v>4.6397591999999994</v>
      </c>
      <c r="AV71" s="3757">
        <v>4.8933604000000006</v>
      </c>
      <c r="AW71" s="3757">
        <v>5.455420039999999</v>
      </c>
      <c r="AX71" s="3757">
        <v>9.8074200200000003</v>
      </c>
      <c r="AY71" s="3757">
        <v>4.3297332400000004</v>
      </c>
      <c r="AZ71" s="3757">
        <v>5.1007288100000006</v>
      </c>
      <c r="BA71" s="3757">
        <v>5.1294129399999999</v>
      </c>
      <c r="BB71" s="3757">
        <v>10.385882359999998</v>
      </c>
      <c r="BC71" s="3758">
        <v>69.92164154000001</v>
      </c>
      <c r="BD71" s="628">
        <v>4.8833468800000004</v>
      </c>
      <c r="BE71" s="3990">
        <v>4.1316232500000005</v>
      </c>
      <c r="BF71" s="3990">
        <v>4.3862072799999998</v>
      </c>
      <c r="BG71" s="757">
        <v>4.5711065299999998</v>
      </c>
      <c r="BH71" s="757">
        <v>3.9897305899999997</v>
      </c>
      <c r="BI71" s="757">
        <v>4.9188130999999995</v>
      </c>
      <c r="BJ71" s="757">
        <v>5.38334242</v>
      </c>
      <c r="BK71" s="757">
        <v>3.8004313199999999</v>
      </c>
      <c r="BL71" s="757">
        <v>4.1148899600000002</v>
      </c>
      <c r="BM71" s="757">
        <v>4.8541620300000003</v>
      </c>
      <c r="BN71" s="757">
        <v>4.2883191700000003</v>
      </c>
      <c r="BO71" s="757">
        <v>9.9765166799999996</v>
      </c>
      <c r="BP71" s="6592">
        <v>59.29848921</v>
      </c>
      <c r="BQ71" s="6615">
        <v>4.3623994100000001</v>
      </c>
      <c r="BR71" s="6591">
        <v>4.3079148600000003</v>
      </c>
      <c r="BS71" s="6593">
        <v>4.2781094</v>
      </c>
      <c r="BT71" s="6595">
        <v>4.9214912999999996</v>
      </c>
      <c r="BU71" s="6595">
        <v>4.2729929899999997</v>
      </c>
      <c r="BV71" s="6536">
        <v>4.7569622699999998</v>
      </c>
      <c r="BW71" s="6538">
        <v>6.0612594299999998</v>
      </c>
      <c r="BX71" s="6536">
        <v>4.2144966100000003</v>
      </c>
      <c r="BY71" s="6538">
        <v>5.6789280700000004</v>
      </c>
      <c r="BZ71" s="6538">
        <v>4.3927412800000001</v>
      </c>
      <c r="CA71" s="6538">
        <v>4.8066261600000004</v>
      </c>
      <c r="CB71" s="6538">
        <v>10.477525780000001</v>
      </c>
      <c r="CC71" s="6592">
        <f t="shared" si="77"/>
        <v>62.531447559999997</v>
      </c>
      <c r="CD71" s="6615">
        <v>4.7980857200000004</v>
      </c>
      <c r="CE71" s="6591">
        <v>3.8116238999999998</v>
      </c>
      <c r="CF71" s="3990"/>
      <c r="CG71" s="3994"/>
      <c r="CH71" s="3994"/>
      <c r="CI71" s="3760"/>
      <c r="CJ71" s="596"/>
      <c r="CK71" s="3760"/>
      <c r="CL71" s="596"/>
      <c r="CM71" s="596"/>
      <c r="CN71" s="596"/>
      <c r="CO71" s="596"/>
      <c r="CP71" s="3761" t="e">
        <f t="shared" si="82"/>
        <v>#N/A</v>
      </c>
      <c r="CQ71" s="3797">
        <f t="shared" si="83"/>
        <v>0</v>
      </c>
      <c r="CR71" s="6862">
        <f t="shared" si="78"/>
        <v>-0.9864618200000006</v>
      </c>
      <c r="CS71" s="6747">
        <f t="shared" si="79"/>
        <v>-0.4962909600000005</v>
      </c>
      <c r="CT71" s="607"/>
      <c r="CU71" s="6911">
        <f t="shared" si="88"/>
        <v>8.6097096200000003</v>
      </c>
      <c r="CV71" s="6936">
        <f t="shared" si="80"/>
        <v>8.6097096200000003</v>
      </c>
      <c r="CW71" s="6915">
        <f t="shared" si="84"/>
        <v>0</v>
      </c>
      <c r="CX71" s="6749">
        <f t="shared" si="89"/>
        <v>-6.0604650000000149E-2</v>
      </c>
      <c r="CY71" s="2775"/>
      <c r="CZ71" s="590"/>
      <c r="DA71" s="602"/>
      <c r="DB71" s="602"/>
      <c r="DC71" s="602"/>
      <c r="DD71" s="602"/>
      <c r="DE71" s="602"/>
      <c r="DF71" s="602"/>
      <c r="DG71" s="602"/>
      <c r="DH71" s="602"/>
      <c r="DI71" s="602"/>
      <c r="DJ71" s="602"/>
      <c r="DK71" s="602"/>
      <c r="DL71" s="602"/>
      <c r="DM71" s="603">
        <f t="shared" si="27"/>
        <v>0</v>
      </c>
      <c r="DO71" s="2261"/>
      <c r="DP71" s="2261"/>
      <c r="DS71" s="2261"/>
      <c r="DT71" s="2261"/>
    </row>
    <row r="72" spans="1:124" ht="16.3" customHeight="1" x14ac:dyDescent="0.55000000000000004">
      <c r="A72" s="3988"/>
      <c r="B72" s="555"/>
      <c r="C72" s="555" t="s">
        <v>121</v>
      </c>
      <c r="D72" s="555"/>
      <c r="F72" s="3752">
        <v>3.1323659099999999</v>
      </c>
      <c r="G72" s="3753">
        <v>3.4545678899999999</v>
      </c>
      <c r="H72" s="3753">
        <v>3.55991765</v>
      </c>
      <c r="I72" s="3753">
        <v>3.0549493499999998</v>
      </c>
      <c r="J72" s="3753">
        <v>3.5484049999999998</v>
      </c>
      <c r="K72" s="3753">
        <v>3.2154570800000002</v>
      </c>
      <c r="L72" s="3753">
        <v>3.1850304</v>
      </c>
      <c r="M72" s="3753">
        <v>4.00344107</v>
      </c>
      <c r="N72" s="3753">
        <v>3.1647444199999999</v>
      </c>
      <c r="O72" s="3753">
        <v>3.4489373900000002</v>
      </c>
      <c r="P72" s="3753">
        <v>4.8413782899999998</v>
      </c>
      <c r="Q72" s="3754">
        <v>3.8076094999999999</v>
      </c>
      <c r="R72" s="3753">
        <v>4.2138668800000003</v>
      </c>
      <c r="S72" s="3753">
        <v>3.1981531400000001</v>
      </c>
      <c r="T72" s="3753">
        <v>3.3134862699999998</v>
      </c>
      <c r="U72" s="3753">
        <v>3.2323251499999999</v>
      </c>
      <c r="V72" s="3753">
        <v>3.2956618</v>
      </c>
      <c r="W72" s="3753">
        <v>3.5523067200000003</v>
      </c>
      <c r="X72" s="3753">
        <v>3.6172110399999999</v>
      </c>
      <c r="Y72" s="3753">
        <v>4.6127678300000001</v>
      </c>
      <c r="Z72" s="3753">
        <v>4.8668433099999993</v>
      </c>
      <c r="AA72" s="3753">
        <v>6.5011604500000004</v>
      </c>
      <c r="AB72" s="3753">
        <v>5.3065974999999996</v>
      </c>
      <c r="AC72" s="3753">
        <v>4.3862587800000004</v>
      </c>
      <c r="AD72" s="3752">
        <v>3.77</v>
      </c>
      <c r="AE72" s="3753">
        <v>4.4210000000000003</v>
      </c>
      <c r="AF72" s="3753">
        <v>5.1070000000000002</v>
      </c>
      <c r="AG72" s="3753">
        <v>4.6066191700000001</v>
      </c>
      <c r="AH72" s="3753">
        <v>4.4238296400000001</v>
      </c>
      <c r="AI72" s="3753">
        <v>4.1789888399999997</v>
      </c>
      <c r="AJ72" s="3753">
        <v>3.7948032599999997</v>
      </c>
      <c r="AK72" s="3753">
        <v>5.1500113799999996</v>
      </c>
      <c r="AL72" s="3753">
        <v>3.51426156</v>
      </c>
      <c r="AM72" s="3753">
        <v>5.4883955100000001</v>
      </c>
      <c r="AN72" s="3753">
        <v>4.0245764399999997</v>
      </c>
      <c r="AO72" s="3755">
        <v>4.0022745799999999</v>
      </c>
      <c r="AP72" s="3754"/>
      <c r="AQ72" s="3756">
        <v>3.7744305700000003</v>
      </c>
      <c r="AR72" s="3757">
        <v>4.5356723499999996</v>
      </c>
      <c r="AS72" s="3757">
        <v>3.67664262</v>
      </c>
      <c r="AT72" s="3757">
        <v>3.51404943</v>
      </c>
      <c r="AU72" s="3757">
        <v>3.2922386699999997</v>
      </c>
      <c r="AV72" s="3757">
        <v>3.2212681600000002</v>
      </c>
      <c r="AW72" s="3757">
        <v>3.2527263499999997</v>
      </c>
      <c r="AX72" s="3757">
        <v>4.4197614700000001</v>
      </c>
      <c r="AY72" s="3757">
        <v>1.70974944</v>
      </c>
      <c r="AZ72" s="3757">
        <v>5.1977551700000006</v>
      </c>
      <c r="BA72" s="3757">
        <v>3.34941852</v>
      </c>
      <c r="BB72" s="3757">
        <v>3.5357141899999998</v>
      </c>
      <c r="BC72" s="3758">
        <v>43.479426940000003</v>
      </c>
      <c r="BD72" s="628">
        <v>4.7851869900000006</v>
      </c>
      <c r="BE72" s="3990">
        <v>3.9140838900000001</v>
      </c>
      <c r="BF72" s="3990">
        <v>3.5442021100000001</v>
      </c>
      <c r="BG72" s="757">
        <v>3.29903082</v>
      </c>
      <c r="BH72" s="757">
        <v>3.2925166400000001</v>
      </c>
      <c r="BI72" s="757">
        <v>2.99564275</v>
      </c>
      <c r="BJ72" s="757">
        <v>4.5471395799999996</v>
      </c>
      <c r="BK72" s="757">
        <v>2.9864040999999997</v>
      </c>
      <c r="BL72" s="757">
        <v>4.5855045199999998</v>
      </c>
      <c r="BM72" s="757">
        <v>4.2619571599999997</v>
      </c>
      <c r="BN72" s="757">
        <v>3.06472919</v>
      </c>
      <c r="BO72" s="757">
        <v>3.2496453399999998</v>
      </c>
      <c r="BP72" s="6592">
        <v>44.526043090000009</v>
      </c>
      <c r="BQ72" s="6615">
        <v>2.9436073299999999</v>
      </c>
      <c r="BR72" s="6591">
        <v>5.7717226699999999</v>
      </c>
      <c r="BS72" s="6593">
        <v>2.4286420400000002</v>
      </c>
      <c r="BT72" s="6595">
        <v>3.2458543999999998</v>
      </c>
      <c r="BU72" s="6595">
        <v>3.9261589699999999</v>
      </c>
      <c r="BV72" s="6536">
        <v>3.2319973900000001</v>
      </c>
      <c r="BW72" s="6538">
        <v>4.96446071</v>
      </c>
      <c r="BX72" s="6536">
        <v>3.9632875200000002</v>
      </c>
      <c r="BY72" s="6538">
        <v>5.2455371499999996</v>
      </c>
      <c r="BZ72" s="6538">
        <v>3.9047527099999999</v>
      </c>
      <c r="CA72" s="6538">
        <v>3.6354603600000002</v>
      </c>
      <c r="CB72" s="6538">
        <v>4.0509594</v>
      </c>
      <c r="CC72" s="6592">
        <f t="shared" si="77"/>
        <v>47.312440649999999</v>
      </c>
      <c r="CD72" s="6615">
        <v>6.8304478099999999</v>
      </c>
      <c r="CE72" s="6591">
        <v>3.9094614399999998</v>
      </c>
      <c r="CF72" s="3990"/>
      <c r="CG72" s="3994"/>
      <c r="CH72" s="3994"/>
      <c r="CI72" s="3760"/>
      <c r="CJ72" s="596"/>
      <c r="CK72" s="3760"/>
      <c r="CL72" s="596"/>
      <c r="CM72" s="596"/>
      <c r="CN72" s="596"/>
      <c r="CO72" s="596"/>
      <c r="CP72" s="3761" t="e">
        <f t="shared" si="82"/>
        <v>#N/A</v>
      </c>
      <c r="CQ72" s="3797">
        <f t="shared" si="83"/>
        <v>0</v>
      </c>
      <c r="CR72" s="6862">
        <f t="shared" si="78"/>
        <v>-2.9209863700000001</v>
      </c>
      <c r="CS72" s="6747">
        <f t="shared" si="79"/>
        <v>-1.8622612300000001</v>
      </c>
      <c r="CT72" s="607"/>
      <c r="CU72" s="6911">
        <f t="shared" si="88"/>
        <v>10.73990925</v>
      </c>
      <c r="CV72" s="6936">
        <f t="shared" si="80"/>
        <v>10.73990925</v>
      </c>
      <c r="CW72" s="6915">
        <f t="shared" si="84"/>
        <v>0</v>
      </c>
      <c r="CX72" s="6749">
        <f t="shared" si="89"/>
        <v>2.0245792500000004</v>
      </c>
      <c r="CY72" s="2775"/>
      <c r="CZ72" s="590"/>
      <c r="DA72" s="602"/>
      <c r="DB72" s="602"/>
      <c r="DC72" s="602"/>
      <c r="DD72" s="602"/>
      <c r="DE72" s="602"/>
      <c r="DF72" s="602"/>
      <c r="DG72" s="602"/>
      <c r="DH72" s="602"/>
      <c r="DI72" s="602"/>
      <c r="DJ72" s="602"/>
      <c r="DK72" s="602"/>
      <c r="DL72" s="602"/>
      <c r="DM72" s="603">
        <f t="shared" si="27"/>
        <v>0</v>
      </c>
      <c r="DO72" s="2261"/>
      <c r="DP72" s="2261"/>
      <c r="DS72" s="2261"/>
      <c r="DT72" s="2261"/>
    </row>
    <row r="73" spans="1:124" ht="16.3" customHeight="1" x14ac:dyDescent="0.55000000000000004">
      <c r="A73" s="3988"/>
      <c r="B73" s="555"/>
      <c r="C73" s="555" t="s">
        <v>566</v>
      </c>
      <c r="D73" s="555"/>
      <c r="F73" s="3752">
        <v>0.92327652999999998</v>
      </c>
      <c r="G73" s="3753">
        <v>0.18033157</v>
      </c>
      <c r="H73" s="3753">
        <v>-2.087551E-2</v>
      </c>
      <c r="I73" s="3753">
        <v>2.15739E-2</v>
      </c>
      <c r="J73" s="3753">
        <v>5.4749810000000003E-2</v>
      </c>
      <c r="K73" s="3753">
        <v>0.18775095</v>
      </c>
      <c r="L73" s="3753">
        <v>0.63029645999999995</v>
      </c>
      <c r="M73" s="3753">
        <v>6.9826079999999999E-2</v>
      </c>
      <c r="N73" s="3753">
        <v>0.17306066000000001</v>
      </c>
      <c r="O73" s="3753">
        <v>9.791503E-2</v>
      </c>
      <c r="P73" s="3753">
        <v>0.61785699000000005</v>
      </c>
      <c r="Q73" s="3754">
        <v>0.29823571999999998</v>
      </c>
      <c r="R73" s="3753">
        <v>0.13022167000000001</v>
      </c>
      <c r="S73" s="3753">
        <v>0.14420660999999999</v>
      </c>
      <c r="T73" s="3753">
        <v>7.6454720000000004E-2</v>
      </c>
      <c r="U73" s="3753">
        <v>0.20036014000000002</v>
      </c>
      <c r="V73" s="3753">
        <v>8.413364999999999E-2</v>
      </c>
      <c r="W73" s="3753">
        <v>0.23641029999999999</v>
      </c>
      <c r="X73" s="3753">
        <v>1.65595881</v>
      </c>
      <c r="Y73" s="3753">
        <v>5.2586109999999998E-2</v>
      </c>
      <c r="Z73" s="3753">
        <v>0.75991375999999999</v>
      </c>
      <c r="AA73" s="3753">
        <v>0.15550339999999999</v>
      </c>
      <c r="AB73" s="3753">
        <v>0.41205311</v>
      </c>
      <c r="AC73" s="3753">
        <v>1.3067858000000001</v>
      </c>
      <c r="AD73" s="3752">
        <v>0.28000000000000003</v>
      </c>
      <c r="AE73" s="3753">
        <v>0.14799999999999999</v>
      </c>
      <c r="AF73" s="3753">
        <v>0.20300000000000001</v>
      </c>
      <c r="AG73" s="3753">
        <v>1.8033098299999999</v>
      </c>
      <c r="AH73" s="3753">
        <v>0.34016795</v>
      </c>
      <c r="AI73" s="3753">
        <v>0.50743422999999999</v>
      </c>
      <c r="AJ73" s="3753">
        <v>1.94319412</v>
      </c>
      <c r="AK73" s="3753">
        <v>0.26952853999999998</v>
      </c>
      <c r="AL73" s="3753">
        <v>0.45912397999999999</v>
      </c>
      <c r="AM73" s="3753">
        <v>0.53810975999999999</v>
      </c>
      <c r="AN73" s="3753">
        <v>0.65527902000000005</v>
      </c>
      <c r="AO73" s="3755">
        <v>1.7074564299999999</v>
      </c>
      <c r="AP73" s="3754"/>
      <c r="AQ73" s="3756">
        <v>0.37074312999999998</v>
      </c>
      <c r="AR73" s="3757">
        <v>0.19139544</v>
      </c>
      <c r="AS73" s="3757">
        <v>0.72206608000000005</v>
      </c>
      <c r="AT73" s="3757">
        <v>0.23643315000000001</v>
      </c>
      <c r="AU73" s="3757">
        <v>0.16831767</v>
      </c>
      <c r="AV73" s="3757">
        <v>0.50467614999999999</v>
      </c>
      <c r="AW73" s="3757">
        <v>1.5878094999999999</v>
      </c>
      <c r="AX73" s="3757">
        <v>0.29247973999999999</v>
      </c>
      <c r="AY73" s="3757">
        <v>1.45254551</v>
      </c>
      <c r="AZ73" s="3757">
        <v>0.46368648999999995</v>
      </c>
      <c r="BA73" s="3757">
        <v>1.30380841</v>
      </c>
      <c r="BB73" s="3757">
        <v>1.10567628</v>
      </c>
      <c r="BC73" s="3758">
        <v>8.3996375500000013</v>
      </c>
      <c r="BD73" s="628">
        <v>0.37373182999999999</v>
      </c>
      <c r="BE73" s="3990">
        <v>0.32404677999999998</v>
      </c>
      <c r="BF73" s="3990">
        <v>0.27160268999999998</v>
      </c>
      <c r="BG73" s="757">
        <v>0.62228342000000003</v>
      </c>
      <c r="BH73" s="757">
        <v>0.25575594000000001</v>
      </c>
      <c r="BI73" s="757">
        <v>1.7132511700000002</v>
      </c>
      <c r="BJ73" s="757">
        <v>0.66974866000000011</v>
      </c>
      <c r="BK73" s="757">
        <v>-0.25690020000000002</v>
      </c>
      <c r="BL73" s="757">
        <v>8.8238739999999996E-2</v>
      </c>
      <c r="BM73" s="757">
        <v>2.9367880300000002</v>
      </c>
      <c r="BN73" s="757">
        <v>1.6698198</v>
      </c>
      <c r="BO73" s="757">
        <v>0.76098816000000002</v>
      </c>
      <c r="BP73" s="6592">
        <v>9.4293550199999991</v>
      </c>
      <c r="BQ73" s="6615">
        <v>0.30978331000000003</v>
      </c>
      <c r="BR73" s="6591">
        <v>0.14051783000000001</v>
      </c>
      <c r="BS73" s="6593">
        <v>0.23843495000000001</v>
      </c>
      <c r="BT73" s="6595">
        <v>0.27213748999999998</v>
      </c>
      <c r="BU73" s="6595">
        <v>0.83954355999999997</v>
      </c>
      <c r="BV73" s="6536">
        <v>0.28030896</v>
      </c>
      <c r="BW73" s="6538">
        <v>1.87003268</v>
      </c>
      <c r="BX73" s="6536">
        <v>0.32552112</v>
      </c>
      <c r="BY73" s="6538">
        <v>0.28345768999999998</v>
      </c>
      <c r="BZ73" s="6538">
        <v>0.91638863000000004</v>
      </c>
      <c r="CA73" s="6538">
        <v>1.4335829499999999</v>
      </c>
      <c r="CB73" s="6538">
        <v>1.7233251599999999</v>
      </c>
      <c r="CC73" s="6592">
        <f t="shared" si="77"/>
        <v>8.633034330000001</v>
      </c>
      <c r="CD73" s="6615">
        <v>0.66630241000000001</v>
      </c>
      <c r="CE73" s="6591">
        <v>0.31455409000000001</v>
      </c>
      <c r="CF73" s="3990"/>
      <c r="CG73" s="3994"/>
      <c r="CH73" s="3994"/>
      <c r="CI73" s="3760"/>
      <c r="CJ73" s="596"/>
      <c r="CK73" s="3760"/>
      <c r="CL73" s="596"/>
      <c r="CM73" s="596"/>
      <c r="CN73" s="596"/>
      <c r="CO73" s="596"/>
      <c r="CP73" s="3761" t="e">
        <f t="shared" si="82"/>
        <v>#N/A</v>
      </c>
      <c r="CQ73" s="3797">
        <f t="shared" si="83"/>
        <v>0</v>
      </c>
      <c r="CR73" s="6862">
        <f t="shared" si="78"/>
        <v>-0.35174832</v>
      </c>
      <c r="CS73" s="6747">
        <f t="shared" si="79"/>
        <v>0.17403626</v>
      </c>
      <c r="CT73" s="607"/>
      <c r="CU73" s="6911">
        <f t="shared" si="88"/>
        <v>0.98085650000000002</v>
      </c>
      <c r="CV73" s="6936">
        <f t="shared" si="80"/>
        <v>0.98085650000000002</v>
      </c>
      <c r="CW73" s="6915">
        <f t="shared" si="84"/>
        <v>0</v>
      </c>
      <c r="CX73" s="6749">
        <f t="shared" si="89"/>
        <v>0.53055535999999992</v>
      </c>
      <c r="CY73" s="2775"/>
      <c r="CZ73" s="590"/>
      <c r="DA73" s="602"/>
      <c r="DB73" s="602"/>
      <c r="DC73" s="602"/>
      <c r="DD73" s="602"/>
      <c r="DE73" s="602"/>
      <c r="DF73" s="602"/>
      <c r="DG73" s="602"/>
      <c r="DH73" s="602"/>
      <c r="DI73" s="602"/>
      <c r="DJ73" s="602"/>
      <c r="DK73" s="602"/>
      <c r="DL73" s="602"/>
      <c r="DM73" s="603">
        <f t="shared" si="27"/>
        <v>0</v>
      </c>
      <c r="DO73" s="2261"/>
      <c r="DP73" s="2261"/>
      <c r="DS73" s="2261"/>
      <c r="DT73" s="2261"/>
    </row>
    <row r="74" spans="1:124" ht="16.3" customHeight="1" x14ac:dyDescent="0.55000000000000004">
      <c r="A74" s="3988"/>
      <c r="B74" s="555"/>
      <c r="C74" s="555" t="s">
        <v>123</v>
      </c>
      <c r="D74" s="555"/>
      <c r="F74" s="3752">
        <v>0.64366018000000003</v>
      </c>
      <c r="G74" s="3753">
        <v>0.61252481999999997</v>
      </c>
      <c r="H74" s="3753">
        <v>0.64661236</v>
      </c>
      <c r="I74" s="3753">
        <v>0.61989928999999999</v>
      </c>
      <c r="J74" s="3753">
        <v>0.62676467999999996</v>
      </c>
      <c r="K74" s="3753">
        <v>1.647472</v>
      </c>
      <c r="L74" s="3753">
        <v>0.6165484</v>
      </c>
      <c r="M74" s="3753">
        <v>0.62583138999999999</v>
      </c>
      <c r="N74" s="3753">
        <v>0.64550194999999999</v>
      </c>
      <c r="O74" s="3753">
        <v>0.61954684999999998</v>
      </c>
      <c r="P74" s="3753">
        <v>0.72992206999999998</v>
      </c>
      <c r="Q74" s="3754">
        <v>0.71998021000000001</v>
      </c>
      <c r="R74" s="3753">
        <v>0.73348996999999994</v>
      </c>
      <c r="S74" s="3753">
        <v>0.73907360999999994</v>
      </c>
      <c r="T74" s="3753">
        <v>0.72103870999999997</v>
      </c>
      <c r="U74" s="3753">
        <v>0.72859598999999997</v>
      </c>
      <c r="V74" s="3753">
        <v>0.72045862000000005</v>
      </c>
      <c r="W74" s="3753">
        <v>0.67728332999999996</v>
      </c>
      <c r="X74" s="3753">
        <v>0.71461898999999995</v>
      </c>
      <c r="Y74" s="3753">
        <v>0.72173114999999999</v>
      </c>
      <c r="Z74" s="3753">
        <v>0.72437236999999999</v>
      </c>
      <c r="AA74" s="3753">
        <v>0.71427152000000005</v>
      </c>
      <c r="AB74" s="3753">
        <v>0.68198778000000004</v>
      </c>
      <c r="AC74" s="3753">
        <v>0.68942846999999996</v>
      </c>
      <c r="AD74" s="3752">
        <v>0.66</v>
      </c>
      <c r="AE74" s="3753">
        <v>0.622</v>
      </c>
      <c r="AF74" s="3753">
        <v>0.60499999999999998</v>
      </c>
      <c r="AG74" s="3753">
        <v>0.73191967000000002</v>
      </c>
      <c r="AH74" s="3753">
        <v>0.74015154000000005</v>
      </c>
      <c r="AI74" s="3753">
        <v>0.71318017</v>
      </c>
      <c r="AJ74" s="3753">
        <v>0.70216376000000003</v>
      </c>
      <c r="AK74" s="3753">
        <v>0.71675482999999995</v>
      </c>
      <c r="AL74" s="3753">
        <v>0.77994112000000004</v>
      </c>
      <c r="AM74" s="3753">
        <v>0.74521368999999993</v>
      </c>
      <c r="AN74" s="3753">
        <v>0.72623054000000009</v>
      </c>
      <c r="AO74" s="3755">
        <v>0.74565241000000004</v>
      </c>
      <c r="AP74" s="3754"/>
      <c r="AQ74" s="3756">
        <v>0.7280886700000001</v>
      </c>
      <c r="AR74" s="3757">
        <v>0.69870352000000002</v>
      </c>
      <c r="AS74" s="3757">
        <v>0.70535837999999995</v>
      </c>
      <c r="AT74" s="3757">
        <v>0.67027694999999998</v>
      </c>
      <c r="AU74" s="3757">
        <v>0.68592184</v>
      </c>
      <c r="AV74" s="3757">
        <v>0.66882166999999992</v>
      </c>
      <c r="AW74" s="3757">
        <v>0.67242610999999997</v>
      </c>
      <c r="AX74" s="3757">
        <v>0.72176147000000002</v>
      </c>
      <c r="AY74" s="3757">
        <v>0.6901228399999999</v>
      </c>
      <c r="AZ74" s="3757">
        <v>0.67524860000000009</v>
      </c>
      <c r="BA74" s="3757">
        <v>0.67115391999999996</v>
      </c>
      <c r="BB74" s="3757">
        <v>0.65933744999999999</v>
      </c>
      <c r="BC74" s="3758">
        <v>8.2472214199999989</v>
      </c>
      <c r="BD74" s="628">
        <v>0.67628157</v>
      </c>
      <c r="BE74" s="3990">
        <v>0.7056611599999999</v>
      </c>
      <c r="BF74" s="3990">
        <v>0.64666603</v>
      </c>
      <c r="BG74" s="757">
        <v>0.63118426999999999</v>
      </c>
      <c r="BH74" s="757">
        <v>0.65920035999999993</v>
      </c>
      <c r="BI74" s="757">
        <v>0.64901308999999996</v>
      </c>
      <c r="BJ74" s="757">
        <v>0.69913696999999997</v>
      </c>
      <c r="BK74" s="757">
        <v>0.69358834999999996</v>
      </c>
      <c r="BL74" s="757">
        <v>0.65433113000000009</v>
      </c>
      <c r="BM74" s="757">
        <v>1.1674908799999999</v>
      </c>
      <c r="BN74" s="757">
        <v>1.03954846</v>
      </c>
      <c r="BO74" s="757">
        <v>0.71941264000000005</v>
      </c>
      <c r="BP74" s="6592">
        <v>8.9415149099999987</v>
      </c>
      <c r="BQ74" s="6615">
        <v>0.7497358300000001</v>
      </c>
      <c r="BR74" s="6591">
        <v>0.76536135000000005</v>
      </c>
      <c r="BS74" s="6593">
        <v>0.73643846000000002</v>
      </c>
      <c r="BT74" s="6595">
        <v>0.73597349000000001</v>
      </c>
      <c r="BU74" s="6595">
        <v>0.74715328999999997</v>
      </c>
      <c r="BV74" s="6536">
        <v>0.78955467999999995</v>
      </c>
      <c r="BW74" s="6538">
        <v>0.84122896999999996</v>
      </c>
      <c r="BX74" s="6536">
        <v>0.82841229000000005</v>
      </c>
      <c r="BY74" s="6538">
        <v>0.79126618999999998</v>
      </c>
      <c r="BZ74" s="6538">
        <v>0.80618352000000004</v>
      </c>
      <c r="CA74" s="6538">
        <v>0.79709525999999997</v>
      </c>
      <c r="CB74" s="6538">
        <v>0.86447074999999995</v>
      </c>
      <c r="CC74" s="6592">
        <f t="shared" si="77"/>
        <v>9.4528740800000026</v>
      </c>
      <c r="CD74" s="6615">
        <v>0.82020002000000003</v>
      </c>
      <c r="CE74" s="6591">
        <v>0.84212209000000005</v>
      </c>
      <c r="CF74" s="3990"/>
      <c r="CG74" s="3994"/>
      <c r="CH74" s="3994"/>
      <c r="CI74" s="3760"/>
      <c r="CJ74" s="596"/>
      <c r="CK74" s="3760"/>
      <c r="CL74" s="596"/>
      <c r="CM74" s="596"/>
      <c r="CN74" s="596"/>
      <c r="CO74" s="596"/>
      <c r="CP74" s="3761" t="e">
        <f t="shared" si="82"/>
        <v>#N/A</v>
      </c>
      <c r="CQ74" s="3797">
        <f t="shared" si="83"/>
        <v>0</v>
      </c>
      <c r="CR74" s="6862">
        <f t="shared" si="78"/>
        <v>2.1922070000000016E-2</v>
      </c>
      <c r="CS74" s="6747">
        <f t="shared" si="79"/>
        <v>7.6760739999999994E-2</v>
      </c>
      <c r="CT74" s="607"/>
      <c r="CU74" s="6911">
        <f t="shared" si="88"/>
        <v>1.6623221100000001</v>
      </c>
      <c r="CV74" s="6936">
        <f t="shared" si="80"/>
        <v>1.6623221100000001</v>
      </c>
      <c r="CW74" s="6915">
        <f t="shared" si="84"/>
        <v>0</v>
      </c>
      <c r="CX74" s="6749">
        <f t="shared" si="89"/>
        <v>0.14722492999999992</v>
      </c>
      <c r="CY74" s="2775"/>
      <c r="CZ74" s="590"/>
      <c r="DA74" s="602"/>
      <c r="DB74" s="602"/>
      <c r="DC74" s="602"/>
      <c r="DD74" s="602"/>
      <c r="DE74" s="602"/>
      <c r="DF74" s="602"/>
      <c r="DG74" s="602"/>
      <c r="DH74" s="602"/>
      <c r="DI74" s="602"/>
      <c r="DJ74" s="602"/>
      <c r="DK74" s="602"/>
      <c r="DL74" s="602"/>
      <c r="DM74" s="603">
        <f t="shared" si="27"/>
        <v>0</v>
      </c>
      <c r="DO74" s="2261"/>
      <c r="DP74" s="2261"/>
      <c r="DS74" s="2261"/>
      <c r="DT74" s="2261"/>
    </row>
    <row r="75" spans="1:124" ht="16.3" customHeight="1" x14ac:dyDescent="0.55000000000000004">
      <c r="A75" s="3988"/>
      <c r="B75" s="555"/>
      <c r="C75" s="555" t="s">
        <v>567</v>
      </c>
      <c r="D75" s="555"/>
      <c r="F75" s="3752">
        <v>0.70689469000000005</v>
      </c>
      <c r="G75" s="3753">
        <v>0.71844574999999999</v>
      </c>
      <c r="H75" s="3753">
        <v>0.70641704000000005</v>
      </c>
      <c r="I75" s="3753">
        <v>0.64720896000000006</v>
      </c>
      <c r="J75" s="3753">
        <v>0.66428392000000003</v>
      </c>
      <c r="K75" s="3753">
        <v>0.69767897000000001</v>
      </c>
      <c r="L75" s="3753">
        <v>0.74471567000000005</v>
      </c>
      <c r="M75" s="3753">
        <v>0.66495340000000003</v>
      </c>
      <c r="N75" s="3753">
        <v>0.65554509999999999</v>
      </c>
      <c r="O75" s="3753">
        <v>0.64103891000000002</v>
      </c>
      <c r="P75" s="3753">
        <v>0.67264771000000001</v>
      </c>
      <c r="Q75" s="3754">
        <v>0.80100811000000005</v>
      </c>
      <c r="R75" s="3753">
        <v>0.74633941000000004</v>
      </c>
      <c r="S75" s="3753">
        <v>0.71166649000000004</v>
      </c>
      <c r="T75" s="3753">
        <v>0.75755238999999996</v>
      </c>
      <c r="U75" s="3753">
        <v>0.72459931000000011</v>
      </c>
      <c r="V75" s="3753">
        <v>0.73461242000000004</v>
      </c>
      <c r="W75" s="3753">
        <v>0.7852480799999999</v>
      </c>
      <c r="X75" s="3753">
        <v>0.83997310000000003</v>
      </c>
      <c r="Y75" s="3753">
        <v>0.76581009</v>
      </c>
      <c r="Z75" s="3753">
        <v>0.74944796999999996</v>
      </c>
      <c r="AA75" s="3753">
        <v>0.75294244999999993</v>
      </c>
      <c r="AB75" s="3753">
        <v>0.79698427999999999</v>
      </c>
      <c r="AC75" s="3753">
        <v>0.81862465000000006</v>
      </c>
      <c r="AD75" s="3752">
        <v>0.8</v>
      </c>
      <c r="AE75" s="3753">
        <v>0.77800000000000002</v>
      </c>
      <c r="AF75" s="3753">
        <v>0.79779999999999995</v>
      </c>
      <c r="AG75" s="3753">
        <v>0.79307368</v>
      </c>
      <c r="AH75" s="3753">
        <v>0.82824701000000001</v>
      </c>
      <c r="AI75" s="3753">
        <v>0.84973697999999998</v>
      </c>
      <c r="AJ75" s="3753">
        <v>0.91515000000000002</v>
      </c>
      <c r="AK75" s="3753">
        <v>0.83909252000000001</v>
      </c>
      <c r="AL75" s="3753">
        <v>0.89576516000000006</v>
      </c>
      <c r="AM75" s="3753">
        <v>0.81517099999999998</v>
      </c>
      <c r="AN75" s="3753">
        <v>0.87540093999999991</v>
      </c>
      <c r="AO75" s="3755">
        <v>0.88182331000000003</v>
      </c>
      <c r="AP75" s="3754"/>
      <c r="AQ75" s="3756">
        <v>0.90245945000000005</v>
      </c>
      <c r="AR75" s="3757">
        <v>0.87151295000000006</v>
      </c>
      <c r="AS75" s="3757">
        <v>0.96471896999999995</v>
      </c>
      <c r="AT75" s="3757">
        <v>0.84275239999999996</v>
      </c>
      <c r="AU75" s="3757">
        <v>0.84903395999999998</v>
      </c>
      <c r="AV75" s="3757">
        <v>0.86525572999999989</v>
      </c>
      <c r="AW75" s="3757">
        <v>0.91178783999999991</v>
      </c>
      <c r="AX75" s="3757">
        <v>0.95754008000000002</v>
      </c>
      <c r="AY75" s="3757">
        <v>0.89888686000000007</v>
      </c>
      <c r="AZ75" s="3757">
        <v>0.88429378000000003</v>
      </c>
      <c r="BA75" s="3757">
        <v>0.88864018</v>
      </c>
      <c r="BB75" s="3757">
        <v>0.96801378000000005</v>
      </c>
      <c r="BC75" s="3758">
        <v>10.804895979999998</v>
      </c>
      <c r="BD75" s="628">
        <v>1.00305092</v>
      </c>
      <c r="BE75" s="3990">
        <v>0.9088518000000001</v>
      </c>
      <c r="BF75" s="3990">
        <v>0.92488979999999998</v>
      </c>
      <c r="BG75" s="757">
        <v>0.89238587999999996</v>
      </c>
      <c r="BH75" s="757">
        <v>0.88310843999999999</v>
      </c>
      <c r="BI75" s="757">
        <v>0.96327995999999994</v>
      </c>
      <c r="BJ75" s="757">
        <v>0.99145843</v>
      </c>
      <c r="BK75" s="757">
        <v>1.0159487300000001</v>
      </c>
      <c r="BL75" s="757">
        <v>0.93022769999999999</v>
      </c>
      <c r="BM75" s="757">
        <v>0.95830389999999999</v>
      </c>
      <c r="BN75" s="757">
        <v>1.0913377799999999</v>
      </c>
      <c r="BO75" s="757">
        <v>1.0849166299999999</v>
      </c>
      <c r="BP75" s="6592">
        <v>11.647759969999999</v>
      </c>
      <c r="BQ75" s="6615">
        <v>1.05416647</v>
      </c>
      <c r="BR75" s="6591">
        <v>1.1232548</v>
      </c>
      <c r="BS75" s="6593">
        <v>1.08055524</v>
      </c>
      <c r="BT75" s="6595">
        <v>1.0190339500000001</v>
      </c>
      <c r="BU75" s="6595">
        <v>1.0140566900000001</v>
      </c>
      <c r="BV75" s="6536">
        <v>0.99325540999999995</v>
      </c>
      <c r="BW75" s="6538">
        <v>1.11099657</v>
      </c>
      <c r="BX75" s="6536">
        <v>1.0648883</v>
      </c>
      <c r="BY75" s="6538">
        <v>1.1206714499999999</v>
      </c>
      <c r="BZ75" s="6538">
        <v>0.99567846999999998</v>
      </c>
      <c r="CA75" s="6538">
        <v>1.1094134</v>
      </c>
      <c r="CB75" s="6538">
        <v>1.1916607299999999</v>
      </c>
      <c r="CC75" s="6592">
        <f t="shared" si="77"/>
        <v>12.87763148</v>
      </c>
      <c r="CD75" s="6615">
        <v>1.1602470300000001</v>
      </c>
      <c r="CE75" s="6591">
        <v>1.0258058699999999</v>
      </c>
      <c r="CF75" s="3990"/>
      <c r="CG75" s="3994"/>
      <c r="CH75" s="3994"/>
      <c r="CI75" s="3760"/>
      <c r="CJ75" s="596"/>
      <c r="CK75" s="3760"/>
      <c r="CL75" s="596"/>
      <c r="CM75" s="596"/>
      <c r="CN75" s="596"/>
      <c r="CO75" s="596"/>
      <c r="CP75" s="3761" t="e">
        <f t="shared" si="82"/>
        <v>#N/A</v>
      </c>
      <c r="CQ75" s="3797">
        <f t="shared" si="83"/>
        <v>0</v>
      </c>
      <c r="CR75" s="6862">
        <f t="shared" si="78"/>
        <v>-0.13444116000000017</v>
      </c>
      <c r="CS75" s="6747">
        <f t="shared" si="79"/>
        <v>-9.74489300000001E-2</v>
      </c>
      <c r="CT75" s="607"/>
      <c r="CU75" s="6911">
        <f t="shared" si="88"/>
        <v>2.1860529</v>
      </c>
      <c r="CV75" s="6936">
        <f t="shared" si="80"/>
        <v>2.1860529</v>
      </c>
      <c r="CW75" s="6915">
        <f t="shared" si="84"/>
        <v>0</v>
      </c>
      <c r="CX75" s="6749">
        <f t="shared" si="89"/>
        <v>8.6316300000000012E-3</v>
      </c>
      <c r="CY75" s="2775"/>
      <c r="CZ75" s="590"/>
      <c r="DA75" s="602"/>
      <c r="DB75" s="602"/>
      <c r="DC75" s="602"/>
      <c r="DD75" s="602"/>
      <c r="DE75" s="602"/>
      <c r="DF75" s="602"/>
      <c r="DG75" s="602"/>
      <c r="DH75" s="602"/>
      <c r="DI75" s="602"/>
      <c r="DJ75" s="602"/>
      <c r="DK75" s="602"/>
      <c r="DL75" s="602"/>
      <c r="DM75" s="603">
        <f t="shared" si="27"/>
        <v>0</v>
      </c>
      <c r="DO75" s="2261"/>
      <c r="DP75" s="2261"/>
      <c r="DS75" s="2261"/>
      <c r="DT75" s="2261"/>
    </row>
    <row r="76" spans="1:124" ht="16.3" customHeight="1" thickBot="1" x14ac:dyDescent="0.6">
      <c r="A76" s="4036"/>
      <c r="B76" s="4036"/>
      <c r="C76" s="4036" t="s">
        <v>586</v>
      </c>
      <c r="D76" s="7080" t="s">
        <v>1029</v>
      </c>
      <c r="E76" s="7081"/>
      <c r="F76" s="4037">
        <v>10.202968589999989</v>
      </c>
      <c r="G76" s="4038">
        <v>2.0836690599999992</v>
      </c>
      <c r="H76" s="4038">
        <v>1.7977589800000098</v>
      </c>
      <c r="I76" s="4038">
        <v>1.5836788600000085</v>
      </c>
      <c r="J76" s="4038">
        <v>1.5589439300000136</v>
      </c>
      <c r="K76" s="4038">
        <v>1.6904619299999948</v>
      </c>
      <c r="L76" s="4038">
        <v>1.8178991199999897</v>
      </c>
      <c r="M76" s="4038">
        <v>2.2715804900000047</v>
      </c>
      <c r="N76" s="4038">
        <v>2.025340719999996</v>
      </c>
      <c r="O76" s="4038">
        <v>1.6909102300000181</v>
      </c>
      <c r="P76" s="4038">
        <v>1.593721039999997</v>
      </c>
      <c r="Q76" s="4039">
        <v>2.1573881799999959</v>
      </c>
      <c r="R76" s="4038">
        <v>9.7900722200000008</v>
      </c>
      <c r="S76" s="4038">
        <v>2.4969195899999996</v>
      </c>
      <c r="T76" s="4038">
        <v>1.6995929599999999</v>
      </c>
      <c r="U76" s="4038">
        <v>2.00207252</v>
      </c>
      <c r="V76" s="4038">
        <v>1.70389725</v>
      </c>
      <c r="W76" s="4038">
        <v>1.72264492</v>
      </c>
      <c r="X76" s="4038">
        <v>1.9982058700000001</v>
      </c>
      <c r="Y76" s="4038">
        <v>2.7004940400000002</v>
      </c>
      <c r="Z76" s="4038">
        <v>2.0881341</v>
      </c>
      <c r="AA76" s="4038">
        <v>2.0288338500000003</v>
      </c>
      <c r="AB76" s="4038">
        <v>1.924477</v>
      </c>
      <c r="AC76" s="4038">
        <v>13.09203623</v>
      </c>
      <c r="AD76" s="4040">
        <f>AD69-SUM(AD70:AD75)</f>
        <v>1.6800000000000068</v>
      </c>
      <c r="AE76" s="4041">
        <f>AE69-SUM(AE70:AE75)</f>
        <v>2.1939999999999991</v>
      </c>
      <c r="AF76" s="4041">
        <f>AF69-SUM(AF70:AF75)</f>
        <v>13.244999999999994</v>
      </c>
      <c r="AG76" s="4041">
        <v>2.73230767</v>
      </c>
      <c r="AH76" s="4041">
        <v>2.4003635600000002</v>
      </c>
      <c r="AI76" s="4041">
        <v>1.76851724</v>
      </c>
      <c r="AJ76" s="4038">
        <v>2.4043056200000001</v>
      </c>
      <c r="AK76" s="4038">
        <v>2.7817259000000005</v>
      </c>
      <c r="AL76" s="4038">
        <v>2.2240687800000001</v>
      </c>
      <c r="AM76" s="4038">
        <v>1.9998663999999999</v>
      </c>
      <c r="AN76" s="4038">
        <v>1.9186045300000003</v>
      </c>
      <c r="AO76" s="4038">
        <v>2.7874007299999999</v>
      </c>
      <c r="AP76" s="4039"/>
      <c r="AQ76" s="4042">
        <v>2.2943594000000012</v>
      </c>
      <c r="AR76" s="4043">
        <v>1.9158937099999989</v>
      </c>
      <c r="AS76" s="4043">
        <v>1.8334729299999992</v>
      </c>
      <c r="AT76" s="4043">
        <v>1.9167058699999977</v>
      </c>
      <c r="AU76" s="4043">
        <v>1.7301004600000027</v>
      </c>
      <c r="AV76" s="4043">
        <v>1.5544081099999936</v>
      </c>
      <c r="AW76" s="4043">
        <v>2.3480860600000071</v>
      </c>
      <c r="AX76" s="4043">
        <v>2.7172736199999967</v>
      </c>
      <c r="AY76" s="4043">
        <v>2.2166508</v>
      </c>
      <c r="AZ76" s="4043">
        <v>1.9779073199999999</v>
      </c>
      <c r="BA76" s="4043">
        <v>1.7898857900000031</v>
      </c>
      <c r="BB76" s="4043">
        <v>3.373977069999988</v>
      </c>
      <c r="BC76" s="4044">
        <v>25.668721139999988</v>
      </c>
      <c r="BD76" s="4045">
        <f>BD69-BD70-BD71-BD72-BD73-BD74-BD75</f>
        <v>2.3097049099999971</v>
      </c>
      <c r="BE76" s="4045">
        <f t="shared" ref="BE76:BL76" si="90">BE69-BE70-BE71-BE72-BE73-BE74-BE75</f>
        <v>2.4276500100000034</v>
      </c>
      <c r="BF76" s="4045">
        <f t="shared" si="90"/>
        <v>2.368638229999998</v>
      </c>
      <c r="BG76" s="4045">
        <f t="shared" si="90"/>
        <v>2.1425440999999985</v>
      </c>
      <c r="BH76" s="4045">
        <f t="shared" si="90"/>
        <v>2.1271383699999982</v>
      </c>
      <c r="BI76" s="4045">
        <f t="shared" si="90"/>
        <v>2.6869904999999958</v>
      </c>
      <c r="BJ76" s="4045">
        <f t="shared" si="90"/>
        <v>10.541177569999999</v>
      </c>
      <c r="BK76" s="4045">
        <f t="shared" si="90"/>
        <v>3.0278117800000013</v>
      </c>
      <c r="BL76" s="4045">
        <f t="shared" si="90"/>
        <v>2.4442593999999969</v>
      </c>
      <c r="BM76" s="4046">
        <f>BM69-BM70-BM71-BM72-BM73-BM74-BM75</f>
        <v>3.2308090200000024</v>
      </c>
      <c r="BN76" s="4046">
        <f>BN69-BN70-BN71-BN72-BN73-BN74-BN75</f>
        <v>3.06409223</v>
      </c>
      <c r="BO76" s="4046">
        <v>3.5180646599999998</v>
      </c>
      <c r="BP76" s="6618">
        <v>39.888880779999987</v>
      </c>
      <c r="BQ76" s="6616">
        <f t="shared" ref="BQ76:CE76" si="91">BQ69-BQ70-BQ71-BQ72-BQ73-BQ74-BQ75</f>
        <v>3.4385026499999949</v>
      </c>
      <c r="BR76" s="6617">
        <f t="shared" si="91"/>
        <v>2.0805387900000021</v>
      </c>
      <c r="BS76" s="6617">
        <f t="shared" si="91"/>
        <v>2.6634455699999995</v>
      </c>
      <c r="BT76" s="6617">
        <f t="shared" si="91"/>
        <v>2.4364969400000032</v>
      </c>
      <c r="BU76" s="6617">
        <f t="shared" si="91"/>
        <v>2.8368363199999989</v>
      </c>
      <c r="BV76" s="6617">
        <f t="shared" si="91"/>
        <v>2.9839588300000033</v>
      </c>
      <c r="BW76" s="6617">
        <f t="shared" si="91"/>
        <v>3.2396657200000005</v>
      </c>
      <c r="BX76" s="6617">
        <f t="shared" si="91"/>
        <v>2.4586343999999993</v>
      </c>
      <c r="BY76" s="6617">
        <f t="shared" si="91"/>
        <v>3.9162042100000054</v>
      </c>
      <c r="BZ76" s="6617">
        <f t="shared" si="91"/>
        <v>2.7178286599999972</v>
      </c>
      <c r="CA76" s="6617">
        <f t="shared" si="91"/>
        <v>2.8095896600000021</v>
      </c>
      <c r="CB76" s="6617">
        <f t="shared" si="91"/>
        <v>3.0634664399999991</v>
      </c>
      <c r="CC76" s="6618">
        <f t="shared" si="77"/>
        <v>34.645168190000007</v>
      </c>
      <c r="CD76" s="6616">
        <f t="shared" si="91"/>
        <v>3.4033356000000001</v>
      </c>
      <c r="CE76" s="6617">
        <f t="shared" si="91"/>
        <v>3.2210119199999978</v>
      </c>
      <c r="CF76" s="4047"/>
      <c r="CG76" s="4047"/>
      <c r="CH76" s="4047"/>
      <c r="CI76" s="4047"/>
      <c r="CJ76" s="4047"/>
      <c r="CK76" s="4047"/>
      <c r="CL76" s="4047"/>
      <c r="CM76" s="4047"/>
      <c r="CN76" s="4047"/>
      <c r="CO76" s="4047"/>
      <c r="CP76" s="4048" t="e">
        <f t="shared" si="82"/>
        <v>#N/A</v>
      </c>
      <c r="CQ76" s="4049">
        <f t="shared" si="83"/>
        <v>0</v>
      </c>
      <c r="CR76" s="6884">
        <f t="shared" si="78"/>
        <v>-0.18232368000000232</v>
      </c>
      <c r="CS76" s="6885">
        <f t="shared" si="79"/>
        <v>1.1404731299999957</v>
      </c>
      <c r="CT76" s="780"/>
      <c r="CU76" s="6943">
        <f t="shared" si="88"/>
        <v>6.6243475199999979</v>
      </c>
      <c r="CV76" s="6944">
        <f t="shared" si="80"/>
        <v>6.6243475199999979</v>
      </c>
      <c r="CW76" s="6945">
        <f t="shared" si="84"/>
        <v>0</v>
      </c>
      <c r="CX76" s="6752">
        <f t="shared" si="89"/>
        <v>1.105306080000001</v>
      </c>
      <c r="CY76" s="2775"/>
      <c r="CZ76" s="590"/>
      <c r="DA76" s="603"/>
      <c r="DB76" s="603"/>
      <c r="DC76" s="603"/>
      <c r="DD76" s="603"/>
      <c r="DE76" s="603"/>
      <c r="DF76" s="603"/>
      <c r="DG76" s="603"/>
      <c r="DH76" s="603"/>
      <c r="DI76" s="603"/>
      <c r="DJ76" s="603"/>
      <c r="DK76" s="603"/>
      <c r="DL76" s="603"/>
      <c r="DM76" s="603">
        <f t="shared" si="27"/>
        <v>0</v>
      </c>
      <c r="DO76" s="2261"/>
      <c r="DP76" s="2261"/>
      <c r="DS76" s="2261"/>
      <c r="DT76" s="2261"/>
    </row>
    <row r="77" spans="1:124" ht="3.55" customHeight="1" thickBot="1" x14ac:dyDescent="0.6">
      <c r="F77" s="4050"/>
      <c r="G77" s="700"/>
      <c r="H77" s="700"/>
      <c r="I77" s="700"/>
      <c r="J77" s="700"/>
      <c r="K77" s="700"/>
      <c r="L77" s="700"/>
      <c r="M77" s="700"/>
      <c r="N77" s="700"/>
      <c r="O77" s="700"/>
      <c r="P77" s="700"/>
      <c r="Q77" s="700"/>
      <c r="R77" s="700"/>
      <c r="S77" s="700"/>
      <c r="T77" s="700"/>
      <c r="U77" s="700"/>
      <c r="V77" s="700"/>
      <c r="W77" s="700"/>
      <c r="X77" s="700"/>
      <c r="Y77" s="590"/>
      <c r="Z77" s="603"/>
      <c r="AA77" s="603"/>
      <c r="AB77" s="603"/>
      <c r="AC77" s="603"/>
      <c r="AD77" s="603"/>
      <c r="AE77" s="603"/>
      <c r="AF77" s="603"/>
      <c r="AG77" s="603"/>
      <c r="AH77" s="603"/>
      <c r="AI77" s="603"/>
      <c r="AJ77" s="603"/>
      <c r="AK77" s="603"/>
      <c r="AL77" s="603"/>
      <c r="AM77" s="590"/>
      <c r="AN77" s="603"/>
      <c r="AO77" s="603"/>
      <c r="AP77" s="4051"/>
      <c r="AQ77" s="4052"/>
      <c r="AR77" s="4052"/>
      <c r="AS77" s="4052"/>
      <c r="AT77" s="4052"/>
      <c r="AU77" s="4052"/>
      <c r="AV77" s="4052"/>
      <c r="AW77" s="4052"/>
      <c r="AX77" s="4052"/>
      <c r="AY77" s="4052"/>
      <c r="AZ77" s="4052"/>
      <c r="BA77" s="4052"/>
      <c r="BB77" s="4053"/>
      <c r="BC77" s="4054"/>
      <c r="BD77" s="604"/>
      <c r="BE77" s="604"/>
      <c r="BF77" s="604"/>
      <c r="BG77" s="604"/>
      <c r="BM77" s="594"/>
      <c r="BP77" s="6687"/>
      <c r="BQ77" s="604"/>
      <c r="BR77" s="4055"/>
      <c r="BS77" s="604"/>
      <c r="BT77" s="4056"/>
      <c r="BZ77" s="594"/>
      <c r="CC77" s="1055"/>
      <c r="CD77" s="604"/>
      <c r="CE77" s="4055"/>
      <c r="CF77" s="604"/>
      <c r="CG77" s="4056"/>
      <c r="CM77" s="594"/>
      <c r="CR77" s="6753"/>
      <c r="CS77" s="6753"/>
      <c r="CU77" s="6946"/>
      <c r="CV77" s="6947"/>
      <c r="CW77" s="6947"/>
      <c r="CX77" s="6947"/>
      <c r="CY77" s="2775"/>
      <c r="DO77" s="2261"/>
      <c r="DP77" s="2261"/>
      <c r="DS77" s="2261"/>
      <c r="DT77" s="2261"/>
    </row>
    <row r="78" spans="1:124" ht="16.3" customHeight="1" thickBot="1" x14ac:dyDescent="0.6">
      <c r="A78" s="4057" t="s">
        <v>17</v>
      </c>
      <c r="B78" s="4058"/>
      <c r="C78" s="4058"/>
      <c r="D78" s="4058"/>
      <c r="E78" s="4059"/>
      <c r="F78" s="4060">
        <v>-5.4226714500000002</v>
      </c>
      <c r="G78" s="4060">
        <v>7.1744012599999998</v>
      </c>
      <c r="H78" s="4060">
        <v>-5.86121772</v>
      </c>
      <c r="I78" s="4060">
        <v>10.41782416</v>
      </c>
      <c r="J78" s="4060">
        <v>10.266653679999999</v>
      </c>
      <c r="K78" s="4060">
        <v>-9.3010731900000003</v>
      </c>
      <c r="L78" s="4060">
        <v>7.9770034799999996</v>
      </c>
      <c r="M78" s="4060">
        <v>20.234601349999998</v>
      </c>
      <c r="N78" s="4060">
        <v>-9.6026562200000001</v>
      </c>
      <c r="O78" s="4060">
        <v>21.0696963</v>
      </c>
      <c r="P78" s="4060">
        <v>11.38608501</v>
      </c>
      <c r="Q78" s="4061">
        <v>-41.058729200000002</v>
      </c>
      <c r="R78" s="4060">
        <v>-4.1011476099999999</v>
      </c>
      <c r="S78" s="4060">
        <v>5.1214214499999997</v>
      </c>
      <c r="T78" s="4060">
        <v>7.3486347700000003</v>
      </c>
      <c r="U78" s="4062">
        <v>2.0895699400000001</v>
      </c>
      <c r="V78" s="4060">
        <v>7.7974752000000001</v>
      </c>
      <c r="W78" s="4060">
        <v>7.1762969400000003</v>
      </c>
      <c r="X78" s="4060">
        <v>3.9856387199999999</v>
      </c>
      <c r="Y78" s="4060">
        <v>7.4974502599999999</v>
      </c>
      <c r="Z78" s="4060">
        <v>3.0991305900000001</v>
      </c>
      <c r="AA78" s="4060">
        <v>4.6262592400000004</v>
      </c>
      <c r="AB78" s="4060">
        <v>2.2243480199999999</v>
      </c>
      <c r="AC78" s="4060">
        <v>-1.50788827</v>
      </c>
      <c r="AD78" s="4063">
        <v>3.2384211999999972</v>
      </c>
      <c r="AE78" s="4060">
        <v>8.2412659700000006</v>
      </c>
      <c r="AF78" s="4060">
        <v>23.501746969999996</v>
      </c>
      <c r="AG78" s="4060">
        <v>7.4439980500000074</v>
      </c>
      <c r="AH78" s="4060">
        <v>19.689089800000009</v>
      </c>
      <c r="AI78" s="4060">
        <v>22.467643760000001</v>
      </c>
      <c r="AJ78" s="4064">
        <v>5.4361455099999914</v>
      </c>
      <c r="AK78" s="4064">
        <v>10.433726099999992</v>
      </c>
      <c r="AL78" s="4060">
        <v>1.9865304299999964</v>
      </c>
      <c r="AM78" s="4060">
        <v>14.667946840000004</v>
      </c>
      <c r="AN78" s="4060">
        <v>-30.041296179999947</v>
      </c>
      <c r="AO78" s="4060">
        <v>-10.841575079999984</v>
      </c>
      <c r="AP78" s="4061"/>
      <c r="AQ78" s="4065">
        <v>2.6141413100000079</v>
      </c>
      <c r="AR78" s="4066">
        <v>12.37289911000002</v>
      </c>
      <c r="AS78" s="4066">
        <v>11.354914839999992</v>
      </c>
      <c r="AT78" s="4066">
        <v>10.363979950000044</v>
      </c>
      <c r="AU78" s="4066">
        <v>16.504988499999882</v>
      </c>
      <c r="AV78" s="4066">
        <v>13.311008820000097</v>
      </c>
      <c r="AW78" s="4066">
        <v>7.8640986699999758</v>
      </c>
      <c r="AX78" s="4066">
        <v>34.939480540000005</v>
      </c>
      <c r="AY78" s="4066">
        <v>2.1125077200000248</v>
      </c>
      <c r="AZ78" s="4066">
        <v>23.662705450000203</v>
      </c>
      <c r="BA78" s="4066">
        <v>-29.675148770000078</v>
      </c>
      <c r="BB78" s="4066">
        <v>-14.958755230000065</v>
      </c>
      <c r="BC78" s="4067">
        <v>90.466820910000109</v>
      </c>
      <c r="BD78" s="4068">
        <v>16.466671010000027</v>
      </c>
      <c r="BE78" s="4069">
        <v>16.881195769999948</v>
      </c>
      <c r="BF78" s="4069">
        <v>32.625952280000092</v>
      </c>
      <c r="BG78" s="4069">
        <v>27.373358809999985</v>
      </c>
      <c r="BH78" s="4069">
        <v>15.700973959999999</v>
      </c>
      <c r="BI78" s="4069">
        <v>0.99110638000001927</v>
      </c>
      <c r="BJ78" s="4069">
        <v>21.132219839999976</v>
      </c>
      <c r="BK78" s="4069">
        <v>3.62297994</v>
      </c>
      <c r="BL78" s="4069">
        <v>18.037906030000016</v>
      </c>
      <c r="BM78" s="4069">
        <v>-1.62381084</v>
      </c>
      <c r="BN78" s="4069">
        <v>2.0338100099999963</v>
      </c>
      <c r="BO78" s="4069">
        <v>-8.5543905799999997</v>
      </c>
      <c r="BP78" s="6620">
        <v>144.69037702</v>
      </c>
      <c r="BQ78" s="6644">
        <f t="shared" ref="BQ78:CE78" si="92">BQ5-BQ7-BQ54</f>
        <v>-3.9623293499998908</v>
      </c>
      <c r="BR78" s="6644">
        <f t="shared" si="92"/>
        <v>46.64225362000002</v>
      </c>
      <c r="BS78" s="6644">
        <f t="shared" si="92"/>
        <v>20.152693190000065</v>
      </c>
      <c r="BT78" s="6644">
        <f t="shared" si="92"/>
        <v>24.687534059999933</v>
      </c>
      <c r="BU78" s="6644">
        <f t="shared" si="92"/>
        <v>34.214966000000032</v>
      </c>
      <c r="BV78" s="6644">
        <f t="shared" si="92"/>
        <v>25.011958040000138</v>
      </c>
      <c r="BW78" s="6644">
        <f t="shared" si="92"/>
        <v>41.431333010000003</v>
      </c>
      <c r="BX78" s="6644">
        <f t="shared" si="92"/>
        <v>3.2229067300000054</v>
      </c>
      <c r="BY78" s="6644">
        <f t="shared" si="92"/>
        <v>20.448268369999965</v>
      </c>
      <c r="BZ78" s="6644">
        <f t="shared" si="92"/>
        <v>-18.306896800000004</v>
      </c>
      <c r="CA78" s="6644">
        <f t="shared" si="92"/>
        <v>-8.2478817399999684</v>
      </c>
      <c r="CB78" s="6644">
        <f t="shared" si="92"/>
        <v>-21.863471919999967</v>
      </c>
      <c r="CC78" s="6645">
        <f t="shared" ref="CC78:CC88" si="93">SUM(BQ78:CB78)</f>
        <v>163.43133321000033</v>
      </c>
      <c r="CD78" s="6619">
        <f t="shared" si="92"/>
        <v>37.826462370000087</v>
      </c>
      <c r="CE78" s="6619">
        <f t="shared" si="92"/>
        <v>-2.9395071200000302</v>
      </c>
      <c r="CF78" s="4069"/>
      <c r="CG78" s="4069"/>
      <c r="CH78" s="4069"/>
      <c r="CI78" s="4069"/>
      <c r="CJ78" s="4069"/>
      <c r="CK78" s="4069"/>
      <c r="CL78" s="4069"/>
      <c r="CM78" s="4069"/>
      <c r="CN78" s="4069"/>
      <c r="CO78" s="4069"/>
      <c r="CP78" s="4070" t="e">
        <f>HLOOKUP($E$2,$BQ$2:$CB$530,ROW()-1,0)-HLOOKUP($E$2,$DA$2:$DL$437,ROW()-1,0)</f>
        <v>#N/A</v>
      </c>
      <c r="CQ78" s="4071"/>
      <c r="CR78" s="6886">
        <f t="shared" ref="CR78:CR141" si="94">CE78-CD78</f>
        <v>-40.765969490000117</v>
      </c>
      <c r="CS78" s="6887">
        <f t="shared" ref="CS78:CS141" si="95">CE78-BR78</f>
        <v>-49.58176074000005</v>
      </c>
      <c r="CT78" s="753"/>
      <c r="CU78" s="6948">
        <f t="shared" si="88"/>
        <v>34.886955250000057</v>
      </c>
      <c r="CV78" s="6887">
        <f>CU78-SUM(DA78:DB78)</f>
        <v>34.886955250000057</v>
      </c>
      <c r="CW78" s="6949">
        <f>IFERROR(CU78/SUM(DA78:DB78),0)</f>
        <v>0</v>
      </c>
      <c r="CX78" s="6754">
        <f t="shared" si="89"/>
        <v>-7.7929690200000721</v>
      </c>
      <c r="CY78" s="2775"/>
      <c r="CZ78" s="590"/>
      <c r="DA78" s="751"/>
      <c r="DB78" s="751"/>
      <c r="DC78" s="751"/>
      <c r="DD78" s="751"/>
      <c r="DE78" s="751"/>
      <c r="DF78" s="751"/>
      <c r="DG78" s="751"/>
      <c r="DH78" s="751"/>
      <c r="DI78" s="751"/>
      <c r="DJ78" s="751"/>
      <c r="DK78" s="751"/>
      <c r="DL78" s="751"/>
      <c r="DM78" s="752">
        <f t="shared" si="27"/>
        <v>0</v>
      </c>
      <c r="DO78" s="2261"/>
      <c r="DP78" s="2261"/>
      <c r="DS78" s="2261"/>
      <c r="DT78" s="2261"/>
    </row>
    <row r="79" spans="1:124" x14ac:dyDescent="0.55000000000000004">
      <c r="A79" s="4072"/>
      <c r="B79" s="4073" t="s">
        <v>19</v>
      </c>
      <c r="C79" s="4074"/>
      <c r="D79" s="4074"/>
      <c r="E79" s="4074"/>
      <c r="F79" s="4075">
        <v>-13.741713113866396</v>
      </c>
      <c r="G79" s="4076">
        <v>1.2177176834127474</v>
      </c>
      <c r="H79" s="4076">
        <v>-10.56160245978004</v>
      </c>
      <c r="I79" s="4076">
        <v>-2.1190571046691216</v>
      </c>
      <c r="J79" s="4076">
        <v>-4.0250099973201987</v>
      </c>
      <c r="K79" s="4076">
        <v>-18.746857254730347</v>
      </c>
      <c r="L79" s="4076">
        <v>-3.519791622019838</v>
      </c>
      <c r="M79" s="4076">
        <v>15.183379765808544</v>
      </c>
      <c r="N79" s="4076">
        <v>-16.029694667844442</v>
      </c>
      <c r="O79" s="4076">
        <v>2.5484389072509712</v>
      </c>
      <c r="P79" s="4076">
        <v>-2.4293552842058741</v>
      </c>
      <c r="Q79" s="4077">
        <v>-26.513453089042095</v>
      </c>
      <c r="R79" s="4076">
        <v>-6.766605187842468</v>
      </c>
      <c r="S79" s="4076">
        <v>-1.3366847045584773</v>
      </c>
      <c r="T79" s="4076">
        <v>3.6848657912629532</v>
      </c>
      <c r="U79" s="4076">
        <v>-6.3383246184061885</v>
      </c>
      <c r="V79" s="4076">
        <v>-3.110529946562643</v>
      </c>
      <c r="W79" s="4076">
        <v>0.80899758859209414</v>
      </c>
      <c r="X79" s="4076">
        <v>-0.52299296572851395</v>
      </c>
      <c r="Y79" s="4076">
        <v>8.1675519378861665</v>
      </c>
      <c r="Z79" s="4076">
        <v>-1.9629168583046401</v>
      </c>
      <c r="AA79" s="4076">
        <v>3.6219929679787226</v>
      </c>
      <c r="AB79" s="4076">
        <v>2.8772711783574385</v>
      </c>
      <c r="AC79" s="4076">
        <v>1.152024381337905</v>
      </c>
      <c r="AD79" s="4075">
        <v>-0.51126856879436255</v>
      </c>
      <c r="AE79" s="4076">
        <v>6.6266615685142281</v>
      </c>
      <c r="AF79" s="4076">
        <v>11.125082931895991</v>
      </c>
      <c r="AG79" s="4076">
        <v>-3.8826643030410026</v>
      </c>
      <c r="AH79" s="4076">
        <v>8.008748856886923</v>
      </c>
      <c r="AI79" s="4076">
        <v>-1.8509910739717985</v>
      </c>
      <c r="AJ79" s="4076">
        <v>-12.870427556426</v>
      </c>
      <c r="AK79" s="4076">
        <v>9.6521663287015294</v>
      </c>
      <c r="AL79" s="4076">
        <v>-8.0001140848030197</v>
      </c>
      <c r="AM79" s="4076">
        <v>6.5764013812678197</v>
      </c>
      <c r="AN79" s="4076">
        <v>-31.555112936687298</v>
      </c>
      <c r="AO79" s="4076">
        <v>-14.7988894295259</v>
      </c>
      <c r="AP79" s="4077"/>
      <c r="AQ79" s="4078">
        <v>-2.4865971917097873</v>
      </c>
      <c r="AR79" s="4079">
        <v>16.863873545639645</v>
      </c>
      <c r="AS79" s="4079">
        <v>8.7412195895893756</v>
      </c>
      <c r="AT79" s="4079">
        <v>3.6377682302271532</v>
      </c>
      <c r="AU79" s="4079">
        <v>15.464196511231293</v>
      </c>
      <c r="AV79" s="4079">
        <v>13.677927319858384</v>
      </c>
      <c r="AW79" s="4079">
        <v>-4.1613884664527188</v>
      </c>
      <c r="AX79" s="4079">
        <v>46.003314943790471</v>
      </c>
      <c r="AY79" s="4079">
        <v>-14.532940217525116</v>
      </c>
      <c r="AZ79" s="4079">
        <v>19.530456867603625</v>
      </c>
      <c r="BA79" s="4079">
        <v>-31.362217322552333</v>
      </c>
      <c r="BB79" s="4079">
        <v>-6.8309033880481174</v>
      </c>
      <c r="BC79" s="4080">
        <v>64.544710421651871</v>
      </c>
      <c r="BD79" s="4081">
        <f>BD107</f>
        <v>10.599674436788506</v>
      </c>
      <c r="BE79" s="4082">
        <f t="shared" ref="BE79:BM79" si="96">BE107</f>
        <v>10.59015720765608</v>
      </c>
      <c r="BF79" s="4082">
        <f t="shared" si="96"/>
        <v>19.143342551522174</v>
      </c>
      <c r="BG79" s="4082">
        <f t="shared" si="96"/>
        <v>3.8117258169239889</v>
      </c>
      <c r="BH79" s="4082">
        <f t="shared" si="96"/>
        <v>11.140804062993316</v>
      </c>
      <c r="BI79" s="4082">
        <f t="shared" si="96"/>
        <v>-5.3074165408016754</v>
      </c>
      <c r="BJ79" s="4082">
        <f t="shared" si="96"/>
        <v>21.608443562902071</v>
      </c>
      <c r="BK79" s="4082">
        <f t="shared" si="96"/>
        <v>-6.4021072199931659</v>
      </c>
      <c r="BL79" s="4082">
        <f t="shared" si="96"/>
        <v>-12.163202378626508</v>
      </c>
      <c r="BM79" s="4082">
        <f t="shared" si="96"/>
        <v>-9.9498159834150464</v>
      </c>
      <c r="BN79" s="4082">
        <f>BN107</f>
        <v>-11.1537898204672</v>
      </c>
      <c r="BO79" s="4082">
        <f>BO107</f>
        <v>-8.0349404720068751</v>
      </c>
      <c r="BP79" s="6622">
        <f>BP143</f>
        <v>23.882875223475764</v>
      </c>
      <c r="BQ79" s="6621">
        <f>BQ143</f>
        <v>-18.295066779738935</v>
      </c>
      <c r="BR79" s="6621">
        <f t="shared" ref="BR79:CB79" si="97">BR143</f>
        <v>34.361785092111376</v>
      </c>
      <c r="BS79" s="6621">
        <f t="shared" si="97"/>
        <v>11.391866476265804</v>
      </c>
      <c r="BT79" s="6621">
        <f t="shared" si="97"/>
        <v>16.529726748202631</v>
      </c>
      <c r="BU79" s="6621">
        <f t="shared" si="97"/>
        <v>36.827465569778163</v>
      </c>
      <c r="BV79" s="6621">
        <f t="shared" si="97"/>
        <v>-2.2899241677573894</v>
      </c>
      <c r="BW79" s="6621">
        <f t="shared" si="97"/>
        <v>29.869226999718894</v>
      </c>
      <c r="BX79" s="6621">
        <f t="shared" si="97"/>
        <v>3.1552801625569309</v>
      </c>
      <c r="BY79" s="6621">
        <f t="shared" si="97"/>
        <v>-1.3464367102259809</v>
      </c>
      <c r="BZ79" s="6621">
        <f t="shared" si="97"/>
        <v>-27.243653360345583</v>
      </c>
      <c r="CA79" s="6621">
        <f t="shared" si="97"/>
        <v>-15.846262022655502</v>
      </c>
      <c r="CB79" s="6621">
        <f t="shared" si="97"/>
        <v>-17.587660156621638</v>
      </c>
      <c r="CC79" s="6646">
        <f t="shared" si="93"/>
        <v>49.526347851288762</v>
      </c>
      <c r="CD79" s="6621">
        <f>CD143</f>
        <v>15.719919661860887</v>
      </c>
      <c r="CE79" s="6621">
        <f t="shared" ref="CE79" si="98">CE143</f>
        <v>-15.110232665703951</v>
      </c>
      <c r="CF79" s="4083"/>
      <c r="CG79" s="4083"/>
      <c r="CH79" s="4083"/>
      <c r="CI79" s="4083"/>
      <c r="CJ79" s="4083"/>
      <c r="CK79" s="4083"/>
      <c r="CL79" s="4083"/>
      <c r="CM79" s="4083"/>
      <c r="CN79" s="4083"/>
      <c r="CO79" s="4083"/>
      <c r="CP79" s="4084"/>
      <c r="CQ79" s="4085"/>
      <c r="CR79" s="6888">
        <f t="shared" si="94"/>
        <v>-30.830152327564839</v>
      </c>
      <c r="CS79" s="6889">
        <f t="shared" si="95"/>
        <v>-49.472017757815323</v>
      </c>
      <c r="CT79" s="4086"/>
      <c r="CU79" s="6950">
        <f t="shared" si="88"/>
        <v>0.60968699615693644</v>
      </c>
      <c r="CV79" s="6951"/>
      <c r="CW79" s="6952"/>
      <c r="CX79" s="6755">
        <f t="shared" si="89"/>
        <v>-15.457031316215504</v>
      </c>
      <c r="CY79" s="2775"/>
      <c r="CZ79" s="590"/>
      <c r="DA79" s="590"/>
      <c r="DB79" s="590"/>
      <c r="DC79" s="590"/>
      <c r="DD79" s="590"/>
      <c r="DE79" s="590"/>
      <c r="DF79" s="590"/>
      <c r="DG79" s="590"/>
      <c r="DH79" s="590"/>
      <c r="DI79" s="590"/>
      <c r="DJ79" s="590"/>
      <c r="DK79" s="590"/>
      <c r="DL79" s="590"/>
      <c r="DM79" s="590"/>
      <c r="DO79" s="2261"/>
      <c r="DP79" s="2261"/>
      <c r="DS79" s="2261"/>
      <c r="DT79" s="2261"/>
    </row>
    <row r="80" spans="1:124" x14ac:dyDescent="0.55000000000000004">
      <c r="A80" s="3988"/>
      <c r="B80" s="2771" t="s">
        <v>20</v>
      </c>
      <c r="F80" s="3752">
        <v>10.228244440282447</v>
      </c>
      <c r="G80" s="3753">
        <v>5.3462381322578345</v>
      </c>
      <c r="H80" s="3753">
        <v>6.4217244128019777</v>
      </c>
      <c r="I80" s="3753">
        <v>12.297980324930039</v>
      </c>
      <c r="J80" s="3753">
        <v>15.670920444371538</v>
      </c>
      <c r="K80" s="3753">
        <v>8.4672895288001602</v>
      </c>
      <c r="L80" s="3753">
        <v>9.0232164075180954</v>
      </c>
      <c r="M80" s="3753">
        <v>4.143773640688754</v>
      </c>
      <c r="N80" s="3753">
        <v>6.8783388513118551</v>
      </c>
      <c r="O80" s="3753">
        <v>16.273520387979882</v>
      </c>
      <c r="P80" s="3753">
        <v>12.80539495679251</v>
      </c>
      <c r="Q80" s="3754">
        <v>-2.71830036306477</v>
      </c>
      <c r="R80" s="3753">
        <v>3.0982039065661446</v>
      </c>
      <c r="S80" s="3753">
        <v>7.2438211840296427</v>
      </c>
      <c r="T80" s="3753">
        <v>-9.6033968637304568E-2</v>
      </c>
      <c r="U80" s="3753">
        <v>7.8899158064405812</v>
      </c>
      <c r="V80" s="3753">
        <v>9.9983949885881813</v>
      </c>
      <c r="W80" s="3753">
        <v>7.0013730625476667</v>
      </c>
      <c r="X80" s="3753">
        <v>4.0922998297469197</v>
      </c>
      <c r="Y80" s="3753">
        <v>0.33992385917567908</v>
      </c>
      <c r="Z80" s="3753">
        <v>7.1140935215959358</v>
      </c>
      <c r="AA80" s="3753">
        <v>1.0396129433859937</v>
      </c>
      <c r="AB80" s="3753">
        <v>2.9947986117892249</v>
      </c>
      <c r="AC80" s="3753">
        <v>-0.53049619421405403</v>
      </c>
      <c r="AD80" s="3752">
        <v>1.0658377306843532</v>
      </c>
      <c r="AE80" s="3753">
        <v>0.77263878660300733</v>
      </c>
      <c r="AF80" s="3753">
        <v>7.2501284310423149</v>
      </c>
      <c r="AG80" s="3753">
        <v>7.9434021758027669</v>
      </c>
      <c r="AH80" s="3753">
        <v>8.2221046846768377</v>
      </c>
      <c r="AI80" s="3753">
        <v>21.082983204198865</v>
      </c>
      <c r="AJ80" s="3753">
        <v>17.315732585432002</v>
      </c>
      <c r="AK80" s="3753">
        <v>2.2520989250618602</v>
      </c>
      <c r="AL80" s="3753">
        <v>7.6381859957628295</v>
      </c>
      <c r="AM80" s="3753">
        <v>4.9737754829937293</v>
      </c>
      <c r="AN80" s="3753">
        <v>2.46349378938474</v>
      </c>
      <c r="AO80" s="3755">
        <v>8.8861575998537798</v>
      </c>
      <c r="AP80" s="3754"/>
      <c r="AQ80" s="3756">
        <v>3.3495094888475547</v>
      </c>
      <c r="AR80" s="3757">
        <v>-3.5328889770966114</v>
      </c>
      <c r="AS80" s="3757">
        <v>-1.5637827930574897</v>
      </c>
      <c r="AT80" s="3757">
        <v>6.0888672722938182</v>
      </c>
      <c r="AU80" s="3757">
        <v>2.1924339017970436</v>
      </c>
      <c r="AV80" s="3757">
        <v>-2.5313822574605904</v>
      </c>
      <c r="AW80" s="3757">
        <v>10.055429561359166</v>
      </c>
      <c r="AX80" s="3757">
        <v>-9.7221004933971642</v>
      </c>
      <c r="AY80" s="3757">
        <v>12.886122195423118</v>
      </c>
      <c r="AZ80" s="3757">
        <v>0.4408754823698704</v>
      </c>
      <c r="BA80" s="3757">
        <v>1.2201085615672582</v>
      </c>
      <c r="BB80" s="3757">
        <v>-5.4102429990188554</v>
      </c>
      <c r="BC80" s="3758">
        <v>13.472948943627117</v>
      </c>
      <c r="BD80" s="756">
        <f>BD125</f>
        <v>5.1388653668093438</v>
      </c>
      <c r="BE80" s="757">
        <f t="shared" ref="BE80:BM80" si="99">BE125</f>
        <v>7.8009544691400396</v>
      </c>
      <c r="BF80" s="757">
        <f t="shared" si="99"/>
        <v>9.8003928996034411</v>
      </c>
      <c r="BG80" s="757">
        <f>BG125</f>
        <v>6.391802270587827</v>
      </c>
      <c r="BH80" s="757">
        <f t="shared" si="99"/>
        <v>-2.8489680670668793</v>
      </c>
      <c r="BI80" s="757">
        <f t="shared" si="99"/>
        <v>-6.0562523448652481</v>
      </c>
      <c r="BJ80" s="757">
        <f t="shared" si="99"/>
        <v>4.1689742960578045</v>
      </c>
      <c r="BK80" s="757">
        <f t="shared" si="99"/>
        <v>3.9159821815471325</v>
      </c>
      <c r="BL80" s="757">
        <f t="shared" si="99"/>
        <v>12.204343616314599</v>
      </c>
      <c r="BM80" s="757">
        <f t="shared" si="99"/>
        <v>-2.2668962428019599</v>
      </c>
      <c r="BN80" s="757">
        <f>BN125</f>
        <v>8.7477696342319149</v>
      </c>
      <c r="BO80" s="757">
        <f>BO125</f>
        <v>1.9399258010636395</v>
      </c>
      <c r="BP80" s="6592">
        <f>BP156</f>
        <v>48.939202750621597</v>
      </c>
      <c r="BQ80" s="6537">
        <f>BQ156</f>
        <v>10.406786212515296</v>
      </c>
      <c r="BR80" s="6537">
        <f t="shared" ref="BR80:CB80" si="100">BR156</f>
        <v>-1.2838893361205201</v>
      </c>
      <c r="BS80" s="6537">
        <f t="shared" si="100"/>
        <v>5.7066022764471329</v>
      </c>
      <c r="BT80" s="6537">
        <f t="shared" si="100"/>
        <v>5.5789361155570818</v>
      </c>
      <c r="BU80" s="6537">
        <f t="shared" si="100"/>
        <v>4.0036403617705218E-2</v>
      </c>
      <c r="BV80" s="6537">
        <f t="shared" si="100"/>
        <v>11.117805713351164</v>
      </c>
      <c r="BW80" s="6537">
        <f t="shared" si="100"/>
        <v>3.9280228807531898</v>
      </c>
      <c r="BX80" s="6537">
        <f t="shared" si="100"/>
        <v>-5.4545131547366594</v>
      </c>
      <c r="BY80" s="6537">
        <f t="shared" si="100"/>
        <v>6.0505012123430237</v>
      </c>
      <c r="BZ80" s="6537">
        <f t="shared" si="100"/>
        <v>-5.2185853730272775</v>
      </c>
      <c r="CA80" s="6537">
        <f t="shared" si="100"/>
        <v>-5.3573387273088553</v>
      </c>
      <c r="CB80" s="6537">
        <f t="shared" si="100"/>
        <v>3.6545042139473303</v>
      </c>
      <c r="CC80" s="6647">
        <f t="shared" si="93"/>
        <v>29.168868437338606</v>
      </c>
      <c r="CD80" s="6537">
        <f>CD156</f>
        <v>10.072277104190986</v>
      </c>
      <c r="CE80" s="6537">
        <f t="shared" ref="CE80" si="101">CE156</f>
        <v>-3.7579981951445518E-2</v>
      </c>
      <c r="CF80" s="3687"/>
      <c r="CG80" s="3687"/>
      <c r="CH80" s="3687"/>
      <c r="CI80" s="3687"/>
      <c r="CJ80" s="3687"/>
      <c r="CK80" s="3687"/>
      <c r="CL80" s="3687"/>
      <c r="CM80" s="3687"/>
      <c r="CN80" s="3687"/>
      <c r="CO80" s="3687"/>
      <c r="CP80" s="4087"/>
      <c r="CQ80" s="758"/>
      <c r="CR80" s="6862">
        <f t="shared" si="94"/>
        <v>-10.109857086142432</v>
      </c>
      <c r="CS80" s="6747">
        <f t="shared" si="95"/>
        <v>1.2463093541690746</v>
      </c>
      <c r="CT80" s="607"/>
      <c r="CU80" s="6911">
        <f t="shared" si="88"/>
        <v>10.034697122239541</v>
      </c>
      <c r="CV80" s="6922"/>
      <c r="CW80" s="6953"/>
      <c r="CX80" s="6749">
        <f t="shared" si="89"/>
        <v>0.91180024584476449</v>
      </c>
      <c r="CY80" s="2775"/>
      <c r="CZ80" s="590"/>
      <c r="DA80" s="590"/>
      <c r="DB80" s="590"/>
      <c r="DC80" s="590"/>
      <c r="DD80" s="590"/>
      <c r="DE80" s="590"/>
      <c r="DF80" s="590"/>
      <c r="DG80" s="590"/>
      <c r="DH80" s="590"/>
      <c r="DI80" s="590"/>
      <c r="DJ80" s="590"/>
      <c r="DK80" s="590"/>
      <c r="DL80" s="590"/>
      <c r="DM80" s="590"/>
      <c r="DO80" s="2261"/>
      <c r="DP80" s="2261"/>
      <c r="DS80" s="2261"/>
      <c r="DT80" s="2261"/>
    </row>
    <row r="81" spans="1:124" x14ac:dyDescent="0.55000000000000004">
      <c r="A81" s="3988"/>
      <c r="B81" s="2771" t="s">
        <v>869</v>
      </c>
      <c r="F81" s="3752">
        <v>-9.3148496219172774E-2</v>
      </c>
      <c r="G81" s="3753">
        <v>-2.6743721827377072</v>
      </c>
      <c r="H81" s="3753">
        <v>-2.1573634922040767</v>
      </c>
      <c r="I81" s="3753">
        <v>0.73727152743928293</v>
      </c>
      <c r="J81" s="3753">
        <v>1.26690180553402</v>
      </c>
      <c r="K81" s="3753">
        <v>-0.13911825103508971</v>
      </c>
      <c r="L81" s="3753">
        <v>0.86206011698010754</v>
      </c>
      <c r="M81" s="3753">
        <v>-0.98747772735312656</v>
      </c>
      <c r="N81" s="3753">
        <v>-0.89444412269478335</v>
      </c>
      <c r="O81" s="3753">
        <v>1.313845125956469</v>
      </c>
      <c r="P81" s="3753">
        <v>-1.157410437054019</v>
      </c>
      <c r="Q81" s="3754">
        <v>-3.6562027946760525</v>
      </c>
      <c r="R81" s="3753">
        <v>0.63048490079719188</v>
      </c>
      <c r="S81" s="3753">
        <v>0.27290147628457895</v>
      </c>
      <c r="T81" s="3753">
        <v>2.38374725131135</v>
      </c>
      <c r="U81" s="3753">
        <v>-2.7115345482401253E-2</v>
      </c>
      <c r="V81" s="3753">
        <v>0.13210294821928911</v>
      </c>
      <c r="W81" s="3753">
        <v>-0.23672726253612503</v>
      </c>
      <c r="X81" s="3753">
        <v>-4.3393298371787521E-2</v>
      </c>
      <c r="Y81" s="3753">
        <v>-0.9759639326273194</v>
      </c>
      <c r="Z81" s="3753">
        <v>-0.21589375458594798</v>
      </c>
      <c r="AA81" s="3753">
        <v>1.6373519189214447</v>
      </c>
      <c r="AB81" s="3753">
        <v>-1.3083073727582839</v>
      </c>
      <c r="AC81" s="3753">
        <v>0.12362793722402393</v>
      </c>
      <c r="AD81" s="3752">
        <v>1.5630742269750961</v>
      </c>
      <c r="AE81" s="3753">
        <v>0.64997459365005705</v>
      </c>
      <c r="AF81" s="3753">
        <v>4.2993709159698819</v>
      </c>
      <c r="AG81" s="3753">
        <v>2.1584172820466594</v>
      </c>
      <c r="AH81" s="3753">
        <v>2.0287134964590701</v>
      </c>
      <c r="AI81" s="3753">
        <v>1.4475061298015734</v>
      </c>
      <c r="AJ81" s="3753">
        <v>0.89054087462371634</v>
      </c>
      <c r="AK81" s="3753">
        <v>-0.51996689218074454</v>
      </c>
      <c r="AL81" s="3753">
        <v>2.0298073779630594</v>
      </c>
      <c r="AM81" s="3753">
        <v>1.9882466367297429</v>
      </c>
      <c r="AN81" s="3753">
        <v>0.32675667328810132</v>
      </c>
      <c r="AO81" s="3755">
        <v>-2.762529229720136</v>
      </c>
      <c r="AP81" s="3754"/>
      <c r="AQ81" s="3756">
        <v>0.78469619264848978</v>
      </c>
      <c r="AR81" s="3757">
        <v>-1.2221504791790054</v>
      </c>
      <c r="AS81" s="3757">
        <v>3.4039179675585376</v>
      </c>
      <c r="AT81" s="3757">
        <v>0.27353711151211169</v>
      </c>
      <c r="AU81" s="3757">
        <v>5.5556863281973401E-2</v>
      </c>
      <c r="AV81" s="3757">
        <v>2.6270555680646881</v>
      </c>
      <c r="AW81" s="3757">
        <v>1.2862984462317604</v>
      </c>
      <c r="AX81" s="3757">
        <v>5.7314307837990075E-2</v>
      </c>
      <c r="AY81" s="3757">
        <v>3.9924241319515579</v>
      </c>
      <c r="AZ81" s="3757">
        <v>1.5131723841591156</v>
      </c>
      <c r="BA81" s="3757">
        <v>0.89556682460469972</v>
      </c>
      <c r="BB81" s="3757">
        <v>-1.6844151657804178</v>
      </c>
      <c r="BC81" s="3758">
        <v>11.982974152891501</v>
      </c>
      <c r="BD81" s="756">
        <f>BD169</f>
        <v>3.1253146377582643</v>
      </c>
      <c r="BE81" s="757">
        <f t="shared" ref="BE81:BM81" si="102">BE169</f>
        <v>2.7333906599460551</v>
      </c>
      <c r="BF81" s="757">
        <f t="shared" si="102"/>
        <v>3.6472784727790102</v>
      </c>
      <c r="BG81" s="757">
        <f t="shared" si="102"/>
        <v>2.1020135052927573</v>
      </c>
      <c r="BH81" s="757">
        <f t="shared" si="102"/>
        <v>2.1612044484699653</v>
      </c>
      <c r="BI81" s="757">
        <f t="shared" si="102"/>
        <v>1.8080794399743307</v>
      </c>
      <c r="BJ81" s="757">
        <f t="shared" si="102"/>
        <v>2.7242758740850674</v>
      </c>
      <c r="BK81" s="757">
        <f t="shared" si="102"/>
        <v>0.93480314936228881</v>
      </c>
      <c r="BL81" s="757">
        <f t="shared" si="102"/>
        <v>3.6787974286770559</v>
      </c>
      <c r="BM81" s="757">
        <f t="shared" si="102"/>
        <v>2.5442226617933494</v>
      </c>
      <c r="BN81" s="757">
        <f>BN169</f>
        <v>2.0726069634121687</v>
      </c>
      <c r="BO81" s="757">
        <f>BO169</f>
        <v>2.2974416429260653</v>
      </c>
      <c r="BP81" s="6592">
        <f>BP169</f>
        <v>29.884391067522927</v>
      </c>
      <c r="BQ81" s="6537">
        <f t="shared" ref="BQ81:BR81" si="103">BQ169</f>
        <v>5.1919827007767143</v>
      </c>
      <c r="BR81" s="6537">
        <f t="shared" si="103"/>
        <v>-1.3236918023909765</v>
      </c>
      <c r="BS81" s="6537">
        <f t="shared" ref="BS81:CQ81" si="104">BS169</f>
        <v>1.5846611752871356</v>
      </c>
      <c r="BT81" s="6537">
        <f t="shared" si="104"/>
        <v>1.8888801238403676</v>
      </c>
      <c r="BU81" s="6537">
        <f t="shared" si="104"/>
        <v>0.22504437500412822</v>
      </c>
      <c r="BV81" s="6537">
        <f t="shared" si="104"/>
        <v>6.220161420406189</v>
      </c>
      <c r="BW81" s="6537">
        <f t="shared" si="104"/>
        <v>4.4982364027279189</v>
      </c>
      <c r="BX81" s="6537">
        <f t="shared" si="104"/>
        <v>4.8514697981797523</v>
      </c>
      <c r="BY81" s="6537">
        <f t="shared" si="104"/>
        <v>8.3841179802830119</v>
      </c>
      <c r="BZ81" s="6537">
        <f t="shared" si="104"/>
        <v>15.911146059727248</v>
      </c>
      <c r="CA81" s="6537">
        <f t="shared" si="104"/>
        <v>5.5496322559588549</v>
      </c>
      <c r="CB81" s="6537">
        <f t="shared" si="104"/>
        <v>14.545816018263951</v>
      </c>
      <c r="CC81" s="6647">
        <f t="shared" si="93"/>
        <v>67.52745650806429</v>
      </c>
      <c r="CD81" s="6537">
        <f t="shared" ref="CD81:CE81" si="105">CD169</f>
        <v>9.8188875819318024</v>
      </c>
      <c r="CE81" s="6537">
        <f t="shared" si="105"/>
        <v>10.544503696678007</v>
      </c>
      <c r="CF81" s="3687"/>
      <c r="CG81" s="3687"/>
      <c r="CH81" s="3687"/>
      <c r="CI81" s="3687"/>
      <c r="CJ81" s="3687"/>
      <c r="CK81" s="3687"/>
      <c r="CL81" s="3687"/>
      <c r="CM81" s="3687"/>
      <c r="CN81" s="3687"/>
      <c r="CO81" s="3687"/>
      <c r="CP81" s="3687">
        <f t="shared" si="104"/>
        <v>0</v>
      </c>
      <c r="CQ81" s="3687">
        <f t="shared" si="104"/>
        <v>0</v>
      </c>
      <c r="CR81" s="6862">
        <f t="shared" si="94"/>
        <v>0.72561611474620413</v>
      </c>
      <c r="CS81" s="6747">
        <f t="shared" si="95"/>
        <v>11.868195499068984</v>
      </c>
      <c r="CT81" s="607"/>
      <c r="CU81" s="6911">
        <f t="shared" si="88"/>
        <v>20.363391278609811</v>
      </c>
      <c r="CV81" s="6922"/>
      <c r="CW81" s="6953"/>
      <c r="CX81" s="6749">
        <f t="shared" si="89"/>
        <v>16.495100380224073</v>
      </c>
      <c r="CY81" s="2775"/>
      <c r="CZ81" s="590"/>
      <c r="DA81" s="590"/>
      <c r="DB81" s="590"/>
      <c r="DC81" s="590"/>
      <c r="DD81" s="590"/>
      <c r="DE81" s="590"/>
      <c r="DF81" s="590"/>
      <c r="DG81" s="590"/>
      <c r="DH81" s="590"/>
      <c r="DI81" s="590"/>
      <c r="DJ81" s="590"/>
      <c r="DK81" s="590"/>
      <c r="DL81" s="590"/>
      <c r="DM81" s="590"/>
      <c r="DO81" s="2261"/>
      <c r="DP81" s="2261"/>
      <c r="DS81" s="2261"/>
      <c r="DT81" s="2261"/>
    </row>
    <row r="82" spans="1:124" x14ac:dyDescent="0.55000000000000004">
      <c r="A82" s="3988"/>
      <c r="B82" s="2771" t="s">
        <v>939</v>
      </c>
      <c r="F82" s="3752"/>
      <c r="G82" s="3753"/>
      <c r="H82" s="3753"/>
      <c r="I82" s="3753"/>
      <c r="J82" s="3753"/>
      <c r="K82" s="3753"/>
      <c r="L82" s="3753"/>
      <c r="M82" s="3753"/>
      <c r="N82" s="3753"/>
      <c r="O82" s="3753"/>
      <c r="P82" s="3753"/>
      <c r="Q82" s="3754"/>
      <c r="R82" s="3753"/>
      <c r="S82" s="3753"/>
      <c r="T82" s="3753"/>
      <c r="U82" s="3753"/>
      <c r="V82" s="3753"/>
      <c r="W82" s="3753"/>
      <c r="X82" s="3753"/>
      <c r="Y82" s="3753"/>
      <c r="Z82" s="3753"/>
      <c r="AA82" s="3753"/>
      <c r="AB82" s="3753"/>
      <c r="AC82" s="3753"/>
      <c r="AD82" s="3752"/>
      <c r="AE82" s="3753"/>
      <c r="AF82" s="3753"/>
      <c r="AG82" s="3753"/>
      <c r="AH82" s="3753"/>
      <c r="AI82" s="3753"/>
      <c r="AJ82" s="3753"/>
      <c r="AK82" s="3753"/>
      <c r="AL82" s="3753"/>
      <c r="AM82" s="3753"/>
      <c r="AN82" s="3753"/>
      <c r="AO82" s="3755"/>
      <c r="AP82" s="3754"/>
      <c r="AQ82" s="3756"/>
      <c r="AR82" s="3757"/>
      <c r="AS82" s="3757"/>
      <c r="AT82" s="3757"/>
      <c r="AU82" s="3757"/>
      <c r="AV82" s="3757"/>
      <c r="AW82" s="3757"/>
      <c r="AX82" s="3757"/>
      <c r="AY82" s="3757"/>
      <c r="AZ82" s="3757"/>
      <c r="BA82" s="3757"/>
      <c r="BB82" s="3757"/>
      <c r="BC82" s="3758"/>
      <c r="BD82" s="757"/>
      <c r="BE82" s="757"/>
      <c r="BF82" s="757"/>
      <c r="BG82" s="757"/>
      <c r="BH82" s="757"/>
      <c r="BI82" s="757"/>
      <c r="BJ82" s="757"/>
      <c r="BK82" s="757"/>
      <c r="BL82" s="757"/>
      <c r="BM82" s="757"/>
      <c r="BN82" s="757"/>
      <c r="BO82" s="757"/>
      <c r="BP82" s="6628"/>
      <c r="BQ82" s="6537">
        <f t="shared" ref="BQ82:CE82" si="106">BQ182</f>
        <v>-4.1804479461800605</v>
      </c>
      <c r="BR82" s="6537">
        <f t="shared" si="106"/>
        <v>-1.6603434504098429</v>
      </c>
      <c r="BS82" s="6537">
        <f t="shared" si="106"/>
        <v>-3.0069197009757249</v>
      </c>
      <c r="BT82" s="6537">
        <f t="shared" si="106"/>
        <v>-5.7874243047900924</v>
      </c>
      <c r="BU82" s="6537">
        <f t="shared" si="106"/>
        <v>-5.7833196762178662</v>
      </c>
      <c r="BV82" s="6537">
        <f t="shared" si="106"/>
        <v>-2.630973999323007</v>
      </c>
      <c r="BW82" s="6537">
        <f t="shared" si="106"/>
        <v>-1.5871862364982727</v>
      </c>
      <c r="BX82" s="6537">
        <f t="shared" si="106"/>
        <v>-4.4666765965718067</v>
      </c>
      <c r="BY82" s="6537">
        <f t="shared" si="106"/>
        <v>-0.21888727900188387</v>
      </c>
      <c r="BZ82" s="6537">
        <f t="shared" si="106"/>
        <v>-7.8679388933566372</v>
      </c>
      <c r="CA82" s="6537">
        <f t="shared" si="106"/>
        <v>-4.1149204803617163</v>
      </c>
      <c r="CB82" s="6537">
        <f t="shared" si="106"/>
        <v>-6.7900874340056001</v>
      </c>
      <c r="CC82" s="6647">
        <f t="shared" si="93"/>
        <v>-48.095125997692513</v>
      </c>
      <c r="CD82" s="6537">
        <f t="shared" si="106"/>
        <v>0.42095081383986865</v>
      </c>
      <c r="CE82" s="6537">
        <f t="shared" si="106"/>
        <v>-2.5482496492803346</v>
      </c>
      <c r="CF82" s="3687"/>
      <c r="CG82" s="3687"/>
      <c r="CH82" s="3687"/>
      <c r="CI82" s="3687"/>
      <c r="CJ82" s="3687"/>
      <c r="CK82" s="3687"/>
      <c r="CL82" s="3687"/>
      <c r="CM82" s="3687"/>
      <c r="CN82" s="3687"/>
      <c r="CO82" s="3687"/>
      <c r="CP82" s="4087"/>
      <c r="CQ82" s="758"/>
      <c r="CR82" s="6862">
        <f t="shared" si="94"/>
        <v>-2.9692004631202034</v>
      </c>
      <c r="CS82" s="6747">
        <f t="shared" si="95"/>
        <v>-0.88790619887049171</v>
      </c>
      <c r="CT82" s="607"/>
      <c r="CU82" s="6756">
        <f t="shared" si="88"/>
        <v>-2.1272988354404658</v>
      </c>
      <c r="CV82" s="6922"/>
      <c r="CW82" s="6953"/>
      <c r="CX82" s="6749">
        <f t="shared" si="89"/>
        <v>3.7134925611494376</v>
      </c>
      <c r="CY82" s="2775"/>
      <c r="CZ82" s="590"/>
      <c r="DA82" s="590"/>
      <c r="DB82" s="590"/>
      <c r="DC82" s="590"/>
      <c r="DD82" s="590"/>
      <c r="DE82" s="590"/>
      <c r="DF82" s="590"/>
      <c r="DG82" s="590"/>
      <c r="DH82" s="590"/>
      <c r="DI82" s="590"/>
      <c r="DJ82" s="590"/>
      <c r="DK82" s="590"/>
      <c r="DL82" s="590"/>
      <c r="DM82" s="590"/>
      <c r="DO82" s="2261"/>
      <c r="DP82" s="2261"/>
      <c r="DS82" s="2261"/>
      <c r="DT82" s="2261"/>
    </row>
    <row r="83" spans="1:124" x14ac:dyDescent="0.45">
      <c r="A83" s="3988"/>
      <c r="B83" s="3443" t="s">
        <v>668</v>
      </c>
      <c r="F83" s="4088">
        <v>-1.1206639123008328</v>
      </c>
      <c r="G83" s="4089">
        <v>-0.29141808948386083</v>
      </c>
      <c r="H83" s="4089">
        <v>-0.71450147723653767</v>
      </c>
      <c r="I83" s="4089">
        <v>-1.0767711412274337</v>
      </c>
      <c r="J83" s="4089">
        <v>-7.8454297176325696E-2</v>
      </c>
      <c r="K83" s="4089">
        <v>-9.7352340167535995E-2</v>
      </c>
      <c r="L83" s="4089">
        <v>-0.38217491044973084</v>
      </c>
      <c r="M83" s="4089">
        <v>-0.31971539574080715</v>
      </c>
      <c r="N83" s="4089">
        <v>-0.76876015253042518</v>
      </c>
      <c r="O83" s="4089">
        <v>-0.21170742780505616</v>
      </c>
      <c r="P83" s="4089">
        <v>0.41095581652197316</v>
      </c>
      <c r="Q83" s="4090">
        <v>-8.6608429986223694</v>
      </c>
      <c r="R83" s="3752">
        <v>-2.0299473546572733</v>
      </c>
      <c r="S83" s="3753">
        <v>-1.8481261200451595</v>
      </c>
      <c r="T83" s="3753">
        <v>1.6435804000426084E-3</v>
      </c>
      <c r="U83" s="3753">
        <v>-0.8521046519779415</v>
      </c>
      <c r="V83" s="3753">
        <v>-1.199200829191873</v>
      </c>
      <c r="W83" s="3753">
        <v>-1.3095385830763415</v>
      </c>
      <c r="X83" s="3753">
        <v>-1.3040883935311078</v>
      </c>
      <c r="Y83" s="3753">
        <v>-1.2766345173198299</v>
      </c>
      <c r="Z83" s="3753">
        <v>-1.6482602186127744</v>
      </c>
      <c r="AA83" s="3753">
        <v>-3.0075179024374128</v>
      </c>
      <c r="AB83" s="3753">
        <v>-2.4901939158050728</v>
      </c>
      <c r="AC83" s="3753">
        <v>2.2571045570925001</v>
      </c>
      <c r="AD83" s="3752">
        <f>AD84</f>
        <v>-0.30677185708927773</v>
      </c>
      <c r="AE83" s="3753">
        <f t="shared" ref="AE83:AO83" si="107">AE84</f>
        <v>-0.6415060044638965</v>
      </c>
      <c r="AF83" s="3753">
        <f t="shared" si="107"/>
        <v>-0.42341793345528467</v>
      </c>
      <c r="AG83" s="3753">
        <f t="shared" si="107"/>
        <v>0.43328705811420604</v>
      </c>
      <c r="AH83" s="3753">
        <f t="shared" si="107"/>
        <v>0.47985356970300258</v>
      </c>
      <c r="AI83" s="3753">
        <f t="shared" si="107"/>
        <v>1.1267243856446689</v>
      </c>
      <c r="AJ83" s="3753">
        <f t="shared" si="107"/>
        <v>-0.77970488610409949</v>
      </c>
      <c r="AK83" s="3753">
        <f t="shared" si="107"/>
        <v>-1.5206837440596441</v>
      </c>
      <c r="AL83" s="3753">
        <f t="shared" si="107"/>
        <v>-0.78604090464901422</v>
      </c>
      <c r="AM83" s="3753">
        <f t="shared" si="107"/>
        <v>9.5948502337226724E-2</v>
      </c>
      <c r="AN83" s="3753">
        <f t="shared" si="107"/>
        <v>-1.8063004836115628</v>
      </c>
      <c r="AO83" s="3755">
        <f t="shared" si="107"/>
        <v>-1.0474917898442249</v>
      </c>
      <c r="AP83" s="3754"/>
      <c r="AQ83" s="3756">
        <v>-0.50042886045422619</v>
      </c>
      <c r="AR83" s="3757">
        <v>0.58803197543168828</v>
      </c>
      <c r="AS83" s="3757">
        <v>1.3153894269747688</v>
      </c>
      <c r="AT83" s="3757">
        <v>-0.71945750697486655</v>
      </c>
      <c r="AU83" s="3757">
        <v>-1.4943840542118461</v>
      </c>
      <c r="AV83" s="3757">
        <v>-0.43501724965075772</v>
      </c>
      <c r="AW83" s="3757">
        <v>-0.78456115328872678</v>
      </c>
      <c r="AX83" s="3757">
        <v>-0.79430585931079045</v>
      </c>
      <c r="AY83" s="3757">
        <v>-0.65548754025695311</v>
      </c>
      <c r="AZ83" s="3757">
        <v>-0.60096163781774825</v>
      </c>
      <c r="BA83" s="3757">
        <v>-0.58683821476182252</v>
      </c>
      <c r="BB83" s="3757">
        <v>-5.2587883574405341</v>
      </c>
      <c r="BC83" s="3758">
        <v>-9.9268090317618132</v>
      </c>
      <c r="BD83" s="4091">
        <v>-0.72234389886728523</v>
      </c>
      <c r="BE83" s="3990">
        <v>-7.0873312953665391E-2</v>
      </c>
      <c r="BF83" s="3990">
        <v>-6.3302573931821482E-2</v>
      </c>
      <c r="BG83" s="757">
        <v>4.4105446864377269</v>
      </c>
      <c r="BH83" s="757">
        <v>1.1340522501180068</v>
      </c>
      <c r="BI83" s="757">
        <v>9.8189621918902716</v>
      </c>
      <c r="BJ83" s="757">
        <v>0.7099049113445185</v>
      </c>
      <c r="BK83" s="757">
        <v>0.73390218622014747</v>
      </c>
      <c r="BL83" s="757">
        <v>1.1024115299354476</v>
      </c>
      <c r="BM83" s="796">
        <v>0.27096077596603102</v>
      </c>
      <c r="BN83" s="757">
        <v>1.3608249397337615</v>
      </c>
      <c r="BO83" s="757">
        <v>-5.1124714678940633</v>
      </c>
      <c r="BP83" s="6592">
        <v>13.605176802087</v>
      </c>
      <c r="BQ83" s="6537">
        <v>0.17031230864935623</v>
      </c>
      <c r="BR83" s="6591">
        <v>2.1858619987025723</v>
      </c>
      <c r="BS83" s="6590">
        <v>3.2127060216328083</v>
      </c>
      <c r="BT83" s="6623">
        <v>0.54020239189571506</v>
      </c>
      <c r="BU83" s="6623">
        <v>1.2282309662586708</v>
      </c>
      <c r="BV83" s="6623">
        <v>4.4776777662769449</v>
      </c>
      <c r="BW83" s="6537">
        <v>0.22733990294782747</v>
      </c>
      <c r="BX83" s="6537">
        <v>3.4383009917662521E-2</v>
      </c>
      <c r="BY83" s="6623">
        <v>0.13101967881001841</v>
      </c>
      <c r="BZ83" s="6623">
        <v>-0.23589660257647982</v>
      </c>
      <c r="CA83" s="6623">
        <v>-0.12994873757416625</v>
      </c>
      <c r="CB83" s="6623">
        <v>-7.1086104565269412</v>
      </c>
      <c r="CC83" s="6647">
        <f t="shared" si="93"/>
        <v>4.7332782484139884</v>
      </c>
      <c r="CD83" s="6537">
        <v>0.31749870099331828</v>
      </c>
      <c r="CE83" s="6591">
        <v>7.7377829075210736E-2</v>
      </c>
      <c r="CF83" s="3971"/>
      <c r="CG83" s="4092"/>
      <c r="CH83" s="4092"/>
      <c r="CI83" s="4092"/>
      <c r="CJ83" s="596"/>
      <c r="CK83" s="3760"/>
      <c r="CL83" s="757"/>
      <c r="CM83" s="757"/>
      <c r="CN83" s="757"/>
      <c r="CO83" s="757"/>
      <c r="CP83" s="4087"/>
      <c r="CQ83" s="758"/>
      <c r="CR83" s="6862">
        <f t="shared" si="94"/>
        <v>-0.24012087191810755</v>
      </c>
      <c r="CS83" s="6747">
        <f t="shared" si="95"/>
        <v>-2.1084841696273617</v>
      </c>
      <c r="CT83" s="607"/>
      <c r="CU83" s="6911">
        <f t="shared" si="88"/>
        <v>0.39487653006852902</v>
      </c>
      <c r="CV83" s="6922"/>
      <c r="CW83" s="6953"/>
      <c r="CX83" s="6749">
        <f t="shared" si="89"/>
        <v>-1.9612977772833995</v>
      </c>
      <c r="CY83" s="2775"/>
      <c r="CZ83" s="590"/>
      <c r="DA83" s="590"/>
      <c r="DB83" s="590"/>
      <c r="DC83" s="590"/>
      <c r="DD83" s="590"/>
      <c r="DE83" s="590"/>
      <c r="DF83" s="590"/>
      <c r="DG83" s="590"/>
      <c r="DH83" s="590"/>
      <c r="DI83" s="590"/>
      <c r="DJ83" s="590"/>
      <c r="DK83" s="590"/>
      <c r="DL83" s="590"/>
      <c r="DM83" s="590"/>
      <c r="DO83" s="4093">
        <f>AVERAGE(BD83:BL83)</f>
        <v>1.894806441132594</v>
      </c>
      <c r="DP83" s="4093">
        <f>AVERAGE(BQ83:BY83)</f>
        <v>1.3564148938990639</v>
      </c>
      <c r="DS83" s="2261"/>
      <c r="DT83" s="2261"/>
    </row>
    <row r="84" spans="1:124" x14ac:dyDescent="0.55000000000000004">
      <c r="A84" s="3988"/>
      <c r="B84" s="4094" t="s">
        <v>669</v>
      </c>
      <c r="F84" s="4095">
        <v>-1.1206639123008328</v>
      </c>
      <c r="G84" s="4096">
        <v>-0.29141808948386083</v>
      </c>
      <c r="H84" s="4096">
        <v>-0.71450147723653767</v>
      </c>
      <c r="I84" s="4096">
        <v>-1.0767711412274337</v>
      </c>
      <c r="J84" s="4096">
        <v>-7.8454297176325696E-2</v>
      </c>
      <c r="K84" s="4096">
        <v>-9.7352340167535995E-2</v>
      </c>
      <c r="L84" s="4096">
        <v>-0.38217491044973084</v>
      </c>
      <c r="M84" s="4096">
        <v>-0.31971539574080715</v>
      </c>
      <c r="N84" s="4096">
        <v>-0.76876015253042518</v>
      </c>
      <c r="O84" s="4096">
        <v>-0.21170742780505616</v>
      </c>
      <c r="P84" s="4096">
        <v>0.41095581652197316</v>
      </c>
      <c r="Q84" s="4097">
        <v>-8.6608429986223694</v>
      </c>
      <c r="R84" s="4098">
        <v>-2.0299473546572733</v>
      </c>
      <c r="S84" s="4099">
        <v>-1.8481261200451595</v>
      </c>
      <c r="T84" s="4099">
        <v>1.6435804000426084E-3</v>
      </c>
      <c r="U84" s="4099">
        <v>-0.8521046519779415</v>
      </c>
      <c r="V84" s="4099">
        <v>-1.199200829191873</v>
      </c>
      <c r="W84" s="4099">
        <v>-1.3095385830763415</v>
      </c>
      <c r="X84" s="4099">
        <v>-1.3040883935311078</v>
      </c>
      <c r="Y84" s="4099">
        <v>-1.2766345173198299</v>
      </c>
      <c r="Z84" s="4099">
        <v>-1.6482602186127744</v>
      </c>
      <c r="AA84" s="4099">
        <v>-3.0075179024374128</v>
      </c>
      <c r="AB84" s="4099">
        <v>-2.4901939158050728</v>
      </c>
      <c r="AC84" s="4100">
        <v>2.2571045570925001</v>
      </c>
      <c r="AD84" s="4099">
        <v>-0.30677185708927773</v>
      </c>
      <c r="AE84" s="4099">
        <v>-0.6415060044638965</v>
      </c>
      <c r="AF84" s="4099">
        <v>-0.42341793345528467</v>
      </c>
      <c r="AG84" s="4099">
        <v>0.43328705811420604</v>
      </c>
      <c r="AH84" s="4099">
        <v>0.47985356970300258</v>
      </c>
      <c r="AI84" s="4099">
        <v>1.1267243856446689</v>
      </c>
      <c r="AJ84" s="4099">
        <v>-0.77970488610409949</v>
      </c>
      <c r="AK84" s="4099">
        <v>-1.5206837440596441</v>
      </c>
      <c r="AL84" s="4099">
        <v>-0.78604090464901422</v>
      </c>
      <c r="AM84" s="4099">
        <v>9.5948502337226724E-2</v>
      </c>
      <c r="AN84" s="4099">
        <v>-1.8063004836115628</v>
      </c>
      <c r="AO84" s="4099">
        <v>-1.0474917898442249</v>
      </c>
      <c r="AP84" s="4099"/>
      <c r="AQ84" s="4101">
        <v>-0.50042886045422619</v>
      </c>
      <c r="AR84" s="4101">
        <v>0.58803197543168828</v>
      </c>
      <c r="AS84" s="4101">
        <v>0.77538942697476876</v>
      </c>
      <c r="AT84" s="4101">
        <v>-0.20071794660193037</v>
      </c>
      <c r="AU84" s="4101">
        <v>-0.23967270840200347</v>
      </c>
      <c r="AV84" s="4101">
        <v>0.887657055161719</v>
      </c>
      <c r="AW84" s="4101">
        <v>0.77781078052469932</v>
      </c>
      <c r="AX84" s="4101">
        <v>0.4240562576152821</v>
      </c>
      <c r="AY84" s="4101">
        <v>0.80333566487353081</v>
      </c>
      <c r="AZ84" s="4101">
        <v>0.7283546548026425</v>
      </c>
      <c r="BA84" s="4101">
        <v>0.83227897971678777</v>
      </c>
      <c r="BB84" s="4101">
        <v>-2.789432935355102</v>
      </c>
      <c r="BC84" s="4101">
        <v>2.0866623442878569</v>
      </c>
      <c r="BD84" s="4099">
        <v>1.3011708403584177E-2</v>
      </c>
      <c r="BE84" s="4099">
        <v>0.73307599098701048</v>
      </c>
      <c r="BF84" s="4099">
        <v>0.78139904941605187</v>
      </c>
      <c r="BG84" s="4099">
        <v>5.1395216645941755</v>
      </c>
      <c r="BH84" s="4099">
        <v>1.6031259774022162</v>
      </c>
      <c r="BI84" s="4099">
        <v>0.3347995449565131</v>
      </c>
      <c r="BJ84" s="4099"/>
      <c r="BK84" s="4099"/>
      <c r="BL84" s="4099"/>
      <c r="BM84" s="4099"/>
      <c r="BN84" s="4102"/>
      <c r="BO84" s="4099"/>
      <c r="BP84" s="6628"/>
      <c r="BQ84" s="6679"/>
      <c r="BR84" s="6679"/>
      <c r="BS84" s="6679"/>
      <c r="BT84" s="6679"/>
      <c r="BU84" s="6679"/>
      <c r="BV84" s="6679"/>
      <c r="BW84" s="6679"/>
      <c r="BX84" s="6679"/>
      <c r="BY84" s="6679"/>
      <c r="BZ84" s="6679"/>
      <c r="CA84" s="6679"/>
      <c r="CB84" s="6679"/>
      <c r="CC84" s="6680"/>
      <c r="CD84" s="6625"/>
      <c r="CE84" s="6626"/>
      <c r="CF84" s="4099"/>
      <c r="CG84" s="4103"/>
      <c r="CH84" s="4099"/>
      <c r="CI84" s="4103"/>
      <c r="CJ84" s="4099"/>
      <c r="CK84" s="4103"/>
      <c r="CL84" s="4099"/>
      <c r="CM84" s="4099"/>
      <c r="CN84" s="4099"/>
      <c r="CO84" s="4099"/>
      <c r="CP84" s="4087"/>
      <c r="CQ84" s="758"/>
      <c r="CR84" s="6627"/>
      <c r="CS84" s="6627"/>
      <c r="CT84" s="4099"/>
      <c r="CU84" s="6954"/>
      <c r="CV84" s="6955"/>
      <c r="CW84" s="6956"/>
      <c r="CX84" s="6957"/>
      <c r="CY84" s="2775"/>
      <c r="CZ84" s="590"/>
      <c r="DA84" s="590"/>
      <c r="DB84" s="590"/>
      <c r="DC84" s="590"/>
      <c r="DD84" s="590"/>
      <c r="DE84" s="590"/>
      <c r="DF84" s="590"/>
      <c r="DG84" s="590"/>
      <c r="DH84" s="590"/>
      <c r="DI84" s="590"/>
      <c r="DJ84" s="590"/>
      <c r="DK84" s="590"/>
      <c r="DL84" s="590"/>
      <c r="DM84" s="590"/>
      <c r="DO84" s="2261"/>
      <c r="DP84" s="4093"/>
      <c r="DS84" s="2261"/>
      <c r="DT84" s="2261"/>
    </row>
    <row r="85" spans="1:124" x14ac:dyDescent="0.55000000000000004">
      <c r="A85" s="3988"/>
      <c r="B85" s="4094" t="s">
        <v>670</v>
      </c>
      <c r="F85" s="4098"/>
      <c r="G85" s="4099"/>
      <c r="H85" s="4099"/>
      <c r="I85" s="4099"/>
      <c r="J85" s="4099"/>
      <c r="K85" s="4099"/>
      <c r="L85" s="4099"/>
      <c r="M85" s="4099"/>
      <c r="N85" s="4099"/>
      <c r="O85" s="4099"/>
      <c r="P85" s="4099"/>
      <c r="Q85" s="4100"/>
      <c r="R85" s="4098"/>
      <c r="S85" s="4099"/>
      <c r="T85" s="4099"/>
      <c r="U85" s="4099"/>
      <c r="V85" s="4099"/>
      <c r="W85" s="4099"/>
      <c r="X85" s="4099"/>
      <c r="Y85" s="4099"/>
      <c r="Z85" s="4099"/>
      <c r="AA85" s="4099"/>
      <c r="AB85" s="4099"/>
      <c r="AC85" s="4100"/>
      <c r="AD85" s="4099"/>
      <c r="AE85" s="4099"/>
      <c r="AF85" s="4099"/>
      <c r="AG85" s="4099"/>
      <c r="AH85" s="4099"/>
      <c r="AI85" s="4099"/>
      <c r="AJ85" s="4099"/>
      <c r="AK85" s="4099"/>
      <c r="AL85" s="4099"/>
      <c r="AM85" s="4099"/>
      <c r="AN85" s="4099"/>
      <c r="AO85" s="4099"/>
      <c r="AP85" s="4099"/>
      <c r="AQ85" s="4101">
        <v>0</v>
      </c>
      <c r="AR85" s="4101">
        <v>0</v>
      </c>
      <c r="AS85" s="4101">
        <v>0.54</v>
      </c>
      <c r="AT85" s="4101">
        <v>-0.51873956037293623</v>
      </c>
      <c r="AU85" s="4101">
        <v>-1.2547113458098427</v>
      </c>
      <c r="AV85" s="4101">
        <v>-1.3226743048124767</v>
      </c>
      <c r="AW85" s="4101">
        <v>-1.5623719338134261</v>
      </c>
      <c r="AX85" s="4101">
        <v>-1.2183621169260725</v>
      </c>
      <c r="AY85" s="4101">
        <v>-1.4588232051304839</v>
      </c>
      <c r="AZ85" s="4101">
        <v>-1.3293162926203907</v>
      </c>
      <c r="BA85" s="4101">
        <v>-1.4191171944786103</v>
      </c>
      <c r="BB85" s="4101">
        <v>-2.4693554220854321</v>
      </c>
      <c r="BC85" s="4101">
        <v>-12.013471376049672</v>
      </c>
      <c r="BD85" s="4099">
        <v>-0.73535560727086935</v>
      </c>
      <c r="BE85" s="4099">
        <v>-0.80394930394067587</v>
      </c>
      <c r="BF85" s="4099">
        <v>-0.84470162334787335</v>
      </c>
      <c r="BG85" s="4099">
        <v>-0.72897697815644891</v>
      </c>
      <c r="BH85" s="4099">
        <v>-0.46907372728420926</v>
      </c>
      <c r="BI85" s="4099">
        <v>9.4841626469337577</v>
      </c>
      <c r="BJ85" s="4099"/>
      <c r="BK85" s="4099"/>
      <c r="BL85" s="4099"/>
      <c r="BM85" s="4099"/>
      <c r="BN85" s="4102"/>
      <c r="BO85" s="4099"/>
      <c r="BP85" s="6628"/>
      <c r="BQ85" s="6679"/>
      <c r="BR85" s="6679"/>
      <c r="BS85" s="6679"/>
      <c r="BT85" s="6679"/>
      <c r="BU85" s="6679"/>
      <c r="BV85" s="6679"/>
      <c r="BW85" s="6679"/>
      <c r="BX85" s="6679"/>
      <c r="BY85" s="6679"/>
      <c r="BZ85" s="6679"/>
      <c r="CA85" s="6679"/>
      <c r="CB85" s="6679"/>
      <c r="CC85" s="6680"/>
      <c r="CD85" s="6625"/>
      <c r="CE85" s="6626"/>
      <c r="CF85" s="4099"/>
      <c r="CG85" s="4103"/>
      <c r="CH85" s="4099"/>
      <c r="CI85" s="4103"/>
      <c r="CJ85" s="4099"/>
      <c r="CK85" s="4103"/>
      <c r="CL85" s="4099"/>
      <c r="CM85" s="4099"/>
      <c r="CN85" s="4099"/>
      <c r="CO85" s="4099"/>
      <c r="CP85" s="4087"/>
      <c r="CQ85" s="758"/>
      <c r="CR85" s="6627"/>
      <c r="CS85" s="6627"/>
      <c r="CT85" s="4099"/>
      <c r="CU85" s="6954"/>
      <c r="CV85" s="6955"/>
      <c r="CW85" s="6956"/>
      <c r="CX85" s="6957"/>
      <c r="CY85" s="2775"/>
      <c r="CZ85" s="590"/>
      <c r="DA85" s="590"/>
      <c r="DB85" s="590"/>
      <c r="DC85" s="590"/>
      <c r="DD85" s="590"/>
      <c r="DE85" s="590"/>
      <c r="DF85" s="590"/>
      <c r="DG85" s="590"/>
      <c r="DH85" s="590"/>
      <c r="DI85" s="590"/>
      <c r="DJ85" s="590"/>
      <c r="DK85" s="590"/>
      <c r="DL85" s="590"/>
      <c r="DM85" s="590"/>
      <c r="DO85" s="2261"/>
      <c r="DP85" s="4093"/>
      <c r="DS85" s="2261"/>
      <c r="DT85" s="2261"/>
    </row>
    <row r="86" spans="1:124" x14ac:dyDescent="0.55000000000000004">
      <c r="A86" s="3988"/>
      <c r="B86" s="3443" t="s">
        <v>671</v>
      </c>
      <c r="F86" s="3752">
        <v>0.73104113290486339</v>
      </c>
      <c r="G86" s="3753">
        <v>0.31627570497541413</v>
      </c>
      <c r="H86" s="3753">
        <v>-0.19300472329535626</v>
      </c>
      <c r="I86" s="3753">
        <v>1.2234479501389917</v>
      </c>
      <c r="J86" s="3753">
        <v>0.69338247252781393</v>
      </c>
      <c r="K86" s="3753">
        <v>1.252250338565742</v>
      </c>
      <c r="L86" s="3753">
        <v>1.1437703665301053</v>
      </c>
      <c r="M86" s="3753">
        <v>1.5143972904700336</v>
      </c>
      <c r="N86" s="3753">
        <v>0.17323793029449672</v>
      </c>
      <c r="O86" s="3753">
        <v>0.39357933041584509</v>
      </c>
      <c r="P86" s="3753">
        <v>0.53578491040473575</v>
      </c>
      <c r="Q86" s="3754">
        <v>0.34308822776517733</v>
      </c>
      <c r="R86" s="4104">
        <v>0.46023791283356635</v>
      </c>
      <c r="S86" s="4105">
        <v>-0.32903144357827568</v>
      </c>
      <c r="T86" s="4105">
        <v>0.9826843497094454</v>
      </c>
      <c r="U86" s="4105">
        <v>9.2058275010014637E-2</v>
      </c>
      <c r="V86" s="4105">
        <v>1.3412956931801179</v>
      </c>
      <c r="W86" s="4105">
        <v>0.46184486463383623</v>
      </c>
      <c r="X86" s="4105">
        <v>0.67116451962575618</v>
      </c>
      <c r="Y86" s="4105">
        <v>0.76388584633341705</v>
      </c>
      <c r="Z86" s="4105">
        <v>-3.1437359920289495E-2</v>
      </c>
      <c r="AA86" s="4105">
        <v>0.22608741030726381</v>
      </c>
      <c r="AB86" s="4105">
        <v>0.10711053074611648</v>
      </c>
      <c r="AC86" s="4106">
        <v>-4.2705872243990841</v>
      </c>
      <c r="AD86" s="4107">
        <v>0.66221769141195541</v>
      </c>
      <c r="AE86" s="4107">
        <v>0.18332589371618341</v>
      </c>
      <c r="AF86" s="4107">
        <v>0.83584064312434703</v>
      </c>
      <c r="AG86" s="4107">
        <v>0.24139436395548833</v>
      </c>
      <c r="AH86" s="4107">
        <v>0.57153803965994487</v>
      </c>
      <c r="AI86" s="4107">
        <v>0.33978786645715131</v>
      </c>
      <c r="AJ86" s="4107">
        <v>0.56371531102836847</v>
      </c>
      <c r="AK86" s="4107">
        <v>0.22184245522532781</v>
      </c>
      <c r="AL86" s="4107">
        <v>0.79730669741281335</v>
      </c>
      <c r="AM86" s="4107">
        <v>0.79694115329102422</v>
      </c>
      <c r="AN86" s="4107">
        <v>0.37187422625788658</v>
      </c>
      <c r="AO86" s="4107">
        <v>-1.3037240315541168</v>
      </c>
      <c r="AP86" s="4108"/>
      <c r="AQ86" s="3756">
        <v>1.6322041822213382</v>
      </c>
      <c r="AR86" s="3757">
        <v>0.95582797754380666</v>
      </c>
      <c r="AS86" s="3757">
        <v>0.69150849422899396</v>
      </c>
      <c r="AT86" s="3757">
        <v>1.3988386039514291</v>
      </c>
      <c r="AU86" s="3757">
        <v>0.83336250805577394</v>
      </c>
      <c r="AV86" s="3757">
        <v>1.4096458861975554</v>
      </c>
      <c r="AW86" s="3757">
        <v>1.4854695017608759</v>
      </c>
      <c r="AX86" s="3757">
        <v>0.7555826690398697</v>
      </c>
      <c r="AY86" s="3757">
        <v>1.5307838953816486</v>
      </c>
      <c r="AZ86" s="3757">
        <v>1.2713928867649686</v>
      </c>
      <c r="BA86" s="3757">
        <v>0.78204335410074488</v>
      </c>
      <c r="BB86" s="3757">
        <v>-0.2144671939701952</v>
      </c>
      <c r="BC86" s="3758">
        <v>12.532192765276811</v>
      </c>
      <c r="BD86" s="4091">
        <v>1.1046945049737862</v>
      </c>
      <c r="BE86" s="3990">
        <v>0.9663378103014143</v>
      </c>
      <c r="BF86" s="3990">
        <v>0.9757917997519866</v>
      </c>
      <c r="BG86" s="757">
        <v>1.1583544177639744</v>
      </c>
      <c r="BH86" s="757">
        <v>1.2837656897647809</v>
      </c>
      <c r="BI86" s="757">
        <v>1.2287172923511807</v>
      </c>
      <c r="BJ86" s="757">
        <v>1.8243893409386538</v>
      </c>
      <c r="BK86" s="757">
        <v>0.6218323673121815</v>
      </c>
      <c r="BL86" s="596">
        <v>1.9079856525001344</v>
      </c>
      <c r="BM86" s="596">
        <v>1.5745781013177504</v>
      </c>
      <c r="BN86" s="596">
        <v>0.98730429357491256</v>
      </c>
      <c r="BO86" s="596">
        <v>-0.23599934498199507</v>
      </c>
      <c r="BP86" s="6629">
        <v>13.408927214280801</v>
      </c>
      <c r="BQ86" s="6537">
        <v>1.6118927032395238</v>
      </c>
      <c r="BR86" s="6591">
        <v>0.5261538715072388</v>
      </c>
      <c r="BS86" s="6590">
        <v>1.2262211033429191</v>
      </c>
      <c r="BT86" s="6623">
        <v>1.3594007996943811</v>
      </c>
      <c r="BU86" s="6623">
        <v>0.42258055115919502</v>
      </c>
      <c r="BV86" s="6623">
        <v>2.1567024360460638</v>
      </c>
      <c r="BW86" s="6537">
        <v>1.0085094761504396</v>
      </c>
      <c r="BX86" s="6537">
        <v>0.83478359465414176</v>
      </c>
      <c r="BY86" s="6537">
        <v>1.1988977633918594</v>
      </c>
      <c r="BZ86" s="6537">
        <v>1.0872892994405989</v>
      </c>
      <c r="CA86" s="6537">
        <v>0.60688189594154918</v>
      </c>
      <c r="CB86" s="6537">
        <v>-1.9792891675698805</v>
      </c>
      <c r="CC86" s="6648">
        <f t="shared" si="93"/>
        <v>10.060024326998031</v>
      </c>
      <c r="CD86" s="6536">
        <v>1.2910196133139569</v>
      </c>
      <c r="CE86" s="6591">
        <v>1.2058319929428412</v>
      </c>
      <c r="CF86" s="3990"/>
      <c r="CG86" s="3994"/>
      <c r="CH86" s="757"/>
      <c r="CI86" s="3994"/>
      <c r="CJ86" s="596"/>
      <c r="CK86" s="3760"/>
      <c r="CL86" s="596"/>
      <c r="CM86" s="596"/>
      <c r="CN86" s="596"/>
      <c r="CO86" s="596"/>
      <c r="CP86" s="4087"/>
      <c r="CQ86" s="758"/>
      <c r="CR86" s="6862">
        <f t="shared" si="94"/>
        <v>-8.5187620371115713E-2</v>
      </c>
      <c r="CS86" s="6747">
        <f t="shared" si="95"/>
        <v>0.67967812143560236</v>
      </c>
      <c r="CT86" s="607"/>
      <c r="CU86" s="6911">
        <f t="shared" si="88"/>
        <v>2.496851606256798</v>
      </c>
      <c r="CV86" s="6922"/>
      <c r="CW86" s="6953"/>
      <c r="CX86" s="6749">
        <f t="shared" si="89"/>
        <v>0.35880503151003529</v>
      </c>
      <c r="CY86" s="2775"/>
      <c r="CZ86" s="590"/>
      <c r="DA86" s="590"/>
      <c r="DB86" s="590"/>
      <c r="DC86" s="590"/>
      <c r="DD86" s="590"/>
      <c r="DE86" s="590"/>
      <c r="DF86" s="590"/>
      <c r="DG86" s="590"/>
      <c r="DH86" s="590"/>
      <c r="DI86" s="590"/>
      <c r="DJ86" s="590"/>
      <c r="DK86" s="590"/>
      <c r="DL86" s="590"/>
      <c r="DM86" s="590"/>
      <c r="DO86" s="4093">
        <f>AVERAGE(BD86:BL86)</f>
        <v>1.2302076528508992</v>
      </c>
      <c r="DP86" s="4093">
        <f>AVERAGE(BQ86:BY86)</f>
        <v>1.1494602554650848</v>
      </c>
      <c r="DS86" s="2261"/>
      <c r="DT86" s="2261"/>
    </row>
    <row r="87" spans="1:124" x14ac:dyDescent="0.55000000000000004">
      <c r="A87" s="3988"/>
      <c r="B87" s="3443" t="s">
        <v>742</v>
      </c>
      <c r="F87" s="4109"/>
      <c r="G87" s="3941"/>
      <c r="H87" s="3941"/>
      <c r="I87" s="3941"/>
      <c r="J87" s="3941"/>
      <c r="K87" s="3941"/>
      <c r="L87" s="3941"/>
      <c r="M87" s="3941"/>
      <c r="N87" s="3941"/>
      <c r="O87" s="3941"/>
      <c r="P87" s="3941"/>
      <c r="Q87" s="3785"/>
      <c r="R87" s="7074">
        <v>1.2931278000000099</v>
      </c>
      <c r="S87" s="7075"/>
      <c r="T87" s="7075"/>
      <c r="U87" s="7075"/>
      <c r="V87" s="7075"/>
      <c r="W87" s="7075"/>
      <c r="X87" s="7075"/>
      <c r="Y87" s="7075"/>
      <c r="Z87" s="7075"/>
      <c r="AA87" s="7075"/>
      <c r="AB87" s="7075"/>
      <c r="AC87" s="7076"/>
      <c r="AD87" s="4096">
        <v>-0.15926134</v>
      </c>
      <c r="AE87" s="4096">
        <v>6.7187966100000001</v>
      </c>
      <c r="AF87" s="4096">
        <v>-1.11852153</v>
      </c>
      <c r="AG87" s="4096">
        <v>-9.2550660000000007E-2</v>
      </c>
      <c r="AH87" s="4096">
        <v>1.18046556</v>
      </c>
      <c r="AI87" s="4096">
        <v>1.37039836</v>
      </c>
      <c r="AJ87" s="4096">
        <v>9.8078529999999997E-2</v>
      </c>
      <c r="AK87" s="4096">
        <v>-0.15587404999999999</v>
      </c>
      <c r="AL87" s="4096">
        <v>0.93791522999999999</v>
      </c>
      <c r="AM87" s="4096">
        <v>0.59571361</v>
      </c>
      <c r="AN87" s="4096">
        <v>2.1684345600000001</v>
      </c>
      <c r="AO87" s="4110">
        <v>1.1068589499999999</v>
      </c>
      <c r="AP87" s="4097"/>
      <c r="AQ87" s="3756">
        <v>-7.8743999999977624E-3</v>
      </c>
      <c r="AR87" s="3757">
        <v>0.67440203000000321</v>
      </c>
      <c r="AS87" s="3757">
        <v>0.30067865999999982</v>
      </c>
      <c r="AT87" s="3757">
        <v>0.92769116000000307</v>
      </c>
      <c r="AU87" s="3757">
        <v>2.2985116099999976</v>
      </c>
      <c r="AV87" s="3757">
        <v>-0.61010630999999871</v>
      </c>
      <c r="AW87" s="3757">
        <v>-2.022151000000065E-2</v>
      </c>
      <c r="AX87" s="3757">
        <v>1.5198015000000005</v>
      </c>
      <c r="AY87" s="3757">
        <v>1.704087069999993</v>
      </c>
      <c r="AZ87" s="3757">
        <v>3.2864707599999949</v>
      </c>
      <c r="BA87" s="3757">
        <v>-3.6726141500000007</v>
      </c>
      <c r="BB87" s="3757">
        <v>3.7491537200000038</v>
      </c>
      <c r="BC87" s="3758">
        <v>10.149980139999998</v>
      </c>
      <c r="BD87" s="4091">
        <v>-2.7794783459605501</v>
      </c>
      <c r="BE87" s="757">
        <v>-5.1387710640898954</v>
      </c>
      <c r="BF87" s="757">
        <v>-1.0007656797733846</v>
      </c>
      <c r="BG87" s="757">
        <v>9.4989486314937022</v>
      </c>
      <c r="BH87" s="757">
        <v>2.8301244757208268</v>
      </c>
      <c r="BI87" s="757">
        <v>-0.5009836585488644</v>
      </c>
      <c r="BJ87" s="757">
        <v>-9.9011846275281652</v>
      </c>
      <c r="BK87" s="757">
        <v>3.8185670055514169</v>
      </c>
      <c r="BL87" s="757">
        <v>11.307570181199258</v>
      </c>
      <c r="BM87" s="757">
        <v>6.2031398471399211</v>
      </c>
      <c r="BN87" s="757">
        <v>1.9093999514414317E-2</v>
      </c>
      <c r="BO87" s="757">
        <v>0.59165326089325132</v>
      </c>
      <c r="BP87" s="6592">
        <v>14.947914025611931</v>
      </c>
      <c r="BQ87" s="6537">
        <v>1.119029695138108</v>
      </c>
      <c r="BR87" s="6537">
        <v>13.8387153766</v>
      </c>
      <c r="BS87" s="6623">
        <v>3.9969178000000015E-2</v>
      </c>
      <c r="BT87" s="6623">
        <v>4.5778121855999947</v>
      </c>
      <c r="BU87" s="6623">
        <v>1.254927810400007</v>
      </c>
      <c r="BV87" s="6623">
        <v>5.9605088709999992</v>
      </c>
      <c r="BW87" s="6537">
        <v>3.4871835841999994</v>
      </c>
      <c r="BX87" s="6537">
        <v>4.2681799159999922</v>
      </c>
      <c r="BY87" s="6623">
        <v>6.249055724399998</v>
      </c>
      <c r="BZ87" s="6623">
        <v>5.2607420701381411</v>
      </c>
      <c r="CA87" s="6623">
        <v>11.044074075999875</v>
      </c>
      <c r="CB87" s="6623">
        <v>-6.5981449374871826</v>
      </c>
      <c r="CC87" s="6647">
        <f t="shared" si="93"/>
        <v>50.502053549988929</v>
      </c>
      <c r="CD87" s="6536">
        <v>0.18590889386920825</v>
      </c>
      <c r="CE87" s="6537">
        <v>2.9288416582396213</v>
      </c>
      <c r="CF87" s="757"/>
      <c r="CG87" s="3994"/>
      <c r="CH87" s="757"/>
      <c r="CI87" s="3994"/>
      <c r="CJ87" s="596"/>
      <c r="CK87" s="3760"/>
      <c r="CL87" s="757"/>
      <c r="CM87" s="757"/>
      <c r="CN87" s="757"/>
      <c r="CO87" s="757"/>
      <c r="CP87" s="4087"/>
      <c r="CQ87" s="758"/>
      <c r="CR87" s="6862">
        <f t="shared" si="94"/>
        <v>2.7429327643704129</v>
      </c>
      <c r="CS87" s="6747">
        <f t="shared" si="95"/>
        <v>-10.909873718360378</v>
      </c>
      <c r="CT87" s="607"/>
      <c r="CU87" s="6911">
        <f t="shared" si="88"/>
        <v>3.1147505521088297</v>
      </c>
      <c r="CV87" s="6922"/>
      <c r="CW87" s="6953"/>
      <c r="CX87" s="6749">
        <f t="shared" si="89"/>
        <v>-11.842994519629279</v>
      </c>
      <c r="CY87" s="2775"/>
      <c r="CZ87" s="590"/>
      <c r="DA87" s="590"/>
      <c r="DB87" s="590"/>
      <c r="DC87" s="590"/>
      <c r="DD87" s="590"/>
      <c r="DE87" s="590"/>
      <c r="DF87" s="590"/>
      <c r="DG87" s="590"/>
      <c r="DH87" s="590"/>
      <c r="DI87" s="590"/>
      <c r="DJ87" s="590"/>
      <c r="DK87" s="590"/>
      <c r="DL87" s="590"/>
      <c r="DM87" s="590"/>
      <c r="DO87" s="2261">
        <f>DO86+DO83</f>
        <v>3.1250140939834932</v>
      </c>
      <c r="DP87" s="2261">
        <f>DP86+DP83</f>
        <v>2.5058751493641487</v>
      </c>
      <c r="DQ87" s="4093">
        <f t="shared" ref="DQ87" si="108">DP87-DO87</f>
        <v>-0.61913894461934449</v>
      </c>
      <c r="DS87" s="2261"/>
      <c r="DT87" s="2261"/>
    </row>
    <row r="88" spans="1:124" ht="15.45" thickBot="1" x14ac:dyDescent="0.6">
      <c r="A88" s="4111"/>
      <c r="B88" s="4112" t="s">
        <v>1104</v>
      </c>
      <c r="C88" s="4111"/>
      <c r="D88" s="4111"/>
      <c r="E88" s="4111"/>
      <c r="F88" s="4113">
        <v>-1.4255246608009111</v>
      </c>
      <c r="G88" s="4114">
        <v>3.2608457115755787</v>
      </c>
      <c r="H88" s="4114">
        <v>1.3443926697140323</v>
      </c>
      <c r="I88" s="4114">
        <v>-0.6443263466117588</v>
      </c>
      <c r="J88" s="4114">
        <v>-3.2551876079368531</v>
      </c>
      <c r="K88" s="4114">
        <v>-3.9413241432921575E-2</v>
      </c>
      <c r="L88" s="4114">
        <v>0.84992312144126048</v>
      </c>
      <c r="M88" s="4114">
        <v>0.70024377612659838</v>
      </c>
      <c r="N88" s="4114">
        <v>1.0386659414633019</v>
      </c>
      <c r="O88" s="4114">
        <v>0.75201997620189009</v>
      </c>
      <c r="P88" s="4114">
        <v>1.2207150475406725</v>
      </c>
      <c r="Q88" s="4115">
        <v>0.14698181764010543</v>
      </c>
      <c r="R88" s="4116">
        <v>0.49485677230284209</v>
      </c>
      <c r="S88" s="4117">
        <v>1.1327027078676917</v>
      </c>
      <c r="T88" s="4117">
        <v>0.37917709595351312</v>
      </c>
      <c r="U88" s="4117">
        <v>1.3165582644159404</v>
      </c>
      <c r="V88" s="4117">
        <v>0.63906183576692499</v>
      </c>
      <c r="W88" s="4117">
        <v>0.45381183983886841</v>
      </c>
      <c r="X88" s="4117">
        <v>1.0964226782587274</v>
      </c>
      <c r="Y88" s="4117">
        <v>0.48159132655187542</v>
      </c>
      <c r="Z88" s="4117">
        <v>-0.15365572017228296</v>
      </c>
      <c r="AA88" s="4117">
        <v>1.1126918718440049</v>
      </c>
      <c r="AB88" s="4117">
        <v>4.3668987670573423E-2</v>
      </c>
      <c r="AC88" s="4118">
        <v>-0.23956172704129763</v>
      </c>
      <c r="AD88" s="4117">
        <v>0.7653319768122322</v>
      </c>
      <c r="AE88" s="4117">
        <v>0.65017113198042054</v>
      </c>
      <c r="AF88" s="4117">
        <v>0.41474198142274715</v>
      </c>
      <c r="AG88" s="4117">
        <v>0.55016147312188846</v>
      </c>
      <c r="AH88" s="4117">
        <v>0.37813115261423036</v>
      </c>
      <c r="AI88" s="4117">
        <v>0.32163324786954012</v>
      </c>
      <c r="AJ88" s="4117">
        <v>0.31628918144600526</v>
      </c>
      <c r="AK88" s="4117">
        <v>0.34826902725166264</v>
      </c>
      <c r="AL88" s="4117">
        <v>0.30738534831332642</v>
      </c>
      <c r="AM88" s="4117">
        <v>0.23663368338045648</v>
      </c>
      <c r="AN88" s="4117">
        <v>0.15799255136811174</v>
      </c>
      <c r="AO88" s="4117">
        <v>0.18490180079064802</v>
      </c>
      <c r="AP88" s="4118"/>
      <c r="AQ88" s="4119">
        <v>-0.15736810155336389</v>
      </c>
      <c r="AR88" s="4120">
        <v>-1.9541969623395072</v>
      </c>
      <c r="AS88" s="4120">
        <v>-1.5340165052941934</v>
      </c>
      <c r="AT88" s="4120">
        <v>-1.2432649210096063</v>
      </c>
      <c r="AU88" s="4120">
        <v>-2.8446888401543582</v>
      </c>
      <c r="AV88" s="4120">
        <v>-0.82711413700918257</v>
      </c>
      <c r="AW88" s="4120">
        <v>3.0722903896203135E-3</v>
      </c>
      <c r="AX88" s="4120">
        <v>-2.8801265279603712</v>
      </c>
      <c r="AY88" s="4120">
        <v>-2.8124818149742232</v>
      </c>
      <c r="AZ88" s="4120">
        <v>-1.7787012930796209</v>
      </c>
      <c r="BA88" s="4120">
        <v>3.0488021770413738</v>
      </c>
      <c r="BB88" s="4120">
        <v>0.69090815425804841</v>
      </c>
      <c r="BC88" s="4121">
        <v>-12.289176481685383</v>
      </c>
      <c r="BD88" s="4122">
        <f>BD78-BD79-BD80-BD81-BD83-BD86-BD87</f>
        <v>-5.5691502037547025E-5</v>
      </c>
      <c r="BE88" s="4046">
        <f t="shared" ref="BE88:BO88" si="109">BE78-BE79-BE80-BE81-BE83-BE86-BE87</f>
        <v>-8.0824236192711396E-14</v>
      </c>
      <c r="BF88" s="4046">
        <f t="shared" si="109"/>
        <v>0.12321481004868629</v>
      </c>
      <c r="BG88" s="4046">
        <f t="shared" si="109"/>
        <v>-3.0518499992027159E-5</v>
      </c>
      <c r="BH88" s="4046">
        <f t="shared" si="109"/>
        <v>-8.9000000178529604E-6</v>
      </c>
      <c r="BI88" s="4046">
        <f t="shared" si="109"/>
        <v>2.4757973449140991E-14</v>
      </c>
      <c r="BJ88" s="4046">
        <f t="shared" si="109"/>
        <v>-2.5835177999731229E-3</v>
      </c>
      <c r="BK88" s="4046">
        <f t="shared" si="109"/>
        <v>2.6999999969135047E-7</v>
      </c>
      <c r="BL88" s="4123">
        <f t="shared" si="109"/>
        <v>3.0198066269804258E-14</v>
      </c>
      <c r="BM88" s="4123">
        <f t="shared" si="109"/>
        <v>-4.6185277824406512E-14</v>
      </c>
      <c r="BN88" s="4123">
        <f t="shared" si="109"/>
        <v>2.4036328483134639E-14</v>
      </c>
      <c r="BO88" s="4123">
        <f t="shared" si="109"/>
        <v>-2.2093438190040615E-14</v>
      </c>
      <c r="BP88" s="6630">
        <f t="shared" ref="BP88:CE88" si="110">BP78-BP79-BP80-BP81-BP83-BP86-BP87-BP82</f>
        <v>2.1889936399970722E-2</v>
      </c>
      <c r="BQ88" s="6649">
        <f t="shared" si="110"/>
        <v>1.3181755600105483E-2</v>
      </c>
      <c r="BR88" s="6649">
        <f t="shared" si="110"/>
        <v>-2.3381299998268545E-3</v>
      </c>
      <c r="BS88" s="6649">
        <f t="shared" si="110"/>
        <v>-2.4133400000101446E-3</v>
      </c>
      <c r="BT88" s="6649">
        <f t="shared" si="110"/>
        <v>-1.4477308241112041E-13</v>
      </c>
      <c r="BU88" s="6649">
        <f t="shared" si="110"/>
        <v>3.0198066269804258E-14</v>
      </c>
      <c r="BV88" s="6649">
        <f t="shared" si="110"/>
        <v>1.758593271006248E-13</v>
      </c>
      <c r="BW88" s="6649">
        <f t="shared" si="110"/>
        <v>6.8833827526759706E-15</v>
      </c>
      <c r="BX88" s="6649">
        <f t="shared" si="110"/>
        <v>-7.9936057773011271E-15</v>
      </c>
      <c r="BY88" s="6649">
        <f t="shared" si="110"/>
        <v>-8.2156503822261584E-14</v>
      </c>
      <c r="BZ88" s="6649">
        <f t="shared" si="110"/>
        <v>-1.4210854715202004E-14</v>
      </c>
      <c r="CA88" s="6649">
        <f t="shared" si="110"/>
        <v>-7.9936057773011271E-15</v>
      </c>
      <c r="CB88" s="6649">
        <f t="shared" si="110"/>
        <v>0</v>
      </c>
      <c r="CC88" s="6650">
        <f t="shared" si="93"/>
        <v>8.4302856002242965E-3</v>
      </c>
      <c r="CD88" s="6617">
        <f t="shared" si="110"/>
        <v>6.0840221749458578E-14</v>
      </c>
      <c r="CE88" s="6617">
        <f t="shared" si="110"/>
        <v>2.042810365310288E-14</v>
      </c>
      <c r="CF88" s="4047"/>
      <c r="CG88" s="4047"/>
      <c r="CH88" s="4047"/>
      <c r="CI88" s="4047"/>
      <c r="CJ88" s="4047"/>
      <c r="CK88" s="4047"/>
      <c r="CL88" s="4047"/>
      <c r="CM88" s="4047"/>
      <c r="CN88" s="4047"/>
      <c r="CO88" s="4047"/>
      <c r="CP88" s="4124"/>
      <c r="CQ88" s="4124"/>
      <c r="CR88" s="6890">
        <f t="shared" si="94"/>
        <v>-4.0412118096355698E-14</v>
      </c>
      <c r="CS88" s="6891">
        <f t="shared" si="95"/>
        <v>2.3381299998472826E-3</v>
      </c>
      <c r="CT88" s="4125"/>
      <c r="CU88" s="6958">
        <f t="shared" si="88"/>
        <v>8.1268325402561459E-14</v>
      </c>
      <c r="CV88" s="6959"/>
      <c r="CW88" s="6959"/>
      <c r="CX88" s="6960">
        <f t="shared" si="89"/>
        <v>-1.084362560019736E-2</v>
      </c>
      <c r="CY88" s="2775"/>
      <c r="CZ88" s="590"/>
      <c r="DA88" s="590"/>
      <c r="DB88" s="590"/>
      <c r="DC88" s="590"/>
      <c r="DD88" s="590"/>
      <c r="DE88" s="590"/>
      <c r="DF88" s="590"/>
      <c r="DG88" s="590"/>
      <c r="DH88" s="590"/>
      <c r="DI88" s="590"/>
      <c r="DJ88" s="590"/>
      <c r="DK88" s="590"/>
      <c r="DL88" s="590"/>
      <c r="DM88" s="590"/>
      <c r="DO88" s="2261"/>
      <c r="DP88" s="2261"/>
      <c r="DS88" s="2261"/>
      <c r="DT88" s="2261"/>
    </row>
    <row r="89" spans="1:124" ht="3" customHeight="1" x14ac:dyDescent="0.55000000000000004">
      <c r="B89" s="2771"/>
      <c r="F89" s="555"/>
      <c r="AD89" s="4126"/>
      <c r="AO89" s="594"/>
      <c r="AP89" s="4127"/>
      <c r="AQ89" s="3756"/>
      <c r="AR89" s="3757"/>
      <c r="AS89" s="3757"/>
      <c r="AT89" s="3757"/>
      <c r="AU89" s="3757"/>
      <c r="AV89" s="3757"/>
      <c r="AW89" s="3757"/>
      <c r="AX89" s="3757"/>
      <c r="AY89" s="3757"/>
      <c r="AZ89" s="3757"/>
      <c r="BA89" s="3757"/>
      <c r="BB89" s="3757"/>
      <c r="BC89" s="3758"/>
      <c r="BD89" s="700"/>
      <c r="BE89" s="3969"/>
      <c r="BF89" s="3969"/>
      <c r="BG89" s="757"/>
      <c r="BH89" s="757"/>
      <c r="BI89" s="700"/>
      <c r="BJ89" s="700"/>
      <c r="BK89" s="700"/>
      <c r="BL89" s="700"/>
      <c r="BM89" s="700"/>
      <c r="BN89" s="757"/>
      <c r="BO89" s="700"/>
      <c r="BP89" s="3970"/>
      <c r="BQ89" s="4092"/>
      <c r="BR89" s="3971"/>
      <c r="BS89" s="3971"/>
      <c r="BT89" s="4092"/>
      <c r="BU89" s="4092"/>
      <c r="BV89" s="4092"/>
      <c r="BW89" s="4092"/>
      <c r="BX89" s="4092"/>
      <c r="BY89" s="4092"/>
      <c r="BZ89" s="4092"/>
      <c r="CA89" s="4092"/>
      <c r="CB89" s="4092"/>
      <c r="CC89" s="6651"/>
      <c r="CD89" s="6697"/>
      <c r="CE89" s="6590"/>
      <c r="CF89" s="3969"/>
      <c r="CG89" s="3972"/>
      <c r="CH89" s="757"/>
      <c r="CI89" s="700"/>
      <c r="CJ89" s="700"/>
      <c r="CK89" s="700"/>
      <c r="CL89" s="700"/>
      <c r="CM89" s="700"/>
      <c r="CN89" s="757"/>
      <c r="CO89" s="700"/>
      <c r="CP89" s="4128"/>
      <c r="CQ89" s="701"/>
      <c r="CR89" s="6862"/>
      <c r="CS89" s="6747"/>
      <c r="CT89" s="607"/>
      <c r="CU89" s="6756"/>
      <c r="CV89" s="6747"/>
      <c r="CW89" s="6747"/>
      <c r="CX89" s="6976"/>
      <c r="CY89" s="2775"/>
      <c r="CZ89" s="590"/>
      <c r="DA89" s="590"/>
      <c r="DB89" s="590"/>
      <c r="DC89" s="590"/>
      <c r="DD89" s="590"/>
      <c r="DE89" s="590"/>
      <c r="DF89" s="590"/>
      <c r="DG89" s="590"/>
      <c r="DH89" s="590"/>
      <c r="DI89" s="590"/>
      <c r="DJ89" s="590"/>
      <c r="DK89" s="590"/>
      <c r="DL89" s="590"/>
      <c r="DM89" s="590"/>
      <c r="DO89" s="2261"/>
      <c r="DP89" s="2261"/>
      <c r="DS89" s="2261"/>
      <c r="DT89" s="2261"/>
    </row>
    <row r="90" spans="1:124" ht="16.3" hidden="1" customHeight="1" thickBot="1" x14ac:dyDescent="0.6">
      <c r="A90" s="4129" t="s">
        <v>19</v>
      </c>
      <c r="B90" s="4130" t="s">
        <v>587</v>
      </c>
      <c r="C90" s="4131"/>
      <c r="D90" s="4131"/>
      <c r="E90" s="4131"/>
      <c r="F90" s="4131"/>
      <c r="G90" s="4131"/>
      <c r="H90" s="4131"/>
      <c r="I90" s="4131"/>
      <c r="J90" s="4131"/>
      <c r="K90" s="4131"/>
      <c r="L90" s="4131"/>
      <c r="M90" s="4131"/>
      <c r="N90" s="4131"/>
      <c r="O90" s="4131"/>
      <c r="P90" s="4131"/>
      <c r="Q90" s="4131"/>
      <c r="R90" s="4131"/>
      <c r="S90" s="4131"/>
      <c r="T90" s="4131"/>
      <c r="U90" s="4131"/>
      <c r="V90" s="4131"/>
      <c r="W90" s="4131"/>
      <c r="X90" s="4131"/>
      <c r="Y90" s="4131"/>
      <c r="Z90" s="4131"/>
      <c r="AA90" s="4131"/>
      <c r="AB90" s="4131"/>
      <c r="AC90" s="4131"/>
      <c r="AD90" s="4132"/>
      <c r="AE90" s="4132"/>
      <c r="AF90" s="4132"/>
      <c r="AG90" s="4132"/>
      <c r="AH90" s="4132"/>
      <c r="AI90" s="4133"/>
      <c r="AJ90" s="4132"/>
      <c r="AK90" s="4132"/>
      <c r="AL90" s="4132"/>
      <c r="AM90" s="4132"/>
      <c r="AN90" s="4132"/>
      <c r="AO90" s="4132"/>
      <c r="AP90" s="4132"/>
      <c r="AQ90" s="4134">
        <v>35.996788391636358</v>
      </c>
      <c r="AR90" s="4134">
        <v>50.369666987272709</v>
      </c>
      <c r="AS90" s="4134">
        <v>49.413630111239669</v>
      </c>
      <c r="AT90" s="4134">
        <v>48.200246860000007</v>
      </c>
      <c r="AU90" s="4134">
        <v>49.260026492727285</v>
      </c>
      <c r="AV90" s="4134">
        <v>49.793822091818186</v>
      </c>
      <c r="AW90" s="4134">
        <v>41.980611717272723</v>
      </c>
      <c r="AX90" s="4134">
        <v>68.768329327272696</v>
      </c>
      <c r="AY90" s="4134">
        <v>26.686068297272726</v>
      </c>
      <c r="AZ90" s="4134">
        <v>54.909769006363646</v>
      </c>
      <c r="BA90" s="4134">
        <v>37.993234735454543</v>
      </c>
      <c r="BB90" s="4134">
        <v>29.687055260000001</v>
      </c>
      <c r="BC90" s="4135">
        <v>543.05924927833053</v>
      </c>
      <c r="BD90" s="4136">
        <f>BD91-BD92</f>
        <v>61.890885635332353</v>
      </c>
      <c r="BE90" s="4136">
        <f>BE91-BE92</f>
        <v>41.471593996722717</v>
      </c>
      <c r="BF90" s="4136">
        <f t="shared" ref="BF90:BM90" si="111">BF91-BF92</f>
        <v>44.534866604850748</v>
      </c>
      <c r="BG90" s="4136">
        <f t="shared" si="111"/>
        <v>43.576128032736065</v>
      </c>
      <c r="BH90" s="4136">
        <f t="shared" si="111"/>
        <v>41.450255873778104</v>
      </c>
      <c r="BI90" s="4136">
        <f t="shared" si="111"/>
        <v>35.963378769175996</v>
      </c>
      <c r="BJ90" s="4136">
        <f t="shared" si="111"/>
        <v>42.195841433048273</v>
      </c>
      <c r="BK90" s="4136">
        <f t="shared" si="111"/>
        <v>41.767027006363641</v>
      </c>
      <c r="BL90" s="4136">
        <f t="shared" si="111"/>
        <v>44.876657561022299</v>
      </c>
      <c r="BM90" s="4136">
        <f t="shared" si="111"/>
        <v>49.167865719799366</v>
      </c>
      <c r="BN90" s="4136">
        <f>BN91-BN92</f>
        <v>37.67975550785853</v>
      </c>
      <c r="BO90" s="4136">
        <v>31.205908869909081</v>
      </c>
      <c r="BP90" s="4137">
        <v>515.7801650105971</v>
      </c>
      <c r="BQ90" s="4138">
        <f t="shared" ref="BQ90:CB90" si="112">BQ91-BQ92</f>
        <v>24.067238944545437</v>
      </c>
      <c r="BR90" s="4138">
        <f t="shared" si="112"/>
        <v>68.053799269391433</v>
      </c>
      <c r="BS90" s="4138">
        <f t="shared" si="112"/>
        <v>42.949809115396675</v>
      </c>
      <c r="BT90" s="4138">
        <f t="shared" si="112"/>
        <v>50.045992181200191</v>
      </c>
      <c r="BU90" s="4138">
        <f t="shared" si="112"/>
        <v>69.60673328530072</v>
      </c>
      <c r="BV90" s="4138">
        <f t="shared" si="112"/>
        <v>35.762452230000008</v>
      </c>
      <c r="BW90" s="4138">
        <f t="shared" si="112"/>
        <v>60.673675657387378</v>
      </c>
      <c r="BX90" s="4138">
        <f t="shared" si="112"/>
        <v>43.391242504016716</v>
      </c>
      <c r="BY90" s="4138">
        <f t="shared" si="112"/>
        <v>44.822185365034755</v>
      </c>
      <c r="BZ90" s="4138">
        <f t="shared" si="112"/>
        <v>43.88236302324227</v>
      </c>
      <c r="CA90" s="4138">
        <f t="shared" si="112"/>
        <v>32.112729876430791</v>
      </c>
      <c r="CB90" s="4138">
        <f t="shared" si="112"/>
        <v>35.349547646615179</v>
      </c>
      <c r="CC90" s="6652">
        <v>550.71776909856158</v>
      </c>
      <c r="CD90" s="6698"/>
      <c r="CE90" s="6698"/>
      <c r="CF90" s="4138"/>
      <c r="CG90" s="4138"/>
      <c r="CH90" s="4138"/>
      <c r="CI90" s="4138"/>
      <c r="CJ90" s="4138"/>
      <c r="CK90" s="4138"/>
      <c r="CL90" s="4138"/>
      <c r="CM90" s="4138"/>
      <c r="CN90" s="4138"/>
      <c r="CO90" s="4138"/>
      <c r="CP90" s="4139"/>
      <c r="CQ90" s="4140"/>
      <c r="CR90" s="6892">
        <f t="shared" si="94"/>
        <v>0</v>
      </c>
      <c r="CS90" s="6893">
        <f t="shared" si="95"/>
        <v>-68.053799269391433</v>
      </c>
      <c r="CT90" s="783"/>
      <c r="CU90" s="6933">
        <f t="shared" si="88"/>
        <v>0</v>
      </c>
      <c r="CV90" s="6961"/>
      <c r="CW90" s="6962"/>
      <c r="CX90" s="6758">
        <f t="shared" si="89"/>
        <v>-92.12103821393687</v>
      </c>
      <c r="CY90" s="2775"/>
      <c r="CZ90" s="590"/>
      <c r="DA90" s="590"/>
      <c r="DB90" s="590"/>
      <c r="DC90" s="590"/>
      <c r="DD90" s="590"/>
      <c r="DE90" s="590"/>
      <c r="DF90" s="590"/>
      <c r="DG90" s="590"/>
      <c r="DH90" s="590"/>
      <c r="DI90" s="590"/>
      <c r="DJ90" s="590"/>
      <c r="DK90" s="590"/>
      <c r="DL90" s="590"/>
      <c r="DM90" s="590"/>
      <c r="DO90" s="2261"/>
      <c r="DP90" s="2261"/>
      <c r="DS90" s="2261"/>
      <c r="DT90" s="2261"/>
    </row>
    <row r="91" spans="1:124" ht="16.3" hidden="1" customHeight="1" x14ac:dyDescent="0.55000000000000004">
      <c r="A91" s="4141"/>
      <c r="C91" s="1028" t="s">
        <v>6</v>
      </c>
      <c r="D91" s="1028"/>
      <c r="E91" s="1028"/>
      <c r="F91" s="1028"/>
      <c r="G91" s="1028"/>
      <c r="H91" s="1028"/>
      <c r="I91" s="1028"/>
      <c r="J91" s="1028"/>
      <c r="K91" s="1028"/>
      <c r="L91" s="1028"/>
      <c r="M91" s="1028"/>
      <c r="N91" s="1028"/>
      <c r="O91" s="1028"/>
      <c r="P91" s="1028"/>
      <c r="Q91" s="1028"/>
      <c r="R91" s="1028"/>
      <c r="S91" s="1028"/>
      <c r="T91" s="1028"/>
      <c r="U91" s="1028"/>
      <c r="V91" s="1028"/>
      <c r="W91" s="1028"/>
      <c r="X91" s="1028"/>
      <c r="Y91" s="1028"/>
      <c r="Z91" s="1028"/>
      <c r="AA91" s="1028"/>
      <c r="AB91" s="1028"/>
      <c r="AC91" s="1028"/>
      <c r="AD91" s="1028"/>
      <c r="AE91" s="1028"/>
      <c r="AF91" s="1028"/>
      <c r="AG91" s="1028"/>
      <c r="AH91" s="1028"/>
      <c r="AI91" s="1028"/>
      <c r="AJ91" s="1028"/>
      <c r="AK91" s="1028"/>
      <c r="AL91" s="1028"/>
      <c r="AM91" s="1028"/>
      <c r="AN91" s="1028"/>
      <c r="AO91" s="4142"/>
      <c r="AP91" s="4143"/>
      <c r="AQ91" s="4144">
        <v>65.196454645454537</v>
      </c>
      <c r="AR91" s="4144">
        <v>101.14363206363635</v>
      </c>
      <c r="AS91" s="4144">
        <v>83.760335400000002</v>
      </c>
      <c r="AT91" s="4144">
        <v>86.435154800000007</v>
      </c>
      <c r="AU91" s="4144">
        <v>88.062806490909097</v>
      </c>
      <c r="AV91" s="4144">
        <v>86.666751163636363</v>
      </c>
      <c r="AW91" s="4144">
        <v>68.686928145454544</v>
      </c>
      <c r="AX91" s="4144">
        <v>136.58719861818179</v>
      </c>
      <c r="AY91" s="4144">
        <v>53.766597872727267</v>
      </c>
      <c r="AZ91" s="4144">
        <v>99.132962363636366</v>
      </c>
      <c r="BA91" s="4144">
        <v>63.846133331818173</v>
      </c>
      <c r="BB91" s="4144">
        <v>50.37641919090909</v>
      </c>
      <c r="BC91" s="4145">
        <v>983.66137408636359</v>
      </c>
      <c r="BD91" s="789">
        <v>119.22844173999999</v>
      </c>
      <c r="BE91" s="3946">
        <v>76.720495190452382</v>
      </c>
      <c r="BF91" s="3946">
        <v>78.067282197083799</v>
      </c>
      <c r="BG91" s="789">
        <v>76.931196384567201</v>
      </c>
      <c r="BH91" s="789">
        <v>76.158187668242093</v>
      </c>
      <c r="BI91" s="789">
        <v>74.807018300410789</v>
      </c>
      <c r="BJ91" s="789">
        <v>133.57699194930106</v>
      </c>
      <c r="BK91" s="789">
        <v>87.913465349536054</v>
      </c>
      <c r="BL91" s="789">
        <v>110.98873115148167</v>
      </c>
      <c r="BM91" s="789">
        <v>88.056731837037901</v>
      </c>
      <c r="BN91" s="789">
        <v>75.031802942764685</v>
      </c>
      <c r="BO91" s="789">
        <v>64.713366496306492</v>
      </c>
      <c r="BP91" s="3947">
        <v>1062.1937112071842</v>
      </c>
      <c r="BQ91" s="4146">
        <v>49.550632411397075</v>
      </c>
      <c r="BR91" s="3954">
        <v>143.21312067</v>
      </c>
      <c r="BS91" s="3954">
        <v>82.077539061742797</v>
      </c>
      <c r="BT91" s="4146">
        <v>93.319227909999995</v>
      </c>
      <c r="BU91" s="4146">
        <v>120.71903759999999</v>
      </c>
      <c r="BV91" s="4146">
        <v>87.744517000000002</v>
      </c>
      <c r="BW91" s="4146">
        <v>164.43939725000001</v>
      </c>
      <c r="BX91" s="4146">
        <v>93.738236850000007</v>
      </c>
      <c r="BY91" s="4146">
        <v>110.14978865</v>
      </c>
      <c r="BZ91" s="4146">
        <v>79.773004220000004</v>
      </c>
      <c r="CA91" s="4146">
        <v>66.225831493298131</v>
      </c>
      <c r="CB91" s="4146">
        <v>63.352057251273536</v>
      </c>
      <c r="CC91" s="6653">
        <v>1154.3023903677113</v>
      </c>
      <c r="CD91" s="6553"/>
      <c r="CE91" s="6632"/>
      <c r="CF91" s="3954"/>
      <c r="CG91" s="4146"/>
      <c r="CH91" s="4146"/>
      <c r="CI91" s="4146"/>
      <c r="CJ91" s="789"/>
      <c r="CK91" s="789"/>
      <c r="CL91" s="789"/>
      <c r="CM91" s="789"/>
      <c r="CN91" s="789"/>
      <c r="CO91" s="789"/>
      <c r="CP91" s="4087"/>
      <c r="CQ91" s="790"/>
      <c r="CR91" s="6873">
        <f t="shared" si="94"/>
        <v>0</v>
      </c>
      <c r="CS91" s="6874">
        <f t="shared" si="95"/>
        <v>-143.21312067</v>
      </c>
      <c r="CT91" s="795"/>
      <c r="CU91" s="6765">
        <f t="shared" si="88"/>
        <v>0</v>
      </c>
      <c r="CV91" s="6739"/>
      <c r="CW91" s="6953"/>
      <c r="CX91" s="6757">
        <f t="shared" si="89"/>
        <v>-192.76375308139706</v>
      </c>
      <c r="CY91" s="2775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O91" s="2261"/>
      <c r="DP91" s="2261"/>
      <c r="DS91" s="2261"/>
      <c r="DT91" s="2261"/>
    </row>
    <row r="92" spans="1:124" ht="16.3" hidden="1" customHeight="1" x14ac:dyDescent="0.55000000000000004">
      <c r="A92" s="4141"/>
      <c r="C92" s="559" t="s">
        <v>23</v>
      </c>
      <c r="AO92" s="4147"/>
      <c r="AP92" s="4148"/>
      <c r="AQ92" s="4053">
        <v>29.199666253818179</v>
      </c>
      <c r="AR92" s="4053">
        <v>50.773965076363638</v>
      </c>
      <c r="AS92" s="4053">
        <v>34.346705288760333</v>
      </c>
      <c r="AT92" s="4053">
        <v>38.234907939999999</v>
      </c>
      <c r="AU92" s="4053">
        <v>38.802779998181812</v>
      </c>
      <c r="AV92" s="4053">
        <v>36.872929071818177</v>
      </c>
      <c r="AW92" s="4053">
        <v>26.706316428181818</v>
      </c>
      <c r="AX92" s="4053">
        <v>67.818869290909092</v>
      </c>
      <c r="AY92" s="4053">
        <v>27.080529575454541</v>
      </c>
      <c r="AZ92" s="4053">
        <v>44.22319335727272</v>
      </c>
      <c r="BA92" s="4053">
        <v>25.85289859636363</v>
      </c>
      <c r="BB92" s="4053">
        <v>20.689363930909089</v>
      </c>
      <c r="BC92" s="4149">
        <v>440.60212480803301</v>
      </c>
      <c r="BD92" s="757">
        <f>BD93+BD94+BD95+BD96</f>
        <v>57.337556104667641</v>
      </c>
      <c r="BE92" s="757">
        <f t="shared" ref="BE92:BN92" si="113">BE93+BE94+BE95+BE96</f>
        <v>35.248901193729665</v>
      </c>
      <c r="BF92" s="757">
        <f t="shared" si="113"/>
        <v>33.53241559223305</v>
      </c>
      <c r="BG92" s="757">
        <f t="shared" si="113"/>
        <v>33.355068351831136</v>
      </c>
      <c r="BH92" s="757">
        <f t="shared" si="113"/>
        <v>34.707931794463988</v>
      </c>
      <c r="BI92" s="757">
        <f t="shared" si="113"/>
        <v>38.843639531234793</v>
      </c>
      <c r="BJ92" s="757">
        <f t="shared" si="113"/>
        <v>91.381150516252788</v>
      </c>
      <c r="BK92" s="757">
        <f t="shared" si="113"/>
        <v>46.146438343172413</v>
      </c>
      <c r="BL92" s="757">
        <f t="shared" si="113"/>
        <v>66.112073590459374</v>
      </c>
      <c r="BM92" s="757">
        <f t="shared" si="113"/>
        <v>38.888866117238535</v>
      </c>
      <c r="BN92" s="757">
        <f t="shared" si="113"/>
        <v>37.352047434906154</v>
      </c>
      <c r="BO92" s="757">
        <v>33.507457626397411</v>
      </c>
      <c r="BP92" s="3991">
        <v>546.41354619658705</v>
      </c>
      <c r="BQ92" s="4092">
        <f t="shared" ref="BQ92" si="114">(BQ93+BQ94+BQ95+BQ96)</f>
        <v>25.483393466851638</v>
      </c>
      <c r="BR92" s="4092">
        <f>(BR93+BR94+BR95+BR96)</f>
        <v>75.159321400608562</v>
      </c>
      <c r="BS92" s="4092">
        <f t="shared" ref="BS92:CB92" si="115">(BS93+BS94+BS95+BS96)</f>
        <v>39.127729946346122</v>
      </c>
      <c r="BT92" s="4092">
        <f t="shared" si="115"/>
        <v>43.273235728799804</v>
      </c>
      <c r="BU92" s="4092">
        <f t="shared" si="115"/>
        <v>51.112304314699266</v>
      </c>
      <c r="BV92" s="4092">
        <f t="shared" si="115"/>
        <v>51.982064769999994</v>
      </c>
      <c r="BW92" s="4092">
        <f t="shared" si="115"/>
        <v>103.76572159261264</v>
      </c>
      <c r="BX92" s="4092">
        <f t="shared" si="115"/>
        <v>50.34699434598329</v>
      </c>
      <c r="BY92" s="4092">
        <f t="shared" si="115"/>
        <v>65.327603284965249</v>
      </c>
      <c r="BZ92" s="4092">
        <f t="shared" si="115"/>
        <v>35.890641196757734</v>
      </c>
      <c r="CA92" s="4092">
        <f t="shared" si="115"/>
        <v>34.11310161686734</v>
      </c>
      <c r="CB92" s="4092">
        <f t="shared" si="115"/>
        <v>28.002509604658357</v>
      </c>
      <c r="CC92" s="6651">
        <v>603.58462126914992</v>
      </c>
      <c r="CD92" s="6623"/>
      <c r="CE92" s="6623"/>
      <c r="CF92" s="4092"/>
      <c r="CG92" s="4092"/>
      <c r="CH92" s="4092"/>
      <c r="CI92" s="4092"/>
      <c r="CJ92" s="4092"/>
      <c r="CK92" s="4092"/>
      <c r="CL92" s="4092"/>
      <c r="CM92" s="4092"/>
      <c r="CN92" s="4092"/>
      <c r="CO92" s="4092"/>
      <c r="CP92" s="4087"/>
      <c r="CQ92" s="790"/>
      <c r="CR92" s="6862">
        <f t="shared" si="94"/>
        <v>0</v>
      </c>
      <c r="CS92" s="6747">
        <f t="shared" si="95"/>
        <v>-75.159321400608562</v>
      </c>
      <c r="CT92" s="607"/>
      <c r="CU92" s="6911">
        <f t="shared" si="88"/>
        <v>0</v>
      </c>
      <c r="CV92" s="6739"/>
      <c r="CW92" s="6953"/>
      <c r="CX92" s="6758">
        <f t="shared" si="89"/>
        <v>-100.6427148674602</v>
      </c>
      <c r="CY92" s="2775"/>
      <c r="CZ92" s="590"/>
      <c r="DA92" s="590"/>
      <c r="DB92" s="590"/>
      <c r="DC92" s="590"/>
      <c r="DD92" s="590"/>
      <c r="DE92" s="590"/>
      <c r="DF92" s="590"/>
      <c r="DG92" s="590"/>
      <c r="DH92" s="590"/>
      <c r="DI92" s="590"/>
      <c r="DJ92" s="590"/>
      <c r="DK92" s="590"/>
      <c r="DL92" s="590"/>
      <c r="DM92" s="590"/>
      <c r="DO92" s="2261"/>
      <c r="DP92" s="2261"/>
      <c r="DS92" s="2261"/>
      <c r="DT92" s="2261"/>
    </row>
    <row r="93" spans="1:124" ht="16.3" hidden="1" customHeight="1" x14ac:dyDescent="0.55000000000000004">
      <c r="A93" s="4141"/>
      <c r="C93" s="559" t="s">
        <v>24</v>
      </c>
      <c r="AO93" s="4147"/>
      <c r="AP93" s="4148"/>
      <c r="AQ93" s="4053">
        <v>7.7122887109090899</v>
      </c>
      <c r="AR93" s="4053">
        <v>11.901490410909091</v>
      </c>
      <c r="AS93" s="4053">
        <v>8.9812090768595034</v>
      </c>
      <c r="AT93" s="4053">
        <v>10.372193494545455</v>
      </c>
      <c r="AU93" s="4053">
        <v>10.504389683636363</v>
      </c>
      <c r="AV93" s="4053">
        <v>10.180200099999999</v>
      </c>
      <c r="AW93" s="4053">
        <v>8.4619004436363632</v>
      </c>
      <c r="AX93" s="4053">
        <v>13.97991723090909</v>
      </c>
      <c r="AY93" s="4053">
        <v>7.4819694363636362</v>
      </c>
      <c r="AZ93" s="4053">
        <v>9.3093778854545448</v>
      </c>
      <c r="BA93" s="4053">
        <v>8.1333061890909093</v>
      </c>
      <c r="BB93" s="4053">
        <v>7.2586959218181821</v>
      </c>
      <c r="BC93" s="4149">
        <v>114.27693858413225</v>
      </c>
      <c r="BD93" s="628">
        <v>14.116456569701194</v>
      </c>
      <c r="BE93" s="3990">
        <v>8.9469693379787785</v>
      </c>
      <c r="BF93" s="3990">
        <v>12.581119418804597</v>
      </c>
      <c r="BG93" s="757">
        <v>13.621088409517725</v>
      </c>
      <c r="BH93" s="757">
        <v>13.050264436052398</v>
      </c>
      <c r="BI93" s="757">
        <v>13.785375310614638</v>
      </c>
      <c r="BJ93" s="757">
        <v>15.68372323078721</v>
      </c>
      <c r="BK93" s="757">
        <v>12.768331665182023</v>
      </c>
      <c r="BL93" s="757">
        <v>19.013707982428599</v>
      </c>
      <c r="BM93" s="757">
        <v>16.064161564672929</v>
      </c>
      <c r="BN93" s="596">
        <v>14.152064248799741</v>
      </c>
      <c r="BO93" s="757">
        <v>13.59651703127696</v>
      </c>
      <c r="BP93" s="3991">
        <v>167.37977920581679</v>
      </c>
      <c r="BQ93" s="4150">
        <v>7.9104644652274301</v>
      </c>
      <c r="BR93" s="3971">
        <v>17.394999900912872</v>
      </c>
      <c r="BS93" s="3971">
        <v>12.084511063113663</v>
      </c>
      <c r="BT93" s="4092">
        <v>15.023257278323857</v>
      </c>
      <c r="BU93" s="4092">
        <v>22.163099175165716</v>
      </c>
      <c r="BV93" s="4092">
        <v>16.24987459444257</v>
      </c>
      <c r="BW93" s="4092">
        <v>29.468650897485755</v>
      </c>
      <c r="BX93" s="4092">
        <v>12.48779545</v>
      </c>
      <c r="BY93" s="4092">
        <v>18.268366990000001</v>
      </c>
      <c r="BZ93" s="4092">
        <v>10.045943704817908</v>
      </c>
      <c r="CA93" s="4092">
        <v>10.25515772</v>
      </c>
      <c r="CB93" s="4092">
        <v>9.1685994097887971</v>
      </c>
      <c r="CC93" s="6651">
        <v>180.52072064927859</v>
      </c>
      <c r="CD93" s="6699"/>
      <c r="CE93" s="6590"/>
      <c r="CF93" s="3971"/>
      <c r="CG93" s="4092"/>
      <c r="CH93" s="4092"/>
      <c r="CI93" s="4092"/>
      <c r="CJ93" s="757"/>
      <c r="CK93" s="757"/>
      <c r="CL93" s="757"/>
      <c r="CM93" s="757"/>
      <c r="CN93" s="757"/>
      <c r="CO93" s="757"/>
      <c r="CP93" s="4087"/>
      <c r="CQ93" s="790"/>
      <c r="CR93" s="6862">
        <f t="shared" si="94"/>
        <v>0</v>
      </c>
      <c r="CS93" s="6747">
        <f t="shared" si="95"/>
        <v>-17.394999900912872</v>
      </c>
      <c r="CT93" s="607"/>
      <c r="CU93" s="6911">
        <f t="shared" si="88"/>
        <v>0</v>
      </c>
      <c r="CV93" s="6739"/>
      <c r="CW93" s="6953"/>
      <c r="CX93" s="6758">
        <f t="shared" si="89"/>
        <v>-25.305464366140303</v>
      </c>
      <c r="CY93" s="2775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O93" s="2261"/>
      <c r="DP93" s="2261"/>
      <c r="DS93" s="2261"/>
      <c r="DT93" s="2261"/>
    </row>
    <row r="94" spans="1:124" ht="16.3" hidden="1" customHeight="1" x14ac:dyDescent="0.55000000000000004">
      <c r="A94" s="4141"/>
      <c r="C94" s="559" t="s">
        <v>25</v>
      </c>
      <c r="AO94" s="4147"/>
      <c r="AP94" s="4148"/>
      <c r="AQ94" s="4053">
        <v>1.6747488727272726</v>
      </c>
      <c r="AR94" s="4053">
        <v>1.5234070554545456</v>
      </c>
      <c r="AS94" s="4053">
        <v>1.4427309090909091</v>
      </c>
      <c r="AT94" s="4053">
        <v>1.7052554263636364</v>
      </c>
      <c r="AU94" s="4053">
        <v>1.7315281272727272</v>
      </c>
      <c r="AV94" s="4053">
        <v>1.5730385899999999</v>
      </c>
      <c r="AW94" s="4053">
        <v>1.7928756027272725</v>
      </c>
      <c r="AX94" s="4053">
        <v>1.7078381509090912</v>
      </c>
      <c r="AY94" s="4053">
        <v>1.1906911754545453</v>
      </c>
      <c r="AZ94" s="4053">
        <v>1.2444138718181816</v>
      </c>
      <c r="BA94" s="4053">
        <v>1.4322500163636365</v>
      </c>
      <c r="BB94" s="4053">
        <v>0</v>
      </c>
      <c r="BC94" s="4149">
        <v>17.018777798181819</v>
      </c>
      <c r="BD94" s="628">
        <v>1.9540003322298836</v>
      </c>
      <c r="BE94" s="3990">
        <v>1.4050035536981267</v>
      </c>
      <c r="BF94" s="3990">
        <v>1.558139962704383</v>
      </c>
      <c r="BG94" s="757">
        <v>1.0748078064778677</v>
      </c>
      <c r="BH94" s="757">
        <v>1.0649191277923999</v>
      </c>
      <c r="BI94" s="757">
        <v>1.0751356867468416</v>
      </c>
      <c r="BJ94" s="757">
        <v>1.5252934199758881</v>
      </c>
      <c r="BK94" s="757">
        <v>1.2103839596955981</v>
      </c>
      <c r="BL94" s="757">
        <v>1.2278609953337696</v>
      </c>
      <c r="BM94" s="757">
        <v>0.22224247770551994</v>
      </c>
      <c r="BN94" s="757">
        <v>1.3924325361194385</v>
      </c>
      <c r="BO94" s="757">
        <v>1.5423091887568499</v>
      </c>
      <c r="BP94" s="3991">
        <v>15.252529047236566</v>
      </c>
      <c r="BQ94" s="4150">
        <v>0.98007273795483885</v>
      </c>
      <c r="BR94" s="3971">
        <v>1.1496982228085242</v>
      </c>
      <c r="BS94" s="3971">
        <v>1.0728063849721623</v>
      </c>
      <c r="BT94" s="3971">
        <v>1.1623531950213895</v>
      </c>
      <c r="BU94" s="4092">
        <v>1.2635918204426471</v>
      </c>
      <c r="BV94" s="4092">
        <v>1.1441234756098986</v>
      </c>
      <c r="BW94" s="4092">
        <v>1.7072715269450676</v>
      </c>
      <c r="BX94" s="4092">
        <v>1.3639231478014675</v>
      </c>
      <c r="BY94" s="4092">
        <v>1.3084622907097614</v>
      </c>
      <c r="BZ94" s="4092">
        <v>0.98828134104104792</v>
      </c>
      <c r="CA94" s="4092">
        <v>0.90658444595825705</v>
      </c>
      <c r="CB94" s="4092">
        <v>1.21084782668774</v>
      </c>
      <c r="CC94" s="6651">
        <v>14.258016415952801</v>
      </c>
      <c r="CD94" s="6699"/>
      <c r="CE94" s="6590"/>
      <c r="CF94" s="3971"/>
      <c r="CG94" s="3971"/>
      <c r="CH94" s="4092"/>
      <c r="CI94" s="4092"/>
      <c r="CJ94" s="757"/>
      <c r="CK94" s="757"/>
      <c r="CL94" s="757"/>
      <c r="CM94" s="757"/>
      <c r="CN94" s="757"/>
      <c r="CO94" s="757"/>
      <c r="CP94" s="4087"/>
      <c r="CQ94" s="790"/>
      <c r="CR94" s="6862">
        <f t="shared" si="94"/>
        <v>0</v>
      </c>
      <c r="CS94" s="6747">
        <f t="shared" si="95"/>
        <v>-1.1496982228085242</v>
      </c>
      <c r="CT94" s="607"/>
      <c r="CU94" s="6911">
        <f t="shared" si="88"/>
        <v>0</v>
      </c>
      <c r="CV94" s="6739"/>
      <c r="CW94" s="6953"/>
      <c r="CX94" s="6758">
        <f t="shared" si="89"/>
        <v>-2.1297709607633628</v>
      </c>
      <c r="CY94" s="2775"/>
      <c r="CZ94" s="590"/>
      <c r="DA94" s="590"/>
      <c r="DB94" s="590"/>
      <c r="DC94" s="590"/>
      <c r="DD94" s="590"/>
      <c r="DE94" s="590"/>
      <c r="DF94" s="590"/>
      <c r="DG94" s="590"/>
      <c r="DH94" s="590"/>
      <c r="DI94" s="590"/>
      <c r="DJ94" s="590"/>
      <c r="DK94" s="590"/>
      <c r="DL94" s="590"/>
      <c r="DM94" s="590"/>
      <c r="DO94" s="2261"/>
      <c r="DP94" s="2261"/>
      <c r="DS94" s="2261"/>
      <c r="DT94" s="2261"/>
    </row>
    <row r="95" spans="1:124" ht="16.3" hidden="1" customHeight="1" x14ac:dyDescent="0.55000000000000004">
      <c r="A95" s="4151"/>
      <c r="C95" s="559" t="s">
        <v>26</v>
      </c>
      <c r="AO95" s="4147"/>
      <c r="AP95" s="4148"/>
      <c r="AQ95" s="4053">
        <v>10.689534488363636</v>
      </c>
      <c r="AR95" s="4053">
        <v>15.642738236363636</v>
      </c>
      <c r="AS95" s="4053">
        <v>10.687649021818181</v>
      </c>
      <c r="AT95" s="4053">
        <v>8.502718546363635</v>
      </c>
      <c r="AU95" s="4053">
        <v>9.1463444599999999</v>
      </c>
      <c r="AV95" s="4053">
        <v>8.3444189909090909</v>
      </c>
      <c r="AW95" s="4053">
        <v>5.2833142909090904</v>
      </c>
      <c r="AX95" s="4053">
        <v>16.273742727272726</v>
      </c>
      <c r="AY95" s="4053">
        <v>9.7530975090909084</v>
      </c>
      <c r="AZ95" s="4053">
        <v>12.161371454545455</v>
      </c>
      <c r="BA95" s="4053">
        <v>7.1786270272727259</v>
      </c>
      <c r="BB95" s="4053">
        <v>7.6757730999999998</v>
      </c>
      <c r="BC95" s="4149">
        <v>121.3393298529091</v>
      </c>
      <c r="BD95" s="628">
        <v>11.262427875463825</v>
      </c>
      <c r="BE95" s="3990">
        <v>8.4311676020527546</v>
      </c>
      <c r="BF95" s="3990">
        <v>7.220748056178615</v>
      </c>
      <c r="BG95" s="757">
        <v>7.7112466994719115</v>
      </c>
      <c r="BH95" s="757">
        <v>9.0133890488009936</v>
      </c>
      <c r="BI95" s="757">
        <v>8.8778638338733149</v>
      </c>
      <c r="BJ95" s="757">
        <v>19.030506355489692</v>
      </c>
      <c r="BK95" s="757">
        <v>11.539077863749338</v>
      </c>
      <c r="BL95" s="757">
        <v>10.654472258151575</v>
      </c>
      <c r="BM95" s="757">
        <v>7.760194693041897</v>
      </c>
      <c r="BN95" s="757">
        <v>5.6744923318051681</v>
      </c>
      <c r="BO95" s="757">
        <v>6.3559089699999998</v>
      </c>
      <c r="BP95" s="3991">
        <v>113.53149558807908</v>
      </c>
      <c r="BQ95" s="4150">
        <v>2.2204281809386961</v>
      </c>
      <c r="BR95" s="3971">
        <v>12.910237649614468</v>
      </c>
      <c r="BS95" s="3971">
        <v>8.4122885573511983</v>
      </c>
      <c r="BT95" s="3971">
        <v>9.0208929599999994</v>
      </c>
      <c r="BU95" s="4092">
        <v>8.2571301100000003</v>
      </c>
      <c r="BV95" s="4092">
        <v>18.533651772674812</v>
      </c>
      <c r="BW95" s="4092">
        <v>15.30004145</v>
      </c>
      <c r="BX95" s="4092">
        <v>10.21333343</v>
      </c>
      <c r="BY95" s="4092">
        <v>10.524390322437281</v>
      </c>
      <c r="BZ95" s="4092">
        <v>6.9623041145351294</v>
      </c>
      <c r="CA95" s="4092">
        <v>4.7091784299999997</v>
      </c>
      <c r="CB95" s="4092">
        <v>3.3579115499999999</v>
      </c>
      <c r="CC95" s="6651">
        <v>110.42178852755157</v>
      </c>
      <c r="CD95" s="6699"/>
      <c r="CE95" s="6590"/>
      <c r="CF95" s="3971"/>
      <c r="CG95" s="3971"/>
      <c r="CH95" s="4092"/>
      <c r="CI95" s="4092"/>
      <c r="CJ95" s="757"/>
      <c r="CK95" s="757"/>
      <c r="CL95" s="757"/>
      <c r="CM95" s="757"/>
      <c r="CN95" s="757"/>
      <c r="CO95" s="757"/>
      <c r="CP95" s="4087"/>
      <c r="CQ95" s="790"/>
      <c r="CR95" s="6862">
        <f t="shared" si="94"/>
        <v>0</v>
      </c>
      <c r="CS95" s="6747">
        <f t="shared" si="95"/>
        <v>-12.910237649614468</v>
      </c>
      <c r="CT95" s="607"/>
      <c r="CU95" s="6911">
        <f t="shared" si="88"/>
        <v>0</v>
      </c>
      <c r="CV95" s="6739"/>
      <c r="CW95" s="6953"/>
      <c r="CX95" s="6758">
        <f t="shared" si="89"/>
        <v>-15.130665830553163</v>
      </c>
      <c r="CY95" s="2775"/>
      <c r="CZ95" s="590"/>
      <c r="DA95" s="590"/>
      <c r="DB95" s="590"/>
      <c r="DC95" s="590"/>
      <c r="DD95" s="590"/>
      <c r="DE95" s="590"/>
      <c r="DF95" s="590"/>
      <c r="DG95" s="590"/>
      <c r="DH95" s="590"/>
      <c r="DI95" s="590"/>
      <c r="DJ95" s="590"/>
      <c r="DK95" s="590"/>
      <c r="DL95" s="590"/>
      <c r="DM95" s="590"/>
      <c r="DO95" s="2261"/>
      <c r="DP95" s="2261"/>
      <c r="DS95" s="2261"/>
      <c r="DT95" s="2261"/>
    </row>
    <row r="96" spans="1:124" ht="16.3" hidden="1" customHeight="1" x14ac:dyDescent="0.55000000000000004">
      <c r="A96" s="4151"/>
      <c r="C96" s="559" t="s">
        <v>27</v>
      </c>
      <c r="AO96" s="4147"/>
      <c r="AP96" s="4148"/>
      <c r="AQ96" s="4053">
        <v>9.1230941818181819</v>
      </c>
      <c r="AR96" s="4053">
        <v>21.706329373636365</v>
      </c>
      <c r="AS96" s="4053">
        <v>13.235116280991736</v>
      </c>
      <c r="AT96" s="4053">
        <v>17.654740472727269</v>
      </c>
      <c r="AU96" s="4053">
        <v>17.420517727272724</v>
      </c>
      <c r="AV96" s="4053">
        <v>16.775271390909094</v>
      </c>
      <c r="AW96" s="4053">
        <v>11.168226090909091</v>
      </c>
      <c r="AX96" s="4053">
        <v>35.857371181818181</v>
      </c>
      <c r="AY96" s="4053">
        <v>8.6547714545454539</v>
      </c>
      <c r="AZ96" s="4053">
        <v>21.508030145454541</v>
      </c>
      <c r="BA96" s="4053">
        <v>9.108715363636362</v>
      </c>
      <c r="BB96" s="4053">
        <v>5.7548949090909085</v>
      </c>
      <c r="BC96" s="4149">
        <v>187.96707857280992</v>
      </c>
      <c r="BD96" s="628">
        <v>30.004671327272739</v>
      </c>
      <c r="BE96" s="3990">
        <v>16.465760700000001</v>
      </c>
      <c r="BF96" s="3990">
        <v>12.172408154545455</v>
      </c>
      <c r="BG96" s="757">
        <v>10.947925436363635</v>
      </c>
      <c r="BH96" s="757">
        <v>11.5793591818182</v>
      </c>
      <c r="BI96" s="757">
        <v>15.105264699999999</v>
      </c>
      <c r="BJ96" s="757">
        <v>55.141627509999999</v>
      </c>
      <c r="BK96" s="757">
        <v>20.628644854545456</v>
      </c>
      <c r="BL96" s="757">
        <v>35.216032354545426</v>
      </c>
      <c r="BM96" s="757">
        <v>14.842267381818189</v>
      </c>
      <c r="BN96" s="757">
        <v>16.133058318181806</v>
      </c>
      <c r="BO96" s="757">
        <v>12.0127224363636</v>
      </c>
      <c r="BP96" s="3991">
        <v>250.24974235545449</v>
      </c>
      <c r="BQ96" s="4150">
        <v>14.37242808273067</v>
      </c>
      <c r="BR96" s="3971">
        <v>43.7043856272727</v>
      </c>
      <c r="BS96" s="3971">
        <v>17.558123940909095</v>
      </c>
      <c r="BT96" s="4092">
        <v>18.066732295454553</v>
      </c>
      <c r="BU96" s="4092">
        <v>19.428483209090906</v>
      </c>
      <c r="BV96" s="4092">
        <v>16.05441492727272</v>
      </c>
      <c r="BW96" s="4092">
        <v>57.289757718181818</v>
      </c>
      <c r="BX96" s="4092">
        <v>26.281942318181823</v>
      </c>
      <c r="BY96" s="4092">
        <v>35.226383681818199</v>
      </c>
      <c r="BZ96" s="4092">
        <v>17.894112036363648</v>
      </c>
      <c r="CA96" s="4092">
        <v>18.242181020909079</v>
      </c>
      <c r="CB96" s="4092">
        <v>14.265150818181819</v>
      </c>
      <c r="CC96" s="6651">
        <v>298.384095676367</v>
      </c>
      <c r="CD96" s="6699"/>
      <c r="CE96" s="6590"/>
      <c r="CF96" s="3971"/>
      <c r="CG96" s="4092"/>
      <c r="CH96" s="4092"/>
      <c r="CI96" s="4092"/>
      <c r="CJ96" s="757"/>
      <c r="CK96" s="757"/>
      <c r="CL96" s="757"/>
      <c r="CM96" s="757"/>
      <c r="CN96" s="757"/>
      <c r="CO96" s="757"/>
      <c r="CP96" s="4087"/>
      <c r="CQ96" s="790"/>
      <c r="CR96" s="6862">
        <f t="shared" si="94"/>
        <v>0</v>
      </c>
      <c r="CS96" s="6747">
        <f t="shared" si="95"/>
        <v>-43.7043856272727</v>
      </c>
      <c r="CT96" s="607"/>
      <c r="CU96" s="6911">
        <f t="shared" si="88"/>
        <v>0</v>
      </c>
      <c r="CV96" s="6739"/>
      <c r="CW96" s="6953"/>
      <c r="CX96" s="6758">
        <f t="shared" si="89"/>
        <v>-58.076813710003371</v>
      </c>
      <c r="CY96" s="2775"/>
      <c r="CZ96" s="590"/>
      <c r="DA96" s="590"/>
      <c r="DB96" s="590"/>
      <c r="DC96" s="590"/>
      <c r="DD96" s="590"/>
      <c r="DE96" s="590"/>
      <c r="DF96" s="590"/>
      <c r="DG96" s="590"/>
      <c r="DH96" s="590"/>
      <c r="DI96" s="590"/>
      <c r="DJ96" s="590"/>
      <c r="DK96" s="590"/>
      <c r="DL96" s="590"/>
      <c r="DM96" s="590"/>
      <c r="DO96" s="2261"/>
      <c r="DP96" s="2261"/>
      <c r="DS96" s="2261"/>
      <c r="DT96" s="2261"/>
    </row>
    <row r="97" spans="1:124" ht="16.3" hidden="1" customHeight="1" x14ac:dyDescent="0.55000000000000004">
      <c r="A97" s="4141"/>
      <c r="B97" s="797" t="s">
        <v>588</v>
      </c>
      <c r="C97" s="798"/>
      <c r="D97" s="798"/>
      <c r="E97" s="798"/>
      <c r="F97" s="798"/>
      <c r="G97" s="798"/>
      <c r="H97" s="798"/>
      <c r="I97" s="798"/>
      <c r="J97" s="798"/>
      <c r="K97" s="798"/>
      <c r="L97" s="798"/>
      <c r="M97" s="798"/>
      <c r="N97" s="798"/>
      <c r="O97" s="798"/>
      <c r="P97" s="798"/>
      <c r="Q97" s="798"/>
      <c r="R97" s="798"/>
      <c r="S97" s="798"/>
      <c r="T97" s="798"/>
      <c r="U97" s="798"/>
      <c r="V97" s="798"/>
      <c r="W97" s="798"/>
      <c r="X97" s="798"/>
      <c r="Y97" s="798"/>
      <c r="Z97" s="798"/>
      <c r="AA97" s="798"/>
      <c r="AB97" s="798"/>
      <c r="AC97" s="798"/>
      <c r="AD97" s="798"/>
      <c r="AE97" s="798"/>
      <c r="AF97" s="798"/>
      <c r="AG97" s="798"/>
      <c r="AH97" s="798"/>
      <c r="AI97" s="798"/>
      <c r="AJ97" s="798"/>
      <c r="AK97" s="798"/>
      <c r="AL97" s="798"/>
      <c r="AM97" s="798"/>
      <c r="AN97" s="798"/>
      <c r="AO97" s="4152"/>
      <c r="AP97" s="4153"/>
      <c r="AQ97" s="4154">
        <v>1.6268884363650002</v>
      </c>
      <c r="AR97" s="4154">
        <v>12.795607378456992</v>
      </c>
      <c r="AS97" s="4154">
        <v>13.985665471971302</v>
      </c>
      <c r="AT97" s="4154">
        <v>9.5497499388189908</v>
      </c>
      <c r="AU97" s="4154">
        <v>9.205535530485669</v>
      </c>
      <c r="AV97" s="4154">
        <v>13.766094890825997</v>
      </c>
      <c r="AW97" s="4154">
        <v>4.3110438132727325</v>
      </c>
      <c r="AX97" s="4154">
        <v>33.39856936948491</v>
      </c>
      <c r="AY97" s="4154">
        <v>-5.3243119869090876</v>
      </c>
      <c r="AZ97" s="4154">
        <v>19.637060123515191</v>
      </c>
      <c r="BA97" s="4154">
        <v>3.4667494006161732</v>
      </c>
      <c r="BB97" s="4154">
        <v>-5.4570063733333285</v>
      </c>
      <c r="BC97" s="4155">
        <v>110.96164599357054</v>
      </c>
      <c r="BD97" s="799">
        <f t="shared" ref="BD97:BM97" si="116">BD90+BD98-BD102</f>
        <v>29.123647944545496</v>
      </c>
      <c r="BE97" s="799">
        <f t="shared" si="116"/>
        <v>6.9232008633333351</v>
      </c>
      <c r="BF97" s="799">
        <f t="shared" si="116"/>
        <v>15.639741556363632</v>
      </c>
      <c r="BG97" s="799">
        <f t="shared" si="116"/>
        <v>12.64691225</v>
      </c>
      <c r="BH97" s="799">
        <f t="shared" si="116"/>
        <v>12.829656133333302</v>
      </c>
      <c r="BI97" s="799">
        <f t="shared" si="116"/>
        <v>3.9152500069696998</v>
      </c>
      <c r="BJ97" s="799">
        <f t="shared" si="116"/>
        <v>23.272802420144796</v>
      </c>
      <c r="BK97" s="799">
        <f t="shared" si="116"/>
        <v>13.667674669841801</v>
      </c>
      <c r="BL97" s="799">
        <f t="shared" si="116"/>
        <v>13.420852936205399</v>
      </c>
      <c r="BM97" s="799">
        <f t="shared" si="116"/>
        <v>11.3404005787879</v>
      </c>
      <c r="BN97" s="799">
        <f>BN90+BN98-BN102</f>
        <v>3.2220608227272791</v>
      </c>
      <c r="BO97" s="799">
        <v>-8.1470883172727184</v>
      </c>
      <c r="BP97" s="4156">
        <v>137.8551118649799</v>
      </c>
      <c r="BQ97" s="4157">
        <f t="shared" ref="BQ97:CQ97" si="117">BQ90+BQ98-BQ102</f>
        <v>-17.129187105894999</v>
      </c>
      <c r="BR97" s="4157">
        <f t="shared" si="117"/>
        <v>37.914183089090926</v>
      </c>
      <c r="BS97" s="4157">
        <f t="shared" si="117"/>
        <v>6.2293168654545497</v>
      </c>
      <c r="BT97" s="4157">
        <f t="shared" si="117"/>
        <v>14.757009073939393</v>
      </c>
      <c r="BU97" s="4157">
        <f t="shared" si="117"/>
        <v>44.567644781818181</v>
      </c>
      <c r="BV97" s="4157">
        <f t="shared" si="117"/>
        <v>10.755273862727272</v>
      </c>
      <c r="BW97" s="4157">
        <f t="shared" si="117"/>
        <v>53.943692421212113</v>
      </c>
      <c r="BX97" s="4157">
        <f t="shared" si="117"/>
        <v>10.899252217575764</v>
      </c>
      <c r="BY97" s="4157">
        <f t="shared" si="117"/>
        <v>11.225282321818192</v>
      </c>
      <c r="BZ97" s="4157">
        <f t="shared" si="117"/>
        <v>-2.7924831375757506</v>
      </c>
      <c r="CA97" s="4157">
        <f t="shared" si="117"/>
        <v>-5.2666668942424195</v>
      </c>
      <c r="CB97" s="4157">
        <f t="shared" si="117"/>
        <v>-11.751462926969694</v>
      </c>
      <c r="CC97" s="6654">
        <v>153.35185456895357</v>
      </c>
      <c r="CD97" s="6700"/>
      <c r="CE97" s="6700"/>
      <c r="CF97" s="4157"/>
      <c r="CG97" s="4157"/>
      <c r="CH97" s="4157"/>
      <c r="CI97" s="4157"/>
      <c r="CJ97" s="4157"/>
      <c r="CK97" s="4157"/>
      <c r="CL97" s="4157"/>
      <c r="CM97" s="4157"/>
      <c r="CN97" s="4157"/>
      <c r="CO97" s="4157"/>
      <c r="CP97" s="4157">
        <f t="shared" si="117"/>
        <v>0</v>
      </c>
      <c r="CQ97" s="4157">
        <f t="shared" si="117"/>
        <v>0</v>
      </c>
      <c r="CR97" s="6894">
        <f t="shared" si="94"/>
        <v>0</v>
      </c>
      <c r="CS97" s="6895">
        <f t="shared" si="95"/>
        <v>-37.914183089090926</v>
      </c>
      <c r="CT97" s="802"/>
      <c r="CU97" s="6963">
        <f t="shared" si="88"/>
        <v>0</v>
      </c>
      <c r="CV97" s="6739"/>
      <c r="CW97" s="6953"/>
      <c r="CX97" s="6759">
        <f t="shared" si="89"/>
        <v>-20.784995983195927</v>
      </c>
      <c r="CY97" s="2775"/>
      <c r="CZ97" s="590"/>
      <c r="DA97" s="590"/>
      <c r="DB97" s="590"/>
      <c r="DC97" s="590"/>
      <c r="DD97" s="590"/>
      <c r="DE97" s="590"/>
      <c r="DF97" s="590"/>
      <c r="DG97" s="590"/>
      <c r="DH97" s="590"/>
      <c r="DI97" s="590"/>
      <c r="DJ97" s="590"/>
      <c r="DK97" s="590"/>
      <c r="DL97" s="590"/>
      <c r="DM97" s="590"/>
      <c r="DO97" s="2261"/>
      <c r="DP97" s="2261"/>
      <c r="DS97" s="2261"/>
      <c r="DT97" s="2261"/>
    </row>
    <row r="98" spans="1:124" ht="16.3" hidden="1" customHeight="1" x14ac:dyDescent="0.55000000000000004">
      <c r="A98" s="4151"/>
      <c r="B98" s="4158"/>
      <c r="C98" s="1028" t="s">
        <v>589</v>
      </c>
      <c r="D98" s="1028"/>
      <c r="E98" s="1028"/>
      <c r="F98" s="1028"/>
      <c r="G98" s="1028"/>
      <c r="H98" s="1028"/>
      <c r="I98" s="1028"/>
      <c r="J98" s="1028"/>
      <c r="K98" s="1028"/>
      <c r="L98" s="1028"/>
      <c r="M98" s="1028"/>
      <c r="N98" s="1028"/>
      <c r="O98" s="1028"/>
      <c r="P98" s="1028"/>
      <c r="Q98" s="1028"/>
      <c r="R98" s="1028"/>
      <c r="S98" s="1028"/>
      <c r="T98" s="1028"/>
      <c r="U98" s="1028"/>
      <c r="V98" s="1028"/>
      <c r="W98" s="1028"/>
      <c r="X98" s="1028"/>
      <c r="Y98" s="1028"/>
      <c r="Z98" s="1028"/>
      <c r="AA98" s="1028"/>
      <c r="AB98" s="1028"/>
      <c r="AC98" s="1028"/>
      <c r="AD98" s="1028"/>
      <c r="AE98" s="1028"/>
      <c r="AF98" s="1028"/>
      <c r="AG98" s="1028"/>
      <c r="AH98" s="1028"/>
      <c r="AI98" s="1028"/>
      <c r="AJ98" s="1028"/>
      <c r="AK98" s="1028"/>
      <c r="AL98" s="1028"/>
      <c r="AM98" s="1028"/>
      <c r="AN98" s="1028"/>
      <c r="AO98" s="4142"/>
      <c r="AP98" s="4143"/>
      <c r="AQ98" s="4144">
        <v>10.99738222</v>
      </c>
      <c r="AR98" s="4144">
        <v>11.072332849999999</v>
      </c>
      <c r="AS98" s="4144">
        <v>11.82284417</v>
      </c>
      <c r="AT98" s="4144">
        <v>10.918451381316661</v>
      </c>
      <c r="AU98" s="4144">
        <v>10.72711415</v>
      </c>
      <c r="AV98" s="4144">
        <v>13.64055049140293</v>
      </c>
      <c r="AW98" s="4144">
        <v>11.633982039999999</v>
      </c>
      <c r="AX98" s="4144">
        <v>10.901304058125158</v>
      </c>
      <c r="AY98" s="4144">
        <v>12.416276780884331</v>
      </c>
      <c r="AZ98" s="4144">
        <v>11.213231534903279</v>
      </c>
      <c r="BA98" s="4144">
        <v>10.29056061</v>
      </c>
      <c r="BB98" s="4144">
        <v>11.021374928923349</v>
      </c>
      <c r="BC98" s="4145">
        <v>136.65540521555567</v>
      </c>
      <c r="BD98" s="789">
        <f t="shared" ref="BD98:BM98" si="118">BD99+BD100+BD101</f>
        <v>10.676176330000001</v>
      </c>
      <c r="BE98" s="789">
        <f t="shared" si="118"/>
        <v>10.719565279999999</v>
      </c>
      <c r="BF98" s="789">
        <f t="shared" si="118"/>
        <v>10.56877557</v>
      </c>
      <c r="BG98" s="789">
        <f t="shared" si="118"/>
        <v>10.809390430000001</v>
      </c>
      <c r="BH98" s="789">
        <f t="shared" si="118"/>
        <v>10.855186140000001</v>
      </c>
      <c r="BI98" s="789">
        <f t="shared" si="118"/>
        <v>10.975245659999999</v>
      </c>
      <c r="BJ98" s="789">
        <f t="shared" si="118"/>
        <v>10.34847451821101</v>
      </c>
      <c r="BK98" s="789">
        <f t="shared" si="118"/>
        <v>10.221865093895472</v>
      </c>
      <c r="BL98" s="789">
        <f t="shared" si="118"/>
        <v>11.253886038388274</v>
      </c>
      <c r="BM98" s="789">
        <f t="shared" si="118"/>
        <v>11.043676143888986</v>
      </c>
      <c r="BN98" s="789">
        <f>BN99+BN100+BN101</f>
        <v>10.76203393198368</v>
      </c>
      <c r="BO98" s="4159">
        <v>11.274253114138165</v>
      </c>
      <c r="BP98" s="4160">
        <v>129.50852825050558</v>
      </c>
      <c r="BQ98" s="4146">
        <f t="shared" ref="BQ98:CB98" si="119">BQ99+BQ100+BQ101</f>
        <v>8.85869018</v>
      </c>
      <c r="BR98" s="4146">
        <f t="shared" si="119"/>
        <v>8.8337460299999986</v>
      </c>
      <c r="BS98" s="4146">
        <f t="shared" si="119"/>
        <v>8.1935671999999986</v>
      </c>
      <c r="BT98" s="4146">
        <f t="shared" si="119"/>
        <v>8.2713145400000005</v>
      </c>
      <c r="BU98" s="4146">
        <f t="shared" si="119"/>
        <v>8.3684995400000002</v>
      </c>
      <c r="BV98" s="4146">
        <f t="shared" si="119"/>
        <v>8.4601910199999999</v>
      </c>
      <c r="BW98" s="4146">
        <f t="shared" si="119"/>
        <v>8.3609536500000008</v>
      </c>
      <c r="BX98" s="4146">
        <f t="shared" si="119"/>
        <v>7.4021241099999999</v>
      </c>
      <c r="BY98" s="4146">
        <f t="shared" si="119"/>
        <v>7.6795302699999999</v>
      </c>
      <c r="BZ98" s="4146">
        <f t="shared" si="119"/>
        <v>7.6651342999999992</v>
      </c>
      <c r="CA98" s="4146">
        <f t="shared" si="119"/>
        <v>7.7294568999999997</v>
      </c>
      <c r="CB98" s="4146">
        <f t="shared" si="119"/>
        <v>7.8826876699999993</v>
      </c>
      <c r="CC98" s="6655">
        <v>97.705895409999997</v>
      </c>
      <c r="CD98" s="6553"/>
      <c r="CE98" s="6553"/>
      <c r="CF98" s="4146"/>
      <c r="CG98" s="4146"/>
      <c r="CH98" s="4146"/>
      <c r="CI98" s="4146"/>
      <c r="CJ98" s="4146"/>
      <c r="CK98" s="4146"/>
      <c r="CL98" s="4146"/>
      <c r="CM98" s="4146"/>
      <c r="CN98" s="4146"/>
      <c r="CO98" s="4146"/>
      <c r="CP98" s="4087"/>
      <c r="CQ98" s="790"/>
      <c r="CR98" s="6873">
        <f t="shared" si="94"/>
        <v>0</v>
      </c>
      <c r="CS98" s="6874">
        <f t="shared" si="95"/>
        <v>-8.8337460299999986</v>
      </c>
      <c r="CT98" s="795"/>
      <c r="CU98" s="6765">
        <f t="shared" si="88"/>
        <v>0</v>
      </c>
      <c r="CV98" s="6739"/>
      <c r="CW98" s="6953"/>
      <c r="CX98" s="6757">
        <f t="shared" si="89"/>
        <v>-17.692436209999997</v>
      </c>
      <c r="CY98" s="2775"/>
      <c r="CZ98" s="590"/>
      <c r="DA98" s="590"/>
      <c r="DB98" s="590"/>
      <c r="DC98" s="590"/>
      <c r="DD98" s="590"/>
      <c r="DE98" s="590"/>
      <c r="DF98" s="590"/>
      <c r="DG98" s="590"/>
      <c r="DH98" s="590"/>
      <c r="DI98" s="590"/>
      <c r="DJ98" s="590"/>
      <c r="DK98" s="590"/>
      <c r="DL98" s="590"/>
      <c r="DM98" s="590"/>
      <c r="DO98" s="2261"/>
      <c r="DP98" s="2261"/>
      <c r="DS98" s="2261"/>
      <c r="DT98" s="2261"/>
    </row>
    <row r="99" spans="1:124" ht="16.3" hidden="1" customHeight="1" x14ac:dyDescent="0.55000000000000004">
      <c r="A99" s="4151"/>
      <c r="B99" s="4158"/>
      <c r="C99" s="1028" t="s">
        <v>28</v>
      </c>
      <c r="D99" s="1028"/>
      <c r="E99" s="1028"/>
      <c r="F99" s="1028"/>
      <c r="G99" s="1028"/>
      <c r="H99" s="1028"/>
      <c r="I99" s="1028"/>
      <c r="J99" s="1028"/>
      <c r="K99" s="1028"/>
      <c r="L99" s="1028"/>
      <c r="M99" s="1028"/>
      <c r="N99" s="1028"/>
      <c r="O99" s="1028"/>
      <c r="P99" s="1028"/>
      <c r="Q99" s="1028"/>
      <c r="R99" s="1028"/>
      <c r="S99" s="1028"/>
      <c r="T99" s="1028"/>
      <c r="U99" s="1028"/>
      <c r="V99" s="1028"/>
      <c r="W99" s="1028"/>
      <c r="X99" s="1028"/>
      <c r="Y99" s="1028"/>
      <c r="Z99" s="1028"/>
      <c r="AA99" s="1028"/>
      <c r="AB99" s="1028"/>
      <c r="AC99" s="1028"/>
      <c r="AD99" s="1028"/>
      <c r="AE99" s="1028"/>
      <c r="AF99" s="1028"/>
      <c r="AG99" s="1028"/>
      <c r="AH99" s="1028"/>
      <c r="AI99" s="1028"/>
      <c r="AJ99" s="1028"/>
      <c r="AK99" s="1028"/>
      <c r="AL99" s="1028"/>
      <c r="AM99" s="1028"/>
      <c r="AN99" s="1028"/>
      <c r="AO99" s="4142"/>
      <c r="AP99" s="4143"/>
      <c r="AQ99" s="4144">
        <v>0.61592853999999997</v>
      </c>
      <c r="AR99" s="4144">
        <v>0.65334250000000005</v>
      </c>
      <c r="AS99" s="4144">
        <v>0.65849508000000001</v>
      </c>
      <c r="AT99" s="4144">
        <v>0.57481470000000001</v>
      </c>
      <c r="AU99" s="4144">
        <v>0.60571668000000001</v>
      </c>
      <c r="AV99" s="4144">
        <v>0.61085343999999997</v>
      </c>
      <c r="AW99" s="4144">
        <v>0.62392007000000005</v>
      </c>
      <c r="AX99" s="4144">
        <v>0.65043680000000004</v>
      </c>
      <c r="AY99" s="4144">
        <v>0.54387786000000005</v>
      </c>
      <c r="AZ99" s="4144">
        <v>0.62260415999999996</v>
      </c>
      <c r="BA99" s="4144">
        <v>0.58644728999999995</v>
      </c>
      <c r="BB99" s="4144">
        <v>0.54305241000000004</v>
      </c>
      <c r="BC99" s="4145">
        <v>7.2894895300000009</v>
      </c>
      <c r="BD99" s="789">
        <v>0.60595882000000001</v>
      </c>
      <c r="BE99" s="3946">
        <v>0.58992409999999995</v>
      </c>
      <c r="BF99" s="3946">
        <v>0.58244088000000005</v>
      </c>
      <c r="BG99" s="789">
        <v>0.59132483999999996</v>
      </c>
      <c r="BH99" s="789">
        <v>0.59938886000000002</v>
      </c>
      <c r="BI99" s="789">
        <v>0.57360551000000004</v>
      </c>
      <c r="BJ99" s="789">
        <v>0.63982287000000004</v>
      </c>
      <c r="BK99" s="789">
        <v>0.64003542000000002</v>
      </c>
      <c r="BL99" s="4159">
        <v>0.58477462999999996</v>
      </c>
      <c r="BM99" s="4159">
        <v>0.61689234999999998</v>
      </c>
      <c r="BN99" s="4159">
        <v>0.60579084999999999</v>
      </c>
      <c r="BO99" s="4159">
        <v>0.58299250000000002</v>
      </c>
      <c r="BP99" s="4160">
        <v>7.2129516299999992</v>
      </c>
      <c r="BQ99" s="4146">
        <v>0.55730053000000002</v>
      </c>
      <c r="BR99" s="3954">
        <v>0.64227151000000005</v>
      </c>
      <c r="BS99" s="3954">
        <v>0.60677861</v>
      </c>
      <c r="BT99" s="4146">
        <v>0.57387266000000003</v>
      </c>
      <c r="BU99" s="4146">
        <v>0.65718023999999997</v>
      </c>
      <c r="BV99" s="4146">
        <v>0.62709696000000004</v>
      </c>
      <c r="BW99" s="4146">
        <v>0.63667795999999999</v>
      </c>
      <c r="BX99" s="4146">
        <v>0.63415812000000005</v>
      </c>
      <c r="BY99" s="6656">
        <v>0.63216598000000002</v>
      </c>
      <c r="BZ99" s="6656">
        <v>0.58205907999999995</v>
      </c>
      <c r="CA99" s="6656">
        <v>0.81182807000000001</v>
      </c>
      <c r="CB99" s="6656">
        <v>0.81033728999999999</v>
      </c>
      <c r="CC99" s="6655">
        <v>7.7717270100000002</v>
      </c>
      <c r="CD99" s="6553"/>
      <c r="CE99" s="6632"/>
      <c r="CF99" s="3954"/>
      <c r="CG99" s="4146"/>
      <c r="CH99" s="4146"/>
      <c r="CI99" s="4146"/>
      <c r="CJ99" s="789"/>
      <c r="CK99" s="789"/>
      <c r="CL99" s="4159"/>
      <c r="CM99" s="4159"/>
      <c r="CN99" s="4159"/>
      <c r="CO99" s="4159"/>
      <c r="CP99" s="4087"/>
      <c r="CQ99" s="790"/>
      <c r="CR99" s="6873">
        <f t="shared" si="94"/>
        <v>0</v>
      </c>
      <c r="CS99" s="6874">
        <f t="shared" si="95"/>
        <v>-0.64227151000000005</v>
      </c>
      <c r="CT99" s="795"/>
      <c r="CU99" s="6765">
        <f t="shared" si="88"/>
        <v>0</v>
      </c>
      <c r="CV99" s="6739"/>
      <c r="CW99" s="6953"/>
      <c r="CX99" s="6757">
        <f t="shared" si="89"/>
        <v>-1.1995720400000001</v>
      </c>
      <c r="CY99" s="2775"/>
      <c r="CZ99" s="590"/>
      <c r="DA99" s="590"/>
      <c r="DB99" s="590"/>
      <c r="DC99" s="590"/>
      <c r="DD99" s="590"/>
      <c r="DE99" s="590"/>
      <c r="DF99" s="590"/>
      <c r="DG99" s="590"/>
      <c r="DH99" s="590"/>
      <c r="DI99" s="590"/>
      <c r="DJ99" s="590"/>
      <c r="DK99" s="590"/>
      <c r="DL99" s="590"/>
      <c r="DM99" s="590"/>
      <c r="DO99" s="2261"/>
      <c r="DP99" s="2261"/>
      <c r="DS99" s="2261"/>
      <c r="DT99" s="2261"/>
    </row>
    <row r="100" spans="1:124" ht="16.3" hidden="1" customHeight="1" x14ac:dyDescent="0.55000000000000004">
      <c r="A100" s="4151"/>
      <c r="B100" s="4158"/>
      <c r="C100" s="1028" t="s">
        <v>29</v>
      </c>
      <c r="D100" s="1028"/>
      <c r="E100" s="1028"/>
      <c r="F100" s="1028"/>
      <c r="G100" s="1028"/>
      <c r="H100" s="1028"/>
      <c r="I100" s="1028"/>
      <c r="J100" s="1028"/>
      <c r="K100" s="1028"/>
      <c r="L100" s="1028"/>
      <c r="M100" s="1028"/>
      <c r="N100" s="1028"/>
      <c r="O100" s="1028"/>
      <c r="P100" s="1028"/>
      <c r="Q100" s="1028"/>
      <c r="R100" s="1028"/>
      <c r="S100" s="1028"/>
      <c r="T100" s="1028"/>
      <c r="U100" s="1028"/>
      <c r="V100" s="1028"/>
      <c r="W100" s="1028"/>
      <c r="X100" s="1028"/>
      <c r="Y100" s="1028"/>
      <c r="Z100" s="1028"/>
      <c r="AA100" s="1028"/>
      <c r="AB100" s="1028"/>
      <c r="AC100" s="1028"/>
      <c r="AD100" s="1028"/>
      <c r="AE100" s="1028"/>
      <c r="AF100" s="1028"/>
      <c r="AG100" s="1028"/>
      <c r="AH100" s="1028"/>
      <c r="AI100" s="1028"/>
      <c r="AJ100" s="1028"/>
      <c r="AK100" s="1028"/>
      <c r="AL100" s="1028"/>
      <c r="AM100" s="1028"/>
      <c r="AN100" s="1028"/>
      <c r="AO100" s="4142"/>
      <c r="AP100" s="4143"/>
      <c r="AQ100" s="4144">
        <v>7.5021497999999998</v>
      </c>
      <c r="AR100" s="4144">
        <v>7.3366039799999996</v>
      </c>
      <c r="AS100" s="4144">
        <v>7.4152542300000004</v>
      </c>
      <c r="AT100" s="4144">
        <v>7.1958822700000002</v>
      </c>
      <c r="AU100" s="4144">
        <v>7.4571492900000003</v>
      </c>
      <c r="AV100" s="4144">
        <v>9.3941648200000003</v>
      </c>
      <c r="AW100" s="4144">
        <v>7.0949483899999999</v>
      </c>
      <c r="AX100" s="4144">
        <v>7.0707395699999998</v>
      </c>
      <c r="AY100" s="4144">
        <v>6.9120711699999999</v>
      </c>
      <c r="AZ100" s="4144">
        <v>7.3750379199999996</v>
      </c>
      <c r="BA100" s="4144">
        <v>6.7795677999999997</v>
      </c>
      <c r="BB100" s="4144">
        <v>6.91170157</v>
      </c>
      <c r="BC100" s="4145">
        <v>88.445270809999997</v>
      </c>
      <c r="BD100" s="789">
        <v>6.9218045699999999</v>
      </c>
      <c r="BE100" s="3946">
        <v>7.2804630799999996</v>
      </c>
      <c r="BF100" s="3946">
        <v>7.3004001499999998</v>
      </c>
      <c r="BG100" s="789">
        <v>7.33716466</v>
      </c>
      <c r="BH100" s="789">
        <v>7.3664455000000002</v>
      </c>
      <c r="BI100" s="789">
        <v>7.2942487099999997</v>
      </c>
      <c r="BJ100" s="789">
        <v>7.6143912599999997</v>
      </c>
      <c r="BK100" s="789">
        <v>7.3701673300000001</v>
      </c>
      <c r="BL100" s="4159">
        <v>7.6268879199999997</v>
      </c>
      <c r="BM100" s="4159">
        <v>7.8481297999999997</v>
      </c>
      <c r="BN100" s="4159">
        <v>7.6142395199999999</v>
      </c>
      <c r="BO100" s="4159">
        <v>7.9160912699999999</v>
      </c>
      <c r="BP100" s="4160">
        <v>89.490433769999981</v>
      </c>
      <c r="BQ100" s="4146">
        <v>7.9090796699999997</v>
      </c>
      <c r="BR100" s="3954">
        <v>7.9434227599999998</v>
      </c>
      <c r="BS100" s="3954">
        <v>7.3950613799999996</v>
      </c>
      <c r="BT100" s="4146">
        <v>7.6139127899999997</v>
      </c>
      <c r="BU100" s="4146">
        <v>7.5951375199999998</v>
      </c>
      <c r="BV100" s="4146">
        <v>7.7439195200000004</v>
      </c>
      <c r="BW100" s="4146">
        <v>7.4637302400000003</v>
      </c>
      <c r="BX100" s="4146">
        <v>6.6503187099999996</v>
      </c>
      <c r="BY100" s="6656">
        <v>6.9000006899999997</v>
      </c>
      <c r="BZ100" s="6656">
        <v>6.8727279599999997</v>
      </c>
      <c r="CA100" s="6656">
        <v>6.8454552299999998</v>
      </c>
      <c r="CB100" s="6656">
        <v>6.8181824999999998</v>
      </c>
      <c r="CC100" s="6655">
        <v>87.75094897000001</v>
      </c>
      <c r="CD100" s="6553"/>
      <c r="CE100" s="6632"/>
      <c r="CF100" s="3954"/>
      <c r="CG100" s="4146"/>
      <c r="CH100" s="4146"/>
      <c r="CI100" s="4146"/>
      <c r="CJ100" s="789"/>
      <c r="CK100" s="789"/>
      <c r="CL100" s="4159"/>
      <c r="CM100" s="4159"/>
      <c r="CN100" s="4159"/>
      <c r="CO100" s="4159"/>
      <c r="CP100" s="4087"/>
      <c r="CQ100" s="790"/>
      <c r="CR100" s="6873">
        <f t="shared" si="94"/>
        <v>0</v>
      </c>
      <c r="CS100" s="6874">
        <f t="shared" si="95"/>
        <v>-7.9434227599999998</v>
      </c>
      <c r="CT100" s="795"/>
      <c r="CU100" s="6765">
        <f t="shared" si="88"/>
        <v>0</v>
      </c>
      <c r="CV100" s="6739"/>
      <c r="CW100" s="6953"/>
      <c r="CX100" s="6757">
        <f t="shared" si="89"/>
        <v>-15.852502429999999</v>
      </c>
      <c r="CY100" s="2775"/>
      <c r="CZ100" s="590"/>
      <c r="DA100" s="590"/>
      <c r="DB100" s="590"/>
      <c r="DC100" s="590"/>
      <c r="DD100" s="590"/>
      <c r="DE100" s="590"/>
      <c r="DF100" s="590"/>
      <c r="DG100" s="590"/>
      <c r="DH100" s="590"/>
      <c r="DI100" s="590"/>
      <c r="DJ100" s="590"/>
      <c r="DK100" s="590"/>
      <c r="DL100" s="590"/>
      <c r="DM100" s="590"/>
      <c r="DO100" s="2261"/>
      <c r="DP100" s="2261"/>
      <c r="DS100" s="2261"/>
      <c r="DT100" s="2261"/>
    </row>
    <row r="101" spans="1:124" ht="16.3" hidden="1" customHeight="1" x14ac:dyDescent="0.55000000000000004">
      <c r="A101" s="4151"/>
      <c r="B101" s="4158"/>
      <c r="C101" s="1028" t="s">
        <v>590</v>
      </c>
      <c r="D101" s="1028"/>
      <c r="E101" s="1028"/>
      <c r="F101" s="1028"/>
      <c r="G101" s="1028"/>
      <c r="H101" s="1028"/>
      <c r="I101" s="1028"/>
      <c r="J101" s="1028"/>
      <c r="K101" s="1028"/>
      <c r="L101" s="1028"/>
      <c r="M101" s="1028"/>
      <c r="N101" s="1028"/>
      <c r="O101" s="1028"/>
      <c r="P101" s="1028"/>
      <c r="Q101" s="1028"/>
      <c r="R101" s="1028"/>
      <c r="S101" s="1028"/>
      <c r="T101" s="1028"/>
      <c r="U101" s="1028"/>
      <c r="V101" s="1028"/>
      <c r="W101" s="1028"/>
      <c r="X101" s="1028"/>
      <c r="Y101" s="1028"/>
      <c r="Z101" s="1028"/>
      <c r="AA101" s="1028"/>
      <c r="AB101" s="1028"/>
      <c r="AC101" s="1028"/>
      <c r="AD101" s="1028"/>
      <c r="AE101" s="1028"/>
      <c r="AF101" s="1028"/>
      <c r="AG101" s="1028"/>
      <c r="AH101" s="1028"/>
      <c r="AI101" s="1028"/>
      <c r="AJ101" s="1028"/>
      <c r="AK101" s="1028"/>
      <c r="AL101" s="1028"/>
      <c r="AM101" s="1028"/>
      <c r="AN101" s="1028"/>
      <c r="AO101" s="4142"/>
      <c r="AP101" s="4143"/>
      <c r="AQ101" s="4144">
        <v>2.8793038800000001</v>
      </c>
      <c r="AR101" s="4144">
        <v>3.08238637</v>
      </c>
      <c r="AS101" s="4144">
        <v>3.74909486</v>
      </c>
      <c r="AT101" s="4144">
        <v>3.1477544113166602</v>
      </c>
      <c r="AU101" s="4144">
        <v>2.66424818</v>
      </c>
      <c r="AV101" s="4144">
        <v>3.6355322314029301</v>
      </c>
      <c r="AW101" s="4144">
        <v>3.9151135799999999</v>
      </c>
      <c r="AX101" s="4144">
        <v>3.1801276881251579</v>
      </c>
      <c r="AY101" s="4144">
        <v>4.9603277508843302</v>
      </c>
      <c r="AZ101" s="4144">
        <v>3.21558945490328</v>
      </c>
      <c r="BA101" s="4144">
        <v>2.9245455200000001</v>
      </c>
      <c r="BB101" s="4144">
        <v>3.5666209489233487</v>
      </c>
      <c r="BC101" s="4145">
        <v>40.920644875555709</v>
      </c>
      <c r="BD101" s="789">
        <v>3.14841294</v>
      </c>
      <c r="BE101" s="3946">
        <v>2.8491781</v>
      </c>
      <c r="BF101" s="3946">
        <v>2.6859345399999999</v>
      </c>
      <c r="BG101" s="789">
        <v>2.8809009300000001</v>
      </c>
      <c r="BH101" s="789">
        <v>2.8893517800000001</v>
      </c>
      <c r="BI101" s="789">
        <v>3.1073914399999998</v>
      </c>
      <c r="BJ101" s="789">
        <v>2.0942603882110102</v>
      </c>
      <c r="BK101" s="789">
        <v>2.211662343895473</v>
      </c>
      <c r="BL101" s="4159">
        <v>3.0422234883882733</v>
      </c>
      <c r="BM101" s="4159">
        <v>2.5786539938889859</v>
      </c>
      <c r="BN101" s="4159">
        <v>2.5420035619836803</v>
      </c>
      <c r="BO101" s="4159">
        <v>2.7751693441381655</v>
      </c>
      <c r="BP101" s="4160">
        <v>32.805142850505582</v>
      </c>
      <c r="BQ101" s="4146">
        <v>0.39230998</v>
      </c>
      <c r="BR101" s="3954">
        <v>0.24805176000000001</v>
      </c>
      <c r="BS101" s="3954">
        <v>0.19172721000000001</v>
      </c>
      <c r="BT101" s="4146">
        <v>8.352909E-2</v>
      </c>
      <c r="BU101" s="4146">
        <v>0.11618178</v>
      </c>
      <c r="BV101" s="4146">
        <v>8.9174539999999997E-2</v>
      </c>
      <c r="BW101" s="4146">
        <v>0.26054545000000001</v>
      </c>
      <c r="BX101" s="4146">
        <v>0.11764728000000001</v>
      </c>
      <c r="BY101" s="6656">
        <v>0.14736360000000001</v>
      </c>
      <c r="BZ101" s="6656">
        <v>0.21034726000000001</v>
      </c>
      <c r="CA101" s="6656">
        <v>7.2173600000000004E-2</v>
      </c>
      <c r="CB101" s="6656">
        <v>0.25416788000000001</v>
      </c>
      <c r="CC101" s="6655">
        <v>2.1832194299999998</v>
      </c>
      <c r="CD101" s="6553"/>
      <c r="CE101" s="6632"/>
      <c r="CF101" s="3954"/>
      <c r="CG101" s="4146"/>
      <c r="CH101" s="4146"/>
      <c r="CI101" s="4146"/>
      <c r="CJ101" s="789"/>
      <c r="CK101" s="789"/>
      <c r="CL101" s="4159"/>
      <c r="CM101" s="4159"/>
      <c r="CN101" s="4159"/>
      <c r="CO101" s="4159"/>
      <c r="CP101" s="4087"/>
      <c r="CQ101" s="790"/>
      <c r="CR101" s="6873">
        <f t="shared" si="94"/>
        <v>0</v>
      </c>
      <c r="CS101" s="6874">
        <f t="shared" si="95"/>
        <v>-0.24805176000000001</v>
      </c>
      <c r="CT101" s="795"/>
      <c r="CU101" s="6765">
        <f t="shared" si="88"/>
        <v>0</v>
      </c>
      <c r="CV101" s="6739"/>
      <c r="CW101" s="6953"/>
      <c r="CX101" s="6757">
        <f t="shared" si="89"/>
        <v>-0.64036174000000001</v>
      </c>
      <c r="CY101" s="2775"/>
      <c r="CZ101" s="590"/>
      <c r="DA101" s="590"/>
      <c r="DB101" s="590"/>
      <c r="DC101" s="590"/>
      <c r="DD101" s="590"/>
      <c r="DE101" s="590"/>
      <c r="DF101" s="590"/>
      <c r="DG101" s="590"/>
      <c r="DH101" s="590"/>
      <c r="DI101" s="590"/>
      <c r="DJ101" s="590"/>
      <c r="DK101" s="590"/>
      <c r="DL101" s="590"/>
      <c r="DM101" s="590"/>
      <c r="DO101" s="2261"/>
      <c r="DP101" s="2261"/>
      <c r="DS101" s="2261"/>
      <c r="DT101" s="2261"/>
    </row>
    <row r="102" spans="1:124" ht="16.3" hidden="1" customHeight="1" x14ac:dyDescent="0.55000000000000004">
      <c r="A102" s="4151"/>
      <c r="B102" s="4158"/>
      <c r="C102" s="4158" t="s">
        <v>591</v>
      </c>
      <c r="D102" s="4158"/>
      <c r="E102" s="4158"/>
      <c r="F102" s="4158"/>
      <c r="G102" s="4158"/>
      <c r="H102" s="4158"/>
      <c r="I102" s="4158"/>
      <c r="J102" s="4158"/>
      <c r="K102" s="4158"/>
      <c r="L102" s="4158"/>
      <c r="M102" s="4158"/>
      <c r="N102" s="4158"/>
      <c r="O102" s="4158"/>
      <c r="P102" s="4158"/>
      <c r="Q102" s="4158"/>
      <c r="R102" s="4158"/>
      <c r="S102" s="4158"/>
      <c r="T102" s="4158"/>
      <c r="U102" s="4158"/>
      <c r="V102" s="4158"/>
      <c r="W102" s="4158"/>
      <c r="X102" s="4158"/>
      <c r="Y102" s="4158"/>
      <c r="Z102" s="4158"/>
      <c r="AA102" s="4158"/>
      <c r="AB102" s="4158"/>
      <c r="AC102" s="4158"/>
      <c r="AD102" s="4158"/>
      <c r="AE102" s="4158"/>
      <c r="AF102" s="4158"/>
      <c r="AG102" s="4158"/>
      <c r="AH102" s="4158"/>
      <c r="AI102" s="4158"/>
      <c r="AJ102" s="4158"/>
      <c r="AK102" s="4158"/>
      <c r="AL102" s="4158"/>
      <c r="AM102" s="4158"/>
      <c r="AN102" s="4158"/>
      <c r="AO102" s="3876"/>
      <c r="AP102" s="4161"/>
      <c r="AQ102" s="4162">
        <v>45.367282175271356</v>
      </c>
      <c r="AR102" s="4162">
        <v>48.646392458815711</v>
      </c>
      <c r="AS102" s="4162">
        <v>47.250808809268364</v>
      </c>
      <c r="AT102" s="4162">
        <v>49.568948302497674</v>
      </c>
      <c r="AU102" s="4162">
        <v>50.781605112241614</v>
      </c>
      <c r="AV102" s="4162">
        <v>49.668277692395122</v>
      </c>
      <c r="AW102" s="4162">
        <v>49.30354994399999</v>
      </c>
      <c r="AX102" s="4162">
        <v>46.271064015912948</v>
      </c>
      <c r="AY102" s="4162">
        <v>44.426657065066145</v>
      </c>
      <c r="AZ102" s="4162">
        <v>46.485940417751728</v>
      </c>
      <c r="BA102" s="4162">
        <v>44.81704594483837</v>
      </c>
      <c r="BB102" s="4162">
        <v>46.16543656225668</v>
      </c>
      <c r="BC102" s="4163">
        <v>568.75300850031567</v>
      </c>
      <c r="BD102" s="800">
        <f t="shared" ref="BD102:BN102" si="120">BD103+BD104+BD105+BD106</f>
        <v>43.443414020786861</v>
      </c>
      <c r="BE102" s="800">
        <f t="shared" si="120"/>
        <v>45.26795841338938</v>
      </c>
      <c r="BF102" s="800">
        <f t="shared" si="120"/>
        <v>39.463900618487116</v>
      </c>
      <c r="BG102" s="800">
        <f t="shared" si="120"/>
        <v>41.738606212736066</v>
      </c>
      <c r="BH102" s="800">
        <f t="shared" si="120"/>
        <v>39.475785880444803</v>
      </c>
      <c r="BI102" s="800">
        <f t="shared" si="120"/>
        <v>43.023374422206295</v>
      </c>
      <c r="BJ102" s="800">
        <f t="shared" si="120"/>
        <v>29.271513531114483</v>
      </c>
      <c r="BK102" s="800">
        <f t="shared" si="120"/>
        <v>38.321217430417313</v>
      </c>
      <c r="BL102" s="800">
        <f t="shared" si="120"/>
        <v>42.709690663205173</v>
      </c>
      <c r="BM102" s="800">
        <f t="shared" si="120"/>
        <v>48.871141284900453</v>
      </c>
      <c r="BN102" s="800">
        <f t="shared" si="120"/>
        <v>45.219728617114932</v>
      </c>
      <c r="BO102" s="4164">
        <v>50.627250301319961</v>
      </c>
      <c r="BP102" s="4165">
        <v>507.4335813961228</v>
      </c>
      <c r="BQ102" s="3882">
        <f t="shared" ref="BQ102:CB102" si="121">BQ103+BQ104+BQ105+BQ106</f>
        <v>50.055116230440433</v>
      </c>
      <c r="BR102" s="3882">
        <f t="shared" si="121"/>
        <v>38.973362210300508</v>
      </c>
      <c r="BS102" s="3882">
        <f t="shared" si="121"/>
        <v>44.914059449942123</v>
      </c>
      <c r="BT102" s="3882">
        <f t="shared" si="121"/>
        <v>43.560297647260796</v>
      </c>
      <c r="BU102" s="3882">
        <f t="shared" si="121"/>
        <v>33.407588043482541</v>
      </c>
      <c r="BV102" s="3882">
        <f t="shared" si="121"/>
        <v>33.467369387272733</v>
      </c>
      <c r="BW102" s="3882">
        <f t="shared" si="121"/>
        <v>15.090936886175264</v>
      </c>
      <c r="BX102" s="3882">
        <f t="shared" si="121"/>
        <v>39.894114396440955</v>
      </c>
      <c r="BY102" s="3882">
        <f t="shared" si="121"/>
        <v>41.276433313216565</v>
      </c>
      <c r="BZ102" s="3882">
        <f t="shared" si="121"/>
        <v>54.339980460818019</v>
      </c>
      <c r="CA102" s="3882">
        <f t="shared" si="121"/>
        <v>45.108853670673213</v>
      </c>
      <c r="CB102" s="3882">
        <f t="shared" si="121"/>
        <v>54.983698243584868</v>
      </c>
      <c r="CC102" s="6657">
        <v>495.07180993960804</v>
      </c>
      <c r="CD102" s="6526"/>
      <c r="CE102" s="6526"/>
      <c r="CF102" s="3882"/>
      <c r="CG102" s="3882"/>
      <c r="CH102" s="3882"/>
      <c r="CI102" s="3882"/>
      <c r="CJ102" s="3882"/>
      <c r="CK102" s="3882"/>
      <c r="CL102" s="3882"/>
      <c r="CM102" s="3882"/>
      <c r="CN102" s="3882"/>
      <c r="CO102" s="3882"/>
      <c r="CP102" s="4087"/>
      <c r="CQ102" s="790"/>
      <c r="CR102" s="6869">
        <f t="shared" si="94"/>
        <v>0</v>
      </c>
      <c r="CS102" s="6896">
        <f t="shared" si="95"/>
        <v>-38.973362210300508</v>
      </c>
      <c r="CT102" s="808"/>
      <c r="CU102" s="6924">
        <f t="shared" si="88"/>
        <v>0</v>
      </c>
      <c r="CV102" s="6739"/>
      <c r="CW102" s="6953"/>
      <c r="CX102" s="6760">
        <f t="shared" si="89"/>
        <v>-89.02847844074094</v>
      </c>
      <c r="CY102" s="2775"/>
      <c r="CZ102" s="590"/>
      <c r="DA102" s="590"/>
      <c r="DB102" s="590"/>
      <c r="DC102" s="590"/>
      <c r="DD102" s="590"/>
      <c r="DE102" s="590"/>
      <c r="DF102" s="590"/>
      <c r="DG102" s="590"/>
      <c r="DH102" s="590"/>
      <c r="DI102" s="590"/>
      <c r="DJ102" s="590"/>
      <c r="DK102" s="590"/>
      <c r="DL102" s="590"/>
      <c r="DM102" s="590"/>
      <c r="DO102" s="2261"/>
      <c r="DP102" s="2261"/>
      <c r="DS102" s="2261"/>
      <c r="DT102" s="2261"/>
    </row>
    <row r="103" spans="1:124" ht="16.3" hidden="1" customHeight="1" x14ac:dyDescent="0.55000000000000004">
      <c r="A103" s="4151"/>
      <c r="B103" s="4158"/>
      <c r="C103" s="4158" t="s">
        <v>30</v>
      </c>
      <c r="D103" s="4158"/>
      <c r="E103" s="4158"/>
      <c r="F103" s="4158"/>
      <c r="G103" s="4158"/>
      <c r="H103" s="4158"/>
      <c r="I103" s="4158"/>
      <c r="J103" s="4158"/>
      <c r="K103" s="4158"/>
      <c r="L103" s="4158"/>
      <c r="M103" s="4158"/>
      <c r="N103" s="4158"/>
      <c r="O103" s="4158"/>
      <c r="P103" s="4158"/>
      <c r="Q103" s="4158"/>
      <c r="R103" s="4158"/>
      <c r="S103" s="4158"/>
      <c r="T103" s="4158"/>
      <c r="U103" s="4158"/>
      <c r="V103" s="4158"/>
      <c r="W103" s="4158"/>
      <c r="X103" s="4158"/>
      <c r="Y103" s="4158"/>
      <c r="Z103" s="4158"/>
      <c r="AA103" s="4158"/>
      <c r="AB103" s="4158"/>
      <c r="AC103" s="4158"/>
      <c r="AD103" s="4158"/>
      <c r="AE103" s="4158"/>
      <c r="AF103" s="4158"/>
      <c r="AG103" s="4158"/>
      <c r="AH103" s="4158"/>
      <c r="AI103" s="4158"/>
      <c r="AJ103" s="4158"/>
      <c r="AK103" s="4158"/>
      <c r="AL103" s="4158"/>
      <c r="AM103" s="4158"/>
      <c r="AN103" s="4158"/>
      <c r="AO103" s="3876"/>
      <c r="AP103" s="4161"/>
      <c r="AQ103" s="4162">
        <v>40.90277433</v>
      </c>
      <c r="AR103" s="4162">
        <v>41.660144199999998</v>
      </c>
      <c r="AS103" s="4162">
        <v>40.146139106666702</v>
      </c>
      <c r="AT103" s="4162">
        <v>42.939247389999998</v>
      </c>
      <c r="AU103" s="4162">
        <v>44.197656279999997</v>
      </c>
      <c r="AV103" s="4162">
        <v>42.379145549999997</v>
      </c>
      <c r="AW103" s="4162">
        <v>43.500848076666699</v>
      </c>
      <c r="AX103" s="4162">
        <v>42.659244976666699</v>
      </c>
      <c r="AY103" s="4162">
        <v>43.134280603333302</v>
      </c>
      <c r="AZ103" s="4162">
        <v>41.635822656666697</v>
      </c>
      <c r="BA103" s="4162">
        <v>61.863621076666696</v>
      </c>
      <c r="BB103" s="4162">
        <v>44.432454989999997</v>
      </c>
      <c r="BC103" s="4163">
        <v>529.45137923666675</v>
      </c>
      <c r="BD103" s="800">
        <v>41.940790309999997</v>
      </c>
      <c r="BE103" s="4166">
        <v>40.441489330000003</v>
      </c>
      <c r="BF103" s="4166">
        <v>38.873767886666663</v>
      </c>
      <c r="BG103" s="800">
        <v>40.651443463333344</v>
      </c>
      <c r="BH103" s="800">
        <v>39.073042140000005</v>
      </c>
      <c r="BI103" s="800">
        <v>43.456573456666682</v>
      </c>
      <c r="BJ103" s="800">
        <v>40.205175166666677</v>
      </c>
      <c r="BK103" s="800">
        <v>41.20553536666668</v>
      </c>
      <c r="BL103" s="4164">
        <v>50.728534186666671</v>
      </c>
      <c r="BM103" s="4164">
        <v>47.52978650333332</v>
      </c>
      <c r="BN103" s="4164">
        <v>42.470107859999999</v>
      </c>
      <c r="BO103" s="4164">
        <v>47.102941123333324</v>
      </c>
      <c r="BP103" s="4165">
        <v>513.67918679333332</v>
      </c>
      <c r="BQ103" s="3882">
        <v>43.986869439999978</v>
      </c>
      <c r="BR103" s="4167">
        <v>43.587940456666658</v>
      </c>
      <c r="BS103" s="4167">
        <v>42.935027156666649</v>
      </c>
      <c r="BT103" s="3882">
        <v>44.005239683333357</v>
      </c>
      <c r="BU103" s="3882">
        <v>43.650695603333361</v>
      </c>
      <c r="BV103" s="3882">
        <v>48.368716080000048</v>
      </c>
      <c r="BW103" s="3882">
        <v>42.370361273333337</v>
      </c>
      <c r="BX103" s="3882">
        <v>42.671989583333342</v>
      </c>
      <c r="BY103" s="6658">
        <v>59.435805403333362</v>
      </c>
      <c r="BZ103" s="6658">
        <v>50.189926976666648</v>
      </c>
      <c r="CA103" s="6658">
        <v>42.794669536666675</v>
      </c>
      <c r="CB103" s="6658">
        <v>47.062152726666639</v>
      </c>
      <c r="CC103" s="6657">
        <v>551.05939392000005</v>
      </c>
      <c r="CD103" s="6526"/>
      <c r="CE103" s="6637"/>
      <c r="CF103" s="4167"/>
      <c r="CG103" s="3882"/>
      <c r="CH103" s="3882"/>
      <c r="CI103" s="3882"/>
      <c r="CJ103" s="800"/>
      <c r="CK103" s="800"/>
      <c r="CL103" s="4164"/>
      <c r="CM103" s="4164"/>
      <c r="CN103" s="4164"/>
      <c r="CO103" s="4164"/>
      <c r="CP103" s="4087"/>
      <c r="CQ103" s="790"/>
      <c r="CR103" s="6869">
        <f t="shared" si="94"/>
        <v>0</v>
      </c>
      <c r="CS103" s="6896">
        <f t="shared" si="95"/>
        <v>-43.587940456666658</v>
      </c>
      <c r="CT103" s="808"/>
      <c r="CU103" s="6924">
        <f t="shared" si="88"/>
        <v>0</v>
      </c>
      <c r="CV103" s="6739"/>
      <c r="CW103" s="6953"/>
      <c r="CX103" s="6760">
        <f t="shared" si="89"/>
        <v>-87.574809896666636</v>
      </c>
      <c r="CY103" s="2775"/>
      <c r="CZ103" s="590"/>
      <c r="DA103" s="590"/>
      <c r="DB103" s="590"/>
      <c r="DC103" s="590"/>
      <c r="DD103" s="590"/>
      <c r="DE103" s="590"/>
      <c r="DF103" s="590"/>
      <c r="DG103" s="590"/>
      <c r="DH103" s="590"/>
      <c r="DI103" s="590"/>
      <c r="DJ103" s="590"/>
      <c r="DK103" s="590"/>
      <c r="DL103" s="590"/>
      <c r="DM103" s="590"/>
      <c r="DO103" s="2261"/>
      <c r="DP103" s="2261"/>
      <c r="DS103" s="2261"/>
      <c r="DT103" s="2261"/>
    </row>
    <row r="104" spans="1:124" ht="16.3" hidden="1" customHeight="1" x14ac:dyDescent="0.55000000000000004">
      <c r="A104" s="4151"/>
      <c r="B104" s="4158"/>
      <c r="C104" s="4158" t="s">
        <v>31</v>
      </c>
      <c r="D104" s="4158"/>
      <c r="E104" s="4158"/>
      <c r="F104" s="4158"/>
      <c r="G104" s="4158"/>
      <c r="H104" s="4158"/>
      <c r="I104" s="4158"/>
      <c r="J104" s="4158"/>
      <c r="K104" s="4158"/>
      <c r="L104" s="4158"/>
      <c r="M104" s="4158"/>
      <c r="N104" s="4158"/>
      <c r="O104" s="4158"/>
      <c r="P104" s="4158"/>
      <c r="Q104" s="4158"/>
      <c r="R104" s="4158"/>
      <c r="S104" s="4158"/>
      <c r="T104" s="4158"/>
      <c r="U104" s="4158"/>
      <c r="V104" s="4158"/>
      <c r="W104" s="4158"/>
      <c r="X104" s="4158"/>
      <c r="Y104" s="4158"/>
      <c r="Z104" s="4158"/>
      <c r="AA104" s="4158"/>
      <c r="AB104" s="4158"/>
      <c r="AC104" s="4158"/>
      <c r="AD104" s="4158"/>
      <c r="AE104" s="4158"/>
      <c r="AF104" s="4158"/>
      <c r="AG104" s="4158"/>
      <c r="AH104" s="4158"/>
      <c r="AI104" s="4158"/>
      <c r="AJ104" s="4158"/>
      <c r="AK104" s="4158"/>
      <c r="AL104" s="4158"/>
      <c r="AM104" s="4158"/>
      <c r="AN104" s="4158"/>
      <c r="AO104" s="3876"/>
      <c r="AP104" s="4161"/>
      <c r="AQ104" s="4162">
        <v>2.84023695</v>
      </c>
      <c r="AR104" s="4162">
        <v>2.92613302</v>
      </c>
      <c r="AS104" s="4162">
        <v>2.5941632700000001</v>
      </c>
      <c r="AT104" s="4162">
        <v>2.2921203700000001</v>
      </c>
      <c r="AU104" s="4162">
        <v>2.2610754599999998</v>
      </c>
      <c r="AV104" s="4162">
        <v>2.3711812399999999</v>
      </c>
      <c r="AW104" s="4162">
        <v>2.66894878</v>
      </c>
      <c r="AX104" s="4162">
        <v>2.90023973</v>
      </c>
      <c r="AY104" s="4162">
        <v>2.7894874600000001</v>
      </c>
      <c r="AZ104" s="4162">
        <v>2.4253176000000001</v>
      </c>
      <c r="BA104" s="4162">
        <v>2.1813859600000001</v>
      </c>
      <c r="BB104" s="4162">
        <v>2.48879888</v>
      </c>
      <c r="BC104" s="4163">
        <v>30.739088719999998</v>
      </c>
      <c r="BD104" s="800">
        <v>2.7936989200000002</v>
      </c>
      <c r="BE104" s="4166">
        <v>2.8582768399999998</v>
      </c>
      <c r="BF104" s="4166">
        <v>2.5635109599999999</v>
      </c>
      <c r="BG104" s="800">
        <v>2.2694242600000001</v>
      </c>
      <c r="BH104" s="800">
        <v>2.26604319</v>
      </c>
      <c r="BI104" s="800">
        <v>2.3186557200000002</v>
      </c>
      <c r="BJ104" s="800">
        <v>2.5954712400000002</v>
      </c>
      <c r="BK104" s="800">
        <v>2.8745522000000001</v>
      </c>
      <c r="BL104" s="4164">
        <v>2.8578457199999998</v>
      </c>
      <c r="BM104" s="4164">
        <v>2.4588678100000001</v>
      </c>
      <c r="BN104" s="4164">
        <v>2.1793681199999999</v>
      </c>
      <c r="BO104" s="4164">
        <v>2.3204036399999999</v>
      </c>
      <c r="BP104" s="4165">
        <v>30.356118619999997</v>
      </c>
      <c r="BQ104" s="3882">
        <v>2.6864808</v>
      </c>
      <c r="BR104" s="4167">
        <v>2.6961176500000001</v>
      </c>
      <c r="BS104" s="4167">
        <v>2.5900170899999999</v>
      </c>
      <c r="BT104" s="3882">
        <v>2.13141092</v>
      </c>
      <c r="BU104" s="3882">
        <v>1.9397916799999999</v>
      </c>
      <c r="BV104" s="3882">
        <v>2.0043192599999999</v>
      </c>
      <c r="BW104" s="3882">
        <v>2.2316486900000001</v>
      </c>
      <c r="BX104" s="3882">
        <v>2.5466134199999999</v>
      </c>
      <c r="BY104" s="6658">
        <v>2.8245133099999999</v>
      </c>
      <c r="BZ104" s="6658">
        <v>2.2491661999999999</v>
      </c>
      <c r="CA104" s="6658">
        <v>3.0637715700000001</v>
      </c>
      <c r="CB104" s="6658">
        <v>2.97196229</v>
      </c>
      <c r="CC104" s="6657">
        <v>29.93581288</v>
      </c>
      <c r="CD104" s="6526"/>
      <c r="CE104" s="6637"/>
      <c r="CF104" s="4167"/>
      <c r="CG104" s="3882"/>
      <c r="CH104" s="3882"/>
      <c r="CI104" s="3882"/>
      <c r="CJ104" s="800"/>
      <c r="CK104" s="800"/>
      <c r="CL104" s="4164"/>
      <c r="CM104" s="4164"/>
      <c r="CN104" s="4164"/>
      <c r="CO104" s="4164"/>
      <c r="CP104" s="4087"/>
      <c r="CQ104" s="790"/>
      <c r="CR104" s="6869">
        <f t="shared" si="94"/>
        <v>0</v>
      </c>
      <c r="CS104" s="6896">
        <f t="shared" si="95"/>
        <v>-2.6961176500000001</v>
      </c>
      <c r="CT104" s="808"/>
      <c r="CU104" s="6924">
        <f t="shared" si="88"/>
        <v>0</v>
      </c>
      <c r="CV104" s="6739"/>
      <c r="CW104" s="6953"/>
      <c r="CX104" s="6760">
        <f t="shared" si="89"/>
        <v>-5.3825984499999997</v>
      </c>
      <c r="CY104" s="2775"/>
      <c r="CZ104" s="590"/>
      <c r="DA104" s="590"/>
      <c r="DB104" s="590"/>
      <c r="DC104" s="590"/>
      <c r="DD104" s="590"/>
      <c r="DE104" s="590"/>
      <c r="DF104" s="590"/>
      <c r="DG104" s="590"/>
      <c r="DH104" s="590"/>
      <c r="DI104" s="590"/>
      <c r="DJ104" s="590"/>
      <c r="DK104" s="590"/>
      <c r="DL104" s="590"/>
      <c r="DM104" s="590"/>
      <c r="DO104" s="2261"/>
      <c r="DP104" s="2261"/>
      <c r="DS104" s="2261"/>
      <c r="DT104" s="2261"/>
    </row>
    <row r="105" spans="1:124" ht="16.3" hidden="1" customHeight="1" x14ac:dyDescent="0.55000000000000004">
      <c r="A105" s="4151"/>
      <c r="B105" s="4158"/>
      <c r="C105" s="4158" t="s">
        <v>32</v>
      </c>
      <c r="D105" s="4158"/>
      <c r="E105" s="4158"/>
      <c r="F105" s="4158"/>
      <c r="G105" s="4158"/>
      <c r="H105" s="4158"/>
      <c r="I105" s="4158"/>
      <c r="J105" s="4158"/>
      <c r="K105" s="4158"/>
      <c r="L105" s="4158"/>
      <c r="M105" s="4158"/>
      <c r="N105" s="4158"/>
      <c r="O105" s="4158"/>
      <c r="P105" s="4158"/>
      <c r="Q105" s="4158"/>
      <c r="R105" s="4158"/>
      <c r="S105" s="4158"/>
      <c r="T105" s="4158"/>
      <c r="U105" s="4158"/>
      <c r="V105" s="4158"/>
      <c r="W105" s="4158"/>
      <c r="X105" s="4158"/>
      <c r="Y105" s="4158"/>
      <c r="Z105" s="4158"/>
      <c r="AA105" s="4158"/>
      <c r="AB105" s="4158"/>
      <c r="AC105" s="4158"/>
      <c r="AD105" s="4158"/>
      <c r="AE105" s="4158"/>
      <c r="AF105" s="4158"/>
      <c r="AG105" s="4158"/>
      <c r="AH105" s="4158"/>
      <c r="AI105" s="4158"/>
      <c r="AJ105" s="4158"/>
      <c r="AK105" s="4158"/>
      <c r="AL105" s="4158"/>
      <c r="AM105" s="4158"/>
      <c r="AN105" s="4158"/>
      <c r="AO105" s="3876"/>
      <c r="AP105" s="4161"/>
      <c r="AQ105" s="4162">
        <v>3.1880798399999999</v>
      </c>
      <c r="AR105" s="4162">
        <v>3.2910233500000001</v>
      </c>
      <c r="AS105" s="4162">
        <v>2.9027448599999999</v>
      </c>
      <c r="AT105" s="4162">
        <v>2.8615935600000002</v>
      </c>
      <c r="AU105" s="4162">
        <v>2.5580032099999999</v>
      </c>
      <c r="AV105" s="4162">
        <v>2.5192790500000002</v>
      </c>
      <c r="AW105" s="4162">
        <v>2.6151879</v>
      </c>
      <c r="AX105" s="4162">
        <v>3.1831596700000002</v>
      </c>
      <c r="AY105" s="4162">
        <v>2.24441186</v>
      </c>
      <c r="AZ105" s="4162">
        <v>3.1891188399999999</v>
      </c>
      <c r="BA105" s="4162">
        <v>2.8159511099999999</v>
      </c>
      <c r="BB105" s="4162">
        <v>2.87401427</v>
      </c>
      <c r="BC105" s="4163">
        <v>34.242567519999994</v>
      </c>
      <c r="BD105" s="800">
        <v>3.11475663</v>
      </c>
      <c r="BE105" s="4166">
        <v>2.4442357299999999</v>
      </c>
      <c r="BF105" s="4166">
        <v>2.6340841300000002</v>
      </c>
      <c r="BG105" s="800">
        <v>2.6090778800000001</v>
      </c>
      <c r="BH105" s="800">
        <v>2.5996507800000002</v>
      </c>
      <c r="BI105" s="800">
        <v>2.3270816000000001</v>
      </c>
      <c r="BJ105" s="800">
        <v>2.1575973799999999</v>
      </c>
      <c r="BK105" s="800">
        <v>2.3483925000000001</v>
      </c>
      <c r="BL105" s="4164">
        <v>2.9009824900000001</v>
      </c>
      <c r="BM105" s="4164">
        <v>3.3161719399999998</v>
      </c>
      <c r="BN105" s="4164">
        <v>2.7508602099999999</v>
      </c>
      <c r="BO105" s="4164">
        <v>2.36111899</v>
      </c>
      <c r="BP105" s="4165">
        <v>31.56401026</v>
      </c>
      <c r="BQ105" s="3882">
        <v>2.11753846</v>
      </c>
      <c r="BR105" s="4167">
        <v>2.2002702699999999</v>
      </c>
      <c r="BS105" s="4167">
        <v>2.7338018599999998</v>
      </c>
      <c r="BT105" s="3882">
        <v>2.8130379300000001</v>
      </c>
      <c r="BU105" s="3882">
        <v>2.3462351300000002</v>
      </c>
      <c r="BV105" s="3882">
        <v>3.1699714399999999</v>
      </c>
      <c r="BW105" s="3882">
        <v>2.6199753600000002</v>
      </c>
      <c r="BX105" s="3882">
        <v>2.46264504</v>
      </c>
      <c r="BY105" s="6658">
        <v>3.8521421199999999</v>
      </c>
      <c r="BZ105" s="6658">
        <v>2.9170932299999999</v>
      </c>
      <c r="CA105" s="6658">
        <v>3.0184463699999999</v>
      </c>
      <c r="CB105" s="6658">
        <v>4.2301555899999999</v>
      </c>
      <c r="CC105" s="6657">
        <v>34.481312799999998</v>
      </c>
      <c r="CD105" s="6526"/>
      <c r="CE105" s="6637"/>
      <c r="CF105" s="4167"/>
      <c r="CG105" s="3882"/>
      <c r="CH105" s="3882"/>
      <c r="CI105" s="3882"/>
      <c r="CJ105" s="800"/>
      <c r="CK105" s="800"/>
      <c r="CL105" s="4164"/>
      <c r="CM105" s="4164"/>
      <c r="CN105" s="4164"/>
      <c r="CO105" s="4164"/>
      <c r="CP105" s="4087"/>
      <c r="CQ105" s="790"/>
      <c r="CR105" s="6869">
        <f t="shared" si="94"/>
        <v>0</v>
      </c>
      <c r="CS105" s="6896">
        <f t="shared" si="95"/>
        <v>-2.2002702699999999</v>
      </c>
      <c r="CT105" s="808"/>
      <c r="CU105" s="6924">
        <f t="shared" si="88"/>
        <v>0</v>
      </c>
      <c r="CV105" s="6739"/>
      <c r="CW105" s="6953"/>
      <c r="CX105" s="6760">
        <f t="shared" si="89"/>
        <v>-4.3178087299999994</v>
      </c>
      <c r="CY105" s="2775"/>
      <c r="CZ105" s="590"/>
      <c r="DA105" s="590"/>
      <c r="DB105" s="590"/>
      <c r="DC105" s="590"/>
      <c r="DD105" s="590"/>
      <c r="DE105" s="590"/>
      <c r="DF105" s="590"/>
      <c r="DG105" s="590"/>
      <c r="DH105" s="590"/>
      <c r="DI105" s="590"/>
      <c r="DJ105" s="590"/>
      <c r="DK105" s="590"/>
      <c r="DL105" s="590"/>
      <c r="DM105" s="590"/>
      <c r="DO105" s="2261"/>
      <c r="DP105" s="2261"/>
      <c r="DS105" s="2261"/>
      <c r="DT105" s="2261"/>
    </row>
    <row r="106" spans="1:124" ht="16.3" hidden="1" customHeight="1" x14ac:dyDescent="0.55000000000000004">
      <c r="A106" s="4151"/>
      <c r="B106" s="809"/>
      <c r="C106" s="809" t="s">
        <v>592</v>
      </c>
      <c r="D106" s="809"/>
      <c r="E106" s="4168" t="s">
        <v>593</v>
      </c>
      <c r="F106" s="4168"/>
      <c r="G106" s="4168"/>
      <c r="H106" s="4168"/>
      <c r="I106" s="4168"/>
      <c r="J106" s="4168"/>
      <c r="K106" s="4168"/>
      <c r="L106" s="4168"/>
      <c r="M106" s="4168"/>
      <c r="N106" s="4168"/>
      <c r="O106" s="4168"/>
      <c r="P106" s="4168"/>
      <c r="Q106" s="4168"/>
      <c r="R106" s="4168"/>
      <c r="S106" s="4168"/>
      <c r="T106" s="4168"/>
      <c r="U106" s="4168"/>
      <c r="V106" s="4168"/>
      <c r="W106" s="4168"/>
      <c r="X106" s="4168"/>
      <c r="Y106" s="4168"/>
      <c r="Z106" s="4168"/>
      <c r="AA106" s="4168"/>
      <c r="AB106" s="4168"/>
      <c r="AC106" s="4168"/>
      <c r="AD106" s="4168"/>
      <c r="AE106" s="4168"/>
      <c r="AF106" s="4168"/>
      <c r="AG106" s="4168"/>
      <c r="AH106" s="4168"/>
      <c r="AI106" s="4168"/>
      <c r="AJ106" s="4168"/>
      <c r="AK106" s="4168"/>
      <c r="AL106" s="4168"/>
      <c r="AM106" s="4168"/>
      <c r="AN106" s="4168"/>
      <c r="AO106" s="4169"/>
      <c r="AP106" s="4170"/>
      <c r="AQ106" s="4171">
        <v>-1.5638089447286418</v>
      </c>
      <c r="AR106" s="4171">
        <v>0.76909188881570856</v>
      </c>
      <c r="AS106" s="4171">
        <v>1.6077615726016603</v>
      </c>
      <c r="AT106" s="4171">
        <v>1.4759869824976732</v>
      </c>
      <c r="AU106" s="4171">
        <v>1.7648701622416141</v>
      </c>
      <c r="AV106" s="4171">
        <v>2.3986718523951254</v>
      </c>
      <c r="AW106" s="4171">
        <v>0.51856518733328727</v>
      </c>
      <c r="AX106" s="4171">
        <v>-2.4715803607537552</v>
      </c>
      <c r="AY106" s="4171">
        <v>-3.7415228582671531</v>
      </c>
      <c r="AZ106" s="4171">
        <v>-0.76431867891496807</v>
      </c>
      <c r="BA106" s="4171">
        <v>-22.043912201828334</v>
      </c>
      <c r="BB106" s="4171">
        <v>-3.6298315777433103</v>
      </c>
      <c r="BC106" s="4172">
        <v>-25.680026976351094</v>
      </c>
      <c r="BD106" s="810">
        <v>-4.4058318392131355</v>
      </c>
      <c r="BE106" s="810">
        <v>-0.47604348661062801</v>
      </c>
      <c r="BF106" s="810">
        <v>-4.6074623581795464</v>
      </c>
      <c r="BG106" s="810">
        <v>-3.7913393905972796</v>
      </c>
      <c r="BH106" s="810">
        <v>-4.4629502295551973</v>
      </c>
      <c r="BI106" s="810">
        <v>-5.0789363544603887</v>
      </c>
      <c r="BJ106" s="810">
        <v>-15.686730255552195</v>
      </c>
      <c r="BK106" s="810">
        <v>-8.1072626362493665</v>
      </c>
      <c r="BL106" s="4164">
        <v>-13.777671733461496</v>
      </c>
      <c r="BM106" s="4164">
        <v>-4.4336849684328641</v>
      </c>
      <c r="BN106" s="4164">
        <v>-2.1806075728850658</v>
      </c>
      <c r="BO106" s="4164">
        <v>-1.1572134520133659</v>
      </c>
      <c r="BP106" s="4165">
        <v>-68.165734277210532</v>
      </c>
      <c r="BQ106" s="4173">
        <v>1.2642275304404578</v>
      </c>
      <c r="BR106" s="4173">
        <v>-9.5109661663661456</v>
      </c>
      <c r="BS106" s="4173">
        <v>-3.3447866567245299</v>
      </c>
      <c r="BT106" s="4173">
        <v>-5.3893908860725617</v>
      </c>
      <c r="BU106" s="4173">
        <v>-14.529134369850816</v>
      </c>
      <c r="BV106" s="4173">
        <v>-20.075637392727316</v>
      </c>
      <c r="BW106" s="4173">
        <v>-32.131048437158071</v>
      </c>
      <c r="BX106" s="4173">
        <v>-7.7871336468923857</v>
      </c>
      <c r="BY106" s="6658">
        <v>-24.836027520116794</v>
      </c>
      <c r="BZ106" s="6658">
        <v>-1.0162059458486254</v>
      </c>
      <c r="CA106" s="6658">
        <v>-3.7680338059934613</v>
      </c>
      <c r="CB106" s="6658">
        <v>0.7194276369182262</v>
      </c>
      <c r="CC106" s="6657">
        <v>-120.40470966039203</v>
      </c>
      <c r="CD106" s="6701"/>
      <c r="CE106" s="6701"/>
      <c r="CF106" s="4173"/>
      <c r="CG106" s="4173"/>
      <c r="CH106" s="4173"/>
      <c r="CI106" s="4173"/>
      <c r="CJ106" s="810"/>
      <c r="CK106" s="810"/>
      <c r="CL106" s="4164"/>
      <c r="CM106" s="4164"/>
      <c r="CN106" s="4164"/>
      <c r="CO106" s="4164"/>
      <c r="CP106" s="4087"/>
      <c r="CQ106" s="790"/>
      <c r="CR106" s="6897">
        <f t="shared" si="94"/>
        <v>0</v>
      </c>
      <c r="CS106" s="6898">
        <f t="shared" si="95"/>
        <v>9.5109661663661456</v>
      </c>
      <c r="CT106" s="811"/>
      <c r="CU106" s="6964">
        <f t="shared" si="88"/>
        <v>0</v>
      </c>
      <c r="CV106" s="6739"/>
      <c r="CW106" s="6953"/>
      <c r="CX106" s="6965">
        <f t="shared" si="89"/>
        <v>8.2467386359256878</v>
      </c>
      <c r="CY106" s="2775"/>
      <c r="CZ106" s="590"/>
      <c r="DA106" s="590"/>
      <c r="DB106" s="590"/>
      <c r="DC106" s="590"/>
      <c r="DD106" s="590"/>
      <c r="DE106" s="590"/>
      <c r="DF106" s="590"/>
      <c r="DG106" s="590"/>
      <c r="DH106" s="590"/>
      <c r="DI106" s="590"/>
      <c r="DJ106" s="590"/>
      <c r="DK106" s="590"/>
      <c r="DL106" s="590"/>
      <c r="DM106" s="590"/>
      <c r="DO106" s="2261"/>
      <c r="DP106" s="2261"/>
      <c r="DS106" s="2261"/>
      <c r="DT106" s="2261"/>
    </row>
    <row r="107" spans="1:124" ht="16.3" hidden="1" customHeight="1" x14ac:dyDescent="0.55000000000000004">
      <c r="A107" s="4151"/>
      <c r="B107" s="4174" t="s">
        <v>17</v>
      </c>
      <c r="C107" s="4175"/>
      <c r="D107" s="4175"/>
      <c r="E107" s="4175"/>
      <c r="F107" s="4175"/>
      <c r="G107" s="4175"/>
      <c r="H107" s="4175"/>
      <c r="I107" s="4175"/>
      <c r="J107" s="4175"/>
      <c r="K107" s="4175"/>
      <c r="L107" s="4175"/>
      <c r="M107" s="4175"/>
      <c r="N107" s="4175"/>
      <c r="O107" s="4175"/>
      <c r="P107" s="4175"/>
      <c r="Q107" s="4175"/>
      <c r="R107" s="4175"/>
      <c r="S107" s="4175"/>
      <c r="T107" s="4175"/>
      <c r="U107" s="4175"/>
      <c r="V107" s="4175"/>
      <c r="W107" s="4175"/>
      <c r="X107" s="4175"/>
      <c r="Y107" s="4175"/>
      <c r="Z107" s="4175"/>
      <c r="AA107" s="4175"/>
      <c r="AB107" s="4175"/>
      <c r="AC107" s="4175"/>
      <c r="AD107" s="4175"/>
      <c r="AE107" s="4175"/>
      <c r="AF107" s="4175"/>
      <c r="AG107" s="4175"/>
      <c r="AH107" s="4175"/>
      <c r="AI107" s="4175"/>
      <c r="AJ107" s="4175"/>
      <c r="AK107" s="4175"/>
      <c r="AL107" s="4175"/>
      <c r="AM107" s="4175"/>
      <c r="AN107" s="4175"/>
      <c r="AO107" s="4176"/>
      <c r="AP107" s="4177"/>
      <c r="AQ107" s="4178">
        <v>-2.4865971917097873</v>
      </c>
      <c r="AR107" s="4178">
        <v>16.863873545639645</v>
      </c>
      <c r="AS107" s="4178">
        <v>8.7412195895893756</v>
      </c>
      <c r="AT107" s="4178">
        <v>3.6377682302271532</v>
      </c>
      <c r="AU107" s="4178">
        <v>15.464196511231293</v>
      </c>
      <c r="AV107" s="4178">
        <v>13.677927319858384</v>
      </c>
      <c r="AW107" s="4178">
        <v>-4.1613884664527188</v>
      </c>
      <c r="AX107" s="4178">
        <v>46.003314943790471</v>
      </c>
      <c r="AY107" s="4178">
        <v>-14.532940217525116</v>
      </c>
      <c r="AZ107" s="4178">
        <v>19.530456867603625</v>
      </c>
      <c r="BA107" s="4178">
        <v>-31.362217322552333</v>
      </c>
      <c r="BB107" s="4178">
        <v>-6.8309033880481174</v>
      </c>
      <c r="BC107" s="4179">
        <v>64.544710421651871</v>
      </c>
      <c r="BD107" s="814">
        <f t="shared" ref="BD107:BM107" si="122">BD97+BD108-BD110-BD109</f>
        <v>10.599674436788506</v>
      </c>
      <c r="BE107" s="814">
        <f t="shared" si="122"/>
        <v>10.59015720765608</v>
      </c>
      <c r="BF107" s="814">
        <f t="shared" si="122"/>
        <v>19.143342551522174</v>
      </c>
      <c r="BG107" s="814">
        <f t="shared" si="122"/>
        <v>3.8117258169239889</v>
      </c>
      <c r="BH107" s="814">
        <f t="shared" si="122"/>
        <v>11.140804062993316</v>
      </c>
      <c r="BI107" s="814">
        <f t="shared" si="122"/>
        <v>-5.3074165408016754</v>
      </c>
      <c r="BJ107" s="814">
        <f t="shared" si="122"/>
        <v>21.608443562902071</v>
      </c>
      <c r="BK107" s="814">
        <f t="shared" si="122"/>
        <v>-6.4021072199931659</v>
      </c>
      <c r="BL107" s="814">
        <f t="shared" si="122"/>
        <v>-12.163202378626508</v>
      </c>
      <c r="BM107" s="814">
        <f t="shared" si="122"/>
        <v>-9.9498159834150464</v>
      </c>
      <c r="BN107" s="814">
        <f>BN97+BN108-BN110-BN109</f>
        <v>-11.1537898204672</v>
      </c>
      <c r="BO107" s="4180">
        <v>-8.0349404720068751</v>
      </c>
      <c r="BP107" s="4181">
        <v>23.882875223475665</v>
      </c>
      <c r="BQ107" s="4182">
        <f>BQ97+BQ108-BQ110-BQ109</f>
        <v>-18.295066779738942</v>
      </c>
      <c r="BR107" s="4182">
        <f>BR97+BR108-BR110-BR109</f>
        <v>34.361785092111376</v>
      </c>
      <c r="BS107" s="4182">
        <f>BS97+BS108-BS110-BS109</f>
        <v>11.391866476265804</v>
      </c>
      <c r="BT107" s="4182">
        <f t="shared" ref="BT107:CB107" si="123">BT97+BT108-BT110-BT109</f>
        <v>16.529726748202631</v>
      </c>
      <c r="BU107" s="4182">
        <f t="shared" si="123"/>
        <v>36.827465569778163</v>
      </c>
      <c r="BV107" s="4182">
        <f t="shared" si="123"/>
        <v>-2.2899241677573894</v>
      </c>
      <c r="BW107" s="4182">
        <f t="shared" si="123"/>
        <v>29.869226999718901</v>
      </c>
      <c r="BX107" s="4182">
        <f t="shared" si="123"/>
        <v>3.1552801625569344</v>
      </c>
      <c r="BY107" s="4182">
        <f t="shared" si="123"/>
        <v>-1.3464367102259809</v>
      </c>
      <c r="BZ107" s="4182">
        <f t="shared" si="123"/>
        <v>-27.243653360345576</v>
      </c>
      <c r="CA107" s="4182">
        <f t="shared" si="123"/>
        <v>-15.846262022655498</v>
      </c>
      <c r="CB107" s="4182">
        <f t="shared" si="123"/>
        <v>-17.587660156621677</v>
      </c>
      <c r="CC107" s="6659">
        <v>49.526347851288747</v>
      </c>
      <c r="CD107" s="6672"/>
      <c r="CE107" s="6672"/>
      <c r="CF107" s="4182"/>
      <c r="CG107" s="4182"/>
      <c r="CH107" s="4182"/>
      <c r="CI107" s="4182"/>
      <c r="CJ107" s="4182"/>
      <c r="CK107" s="4182"/>
      <c r="CL107" s="4182"/>
      <c r="CM107" s="4182"/>
      <c r="CN107" s="4182"/>
      <c r="CO107" s="4182"/>
      <c r="CP107" s="4087"/>
      <c r="CQ107" s="790"/>
      <c r="CR107" s="6899">
        <f t="shared" si="94"/>
        <v>0</v>
      </c>
      <c r="CS107" s="6900">
        <f t="shared" si="95"/>
        <v>-34.361785092111376</v>
      </c>
      <c r="CT107" s="817"/>
      <c r="CU107" s="6966">
        <f t="shared" si="88"/>
        <v>0</v>
      </c>
      <c r="CV107" s="6739"/>
      <c r="CW107" s="6953"/>
      <c r="CX107" s="6761">
        <f t="shared" si="89"/>
        <v>-16.066718312372434</v>
      </c>
      <c r="CY107" s="2775"/>
      <c r="CZ107" s="590"/>
      <c r="DA107" s="590"/>
      <c r="DB107" s="590"/>
      <c r="DC107" s="590"/>
      <c r="DD107" s="590"/>
      <c r="DE107" s="590"/>
      <c r="DF107" s="590"/>
      <c r="DG107" s="590"/>
      <c r="DH107" s="590"/>
      <c r="DI107" s="590"/>
      <c r="DJ107" s="590"/>
      <c r="DK107" s="590"/>
      <c r="DL107" s="590"/>
      <c r="DM107" s="590"/>
      <c r="DO107" s="2261"/>
      <c r="DP107" s="2261"/>
      <c r="DS107" s="2261"/>
      <c r="DT107" s="2261"/>
    </row>
    <row r="108" spans="1:124" ht="16.3" hidden="1" customHeight="1" x14ac:dyDescent="0.55000000000000004">
      <c r="A108" s="4151"/>
      <c r="C108" s="1028" t="s">
        <v>594</v>
      </c>
      <c r="D108" s="1028"/>
      <c r="E108" s="4183" t="s">
        <v>1062</v>
      </c>
      <c r="F108" s="1028"/>
      <c r="G108" s="1028"/>
      <c r="H108" s="1028"/>
      <c r="I108" s="1028"/>
      <c r="J108" s="1028"/>
      <c r="K108" s="1028"/>
      <c r="L108" s="1028"/>
      <c r="M108" s="1028"/>
      <c r="N108" s="1028"/>
      <c r="O108" s="1028"/>
      <c r="P108" s="1028"/>
      <c r="Q108" s="1028"/>
      <c r="R108" s="1028"/>
      <c r="S108" s="1028"/>
      <c r="T108" s="1028"/>
      <c r="U108" s="1028"/>
      <c r="V108" s="1028"/>
      <c r="W108" s="1028"/>
      <c r="X108" s="1028"/>
      <c r="Y108" s="1028"/>
      <c r="Z108" s="1028"/>
      <c r="AA108" s="1028"/>
      <c r="AB108" s="1028"/>
      <c r="AC108" s="1028"/>
      <c r="AD108" s="1028"/>
      <c r="AE108" s="1028"/>
      <c r="AF108" s="1028"/>
      <c r="AG108" s="1028"/>
      <c r="AH108" s="1028"/>
      <c r="AI108" s="1028"/>
      <c r="AJ108" s="1028"/>
      <c r="AK108" s="1028"/>
      <c r="AL108" s="1028"/>
      <c r="AM108" s="1028"/>
      <c r="AN108" s="1028"/>
      <c r="AO108" s="4142"/>
      <c r="AP108" s="4143"/>
      <c r="AQ108" s="4144">
        <v>23.465023738822197</v>
      </c>
      <c r="AR108" s="4144">
        <v>24.833183093472702</v>
      </c>
      <c r="AS108" s="4144">
        <v>25.754234423613301</v>
      </c>
      <c r="AT108" s="4144">
        <v>25.226628505092101</v>
      </c>
      <c r="AU108" s="4144">
        <v>25.718614093600003</v>
      </c>
      <c r="AV108" s="4144">
        <v>24.9535889653854</v>
      </c>
      <c r="AW108" s="4144">
        <v>26.1647394225113</v>
      </c>
      <c r="AX108" s="4144">
        <v>26.688881658241424</v>
      </c>
      <c r="AY108" s="4144">
        <v>26.486991977000798</v>
      </c>
      <c r="AZ108" s="4144">
        <v>27.279525743142301</v>
      </c>
      <c r="BA108" s="4144">
        <v>27.114231849413301</v>
      </c>
      <c r="BB108" s="4144">
        <v>27.3766725722428</v>
      </c>
      <c r="BC108" s="4145">
        <v>311.06231604253765</v>
      </c>
      <c r="BD108" s="789">
        <v>27.043422660047497</v>
      </c>
      <c r="BE108" s="3946">
        <v>27.4436396727465</v>
      </c>
      <c r="BF108" s="3946">
        <v>26.875110298693315</v>
      </c>
      <c r="BG108" s="789">
        <v>27.134355040078201</v>
      </c>
      <c r="BH108" s="789">
        <v>26.831344991859336</v>
      </c>
      <c r="BI108" s="789">
        <v>27.084554589279733</v>
      </c>
      <c r="BJ108" s="789">
        <v>26.955427634607325</v>
      </c>
      <c r="BK108" s="789">
        <v>26.799676782396869</v>
      </c>
      <c r="BL108" s="4159">
        <v>26.896297586993793</v>
      </c>
      <c r="BM108" s="4159">
        <v>26.601977167736312</v>
      </c>
      <c r="BN108" s="4159">
        <v>26.369240973480601</v>
      </c>
      <c r="BO108" s="4159">
        <v>25.994727790300661</v>
      </c>
      <c r="BP108" s="4160">
        <v>322.02977518822013</v>
      </c>
      <c r="BQ108" s="4146">
        <v>23.890353636317499</v>
      </c>
      <c r="BR108" s="3954">
        <v>24.701307266805475</v>
      </c>
      <c r="BS108" s="3954">
        <v>25.050896464807803</v>
      </c>
      <c r="BT108" s="4146">
        <v>23.809409084525072</v>
      </c>
      <c r="BU108" s="4146">
        <v>23.575919609002188</v>
      </c>
      <c r="BV108" s="4146">
        <v>24.228225378433894</v>
      </c>
      <c r="BW108" s="4146">
        <v>25.571296610805973</v>
      </c>
      <c r="BX108" s="4146">
        <v>23.898729768018427</v>
      </c>
      <c r="BY108" s="6656">
        <v>24.059738179432546</v>
      </c>
      <c r="BZ108" s="6656">
        <v>23.890145548218481</v>
      </c>
      <c r="CA108" s="6656">
        <v>23.781974852221996</v>
      </c>
      <c r="CB108" s="6656">
        <v>23.735033271558866</v>
      </c>
      <c r="CC108" s="6655">
        <v>290.19302967014818</v>
      </c>
      <c r="CD108" s="6553"/>
      <c r="CE108" s="6632"/>
      <c r="CF108" s="3954"/>
      <c r="CG108" s="4146"/>
      <c r="CH108" s="4146"/>
      <c r="CI108" s="4146"/>
      <c r="CJ108" s="789"/>
      <c r="CK108" s="4184"/>
      <c r="CL108" s="4159"/>
      <c r="CM108" s="4159"/>
      <c r="CN108" s="4159"/>
      <c r="CO108" s="4159"/>
      <c r="CP108" s="4087"/>
      <c r="CQ108" s="790"/>
      <c r="CR108" s="6873">
        <f t="shared" si="94"/>
        <v>0</v>
      </c>
      <c r="CS108" s="6874">
        <f t="shared" si="95"/>
        <v>-24.701307266805475</v>
      </c>
      <c r="CT108" s="795"/>
      <c r="CU108" s="6765">
        <f t="shared" si="88"/>
        <v>0</v>
      </c>
      <c r="CV108" s="6739"/>
      <c r="CW108" s="6953"/>
      <c r="CX108" s="6757">
        <f t="shared" si="89"/>
        <v>-48.591660903122971</v>
      </c>
      <c r="CY108" s="2775"/>
      <c r="CZ108" s="590"/>
      <c r="DA108" s="590"/>
      <c r="DB108" s="590"/>
      <c r="DC108" s="590"/>
      <c r="DD108" s="590"/>
      <c r="DE108" s="590"/>
      <c r="DF108" s="590"/>
      <c r="DG108" s="590"/>
      <c r="DH108" s="590"/>
      <c r="DI108" s="590"/>
      <c r="DJ108" s="590"/>
      <c r="DK108" s="590"/>
      <c r="DL108" s="590"/>
      <c r="DM108" s="590"/>
      <c r="DO108" s="2261"/>
      <c r="DP108" s="2261"/>
      <c r="DS108" s="2261"/>
      <c r="DT108" s="2261"/>
    </row>
    <row r="109" spans="1:124" ht="16.3" hidden="1" customHeight="1" x14ac:dyDescent="0.55000000000000004">
      <c r="A109" s="4151"/>
      <c r="C109" s="559" t="s">
        <v>33</v>
      </c>
      <c r="AO109" s="4147"/>
      <c r="AP109" s="4148"/>
      <c r="AQ109" s="4053">
        <v>6.8707186293509785</v>
      </c>
      <c r="AR109" s="4053">
        <v>21.763091789433364</v>
      </c>
      <c r="AS109" s="4053">
        <v>10.697729272340103</v>
      </c>
      <c r="AT109" s="4053">
        <v>7.6812695056530051</v>
      </c>
      <c r="AU109" s="4053">
        <v>11.26474071946803</v>
      </c>
      <c r="AV109" s="4053">
        <v>17.072195068269483</v>
      </c>
      <c r="AW109" s="4053">
        <v>3.3574601639053814</v>
      </c>
      <c r="AX109" s="4053">
        <v>20.876343943994033</v>
      </c>
      <c r="AY109" s="4053">
        <v>15.083753950662427</v>
      </c>
      <c r="AZ109" s="4053">
        <v>13.391473535533827</v>
      </c>
      <c r="BA109" s="4053">
        <v>8.5219854392496543</v>
      </c>
      <c r="BB109" s="4053">
        <v>14.566042167432808</v>
      </c>
      <c r="BC109" s="4149">
        <v>151.14680418529309</v>
      </c>
      <c r="BD109" s="757">
        <v>5.1365840630532258</v>
      </c>
      <c r="BE109" s="757">
        <v>6.38261049815749</v>
      </c>
      <c r="BF109" s="757">
        <v>0.81152591456122303</v>
      </c>
      <c r="BG109" s="757">
        <v>8.5732787641511798</v>
      </c>
      <c r="BH109" s="757">
        <v>11.437891542700106</v>
      </c>
      <c r="BI109" s="757">
        <v>15.935533885172731</v>
      </c>
      <c r="BJ109" s="757">
        <v>-2.4372523793240477</v>
      </c>
      <c r="BK109" s="757">
        <v>19.051189786766162</v>
      </c>
      <c r="BL109" s="4185">
        <v>-1.8441595487822084</v>
      </c>
      <c r="BM109" s="4185">
        <v>8.3394300686418923</v>
      </c>
      <c r="BN109" s="4185">
        <v>10.840443371654342</v>
      </c>
      <c r="BO109" s="4185">
        <v>2.1480486985619698</v>
      </c>
      <c r="BP109" s="4186">
        <v>84.375124665314061</v>
      </c>
      <c r="BQ109" s="4092">
        <v>-2.3174159607456164</v>
      </c>
      <c r="BR109" s="4092">
        <v>22.350830104900009</v>
      </c>
      <c r="BS109" s="4092">
        <v>5.4754565719999997</v>
      </c>
      <c r="BT109" s="4092">
        <v>6.1836324183999993</v>
      </c>
      <c r="BU109" s="4092">
        <v>17.203948140599998</v>
      </c>
      <c r="BV109" s="4092">
        <v>3.9585251565000004</v>
      </c>
      <c r="BW109" s="4092">
        <v>8.4674357712999999</v>
      </c>
      <c r="BX109" s="4092">
        <v>22.935838414000006</v>
      </c>
      <c r="BY109" s="6660">
        <v>4.4023075365999995</v>
      </c>
      <c r="BZ109" s="6660">
        <v>12.249672036753742</v>
      </c>
      <c r="CA109" s="6660">
        <v>15.949710944002838</v>
      </c>
      <c r="CB109" s="6660">
        <v>11.134403105948792</v>
      </c>
      <c r="CC109" s="6661">
        <v>127.99434424025978</v>
      </c>
      <c r="CD109" s="6623"/>
      <c r="CE109" s="6623"/>
      <c r="CF109" s="4092"/>
      <c r="CG109" s="4092"/>
      <c r="CH109" s="4092"/>
      <c r="CI109" s="4092"/>
      <c r="CJ109" s="757"/>
      <c r="CK109" s="3993"/>
      <c r="CL109" s="4185"/>
      <c r="CM109" s="4185"/>
      <c r="CN109" s="4185"/>
      <c r="CO109" s="4185"/>
      <c r="CP109" s="4087"/>
      <c r="CQ109" s="790"/>
      <c r="CR109" s="6862">
        <f t="shared" si="94"/>
        <v>0</v>
      </c>
      <c r="CS109" s="6747">
        <f t="shared" si="95"/>
        <v>-22.350830104900009</v>
      </c>
      <c r="CT109" s="607"/>
      <c r="CU109" s="6911">
        <f t="shared" si="88"/>
        <v>0</v>
      </c>
      <c r="CV109" s="6739"/>
      <c r="CW109" s="6953"/>
      <c r="CX109" s="6758">
        <f t="shared" si="89"/>
        <v>-20.033414144154392</v>
      </c>
      <c r="CY109" s="2775"/>
      <c r="CZ109" s="590"/>
      <c r="DA109" s="590"/>
      <c r="DB109" s="590"/>
      <c r="DC109" s="590"/>
      <c r="DD109" s="590"/>
      <c r="DE109" s="590"/>
      <c r="DF109" s="590"/>
      <c r="DG109" s="590"/>
      <c r="DH109" s="590"/>
      <c r="DI109" s="590"/>
      <c r="DJ109" s="590"/>
      <c r="DK109" s="590"/>
      <c r="DL109" s="590"/>
      <c r="DM109" s="590"/>
      <c r="DO109" s="2261"/>
      <c r="DP109" s="2261"/>
      <c r="DS109" s="2261"/>
      <c r="DT109" s="2261"/>
    </row>
    <row r="110" spans="1:124" ht="16.3" hidden="1" customHeight="1" x14ac:dyDescent="0.55000000000000004">
      <c r="A110" s="4187"/>
      <c r="B110" s="1244"/>
      <c r="C110" s="1244" t="s">
        <v>66</v>
      </c>
      <c r="D110" s="1244"/>
      <c r="E110" s="4188" t="s">
        <v>595</v>
      </c>
      <c r="F110" s="4188"/>
      <c r="G110" s="4188"/>
      <c r="H110" s="4188"/>
      <c r="I110" s="4188"/>
      <c r="J110" s="4188"/>
      <c r="K110" s="4188"/>
      <c r="L110" s="4188"/>
      <c r="M110" s="4188"/>
      <c r="N110" s="4188"/>
      <c r="O110" s="4188"/>
      <c r="P110" s="4188"/>
      <c r="Q110" s="4188"/>
      <c r="R110" s="4188"/>
      <c r="S110" s="4188"/>
      <c r="T110" s="4188"/>
      <c r="U110" s="4188"/>
      <c r="V110" s="4188"/>
      <c r="W110" s="4188"/>
      <c r="X110" s="4188"/>
      <c r="Y110" s="4188"/>
      <c r="Z110" s="4188"/>
      <c r="AA110" s="4188"/>
      <c r="AB110" s="4188"/>
      <c r="AC110" s="4188"/>
      <c r="AD110" s="4188"/>
      <c r="AE110" s="4188"/>
      <c r="AF110" s="4188"/>
      <c r="AG110" s="4188"/>
      <c r="AH110" s="4188"/>
      <c r="AI110" s="4188"/>
      <c r="AJ110" s="4188"/>
      <c r="AK110" s="4188"/>
      <c r="AL110" s="4188"/>
      <c r="AM110" s="4188"/>
      <c r="AN110" s="4188"/>
      <c r="AO110" s="4189"/>
      <c r="AP110" s="4190"/>
      <c r="AQ110" s="4191">
        <v>20.707790737546006</v>
      </c>
      <c r="AR110" s="4191">
        <v>-0.9981748631433156</v>
      </c>
      <c r="AS110" s="4191">
        <v>20.300951033655121</v>
      </c>
      <c r="AT110" s="4191">
        <v>23.457340708030934</v>
      </c>
      <c r="AU110" s="4191">
        <v>8.1952123933863472</v>
      </c>
      <c r="AV110" s="4191">
        <v>7.9695614680835298</v>
      </c>
      <c r="AW110" s="4191">
        <v>31.27971153833137</v>
      </c>
      <c r="AX110" s="4191">
        <v>-6.7922078600581699</v>
      </c>
      <c r="AY110" s="4191">
        <v>20.6118662569544</v>
      </c>
      <c r="AZ110" s="4191">
        <v>13.994655463520036</v>
      </c>
      <c r="BA110" s="4191">
        <v>53.421213133332152</v>
      </c>
      <c r="BB110" s="4191">
        <v>14.18452741952478</v>
      </c>
      <c r="BC110" s="4192">
        <v>206.33244742916318</v>
      </c>
      <c r="BD110" s="4193">
        <v>40.430812104751261</v>
      </c>
      <c r="BE110" s="4193">
        <v>17.394072830266264</v>
      </c>
      <c r="BF110" s="4193">
        <v>22.559983388973549</v>
      </c>
      <c r="BG110" s="4193">
        <v>27.396262709003036</v>
      </c>
      <c r="BH110" s="4193">
        <v>17.082305519499219</v>
      </c>
      <c r="BI110" s="4193">
        <v>20.371687251878377</v>
      </c>
      <c r="BJ110" s="4193">
        <v>31.057038871174093</v>
      </c>
      <c r="BK110" s="4193">
        <v>27.818268885465677</v>
      </c>
      <c r="BL110" s="4194">
        <v>54.324512450607905</v>
      </c>
      <c r="BM110" s="4194">
        <v>39.552763661297369</v>
      </c>
      <c r="BN110" s="4194">
        <v>29.904648245020738</v>
      </c>
      <c r="BO110" s="4194">
        <v>23.734531246472848</v>
      </c>
      <c r="BP110" s="4195">
        <v>351.62688716441033</v>
      </c>
      <c r="BQ110" s="4196">
        <v>27.373649270907059</v>
      </c>
      <c r="BR110" s="4196">
        <v>5.902875158885017</v>
      </c>
      <c r="BS110" s="4196">
        <v>14.41289028199655</v>
      </c>
      <c r="BT110" s="4196">
        <v>15.853058991861838</v>
      </c>
      <c r="BU110" s="4196">
        <v>14.112150680442209</v>
      </c>
      <c r="BV110" s="4196">
        <v>33.314898252418558</v>
      </c>
      <c r="BW110" s="4196">
        <v>41.178326260999192</v>
      </c>
      <c r="BX110" s="4196">
        <v>8.7068634090372505</v>
      </c>
      <c r="BY110" s="6662">
        <v>32.229149674876723</v>
      </c>
      <c r="BZ110" s="6662">
        <v>36.091643734234566</v>
      </c>
      <c r="CA110" s="6662">
        <v>18.411859036632237</v>
      </c>
      <c r="CB110" s="6662">
        <v>18.436827395262057</v>
      </c>
      <c r="CC110" s="6663">
        <v>266.02419214755326</v>
      </c>
      <c r="CD110" s="6641"/>
      <c r="CE110" s="6641"/>
      <c r="CF110" s="4196"/>
      <c r="CG110" s="4196"/>
      <c r="CH110" s="4196"/>
      <c r="CI110" s="4196"/>
      <c r="CJ110" s="4193"/>
      <c r="CK110" s="4193"/>
      <c r="CL110" s="4194"/>
      <c r="CM110" s="4194"/>
      <c r="CN110" s="4194"/>
      <c r="CO110" s="4194"/>
      <c r="CP110" s="4087"/>
      <c r="CQ110" s="790"/>
      <c r="CR110" s="6901">
        <f t="shared" si="94"/>
        <v>0</v>
      </c>
      <c r="CS110" s="6902">
        <f t="shared" si="95"/>
        <v>-5.902875158885017</v>
      </c>
      <c r="CT110" s="818"/>
      <c r="CU110" s="6967">
        <f t="shared" si="88"/>
        <v>0</v>
      </c>
      <c r="CV110" s="6739"/>
      <c r="CW110" s="6953"/>
      <c r="CX110" s="6764">
        <f t="shared" si="89"/>
        <v>-33.276524429792076</v>
      </c>
      <c r="CY110" s="2775"/>
      <c r="CZ110" s="590"/>
      <c r="DA110" s="590"/>
      <c r="DB110" s="590"/>
      <c r="DC110" s="590"/>
      <c r="DD110" s="590"/>
      <c r="DE110" s="590"/>
      <c r="DF110" s="590"/>
      <c r="DG110" s="590"/>
      <c r="DH110" s="590"/>
      <c r="DI110" s="590"/>
      <c r="DJ110" s="590"/>
      <c r="DK110" s="590"/>
      <c r="DL110" s="590"/>
      <c r="DM110" s="590"/>
      <c r="DO110" s="2261"/>
      <c r="DP110" s="2261"/>
      <c r="DS110" s="2261"/>
      <c r="DT110" s="2261"/>
    </row>
    <row r="111" spans="1:124" ht="16.3" hidden="1" customHeight="1" x14ac:dyDescent="0.55000000000000004">
      <c r="A111" s="4197" t="s">
        <v>20</v>
      </c>
      <c r="B111" s="2771" t="s">
        <v>587</v>
      </c>
      <c r="AO111" s="4147"/>
      <c r="AP111" s="4148"/>
      <c r="AQ111" s="4053">
        <v>-3.6152330600000084</v>
      </c>
      <c r="AR111" s="4053">
        <v>-0.52710690999997212</v>
      </c>
      <c r="AS111" s="4053">
        <v>-6.1238774800000044</v>
      </c>
      <c r="AT111" s="4053">
        <v>0.29580194999999776</v>
      </c>
      <c r="AU111" s="4053">
        <v>-4.6834909299999907</v>
      </c>
      <c r="AV111" s="4053">
        <v>-5.6211171199999939</v>
      </c>
      <c r="AW111" s="4053">
        <v>0.8302376799999962</v>
      </c>
      <c r="AX111" s="4053">
        <v>-8.562794910000008</v>
      </c>
      <c r="AY111" s="4053">
        <v>8.4980445510774985</v>
      </c>
      <c r="AZ111" s="4053">
        <v>-3.7398697184225966</v>
      </c>
      <c r="BA111" s="4053">
        <v>-2.5592759978001993</v>
      </c>
      <c r="BB111" s="4053">
        <v>2.7416048695014013</v>
      </c>
      <c r="BC111" s="4149">
        <v>-23.06707707564388</v>
      </c>
      <c r="BD111" s="757">
        <f>BD112-BD113</f>
        <v>-2.5344153899999924</v>
      </c>
      <c r="BE111" s="757">
        <f t="shared" ref="BE111:BN111" si="124">BE112-BE113</f>
        <v>0.16469998745889569</v>
      </c>
      <c r="BF111" s="757">
        <f t="shared" si="124"/>
        <v>-1.752415019910984</v>
      </c>
      <c r="BG111" s="757">
        <f t="shared" si="124"/>
        <v>2.5355468859524493</v>
      </c>
      <c r="BH111" s="757">
        <f t="shared" si="124"/>
        <v>-4.9890989386290414</v>
      </c>
      <c r="BI111" s="757">
        <f t="shared" si="124"/>
        <v>-2.2428516972944905</v>
      </c>
      <c r="BJ111" s="757">
        <f t="shared" si="124"/>
        <v>-6.9225408222472566</v>
      </c>
      <c r="BK111" s="757">
        <f t="shared" si="124"/>
        <v>2.304333310463953</v>
      </c>
      <c r="BL111" s="757">
        <f t="shared" si="124"/>
        <v>0.67802509851832582</v>
      </c>
      <c r="BM111" s="757">
        <f t="shared" si="124"/>
        <v>-2.3646262470378669</v>
      </c>
      <c r="BN111" s="757">
        <f t="shared" si="124"/>
        <v>0.79676140531638229</v>
      </c>
      <c r="BO111" s="757">
        <v>1.5192380149688685</v>
      </c>
      <c r="BP111" s="3991">
        <v>-12.807343412440757</v>
      </c>
      <c r="BQ111" s="4092">
        <f t="shared" ref="BQ111:CQ111" si="125">BQ112-BQ113</f>
        <v>0.60619465235174164</v>
      </c>
      <c r="BR111" s="4092">
        <f t="shared" si="125"/>
        <v>2.5112357700000003</v>
      </c>
      <c r="BS111" s="4092">
        <f t="shared" si="125"/>
        <v>0.67841257825719248</v>
      </c>
      <c r="BT111" s="4092">
        <f t="shared" si="125"/>
        <v>3.84803403</v>
      </c>
      <c r="BU111" s="4092">
        <f t="shared" si="125"/>
        <v>0.20899134</v>
      </c>
      <c r="BV111" s="4092">
        <f t="shared" si="125"/>
        <v>0.98819044</v>
      </c>
      <c r="BW111" s="4092">
        <f t="shared" si="125"/>
        <v>1.1889929000000001</v>
      </c>
      <c r="BX111" s="4092">
        <f t="shared" si="125"/>
        <v>0.65344815000000001</v>
      </c>
      <c r="BY111" s="4092">
        <f t="shared" si="125"/>
        <v>2.65534706</v>
      </c>
      <c r="BZ111" s="4092">
        <f t="shared" si="125"/>
        <v>-1.4519604399999999</v>
      </c>
      <c r="CA111" s="4092">
        <f t="shared" si="125"/>
        <v>0.57864136670187072</v>
      </c>
      <c r="CB111" s="4092">
        <f t="shared" si="125"/>
        <v>0.76279654872646052</v>
      </c>
      <c r="CC111" s="6651">
        <v>13.228324396037262</v>
      </c>
      <c r="CD111" s="6624"/>
      <c r="CE111" s="6624"/>
      <c r="CF111" s="757"/>
      <c r="CG111" s="757"/>
      <c r="CH111" s="757"/>
      <c r="CI111" s="757"/>
      <c r="CJ111" s="757"/>
      <c r="CK111" s="757"/>
      <c r="CL111" s="757"/>
      <c r="CM111" s="757"/>
      <c r="CN111" s="757"/>
      <c r="CO111" s="757"/>
      <c r="CP111" s="757">
        <f t="shared" si="125"/>
        <v>0</v>
      </c>
      <c r="CQ111" s="757">
        <f t="shared" si="125"/>
        <v>0</v>
      </c>
      <c r="CR111" s="6862">
        <f t="shared" si="94"/>
        <v>0</v>
      </c>
      <c r="CS111" s="6747">
        <f t="shared" si="95"/>
        <v>-2.5112357700000003</v>
      </c>
      <c r="CT111" s="607"/>
      <c r="CU111" s="6911">
        <f t="shared" si="88"/>
        <v>0</v>
      </c>
      <c r="CV111" s="6739"/>
      <c r="CW111" s="6953"/>
      <c r="CX111" s="6758">
        <f t="shared" si="89"/>
        <v>-3.1174304223517417</v>
      </c>
      <c r="CY111" s="2775"/>
      <c r="CZ111" s="590"/>
      <c r="DA111" s="590"/>
      <c r="DB111" s="590"/>
      <c r="DC111" s="590"/>
      <c r="DD111" s="590"/>
      <c r="DE111" s="590"/>
      <c r="DF111" s="590"/>
      <c r="DG111" s="590"/>
      <c r="DH111" s="590"/>
      <c r="DI111" s="590"/>
      <c r="DJ111" s="590"/>
      <c r="DK111" s="590"/>
      <c r="DL111" s="590"/>
      <c r="DM111" s="590"/>
      <c r="DO111" s="2261"/>
      <c r="DP111" s="2261"/>
      <c r="DS111" s="2261"/>
      <c r="DT111" s="2261"/>
    </row>
    <row r="112" spans="1:124" ht="16.3" hidden="1" customHeight="1" x14ac:dyDescent="0.55000000000000004">
      <c r="A112" s="4151"/>
      <c r="C112" s="1028" t="s">
        <v>6</v>
      </c>
      <c r="D112" s="1028"/>
      <c r="E112" s="1028"/>
      <c r="F112" s="1028"/>
      <c r="G112" s="1028"/>
      <c r="H112" s="1028"/>
      <c r="I112" s="1028"/>
      <c r="J112" s="1028"/>
      <c r="K112" s="1028"/>
      <c r="L112" s="1028"/>
      <c r="M112" s="1028"/>
      <c r="N112" s="1028"/>
      <c r="O112" s="1028"/>
      <c r="P112" s="1028"/>
      <c r="Q112" s="1028"/>
      <c r="R112" s="1028"/>
      <c r="S112" s="1028"/>
      <c r="T112" s="1028"/>
      <c r="U112" s="1028"/>
      <c r="V112" s="1028"/>
      <c r="W112" s="1028"/>
      <c r="X112" s="1028"/>
      <c r="Y112" s="1028"/>
      <c r="Z112" s="1028"/>
      <c r="AA112" s="1028"/>
      <c r="AB112" s="1028"/>
      <c r="AC112" s="1028"/>
      <c r="AD112" s="1028"/>
      <c r="AE112" s="1028"/>
      <c r="AF112" s="1028"/>
      <c r="AG112" s="1028"/>
      <c r="AH112" s="1028"/>
      <c r="AI112" s="1028"/>
      <c r="AJ112" s="1028"/>
      <c r="AK112" s="1028"/>
      <c r="AL112" s="1028"/>
      <c r="AM112" s="1028"/>
      <c r="AN112" s="1028"/>
      <c r="AO112" s="4142"/>
      <c r="AP112" s="4143"/>
      <c r="AQ112" s="4144">
        <v>79.726587539999997</v>
      </c>
      <c r="AR112" s="4144">
        <v>101.15128841000002</v>
      </c>
      <c r="AS112" s="4144">
        <v>75.106436419999994</v>
      </c>
      <c r="AT112" s="4144">
        <v>81.7203667</v>
      </c>
      <c r="AU112" s="4144">
        <v>74.699835210000003</v>
      </c>
      <c r="AV112" s="4144">
        <v>71.695196330000002</v>
      </c>
      <c r="AW112" s="4144">
        <v>88.783247250000002</v>
      </c>
      <c r="AX112" s="4144">
        <v>121.17300809</v>
      </c>
      <c r="AY112" s="4144">
        <v>87.086653681077493</v>
      </c>
      <c r="AZ112" s="4144">
        <v>95.300378201577402</v>
      </c>
      <c r="BA112" s="4144">
        <v>75.288409722199802</v>
      </c>
      <c r="BB112" s="4144">
        <v>64.490087519501401</v>
      </c>
      <c r="BC112" s="4145">
        <v>1016.221495074356</v>
      </c>
      <c r="BD112" s="789">
        <v>93.681876590000002</v>
      </c>
      <c r="BE112" s="3946">
        <v>62.089300527458896</v>
      </c>
      <c r="BF112" s="3946">
        <v>49.030871930089013</v>
      </c>
      <c r="BG112" s="789">
        <v>51.625608865952451</v>
      </c>
      <c r="BH112" s="789">
        <v>47.577181599997331</v>
      </c>
      <c r="BI112" s="789">
        <v>47.880170992705509</v>
      </c>
      <c r="BJ112" s="789">
        <v>50.827455253879393</v>
      </c>
      <c r="BK112" s="789">
        <v>30.005933840463953</v>
      </c>
      <c r="BL112" s="789">
        <v>18.977916748518325</v>
      </c>
      <c r="BM112" s="789">
        <v>10.944332392962133</v>
      </c>
      <c r="BN112" s="789">
        <v>6.0690275672353193</v>
      </c>
      <c r="BO112" s="789">
        <v>7.2124588436934935</v>
      </c>
      <c r="BP112" s="3947">
        <v>475.92213515295583</v>
      </c>
      <c r="BQ112" s="4146">
        <v>1.8922367883537916</v>
      </c>
      <c r="BR112" s="3954">
        <v>2.4818941900000002</v>
      </c>
      <c r="BS112" s="3954">
        <v>0.70588277825719248</v>
      </c>
      <c r="BT112" s="4146">
        <v>3.8676703799999999</v>
      </c>
      <c r="BU112" s="4146">
        <v>0.20809046</v>
      </c>
      <c r="BV112" s="4146">
        <v>0.95145148999999996</v>
      </c>
      <c r="BW112" s="4146">
        <v>1.18853264</v>
      </c>
      <c r="BX112" s="4146">
        <v>0.66414165999999997</v>
      </c>
      <c r="BY112" s="4146">
        <v>2.6811764299999998</v>
      </c>
      <c r="BZ112" s="4146">
        <v>-1.43874788</v>
      </c>
      <c r="CA112" s="4146">
        <v>0.55627282670187073</v>
      </c>
      <c r="CB112" s="4146">
        <v>0.80422347872646049</v>
      </c>
      <c r="CC112" s="6653">
        <v>14.562825242039315</v>
      </c>
      <c r="CD112" s="6552"/>
      <c r="CE112" s="6632"/>
      <c r="CF112" s="3946"/>
      <c r="CG112" s="4184"/>
      <c r="CH112" s="789"/>
      <c r="CI112" s="789"/>
      <c r="CJ112" s="789"/>
      <c r="CK112" s="789"/>
      <c r="CL112" s="789"/>
      <c r="CM112" s="789"/>
      <c r="CN112" s="789"/>
      <c r="CO112" s="789"/>
      <c r="CP112" s="4087"/>
      <c r="CQ112" s="790"/>
      <c r="CR112" s="6873">
        <f t="shared" si="94"/>
        <v>0</v>
      </c>
      <c r="CS112" s="6874">
        <f t="shared" si="95"/>
        <v>-2.4818941900000002</v>
      </c>
      <c r="CT112" s="795"/>
      <c r="CU112" s="6765">
        <f t="shared" si="88"/>
        <v>0</v>
      </c>
      <c r="CV112" s="6739"/>
      <c r="CW112" s="6953"/>
      <c r="CX112" s="6757">
        <f t="shared" si="89"/>
        <v>-4.3741309783537918</v>
      </c>
      <c r="CY112" s="2775"/>
      <c r="CZ112" s="590"/>
      <c r="DA112" s="590"/>
      <c r="DB112" s="590"/>
      <c r="DC112" s="590"/>
      <c r="DD112" s="590"/>
      <c r="DE112" s="590"/>
      <c r="DF112" s="590"/>
      <c r="DG112" s="590"/>
      <c r="DH112" s="590"/>
      <c r="DI112" s="590"/>
      <c r="DJ112" s="590"/>
      <c r="DK112" s="590"/>
      <c r="DL112" s="590"/>
      <c r="DM112" s="590"/>
      <c r="DO112" s="2261"/>
      <c r="DP112" s="2261"/>
      <c r="DS112" s="2261"/>
      <c r="DT112" s="2261"/>
    </row>
    <row r="113" spans="1:124" ht="16.3" hidden="1" customHeight="1" x14ac:dyDescent="0.55000000000000004">
      <c r="A113" s="4141"/>
      <c r="B113" s="594"/>
      <c r="C113" s="594" t="s">
        <v>34</v>
      </c>
      <c r="D113" s="594"/>
      <c r="E113" s="594"/>
      <c r="F113" s="594"/>
      <c r="G113" s="594"/>
      <c r="H113" s="594"/>
      <c r="I113" s="594"/>
      <c r="J113" s="594"/>
      <c r="K113" s="594"/>
      <c r="L113" s="594"/>
      <c r="M113" s="594"/>
      <c r="N113" s="594"/>
      <c r="O113" s="594"/>
      <c r="P113" s="594"/>
      <c r="Q113" s="594"/>
      <c r="R113" s="594"/>
      <c r="S113" s="594"/>
      <c r="T113" s="594"/>
      <c r="U113" s="594"/>
      <c r="V113" s="594"/>
      <c r="W113" s="594"/>
      <c r="X113" s="594"/>
      <c r="Y113" s="594"/>
      <c r="Z113" s="594"/>
      <c r="AA113" s="594"/>
      <c r="AB113" s="594"/>
      <c r="AC113" s="594"/>
      <c r="AD113" s="594"/>
      <c r="AE113" s="594"/>
      <c r="AF113" s="594"/>
      <c r="AG113" s="594"/>
      <c r="AH113" s="594"/>
      <c r="AI113" s="594"/>
      <c r="AJ113" s="594"/>
      <c r="AK113" s="594"/>
      <c r="AL113" s="594"/>
      <c r="AM113" s="594"/>
      <c r="AN113" s="594"/>
      <c r="AO113" s="4147"/>
      <c r="AP113" s="4148"/>
      <c r="AQ113" s="4198">
        <v>83.341820600000005</v>
      </c>
      <c r="AR113" s="4198">
        <v>101.67839531999999</v>
      </c>
      <c r="AS113" s="4198">
        <v>81.230313899999999</v>
      </c>
      <c r="AT113" s="4198">
        <v>81.424564750000002</v>
      </c>
      <c r="AU113" s="4198">
        <v>79.383326139999994</v>
      </c>
      <c r="AV113" s="4198">
        <v>77.316313449999996</v>
      </c>
      <c r="AW113" s="4198">
        <v>87.953009570000006</v>
      </c>
      <c r="AX113" s="4198">
        <v>129.735803</v>
      </c>
      <c r="AY113" s="4198">
        <v>78.588609129999995</v>
      </c>
      <c r="AZ113" s="4198">
        <v>99.040247919999999</v>
      </c>
      <c r="BA113" s="4198">
        <v>77.847685720000001</v>
      </c>
      <c r="BB113" s="4198">
        <v>61.74848265</v>
      </c>
      <c r="BC113" s="4149">
        <v>1039.2885721499999</v>
      </c>
      <c r="BD113" s="628">
        <v>96.216291979999994</v>
      </c>
      <c r="BE113" s="3990">
        <v>61.92460054</v>
      </c>
      <c r="BF113" s="3990">
        <v>50.783286949999997</v>
      </c>
      <c r="BG113" s="757">
        <v>49.090061980000002</v>
      </c>
      <c r="BH113" s="757">
        <v>52.566280538626373</v>
      </c>
      <c r="BI113" s="757">
        <v>50.123022689999999</v>
      </c>
      <c r="BJ113" s="757">
        <v>57.749996076126649</v>
      </c>
      <c r="BK113" s="757">
        <v>27.70160053</v>
      </c>
      <c r="BL113" s="757">
        <v>18.299891649999999</v>
      </c>
      <c r="BM113" s="757">
        <v>13.30895864</v>
      </c>
      <c r="BN113" s="757">
        <v>5.272266161918937</v>
      </c>
      <c r="BO113" s="757">
        <v>5.6932208287246251</v>
      </c>
      <c r="BP113" s="3991">
        <v>488.72947856539662</v>
      </c>
      <c r="BQ113" s="4150">
        <v>1.28604213600205</v>
      </c>
      <c r="BR113" s="3971">
        <v>-2.9341579999999999E-2</v>
      </c>
      <c r="BS113" s="3971">
        <v>2.74702E-2</v>
      </c>
      <c r="BT113" s="4092">
        <v>1.963635E-2</v>
      </c>
      <c r="BU113" s="4092">
        <v>-9.0087999999999995E-4</v>
      </c>
      <c r="BV113" s="4092">
        <v>-3.6738949999999999E-2</v>
      </c>
      <c r="BW113" s="4092">
        <v>-4.6025999999999999E-4</v>
      </c>
      <c r="BX113" s="4092">
        <v>1.069351E-2</v>
      </c>
      <c r="BY113" s="4092">
        <v>2.5829370000000001E-2</v>
      </c>
      <c r="BZ113" s="4092">
        <v>1.321256E-2</v>
      </c>
      <c r="CA113" s="4092">
        <v>-2.2368539999999999E-2</v>
      </c>
      <c r="CB113" s="4092">
        <v>4.1426930000000001E-2</v>
      </c>
      <c r="CC113" s="6651">
        <v>1.33450084600205</v>
      </c>
      <c r="CD113" s="6702"/>
      <c r="CE113" s="6590"/>
      <c r="CF113" s="3990"/>
      <c r="CG113" s="4199"/>
      <c r="CH113" s="757"/>
      <c r="CI113" s="757"/>
      <c r="CJ113" s="757"/>
      <c r="CK113" s="757"/>
      <c r="CL113" s="757"/>
      <c r="CM113" s="757"/>
      <c r="CN113" s="757"/>
      <c r="CO113" s="757"/>
      <c r="CP113" s="4087"/>
      <c r="CQ113" s="790"/>
      <c r="CR113" s="6862">
        <f t="shared" si="94"/>
        <v>0</v>
      </c>
      <c r="CS113" s="6747">
        <f t="shared" si="95"/>
        <v>2.9341579999999999E-2</v>
      </c>
      <c r="CT113" s="607"/>
      <c r="CU113" s="6911">
        <f t="shared" si="88"/>
        <v>0</v>
      </c>
      <c r="CV113" s="6739"/>
      <c r="CW113" s="6953"/>
      <c r="CX113" s="6758">
        <f t="shared" si="89"/>
        <v>-1.2567005560020499</v>
      </c>
      <c r="CY113" s="2775"/>
      <c r="CZ113" s="590"/>
      <c r="DA113" s="590"/>
      <c r="DB113" s="590"/>
      <c r="DC113" s="590"/>
      <c r="DD113" s="590"/>
      <c r="DE113" s="590"/>
      <c r="DF113" s="590"/>
      <c r="DG113" s="590"/>
      <c r="DH113" s="590"/>
      <c r="DI113" s="590"/>
      <c r="DJ113" s="590"/>
      <c r="DK113" s="590"/>
      <c r="DL113" s="590"/>
      <c r="DM113" s="590"/>
      <c r="DO113" s="2261"/>
      <c r="DP113" s="2261"/>
      <c r="DS113" s="2261"/>
      <c r="DT113" s="2261"/>
    </row>
    <row r="114" spans="1:124" ht="16.3" hidden="1" customHeight="1" x14ac:dyDescent="0.55000000000000004">
      <c r="A114" s="4151"/>
      <c r="B114" s="3887" t="s">
        <v>596</v>
      </c>
      <c r="C114" s="3888"/>
      <c r="D114" s="3888"/>
      <c r="E114" s="3888"/>
      <c r="F114" s="3888"/>
      <c r="G114" s="3888"/>
      <c r="H114" s="3888"/>
      <c r="I114" s="3888"/>
      <c r="J114" s="3888"/>
      <c r="K114" s="3888"/>
      <c r="L114" s="3888"/>
      <c r="M114" s="3888"/>
      <c r="N114" s="3888"/>
      <c r="O114" s="3888"/>
      <c r="P114" s="3888"/>
      <c r="Q114" s="3888"/>
      <c r="R114" s="3888"/>
      <c r="S114" s="3888"/>
      <c r="T114" s="3888"/>
      <c r="U114" s="3888"/>
      <c r="V114" s="3888"/>
      <c r="W114" s="3888"/>
      <c r="X114" s="3888"/>
      <c r="Y114" s="3888"/>
      <c r="Z114" s="3888"/>
      <c r="AA114" s="3888"/>
      <c r="AB114" s="3888"/>
      <c r="AC114" s="3888"/>
      <c r="AD114" s="3888"/>
      <c r="AE114" s="3888"/>
      <c r="AF114" s="3888"/>
      <c r="AG114" s="3888"/>
      <c r="AH114" s="3888"/>
      <c r="AI114" s="3888"/>
      <c r="AJ114" s="3888"/>
      <c r="AK114" s="3888"/>
      <c r="AL114" s="3888"/>
      <c r="AM114" s="3888"/>
      <c r="AN114" s="3888"/>
      <c r="AO114" s="3889"/>
      <c r="AP114" s="4200"/>
      <c r="AQ114" s="4201">
        <v>0.90736443712592774</v>
      </c>
      <c r="AR114" s="4201">
        <v>0.85688383171349258</v>
      </c>
      <c r="AS114" s="4201">
        <v>1.1348422865445009</v>
      </c>
      <c r="AT114" s="4201">
        <v>-0.23625783678902579</v>
      </c>
      <c r="AU114" s="4201">
        <v>-6.7798177084490874E-2</v>
      </c>
      <c r="AV114" s="4201">
        <v>0.87869550395346963</v>
      </c>
      <c r="AW114" s="4201">
        <v>3.8137970111449704E-2</v>
      </c>
      <c r="AX114" s="4201">
        <v>0.70547168186296005</v>
      </c>
      <c r="AY114" s="4201">
        <v>3.5096274756153178E-2</v>
      </c>
      <c r="AZ114" s="4201">
        <v>1.9772362365852452</v>
      </c>
      <c r="BA114" s="4201">
        <v>-4.7883970710510724</v>
      </c>
      <c r="BB114" s="4201">
        <v>0.85042122884046023</v>
      </c>
      <c r="BC114" s="4202">
        <v>2.2916963665690702</v>
      </c>
      <c r="BD114" s="3890">
        <f>BD115-BD118</f>
        <v>1.3569093578996245</v>
      </c>
      <c r="BE114" s="3890">
        <f t="shared" ref="BE114:BM114" si="126">BE115-BE118</f>
        <v>-1.2002340054438854</v>
      </c>
      <c r="BF114" s="3890">
        <f t="shared" si="126"/>
        <v>-0.38058050563559576</v>
      </c>
      <c r="BG114" s="3890">
        <f t="shared" si="126"/>
        <v>-0.26534937896146715</v>
      </c>
      <c r="BH114" s="3890">
        <f t="shared" si="126"/>
        <v>2.4537125522847703E-3</v>
      </c>
      <c r="BI114" s="3890">
        <f t="shared" si="126"/>
        <v>-3.4260718433893693</v>
      </c>
      <c r="BJ114" s="3890">
        <f t="shared" si="126"/>
        <v>1.7049812013811945</v>
      </c>
      <c r="BK114" s="3890">
        <f t="shared" si="126"/>
        <v>5.299883238734779</v>
      </c>
      <c r="BL114" s="3890">
        <f t="shared" si="126"/>
        <v>-2.1118954556283569</v>
      </c>
      <c r="BM114" s="3890">
        <f t="shared" si="126"/>
        <v>9.1120866779228038E-2</v>
      </c>
      <c r="BN114" s="3890">
        <f>BN115-BN118</f>
        <v>5.4937236150153019</v>
      </c>
      <c r="BO114" s="3890">
        <v>-9.1471775207686967</v>
      </c>
      <c r="BP114" s="3891">
        <v>-2.5822367174649585</v>
      </c>
      <c r="BQ114" s="3893">
        <f t="shared" ref="BQ114:BZ114" si="127">BQ115-BQ118</f>
        <v>2.0820676982167576</v>
      </c>
      <c r="BR114" s="3893">
        <f t="shared" si="127"/>
        <v>2.2773975648630547</v>
      </c>
      <c r="BS114" s="3893">
        <f t="shared" si="127"/>
        <v>2.8591426706818552</v>
      </c>
      <c r="BT114" s="3893">
        <f t="shared" si="127"/>
        <v>-4.7325351176610297E-3</v>
      </c>
      <c r="BU114" s="3893">
        <f t="shared" si="127"/>
        <v>1.4331332861005812</v>
      </c>
      <c r="BV114" s="3893">
        <f t="shared" si="127"/>
        <v>-0.13042802151858979</v>
      </c>
      <c r="BW114" s="3893">
        <f t="shared" si="127"/>
        <v>1.4382754101782673</v>
      </c>
      <c r="BX114" s="3893">
        <f t="shared" si="127"/>
        <v>1.9664859524479077</v>
      </c>
      <c r="BY114" s="3893">
        <f t="shared" si="127"/>
        <v>-5.6999114860711089</v>
      </c>
      <c r="BZ114" s="3893">
        <f t="shared" si="127"/>
        <v>-1.9075047443182243</v>
      </c>
      <c r="CA114" s="3893">
        <f t="shared" ref="CA114:CQ114" si="128">CA115-CA118</f>
        <v>-3.2223596408818196</v>
      </c>
      <c r="CB114" s="3893">
        <f t="shared" si="128"/>
        <v>2.2869411274236313</v>
      </c>
      <c r="CC114" s="6664">
        <v>3.3785072820046516</v>
      </c>
      <c r="CD114" s="6531"/>
      <c r="CE114" s="6531"/>
      <c r="CF114" s="3890"/>
      <c r="CG114" s="3890"/>
      <c r="CH114" s="3890"/>
      <c r="CI114" s="3890"/>
      <c r="CJ114" s="3890"/>
      <c r="CK114" s="3890"/>
      <c r="CL114" s="3890"/>
      <c r="CM114" s="3890"/>
      <c r="CN114" s="3890"/>
      <c r="CO114" s="3890"/>
      <c r="CP114" s="3890">
        <f t="shared" si="128"/>
        <v>0</v>
      </c>
      <c r="CQ114" s="3890">
        <f t="shared" si="128"/>
        <v>0</v>
      </c>
      <c r="CR114" s="6903">
        <f t="shared" si="94"/>
        <v>0</v>
      </c>
      <c r="CS114" s="6904">
        <f t="shared" si="95"/>
        <v>-2.2773975648630547</v>
      </c>
      <c r="CT114" s="824"/>
      <c r="CU114" s="6968">
        <f t="shared" si="88"/>
        <v>0</v>
      </c>
      <c r="CV114" s="6739"/>
      <c r="CW114" s="6953"/>
      <c r="CX114" s="6762">
        <f t="shared" si="89"/>
        <v>-4.3594652630798123</v>
      </c>
      <c r="CY114" s="2775"/>
      <c r="CZ114" s="590"/>
      <c r="DA114" s="590"/>
      <c r="DB114" s="590"/>
      <c r="DC114" s="590"/>
      <c r="DD114" s="590"/>
      <c r="DE114" s="590"/>
      <c r="DF114" s="590"/>
      <c r="DG114" s="590"/>
      <c r="DH114" s="590"/>
      <c r="DI114" s="590"/>
      <c r="DJ114" s="590"/>
      <c r="DK114" s="590"/>
      <c r="DL114" s="590"/>
      <c r="DM114" s="590"/>
      <c r="DO114" s="2261"/>
      <c r="DP114" s="2261"/>
      <c r="DS114" s="2261"/>
      <c r="DT114" s="2261"/>
    </row>
    <row r="115" spans="1:124" ht="16.3" hidden="1" customHeight="1" x14ac:dyDescent="0.55000000000000004">
      <c r="A115" s="4151"/>
      <c r="B115" s="4158"/>
      <c r="C115" s="1028" t="s">
        <v>35</v>
      </c>
      <c r="D115" s="1028"/>
      <c r="E115" s="1028"/>
      <c r="F115" s="1028"/>
      <c r="G115" s="1028"/>
      <c r="H115" s="1028"/>
      <c r="I115" s="1028"/>
      <c r="J115" s="1028"/>
      <c r="K115" s="1028"/>
      <c r="L115" s="1028"/>
      <c r="M115" s="1028"/>
      <c r="N115" s="1028"/>
      <c r="O115" s="1028"/>
      <c r="P115" s="1028"/>
      <c r="Q115" s="1028"/>
      <c r="R115" s="1028"/>
      <c r="S115" s="1028"/>
      <c r="T115" s="1028"/>
      <c r="U115" s="1028"/>
      <c r="V115" s="1028"/>
      <c r="W115" s="1028"/>
      <c r="X115" s="1028"/>
      <c r="Y115" s="1028"/>
      <c r="Z115" s="1028"/>
      <c r="AA115" s="1028"/>
      <c r="AB115" s="1028"/>
      <c r="AC115" s="1028"/>
      <c r="AD115" s="1028"/>
      <c r="AE115" s="1028"/>
      <c r="AF115" s="1028"/>
      <c r="AG115" s="1028"/>
      <c r="AH115" s="1028"/>
      <c r="AI115" s="1028"/>
      <c r="AJ115" s="1028"/>
      <c r="AK115" s="1028"/>
      <c r="AL115" s="1028"/>
      <c r="AM115" s="1028"/>
      <c r="AN115" s="1028"/>
      <c r="AO115" s="4142"/>
      <c r="AP115" s="4143"/>
      <c r="AQ115" s="4144">
        <v>26.82</v>
      </c>
      <c r="AR115" s="4144">
        <v>26.799999999999997</v>
      </c>
      <c r="AS115" s="4144">
        <v>26.709249999999997</v>
      </c>
      <c r="AT115" s="4144">
        <v>26.559159999999999</v>
      </c>
      <c r="AU115" s="4144">
        <v>26.45233</v>
      </c>
      <c r="AV115" s="4144">
        <v>26.444949999999999</v>
      </c>
      <c r="AW115" s="4144">
        <v>26.446349999999999</v>
      </c>
      <c r="AX115" s="4144">
        <v>26.462949999999999</v>
      </c>
      <c r="AY115" s="4144">
        <v>26.45</v>
      </c>
      <c r="AZ115" s="4144">
        <v>26.462949999999999</v>
      </c>
      <c r="BA115" s="4144">
        <v>26.462949999999999</v>
      </c>
      <c r="BB115" s="4144">
        <v>26.45</v>
      </c>
      <c r="BC115" s="4145">
        <v>318.52088999999995</v>
      </c>
      <c r="BD115" s="789">
        <f>BD116+BD117</f>
        <v>26.45</v>
      </c>
      <c r="BE115" s="789">
        <f t="shared" ref="BE115:BM115" si="129">BE116+BE117</f>
        <v>26.45</v>
      </c>
      <c r="BF115" s="789">
        <f t="shared" si="129"/>
        <v>26.4</v>
      </c>
      <c r="BG115" s="789">
        <f t="shared" si="129"/>
        <v>26.4</v>
      </c>
      <c r="BH115" s="789">
        <f t="shared" si="129"/>
        <v>26.4</v>
      </c>
      <c r="BI115" s="789">
        <f t="shared" si="129"/>
        <v>26.4</v>
      </c>
      <c r="BJ115" s="789">
        <f t="shared" si="129"/>
        <v>27.8570612124634</v>
      </c>
      <c r="BK115" s="789">
        <f t="shared" si="129"/>
        <v>30.539289310000001</v>
      </c>
      <c r="BL115" s="789">
        <f t="shared" si="129"/>
        <v>26.985879919999999</v>
      </c>
      <c r="BM115" s="789">
        <f t="shared" si="129"/>
        <v>28.267802060000001</v>
      </c>
      <c r="BN115" s="789">
        <f>BN116+BN117</f>
        <v>31.45268789</v>
      </c>
      <c r="BO115" s="789">
        <v>19.037491559999999</v>
      </c>
      <c r="BP115" s="3947">
        <v>322.6402119524634</v>
      </c>
      <c r="BQ115" s="4146">
        <f t="shared" ref="BQ115:BZ115" si="130">BQ116+BQ117</f>
        <v>26.927904990000002</v>
      </c>
      <c r="BR115" s="4146">
        <f t="shared" si="130"/>
        <v>27.023409099999999</v>
      </c>
      <c r="BS115" s="4146">
        <f t="shared" si="130"/>
        <v>26.95</v>
      </c>
      <c r="BT115" s="4146">
        <f t="shared" si="130"/>
        <v>25.000194999999998</v>
      </c>
      <c r="BU115" s="4146">
        <f t="shared" si="130"/>
        <v>25</v>
      </c>
      <c r="BV115" s="4146">
        <f t="shared" si="130"/>
        <v>25.01363636</v>
      </c>
      <c r="BW115" s="4146">
        <f t="shared" si="130"/>
        <v>25</v>
      </c>
      <c r="BX115" s="4146">
        <f t="shared" si="130"/>
        <v>25</v>
      </c>
      <c r="BY115" s="4146">
        <f t="shared" si="130"/>
        <v>25</v>
      </c>
      <c r="BZ115" s="4146">
        <f t="shared" si="130"/>
        <v>25</v>
      </c>
      <c r="CA115" s="4146">
        <f t="shared" ref="CA115:CQ115" si="131">CA116+CA117</f>
        <v>25</v>
      </c>
      <c r="CB115" s="4146">
        <f t="shared" si="131"/>
        <v>35.258319999999998</v>
      </c>
      <c r="CC115" s="6653">
        <v>316.17346544999998</v>
      </c>
      <c r="CD115" s="6552"/>
      <c r="CE115" s="6552"/>
      <c r="CF115" s="789"/>
      <c r="CG115" s="789"/>
      <c r="CH115" s="789"/>
      <c r="CI115" s="789"/>
      <c r="CJ115" s="789"/>
      <c r="CK115" s="789"/>
      <c r="CL115" s="789"/>
      <c r="CM115" s="789"/>
      <c r="CN115" s="789"/>
      <c r="CO115" s="789"/>
      <c r="CP115" s="789">
        <f t="shared" si="131"/>
        <v>0</v>
      </c>
      <c r="CQ115" s="789">
        <f t="shared" si="131"/>
        <v>0</v>
      </c>
      <c r="CR115" s="6873">
        <f t="shared" si="94"/>
        <v>0</v>
      </c>
      <c r="CS115" s="6874">
        <f t="shared" si="95"/>
        <v>-27.023409099999999</v>
      </c>
      <c r="CT115" s="795"/>
      <c r="CU115" s="6765">
        <f t="shared" si="88"/>
        <v>0</v>
      </c>
      <c r="CV115" s="6739"/>
      <c r="CW115" s="6953"/>
      <c r="CX115" s="6757">
        <f t="shared" si="89"/>
        <v>-53.951314089999997</v>
      </c>
      <c r="CY115" s="2775"/>
      <c r="CZ115" s="590"/>
      <c r="DA115" s="590"/>
      <c r="DB115" s="590"/>
      <c r="DC115" s="590"/>
      <c r="DD115" s="590"/>
      <c r="DE115" s="590"/>
      <c r="DF115" s="590"/>
      <c r="DG115" s="590"/>
      <c r="DH115" s="590"/>
      <c r="DI115" s="590"/>
      <c r="DJ115" s="590"/>
      <c r="DK115" s="590"/>
      <c r="DL115" s="590"/>
      <c r="DM115" s="590"/>
      <c r="DO115" s="2261"/>
      <c r="DP115" s="2261"/>
      <c r="DS115" s="2261"/>
      <c r="DT115" s="2261"/>
    </row>
    <row r="116" spans="1:124" ht="16.3" hidden="1" customHeight="1" x14ac:dyDescent="0.55000000000000004">
      <c r="A116" s="4151"/>
      <c r="B116" s="4158"/>
      <c r="C116" s="1028" t="s">
        <v>36</v>
      </c>
      <c r="D116" s="1028"/>
      <c r="E116" s="1028"/>
      <c r="F116" s="1028"/>
      <c r="G116" s="1028"/>
      <c r="H116" s="1028"/>
      <c r="I116" s="1028"/>
      <c r="J116" s="1028"/>
      <c r="K116" s="1028"/>
      <c r="L116" s="1028"/>
      <c r="M116" s="1028"/>
      <c r="N116" s="1028"/>
      <c r="O116" s="1028"/>
      <c r="P116" s="1028"/>
      <c r="Q116" s="1028"/>
      <c r="R116" s="1028"/>
      <c r="S116" s="1028"/>
      <c r="T116" s="1028"/>
      <c r="U116" s="1028"/>
      <c r="V116" s="1028"/>
      <c r="W116" s="1028"/>
      <c r="X116" s="1028"/>
      <c r="Y116" s="1028"/>
      <c r="Z116" s="1028"/>
      <c r="AA116" s="1028"/>
      <c r="AB116" s="1028"/>
      <c r="AC116" s="1028"/>
      <c r="AD116" s="1028"/>
      <c r="AE116" s="1028"/>
      <c r="AF116" s="1028"/>
      <c r="AG116" s="1028"/>
      <c r="AH116" s="1028"/>
      <c r="AI116" s="1028"/>
      <c r="AJ116" s="1028"/>
      <c r="AK116" s="1028"/>
      <c r="AL116" s="1028"/>
      <c r="AM116" s="1028"/>
      <c r="AN116" s="1028"/>
      <c r="AO116" s="4142"/>
      <c r="AP116" s="4143"/>
      <c r="AQ116" s="4144">
        <v>26.4</v>
      </c>
      <c r="AR116" s="4144">
        <v>26.4</v>
      </c>
      <c r="AS116" s="4144">
        <v>26.4</v>
      </c>
      <c r="AT116" s="4144">
        <v>26.4</v>
      </c>
      <c r="AU116" s="4144">
        <v>26.4</v>
      </c>
      <c r="AV116" s="4144">
        <v>26.4</v>
      </c>
      <c r="AW116" s="4144">
        <v>26.4</v>
      </c>
      <c r="AX116" s="4144">
        <v>26.4</v>
      </c>
      <c r="AY116" s="4144">
        <v>26.4</v>
      </c>
      <c r="AZ116" s="4144">
        <v>26.4</v>
      </c>
      <c r="BA116" s="4144">
        <v>26.4</v>
      </c>
      <c r="BB116" s="4144">
        <v>26.4</v>
      </c>
      <c r="BC116" s="4145">
        <v>316.8</v>
      </c>
      <c r="BD116" s="789">
        <v>26.4</v>
      </c>
      <c r="BE116" s="3946">
        <v>26.4</v>
      </c>
      <c r="BF116" s="3946">
        <v>26.4</v>
      </c>
      <c r="BG116" s="789">
        <v>26.4</v>
      </c>
      <c r="BH116" s="789">
        <v>26.4</v>
      </c>
      <c r="BI116" s="789">
        <v>26.4</v>
      </c>
      <c r="BJ116" s="789">
        <v>24</v>
      </c>
      <c r="BK116" s="789">
        <v>24</v>
      </c>
      <c r="BL116" s="789">
        <v>22.046813329999999</v>
      </c>
      <c r="BM116" s="789">
        <v>23</v>
      </c>
      <c r="BN116" s="789">
        <v>23</v>
      </c>
      <c r="BO116" s="789">
        <v>14.02537036</v>
      </c>
      <c r="BP116" s="3947">
        <v>288.47218369000001</v>
      </c>
      <c r="BQ116" s="4146">
        <v>21.075722710000001</v>
      </c>
      <c r="BR116" s="3954">
        <v>20.128282729999999</v>
      </c>
      <c r="BS116" s="3954">
        <v>21.14748183</v>
      </c>
      <c r="BT116" s="3954">
        <v>18.730698629999999</v>
      </c>
      <c r="BU116" s="4146">
        <v>18.018645459999998</v>
      </c>
      <c r="BV116" s="4146">
        <v>18.498636359999999</v>
      </c>
      <c r="BW116" s="4146">
        <v>17.553954529999999</v>
      </c>
      <c r="BX116" s="4146">
        <v>17.43760726</v>
      </c>
      <c r="BY116" s="4146">
        <v>17.025872700000001</v>
      </c>
      <c r="BZ116" s="4146">
        <v>17.0505</v>
      </c>
      <c r="CA116" s="4146">
        <v>17.43736363</v>
      </c>
      <c r="CB116" s="4146">
        <v>27.571801819999997</v>
      </c>
      <c r="CC116" s="6653">
        <v>231.67656765999999</v>
      </c>
      <c r="CD116" s="6552"/>
      <c r="CE116" s="6632"/>
      <c r="CF116" s="3946"/>
      <c r="CG116" s="3946"/>
      <c r="CH116" s="789"/>
      <c r="CI116" s="789"/>
      <c r="CJ116" s="789"/>
      <c r="CK116" s="789"/>
      <c r="CL116" s="789"/>
      <c r="CM116" s="789"/>
      <c r="CN116" s="789"/>
      <c r="CO116" s="789"/>
      <c r="CP116" s="4087"/>
      <c r="CQ116" s="790"/>
      <c r="CR116" s="6873">
        <f t="shared" si="94"/>
        <v>0</v>
      </c>
      <c r="CS116" s="6874">
        <f t="shared" si="95"/>
        <v>-20.128282729999999</v>
      </c>
      <c r="CT116" s="795"/>
      <c r="CU116" s="6765">
        <f t="shared" si="88"/>
        <v>0</v>
      </c>
      <c r="CV116" s="6739"/>
      <c r="CW116" s="6953"/>
      <c r="CX116" s="6757">
        <f t="shared" si="89"/>
        <v>-41.204005440000003</v>
      </c>
      <c r="CY116" s="2775"/>
      <c r="CZ116" s="590"/>
      <c r="DA116" s="590"/>
      <c r="DB116" s="590"/>
      <c r="DC116" s="590"/>
      <c r="DD116" s="590"/>
      <c r="DE116" s="590"/>
      <c r="DF116" s="590"/>
      <c r="DG116" s="590"/>
      <c r="DH116" s="590"/>
      <c r="DI116" s="590"/>
      <c r="DJ116" s="590"/>
      <c r="DK116" s="590"/>
      <c r="DL116" s="590"/>
      <c r="DM116" s="590"/>
      <c r="DO116" s="2261"/>
      <c r="DP116" s="2261"/>
      <c r="DS116" s="2261"/>
      <c r="DT116" s="2261"/>
    </row>
    <row r="117" spans="1:124" ht="16.3" hidden="1" customHeight="1" x14ac:dyDescent="0.55000000000000004">
      <c r="A117" s="4151"/>
      <c r="B117" s="4158"/>
      <c r="C117" s="1028" t="s">
        <v>862</v>
      </c>
      <c r="D117" s="1028"/>
      <c r="E117" s="1028"/>
      <c r="F117" s="1028"/>
      <c r="G117" s="1028"/>
      <c r="H117" s="1028"/>
      <c r="I117" s="1028"/>
      <c r="J117" s="1028"/>
      <c r="K117" s="1028"/>
      <c r="L117" s="1028"/>
      <c r="M117" s="1028"/>
      <c r="N117" s="1028"/>
      <c r="O117" s="1028"/>
      <c r="P117" s="1028"/>
      <c r="Q117" s="1028"/>
      <c r="R117" s="1028"/>
      <c r="S117" s="1028"/>
      <c r="T117" s="1028"/>
      <c r="U117" s="1028"/>
      <c r="V117" s="1028"/>
      <c r="W117" s="1028"/>
      <c r="X117" s="1028"/>
      <c r="Y117" s="1028"/>
      <c r="Z117" s="1028"/>
      <c r="AA117" s="1028"/>
      <c r="AB117" s="1028"/>
      <c r="AC117" s="1028"/>
      <c r="AD117" s="1028"/>
      <c r="AE117" s="1028"/>
      <c r="AF117" s="1028"/>
      <c r="AG117" s="1028"/>
      <c r="AH117" s="1028"/>
      <c r="AI117" s="1028"/>
      <c r="AJ117" s="1028"/>
      <c r="AK117" s="1028"/>
      <c r="AL117" s="1028"/>
      <c r="AM117" s="1028"/>
      <c r="AN117" s="1028"/>
      <c r="AO117" s="4142"/>
      <c r="AP117" s="4143"/>
      <c r="AQ117" s="4144">
        <v>0.42</v>
      </c>
      <c r="AR117" s="4144">
        <v>0.4</v>
      </c>
      <c r="AS117" s="4144">
        <v>0.30925000000000002</v>
      </c>
      <c r="AT117" s="4144">
        <v>0.15916</v>
      </c>
      <c r="AU117" s="4144">
        <v>5.2330000000000002E-2</v>
      </c>
      <c r="AV117" s="4144">
        <v>4.4949999999999997E-2</v>
      </c>
      <c r="AW117" s="4144">
        <v>4.6350000000000002E-2</v>
      </c>
      <c r="AX117" s="4144">
        <v>6.2950000000000006E-2</v>
      </c>
      <c r="AY117" s="4144">
        <v>0.05</v>
      </c>
      <c r="AZ117" s="4144">
        <v>6.2950000000000006E-2</v>
      </c>
      <c r="BA117" s="4144">
        <v>6.2950000000000006E-2</v>
      </c>
      <c r="BB117" s="4144">
        <v>0.05</v>
      </c>
      <c r="BC117" s="4145">
        <v>1.7208900000000005</v>
      </c>
      <c r="BD117" s="789">
        <v>0.05</v>
      </c>
      <c r="BE117" s="3946">
        <v>0.05</v>
      </c>
      <c r="BF117" s="3946">
        <v>0</v>
      </c>
      <c r="BG117" s="789">
        <v>0</v>
      </c>
      <c r="BH117" s="789">
        <v>0</v>
      </c>
      <c r="BI117" s="789">
        <v>0</v>
      </c>
      <c r="BJ117" s="789">
        <v>3.8570612124633996</v>
      </c>
      <c r="BK117" s="789">
        <v>6.53928931</v>
      </c>
      <c r="BL117" s="789">
        <v>4.9390665900000004</v>
      </c>
      <c r="BM117" s="789">
        <v>5.2678020600000002</v>
      </c>
      <c r="BN117" s="789">
        <v>8.45268789</v>
      </c>
      <c r="BO117" s="789">
        <v>5.0121211999999993</v>
      </c>
      <c r="BP117" s="3947">
        <v>34.168028262463402</v>
      </c>
      <c r="BQ117" s="4146">
        <v>5.8521822800000001</v>
      </c>
      <c r="BR117" s="3954">
        <v>6.8951263699999998</v>
      </c>
      <c r="BS117" s="3954">
        <v>5.8025181699999999</v>
      </c>
      <c r="BT117" s="3954">
        <v>6.2694963699999997</v>
      </c>
      <c r="BU117" s="4146">
        <v>6.9813545399999999</v>
      </c>
      <c r="BV117" s="4146">
        <v>6.5149999999999997</v>
      </c>
      <c r="BW117" s="4146">
        <v>7.4460454699999996</v>
      </c>
      <c r="BX117" s="4146">
        <v>7.5623927399999999</v>
      </c>
      <c r="BY117" s="4146">
        <v>7.9741273000000001</v>
      </c>
      <c r="BZ117" s="4146">
        <v>7.9494999999999996</v>
      </c>
      <c r="CA117" s="4146">
        <v>7.5626363699999999</v>
      </c>
      <c r="CB117" s="4146">
        <v>7.6865181800000002</v>
      </c>
      <c r="CC117" s="6653">
        <v>84.496897789999991</v>
      </c>
      <c r="CD117" s="6552"/>
      <c r="CE117" s="6632"/>
      <c r="CF117" s="3946"/>
      <c r="CG117" s="3946"/>
      <c r="CH117" s="789"/>
      <c r="CI117" s="789"/>
      <c r="CJ117" s="789"/>
      <c r="CK117" s="789"/>
      <c r="CL117" s="789"/>
      <c r="CM117" s="789"/>
      <c r="CN117" s="789"/>
      <c r="CO117" s="789"/>
      <c r="CP117" s="4087"/>
      <c r="CQ117" s="790"/>
      <c r="CR117" s="6873">
        <f t="shared" si="94"/>
        <v>0</v>
      </c>
      <c r="CS117" s="6874">
        <f t="shared" si="95"/>
        <v>-6.8951263699999998</v>
      </c>
      <c r="CT117" s="795"/>
      <c r="CU117" s="6765">
        <f t="shared" si="88"/>
        <v>0</v>
      </c>
      <c r="CV117" s="6739"/>
      <c r="CW117" s="6953"/>
      <c r="CX117" s="6757">
        <f t="shared" si="89"/>
        <v>-12.747308650000001</v>
      </c>
      <c r="CY117" s="2775"/>
      <c r="CZ117" s="590"/>
      <c r="DA117" s="590"/>
      <c r="DB117" s="590"/>
      <c r="DC117" s="590"/>
      <c r="DD117" s="590"/>
      <c r="DE117" s="590"/>
      <c r="DF117" s="590"/>
      <c r="DG117" s="590"/>
      <c r="DH117" s="590"/>
      <c r="DI117" s="590"/>
      <c r="DJ117" s="590"/>
      <c r="DK117" s="590"/>
      <c r="DL117" s="590"/>
      <c r="DM117" s="590"/>
      <c r="DO117" s="2261"/>
      <c r="DP117" s="2261"/>
      <c r="DS117" s="2261"/>
      <c r="DT117" s="2261"/>
    </row>
    <row r="118" spans="1:124" ht="16.3" hidden="1" customHeight="1" x14ac:dyDescent="0.55000000000000004">
      <c r="A118" s="4151"/>
      <c r="B118" s="4158"/>
      <c r="C118" s="4158" t="s">
        <v>37</v>
      </c>
      <c r="D118" s="4158"/>
      <c r="E118" s="4158"/>
      <c r="F118" s="4158"/>
      <c r="G118" s="4158"/>
      <c r="H118" s="4158"/>
      <c r="I118" s="4158"/>
      <c r="J118" s="4158"/>
      <c r="K118" s="4158"/>
      <c r="L118" s="4158"/>
      <c r="M118" s="4158"/>
      <c r="N118" s="4158"/>
      <c r="O118" s="4158"/>
      <c r="P118" s="4158"/>
      <c r="Q118" s="4158"/>
      <c r="R118" s="4158"/>
      <c r="S118" s="4158"/>
      <c r="T118" s="4158"/>
      <c r="U118" s="4158"/>
      <c r="V118" s="4158"/>
      <c r="W118" s="4158"/>
      <c r="X118" s="4158"/>
      <c r="Y118" s="4158"/>
      <c r="Z118" s="4158"/>
      <c r="AA118" s="4158"/>
      <c r="AB118" s="4158"/>
      <c r="AC118" s="4158"/>
      <c r="AD118" s="4158"/>
      <c r="AE118" s="4158"/>
      <c r="AF118" s="4158"/>
      <c r="AG118" s="4158"/>
      <c r="AH118" s="4158"/>
      <c r="AI118" s="4158"/>
      <c r="AJ118" s="4158"/>
      <c r="AK118" s="4158"/>
      <c r="AL118" s="4158"/>
      <c r="AM118" s="4158"/>
      <c r="AN118" s="4158"/>
      <c r="AO118" s="3876"/>
      <c r="AP118" s="4161"/>
      <c r="AQ118" s="4162">
        <v>25.912635562874073</v>
      </c>
      <c r="AR118" s="4162">
        <v>25.943116168286505</v>
      </c>
      <c r="AS118" s="4162">
        <v>25.574407713455496</v>
      </c>
      <c r="AT118" s="4162">
        <v>26.795417836789024</v>
      </c>
      <c r="AU118" s="4162">
        <v>26.520128177084491</v>
      </c>
      <c r="AV118" s="4162">
        <v>25.566254496046529</v>
      </c>
      <c r="AW118" s="4162">
        <v>26.408212029888549</v>
      </c>
      <c r="AX118" s="4162">
        <v>25.757478318137039</v>
      </c>
      <c r="AY118" s="4162">
        <v>26.414903725243846</v>
      </c>
      <c r="AZ118" s="4162">
        <v>24.485713763414754</v>
      </c>
      <c r="BA118" s="4162">
        <v>31.251347071051072</v>
      </c>
      <c r="BB118" s="4162">
        <v>25.599578771159539</v>
      </c>
      <c r="BC118" s="4163">
        <v>316.22919363343095</v>
      </c>
      <c r="BD118" s="800">
        <f>BD119+BD120+BD121+BD122+BD123+BD124</f>
        <v>25.093090642100375</v>
      </c>
      <c r="BE118" s="800">
        <f t="shared" ref="BE118:BN118" si="132">BE119+BE120+BE121+BE122+BE123+BE124</f>
        <v>27.650234005443885</v>
      </c>
      <c r="BF118" s="800">
        <f t="shared" si="132"/>
        <v>26.780580505635594</v>
      </c>
      <c r="BG118" s="800">
        <f t="shared" si="132"/>
        <v>26.665349378961466</v>
      </c>
      <c r="BH118" s="800">
        <f t="shared" si="132"/>
        <v>26.397546287447714</v>
      </c>
      <c r="BI118" s="800">
        <f t="shared" si="132"/>
        <v>29.826071843389368</v>
      </c>
      <c r="BJ118" s="800">
        <f t="shared" si="132"/>
        <v>26.152080011082205</v>
      </c>
      <c r="BK118" s="800">
        <f t="shared" si="132"/>
        <v>25.239406071265222</v>
      </c>
      <c r="BL118" s="800">
        <f t="shared" si="132"/>
        <v>29.097775375628355</v>
      </c>
      <c r="BM118" s="800">
        <f t="shared" si="132"/>
        <v>28.176681193220773</v>
      </c>
      <c r="BN118" s="800">
        <f t="shared" si="132"/>
        <v>25.958964274984698</v>
      </c>
      <c r="BO118" s="800">
        <v>28.184669080768696</v>
      </c>
      <c r="BP118" s="3880">
        <v>325.22244866992833</v>
      </c>
      <c r="BQ118" s="3882">
        <f t="shared" ref="BQ118:CB118" si="133">BQ119+BQ120+BQ121+BQ122+BQ123+BQ124</f>
        <v>24.845837291783244</v>
      </c>
      <c r="BR118" s="3882">
        <f t="shared" si="133"/>
        <v>24.746011535136944</v>
      </c>
      <c r="BS118" s="3882">
        <f t="shared" si="133"/>
        <v>24.090857329318144</v>
      </c>
      <c r="BT118" s="3882">
        <f t="shared" si="133"/>
        <v>25.004927535117659</v>
      </c>
      <c r="BU118" s="3882">
        <f t="shared" si="133"/>
        <v>23.566866713899419</v>
      </c>
      <c r="BV118" s="3882">
        <f t="shared" si="133"/>
        <v>25.144064381518589</v>
      </c>
      <c r="BW118" s="3882">
        <f t="shared" si="133"/>
        <v>23.561724589821733</v>
      </c>
      <c r="BX118" s="3882">
        <f t="shared" si="133"/>
        <v>23.033514047552092</v>
      </c>
      <c r="BY118" s="3882">
        <f t="shared" si="133"/>
        <v>30.699911486071109</v>
      </c>
      <c r="BZ118" s="3882">
        <f t="shared" si="133"/>
        <v>26.907504744318224</v>
      </c>
      <c r="CA118" s="3882">
        <f t="shared" si="133"/>
        <v>28.22235964088182</v>
      </c>
      <c r="CB118" s="3882">
        <f t="shared" si="133"/>
        <v>32.971378872576366</v>
      </c>
      <c r="CC118" s="6665">
        <v>312.79495816799533</v>
      </c>
      <c r="CD118" s="6635"/>
      <c r="CE118" s="6635"/>
      <c r="CF118" s="800"/>
      <c r="CG118" s="800"/>
      <c r="CH118" s="800"/>
      <c r="CI118" s="800"/>
      <c r="CJ118" s="800"/>
      <c r="CK118" s="800"/>
      <c r="CL118" s="800"/>
      <c r="CM118" s="800"/>
      <c r="CN118" s="800"/>
      <c r="CO118" s="800"/>
      <c r="CP118" s="4087"/>
      <c r="CQ118" s="790"/>
      <c r="CR118" s="6869">
        <f t="shared" si="94"/>
        <v>0</v>
      </c>
      <c r="CS118" s="6896">
        <f t="shared" si="95"/>
        <v>-24.746011535136944</v>
      </c>
      <c r="CT118" s="808"/>
      <c r="CU118" s="6924">
        <f t="shared" si="88"/>
        <v>0</v>
      </c>
      <c r="CV118" s="6739"/>
      <c r="CW118" s="6953"/>
      <c r="CX118" s="6760">
        <f t="shared" si="89"/>
        <v>-49.591848826920184</v>
      </c>
      <c r="CY118" s="2775"/>
      <c r="CZ118" s="590"/>
      <c r="DA118" s="590"/>
      <c r="DB118" s="590"/>
      <c r="DC118" s="590"/>
      <c r="DD118" s="590"/>
      <c r="DE118" s="590"/>
      <c r="DF118" s="590"/>
      <c r="DG118" s="590"/>
      <c r="DH118" s="590"/>
      <c r="DI118" s="590"/>
      <c r="DJ118" s="590"/>
      <c r="DK118" s="590"/>
      <c r="DL118" s="590"/>
      <c r="DM118" s="590"/>
      <c r="DO118" s="2261"/>
      <c r="DP118" s="2261"/>
      <c r="DS118" s="2261"/>
      <c r="DT118" s="2261"/>
    </row>
    <row r="119" spans="1:124" ht="16.3" hidden="1" customHeight="1" x14ac:dyDescent="0.55000000000000004">
      <c r="A119" s="4151"/>
      <c r="B119" s="4158"/>
      <c r="C119" s="4158" t="s">
        <v>30</v>
      </c>
      <c r="D119" s="4158"/>
      <c r="E119" s="4158"/>
      <c r="F119" s="4158"/>
      <c r="G119" s="4158"/>
      <c r="H119" s="4158"/>
      <c r="I119" s="4158"/>
      <c r="J119" s="4158"/>
      <c r="K119" s="4158"/>
      <c r="L119" s="4158"/>
      <c r="M119" s="4158"/>
      <c r="N119" s="4158"/>
      <c r="O119" s="4158"/>
      <c r="P119" s="4158"/>
      <c r="Q119" s="4158"/>
      <c r="R119" s="4158"/>
      <c r="S119" s="4158"/>
      <c r="T119" s="4158"/>
      <c r="U119" s="4158"/>
      <c r="V119" s="4158"/>
      <c r="W119" s="4158"/>
      <c r="X119" s="4158"/>
      <c r="Y119" s="4158"/>
      <c r="Z119" s="4158"/>
      <c r="AA119" s="4158"/>
      <c r="AB119" s="4158"/>
      <c r="AC119" s="4158"/>
      <c r="AD119" s="4158"/>
      <c r="AE119" s="4158"/>
      <c r="AF119" s="4158"/>
      <c r="AG119" s="4158"/>
      <c r="AH119" s="4158"/>
      <c r="AI119" s="4158"/>
      <c r="AJ119" s="4158"/>
      <c r="AK119" s="4158"/>
      <c r="AL119" s="4158"/>
      <c r="AM119" s="4158"/>
      <c r="AN119" s="4158"/>
      <c r="AO119" s="3876"/>
      <c r="AP119" s="4161"/>
      <c r="AQ119" s="4162">
        <v>18.161017801310326</v>
      </c>
      <c r="AR119" s="4162">
        <v>18.492298461170368</v>
      </c>
      <c r="AS119" s="4162">
        <v>18.130094353672604</v>
      </c>
      <c r="AT119" s="4162">
        <v>19.686150608230751</v>
      </c>
      <c r="AU119" s="4162">
        <v>18.335353298281152</v>
      </c>
      <c r="AV119" s="4162">
        <v>17.419234584628352</v>
      </c>
      <c r="AW119" s="4162">
        <v>17.926874626359499</v>
      </c>
      <c r="AX119" s="4162">
        <v>17.565155098415399</v>
      </c>
      <c r="AY119" s="4162">
        <v>18.051860600947101</v>
      </c>
      <c r="AZ119" s="4162">
        <v>17.261061261891502</v>
      </c>
      <c r="BA119" s="4162">
        <v>24.356538728380901</v>
      </c>
      <c r="BB119" s="4162">
        <v>18.601506660359199</v>
      </c>
      <c r="BC119" s="4163">
        <v>223.98714608364719</v>
      </c>
      <c r="BD119" s="800">
        <v>17.841713280754398</v>
      </c>
      <c r="BE119" s="4166">
        <v>20.352445324141701</v>
      </c>
      <c r="BF119" s="4166">
        <v>19.271665591956502</v>
      </c>
      <c r="BG119" s="800">
        <v>19.357516013205707</v>
      </c>
      <c r="BH119" s="800">
        <v>18.952102974707209</v>
      </c>
      <c r="BI119" s="800">
        <v>20.996801599790579</v>
      </c>
      <c r="BJ119" s="800">
        <v>18.58657766613371</v>
      </c>
      <c r="BK119" s="800">
        <v>18.614209726529008</v>
      </c>
      <c r="BL119" s="800">
        <v>22.298754471697769</v>
      </c>
      <c r="BM119" s="800">
        <v>21.860125468600735</v>
      </c>
      <c r="BN119" s="800">
        <v>19.858776796245056</v>
      </c>
      <c r="BO119" s="800">
        <v>21.291638534401709</v>
      </c>
      <c r="BP119" s="3880">
        <v>239.28232744816407</v>
      </c>
      <c r="BQ119" s="3882">
        <v>18.499502598368736</v>
      </c>
      <c r="BR119" s="4167">
        <v>17.666580611503012</v>
      </c>
      <c r="BS119" s="4167">
        <v>17.899014177053651</v>
      </c>
      <c r="BT119" s="3882">
        <v>18.631301473325518</v>
      </c>
      <c r="BU119" s="3882">
        <v>17.548396387078899</v>
      </c>
      <c r="BV119" s="3882">
        <v>18.948268203445625</v>
      </c>
      <c r="BW119" s="3882">
        <v>16.981313480285607</v>
      </c>
      <c r="BX119" s="3882">
        <v>17.064247758264955</v>
      </c>
      <c r="BY119" s="3882">
        <v>22.896992302152171</v>
      </c>
      <c r="BZ119" s="3882">
        <v>20.691386913480525</v>
      </c>
      <c r="CA119" s="3882">
        <v>21.491897175739812</v>
      </c>
      <c r="CB119" s="3882">
        <v>26.174286966985392</v>
      </c>
      <c r="CC119" s="6665">
        <v>234.4931880476839</v>
      </c>
      <c r="CD119" s="6635"/>
      <c r="CE119" s="6637"/>
      <c r="CF119" s="4166"/>
      <c r="CG119" s="3884"/>
      <c r="CH119" s="800"/>
      <c r="CI119" s="800"/>
      <c r="CJ119" s="800"/>
      <c r="CK119" s="800"/>
      <c r="CL119" s="800"/>
      <c r="CM119" s="800"/>
      <c r="CN119" s="800"/>
      <c r="CO119" s="800"/>
      <c r="CP119" s="4087"/>
      <c r="CQ119" s="790"/>
      <c r="CR119" s="6869">
        <f t="shared" si="94"/>
        <v>0</v>
      </c>
      <c r="CS119" s="6896">
        <f t="shared" si="95"/>
        <v>-17.666580611503012</v>
      </c>
      <c r="CT119" s="808"/>
      <c r="CU119" s="6924">
        <f t="shared" si="88"/>
        <v>0</v>
      </c>
      <c r="CV119" s="6739"/>
      <c r="CW119" s="6953"/>
      <c r="CX119" s="6760">
        <f t="shared" si="89"/>
        <v>-36.166083209871744</v>
      </c>
      <c r="CY119" s="2775"/>
      <c r="CZ119" s="590"/>
      <c r="DA119" s="590"/>
      <c r="DB119" s="590"/>
      <c r="DC119" s="590"/>
      <c r="DD119" s="590"/>
      <c r="DE119" s="590"/>
      <c r="DF119" s="590"/>
      <c r="DG119" s="590"/>
      <c r="DH119" s="590"/>
      <c r="DI119" s="590"/>
      <c r="DJ119" s="590"/>
      <c r="DK119" s="590"/>
      <c r="DL119" s="590"/>
      <c r="DM119" s="590"/>
      <c r="DO119" s="2261"/>
      <c r="DP119" s="2261"/>
      <c r="DS119" s="2261"/>
      <c r="DT119" s="2261"/>
    </row>
    <row r="120" spans="1:124" ht="16.3" hidden="1" customHeight="1" x14ac:dyDescent="0.55000000000000004">
      <c r="A120" s="4151"/>
      <c r="B120" s="4158"/>
      <c r="C120" s="4158" t="s">
        <v>31</v>
      </c>
      <c r="D120" s="4158"/>
      <c r="E120" s="4158"/>
      <c r="F120" s="4158"/>
      <c r="G120" s="4158"/>
      <c r="H120" s="4158"/>
      <c r="I120" s="4158"/>
      <c r="J120" s="4158"/>
      <c r="K120" s="4158"/>
      <c r="L120" s="4158"/>
      <c r="M120" s="4158"/>
      <c r="N120" s="4158"/>
      <c r="O120" s="4158"/>
      <c r="P120" s="4158"/>
      <c r="Q120" s="4158"/>
      <c r="R120" s="4158"/>
      <c r="S120" s="4158"/>
      <c r="T120" s="4158"/>
      <c r="U120" s="4158"/>
      <c r="V120" s="4158"/>
      <c r="W120" s="4158"/>
      <c r="X120" s="4158"/>
      <c r="Y120" s="4158"/>
      <c r="Z120" s="4158"/>
      <c r="AA120" s="4158"/>
      <c r="AB120" s="4158"/>
      <c r="AC120" s="4158"/>
      <c r="AD120" s="4158"/>
      <c r="AE120" s="4158"/>
      <c r="AF120" s="4158"/>
      <c r="AG120" s="4158"/>
      <c r="AH120" s="4158"/>
      <c r="AI120" s="4158"/>
      <c r="AJ120" s="4158"/>
      <c r="AK120" s="4158"/>
      <c r="AL120" s="4158"/>
      <c r="AM120" s="4158"/>
      <c r="AN120" s="4158"/>
      <c r="AO120" s="3876"/>
      <c r="AP120" s="4161"/>
      <c r="AQ120" s="4162">
        <v>3.8813741971043298</v>
      </c>
      <c r="AR120" s="4162">
        <v>3.9495419990067</v>
      </c>
      <c r="AS120" s="4162">
        <v>3.9043491229798004</v>
      </c>
      <c r="AT120" s="4162">
        <v>3.8626338209547204</v>
      </c>
      <c r="AU120" s="4162">
        <v>3.8153971337097401</v>
      </c>
      <c r="AV120" s="4162">
        <v>3.8383912199157155</v>
      </c>
      <c r="AW120" s="4162">
        <v>3.5033417418637298</v>
      </c>
      <c r="AX120" s="4162">
        <v>3.9846041755233301</v>
      </c>
      <c r="AY120" s="4162">
        <v>3.9801686644977305</v>
      </c>
      <c r="AZ120" s="4162">
        <v>3.70395673340763</v>
      </c>
      <c r="BA120" s="4162">
        <v>3.7586206551776398</v>
      </c>
      <c r="BB120" s="4162">
        <v>3.4343631264259602</v>
      </c>
      <c r="BC120" s="4163">
        <v>45.616742590567021</v>
      </c>
      <c r="BD120" s="800">
        <v>3.5370057352378903</v>
      </c>
      <c r="BE120" s="4166">
        <v>3.6615469677585364</v>
      </c>
      <c r="BF120" s="4166">
        <v>3.4428642774974798</v>
      </c>
      <c r="BG120" s="800">
        <v>3.5915985397283645</v>
      </c>
      <c r="BH120" s="800">
        <v>3.4910958247858823</v>
      </c>
      <c r="BI120" s="800">
        <v>3.5163198530500175</v>
      </c>
      <c r="BJ120" s="800">
        <v>3.481815209566252</v>
      </c>
      <c r="BK120" s="800">
        <v>2.9621158759178638</v>
      </c>
      <c r="BL120" s="800">
        <v>2.7937829866539872</v>
      </c>
      <c r="BM120" s="800">
        <v>2.516790123692128</v>
      </c>
      <c r="BN120" s="800">
        <v>2.557718349530667</v>
      </c>
      <c r="BO120" s="800">
        <v>2.5209715319656967</v>
      </c>
      <c r="BP120" s="3880">
        <v>38.073625275384771</v>
      </c>
      <c r="BQ120" s="3882">
        <v>2.67858501442459</v>
      </c>
      <c r="BR120" s="4167">
        <v>2.5128946773197263</v>
      </c>
      <c r="BS120" s="4167">
        <v>2.4634362158557166</v>
      </c>
      <c r="BT120" s="3882">
        <v>2.6325713705788578</v>
      </c>
      <c r="BU120" s="3882">
        <v>2.6665240794888807</v>
      </c>
      <c r="BV120" s="3882">
        <v>2.4713416071119449</v>
      </c>
      <c r="BW120" s="3882">
        <v>2.6167520520051961</v>
      </c>
      <c r="BX120" s="3882">
        <v>2.64767064322742</v>
      </c>
      <c r="BY120" s="3882">
        <v>2.8145693804611946</v>
      </c>
      <c r="BZ120" s="3882">
        <v>2.835289607405902</v>
      </c>
      <c r="CA120" s="3882">
        <v>2.8089641826439147</v>
      </c>
      <c r="CB120" s="3882">
        <v>2.7259271424475218</v>
      </c>
      <c r="CC120" s="6665">
        <v>31.874525972970865</v>
      </c>
      <c r="CD120" s="6635"/>
      <c r="CE120" s="6637"/>
      <c r="CF120" s="4166"/>
      <c r="CG120" s="3899"/>
      <c r="CH120" s="800"/>
      <c r="CI120" s="800"/>
      <c r="CJ120" s="800"/>
      <c r="CK120" s="800"/>
      <c r="CL120" s="800"/>
      <c r="CM120" s="800"/>
      <c r="CN120" s="800"/>
      <c r="CO120" s="800"/>
      <c r="CP120" s="4087"/>
      <c r="CQ120" s="790"/>
      <c r="CR120" s="6869">
        <f t="shared" si="94"/>
        <v>0</v>
      </c>
      <c r="CS120" s="6896">
        <f t="shared" si="95"/>
        <v>-2.5128946773197263</v>
      </c>
      <c r="CT120" s="808"/>
      <c r="CU120" s="6924">
        <f t="shared" si="88"/>
        <v>0</v>
      </c>
      <c r="CV120" s="6739"/>
      <c r="CW120" s="6953"/>
      <c r="CX120" s="6760">
        <f t="shared" si="89"/>
        <v>-5.1914796917443162</v>
      </c>
      <c r="CY120" s="2775"/>
      <c r="CZ120" s="590"/>
      <c r="DA120" s="590"/>
      <c r="DB120" s="590"/>
      <c r="DC120" s="590"/>
      <c r="DD120" s="590"/>
      <c r="DE120" s="590"/>
      <c r="DF120" s="590"/>
      <c r="DG120" s="590"/>
      <c r="DH120" s="590"/>
      <c r="DI120" s="590"/>
      <c r="DJ120" s="590"/>
      <c r="DK120" s="590"/>
      <c r="DL120" s="590"/>
      <c r="DM120" s="590"/>
      <c r="DO120" s="2261"/>
      <c r="DP120" s="2261"/>
      <c r="DS120" s="2261"/>
      <c r="DT120" s="2261"/>
    </row>
    <row r="121" spans="1:124" ht="16.3" hidden="1" customHeight="1" x14ac:dyDescent="0.55000000000000004">
      <c r="A121" s="4151"/>
      <c r="B121" s="4158"/>
      <c r="C121" s="4158" t="s">
        <v>38</v>
      </c>
      <c r="D121" s="4158"/>
      <c r="E121" s="4158"/>
      <c r="F121" s="4158"/>
      <c r="G121" s="4158"/>
      <c r="H121" s="4158"/>
      <c r="I121" s="4158"/>
      <c r="J121" s="4158"/>
      <c r="K121" s="4158"/>
      <c r="L121" s="4158"/>
      <c r="M121" s="4158"/>
      <c r="N121" s="4158"/>
      <c r="O121" s="4158"/>
      <c r="P121" s="4158"/>
      <c r="Q121" s="4158"/>
      <c r="R121" s="4158"/>
      <c r="S121" s="4158"/>
      <c r="T121" s="4158"/>
      <c r="U121" s="4158"/>
      <c r="V121" s="4158"/>
      <c r="W121" s="4158"/>
      <c r="X121" s="4158"/>
      <c r="Y121" s="4158"/>
      <c r="Z121" s="4158"/>
      <c r="AA121" s="4158"/>
      <c r="AB121" s="4158"/>
      <c r="AC121" s="4158"/>
      <c r="AD121" s="4158"/>
      <c r="AE121" s="4158"/>
      <c r="AF121" s="4158"/>
      <c r="AG121" s="4158"/>
      <c r="AH121" s="4158"/>
      <c r="AI121" s="4158"/>
      <c r="AJ121" s="4158"/>
      <c r="AK121" s="4158"/>
      <c r="AL121" s="4158"/>
      <c r="AM121" s="4158"/>
      <c r="AN121" s="4158"/>
      <c r="AO121" s="3876"/>
      <c r="AP121" s="4161"/>
      <c r="AQ121" s="4162">
        <v>1.0864503299999999</v>
      </c>
      <c r="AR121" s="4162">
        <v>1.13773967</v>
      </c>
      <c r="AS121" s="4162">
        <v>0.99871881000000007</v>
      </c>
      <c r="AT121" s="4162">
        <v>0.92475843000000002</v>
      </c>
      <c r="AU121" s="4162">
        <v>0.66422409000000004</v>
      </c>
      <c r="AV121" s="4162">
        <v>0.63256546000000002</v>
      </c>
      <c r="AW121" s="4162">
        <v>0.61284289000000003</v>
      </c>
      <c r="AX121" s="4162">
        <v>0.98170449000000004</v>
      </c>
      <c r="AY121" s="4162">
        <v>0.56685030000000003</v>
      </c>
      <c r="AZ121" s="4162">
        <v>0.7082004999999999</v>
      </c>
      <c r="BA121" s="4162">
        <v>0.69452150000000001</v>
      </c>
      <c r="BB121" s="4162">
        <v>0.68953559999999992</v>
      </c>
      <c r="BC121" s="4163">
        <v>9.6981120700000023</v>
      </c>
      <c r="BD121" s="800">
        <v>0.97350049999999999</v>
      </c>
      <c r="BE121" s="4166">
        <v>0.97842529</v>
      </c>
      <c r="BF121" s="4166">
        <v>1.1423398499999999</v>
      </c>
      <c r="BG121" s="800">
        <v>0.98880886999999995</v>
      </c>
      <c r="BH121" s="800">
        <v>1.05397959</v>
      </c>
      <c r="BI121" s="800">
        <v>0.86617261999999995</v>
      </c>
      <c r="BJ121" s="800">
        <v>0.89476533000000003</v>
      </c>
      <c r="BK121" s="800">
        <v>0.62096501000000004</v>
      </c>
      <c r="BL121" s="800">
        <v>0.93722218999999996</v>
      </c>
      <c r="BM121" s="800">
        <v>0.84337209000000002</v>
      </c>
      <c r="BN121" s="800">
        <v>0.70128815</v>
      </c>
      <c r="BO121" s="800">
        <v>0.59708238999999996</v>
      </c>
      <c r="BP121" s="3880">
        <v>10.597921879999999</v>
      </c>
      <c r="BQ121" s="3882">
        <v>0.81253045000000002</v>
      </c>
      <c r="BR121" s="4167">
        <v>0.97675718</v>
      </c>
      <c r="BS121" s="4167">
        <v>0.82664890000000002</v>
      </c>
      <c r="BT121" s="3882">
        <v>0.72904833999999996</v>
      </c>
      <c r="BU121" s="3882">
        <v>0.66360797000000005</v>
      </c>
      <c r="BV121" s="3882">
        <v>0.82193156000000001</v>
      </c>
      <c r="BW121" s="3882">
        <v>0.82336953999999996</v>
      </c>
      <c r="BX121" s="3882">
        <v>0.75623108999999999</v>
      </c>
      <c r="BY121" s="3882">
        <v>1.16225727</v>
      </c>
      <c r="BZ121" s="3882">
        <v>0.78414680999999997</v>
      </c>
      <c r="CA121" s="3882">
        <v>0.90320518000000005</v>
      </c>
      <c r="CB121" s="3882">
        <v>0.96528119999999995</v>
      </c>
      <c r="CC121" s="6665">
        <v>10.225015489999999</v>
      </c>
      <c r="CD121" s="6635"/>
      <c r="CE121" s="6637"/>
      <c r="CF121" s="4166"/>
      <c r="CG121" s="3884"/>
      <c r="CH121" s="800"/>
      <c r="CI121" s="800"/>
      <c r="CJ121" s="800"/>
      <c r="CK121" s="800"/>
      <c r="CL121" s="800"/>
      <c r="CM121" s="800"/>
      <c r="CN121" s="800"/>
      <c r="CO121" s="800"/>
      <c r="CP121" s="4087"/>
      <c r="CQ121" s="790"/>
      <c r="CR121" s="6869">
        <f t="shared" si="94"/>
        <v>0</v>
      </c>
      <c r="CS121" s="6896">
        <f t="shared" si="95"/>
        <v>-0.97675718</v>
      </c>
      <c r="CT121" s="808"/>
      <c r="CU121" s="6924">
        <f t="shared" si="88"/>
        <v>0</v>
      </c>
      <c r="CV121" s="6739"/>
      <c r="CW121" s="6953"/>
      <c r="CX121" s="6760">
        <f t="shared" si="89"/>
        <v>-1.78928763</v>
      </c>
      <c r="CY121" s="2775"/>
      <c r="CZ121" s="590"/>
      <c r="DA121" s="590"/>
      <c r="DB121" s="590"/>
      <c r="DC121" s="590"/>
      <c r="DD121" s="590"/>
      <c r="DE121" s="590"/>
      <c r="DF121" s="590"/>
      <c r="DG121" s="590"/>
      <c r="DH121" s="590"/>
      <c r="DI121" s="590"/>
      <c r="DJ121" s="590"/>
      <c r="DK121" s="590"/>
      <c r="DL121" s="590"/>
      <c r="DM121" s="590"/>
      <c r="DO121" s="2261"/>
      <c r="DP121" s="2261"/>
      <c r="DS121" s="2261"/>
      <c r="DT121" s="2261"/>
    </row>
    <row r="122" spans="1:124" ht="16.3" hidden="1" customHeight="1" x14ac:dyDescent="0.55000000000000004">
      <c r="A122" s="4151"/>
      <c r="B122" s="4158"/>
      <c r="C122" s="4158" t="s">
        <v>24</v>
      </c>
      <c r="D122" s="4158"/>
      <c r="E122" s="4158"/>
      <c r="F122" s="4158"/>
      <c r="G122" s="4158"/>
      <c r="H122" s="4158"/>
      <c r="I122" s="4158"/>
      <c r="J122" s="4158"/>
      <c r="K122" s="4158"/>
      <c r="L122" s="4158"/>
      <c r="M122" s="4158"/>
      <c r="N122" s="4158"/>
      <c r="O122" s="4158"/>
      <c r="P122" s="4158"/>
      <c r="Q122" s="4158"/>
      <c r="R122" s="4158"/>
      <c r="S122" s="4158"/>
      <c r="T122" s="4158"/>
      <c r="U122" s="4158"/>
      <c r="V122" s="4158"/>
      <c r="W122" s="4158"/>
      <c r="X122" s="4158"/>
      <c r="Y122" s="4158"/>
      <c r="Z122" s="4158"/>
      <c r="AA122" s="4158"/>
      <c r="AB122" s="4158"/>
      <c r="AC122" s="4158"/>
      <c r="AD122" s="4158"/>
      <c r="AE122" s="4158"/>
      <c r="AF122" s="4158"/>
      <c r="AG122" s="4158"/>
      <c r="AH122" s="4158"/>
      <c r="AI122" s="4158"/>
      <c r="AJ122" s="4158"/>
      <c r="AK122" s="4158"/>
      <c r="AL122" s="4158"/>
      <c r="AM122" s="4158"/>
      <c r="AN122" s="4158"/>
      <c r="AO122" s="3876"/>
      <c r="AP122" s="4161"/>
      <c r="AQ122" s="4162">
        <v>0.86089929726960013</v>
      </c>
      <c r="AR122" s="4162">
        <v>0.46442133398744501</v>
      </c>
      <c r="AS122" s="4162">
        <v>0.61967935655462902</v>
      </c>
      <c r="AT122" s="4162">
        <v>0.48857877902557706</v>
      </c>
      <c r="AU122" s="4162">
        <v>1.8577994557200399</v>
      </c>
      <c r="AV122" s="4162">
        <v>1.8367280586891908</v>
      </c>
      <c r="AW122" s="4162">
        <v>2.4806770695648397</v>
      </c>
      <c r="AX122" s="4162">
        <v>1.30981867083911</v>
      </c>
      <c r="AY122" s="4162">
        <v>1.95486707991037</v>
      </c>
      <c r="AZ122" s="4162">
        <v>0.94998536736166106</v>
      </c>
      <c r="BA122" s="4162">
        <v>0.51756815465873096</v>
      </c>
      <c r="BB122" s="4162">
        <v>0.9226024917474841</v>
      </c>
      <c r="BC122" s="4163">
        <v>14.263625115328679</v>
      </c>
      <c r="BD122" s="800">
        <v>0.75651683973840445</v>
      </c>
      <c r="BE122" s="4166">
        <v>0.68910140094004924</v>
      </c>
      <c r="BF122" s="4166">
        <v>0.95348727889138396</v>
      </c>
      <c r="BG122" s="800">
        <v>0.82952300147586833</v>
      </c>
      <c r="BH122" s="800">
        <v>0.9854176929602747</v>
      </c>
      <c r="BI122" s="800">
        <v>2.4546600523498117</v>
      </c>
      <c r="BJ122" s="800">
        <v>1.2051291769205361</v>
      </c>
      <c r="BK122" s="800">
        <v>1.0299152955775039</v>
      </c>
      <c r="BL122" s="800">
        <v>1.1657122270895446</v>
      </c>
      <c r="BM122" s="800">
        <v>1.003891749789835</v>
      </c>
      <c r="BN122" s="800">
        <v>0.82389975411466032</v>
      </c>
      <c r="BO122" s="800">
        <v>1.7348195932648081</v>
      </c>
      <c r="BP122" s="3880">
        <v>13.632074063112681</v>
      </c>
      <c r="BQ122" s="3882">
        <v>0.86642615868554684</v>
      </c>
      <c r="BR122" s="4167">
        <v>1.557573199675107</v>
      </c>
      <c r="BS122" s="4167">
        <v>0.91585897776035885</v>
      </c>
      <c r="BT122" s="3882">
        <v>1.107382564165549</v>
      </c>
      <c r="BU122" s="3882">
        <v>0.76117418477698351</v>
      </c>
      <c r="BV122" s="3882">
        <v>1.0033299353068765</v>
      </c>
      <c r="BW122" s="3882">
        <v>1.1553438126633933</v>
      </c>
      <c r="BX122" s="3882">
        <v>0.64172419156461991</v>
      </c>
      <c r="BY122" s="3882">
        <v>1.8769628680207699</v>
      </c>
      <c r="BZ122" s="3882">
        <v>0.7032481900767964</v>
      </c>
      <c r="CA122" s="3882">
        <v>1.0473020986828578</v>
      </c>
      <c r="CB122" s="3882">
        <v>1.0375583207623571</v>
      </c>
      <c r="CC122" s="6665">
        <v>12.673884502141219</v>
      </c>
      <c r="CD122" s="6635"/>
      <c r="CE122" s="6637"/>
      <c r="CF122" s="4166"/>
      <c r="CG122" s="3899"/>
      <c r="CH122" s="800"/>
      <c r="CI122" s="800"/>
      <c r="CJ122" s="800"/>
      <c r="CK122" s="800"/>
      <c r="CL122" s="800"/>
      <c r="CM122" s="800"/>
      <c r="CN122" s="800"/>
      <c r="CO122" s="800"/>
      <c r="CP122" s="4087"/>
      <c r="CQ122" s="790"/>
      <c r="CR122" s="6869">
        <f t="shared" si="94"/>
        <v>0</v>
      </c>
      <c r="CS122" s="6896">
        <f t="shared" si="95"/>
        <v>-1.557573199675107</v>
      </c>
      <c r="CT122" s="808"/>
      <c r="CU122" s="6924">
        <f t="shared" si="88"/>
        <v>0</v>
      </c>
      <c r="CV122" s="6739"/>
      <c r="CW122" s="6953"/>
      <c r="CX122" s="6760">
        <f t="shared" si="89"/>
        <v>-2.4239993583606538</v>
      </c>
      <c r="CY122" s="2775"/>
      <c r="CZ122" s="590"/>
      <c r="DA122" s="590"/>
      <c r="DB122" s="590"/>
      <c r="DC122" s="590"/>
      <c r="DD122" s="590"/>
      <c r="DE122" s="590"/>
      <c r="DF122" s="590"/>
      <c r="DG122" s="590"/>
      <c r="DH122" s="590"/>
      <c r="DI122" s="590"/>
      <c r="DJ122" s="590"/>
      <c r="DK122" s="590"/>
      <c r="DL122" s="590"/>
      <c r="DM122" s="590"/>
      <c r="DO122" s="2261"/>
      <c r="DP122" s="2261"/>
      <c r="DS122" s="2261"/>
      <c r="DT122" s="2261"/>
    </row>
    <row r="123" spans="1:124" ht="16.3" hidden="1" customHeight="1" x14ac:dyDescent="0.55000000000000004">
      <c r="A123" s="4151"/>
      <c r="B123" s="4158"/>
      <c r="C123" s="4158" t="s">
        <v>39</v>
      </c>
      <c r="D123" s="4158"/>
      <c r="E123" s="4158"/>
      <c r="F123" s="4158"/>
      <c r="G123" s="4158"/>
      <c r="H123" s="4158"/>
      <c r="I123" s="4158"/>
      <c r="J123" s="4158"/>
      <c r="K123" s="4158"/>
      <c r="L123" s="4158"/>
      <c r="M123" s="4158"/>
      <c r="N123" s="4158"/>
      <c r="O123" s="4158"/>
      <c r="P123" s="4158"/>
      <c r="Q123" s="4158"/>
      <c r="R123" s="4158"/>
      <c r="S123" s="4158"/>
      <c r="T123" s="4158"/>
      <c r="U123" s="4158"/>
      <c r="V123" s="4158"/>
      <c r="W123" s="4158"/>
      <c r="X123" s="4158"/>
      <c r="Y123" s="4158"/>
      <c r="Z123" s="4158"/>
      <c r="AA123" s="4158"/>
      <c r="AB123" s="4158"/>
      <c r="AC123" s="4158"/>
      <c r="AD123" s="4158"/>
      <c r="AE123" s="4158"/>
      <c r="AF123" s="4158"/>
      <c r="AG123" s="4158"/>
      <c r="AH123" s="4158"/>
      <c r="AI123" s="4158"/>
      <c r="AJ123" s="4158"/>
      <c r="AK123" s="4158"/>
      <c r="AL123" s="4158"/>
      <c r="AM123" s="4158"/>
      <c r="AN123" s="4158"/>
      <c r="AO123" s="3876"/>
      <c r="AP123" s="4161"/>
      <c r="AQ123" s="4162">
        <v>0.49289393718981495</v>
      </c>
      <c r="AR123" s="4162">
        <v>0.46911470412199302</v>
      </c>
      <c r="AS123" s="4162">
        <v>0.49156607024846299</v>
      </c>
      <c r="AT123" s="4162">
        <v>0.40329619857797605</v>
      </c>
      <c r="AU123" s="4162">
        <v>0.415094474679093</v>
      </c>
      <c r="AV123" s="4162">
        <v>0.40707544811881102</v>
      </c>
      <c r="AW123" s="4162">
        <v>0.4522159774060201</v>
      </c>
      <c r="AX123" s="4162">
        <v>0.4839361586647401</v>
      </c>
      <c r="AY123" s="4162">
        <v>0.42889735519418204</v>
      </c>
      <c r="AZ123" s="4162">
        <v>0.430250176059497</v>
      </c>
      <c r="BA123" s="4162">
        <v>0.49183830813933499</v>
      </c>
      <c r="BB123" s="4162">
        <v>0.51931116793243703</v>
      </c>
      <c r="BC123" s="4163">
        <v>5.485489976332361</v>
      </c>
      <c r="BD123" s="800">
        <v>0.55435428636968387</v>
      </c>
      <c r="BE123" s="4166">
        <v>0.53871502260359727</v>
      </c>
      <c r="BF123" s="4166">
        <v>0.54022350729023005</v>
      </c>
      <c r="BG123" s="800">
        <v>0.46790295455152797</v>
      </c>
      <c r="BH123" s="800">
        <v>0.48269048029988243</v>
      </c>
      <c r="BI123" s="800">
        <v>0.55985799350449805</v>
      </c>
      <c r="BJ123" s="800">
        <v>0.55153290376724584</v>
      </c>
      <c r="BK123" s="800">
        <v>0.57994043854638788</v>
      </c>
      <c r="BL123" s="800">
        <v>0.47004377549259335</v>
      </c>
      <c r="BM123" s="800">
        <v>0.52024203644361156</v>
      </c>
      <c r="BN123" s="800">
        <v>0.5850215003998549</v>
      </c>
      <c r="BO123" s="800">
        <v>0.60789730644202067</v>
      </c>
      <c r="BP123" s="3880">
        <v>6.458422205711134</v>
      </c>
      <c r="BQ123" s="3882">
        <v>0.55879307030437153</v>
      </c>
      <c r="BR123" s="4167">
        <v>0.60220586663910081</v>
      </c>
      <c r="BS123" s="4167">
        <v>0.55589905864841982</v>
      </c>
      <c r="BT123" s="3882">
        <v>0.47462378704773767</v>
      </c>
      <c r="BU123" s="3882">
        <v>0.49490436786019226</v>
      </c>
      <c r="BV123" s="3882">
        <v>0.4669333509596803</v>
      </c>
      <c r="BW123" s="3882">
        <v>0.55268598017307502</v>
      </c>
      <c r="BX123" s="3882">
        <v>0.49138063980063468</v>
      </c>
      <c r="BY123" s="3882">
        <v>0.51686994074251236</v>
      </c>
      <c r="BZ123" s="3882">
        <v>0.46117349866054252</v>
      </c>
      <c r="CA123" s="3882">
        <v>0.5387312791207699</v>
      </c>
      <c r="CB123" s="3882">
        <v>0.63606551768663822</v>
      </c>
      <c r="CC123" s="6665">
        <v>6.3502663576436751</v>
      </c>
      <c r="CD123" s="6635"/>
      <c r="CE123" s="6637"/>
      <c r="CF123" s="4166"/>
      <c r="CG123" s="3884"/>
      <c r="CH123" s="800"/>
      <c r="CI123" s="800"/>
      <c r="CJ123" s="800"/>
      <c r="CK123" s="800"/>
      <c r="CL123" s="800"/>
      <c r="CM123" s="800"/>
      <c r="CN123" s="800"/>
      <c r="CO123" s="800"/>
      <c r="CP123" s="4087"/>
      <c r="CQ123" s="790"/>
      <c r="CR123" s="6869">
        <f t="shared" si="94"/>
        <v>0</v>
      </c>
      <c r="CS123" s="6896">
        <f t="shared" si="95"/>
        <v>-0.60220586663910081</v>
      </c>
      <c r="CT123" s="808"/>
      <c r="CU123" s="6924">
        <f t="shared" si="88"/>
        <v>0</v>
      </c>
      <c r="CV123" s="6739"/>
      <c r="CW123" s="6953"/>
      <c r="CX123" s="6760">
        <f t="shared" si="89"/>
        <v>-1.1609989369434723</v>
      </c>
      <c r="CY123" s="2775"/>
      <c r="CZ123" s="590"/>
      <c r="DA123" s="590"/>
      <c r="DB123" s="590"/>
      <c r="DC123" s="590"/>
      <c r="DD123" s="590"/>
      <c r="DE123" s="590"/>
      <c r="DF123" s="590"/>
      <c r="DG123" s="590"/>
      <c r="DH123" s="590"/>
      <c r="DI123" s="590"/>
      <c r="DJ123" s="590"/>
      <c r="DK123" s="590"/>
      <c r="DL123" s="590"/>
      <c r="DM123" s="590"/>
      <c r="DO123" s="2261"/>
      <c r="DP123" s="2261"/>
      <c r="DS123" s="2261"/>
      <c r="DT123" s="2261"/>
    </row>
    <row r="124" spans="1:124" ht="16.3" hidden="1" customHeight="1" x14ac:dyDescent="0.55000000000000004">
      <c r="A124" s="4151"/>
      <c r="B124" s="825"/>
      <c r="C124" s="825" t="s">
        <v>40</v>
      </c>
      <c r="D124" s="825"/>
      <c r="E124" s="825"/>
      <c r="F124" s="825"/>
      <c r="G124" s="825"/>
      <c r="H124" s="825"/>
      <c r="I124" s="825"/>
      <c r="J124" s="825"/>
      <c r="K124" s="825"/>
      <c r="L124" s="825"/>
      <c r="M124" s="825"/>
      <c r="N124" s="825"/>
      <c r="O124" s="825"/>
      <c r="P124" s="825"/>
      <c r="Q124" s="825"/>
      <c r="R124" s="825"/>
      <c r="S124" s="825"/>
      <c r="T124" s="825"/>
      <c r="U124" s="825"/>
      <c r="V124" s="825"/>
      <c r="W124" s="825"/>
      <c r="X124" s="825"/>
      <c r="Y124" s="825"/>
      <c r="Z124" s="825"/>
      <c r="AA124" s="825"/>
      <c r="AB124" s="825"/>
      <c r="AC124" s="825"/>
      <c r="AD124" s="825"/>
      <c r="AE124" s="825"/>
      <c r="AF124" s="825"/>
      <c r="AG124" s="825"/>
      <c r="AH124" s="825"/>
      <c r="AI124" s="825"/>
      <c r="AJ124" s="825"/>
      <c r="AK124" s="825"/>
      <c r="AL124" s="825"/>
      <c r="AM124" s="825"/>
      <c r="AN124" s="825"/>
      <c r="AO124" s="4203"/>
      <c r="AP124" s="4204"/>
      <c r="AQ124" s="4205">
        <v>1.43</v>
      </c>
      <c r="AR124" s="4205">
        <v>1.43</v>
      </c>
      <c r="AS124" s="4205">
        <v>1.43</v>
      </c>
      <c r="AT124" s="4205">
        <v>1.43</v>
      </c>
      <c r="AU124" s="4205">
        <v>1.4322597246944597</v>
      </c>
      <c r="AV124" s="4205">
        <v>1.4322597246944597</v>
      </c>
      <c r="AW124" s="4205">
        <v>1.4322597246944597</v>
      </c>
      <c r="AX124" s="4205">
        <v>1.4322597246944599</v>
      </c>
      <c r="AY124" s="4205">
        <v>1.4322597246944599</v>
      </c>
      <c r="AZ124" s="4205">
        <v>1.4322597246944599</v>
      </c>
      <c r="BA124" s="4205">
        <v>1.4322597246944599</v>
      </c>
      <c r="BB124" s="4205">
        <v>1.4322597246944599</v>
      </c>
      <c r="BC124" s="4206">
        <v>17.178077797555677</v>
      </c>
      <c r="BD124" s="826">
        <v>1.43</v>
      </c>
      <c r="BE124" s="826">
        <v>1.43</v>
      </c>
      <c r="BF124" s="826">
        <v>1.43</v>
      </c>
      <c r="BG124" s="826">
        <v>1.43</v>
      </c>
      <c r="BH124" s="826">
        <v>1.4322597246944595</v>
      </c>
      <c r="BI124" s="826">
        <v>1.4322597246944595</v>
      </c>
      <c r="BJ124" s="826">
        <v>1.4322597246944595</v>
      </c>
      <c r="BK124" s="826">
        <v>1.4322597246944595</v>
      </c>
      <c r="BL124" s="826">
        <v>1.4322597246944595</v>
      </c>
      <c r="BM124" s="826">
        <v>1.4322597246944595</v>
      </c>
      <c r="BN124" s="826">
        <v>1.4322597246944595</v>
      </c>
      <c r="BO124" s="826">
        <v>1.4322597246944595</v>
      </c>
      <c r="BP124" s="4207">
        <v>17.178077797555677</v>
      </c>
      <c r="BQ124" s="4208">
        <v>1.43</v>
      </c>
      <c r="BR124" s="4208">
        <v>1.43</v>
      </c>
      <c r="BS124" s="4208">
        <v>1.43</v>
      </c>
      <c r="BT124" s="4208">
        <v>1.43</v>
      </c>
      <c r="BU124" s="4208">
        <v>1.4322597246944595</v>
      </c>
      <c r="BV124" s="4208">
        <v>1.4322597246944595</v>
      </c>
      <c r="BW124" s="4208">
        <v>1.4322597246944595</v>
      </c>
      <c r="BX124" s="4208">
        <v>1.4322597246944595</v>
      </c>
      <c r="BY124" s="4208">
        <v>1.4322597246944595</v>
      </c>
      <c r="BZ124" s="4208">
        <v>1.4322597246944595</v>
      </c>
      <c r="CA124" s="4208">
        <v>1.4322597246944595</v>
      </c>
      <c r="CB124" s="4208">
        <v>1.4322597246944595</v>
      </c>
      <c r="CC124" s="6666">
        <v>17.178077797555677</v>
      </c>
      <c r="CD124" s="6703"/>
      <c r="CE124" s="6704"/>
      <c r="CF124" s="826"/>
      <c r="CG124" s="4209"/>
      <c r="CH124" s="826"/>
      <c r="CI124" s="826"/>
      <c r="CJ124" s="826"/>
      <c r="CK124" s="826"/>
      <c r="CL124" s="826"/>
      <c r="CM124" s="826"/>
      <c r="CN124" s="826"/>
      <c r="CO124" s="826"/>
      <c r="CP124" s="4087"/>
      <c r="CQ124" s="790"/>
      <c r="CR124" s="6905">
        <f t="shared" si="94"/>
        <v>0</v>
      </c>
      <c r="CS124" s="6906">
        <f t="shared" si="95"/>
        <v>-1.43</v>
      </c>
      <c r="CT124" s="828"/>
      <c r="CU124" s="6969">
        <f t="shared" si="88"/>
        <v>0</v>
      </c>
      <c r="CV124" s="6739"/>
      <c r="CW124" s="6953"/>
      <c r="CX124" s="6763">
        <f t="shared" si="89"/>
        <v>-2.86</v>
      </c>
      <c r="CY124" s="2775"/>
      <c r="CZ124" s="590"/>
      <c r="DA124" s="590"/>
      <c r="DB124" s="590"/>
      <c r="DC124" s="590"/>
      <c r="DD124" s="590"/>
      <c r="DE124" s="590"/>
      <c r="DF124" s="590"/>
      <c r="DG124" s="590"/>
      <c r="DH124" s="590"/>
      <c r="DI124" s="590"/>
      <c r="DJ124" s="590"/>
      <c r="DK124" s="590"/>
      <c r="DL124" s="590"/>
      <c r="DM124" s="590"/>
      <c r="DO124" s="2261"/>
      <c r="DP124" s="2261"/>
      <c r="DS124" s="2261"/>
      <c r="DT124" s="2261"/>
    </row>
    <row r="125" spans="1:124" ht="16.3" hidden="1" customHeight="1" x14ac:dyDescent="0.55000000000000004">
      <c r="A125" s="4151"/>
      <c r="B125" s="4174" t="s">
        <v>17</v>
      </c>
      <c r="C125" s="4175"/>
      <c r="D125" s="4175"/>
      <c r="E125" s="4210"/>
      <c r="F125" s="4175"/>
      <c r="G125" s="4175"/>
      <c r="H125" s="4175"/>
      <c r="I125" s="4175"/>
      <c r="J125" s="4175"/>
      <c r="K125" s="4175"/>
      <c r="L125" s="4175"/>
      <c r="M125" s="4175"/>
      <c r="N125" s="4175"/>
      <c r="O125" s="4175"/>
      <c r="P125" s="4175"/>
      <c r="Q125" s="4175"/>
      <c r="R125" s="4175"/>
      <c r="S125" s="4175"/>
      <c r="T125" s="4175"/>
      <c r="U125" s="4175"/>
      <c r="V125" s="4175"/>
      <c r="W125" s="4175"/>
      <c r="X125" s="4175"/>
      <c r="Y125" s="4175"/>
      <c r="Z125" s="4175"/>
      <c r="AA125" s="4175"/>
      <c r="AB125" s="4175"/>
      <c r="AC125" s="4175"/>
      <c r="AD125" s="4175"/>
      <c r="AE125" s="4175"/>
      <c r="AF125" s="4175"/>
      <c r="AG125" s="4175"/>
      <c r="AH125" s="4175"/>
      <c r="AI125" s="4175"/>
      <c r="AJ125" s="4175"/>
      <c r="AK125" s="4175"/>
      <c r="AL125" s="4175"/>
      <c r="AM125" s="4175"/>
      <c r="AN125" s="4175"/>
      <c r="AO125" s="4176"/>
      <c r="AP125" s="4177"/>
      <c r="AQ125" s="4211">
        <v>3.3495094888475547</v>
      </c>
      <c r="AR125" s="4211">
        <v>-3.5328889770966114</v>
      </c>
      <c r="AS125" s="4211">
        <v>-1.5637827930574897</v>
      </c>
      <c r="AT125" s="4211">
        <v>6.0888672722938182</v>
      </c>
      <c r="AU125" s="4211">
        <v>2.1924339017970436</v>
      </c>
      <c r="AV125" s="4211">
        <v>-2.5313822574605904</v>
      </c>
      <c r="AW125" s="4211">
        <v>10.055429561359166</v>
      </c>
      <c r="AX125" s="4211">
        <v>-9.7221004933971642</v>
      </c>
      <c r="AY125" s="4211">
        <v>12.886122195423118</v>
      </c>
      <c r="AZ125" s="4211">
        <v>0.4408754823698704</v>
      </c>
      <c r="BA125" s="4211">
        <v>1.2201085615672582</v>
      </c>
      <c r="BB125" s="4211">
        <v>-5.4102429990188554</v>
      </c>
      <c r="BC125" s="4212">
        <v>13.472948943627117</v>
      </c>
      <c r="BD125" s="814">
        <f t="shared" ref="BD125:BM125" si="134">BD111+BD114+BD126-BD131-BD130</f>
        <v>5.1388653668093438</v>
      </c>
      <c r="BE125" s="814">
        <f t="shared" si="134"/>
        <v>7.8009544691400396</v>
      </c>
      <c r="BF125" s="814">
        <f t="shared" si="134"/>
        <v>9.8003928996034411</v>
      </c>
      <c r="BG125" s="814">
        <f t="shared" si="134"/>
        <v>6.391802270587827</v>
      </c>
      <c r="BH125" s="814">
        <f t="shared" si="134"/>
        <v>-2.8489680670668793</v>
      </c>
      <c r="BI125" s="814">
        <f t="shared" si="134"/>
        <v>-6.0562523448652481</v>
      </c>
      <c r="BJ125" s="814">
        <f t="shared" si="134"/>
        <v>4.1689742960578045</v>
      </c>
      <c r="BK125" s="814">
        <f t="shared" si="134"/>
        <v>3.9159821815471325</v>
      </c>
      <c r="BL125" s="814">
        <f t="shared" si="134"/>
        <v>12.204343616314599</v>
      </c>
      <c r="BM125" s="814">
        <f t="shared" si="134"/>
        <v>-2.2668962428019599</v>
      </c>
      <c r="BN125" s="814">
        <f>BN111+BN114+BN126-BN131-BN130</f>
        <v>8.7477696342319149</v>
      </c>
      <c r="BO125" s="814">
        <v>1.9399258010636395</v>
      </c>
      <c r="BP125" s="4213">
        <v>48.936893880621646</v>
      </c>
      <c r="BQ125" s="4182">
        <f t="shared" ref="BQ125:CB125" si="135">BQ111+BQ114+BQ126-BQ131-BQ130</f>
        <v>10.400605556515302</v>
      </c>
      <c r="BR125" s="4182">
        <f t="shared" si="135"/>
        <v>-1.283953336120522</v>
      </c>
      <c r="BS125" s="4182">
        <f t="shared" si="135"/>
        <v>5.7066022764471258</v>
      </c>
      <c r="BT125" s="4182">
        <f t="shared" si="135"/>
        <v>5.5789361155570818</v>
      </c>
      <c r="BU125" s="4182">
        <f t="shared" si="135"/>
        <v>3.9745495617708571E-2</v>
      </c>
      <c r="BV125" s="4182">
        <f t="shared" si="135"/>
        <v>11.11780571335116</v>
      </c>
      <c r="BW125" s="4182">
        <f t="shared" si="135"/>
        <v>3.9280228807531898</v>
      </c>
      <c r="BX125" s="4182">
        <f t="shared" si="135"/>
        <v>-5.4545131547366612</v>
      </c>
      <c r="BY125" s="4182">
        <f t="shared" si="135"/>
        <v>6.0505012123430273</v>
      </c>
      <c r="BZ125" s="4182">
        <f t="shared" si="135"/>
        <v>-5.2185853730272767</v>
      </c>
      <c r="CA125" s="4182">
        <f t="shared" si="135"/>
        <v>-5.3573387273088589</v>
      </c>
      <c r="CB125" s="4182">
        <f t="shared" si="135"/>
        <v>3.6545042139473374</v>
      </c>
      <c r="CC125" s="6667">
        <v>29.16233287333861</v>
      </c>
      <c r="CD125" s="6639"/>
      <c r="CE125" s="6639"/>
      <c r="CF125" s="814"/>
      <c r="CG125" s="814"/>
      <c r="CH125" s="814"/>
      <c r="CI125" s="814"/>
      <c r="CJ125" s="814"/>
      <c r="CK125" s="814"/>
      <c r="CL125" s="814"/>
      <c r="CM125" s="814"/>
      <c r="CN125" s="814"/>
      <c r="CO125" s="814"/>
      <c r="CP125" s="4087"/>
      <c r="CQ125" s="790"/>
      <c r="CR125" s="6899">
        <f t="shared" si="94"/>
        <v>0</v>
      </c>
      <c r="CS125" s="6900">
        <f t="shared" si="95"/>
        <v>1.283953336120522</v>
      </c>
      <c r="CT125" s="817"/>
      <c r="CU125" s="6966">
        <f t="shared" si="88"/>
        <v>0</v>
      </c>
      <c r="CV125" s="6739"/>
      <c r="CW125" s="6953"/>
      <c r="CX125" s="6761">
        <f t="shared" si="89"/>
        <v>-9.11665222039478</v>
      </c>
      <c r="CY125" s="2775"/>
      <c r="CZ125" s="590"/>
      <c r="DA125" s="590"/>
      <c r="DB125" s="590"/>
      <c r="DC125" s="590"/>
      <c r="DD125" s="590"/>
      <c r="DE125" s="590"/>
      <c r="DF125" s="590"/>
      <c r="DG125" s="590"/>
      <c r="DH125" s="590"/>
      <c r="DI125" s="590"/>
      <c r="DJ125" s="590"/>
      <c r="DK125" s="590"/>
      <c r="DL125" s="590"/>
      <c r="DM125" s="590"/>
      <c r="DO125" s="2261"/>
      <c r="DP125" s="2261"/>
      <c r="DS125" s="2261"/>
      <c r="DT125" s="2261"/>
    </row>
    <row r="126" spans="1:124" ht="16.3" hidden="1" customHeight="1" x14ac:dyDescent="0.55000000000000004">
      <c r="A126" s="4151"/>
      <c r="C126" s="1028" t="s">
        <v>0</v>
      </c>
      <c r="D126" s="1028"/>
      <c r="E126" s="1028"/>
      <c r="F126" s="1028"/>
      <c r="G126" s="1028"/>
      <c r="H126" s="1028"/>
      <c r="I126" s="1028"/>
      <c r="J126" s="1028"/>
      <c r="K126" s="1028"/>
      <c r="L126" s="1028"/>
      <c r="M126" s="1028"/>
      <c r="N126" s="1028"/>
      <c r="O126" s="1028"/>
      <c r="P126" s="1028"/>
      <c r="Q126" s="1028"/>
      <c r="R126" s="1028"/>
      <c r="S126" s="1028"/>
      <c r="T126" s="1028"/>
      <c r="U126" s="1028"/>
      <c r="V126" s="1028"/>
      <c r="W126" s="1028"/>
      <c r="X126" s="1028"/>
      <c r="Y126" s="1028"/>
      <c r="Z126" s="1028"/>
      <c r="AA126" s="1028"/>
      <c r="AB126" s="1028"/>
      <c r="AC126" s="1028"/>
      <c r="AD126" s="1028"/>
      <c r="AE126" s="1028"/>
      <c r="AF126" s="1028"/>
      <c r="AG126" s="1028"/>
      <c r="AH126" s="1028"/>
      <c r="AI126" s="1028"/>
      <c r="AJ126" s="1028"/>
      <c r="AK126" s="1028"/>
      <c r="AL126" s="1028"/>
      <c r="AM126" s="1028"/>
      <c r="AN126" s="1028"/>
      <c r="AO126" s="4142"/>
      <c r="AP126" s="4143"/>
      <c r="AQ126" s="4214">
        <v>14.614718331177802</v>
      </c>
      <c r="AR126" s="4214">
        <v>14.209055806527299</v>
      </c>
      <c r="AS126" s="4214">
        <v>14.780465866386699</v>
      </c>
      <c r="AT126" s="4214">
        <v>14.649513024907899</v>
      </c>
      <c r="AU126" s="4214">
        <v>14.581835706400001</v>
      </c>
      <c r="AV126" s="4214">
        <v>14.243939044614601</v>
      </c>
      <c r="AW126" s="4214">
        <v>14.415164137488699</v>
      </c>
      <c r="AX126" s="4214">
        <v>14.217451471758601</v>
      </c>
      <c r="AY126" s="4214">
        <v>13.834609112999201</v>
      </c>
      <c r="AZ126" s="4214">
        <v>13.867733926857703</v>
      </c>
      <c r="BA126" s="4214">
        <v>13.5456691405867</v>
      </c>
      <c r="BB126" s="4214">
        <v>13.4163222777572</v>
      </c>
      <c r="BC126" s="4215">
        <f>SUM(AQ126:BB126)</f>
        <v>170.37647784746241</v>
      </c>
      <c r="BD126" s="789">
        <v>13.062488629952499</v>
      </c>
      <c r="BE126" s="3946">
        <v>12.592116266194401</v>
      </c>
      <c r="BF126" s="3946">
        <v>12.397129716687598</v>
      </c>
      <c r="BG126" s="789">
        <v>12.070754440830701</v>
      </c>
      <c r="BH126" s="789">
        <v>11.645300551936613</v>
      </c>
      <c r="BI126" s="789">
        <v>11.27059863287119</v>
      </c>
      <c r="BJ126" s="789">
        <v>11.114054631143121</v>
      </c>
      <c r="BK126" s="789">
        <v>10.797321287603133</v>
      </c>
      <c r="BL126" s="789">
        <v>10.567151913006208</v>
      </c>
      <c r="BM126" s="789">
        <v>10.355958002263687</v>
      </c>
      <c r="BN126" s="789">
        <v>9.9233191365193996</v>
      </c>
      <c r="BO126" s="789">
        <v>9.625676759699342</v>
      </c>
      <c r="BP126" s="3947">
        <v>135.42186996870788</v>
      </c>
      <c r="BQ126" s="4146">
        <v>9.0695830536824982</v>
      </c>
      <c r="BR126" s="3954">
        <v>9.0819829431945234</v>
      </c>
      <c r="BS126" s="3954">
        <v>8.5529125751921757</v>
      </c>
      <c r="BT126" s="4146">
        <v>8.0079655054749317</v>
      </c>
      <c r="BU126" s="4146">
        <v>7.6013216409978055</v>
      </c>
      <c r="BV126" s="4146">
        <v>11.278029041566105</v>
      </c>
      <c r="BW126" s="4146">
        <v>9.4702209891940257</v>
      </c>
      <c r="BX126" s="4146">
        <v>9.1583624919815758</v>
      </c>
      <c r="BY126" s="4146">
        <v>9.0414153605674557</v>
      </c>
      <c r="BZ126" s="4146">
        <v>8.8861888617815215</v>
      </c>
      <c r="CA126" s="4146">
        <v>8.7735164377780048</v>
      </c>
      <c r="CB126" s="4146">
        <v>8.7081341384411317</v>
      </c>
      <c r="CC126" s="6653">
        <v>107.62963303985174</v>
      </c>
      <c r="CD126" s="6551"/>
      <c r="CE126" s="6633"/>
      <c r="CF126" s="3946"/>
      <c r="CG126" s="4184"/>
      <c r="CH126" s="789"/>
      <c r="CI126" s="3948"/>
      <c r="CJ126" s="789"/>
      <c r="CK126" s="3948"/>
      <c r="CL126" s="789"/>
      <c r="CM126" s="789"/>
      <c r="CN126" s="789"/>
      <c r="CO126" s="789"/>
      <c r="CP126" s="4087"/>
      <c r="CQ126" s="790"/>
      <c r="CR126" s="6873">
        <f t="shared" si="94"/>
        <v>0</v>
      </c>
      <c r="CS126" s="6874">
        <f t="shared" si="95"/>
        <v>-9.0819829431945234</v>
      </c>
      <c r="CT126" s="795"/>
      <c r="CU126" s="6765">
        <f t="shared" si="88"/>
        <v>0</v>
      </c>
      <c r="CV126" s="6739"/>
      <c r="CW126" s="6953"/>
      <c r="CX126" s="6757">
        <f t="shared" si="89"/>
        <v>-18.151565996877022</v>
      </c>
      <c r="CY126" s="2775"/>
      <c r="CZ126" s="590"/>
      <c r="DA126" s="590"/>
      <c r="DB126" s="590"/>
      <c r="DC126" s="590"/>
      <c r="DD126" s="590"/>
      <c r="DE126" s="590"/>
      <c r="DF126" s="590"/>
      <c r="DG126" s="590"/>
      <c r="DH126" s="590"/>
      <c r="DI126" s="590"/>
      <c r="DJ126" s="590"/>
      <c r="DK126" s="590"/>
      <c r="DL126" s="590"/>
      <c r="DM126" s="590"/>
      <c r="DO126" s="2261"/>
      <c r="DP126" s="2261"/>
      <c r="DS126" s="2261"/>
      <c r="DT126" s="2261"/>
    </row>
    <row r="127" spans="1:124" ht="16.3" hidden="1" customHeight="1" x14ac:dyDescent="0.55000000000000004">
      <c r="A127" s="4151"/>
      <c r="C127" s="1028" t="s">
        <v>711</v>
      </c>
      <c r="D127" s="1028"/>
      <c r="E127" s="1028"/>
      <c r="F127" s="1028"/>
      <c r="G127" s="1028"/>
      <c r="H127" s="1028"/>
      <c r="I127" s="1028"/>
      <c r="J127" s="1028"/>
      <c r="K127" s="1028"/>
      <c r="L127" s="1028"/>
      <c r="M127" s="1028"/>
      <c r="N127" s="1028"/>
      <c r="O127" s="1028"/>
      <c r="P127" s="1028"/>
      <c r="Q127" s="1028"/>
      <c r="R127" s="1028"/>
      <c r="S127" s="1028"/>
      <c r="T127" s="1028"/>
      <c r="U127" s="1028"/>
      <c r="V127" s="1028"/>
      <c r="W127" s="1028"/>
      <c r="X127" s="1028"/>
      <c r="Y127" s="1028"/>
      <c r="Z127" s="1028"/>
      <c r="AA127" s="1028"/>
      <c r="AB127" s="1028"/>
      <c r="AC127" s="1028"/>
      <c r="AD127" s="1028"/>
      <c r="AE127" s="1028"/>
      <c r="AF127" s="1028"/>
      <c r="AG127" s="1028"/>
      <c r="AH127" s="1028"/>
      <c r="AI127" s="1028"/>
      <c r="AJ127" s="1028"/>
      <c r="AK127" s="1028"/>
      <c r="AL127" s="1028"/>
      <c r="AM127" s="1028"/>
      <c r="AN127" s="1028"/>
      <c r="AO127" s="4142"/>
      <c r="AP127" s="4143"/>
      <c r="AQ127" s="4214">
        <f t="shared" ref="AQ127:BB127" si="136">AQ126-AQ128-AQ129</f>
        <v>5.8606189569611677</v>
      </c>
      <c r="AR127" s="4214">
        <f t="shared" si="136"/>
        <v>5.744155371266177</v>
      </c>
      <c r="AS127" s="4214">
        <f>AW126-AW128-AW129</f>
        <v>5.7518238532140389</v>
      </c>
      <c r="AT127" s="4214">
        <f t="shared" si="136"/>
        <v>6.0280143532057702</v>
      </c>
      <c r="AU127" s="4214">
        <f t="shared" si="136"/>
        <v>6.0751910706746646</v>
      </c>
      <c r="AV127" s="4214">
        <f t="shared" si="136"/>
        <v>5.8024794404173106</v>
      </c>
      <c r="AW127" s="4214">
        <f t="shared" si="136"/>
        <v>5.7518238532140389</v>
      </c>
      <c r="AX127" s="4214">
        <f t="shared" si="136"/>
        <v>5.5343983037315221</v>
      </c>
      <c r="AY127" s="4214">
        <f t="shared" si="136"/>
        <v>5.320814845068834</v>
      </c>
      <c r="AZ127" s="4214">
        <f t="shared" si="136"/>
        <v>5.1595599136662127</v>
      </c>
      <c r="BA127" s="4214">
        <f t="shared" si="136"/>
        <v>4.9165365163700647</v>
      </c>
      <c r="BB127" s="4214">
        <f t="shared" si="136"/>
        <v>4.834819531142112</v>
      </c>
      <c r="BC127" s="4215">
        <f>SUM(AQ127:BB127)</f>
        <v>66.780236008931908</v>
      </c>
      <c r="BD127" s="789">
        <f>BD126-BD128-BD129</f>
        <v>4.4416927754070441</v>
      </c>
      <c r="BE127" s="789">
        <f t="shared" ref="BE127:CA127" si="137">BE126-BE128-BE129</f>
        <v>4.0615365116489466</v>
      </c>
      <c r="BF127" s="789">
        <f t="shared" si="137"/>
        <v>3.9274465439603254</v>
      </c>
      <c r="BG127" s="789">
        <f t="shared" si="137"/>
        <v>3.736036322648884</v>
      </c>
      <c r="BH127" s="789">
        <f t="shared" si="137"/>
        <v>3.45782908830025</v>
      </c>
      <c r="BI127" s="789">
        <f t="shared" si="137"/>
        <v>3.2881079965075539</v>
      </c>
      <c r="BJ127" s="789">
        <f t="shared" si="137"/>
        <v>3.2165849584158472</v>
      </c>
      <c r="BK127" s="789">
        <f t="shared" si="137"/>
        <v>3.1082104330576783</v>
      </c>
      <c r="BL127" s="789">
        <f t="shared" si="137"/>
        <v>3.088296867551664</v>
      </c>
      <c r="BM127" s="789">
        <f t="shared" si="137"/>
        <v>3.0522343749909604</v>
      </c>
      <c r="BN127" s="789" t="e">
        <f t="shared" si="137"/>
        <v>#REF!</v>
      </c>
      <c r="BO127" s="789">
        <f t="shared" si="137"/>
        <v>3.0515803596993418</v>
      </c>
      <c r="BP127" s="3947">
        <v>41.371015468707903</v>
      </c>
      <c r="BQ127" s="4146">
        <f t="shared" si="137"/>
        <v>2.9294559445915898</v>
      </c>
      <c r="BR127" s="4146">
        <f t="shared" si="137"/>
        <v>2.8788210159217966</v>
      </c>
      <c r="BS127" s="4146">
        <f t="shared" si="137"/>
        <v>2.66026882973763</v>
      </c>
      <c r="BT127" s="4146">
        <f t="shared" si="137"/>
        <v>2.5262770327476596</v>
      </c>
      <c r="BU127" s="4146">
        <f t="shared" si="137"/>
        <v>2.3802389409978062</v>
      </c>
      <c r="BV127" s="4146">
        <f t="shared" si="137"/>
        <v>6.3101247052024707</v>
      </c>
      <c r="BW127" s="4146">
        <f t="shared" si="137"/>
        <v>4.7605180073758433</v>
      </c>
      <c r="BX127" s="4146">
        <f t="shared" si="137"/>
        <v>4.7224380647088484</v>
      </c>
      <c r="BY127" s="4146">
        <f t="shared" si="137"/>
        <v>4.8802453332947291</v>
      </c>
      <c r="BZ127" s="4146">
        <f t="shared" si="137"/>
        <v>4.9709158799633402</v>
      </c>
      <c r="CA127" s="4146">
        <f t="shared" si="137"/>
        <v>5.1158438377780051</v>
      </c>
      <c r="CB127" s="4146">
        <v>5.2152921929865865</v>
      </c>
      <c r="CC127" s="6653">
        <v>49.350439785306314</v>
      </c>
      <c r="CD127" s="6552"/>
      <c r="CE127" s="6552"/>
      <c r="CF127" s="789"/>
      <c r="CG127" s="789"/>
      <c r="CH127" s="789"/>
      <c r="CI127" s="789"/>
      <c r="CJ127" s="789"/>
      <c r="CK127" s="789"/>
      <c r="CL127" s="789"/>
      <c r="CM127" s="789"/>
      <c r="CN127" s="789"/>
      <c r="CO127" s="789"/>
      <c r="CP127" s="4087"/>
      <c r="CQ127" s="790"/>
      <c r="CR127" s="6873">
        <f t="shared" si="94"/>
        <v>0</v>
      </c>
      <c r="CS127" s="6874">
        <f t="shared" si="95"/>
        <v>-2.8788210159217966</v>
      </c>
      <c r="CT127" s="795"/>
      <c r="CU127" s="6765">
        <f t="shared" si="88"/>
        <v>0</v>
      </c>
      <c r="CV127" s="6739"/>
      <c r="CW127" s="6953"/>
      <c r="CX127" s="6757">
        <f t="shared" si="89"/>
        <v>-5.8082769605133864</v>
      </c>
      <c r="CY127" s="2775"/>
      <c r="CZ127" s="590"/>
      <c r="DA127" s="590"/>
      <c r="DB127" s="590"/>
      <c r="DC127" s="590"/>
      <c r="DD127" s="590"/>
      <c r="DE127" s="590"/>
      <c r="DF127" s="590"/>
      <c r="DG127" s="590"/>
      <c r="DH127" s="590"/>
      <c r="DI127" s="590"/>
      <c r="DJ127" s="590"/>
      <c r="DK127" s="590"/>
      <c r="DL127" s="590"/>
      <c r="DM127" s="590"/>
      <c r="DO127" s="2261"/>
      <c r="DP127" s="2261"/>
      <c r="DS127" s="2261"/>
      <c r="DT127" s="2261"/>
    </row>
    <row r="128" spans="1:124" ht="16.3" hidden="1" customHeight="1" x14ac:dyDescent="0.55000000000000004">
      <c r="A128" s="4151"/>
      <c r="C128" s="1028" t="s">
        <v>712</v>
      </c>
      <c r="D128" s="1028"/>
      <c r="E128" s="1028"/>
      <c r="F128" s="1028"/>
      <c r="G128" s="1028"/>
      <c r="H128" s="1028"/>
      <c r="I128" s="1028"/>
      <c r="J128" s="1028"/>
      <c r="K128" s="1028"/>
      <c r="L128" s="1028"/>
      <c r="M128" s="1028"/>
      <c r="N128" s="1028"/>
      <c r="O128" s="1028"/>
      <c r="P128" s="1028"/>
      <c r="Q128" s="1028"/>
      <c r="R128" s="1028"/>
      <c r="S128" s="1028"/>
      <c r="T128" s="1028"/>
      <c r="U128" s="1028"/>
      <c r="V128" s="1028"/>
      <c r="W128" s="1028"/>
      <c r="X128" s="1028"/>
      <c r="Y128" s="1028"/>
      <c r="Z128" s="1028"/>
      <c r="AA128" s="1028"/>
      <c r="AB128" s="1028"/>
      <c r="AC128" s="1028"/>
      <c r="AD128" s="1028"/>
      <c r="AE128" s="1028"/>
      <c r="AF128" s="1028"/>
      <c r="AG128" s="1028"/>
      <c r="AH128" s="1028"/>
      <c r="AI128" s="1028"/>
      <c r="AJ128" s="1028"/>
      <c r="AK128" s="1028"/>
      <c r="AL128" s="1028"/>
      <c r="AM128" s="1028"/>
      <c r="AN128" s="1028"/>
      <c r="AO128" s="4142"/>
      <c r="AP128" s="4143"/>
      <c r="AQ128" s="4214">
        <v>3.1000515100000001</v>
      </c>
      <c r="AR128" s="4214">
        <v>2.7636117900000001</v>
      </c>
      <c r="AS128" s="4214">
        <v>3.4812843400000002</v>
      </c>
      <c r="AT128" s="4214">
        <v>3.0939438099999998</v>
      </c>
      <c r="AU128" s="4214">
        <v>3.0265150099999998</v>
      </c>
      <c r="AV128" s="4214">
        <v>2.9555635100000002</v>
      </c>
      <c r="AW128" s="4214">
        <v>3.0295188099999999</v>
      </c>
      <c r="AX128" s="4214">
        <v>3.0538341099999999</v>
      </c>
      <c r="AY128" s="4214">
        <v>2.9771911599999998</v>
      </c>
      <c r="AZ128" s="4214">
        <v>3.05813866</v>
      </c>
      <c r="BA128" s="4214">
        <v>3.0312767599999999</v>
      </c>
      <c r="BB128" s="4214">
        <v>3.0075552000000001</v>
      </c>
      <c r="BC128" s="4215">
        <f>SUM(AQ128:BB128)</f>
        <v>36.578484670000002</v>
      </c>
      <c r="BD128" s="789">
        <v>3.0532227000000001</v>
      </c>
      <c r="BE128" s="3946">
        <v>3.0219923999999998</v>
      </c>
      <c r="BF128" s="3946">
        <v>3.0165839999999999</v>
      </c>
      <c r="BG128" s="789">
        <v>2.9668440999999999</v>
      </c>
      <c r="BH128" s="789">
        <v>2.9032969</v>
      </c>
      <c r="BI128" s="789">
        <v>2.8099571000000001</v>
      </c>
      <c r="BJ128" s="789">
        <v>2.7773373000000001</v>
      </c>
      <c r="BK128" s="789">
        <v>2.6862341999999999</v>
      </c>
      <c r="BL128" s="789">
        <v>2.6111059999999999</v>
      </c>
      <c r="BM128" s="789">
        <v>2.5634610000000002</v>
      </c>
      <c r="BN128" s="789">
        <v>2.4362278000000002</v>
      </c>
      <c r="BO128" s="789">
        <v>2.1650585454545452</v>
      </c>
      <c r="BP128" s="3947">
        <v>33.011322045454541</v>
      </c>
      <c r="BQ128" s="4146">
        <v>1.997533909090909</v>
      </c>
      <c r="BR128" s="3954">
        <v>2.0628230909090908</v>
      </c>
      <c r="BS128" s="3954">
        <v>2.0294241181818182</v>
      </c>
      <c r="BT128" s="4146">
        <v>1.8044475454545452</v>
      </c>
      <c r="BU128" s="4146">
        <v>1.7026086363636364</v>
      </c>
      <c r="BV128" s="4146">
        <v>1.5949691818181815</v>
      </c>
      <c r="BW128" s="4146">
        <v>1.4921994545454544</v>
      </c>
      <c r="BX128" s="4146">
        <v>1.4055082727272725</v>
      </c>
      <c r="BY128" s="4146">
        <v>1.3104794545454543</v>
      </c>
      <c r="BZ128" s="4146">
        <v>1.2273192727272726</v>
      </c>
      <c r="CA128" s="4146">
        <v>1.1457579090909091</v>
      </c>
      <c r="CB128" s="4146">
        <v>1.0902024545454545</v>
      </c>
      <c r="CC128" s="6653">
        <v>18.863273300000003</v>
      </c>
      <c r="CD128" s="6551"/>
      <c r="CE128" s="6633"/>
      <c r="CF128" s="3946"/>
      <c r="CG128" s="4216"/>
      <c r="CH128" s="789"/>
      <c r="CI128" s="3948"/>
      <c r="CJ128" s="789"/>
      <c r="CK128" s="3948"/>
      <c r="CL128" s="789"/>
      <c r="CM128" s="789"/>
      <c r="CN128" s="789"/>
      <c r="CO128" s="789"/>
      <c r="CP128" s="4087"/>
      <c r="CQ128" s="790"/>
      <c r="CR128" s="6873">
        <f t="shared" si="94"/>
        <v>0</v>
      </c>
      <c r="CS128" s="6874">
        <f t="shared" si="95"/>
        <v>-2.0628230909090908</v>
      </c>
      <c r="CT128" s="795"/>
      <c r="CU128" s="6765">
        <f t="shared" si="88"/>
        <v>0</v>
      </c>
      <c r="CV128" s="6739"/>
      <c r="CW128" s="6953"/>
      <c r="CX128" s="6757">
        <f t="shared" si="89"/>
        <v>-4.0603569999999998</v>
      </c>
      <c r="CY128" s="2775"/>
      <c r="CZ128" s="590"/>
      <c r="DA128" s="590"/>
      <c r="DB128" s="590"/>
      <c r="DC128" s="590"/>
      <c r="DD128" s="590"/>
      <c r="DE128" s="590"/>
      <c r="DF128" s="590"/>
      <c r="DG128" s="590"/>
      <c r="DH128" s="590"/>
      <c r="DI128" s="590"/>
      <c r="DJ128" s="590"/>
      <c r="DK128" s="590"/>
      <c r="DL128" s="590"/>
      <c r="DM128" s="590"/>
      <c r="DO128" s="2261"/>
      <c r="DP128" s="2261"/>
      <c r="DS128" s="2261"/>
      <c r="DT128" s="2261"/>
    </row>
    <row r="129" spans="1:124" ht="16.3" hidden="1" customHeight="1" x14ac:dyDescent="0.55000000000000004">
      <c r="A129" s="4151"/>
      <c r="C129" s="1028" t="s">
        <v>713</v>
      </c>
      <c r="D129" s="1028"/>
      <c r="E129" s="1028"/>
      <c r="F129" s="1028"/>
      <c r="G129" s="1028"/>
      <c r="H129" s="1028"/>
      <c r="I129" s="1028"/>
      <c r="J129" s="1028"/>
      <c r="K129" s="1028"/>
      <c r="L129" s="1028"/>
      <c r="M129" s="1028"/>
      <c r="N129" s="1028"/>
      <c r="O129" s="1028"/>
      <c r="P129" s="1028"/>
      <c r="Q129" s="1028"/>
      <c r="R129" s="1028"/>
      <c r="S129" s="1028"/>
      <c r="T129" s="1028"/>
      <c r="U129" s="1028"/>
      <c r="V129" s="1028"/>
      <c r="W129" s="1028"/>
      <c r="X129" s="1028"/>
      <c r="Y129" s="1028"/>
      <c r="Z129" s="1028"/>
      <c r="AA129" s="1028"/>
      <c r="AB129" s="1028"/>
      <c r="AC129" s="1028"/>
      <c r="AD129" s="1028"/>
      <c r="AE129" s="1028"/>
      <c r="AF129" s="1028"/>
      <c r="AG129" s="1028"/>
      <c r="AH129" s="1028"/>
      <c r="AI129" s="1028"/>
      <c r="AJ129" s="1028"/>
      <c r="AK129" s="1028"/>
      <c r="AL129" s="1028"/>
      <c r="AM129" s="1028"/>
      <c r="AN129" s="1028"/>
      <c r="AO129" s="4142"/>
      <c r="AP129" s="4143"/>
      <c r="AQ129" s="4214">
        <v>5.6540478642166336</v>
      </c>
      <c r="AR129" s="4214">
        <v>5.7012886452611218</v>
      </c>
      <c r="AS129" s="4214">
        <v>5.7383666137330751</v>
      </c>
      <c r="AT129" s="4214">
        <v>5.5275548617021277</v>
      </c>
      <c r="AU129" s="4214">
        <v>5.480129625725338</v>
      </c>
      <c r="AV129" s="4214">
        <v>5.4858960941972912</v>
      </c>
      <c r="AW129" s="4214">
        <v>5.6338214742746606</v>
      </c>
      <c r="AX129" s="4214">
        <v>5.6292190580270782</v>
      </c>
      <c r="AY129" s="4214">
        <v>5.5366031079303673</v>
      </c>
      <c r="AZ129" s="4214">
        <v>5.6500353531914893</v>
      </c>
      <c r="BA129" s="4214">
        <v>5.5978558642166343</v>
      </c>
      <c r="BB129" s="4214">
        <v>5.573947546615087</v>
      </c>
      <c r="BC129" s="4215">
        <f>SUM(AQ129:BB129)</f>
        <v>67.208766109090902</v>
      </c>
      <c r="BD129" s="789">
        <v>5.5675731545454541</v>
      </c>
      <c r="BE129" s="3946">
        <v>5.5085873545454538</v>
      </c>
      <c r="BF129" s="3946">
        <v>5.4530991727272724</v>
      </c>
      <c r="BG129" s="789">
        <v>5.3678740181818174</v>
      </c>
      <c r="BH129" s="789">
        <v>5.2841745636363635</v>
      </c>
      <c r="BI129" s="789">
        <v>5.1725335363636358</v>
      </c>
      <c r="BJ129" s="789">
        <v>5.120132372727273</v>
      </c>
      <c r="BK129" s="789">
        <v>5.0028766545454548</v>
      </c>
      <c r="BL129" s="789">
        <v>4.8677490454545449</v>
      </c>
      <c r="BM129" s="789">
        <v>4.7402626272727266</v>
      </c>
      <c r="BN129" s="789" t="e">
        <f>#REF!</f>
        <v>#REF!</v>
      </c>
      <c r="BO129" s="789">
        <v>4.4090378545454545</v>
      </c>
      <c r="BP129" s="3947">
        <v>61.039532454545444</v>
      </c>
      <c r="BQ129" s="4146">
        <v>4.1425931999999994</v>
      </c>
      <c r="BR129" s="4146">
        <v>4.140338836363636</v>
      </c>
      <c r="BS129" s="4146">
        <v>3.8632196272727271</v>
      </c>
      <c r="BT129" s="4146">
        <v>3.6772409272727269</v>
      </c>
      <c r="BU129" s="4146">
        <v>3.5184740636363632</v>
      </c>
      <c r="BV129" s="4146">
        <v>3.3729351545454542</v>
      </c>
      <c r="BW129" s="4146">
        <v>3.217503527272727</v>
      </c>
      <c r="BX129" s="4146">
        <v>3.0304161545454544</v>
      </c>
      <c r="BY129" s="4146">
        <v>2.8506905727272724</v>
      </c>
      <c r="BZ129" s="4146">
        <v>2.6879537090909089</v>
      </c>
      <c r="CA129" s="4146">
        <v>2.5119146909090908</v>
      </c>
      <c r="CB129" s="4146">
        <v>2.4026394909090905</v>
      </c>
      <c r="CC129" s="6653">
        <v>39.415919954545451</v>
      </c>
      <c r="CD129" s="6634"/>
      <c r="CE129" s="6634"/>
      <c r="CF129" s="4184"/>
      <c r="CG129" s="4184"/>
      <c r="CH129" s="4184"/>
      <c r="CI129" s="4184"/>
      <c r="CJ129" s="4184"/>
      <c r="CK129" s="4184"/>
      <c r="CL129" s="4184"/>
      <c r="CM129" s="4184"/>
      <c r="CN129" s="4184"/>
      <c r="CO129" s="4184"/>
      <c r="CP129" s="4087"/>
      <c r="CQ129" s="790"/>
      <c r="CR129" s="6873">
        <f t="shared" si="94"/>
        <v>0</v>
      </c>
      <c r="CS129" s="6874">
        <f t="shared" si="95"/>
        <v>-4.140338836363636</v>
      </c>
      <c r="CT129" s="795"/>
      <c r="CU129" s="6765">
        <f t="shared" si="88"/>
        <v>0</v>
      </c>
      <c r="CV129" s="6739"/>
      <c r="CW129" s="6953"/>
      <c r="CX129" s="6757">
        <f t="shared" si="89"/>
        <v>-8.2829320363636363</v>
      </c>
      <c r="CY129" s="2775"/>
      <c r="CZ129" s="590"/>
      <c r="DA129" s="590"/>
      <c r="DB129" s="590"/>
      <c r="DC129" s="590"/>
      <c r="DD129" s="590"/>
      <c r="DE129" s="590"/>
      <c r="DF129" s="590"/>
      <c r="DG129" s="590"/>
      <c r="DH129" s="590"/>
      <c r="DI129" s="590"/>
      <c r="DJ129" s="590"/>
      <c r="DK129" s="590"/>
      <c r="DL129" s="590"/>
      <c r="DM129" s="590"/>
      <c r="DO129" s="2261"/>
      <c r="DP129" s="2261"/>
      <c r="DS129" s="2261"/>
      <c r="DT129" s="2261"/>
    </row>
    <row r="130" spans="1:124" ht="16.3" hidden="1" customHeight="1" x14ac:dyDescent="0.55000000000000004">
      <c r="A130" s="4151"/>
      <c r="C130" s="559" t="s">
        <v>33</v>
      </c>
      <c r="AO130" s="4147"/>
      <c r="AP130" s="4148"/>
      <c r="AQ130" s="4217">
        <v>5.8901561834147484</v>
      </c>
      <c r="AR130" s="4217">
        <v>18.103499337041036</v>
      </c>
      <c r="AS130" s="4217">
        <v>9.1360570035991842</v>
      </c>
      <c r="AT130" s="4217">
        <v>6.4107008072801364</v>
      </c>
      <c r="AU130" s="4217">
        <v>9.23639709875299</v>
      </c>
      <c r="AV130" s="4217">
        <v>13.72751875348863</v>
      </c>
      <c r="AW130" s="4217">
        <v>2.7838678177841372</v>
      </c>
      <c r="AX130" s="4217">
        <v>16.930557187014237</v>
      </c>
      <c r="AY130" s="4217">
        <v>11.896822369203926</v>
      </c>
      <c r="AZ130" s="4217">
        <v>10.886278105029833</v>
      </c>
      <c r="BA130" s="4217">
        <v>6.7859400796377436</v>
      </c>
      <c r="BB130" s="4217">
        <v>25.059518654150999</v>
      </c>
      <c r="BC130" s="4218">
        <v>136.8473133963976</v>
      </c>
      <c r="BD130" s="628">
        <v>4.3874988871912963</v>
      </c>
      <c r="BE130" s="757">
        <v>5.4518131338428599</v>
      </c>
      <c r="BF130" s="757">
        <v>0.6931783853543777</v>
      </c>
      <c r="BG130" s="757">
        <v>7.3230089443791337</v>
      </c>
      <c r="BH130" s="757">
        <v>9.7698656927230072</v>
      </c>
      <c r="BI130" s="757">
        <v>13.611601860251707</v>
      </c>
      <c r="BJ130" s="757">
        <v>-2.0818197406726244</v>
      </c>
      <c r="BK130" s="757">
        <v>16.272891276196095</v>
      </c>
      <c r="BL130" s="757">
        <v>-1.5752196145848023</v>
      </c>
      <c r="BM130" s="757">
        <v>7.1232631836316154</v>
      </c>
      <c r="BN130" s="757">
        <v>9.2595453799547478</v>
      </c>
      <c r="BO130" s="757">
        <v>1.8347915966883499</v>
      </c>
      <c r="BP130" s="3991">
        <v>72.070418984955765</v>
      </c>
      <c r="BQ130" s="4150">
        <v>-1.9722689027622273</v>
      </c>
      <c r="BR130" s="3687">
        <v>19.021983068000008</v>
      </c>
      <c r="BS130" s="4092">
        <v>4.6599630400000001</v>
      </c>
      <c r="BT130" s="4092">
        <v>5.2626658879999999</v>
      </c>
      <c r="BU130" s="4092">
        <v>14.641657992000003</v>
      </c>
      <c r="BV130" s="4092">
        <v>3.36895758</v>
      </c>
      <c r="BW130" s="4092">
        <v>7.2063283160000005</v>
      </c>
      <c r="BX130" s="4092">
        <v>19.519862480000008</v>
      </c>
      <c r="BY130" s="4092">
        <v>3.7466447120000002</v>
      </c>
      <c r="BZ130" s="4092">
        <v>10.425252797237228</v>
      </c>
      <c r="CA130" s="4092">
        <v>13.574222080002416</v>
      </c>
      <c r="CB130" s="4092">
        <v>9.4760877497436518</v>
      </c>
      <c r="CC130" s="6651">
        <v>108.93135680022108</v>
      </c>
      <c r="CD130" s="6699"/>
      <c r="CE130" s="6537"/>
      <c r="CF130" s="757"/>
      <c r="CG130" s="3993"/>
      <c r="CH130" s="757"/>
      <c r="CI130" s="3993"/>
      <c r="CJ130" s="757"/>
      <c r="CK130" s="3993"/>
      <c r="CL130" s="757"/>
      <c r="CM130" s="757"/>
      <c r="CN130" s="757"/>
      <c r="CO130" s="757"/>
      <c r="CP130" s="4087"/>
      <c r="CQ130" s="790"/>
      <c r="CR130" s="6862">
        <f t="shared" si="94"/>
        <v>0</v>
      </c>
      <c r="CS130" s="6747">
        <f t="shared" si="95"/>
        <v>-19.021983068000008</v>
      </c>
      <c r="CT130" s="607"/>
      <c r="CU130" s="6911">
        <f t="shared" si="88"/>
        <v>0</v>
      </c>
      <c r="CV130" s="6739"/>
      <c r="CW130" s="6953"/>
      <c r="CX130" s="6758">
        <f t="shared" si="89"/>
        <v>-17.049714165237781</v>
      </c>
      <c r="CY130" s="2775"/>
      <c r="CZ130" s="590"/>
      <c r="DA130" s="590"/>
      <c r="DB130" s="590"/>
      <c r="DC130" s="590"/>
      <c r="DD130" s="590"/>
      <c r="DE130" s="590"/>
      <c r="DF130" s="590"/>
      <c r="DG130" s="590"/>
      <c r="DH130" s="590"/>
      <c r="DI130" s="590"/>
      <c r="DJ130" s="590"/>
      <c r="DK130" s="590"/>
      <c r="DL130" s="590"/>
      <c r="DM130" s="590"/>
      <c r="DO130" s="2261"/>
      <c r="DP130" s="2261"/>
      <c r="DS130" s="2261"/>
      <c r="DT130" s="2261"/>
    </row>
    <row r="131" spans="1:124" ht="16.3" hidden="1" customHeight="1" x14ac:dyDescent="0.55000000000000004">
      <c r="A131" s="4187"/>
      <c r="B131" s="1244"/>
      <c r="C131" s="1244" t="s">
        <v>66</v>
      </c>
      <c r="D131" s="1244"/>
      <c r="E131" s="4188" t="s">
        <v>597</v>
      </c>
      <c r="F131" s="4188"/>
      <c r="G131" s="4188"/>
      <c r="H131" s="4188"/>
      <c r="I131" s="4188"/>
      <c r="J131" s="4188"/>
      <c r="K131" s="4188"/>
      <c r="L131" s="4188"/>
      <c r="M131" s="4188"/>
      <c r="N131" s="4188"/>
      <c r="O131" s="4188"/>
      <c r="P131" s="4188"/>
      <c r="Q131" s="4188"/>
      <c r="R131" s="4188"/>
      <c r="S131" s="4188"/>
      <c r="T131" s="4188"/>
      <c r="U131" s="4188"/>
      <c r="V131" s="4188"/>
      <c r="W131" s="4188"/>
      <c r="X131" s="4188"/>
      <c r="Y131" s="4188"/>
      <c r="Z131" s="4188"/>
      <c r="AA131" s="4188"/>
      <c r="AB131" s="4188"/>
      <c r="AC131" s="4188"/>
      <c r="AD131" s="4188"/>
      <c r="AE131" s="4188"/>
      <c r="AF131" s="4188"/>
      <c r="AG131" s="4188"/>
      <c r="AH131" s="4188"/>
      <c r="AI131" s="4188"/>
      <c r="AJ131" s="4188"/>
      <c r="AK131" s="4188"/>
      <c r="AL131" s="4188"/>
      <c r="AM131" s="4188"/>
      <c r="AN131" s="4188"/>
      <c r="AO131" s="4189"/>
      <c r="AP131" s="4190"/>
      <c r="AQ131" s="4191">
        <v>2.6671840360414176</v>
      </c>
      <c r="AR131" s="4191">
        <v>-3.1777631703604925E-2</v>
      </c>
      <c r="AS131" s="4191">
        <v>2.2191564623895008</v>
      </c>
      <c r="AT131" s="4191">
        <v>2.2094890585449161</v>
      </c>
      <c r="AU131" s="4191">
        <v>-1.5982844012345137</v>
      </c>
      <c r="AV131" s="4191">
        <v>-1.6946190674599624</v>
      </c>
      <c r="AW131" s="4191">
        <v>2.4442424084568408</v>
      </c>
      <c r="AX131" s="4191">
        <v>-0.84832844999552037</v>
      </c>
      <c r="AY131" s="4191">
        <v>-2.4151946257941947</v>
      </c>
      <c r="AZ131" s="4191">
        <v>0.7779468576206483</v>
      </c>
      <c r="BA131" s="4191">
        <v>-1.8080525694695737</v>
      </c>
      <c r="BB131" s="4191">
        <v>-2.6409272790330824</v>
      </c>
      <c r="BC131" s="4192">
        <v>-0.7191652016371286</v>
      </c>
      <c r="BD131" s="4219">
        <v>2.3586183438514912</v>
      </c>
      <c r="BE131" s="4193">
        <v>-1.6961853547734886</v>
      </c>
      <c r="BF131" s="4193">
        <v>-0.22943709381680044</v>
      </c>
      <c r="BG131" s="4193">
        <v>0.62614073285472216</v>
      </c>
      <c r="BH131" s="4193">
        <v>-0.26224229979627189</v>
      </c>
      <c r="BI131" s="4193">
        <v>-1.9536744231991285</v>
      </c>
      <c r="BJ131" s="4193">
        <v>3.8093404548918794</v>
      </c>
      <c r="BK131" s="4193">
        <v>-1.7873356209413647</v>
      </c>
      <c r="BL131" s="4193">
        <v>-1.4958424458336186</v>
      </c>
      <c r="BM131" s="4193">
        <v>3.2260856811753928</v>
      </c>
      <c r="BN131" s="4193">
        <v>-1.7935108573355798</v>
      </c>
      <c r="BO131" s="4193">
        <v>-1.7769801438524748</v>
      </c>
      <c r="BP131" s="4220">
        <v>-0.97502302677524177</v>
      </c>
      <c r="BQ131" s="6668">
        <v>3.3295087504979213</v>
      </c>
      <c r="BR131" s="4196">
        <v>-3.8674134538219072</v>
      </c>
      <c r="BS131" s="4196">
        <v>1.7239025076840981</v>
      </c>
      <c r="BT131" s="4196">
        <v>1.009664996800189</v>
      </c>
      <c r="BU131" s="4196">
        <v>-5.4379572205193236</v>
      </c>
      <c r="BV131" s="4196">
        <v>-2.3509718333036442</v>
      </c>
      <c r="BW131" s="4196">
        <v>0.96313810261910326</v>
      </c>
      <c r="BX131" s="4196">
        <v>-2.287052730833862</v>
      </c>
      <c r="BY131" s="4196">
        <v>-3.8002949898466802</v>
      </c>
      <c r="BZ131" s="4196">
        <v>0.32005625325334641</v>
      </c>
      <c r="CA131" s="4196">
        <v>-2.0870851890955002</v>
      </c>
      <c r="CB131" s="4196">
        <v>-1.3727201490997665</v>
      </c>
      <c r="CC131" s="6669">
        <v>-13.857224955666025</v>
      </c>
      <c r="CD131" s="6705"/>
      <c r="CE131" s="6641"/>
      <c r="CF131" s="4193"/>
      <c r="CG131" s="4193"/>
      <c r="CH131" s="4193"/>
      <c r="CI131" s="4193"/>
      <c r="CJ131" s="4193"/>
      <c r="CK131" s="4193"/>
      <c r="CL131" s="4193"/>
      <c r="CM131" s="4193"/>
      <c r="CN131" s="4193"/>
      <c r="CO131" s="4193"/>
      <c r="CP131" s="4087"/>
      <c r="CQ131" s="790"/>
      <c r="CR131" s="6907">
        <f t="shared" si="94"/>
        <v>0</v>
      </c>
      <c r="CS131" s="6908">
        <f t="shared" si="95"/>
        <v>3.8674134538219072</v>
      </c>
      <c r="CT131" s="818"/>
      <c r="CU131" s="6967">
        <f t="shared" si="88"/>
        <v>0</v>
      </c>
      <c r="CV131" s="6739"/>
      <c r="CW131" s="6953"/>
      <c r="CX131" s="6758">
        <f t="shared" si="89"/>
        <v>0.53790470332398588</v>
      </c>
      <c r="CY131" s="2775"/>
      <c r="CZ131" s="590"/>
      <c r="DA131" s="590"/>
      <c r="DB131" s="590"/>
      <c r="DC131" s="590"/>
      <c r="DD131" s="590"/>
      <c r="DE131" s="590"/>
      <c r="DF131" s="590"/>
      <c r="DG131" s="590"/>
      <c r="DH131" s="590"/>
      <c r="DI131" s="590"/>
      <c r="DJ131" s="590"/>
      <c r="DK131" s="590"/>
      <c r="DL131" s="590"/>
      <c r="DM131" s="590"/>
      <c r="DO131" s="2261"/>
      <c r="DP131" s="2261"/>
      <c r="DS131" s="2261"/>
      <c r="DT131" s="2261"/>
    </row>
    <row r="132" spans="1:124" ht="16.3" customHeight="1" x14ac:dyDescent="0.55000000000000004">
      <c r="A132" s="4197" t="s">
        <v>19</v>
      </c>
      <c r="B132" s="571" t="s">
        <v>598</v>
      </c>
      <c r="C132" s="1028"/>
      <c r="D132" s="1028"/>
      <c r="E132" s="1028"/>
      <c r="F132" s="1028"/>
      <c r="G132" s="1028"/>
      <c r="H132" s="1028"/>
      <c r="I132" s="1028"/>
      <c r="J132" s="1028"/>
      <c r="K132" s="1028"/>
      <c r="L132" s="1028"/>
      <c r="M132" s="1028"/>
      <c r="N132" s="1028"/>
      <c r="O132" s="1028"/>
      <c r="P132" s="1028"/>
      <c r="Q132" s="1028"/>
      <c r="R132" s="1028"/>
      <c r="S132" s="1028"/>
      <c r="T132" s="1028"/>
      <c r="U132" s="1028"/>
      <c r="V132" s="1028"/>
      <c r="W132" s="1028"/>
      <c r="X132" s="1028"/>
      <c r="Y132" s="1028"/>
      <c r="Z132" s="1028"/>
      <c r="AA132" s="1028"/>
      <c r="AB132" s="1028"/>
      <c r="AC132" s="1028"/>
      <c r="AD132" s="1028"/>
      <c r="AE132" s="1028"/>
      <c r="AF132" s="1028"/>
      <c r="AG132" s="1028"/>
      <c r="AH132" s="1028"/>
      <c r="AI132" s="1028"/>
      <c r="AJ132" s="1028"/>
      <c r="AK132" s="1028"/>
      <c r="AL132" s="1028"/>
      <c r="AM132" s="1028"/>
      <c r="AN132" s="1028"/>
      <c r="AO132" s="4142"/>
      <c r="AP132" s="4143"/>
      <c r="AQ132" s="4214"/>
      <c r="AR132" s="4214"/>
      <c r="AS132" s="4214"/>
      <c r="AT132" s="4214"/>
      <c r="AU132" s="4214"/>
      <c r="AV132" s="4214"/>
      <c r="AW132" s="4214"/>
      <c r="AX132" s="4214"/>
      <c r="AY132" s="4214"/>
      <c r="AZ132" s="4214"/>
      <c r="BA132" s="4214"/>
      <c r="BB132" s="4214"/>
      <c r="BC132" s="4215"/>
      <c r="BD132" s="789"/>
      <c r="BE132" s="789"/>
      <c r="BF132" s="789"/>
      <c r="BG132" s="789"/>
      <c r="BH132" s="789"/>
      <c r="BI132" s="789"/>
      <c r="BJ132" s="789"/>
      <c r="BK132" s="789"/>
      <c r="BL132" s="789"/>
      <c r="BM132" s="789"/>
      <c r="BN132" s="789"/>
      <c r="BO132" s="789"/>
      <c r="BP132" s="6631">
        <f>SUM(BP133:BP136)</f>
        <v>3313.0042552474315</v>
      </c>
      <c r="BQ132" s="6553">
        <f>SUM(BQ133:BQ136)</f>
        <v>167.74312501103336</v>
      </c>
      <c r="BR132" s="6553">
        <f t="shared" ref="BR132:CB132" si="138">SUM(BR133:BR136)</f>
        <v>428.25564915680542</v>
      </c>
      <c r="BS132" s="6553">
        <f t="shared" si="138"/>
        <v>246.90401829655065</v>
      </c>
      <c r="BT132" s="6553">
        <f t="shared" si="138"/>
        <v>248.4034575345251</v>
      </c>
      <c r="BU132" s="6553">
        <f t="shared" si="138"/>
        <v>292.87820263900215</v>
      </c>
      <c r="BV132" s="6553">
        <f t="shared" si="138"/>
        <v>205.79866333843387</v>
      </c>
      <c r="BW132" s="6553">
        <f t="shared" si="138"/>
        <v>468.51033344080599</v>
      </c>
      <c r="BX132" s="6553">
        <f t="shared" si="138"/>
        <v>261.81468544801845</v>
      </c>
      <c r="BY132" s="6553">
        <f t="shared" si="138"/>
        <v>390.43859096943254</v>
      </c>
      <c r="BZ132" s="6553">
        <f t="shared" si="138"/>
        <v>249.0449490282185</v>
      </c>
      <c r="CA132" s="6553">
        <f t="shared" si="138"/>
        <v>199.21273615552016</v>
      </c>
      <c r="CB132" s="6553">
        <f t="shared" si="138"/>
        <v>181.58246886283243</v>
      </c>
      <c r="CC132" s="6670">
        <f>SUM(BQ132:CB132)</f>
        <v>3340.5868798811784</v>
      </c>
      <c r="CD132" s="6553">
        <f t="shared" ref="CD132" si="139">SUM(CD133:CD136)</f>
        <v>229.27970548691695</v>
      </c>
      <c r="CE132" s="6553">
        <f t="shared" ref="CE132" si="140">SUM(CE133:CE136)</f>
        <v>168.19297831060092</v>
      </c>
      <c r="CF132" s="789"/>
      <c r="CG132" s="789"/>
      <c r="CH132" s="789"/>
      <c r="CI132" s="789"/>
      <c r="CJ132" s="789"/>
      <c r="CK132" s="789"/>
      <c r="CL132" s="789"/>
      <c r="CM132" s="789"/>
      <c r="CN132" s="789"/>
      <c r="CO132" s="789"/>
      <c r="CP132" s="4087"/>
      <c r="CQ132" s="790"/>
      <c r="CR132" s="6873">
        <f t="shared" si="94"/>
        <v>-61.086727176316032</v>
      </c>
      <c r="CS132" s="6874">
        <f t="shared" si="95"/>
        <v>-260.06267084620447</v>
      </c>
      <c r="CT132" s="795"/>
      <c r="CU132" s="6765">
        <f t="shared" si="88"/>
        <v>397.4726837975179</v>
      </c>
      <c r="CV132" s="6739"/>
      <c r="CW132" s="6953"/>
      <c r="CX132" s="6757">
        <f t="shared" si="89"/>
        <v>-198.52609037032084</v>
      </c>
      <c r="CY132" s="2775"/>
      <c r="CZ132" s="590"/>
      <c r="DA132" s="590"/>
      <c r="DB132" s="590"/>
      <c r="DC132" s="590"/>
      <c r="DD132" s="590"/>
      <c r="DE132" s="590"/>
      <c r="DF132" s="590"/>
      <c r="DG132" s="590"/>
      <c r="DH132" s="590"/>
      <c r="DI132" s="590"/>
      <c r="DJ132" s="590"/>
      <c r="DK132" s="590"/>
      <c r="DL132" s="590"/>
      <c r="DM132" s="590"/>
      <c r="DO132" s="4093" t="e">
        <f t="shared" ref="DO132:DO144" si="141">AVERAGE(BD132:BL132)</f>
        <v>#DIV/0!</v>
      </c>
      <c r="DP132" s="4093">
        <f t="shared" ref="DP132:DP144" si="142">AVERAGE(BQ132:BY132)</f>
        <v>301.19408064828968</v>
      </c>
      <c r="DS132" s="2261"/>
      <c r="DT132" s="2261"/>
    </row>
    <row r="133" spans="1:124" ht="16.3" customHeight="1" x14ac:dyDescent="0.55000000000000004">
      <c r="A133" s="4151"/>
      <c r="B133" s="1028"/>
      <c r="C133" s="1028" t="s">
        <v>10</v>
      </c>
      <c r="D133" s="1028"/>
      <c r="E133" s="1028"/>
      <c r="F133" s="1028"/>
      <c r="G133" s="1028"/>
      <c r="H133" s="1028"/>
      <c r="I133" s="1028"/>
      <c r="J133" s="1028"/>
      <c r="K133" s="1028"/>
      <c r="L133" s="1028"/>
      <c r="M133" s="1028"/>
      <c r="N133" s="1028"/>
      <c r="O133" s="1028"/>
      <c r="P133" s="1028"/>
      <c r="Q133" s="1028"/>
      <c r="R133" s="1028"/>
      <c r="S133" s="1028"/>
      <c r="T133" s="1028"/>
      <c r="U133" s="1028"/>
      <c r="V133" s="1028"/>
      <c r="W133" s="1028"/>
      <c r="X133" s="1028"/>
      <c r="Y133" s="1028"/>
      <c r="Z133" s="1028"/>
      <c r="AA133" s="1028"/>
      <c r="AB133" s="1028"/>
      <c r="AC133" s="1028"/>
      <c r="AD133" s="1028"/>
      <c r="AE133" s="1028"/>
      <c r="AF133" s="1028"/>
      <c r="AG133" s="1028"/>
      <c r="AH133" s="1028"/>
      <c r="AI133" s="1028"/>
      <c r="AJ133" s="1028"/>
      <c r="AK133" s="1028"/>
      <c r="AL133" s="1028"/>
      <c r="AM133" s="1028"/>
      <c r="AN133" s="1028"/>
      <c r="AO133" s="4142"/>
      <c r="AP133" s="4143"/>
      <c r="AQ133" s="4214"/>
      <c r="AR133" s="4214"/>
      <c r="AS133" s="4214"/>
      <c r="AT133" s="4214"/>
      <c r="AU133" s="4214"/>
      <c r="AV133" s="4214"/>
      <c r="AW133" s="4214"/>
      <c r="AX133" s="4214"/>
      <c r="AY133" s="4214"/>
      <c r="AZ133" s="4214"/>
      <c r="BA133" s="4214"/>
      <c r="BB133" s="4214"/>
      <c r="BC133" s="4215"/>
      <c r="BD133" s="789"/>
      <c r="BE133" s="3946"/>
      <c r="BF133" s="3946"/>
      <c r="BG133" s="789"/>
      <c r="BH133" s="789"/>
      <c r="BI133" s="789"/>
      <c r="BJ133" s="789"/>
      <c r="BK133" s="789"/>
      <c r="BL133" s="789"/>
      <c r="BM133" s="789"/>
      <c r="BN133" s="789"/>
      <c r="BO133" s="789"/>
      <c r="BP133" s="6631">
        <v>1775.4075231500001</v>
      </c>
      <c r="BQ133" s="6553">
        <v>84.079569210000002</v>
      </c>
      <c r="BR133" s="6632">
        <v>258.24693518999999</v>
      </c>
      <c r="BS133" s="6632">
        <v>114.64372557</v>
      </c>
      <c r="BT133" s="6553">
        <v>121.725476</v>
      </c>
      <c r="BU133" s="6553">
        <v>138.92942589</v>
      </c>
      <c r="BV133" s="6553">
        <v>85.365729939999994</v>
      </c>
      <c r="BW133" s="6553">
        <v>264.13868593000001</v>
      </c>
      <c r="BX133" s="6553">
        <v>129.77559471999999</v>
      </c>
      <c r="BY133" s="6553">
        <v>248.54953387</v>
      </c>
      <c r="BZ133" s="6553">
        <v>137.71666496</v>
      </c>
      <c r="CA133" s="6553">
        <v>101.47547290999999</v>
      </c>
      <c r="CB133" s="6553">
        <v>86.612690670000006</v>
      </c>
      <c r="CC133" s="6670">
        <f t="shared" ref="CC133:CC157" si="143">SUM(BQ133:CB133)</f>
        <v>1771.2595048600001</v>
      </c>
      <c r="CD133" s="6553">
        <v>108.42518892</v>
      </c>
      <c r="CE133" s="6632">
        <v>78.158748639999999</v>
      </c>
      <c r="CF133" s="3946"/>
      <c r="CG133" s="789"/>
      <c r="CH133" s="789"/>
      <c r="CI133" s="3948"/>
      <c r="CJ133" s="789"/>
      <c r="CK133" s="3948"/>
      <c r="CL133" s="3948"/>
      <c r="CM133" s="789"/>
      <c r="CN133" s="789"/>
      <c r="CO133" s="789"/>
      <c r="CP133" s="4087"/>
      <c r="CQ133" s="790"/>
      <c r="CR133" s="6873">
        <f t="shared" si="94"/>
        <v>-30.266440279999998</v>
      </c>
      <c r="CS133" s="6874">
        <f t="shared" si="95"/>
        <v>-180.08818654999999</v>
      </c>
      <c r="CT133" s="795"/>
      <c r="CU133" s="6765">
        <f t="shared" ref="CU133:CU183" si="144">SUM(CD133:CO133)</f>
        <v>186.58393755999998</v>
      </c>
      <c r="CV133" s="6739"/>
      <c r="CW133" s="6953"/>
      <c r="CX133" s="6757">
        <f t="shared" si="89"/>
        <v>-155.74256683999999</v>
      </c>
      <c r="CY133" s="2775"/>
      <c r="CZ133" s="590"/>
      <c r="DA133" s="590"/>
      <c r="DB133" s="590"/>
      <c r="DC133" s="590"/>
      <c r="DD133" s="590"/>
      <c r="DE133" s="590"/>
      <c r="DF133" s="590"/>
      <c r="DG133" s="590"/>
      <c r="DH133" s="590"/>
      <c r="DI133" s="590"/>
      <c r="DJ133" s="590"/>
      <c r="DK133" s="590"/>
      <c r="DL133" s="590"/>
      <c r="DM133" s="590"/>
      <c r="DO133" s="4093" t="e">
        <f t="shared" si="141"/>
        <v>#DIV/0!</v>
      </c>
      <c r="DP133" s="4093">
        <f t="shared" si="142"/>
        <v>160.60607514666668</v>
      </c>
      <c r="DS133" s="2261"/>
      <c r="DT133" s="2261"/>
    </row>
    <row r="134" spans="1:124" ht="16.3" customHeight="1" x14ac:dyDescent="0.55000000000000004">
      <c r="A134" s="4151"/>
      <c r="B134" s="1028"/>
      <c r="C134" s="1028" t="s">
        <v>6</v>
      </c>
      <c r="D134" s="1028"/>
      <c r="E134" s="1028"/>
      <c r="F134" s="1028"/>
      <c r="G134" s="1028"/>
      <c r="H134" s="1028"/>
      <c r="I134" s="1028"/>
      <c r="J134" s="1028"/>
      <c r="K134" s="1028"/>
      <c r="L134" s="1028"/>
      <c r="M134" s="1028"/>
      <c r="N134" s="1028"/>
      <c r="O134" s="1028"/>
      <c r="P134" s="1028"/>
      <c r="Q134" s="1028"/>
      <c r="R134" s="1028"/>
      <c r="S134" s="1028"/>
      <c r="T134" s="1028"/>
      <c r="U134" s="1028"/>
      <c r="V134" s="1028"/>
      <c r="W134" s="1028"/>
      <c r="X134" s="1028"/>
      <c r="Y134" s="1028"/>
      <c r="Z134" s="1028"/>
      <c r="AA134" s="1028"/>
      <c r="AB134" s="1028"/>
      <c r="AC134" s="1028"/>
      <c r="AD134" s="1028"/>
      <c r="AE134" s="1028"/>
      <c r="AF134" s="1028"/>
      <c r="AG134" s="1028"/>
      <c r="AH134" s="1028"/>
      <c r="AI134" s="1028"/>
      <c r="AJ134" s="1028"/>
      <c r="AK134" s="1028"/>
      <c r="AL134" s="1028"/>
      <c r="AM134" s="1028"/>
      <c r="AN134" s="1028"/>
      <c r="AO134" s="4142"/>
      <c r="AP134" s="4143"/>
      <c r="AQ134" s="4214"/>
      <c r="AR134" s="4214"/>
      <c r="AS134" s="4214"/>
      <c r="AT134" s="4214"/>
      <c r="AU134" s="4214"/>
      <c r="AV134" s="4214"/>
      <c r="AW134" s="4214"/>
      <c r="AX134" s="4214"/>
      <c r="AY134" s="4214"/>
      <c r="AZ134" s="4214"/>
      <c r="BA134" s="4214"/>
      <c r="BB134" s="4214"/>
      <c r="BC134" s="4215"/>
      <c r="BD134" s="789"/>
      <c r="BE134" s="3946"/>
      <c r="BF134" s="3946"/>
      <c r="BG134" s="789"/>
      <c r="BH134" s="4376"/>
      <c r="BI134" s="789"/>
      <c r="BJ134" s="789"/>
      <c r="BK134" s="789"/>
      <c r="BL134" s="789"/>
      <c r="BM134" s="789"/>
      <c r="BN134" s="789"/>
      <c r="BO134" s="789"/>
      <c r="BP134" s="6631">
        <v>1069.1754675910083</v>
      </c>
      <c r="BQ134" s="6553">
        <v>49.550632411397075</v>
      </c>
      <c r="BR134" s="6632">
        <v>135.13312067000001</v>
      </c>
      <c r="BS134" s="6632">
        <v>97.077539061742797</v>
      </c>
      <c r="BT134" s="6553">
        <v>93.319227909999995</v>
      </c>
      <c r="BU134" s="6553">
        <v>120.71903759999999</v>
      </c>
      <c r="BV134" s="6553">
        <v>87.744517000000002</v>
      </c>
      <c r="BW134" s="6553">
        <v>170.43939725000001</v>
      </c>
      <c r="BX134" s="6553">
        <v>100.73823685000001</v>
      </c>
      <c r="BY134" s="6553">
        <v>110.14978865</v>
      </c>
      <c r="BZ134" s="6553">
        <v>79.773004220000004</v>
      </c>
      <c r="CA134" s="6553">
        <v>66.225831493298131</v>
      </c>
      <c r="CB134" s="6553">
        <v>63.352057251273536</v>
      </c>
      <c r="CC134" s="6670">
        <f t="shared" si="143"/>
        <v>1174.2223903677113</v>
      </c>
      <c r="CD134" s="6553">
        <v>89.842143429999993</v>
      </c>
      <c r="CE134" s="6632">
        <v>59.52325433</v>
      </c>
      <c r="CF134" s="3946"/>
      <c r="CG134" s="789"/>
      <c r="CH134" s="789"/>
      <c r="CI134" s="4184"/>
      <c r="CJ134" s="789"/>
      <c r="CK134" s="4184"/>
      <c r="CL134" s="4184"/>
      <c r="CM134" s="789"/>
      <c r="CN134" s="789"/>
      <c r="CO134" s="789"/>
      <c r="CP134" s="4087"/>
      <c r="CQ134" s="790"/>
      <c r="CR134" s="6873">
        <f t="shared" si="94"/>
        <v>-30.318889099999993</v>
      </c>
      <c r="CS134" s="6874">
        <f t="shared" si="95"/>
        <v>-75.609866340000011</v>
      </c>
      <c r="CT134" s="795"/>
      <c r="CU134" s="6765">
        <f t="shared" si="144"/>
        <v>149.36539776000001</v>
      </c>
      <c r="CV134" s="6739"/>
      <c r="CW134" s="6953"/>
      <c r="CX134" s="6757">
        <f t="shared" ref="CX134:CX183" si="145">SUM(CD134:CE134)-SUM(BQ134:BR134)</f>
        <v>-35.318355321397064</v>
      </c>
      <c r="CY134" s="2775"/>
      <c r="CZ134" s="590"/>
      <c r="DA134" s="590"/>
      <c r="DB134" s="590"/>
      <c r="DC134" s="590"/>
      <c r="DD134" s="590"/>
      <c r="DE134" s="590"/>
      <c r="DF134" s="590"/>
      <c r="DG134" s="590"/>
      <c r="DH134" s="590"/>
      <c r="DI134" s="590"/>
      <c r="DJ134" s="590"/>
      <c r="DK134" s="590"/>
      <c r="DL134" s="590"/>
      <c r="DM134" s="590"/>
      <c r="DO134" s="4093" t="e">
        <f t="shared" si="141"/>
        <v>#DIV/0!</v>
      </c>
      <c r="DP134" s="4093">
        <f t="shared" si="142"/>
        <v>107.20794415590443</v>
      </c>
      <c r="DQ134" s="4093" t="e">
        <f>DP134-DO134</f>
        <v>#DIV/0!</v>
      </c>
      <c r="DS134" s="2261"/>
      <c r="DT134" s="2261"/>
    </row>
    <row r="135" spans="1:124" ht="16.3" customHeight="1" x14ac:dyDescent="0.55000000000000004">
      <c r="A135" s="4151"/>
      <c r="B135" s="1028"/>
      <c r="C135" s="1028" t="s">
        <v>0</v>
      </c>
      <c r="D135" s="1028"/>
      <c r="E135" s="4379" t="s">
        <v>1202</v>
      </c>
      <c r="F135" s="1028"/>
      <c r="G135" s="1028"/>
      <c r="H135" s="1028"/>
      <c r="I135" s="1028"/>
      <c r="J135" s="1028"/>
      <c r="K135" s="1028"/>
      <c r="L135" s="1028"/>
      <c r="M135" s="1028"/>
      <c r="N135" s="1028"/>
      <c r="O135" s="1028"/>
      <c r="P135" s="1028"/>
      <c r="Q135" s="1028"/>
      <c r="R135" s="1028"/>
      <c r="S135" s="1028"/>
      <c r="T135" s="1028"/>
      <c r="U135" s="1028"/>
      <c r="V135" s="1028"/>
      <c r="W135" s="1028"/>
      <c r="X135" s="1028"/>
      <c r="Y135" s="1028"/>
      <c r="Z135" s="1028"/>
      <c r="AA135" s="1028"/>
      <c r="AB135" s="1028"/>
      <c r="AC135" s="1028"/>
      <c r="AD135" s="1028"/>
      <c r="AE135" s="1028"/>
      <c r="AF135" s="1028"/>
      <c r="AG135" s="1028"/>
      <c r="AH135" s="1028"/>
      <c r="AI135" s="1028"/>
      <c r="AJ135" s="1028"/>
      <c r="AK135" s="1028"/>
      <c r="AL135" s="1028"/>
      <c r="AM135" s="1028"/>
      <c r="AN135" s="1028"/>
      <c r="AO135" s="4142"/>
      <c r="AP135" s="4143"/>
      <c r="AQ135" s="4214"/>
      <c r="AR135" s="4214"/>
      <c r="AS135" s="4214"/>
      <c r="AT135" s="4214"/>
      <c r="AU135" s="4214"/>
      <c r="AV135" s="4214"/>
      <c r="AW135" s="4214"/>
      <c r="AX135" s="4214"/>
      <c r="AY135" s="4214"/>
      <c r="AZ135" s="4214"/>
      <c r="BA135" s="4214"/>
      <c r="BB135" s="4214"/>
      <c r="BC135" s="4215"/>
      <c r="BD135" s="4376"/>
      <c r="BE135" s="4378"/>
      <c r="BF135" s="4378"/>
      <c r="BG135" s="4376"/>
      <c r="BH135" s="4376"/>
      <c r="BI135" s="4376"/>
      <c r="BJ135" s="4376"/>
      <c r="BK135" s="4376"/>
      <c r="BL135" s="4376"/>
      <c r="BM135" s="4376"/>
      <c r="BN135" s="4376"/>
      <c r="BO135" s="4376"/>
      <c r="BP135" s="6631">
        <v>418.71256045591753</v>
      </c>
      <c r="BQ135" s="6553">
        <v>32.356733409636284</v>
      </c>
      <c r="BR135" s="6632">
        <v>33.287001536805477</v>
      </c>
      <c r="BS135" s="6632">
        <v>33.052736454807828</v>
      </c>
      <c r="BT135" s="6553">
        <v>31.997194534525072</v>
      </c>
      <c r="BU135" s="6553">
        <v>31.828237369002188</v>
      </c>
      <c r="BV135" s="6553">
        <v>32.599241858433892</v>
      </c>
      <c r="BW135" s="6553">
        <v>33.671704810805977</v>
      </c>
      <c r="BX135" s="6553">
        <v>31.183206598018426</v>
      </c>
      <c r="BY135" s="6553">
        <v>31.591904849432545</v>
      </c>
      <c r="BZ135" s="6553">
        <v>31.34493258821848</v>
      </c>
      <c r="CA135" s="6553">
        <v>31.439258152221996</v>
      </c>
      <c r="CB135" s="6553">
        <v>31.363553061558868</v>
      </c>
      <c r="CC135" s="6670">
        <f t="shared" si="143"/>
        <v>385.71570522346701</v>
      </c>
      <c r="CD135" s="6553">
        <v>30.916335796916954</v>
      </c>
      <c r="CE135" s="6632">
        <v>30.45541440060093</v>
      </c>
      <c r="CF135" s="3946"/>
      <c r="CG135" s="789"/>
      <c r="CH135" s="789"/>
      <c r="CI135" s="3948"/>
      <c r="CJ135" s="789"/>
      <c r="CK135" s="3948"/>
      <c r="CL135" s="3948"/>
      <c r="CM135" s="789"/>
      <c r="CN135" s="789"/>
      <c r="CO135" s="789"/>
      <c r="CP135" s="4087"/>
      <c r="CQ135" s="790"/>
      <c r="CR135" s="6873">
        <f t="shared" si="94"/>
        <v>-0.46092139631602436</v>
      </c>
      <c r="CS135" s="6874">
        <f t="shared" si="95"/>
        <v>-2.8315871362045471</v>
      </c>
      <c r="CT135" s="795"/>
      <c r="CU135" s="6765">
        <f t="shared" si="144"/>
        <v>61.371750197517883</v>
      </c>
      <c r="CV135" s="6739"/>
      <c r="CW135" s="6953"/>
      <c r="CX135" s="6757">
        <f t="shared" si="145"/>
        <v>-4.2719847489238703</v>
      </c>
      <c r="CY135" s="2775"/>
      <c r="CZ135" s="590"/>
      <c r="DA135" s="590"/>
      <c r="DB135" s="590"/>
      <c r="DC135" s="590"/>
      <c r="DD135" s="590"/>
      <c r="DE135" s="590"/>
      <c r="DF135" s="590"/>
      <c r="DG135" s="590"/>
      <c r="DH135" s="590"/>
      <c r="DI135" s="590"/>
      <c r="DJ135" s="590"/>
      <c r="DK135" s="590"/>
      <c r="DL135" s="590"/>
      <c r="DM135" s="590"/>
      <c r="DO135" s="4093" t="e">
        <f t="shared" si="141"/>
        <v>#DIV/0!</v>
      </c>
      <c r="DP135" s="4093">
        <f t="shared" si="142"/>
        <v>32.396440157940852</v>
      </c>
      <c r="DQ135" s="4093" t="e">
        <f t="shared" ref="DQ135:DQ144" si="146">DP135-DO135</f>
        <v>#DIV/0!</v>
      </c>
      <c r="DS135" s="2261"/>
      <c r="DT135" s="2261"/>
    </row>
    <row r="136" spans="1:124" ht="16.3" customHeight="1" x14ac:dyDescent="0.55000000000000004">
      <c r="A136" s="4151"/>
      <c r="B136" s="1028"/>
      <c r="C136" s="1028" t="s">
        <v>7</v>
      </c>
      <c r="D136" s="1028"/>
      <c r="E136" s="1028"/>
      <c r="F136" s="1028"/>
      <c r="G136" s="1028"/>
      <c r="H136" s="1028"/>
      <c r="I136" s="1028"/>
      <c r="J136" s="1028"/>
      <c r="K136" s="1028"/>
      <c r="L136" s="1028"/>
      <c r="M136" s="1028"/>
      <c r="N136" s="1028"/>
      <c r="O136" s="1028"/>
      <c r="P136" s="1028"/>
      <c r="Q136" s="1028"/>
      <c r="R136" s="1028"/>
      <c r="S136" s="1028"/>
      <c r="T136" s="1028"/>
      <c r="U136" s="1028"/>
      <c r="V136" s="1028"/>
      <c r="W136" s="1028"/>
      <c r="X136" s="1028"/>
      <c r="Y136" s="1028"/>
      <c r="Z136" s="1028"/>
      <c r="AA136" s="1028"/>
      <c r="AB136" s="1028"/>
      <c r="AC136" s="1028"/>
      <c r="AD136" s="1028"/>
      <c r="AE136" s="1028"/>
      <c r="AF136" s="1028"/>
      <c r="AG136" s="1028"/>
      <c r="AH136" s="1028"/>
      <c r="AI136" s="1028"/>
      <c r="AJ136" s="1028"/>
      <c r="AK136" s="1028"/>
      <c r="AL136" s="1028"/>
      <c r="AM136" s="1028"/>
      <c r="AN136" s="1028"/>
      <c r="AO136" s="4142"/>
      <c r="AP136" s="4143"/>
      <c r="AQ136" s="4214"/>
      <c r="AR136" s="4214"/>
      <c r="AS136" s="4214"/>
      <c r="AT136" s="4214"/>
      <c r="AU136" s="4214"/>
      <c r="AV136" s="4214"/>
      <c r="AW136" s="4214"/>
      <c r="AX136" s="4214"/>
      <c r="AY136" s="4214"/>
      <c r="AZ136" s="4214"/>
      <c r="BA136" s="4214"/>
      <c r="BB136" s="4214"/>
      <c r="BC136" s="4215"/>
      <c r="BD136" s="789"/>
      <c r="BE136" s="3946"/>
      <c r="BF136" s="3946"/>
      <c r="BG136" s="789"/>
      <c r="BH136" s="4376"/>
      <c r="BI136" s="789"/>
      <c r="BJ136" s="789"/>
      <c r="BK136" s="789"/>
      <c r="BL136" s="789"/>
      <c r="BM136" s="789"/>
      <c r="BN136" s="789"/>
      <c r="BO136" s="789"/>
      <c r="BP136" s="6631">
        <v>49.708704050505581</v>
      </c>
      <c r="BQ136" s="6553">
        <v>1.75618998</v>
      </c>
      <c r="BR136" s="6632">
        <v>1.5885917599999999</v>
      </c>
      <c r="BS136" s="6632">
        <v>2.1300172100000001</v>
      </c>
      <c r="BT136" s="6553">
        <v>1.3615590900000001</v>
      </c>
      <c r="BU136" s="6553">
        <v>1.40150178</v>
      </c>
      <c r="BV136" s="6553">
        <v>8.9174539999999997E-2</v>
      </c>
      <c r="BW136" s="6553">
        <v>0.26054545000000001</v>
      </c>
      <c r="BX136" s="6553">
        <v>0.11764728000000001</v>
      </c>
      <c r="BY136" s="6553">
        <v>0.14736360000000001</v>
      </c>
      <c r="BZ136" s="6553">
        <v>0.21034726000000001</v>
      </c>
      <c r="CA136" s="6553">
        <v>7.2173600000000004E-2</v>
      </c>
      <c r="CB136" s="6553">
        <v>0.25416788000000001</v>
      </c>
      <c r="CC136" s="6670">
        <f t="shared" si="143"/>
        <v>9.389279430000002</v>
      </c>
      <c r="CD136" s="6553">
        <v>9.6037339999999999E-2</v>
      </c>
      <c r="CE136" s="6632">
        <v>5.5560940000000003E-2</v>
      </c>
      <c r="CF136" s="3946"/>
      <c r="CG136" s="789"/>
      <c r="CH136" s="789"/>
      <c r="CI136" s="4184"/>
      <c r="CJ136" s="789"/>
      <c r="CK136" s="4184"/>
      <c r="CL136" s="4184"/>
      <c r="CM136" s="789"/>
      <c r="CN136" s="789"/>
      <c r="CO136" s="789"/>
      <c r="CP136" s="4087"/>
      <c r="CQ136" s="790"/>
      <c r="CR136" s="6873">
        <f t="shared" si="94"/>
        <v>-4.0476399999999996E-2</v>
      </c>
      <c r="CS136" s="6874">
        <f t="shared" si="95"/>
        <v>-1.53303082</v>
      </c>
      <c r="CT136" s="795"/>
      <c r="CU136" s="6765">
        <f t="shared" si="144"/>
        <v>0.15159828</v>
      </c>
      <c r="CV136" s="6739"/>
      <c r="CW136" s="6953"/>
      <c r="CX136" s="6757">
        <f t="shared" si="145"/>
        <v>-3.1931834600000002</v>
      </c>
      <c r="CY136" s="2775"/>
      <c r="CZ136" s="590"/>
      <c r="DA136" s="590"/>
      <c r="DB136" s="590"/>
      <c r="DC136" s="590"/>
      <c r="DD136" s="590"/>
      <c r="DE136" s="590"/>
      <c r="DF136" s="590"/>
      <c r="DG136" s="590"/>
      <c r="DH136" s="590"/>
      <c r="DI136" s="590"/>
      <c r="DJ136" s="590"/>
      <c r="DK136" s="590"/>
      <c r="DL136" s="590"/>
      <c r="DM136" s="590"/>
      <c r="DO136" s="4093" t="e">
        <f t="shared" si="141"/>
        <v>#DIV/0!</v>
      </c>
      <c r="DP136" s="4093">
        <f t="shared" si="142"/>
        <v>0.98362118777777796</v>
      </c>
      <c r="DQ136" s="4093" t="e">
        <f t="shared" si="146"/>
        <v>#DIV/0!</v>
      </c>
      <c r="DS136" s="2261"/>
      <c r="DT136" s="2261"/>
    </row>
    <row r="137" spans="1:124" ht="16.3" customHeight="1" x14ac:dyDescent="0.55000000000000004">
      <c r="A137" s="4141"/>
      <c r="B137" s="4221" t="s">
        <v>599</v>
      </c>
      <c r="C137" s="4158"/>
      <c r="D137" s="4158"/>
      <c r="E137" s="4158"/>
      <c r="F137" s="4158"/>
      <c r="G137" s="4158"/>
      <c r="H137" s="4158"/>
      <c r="I137" s="4158"/>
      <c r="J137" s="4158"/>
      <c r="K137" s="4158"/>
      <c r="L137" s="4158"/>
      <c r="M137" s="4158"/>
      <c r="N137" s="4158"/>
      <c r="O137" s="4158"/>
      <c r="P137" s="4158"/>
      <c r="Q137" s="4158"/>
      <c r="R137" s="4158"/>
      <c r="S137" s="4158"/>
      <c r="T137" s="4158"/>
      <c r="U137" s="4158"/>
      <c r="V137" s="4158"/>
      <c r="W137" s="4158"/>
      <c r="X137" s="4158"/>
      <c r="Y137" s="4158"/>
      <c r="Z137" s="4158"/>
      <c r="AA137" s="4158"/>
      <c r="AB137" s="4158"/>
      <c r="AC137" s="4158"/>
      <c r="AD137" s="4158"/>
      <c r="AE137" s="4158"/>
      <c r="AF137" s="4158"/>
      <c r="AG137" s="4158"/>
      <c r="AH137" s="4158"/>
      <c r="AI137" s="4158"/>
      <c r="AJ137" s="4158"/>
      <c r="AK137" s="4158"/>
      <c r="AL137" s="4158"/>
      <c r="AM137" s="4158"/>
      <c r="AN137" s="4158"/>
      <c r="AO137" s="3876"/>
      <c r="AP137" s="4161"/>
      <c r="AQ137" s="4222"/>
      <c r="AR137" s="4222"/>
      <c r="AS137" s="4222"/>
      <c r="AT137" s="4222"/>
      <c r="AU137" s="4222"/>
      <c r="AV137" s="4222"/>
      <c r="AW137" s="4222"/>
      <c r="AX137" s="4222"/>
      <c r="AY137" s="4222"/>
      <c r="AZ137" s="4222"/>
      <c r="BA137" s="4222"/>
      <c r="BB137" s="4222"/>
      <c r="BC137" s="4223"/>
      <c r="BD137" s="800"/>
      <c r="BE137" s="800"/>
      <c r="BF137" s="800"/>
      <c r="BG137" s="800"/>
      <c r="BH137" s="800"/>
      <c r="BI137" s="800"/>
      <c r="BJ137" s="800"/>
      <c r="BK137" s="800"/>
      <c r="BL137" s="800"/>
      <c r="BM137" s="800"/>
      <c r="BN137" s="800"/>
      <c r="BO137" s="800"/>
      <c r="BP137" s="6636">
        <f>SUM(BP138:BP142)</f>
        <v>3205.2716138322417</v>
      </c>
      <c r="BQ137" s="6526">
        <f>SUM(BQ138:BQ142)</f>
        <v>188.34834548071791</v>
      </c>
      <c r="BR137" s="6526">
        <f t="shared" ref="BR137:CB137" si="147">SUM(BR138:BR142)</f>
        <v>371.54295875979403</v>
      </c>
      <c r="BS137" s="6526">
        <f t="shared" si="147"/>
        <v>230.03669524828484</v>
      </c>
      <c r="BT137" s="6526">
        <f t="shared" si="147"/>
        <v>225.69009836792247</v>
      </c>
      <c r="BU137" s="6526">
        <f t="shared" si="147"/>
        <v>238.84678892862399</v>
      </c>
      <c r="BV137" s="6526">
        <f t="shared" si="147"/>
        <v>204.13006234969126</v>
      </c>
      <c r="BW137" s="6526">
        <f t="shared" si="147"/>
        <v>430.1736706697871</v>
      </c>
      <c r="BX137" s="6526">
        <f t="shared" si="147"/>
        <v>235.72356687146151</v>
      </c>
      <c r="BY137" s="6526">
        <f t="shared" si="147"/>
        <v>387.38272014305852</v>
      </c>
      <c r="BZ137" s="6526">
        <f t="shared" si="147"/>
        <v>264.03893035181034</v>
      </c>
      <c r="CA137" s="6526">
        <f t="shared" si="147"/>
        <v>199.10928723417283</v>
      </c>
      <c r="CB137" s="6526">
        <f t="shared" si="147"/>
        <v>188.03572591350527</v>
      </c>
      <c r="CC137" s="6671">
        <f t="shared" si="143"/>
        <v>3163.0588503188301</v>
      </c>
      <c r="CD137" s="6526">
        <f t="shared" ref="CD137" si="148">SUM(CD138:CD142)</f>
        <v>211.13722637598249</v>
      </c>
      <c r="CE137" s="6526">
        <f t="shared" ref="CE137" si="149">SUM(CE138:CE142)</f>
        <v>168.44157522993601</v>
      </c>
      <c r="CF137" s="800"/>
      <c r="CG137" s="800"/>
      <c r="CH137" s="800"/>
      <c r="CI137" s="800"/>
      <c r="CJ137" s="800"/>
      <c r="CK137" s="800"/>
      <c r="CL137" s="800"/>
      <c r="CM137" s="800"/>
      <c r="CN137" s="800"/>
      <c r="CO137" s="800"/>
      <c r="CP137" s="800">
        <f t="shared" ref="CP137:CQ137" si="150">CP138+CP139+CP140+CP141+CP142</f>
        <v>0</v>
      </c>
      <c r="CQ137" s="800">
        <f t="shared" si="150"/>
        <v>0</v>
      </c>
      <c r="CR137" s="6869">
        <f t="shared" si="94"/>
        <v>-42.695651146046487</v>
      </c>
      <c r="CS137" s="6896">
        <f t="shared" si="95"/>
        <v>-203.10138352985803</v>
      </c>
      <c r="CT137" s="808"/>
      <c r="CU137" s="6924">
        <f t="shared" si="144"/>
        <v>379.5788016059185</v>
      </c>
      <c r="CV137" s="6739"/>
      <c r="CW137" s="6953"/>
      <c r="CX137" s="6760">
        <f t="shared" si="145"/>
        <v>-180.3125026345935</v>
      </c>
      <c r="CY137" s="2775"/>
      <c r="CZ137" s="590"/>
      <c r="DA137" s="590"/>
      <c r="DB137" s="590"/>
      <c r="DC137" s="590"/>
      <c r="DD137" s="590"/>
      <c r="DE137" s="590"/>
      <c r="DF137" s="590"/>
      <c r="DG137" s="590"/>
      <c r="DH137" s="590"/>
      <c r="DI137" s="590"/>
      <c r="DJ137" s="590"/>
      <c r="DK137" s="590"/>
      <c r="DL137" s="590"/>
      <c r="DM137" s="590"/>
      <c r="DO137" s="4093" t="e">
        <f t="shared" si="141"/>
        <v>#DIV/0!</v>
      </c>
      <c r="DP137" s="4093">
        <f t="shared" si="142"/>
        <v>279.09721186881575</v>
      </c>
      <c r="DQ137" s="4093" t="e">
        <f t="shared" si="146"/>
        <v>#DIV/0!</v>
      </c>
      <c r="DS137" s="2261"/>
      <c r="DT137" s="2261"/>
    </row>
    <row r="138" spans="1:124" ht="16.3" customHeight="1" x14ac:dyDescent="0.55000000000000004">
      <c r="A138" s="4151"/>
      <c r="B138" s="4158"/>
      <c r="C138" s="4158" t="s">
        <v>41</v>
      </c>
      <c r="D138" s="4158"/>
      <c r="E138" s="4158"/>
      <c r="F138" s="4158"/>
      <c r="G138" s="4158"/>
      <c r="H138" s="4158"/>
      <c r="I138" s="4158"/>
      <c r="J138" s="4158"/>
      <c r="K138" s="4158"/>
      <c r="L138" s="4158"/>
      <c r="M138" s="4158"/>
      <c r="N138" s="4158"/>
      <c r="O138" s="4158"/>
      <c r="P138" s="4158"/>
      <c r="Q138" s="4158"/>
      <c r="R138" s="4158"/>
      <c r="S138" s="4158"/>
      <c r="T138" s="4158"/>
      <c r="U138" s="4158"/>
      <c r="V138" s="4158"/>
      <c r="W138" s="4158"/>
      <c r="X138" s="4158"/>
      <c r="Y138" s="4158"/>
      <c r="Z138" s="4158"/>
      <c r="AA138" s="4158"/>
      <c r="AB138" s="4158"/>
      <c r="AC138" s="4158"/>
      <c r="AD138" s="4158"/>
      <c r="AE138" s="4158"/>
      <c r="AF138" s="4158"/>
      <c r="AG138" s="4158"/>
      <c r="AH138" s="4158"/>
      <c r="AI138" s="4158"/>
      <c r="AJ138" s="4158"/>
      <c r="AK138" s="4158"/>
      <c r="AL138" s="4158"/>
      <c r="AM138" s="4158"/>
      <c r="AN138" s="4158"/>
      <c r="AO138" s="3876"/>
      <c r="AP138" s="4161"/>
      <c r="AQ138" s="4222"/>
      <c r="AR138" s="4222"/>
      <c r="AS138" s="4222"/>
      <c r="AT138" s="4222"/>
      <c r="AU138" s="4222"/>
      <c r="AV138" s="4222"/>
      <c r="AW138" s="4222"/>
      <c r="AX138" s="4222"/>
      <c r="AY138" s="4222"/>
      <c r="AZ138" s="4222"/>
      <c r="BA138" s="4222"/>
      <c r="BB138" s="4222"/>
      <c r="BC138" s="4223"/>
      <c r="BD138" s="800"/>
      <c r="BE138" s="4166"/>
      <c r="BF138" s="4166"/>
      <c r="BG138" s="800"/>
      <c r="BH138" s="800"/>
      <c r="BI138" s="800"/>
      <c r="BJ138" s="800"/>
      <c r="BK138" s="800"/>
      <c r="BL138" s="800"/>
      <c r="BM138" s="800"/>
      <c r="BN138" s="800"/>
      <c r="BO138" s="800"/>
      <c r="BP138" s="6636">
        <v>2016.7678532100001</v>
      </c>
      <c r="BQ138" s="6526">
        <v>98.16233441</v>
      </c>
      <c r="BR138" s="6637">
        <v>289.07519407000001</v>
      </c>
      <c r="BS138" s="6637">
        <v>127.60674272999999</v>
      </c>
      <c r="BT138" s="6526">
        <v>130.43840954999999</v>
      </c>
      <c r="BU138" s="6526">
        <v>152.05200708999999</v>
      </c>
      <c r="BV138" s="6526">
        <v>103.46676481999999</v>
      </c>
      <c r="BW138" s="6526">
        <v>309.55735332</v>
      </c>
      <c r="BX138" s="6526">
        <v>148.50136585999999</v>
      </c>
      <c r="BY138" s="6526">
        <v>277.53813577</v>
      </c>
      <c r="BZ138" s="6526">
        <v>161.89536340999999</v>
      </c>
      <c r="CA138" s="6526">
        <v>123.03031403999999</v>
      </c>
      <c r="CB138" s="6526">
        <v>99.971941779999995</v>
      </c>
      <c r="CC138" s="6671">
        <f t="shared" si="143"/>
        <v>2021.2959268499999</v>
      </c>
      <c r="CD138" s="6526">
        <v>126.76667140000001</v>
      </c>
      <c r="CE138" s="6637">
        <v>91.343462970000004</v>
      </c>
      <c r="CF138" s="4166"/>
      <c r="CG138" s="800"/>
      <c r="CH138" s="800"/>
      <c r="CI138" s="3884"/>
      <c r="CJ138" s="800"/>
      <c r="CK138" s="3884"/>
      <c r="CL138" s="3884"/>
      <c r="CM138" s="800"/>
      <c r="CN138" s="800"/>
      <c r="CO138" s="800"/>
      <c r="CP138" s="4087"/>
      <c r="CQ138" s="790"/>
      <c r="CR138" s="6869">
        <f t="shared" si="94"/>
        <v>-35.423208430000003</v>
      </c>
      <c r="CS138" s="6896">
        <f t="shared" si="95"/>
        <v>-197.73173109999999</v>
      </c>
      <c r="CT138" s="808"/>
      <c r="CU138" s="6924">
        <f t="shared" si="144"/>
        <v>218.11013437000003</v>
      </c>
      <c r="CV138" s="6739"/>
      <c r="CW138" s="6953"/>
      <c r="CX138" s="6760">
        <f t="shared" si="145"/>
        <v>-169.12739411000001</v>
      </c>
      <c r="CY138" s="2775"/>
      <c r="CZ138" s="590"/>
      <c r="DA138" s="590"/>
      <c r="DB138" s="590"/>
      <c r="DC138" s="590"/>
      <c r="DD138" s="590"/>
      <c r="DE138" s="590"/>
      <c r="DF138" s="590"/>
      <c r="DG138" s="590"/>
      <c r="DH138" s="590"/>
      <c r="DI138" s="590"/>
      <c r="DJ138" s="590"/>
      <c r="DK138" s="590"/>
      <c r="DL138" s="590"/>
      <c r="DM138" s="590"/>
      <c r="DO138" s="4093" t="e">
        <f t="shared" si="141"/>
        <v>#DIV/0!</v>
      </c>
      <c r="DP138" s="4093">
        <f t="shared" si="142"/>
        <v>181.82203418</v>
      </c>
      <c r="DQ138" s="4093" t="e">
        <f t="shared" si="146"/>
        <v>#DIV/0!</v>
      </c>
      <c r="DS138" s="2261"/>
      <c r="DT138" s="2261"/>
    </row>
    <row r="139" spans="1:124" ht="16.3" customHeight="1" x14ac:dyDescent="0.55000000000000004">
      <c r="A139" s="4151"/>
      <c r="B139" s="4158"/>
      <c r="C139" s="4158" t="s">
        <v>13</v>
      </c>
      <c r="D139" s="4158"/>
      <c r="E139" s="4158"/>
      <c r="F139" s="4158"/>
      <c r="G139" s="4158"/>
      <c r="H139" s="4158"/>
      <c r="I139" s="4158"/>
      <c r="J139" s="4158"/>
      <c r="K139" s="4158"/>
      <c r="L139" s="4158"/>
      <c r="M139" s="4158"/>
      <c r="N139" s="4158"/>
      <c r="O139" s="4158"/>
      <c r="P139" s="4158"/>
      <c r="Q139" s="4158"/>
      <c r="R139" s="4158"/>
      <c r="S139" s="4158"/>
      <c r="T139" s="4158"/>
      <c r="U139" s="4158"/>
      <c r="V139" s="4158"/>
      <c r="W139" s="4158"/>
      <c r="X139" s="4158"/>
      <c r="Y139" s="4158"/>
      <c r="Z139" s="4158"/>
      <c r="AA139" s="4158"/>
      <c r="AB139" s="4158"/>
      <c r="AC139" s="4158"/>
      <c r="AD139" s="4158"/>
      <c r="AE139" s="4158"/>
      <c r="AF139" s="4158"/>
      <c r="AG139" s="4158"/>
      <c r="AH139" s="4158"/>
      <c r="AI139" s="4158"/>
      <c r="AJ139" s="4158"/>
      <c r="AK139" s="4158"/>
      <c r="AL139" s="4158"/>
      <c r="AM139" s="4158"/>
      <c r="AN139" s="4158"/>
      <c r="AO139" s="3876"/>
      <c r="AP139" s="4161"/>
      <c r="AQ139" s="4222"/>
      <c r="AR139" s="4222"/>
      <c r="AS139" s="4222"/>
      <c r="AT139" s="4222"/>
      <c r="AU139" s="4222"/>
      <c r="AV139" s="4222"/>
      <c r="AW139" s="4222"/>
      <c r="AX139" s="4222"/>
      <c r="AY139" s="4222"/>
      <c r="AZ139" s="4222"/>
      <c r="BA139" s="4222"/>
      <c r="BB139" s="4222"/>
      <c r="BC139" s="4223"/>
      <c r="BD139" s="800"/>
      <c r="BE139" s="4166"/>
      <c r="BF139" s="4166"/>
      <c r="BG139" s="800"/>
      <c r="BH139" s="800"/>
      <c r="BI139" s="800"/>
      <c r="BJ139" s="800"/>
      <c r="BK139" s="800"/>
      <c r="BL139" s="800"/>
      <c r="BM139" s="800"/>
      <c r="BN139" s="800"/>
      <c r="BO139" s="800"/>
      <c r="BP139" s="6636">
        <v>779.99080775979382</v>
      </c>
      <c r="BQ139" s="6526">
        <v>68.283411627518163</v>
      </c>
      <c r="BR139" s="6637">
        <v>51.799272333165142</v>
      </c>
      <c r="BS139" s="6637">
        <v>69.400603306826198</v>
      </c>
      <c r="BT139" s="6526">
        <v>68.282613674466674</v>
      </c>
      <c r="BU139" s="6526">
        <v>56.369253868122662</v>
      </c>
      <c r="BV139" s="6526">
        <v>63.447658731506785</v>
      </c>
      <c r="BW139" s="6526">
        <v>74.124506241762816</v>
      </c>
      <c r="BX139" s="6526">
        <v>61.298335126841756</v>
      </c>
      <c r="BY139" s="6526">
        <v>75.188835544422957</v>
      </c>
      <c r="BZ139" s="6526">
        <v>76.947263233209753</v>
      </c>
      <c r="CA139" s="6526">
        <v>52.960907541783698</v>
      </c>
      <c r="CB139" s="6526">
        <v>62.223171455264627</v>
      </c>
      <c r="CC139" s="6671">
        <f t="shared" si="143"/>
        <v>780.32583268489134</v>
      </c>
      <c r="CD139" s="6526">
        <v>63.53303608429443</v>
      </c>
      <c r="CE139" s="6637">
        <v>56.727003962293608</v>
      </c>
      <c r="CF139" s="4166"/>
      <c r="CG139" s="800"/>
      <c r="CH139" s="800"/>
      <c r="CI139" s="4224"/>
      <c r="CJ139" s="800"/>
      <c r="CK139" s="4224"/>
      <c r="CL139" s="4224"/>
      <c r="CM139" s="800"/>
      <c r="CN139" s="800"/>
      <c r="CO139" s="800"/>
      <c r="CP139" s="4087"/>
      <c r="CQ139" s="790"/>
      <c r="CR139" s="6869">
        <f t="shared" si="94"/>
        <v>-6.806032122000822</v>
      </c>
      <c r="CS139" s="6896">
        <f t="shared" si="95"/>
        <v>4.9277316291284663</v>
      </c>
      <c r="CT139" s="808"/>
      <c r="CU139" s="6924">
        <f t="shared" si="144"/>
        <v>120.26004004658805</v>
      </c>
      <c r="CV139" s="6739"/>
      <c r="CW139" s="6953"/>
      <c r="CX139" s="6760">
        <f t="shared" si="145"/>
        <v>0.17735608590473362</v>
      </c>
      <c r="CY139" s="2775"/>
      <c r="CZ139" s="590"/>
      <c r="DA139" s="590"/>
      <c r="DB139" s="590"/>
      <c r="DC139" s="590"/>
      <c r="DD139" s="590"/>
      <c r="DE139" s="590"/>
      <c r="DF139" s="590"/>
      <c r="DG139" s="590"/>
      <c r="DH139" s="590"/>
      <c r="DI139" s="590"/>
      <c r="DJ139" s="590"/>
      <c r="DK139" s="590"/>
      <c r="DL139" s="590"/>
      <c r="DM139" s="590"/>
      <c r="DO139" s="4093" t="e">
        <f t="shared" si="141"/>
        <v>#DIV/0!</v>
      </c>
      <c r="DP139" s="4093">
        <f t="shared" si="142"/>
        <v>65.354943383848138</v>
      </c>
      <c r="DQ139" s="4093" t="e">
        <f t="shared" si="146"/>
        <v>#DIV/0!</v>
      </c>
      <c r="DS139" s="2261"/>
      <c r="DT139" s="2261"/>
    </row>
    <row r="140" spans="1:124" ht="16.3" customHeight="1" x14ac:dyDescent="0.55000000000000004">
      <c r="A140" s="4151"/>
      <c r="B140" s="4158"/>
      <c r="C140" s="4158" t="s">
        <v>42</v>
      </c>
      <c r="D140" s="4158"/>
      <c r="E140" s="4158"/>
      <c r="F140" s="4158"/>
      <c r="G140" s="4158"/>
      <c r="H140" s="4158"/>
      <c r="I140" s="4158"/>
      <c r="J140" s="4158"/>
      <c r="K140" s="4158"/>
      <c r="L140" s="4158"/>
      <c r="M140" s="4158"/>
      <c r="N140" s="4158"/>
      <c r="O140" s="4158"/>
      <c r="P140" s="4158"/>
      <c r="Q140" s="4158"/>
      <c r="R140" s="4158"/>
      <c r="S140" s="4158"/>
      <c r="T140" s="4158"/>
      <c r="U140" s="4158"/>
      <c r="V140" s="4158"/>
      <c r="W140" s="4158"/>
      <c r="X140" s="4158"/>
      <c r="Y140" s="4158"/>
      <c r="Z140" s="4158"/>
      <c r="AA140" s="4158"/>
      <c r="AB140" s="4158"/>
      <c r="AC140" s="4158"/>
      <c r="AD140" s="4158"/>
      <c r="AE140" s="4158"/>
      <c r="AF140" s="4158"/>
      <c r="AG140" s="4158"/>
      <c r="AH140" s="4158"/>
      <c r="AI140" s="4158"/>
      <c r="AJ140" s="4158"/>
      <c r="AK140" s="4158"/>
      <c r="AL140" s="4158"/>
      <c r="AM140" s="4158"/>
      <c r="AN140" s="4158"/>
      <c r="AO140" s="3876"/>
      <c r="AP140" s="4161"/>
      <c r="AQ140" s="4222"/>
      <c r="AR140" s="4222"/>
      <c r="AS140" s="4222"/>
      <c r="AT140" s="4222"/>
      <c r="AU140" s="4222"/>
      <c r="AV140" s="4222"/>
      <c r="AW140" s="4222"/>
      <c r="AX140" s="4222"/>
      <c r="AY140" s="4222"/>
      <c r="AZ140" s="4222"/>
      <c r="BA140" s="4222"/>
      <c r="BB140" s="4222"/>
      <c r="BC140" s="4223"/>
      <c r="BD140" s="800"/>
      <c r="BE140" s="4166"/>
      <c r="BF140" s="4166"/>
      <c r="BG140" s="800"/>
      <c r="BH140" s="800"/>
      <c r="BI140" s="800"/>
      <c r="BJ140" s="800"/>
      <c r="BK140" s="800"/>
      <c r="BL140" s="800"/>
      <c r="BM140" s="800"/>
      <c r="BN140" s="800"/>
      <c r="BO140" s="800"/>
      <c r="BP140" s="6636">
        <v>264.24543630798473</v>
      </c>
      <c r="BQ140" s="6526">
        <v>11.263195150777344</v>
      </c>
      <c r="BR140" s="6637">
        <v>19.18355906091287</v>
      </c>
      <c r="BS140" s="6637">
        <v>22.347613833113662</v>
      </c>
      <c r="BT140" s="6526">
        <v>16.036361538323856</v>
      </c>
      <c r="BU140" s="6526">
        <v>19.616388075165716</v>
      </c>
      <c r="BV140" s="6526">
        <v>28.653633294442578</v>
      </c>
      <c r="BW140" s="6526">
        <v>36.350807287485758</v>
      </c>
      <c r="BX140" s="6526">
        <v>17.308986010000002</v>
      </c>
      <c r="BY140" s="6526">
        <v>24.044462020000001</v>
      </c>
      <c r="BZ140" s="6526">
        <v>16.62164048481791</v>
      </c>
      <c r="CA140" s="6526">
        <v>13.459204590000001</v>
      </c>
      <c r="CB140" s="6526">
        <v>12.686789309788796</v>
      </c>
      <c r="CC140" s="6671">
        <f t="shared" si="143"/>
        <v>237.57264065482852</v>
      </c>
      <c r="CD140" s="6526">
        <v>10.641019988912744</v>
      </c>
      <c r="CE140" s="6637">
        <v>11.402767237396612</v>
      </c>
      <c r="CF140" s="4166"/>
      <c r="CG140" s="800"/>
      <c r="CH140" s="800"/>
      <c r="CI140" s="3899"/>
      <c r="CJ140" s="800"/>
      <c r="CK140" s="3899"/>
      <c r="CL140" s="3899"/>
      <c r="CM140" s="800"/>
      <c r="CN140" s="800"/>
      <c r="CO140" s="800"/>
      <c r="CP140" s="4087"/>
      <c r="CQ140" s="790"/>
      <c r="CR140" s="6869">
        <f t="shared" si="94"/>
        <v>0.76174724848386788</v>
      </c>
      <c r="CS140" s="6896">
        <f t="shared" si="95"/>
        <v>-7.7807918235162585</v>
      </c>
      <c r="CT140" s="808"/>
      <c r="CU140" s="6924">
        <f t="shared" si="144"/>
        <v>22.043787226309355</v>
      </c>
      <c r="CV140" s="6739"/>
      <c r="CW140" s="6953"/>
      <c r="CX140" s="6760">
        <f t="shared" si="145"/>
        <v>-8.4029669853808571</v>
      </c>
      <c r="CY140" s="2775"/>
      <c r="CZ140" s="590"/>
      <c r="DA140" s="590"/>
      <c r="DB140" s="590"/>
      <c r="DC140" s="590"/>
      <c r="DD140" s="590"/>
      <c r="DE140" s="590"/>
      <c r="DF140" s="590"/>
      <c r="DG140" s="590"/>
      <c r="DH140" s="590"/>
      <c r="DI140" s="590"/>
      <c r="DJ140" s="590"/>
      <c r="DK140" s="590"/>
      <c r="DL140" s="590"/>
      <c r="DM140" s="590"/>
      <c r="DO140" s="4093" t="e">
        <f t="shared" si="141"/>
        <v>#DIV/0!</v>
      </c>
      <c r="DP140" s="4093">
        <f t="shared" si="142"/>
        <v>21.645000696691312</v>
      </c>
      <c r="DQ140" s="4093" t="e">
        <f t="shared" si="146"/>
        <v>#DIV/0!</v>
      </c>
      <c r="DS140" s="2261"/>
      <c r="DT140" s="2261"/>
    </row>
    <row r="141" spans="1:124" ht="16.3" customHeight="1" x14ac:dyDescent="0.55000000000000004">
      <c r="A141" s="4151"/>
      <c r="B141" s="4158"/>
      <c r="C141" s="4158" t="s">
        <v>14</v>
      </c>
      <c r="D141" s="4158"/>
      <c r="E141" s="6247" t="s">
        <v>1203</v>
      </c>
      <c r="F141" s="4158"/>
      <c r="G141" s="4158"/>
      <c r="H141" s="4158"/>
      <c r="I141" s="4158"/>
      <c r="J141" s="4158"/>
      <c r="K141" s="4158"/>
      <c r="L141" s="4158"/>
      <c r="M141" s="4158"/>
      <c r="N141" s="4158"/>
      <c r="O141" s="4158"/>
      <c r="P141" s="4158"/>
      <c r="Q141" s="4158"/>
      <c r="R141" s="4158"/>
      <c r="S141" s="4158"/>
      <c r="T141" s="4158"/>
      <c r="U141" s="4158"/>
      <c r="V141" s="4158"/>
      <c r="W141" s="4158"/>
      <c r="X141" s="4158"/>
      <c r="Y141" s="4158"/>
      <c r="Z141" s="4158"/>
      <c r="AA141" s="4158"/>
      <c r="AB141" s="4158"/>
      <c r="AC141" s="4158"/>
      <c r="AD141" s="4158"/>
      <c r="AE141" s="4158"/>
      <c r="AF141" s="4158"/>
      <c r="AG141" s="4158"/>
      <c r="AH141" s="4158"/>
      <c r="AI141" s="4158"/>
      <c r="AJ141" s="4158"/>
      <c r="AK141" s="4158"/>
      <c r="AL141" s="4158"/>
      <c r="AM141" s="4158"/>
      <c r="AN141" s="4158"/>
      <c r="AO141" s="3876"/>
      <c r="AP141" s="4161"/>
      <c r="AQ141" s="4222"/>
      <c r="AR141" s="4222"/>
      <c r="AS141" s="4222"/>
      <c r="AT141" s="4222"/>
      <c r="AU141" s="4222"/>
      <c r="AV141" s="4222"/>
      <c r="AW141" s="4222"/>
      <c r="AX141" s="4222"/>
      <c r="AY141" s="4222"/>
      <c r="AZ141" s="4222"/>
      <c r="BA141" s="4222"/>
      <c r="BB141" s="4222"/>
      <c r="BC141" s="4223"/>
      <c r="BD141" s="800"/>
      <c r="BE141" s="4166"/>
      <c r="BF141" s="4166"/>
      <c r="BG141" s="800"/>
      <c r="BH141" s="800"/>
      <c r="BI141" s="800"/>
      <c r="BJ141" s="800"/>
      <c r="BK141" s="800"/>
      <c r="BL141" s="800"/>
      <c r="BM141" s="800"/>
      <c r="BN141" s="800"/>
      <c r="BO141" s="800"/>
      <c r="BP141" s="6636">
        <v>50.046704415751165</v>
      </c>
      <c r="BQ141" s="6526">
        <v>4.1202875271079433</v>
      </c>
      <c r="BR141" s="6637">
        <v>3.8893027359993382</v>
      </c>
      <c r="BS141" s="6637">
        <v>3.5901103302616222</v>
      </c>
      <c r="BT141" s="6526">
        <v>3.4978945153615095</v>
      </c>
      <c r="BU141" s="6526">
        <v>3.316387728775561</v>
      </c>
      <c r="BV141" s="6526">
        <v>3.2097177630316498</v>
      </c>
      <c r="BW141" s="6526">
        <v>3.5260025529614776</v>
      </c>
      <c r="BX141" s="6526">
        <v>3.8706787392020092</v>
      </c>
      <c r="BY141" s="6526">
        <v>4.1202245662851213</v>
      </c>
      <c r="BZ141" s="6526">
        <v>3.5139601045332336</v>
      </c>
      <c r="CA141" s="6526">
        <v>4.2910631332751192</v>
      </c>
      <c r="CB141" s="6526">
        <v>4.1676834911653122</v>
      </c>
      <c r="CC141" s="6671">
        <f t="shared" si="143"/>
        <v>45.113313187959896</v>
      </c>
      <c r="CD141" s="6526">
        <v>4.7898227359636518</v>
      </c>
      <c r="CE141" s="6637">
        <v>4.0206565455321979</v>
      </c>
      <c r="CF141" s="4166"/>
      <c r="CG141" s="800"/>
      <c r="CH141" s="800"/>
      <c r="CI141" s="4224"/>
      <c r="CJ141" s="800"/>
      <c r="CK141" s="4224"/>
      <c r="CL141" s="4224"/>
      <c r="CM141" s="800"/>
      <c r="CN141" s="800"/>
      <c r="CO141" s="800"/>
      <c r="CP141" s="4087"/>
      <c r="CQ141" s="790"/>
      <c r="CR141" s="6869">
        <f t="shared" si="94"/>
        <v>-0.76916619043145396</v>
      </c>
      <c r="CS141" s="6896">
        <f t="shared" si="95"/>
        <v>0.13135380953285969</v>
      </c>
      <c r="CT141" s="808"/>
      <c r="CU141" s="6924">
        <f t="shared" si="144"/>
        <v>8.8104792814958497</v>
      </c>
      <c r="CV141" s="6739"/>
      <c r="CW141" s="6953"/>
      <c r="CX141" s="6760">
        <f t="shared" si="145"/>
        <v>0.80088901838856863</v>
      </c>
      <c r="CY141" s="2775"/>
      <c r="CZ141" s="590"/>
      <c r="DA141" s="590"/>
      <c r="DB141" s="590"/>
      <c r="DC141" s="590"/>
      <c r="DD141" s="590"/>
      <c r="DE141" s="590"/>
      <c r="DF141" s="590"/>
      <c r="DG141" s="590"/>
      <c r="DH141" s="590"/>
      <c r="DI141" s="590"/>
      <c r="DJ141" s="590"/>
      <c r="DK141" s="590"/>
      <c r="DL141" s="590"/>
      <c r="DM141" s="590"/>
      <c r="DO141" s="4093" t="e">
        <f t="shared" si="141"/>
        <v>#DIV/0!</v>
      </c>
      <c r="DP141" s="4093">
        <f t="shared" si="142"/>
        <v>3.682289606554026</v>
      </c>
      <c r="DQ141" s="4093" t="e">
        <f t="shared" si="146"/>
        <v>#DIV/0!</v>
      </c>
      <c r="DS141" s="2261"/>
      <c r="DT141" s="2261"/>
    </row>
    <row r="142" spans="1:124" ht="16.3" customHeight="1" x14ac:dyDescent="0.55000000000000004">
      <c r="A142" s="4151"/>
      <c r="B142" s="4158"/>
      <c r="C142" s="4158" t="s">
        <v>16</v>
      </c>
      <c r="D142" s="4158"/>
      <c r="E142" s="6247"/>
      <c r="F142" s="4158"/>
      <c r="G142" s="4158"/>
      <c r="H142" s="4158"/>
      <c r="I142" s="4158"/>
      <c r="J142" s="4158"/>
      <c r="K142" s="4158"/>
      <c r="L142" s="4158"/>
      <c r="M142" s="4158"/>
      <c r="N142" s="4158"/>
      <c r="O142" s="4158"/>
      <c r="P142" s="4158"/>
      <c r="Q142" s="4158"/>
      <c r="R142" s="4158"/>
      <c r="S142" s="4158"/>
      <c r="T142" s="4158"/>
      <c r="U142" s="4158"/>
      <c r="V142" s="4158"/>
      <c r="W142" s="4158"/>
      <c r="X142" s="4158"/>
      <c r="Y142" s="4158"/>
      <c r="Z142" s="4158"/>
      <c r="AA142" s="4158"/>
      <c r="AB142" s="4158"/>
      <c r="AC142" s="4158"/>
      <c r="AD142" s="4158"/>
      <c r="AE142" s="4158"/>
      <c r="AF142" s="4158"/>
      <c r="AG142" s="4158"/>
      <c r="AH142" s="4158"/>
      <c r="AI142" s="4158"/>
      <c r="AJ142" s="4158"/>
      <c r="AK142" s="4158"/>
      <c r="AL142" s="4158"/>
      <c r="AM142" s="4158"/>
      <c r="AN142" s="4158"/>
      <c r="AO142" s="3876"/>
      <c r="AP142" s="4161"/>
      <c r="AQ142" s="4222"/>
      <c r="AR142" s="4222"/>
      <c r="AS142" s="4222"/>
      <c r="AT142" s="4222"/>
      <c r="AU142" s="4222"/>
      <c r="AV142" s="4222"/>
      <c r="AW142" s="4222"/>
      <c r="AX142" s="4222"/>
      <c r="AY142" s="4222"/>
      <c r="AZ142" s="4222"/>
      <c r="BA142" s="4222"/>
      <c r="BB142" s="4222"/>
      <c r="BC142" s="4223"/>
      <c r="BD142" s="800"/>
      <c r="BE142" s="4166"/>
      <c r="BF142" s="4166"/>
      <c r="BG142" s="800"/>
      <c r="BH142" s="800"/>
      <c r="BI142" s="800"/>
      <c r="BJ142" s="800"/>
      <c r="BK142" s="800"/>
      <c r="BL142" s="800"/>
      <c r="BM142" s="800"/>
      <c r="BN142" s="800"/>
      <c r="BO142" s="800"/>
      <c r="BP142" s="6636">
        <v>94.220812138711935</v>
      </c>
      <c r="BQ142" s="6526">
        <v>6.5191167653144628</v>
      </c>
      <c r="BR142" s="6637">
        <v>7.5956305597166489</v>
      </c>
      <c r="BS142" s="6637">
        <v>7.0916250480833796</v>
      </c>
      <c r="BT142" s="6526">
        <v>7.4348190897704463</v>
      </c>
      <c r="BU142" s="6526">
        <v>7.4927521665600896</v>
      </c>
      <c r="BV142" s="6526">
        <v>5.3522877407102518</v>
      </c>
      <c r="BW142" s="6526">
        <v>6.6150012675770258</v>
      </c>
      <c r="BX142" s="6526">
        <v>4.7442011354177334</v>
      </c>
      <c r="BY142" s="6526">
        <v>6.4910622423504565</v>
      </c>
      <c r="BZ142" s="6526">
        <v>5.0607031192494603</v>
      </c>
      <c r="CA142" s="6526">
        <v>5.3677979291140154</v>
      </c>
      <c r="CB142" s="6526">
        <v>8.9861398772865488</v>
      </c>
      <c r="CC142" s="6671">
        <f t="shared" si="143"/>
        <v>78.751136941150534</v>
      </c>
      <c r="CD142" s="6526">
        <v>5.4066761668116881</v>
      </c>
      <c r="CE142" s="6637">
        <v>4.9476845147135737</v>
      </c>
      <c r="CF142" s="4166"/>
      <c r="CG142" s="800"/>
      <c r="CH142" s="800"/>
      <c r="CI142" s="4224"/>
      <c r="CJ142" s="800"/>
      <c r="CK142" s="4224"/>
      <c r="CL142" s="4224"/>
      <c r="CM142" s="800"/>
      <c r="CN142" s="800"/>
      <c r="CO142" s="800"/>
      <c r="CP142" s="4087"/>
      <c r="CQ142" s="790"/>
      <c r="CR142" s="6869">
        <f t="shared" ref="CR142:CR183" si="151">CE142-CD142</f>
        <v>-0.45899165209811432</v>
      </c>
      <c r="CS142" s="6896">
        <f t="shared" ref="CS142:CS183" si="152">CE142-BR142</f>
        <v>-2.6479460450030752</v>
      </c>
      <c r="CT142" s="808"/>
      <c r="CU142" s="6924">
        <f t="shared" si="144"/>
        <v>10.354360681525261</v>
      </c>
      <c r="CV142" s="6739"/>
      <c r="CW142" s="6953"/>
      <c r="CX142" s="6760">
        <f t="shared" si="145"/>
        <v>-3.7603866435058499</v>
      </c>
      <c r="CY142" s="2775"/>
      <c r="CZ142" s="590"/>
      <c r="DA142" s="590"/>
      <c r="DB142" s="590"/>
      <c r="DC142" s="590"/>
      <c r="DD142" s="590"/>
      <c r="DE142" s="590"/>
      <c r="DF142" s="590"/>
      <c r="DG142" s="590"/>
      <c r="DH142" s="590"/>
      <c r="DI142" s="590"/>
      <c r="DJ142" s="590"/>
      <c r="DK142" s="590"/>
      <c r="DL142" s="590"/>
      <c r="DM142" s="590"/>
      <c r="DO142" s="4093" t="e">
        <f t="shared" si="141"/>
        <v>#DIV/0!</v>
      </c>
      <c r="DP142" s="4093">
        <f t="shared" si="142"/>
        <v>6.5929440017222776</v>
      </c>
      <c r="DQ142" s="4093" t="e">
        <f t="shared" si="146"/>
        <v>#DIV/0!</v>
      </c>
      <c r="DS142" s="2261"/>
      <c r="DT142" s="2261"/>
    </row>
    <row r="143" spans="1:124" ht="16.3" customHeight="1" x14ac:dyDescent="0.55000000000000004">
      <c r="A143" s="4151"/>
      <c r="B143" s="4174" t="s">
        <v>17</v>
      </c>
      <c r="C143" s="4175"/>
      <c r="D143" s="4175"/>
      <c r="E143" s="4175"/>
      <c r="F143" s="4175"/>
      <c r="G143" s="4175"/>
      <c r="H143" s="4175"/>
      <c r="I143" s="4175"/>
      <c r="J143" s="4175"/>
      <c r="K143" s="4175"/>
      <c r="L143" s="4175"/>
      <c r="M143" s="4175"/>
      <c r="N143" s="4175"/>
      <c r="O143" s="4175"/>
      <c r="P143" s="4175"/>
      <c r="Q143" s="4175"/>
      <c r="R143" s="4175"/>
      <c r="S143" s="4175"/>
      <c r="T143" s="4175"/>
      <c r="U143" s="4175"/>
      <c r="V143" s="4175"/>
      <c r="W143" s="4175"/>
      <c r="X143" s="4175"/>
      <c r="Y143" s="4175"/>
      <c r="Z143" s="4175"/>
      <c r="AA143" s="4175"/>
      <c r="AB143" s="4175"/>
      <c r="AC143" s="4175"/>
      <c r="AD143" s="4175"/>
      <c r="AE143" s="4175"/>
      <c r="AF143" s="4175"/>
      <c r="AG143" s="4175"/>
      <c r="AH143" s="4175"/>
      <c r="AI143" s="4175"/>
      <c r="AJ143" s="4175"/>
      <c r="AK143" s="4175"/>
      <c r="AL143" s="4175"/>
      <c r="AM143" s="4175"/>
      <c r="AN143" s="4175"/>
      <c r="AO143" s="4176"/>
      <c r="AP143" s="4177"/>
      <c r="AQ143" s="4225"/>
      <c r="AR143" s="4225"/>
      <c r="AS143" s="4225"/>
      <c r="AT143" s="4225"/>
      <c r="AU143" s="4225"/>
      <c r="AV143" s="4225"/>
      <c r="AW143" s="4225"/>
      <c r="AX143" s="4225"/>
      <c r="AY143" s="4225"/>
      <c r="AZ143" s="4225"/>
      <c r="BA143" s="4225"/>
      <c r="BB143" s="4225"/>
      <c r="BC143" s="4226"/>
      <c r="BD143" s="814"/>
      <c r="BE143" s="814"/>
      <c r="BF143" s="814"/>
      <c r="BG143" s="814"/>
      <c r="BH143" s="814"/>
      <c r="BI143" s="814"/>
      <c r="BJ143" s="814"/>
      <c r="BK143" s="814"/>
      <c r="BL143" s="814"/>
      <c r="BM143" s="814"/>
      <c r="BN143" s="814"/>
      <c r="BO143" s="814"/>
      <c r="BP143" s="6640">
        <f>BP132-BP137-BP144</f>
        <v>23.882875223475764</v>
      </c>
      <c r="BQ143" s="6672">
        <f>BQ132-BQ137-BQ144</f>
        <v>-18.295066779738935</v>
      </c>
      <c r="BR143" s="6672">
        <f t="shared" ref="BR143:CB143" si="153">BR132-BR137-BR144</f>
        <v>34.361785092111376</v>
      </c>
      <c r="BS143" s="6672">
        <f t="shared" si="153"/>
        <v>11.391866476265804</v>
      </c>
      <c r="BT143" s="6672">
        <f t="shared" si="153"/>
        <v>16.529726748202631</v>
      </c>
      <c r="BU143" s="6672">
        <f t="shared" si="153"/>
        <v>36.827465569778163</v>
      </c>
      <c r="BV143" s="6672">
        <f t="shared" si="153"/>
        <v>-2.2899241677573894</v>
      </c>
      <c r="BW143" s="6672">
        <f t="shared" si="153"/>
        <v>29.869226999718894</v>
      </c>
      <c r="BX143" s="6672">
        <f t="shared" si="153"/>
        <v>3.1552801625569309</v>
      </c>
      <c r="BY143" s="6672">
        <f t="shared" si="153"/>
        <v>-1.3464367102259809</v>
      </c>
      <c r="BZ143" s="6672">
        <f t="shared" si="153"/>
        <v>-27.243653360345583</v>
      </c>
      <c r="CA143" s="6672">
        <f t="shared" si="153"/>
        <v>-15.846262022655502</v>
      </c>
      <c r="CB143" s="6672">
        <f t="shared" si="153"/>
        <v>-17.587660156621638</v>
      </c>
      <c r="CC143" s="6673">
        <f t="shared" si="143"/>
        <v>49.526347851288762</v>
      </c>
      <c r="CD143" s="6672">
        <f t="shared" ref="CD143" si="154">CD132-CD137-CD144</f>
        <v>15.719919661860887</v>
      </c>
      <c r="CE143" s="6672">
        <f t="shared" ref="CE143" si="155">CE132-CE137-CE144</f>
        <v>-15.110232665703951</v>
      </c>
      <c r="CF143" s="814"/>
      <c r="CG143" s="814"/>
      <c r="CH143" s="814"/>
      <c r="CI143" s="814"/>
      <c r="CJ143" s="814"/>
      <c r="CK143" s="814"/>
      <c r="CL143" s="814"/>
      <c r="CM143" s="814"/>
      <c r="CN143" s="814"/>
      <c r="CO143" s="814"/>
      <c r="CP143" s="4087"/>
      <c r="CQ143" s="790"/>
      <c r="CR143" s="6899">
        <f t="shared" si="151"/>
        <v>-30.830152327564839</v>
      </c>
      <c r="CS143" s="6900">
        <f t="shared" si="152"/>
        <v>-49.472017757815323</v>
      </c>
      <c r="CT143" s="817"/>
      <c r="CU143" s="6966">
        <f t="shared" si="144"/>
        <v>0.60968699615693644</v>
      </c>
      <c r="CV143" s="6739"/>
      <c r="CW143" s="6953"/>
      <c r="CX143" s="6761">
        <f t="shared" si="145"/>
        <v>-15.457031316215504</v>
      </c>
      <c r="CY143" s="2775"/>
      <c r="CZ143" s="590"/>
      <c r="DA143" s="590"/>
      <c r="DB143" s="590"/>
      <c r="DC143" s="590"/>
      <c r="DD143" s="590"/>
      <c r="DE143" s="590"/>
      <c r="DF143" s="590"/>
      <c r="DG143" s="590"/>
      <c r="DH143" s="590"/>
      <c r="DI143" s="590"/>
      <c r="DJ143" s="590"/>
      <c r="DK143" s="590"/>
      <c r="DL143" s="590"/>
      <c r="DM143" s="590"/>
      <c r="DO143" s="4093" t="e">
        <f t="shared" si="141"/>
        <v>#DIV/0!</v>
      </c>
      <c r="DP143" s="4093">
        <f t="shared" si="142"/>
        <v>12.244880376767943</v>
      </c>
      <c r="DQ143" s="4093" t="e">
        <f t="shared" si="146"/>
        <v>#DIV/0!</v>
      </c>
      <c r="DS143" s="2261"/>
      <c r="DT143" s="2261"/>
    </row>
    <row r="144" spans="1:124" ht="16.3" customHeight="1" thickBot="1" x14ac:dyDescent="0.6">
      <c r="A144" s="4187"/>
      <c r="B144" s="1244"/>
      <c r="C144" s="1244" t="s">
        <v>600</v>
      </c>
      <c r="D144" s="1244"/>
      <c r="E144" s="1244"/>
      <c r="F144" s="1244"/>
      <c r="G144" s="1244"/>
      <c r="H144" s="1244"/>
      <c r="I144" s="1244"/>
      <c r="J144" s="1244"/>
      <c r="K144" s="1244"/>
      <c r="L144" s="1244"/>
      <c r="M144" s="1244"/>
      <c r="N144" s="1244"/>
      <c r="O144" s="1244"/>
      <c r="P144" s="1244"/>
      <c r="Q144" s="1244"/>
      <c r="R144" s="1244"/>
      <c r="S144" s="1244"/>
      <c r="T144" s="1244"/>
      <c r="U144" s="1244"/>
      <c r="V144" s="1244"/>
      <c r="W144" s="1244"/>
      <c r="X144" s="1244"/>
      <c r="Y144" s="1244"/>
      <c r="Z144" s="1244"/>
      <c r="AA144" s="1244"/>
      <c r="AB144" s="1244"/>
      <c r="AC144" s="1244"/>
      <c r="AD144" s="1244"/>
      <c r="AE144" s="1244"/>
      <c r="AF144" s="1244"/>
      <c r="AG144" s="1244"/>
      <c r="AH144" s="1244"/>
      <c r="AI144" s="1244"/>
      <c r="AJ144" s="1244"/>
      <c r="AK144" s="1244"/>
      <c r="AL144" s="1244"/>
      <c r="AM144" s="1244"/>
      <c r="AN144" s="1244"/>
      <c r="AO144" s="1244"/>
      <c r="AP144" s="4227"/>
      <c r="AQ144" s="4228"/>
      <c r="AR144" s="4228"/>
      <c r="AS144" s="4228"/>
      <c r="AT144" s="4228"/>
      <c r="AU144" s="4228"/>
      <c r="AV144" s="4228"/>
      <c r="AW144" s="4228"/>
      <c r="AX144" s="4228"/>
      <c r="AY144" s="4228"/>
      <c r="AZ144" s="4228"/>
      <c r="BA144" s="4228"/>
      <c r="BB144" s="4228"/>
      <c r="BC144" s="4229"/>
      <c r="BD144" s="4193"/>
      <c r="BE144" s="4193"/>
      <c r="BF144" s="4193"/>
      <c r="BG144" s="4193"/>
      <c r="BH144" s="4193"/>
      <c r="BI144" s="4230"/>
      <c r="BJ144" s="4230"/>
      <c r="BK144" s="4230"/>
      <c r="BL144" s="4230"/>
      <c r="BM144" s="4230"/>
      <c r="BN144" s="4230"/>
      <c r="BO144" s="4230"/>
      <c r="BP144" s="6643">
        <v>83.849766191714082</v>
      </c>
      <c r="BQ144" s="6641">
        <v>-2.3101536899456172</v>
      </c>
      <c r="BR144" s="6642">
        <v>22.35090530490001</v>
      </c>
      <c r="BS144" s="6641">
        <v>5.4754565719999997</v>
      </c>
      <c r="BT144" s="6641">
        <v>6.1836324183999993</v>
      </c>
      <c r="BU144" s="6641">
        <v>17.203948140599998</v>
      </c>
      <c r="BV144" s="6674">
        <v>3.9585251565000004</v>
      </c>
      <c r="BW144" s="6674">
        <v>8.4674357712999999</v>
      </c>
      <c r="BX144" s="6674">
        <v>22.935838414000006</v>
      </c>
      <c r="BY144" s="6674">
        <v>4.4023075365999995</v>
      </c>
      <c r="BZ144" s="6674">
        <v>12.249672036753742</v>
      </c>
      <c r="CA144" s="6674">
        <v>15.949710944002838</v>
      </c>
      <c r="CB144" s="6674">
        <v>11.134403105948792</v>
      </c>
      <c r="CC144" s="6675">
        <f t="shared" si="143"/>
        <v>128.00168171105977</v>
      </c>
      <c r="CD144" s="6641">
        <v>2.4225594490735727</v>
      </c>
      <c r="CE144" s="6642">
        <v>14.861635746368865</v>
      </c>
      <c r="CF144" s="4193"/>
      <c r="CG144" s="4193"/>
      <c r="CH144" s="4193"/>
      <c r="CI144" s="4231"/>
      <c r="CJ144" s="4230"/>
      <c r="CK144" s="4231"/>
      <c r="CL144" s="4231"/>
      <c r="CM144" s="4230"/>
      <c r="CN144" s="4230"/>
      <c r="CO144" s="4230"/>
      <c r="CP144" s="4232"/>
      <c r="CQ144" s="4233"/>
      <c r="CR144" s="6901">
        <f t="shared" si="151"/>
        <v>12.439076297295292</v>
      </c>
      <c r="CS144" s="6908">
        <f t="shared" si="152"/>
        <v>-7.4892695585311451</v>
      </c>
      <c r="CT144" s="818"/>
      <c r="CU144" s="6958">
        <f t="shared" si="144"/>
        <v>17.284195195442436</v>
      </c>
      <c r="CV144" s="6970"/>
      <c r="CW144" s="6971"/>
      <c r="CX144" s="6764">
        <f t="shared" si="145"/>
        <v>-2.7565564195119556</v>
      </c>
      <c r="CY144" s="2775"/>
      <c r="CZ144" s="590"/>
      <c r="DA144" s="590"/>
      <c r="DB144" s="590"/>
      <c r="DC144" s="590"/>
      <c r="DD144" s="590"/>
      <c r="DE144" s="590"/>
      <c r="DF144" s="590"/>
      <c r="DG144" s="590"/>
      <c r="DH144" s="590"/>
      <c r="DI144" s="590"/>
      <c r="DJ144" s="590"/>
      <c r="DK144" s="590"/>
      <c r="DL144" s="590"/>
      <c r="DM144" s="590"/>
      <c r="DO144" s="4093" t="e">
        <f t="shared" si="141"/>
        <v>#DIV/0!</v>
      </c>
      <c r="DP144" s="4093">
        <f t="shared" si="142"/>
        <v>9.8519884027060449</v>
      </c>
      <c r="DQ144" s="4093" t="e">
        <f t="shared" si="146"/>
        <v>#DIV/0!</v>
      </c>
      <c r="DS144" s="2261"/>
      <c r="DT144" s="2261"/>
    </row>
    <row r="145" spans="1:124" ht="16.3" customHeight="1" x14ac:dyDescent="0.55000000000000004">
      <c r="A145" s="4197" t="s">
        <v>20</v>
      </c>
      <c r="B145" s="571" t="s">
        <v>598</v>
      </c>
      <c r="C145" s="1028"/>
      <c r="D145" s="1028"/>
      <c r="E145" s="1028"/>
      <c r="F145" s="1028"/>
      <c r="G145" s="1028"/>
      <c r="H145" s="1028"/>
      <c r="I145" s="1028"/>
      <c r="J145" s="1028"/>
      <c r="K145" s="1028"/>
      <c r="L145" s="1028"/>
      <c r="M145" s="1028"/>
      <c r="N145" s="1028"/>
      <c r="O145" s="1028"/>
      <c r="P145" s="1028"/>
      <c r="Q145" s="1028"/>
      <c r="R145" s="1028"/>
      <c r="S145" s="1028"/>
      <c r="T145" s="1028"/>
      <c r="U145" s="1028"/>
      <c r="V145" s="1028"/>
      <c r="W145" s="1028"/>
      <c r="X145" s="1028"/>
      <c r="Y145" s="1028"/>
      <c r="Z145" s="1028"/>
      <c r="AA145" s="1028"/>
      <c r="AB145" s="1028"/>
      <c r="AC145" s="1028"/>
      <c r="AD145" s="1028"/>
      <c r="AE145" s="1028"/>
      <c r="AF145" s="1028"/>
      <c r="AG145" s="1028"/>
      <c r="AH145" s="1028"/>
      <c r="AI145" s="1028"/>
      <c r="AJ145" s="1028"/>
      <c r="AK145" s="1028"/>
      <c r="AL145" s="1028"/>
      <c r="AM145" s="1028"/>
      <c r="AN145" s="1028"/>
      <c r="AO145" s="4142"/>
      <c r="AP145" s="4143"/>
      <c r="AQ145" s="4214"/>
      <c r="AR145" s="4214"/>
      <c r="AS145" s="4214"/>
      <c r="AT145" s="4214"/>
      <c r="AU145" s="4214"/>
      <c r="AV145" s="4214"/>
      <c r="AW145" s="4214"/>
      <c r="AX145" s="4214"/>
      <c r="AY145" s="4214"/>
      <c r="AZ145" s="4214"/>
      <c r="BA145" s="4214"/>
      <c r="BB145" s="4214"/>
      <c r="BC145" s="4215"/>
      <c r="BD145" s="789"/>
      <c r="BE145" s="789"/>
      <c r="BF145" s="789"/>
      <c r="BG145" s="789"/>
      <c r="BH145" s="789"/>
      <c r="BI145" s="789"/>
      <c r="BJ145" s="789"/>
      <c r="BK145" s="789"/>
      <c r="BL145" s="789"/>
      <c r="BM145" s="789"/>
      <c r="BN145" s="789"/>
      <c r="BO145" s="789"/>
      <c r="BP145" s="6631">
        <f>SUM(BP146:BP149)</f>
        <v>1637.8311143941351</v>
      </c>
      <c r="BQ145" s="6553">
        <f>SUM(BQ146:BQ149)</f>
        <v>44.517633818966651</v>
      </c>
      <c r="BR145" s="6553">
        <f t="shared" ref="BR145" si="156">SUM(BR146:BR149)</f>
        <v>46.736148333194528</v>
      </c>
      <c r="BS145" s="6553">
        <f t="shared" ref="BS145" si="157">SUM(BS146:BS149)</f>
        <v>39.487868103449372</v>
      </c>
      <c r="BT145" s="6553">
        <f t="shared" ref="BT145" si="158">SUM(BT146:BT149)</f>
        <v>38.925384655474929</v>
      </c>
      <c r="BU145" s="6553">
        <f t="shared" ref="BU145" si="159">SUM(BU146:BU149)</f>
        <v>36.960215620997808</v>
      </c>
      <c r="BV145" s="6553">
        <f t="shared" ref="BV145" si="160">SUM(BV146:BV149)</f>
        <v>39.269661141566097</v>
      </c>
      <c r="BW145" s="6553">
        <f t="shared" ref="BW145" si="161">SUM(BW146:BW149)</f>
        <v>37.811555079194022</v>
      </c>
      <c r="BX145" s="6553">
        <f t="shared" ref="BX145" si="162">SUM(BX146:BX149)</f>
        <v>36.582257311981579</v>
      </c>
      <c r="BY145" s="6553">
        <f t="shared" ref="BY145" si="163">SUM(BY146:BY149)</f>
        <v>39.396461940567455</v>
      </c>
      <c r="BZ145" s="6553">
        <f t="shared" ref="BZ145" si="164">SUM(BZ146:BZ149)</f>
        <v>35.247928051781521</v>
      </c>
      <c r="CA145" s="6553">
        <f t="shared" ref="CA145" si="165">SUM(CA146:CA149)</f>
        <v>35.711380214479874</v>
      </c>
      <c r="CB145" s="6553">
        <f t="shared" ref="CB145" si="166">SUM(CB146:CB149)</f>
        <v>45.431527667167586</v>
      </c>
      <c r="CC145" s="6670">
        <f t="shared" si="143"/>
        <v>476.07802193882145</v>
      </c>
      <c r="CD145" s="6553">
        <f t="shared" ref="CD145" si="167">SUM(CD146:CD149)</f>
        <v>111.14510561308305</v>
      </c>
      <c r="CE145" s="6553">
        <f t="shared" ref="CE145" si="168">SUM(CE146:CE149)</f>
        <v>44.890277869399071</v>
      </c>
      <c r="CF145" s="789"/>
      <c r="CG145" s="789"/>
      <c r="CH145" s="789"/>
      <c r="CI145" s="789"/>
      <c r="CJ145" s="789"/>
      <c r="CK145" s="789"/>
      <c r="CL145" s="789"/>
      <c r="CM145" s="789"/>
      <c r="CN145" s="789"/>
      <c r="CO145" s="789"/>
      <c r="CP145" s="789">
        <f t="shared" ref="CP145:CQ145" si="169">CP146+CP147+CP148+CP149</f>
        <v>0</v>
      </c>
      <c r="CQ145" s="789">
        <f t="shared" si="169"/>
        <v>0</v>
      </c>
      <c r="CR145" s="6873">
        <f t="shared" si="151"/>
        <v>-66.254827743683975</v>
      </c>
      <c r="CS145" s="6874">
        <f t="shared" si="152"/>
        <v>-1.8458704637954568</v>
      </c>
      <c r="CT145" s="795"/>
      <c r="CU145" s="6765">
        <f t="shared" si="144"/>
        <v>156.03538348248213</v>
      </c>
      <c r="CV145" s="6739"/>
      <c r="CW145" s="6953"/>
      <c r="CX145" s="6757">
        <f t="shared" si="145"/>
        <v>64.781601330320953</v>
      </c>
      <c r="CY145" s="2775"/>
      <c r="CZ145" s="590"/>
      <c r="DA145" s="590"/>
      <c r="DB145" s="590"/>
      <c r="DC145" s="590"/>
      <c r="DD145" s="590"/>
      <c r="DE145" s="590"/>
      <c r="DF145" s="590"/>
      <c r="DG145" s="590"/>
      <c r="DH145" s="590"/>
      <c r="DI145" s="590"/>
      <c r="DJ145" s="590"/>
      <c r="DK145" s="590"/>
      <c r="DL145" s="590"/>
      <c r="DM145" s="590"/>
      <c r="DO145" s="2261"/>
      <c r="DP145" s="2261"/>
      <c r="DS145" s="2261"/>
      <c r="DT145" s="2261"/>
    </row>
    <row r="146" spans="1:124" ht="16.3" customHeight="1" x14ac:dyDescent="0.55000000000000004">
      <c r="A146" s="4151"/>
      <c r="B146" s="1028"/>
      <c r="C146" s="1028" t="s">
        <v>10</v>
      </c>
      <c r="D146" s="1028"/>
      <c r="E146" s="1028"/>
      <c r="F146" s="1028"/>
      <c r="G146" s="1028"/>
      <c r="H146" s="1028"/>
      <c r="I146" s="1028"/>
      <c r="J146" s="1028"/>
      <c r="K146" s="1028"/>
      <c r="L146" s="1028"/>
      <c r="M146" s="1028"/>
      <c r="N146" s="1028"/>
      <c r="O146" s="1028"/>
      <c r="P146" s="1028"/>
      <c r="Q146" s="1028"/>
      <c r="R146" s="1028"/>
      <c r="S146" s="1028"/>
      <c r="T146" s="1028"/>
      <c r="U146" s="1028"/>
      <c r="V146" s="1028"/>
      <c r="W146" s="1028"/>
      <c r="X146" s="1028"/>
      <c r="Y146" s="1028"/>
      <c r="Z146" s="1028"/>
      <c r="AA146" s="1028"/>
      <c r="AB146" s="1028"/>
      <c r="AC146" s="1028"/>
      <c r="AD146" s="1028"/>
      <c r="AE146" s="1028"/>
      <c r="AF146" s="1028"/>
      <c r="AG146" s="1028"/>
      <c r="AH146" s="1028"/>
      <c r="AI146" s="1028"/>
      <c r="AJ146" s="1028"/>
      <c r="AK146" s="1028"/>
      <c r="AL146" s="1028"/>
      <c r="AM146" s="1028"/>
      <c r="AN146" s="1028"/>
      <c r="AO146" s="4142"/>
      <c r="AP146" s="4143"/>
      <c r="AQ146" s="4214"/>
      <c r="AR146" s="4214"/>
      <c r="AS146" s="4214"/>
      <c r="AT146" s="4214"/>
      <c r="AU146" s="4214"/>
      <c r="AV146" s="4214"/>
      <c r="AW146" s="4214"/>
      <c r="AX146" s="4214"/>
      <c r="AY146" s="4214"/>
      <c r="AZ146" s="4214"/>
      <c r="BA146" s="4214"/>
      <c r="BB146" s="4214"/>
      <c r="BC146" s="4215"/>
      <c r="BD146" s="789"/>
      <c r="BE146" s="3946"/>
      <c r="BF146" s="3946"/>
      <c r="BG146" s="789"/>
      <c r="BH146" s="789"/>
      <c r="BI146" s="789"/>
      <c r="BJ146" s="789"/>
      <c r="BK146" s="789"/>
      <c r="BL146" s="789"/>
      <c r="BM146" s="789"/>
      <c r="BN146" s="789"/>
      <c r="BO146" s="789"/>
      <c r="BP146" s="6631">
        <v>694.41341837000004</v>
      </c>
      <c r="BQ146" s="6553">
        <v>6.6308218300000004</v>
      </c>
      <c r="BR146" s="6632">
        <v>8.1350248300000008</v>
      </c>
      <c r="BS146" s="6632">
        <v>3.26957684</v>
      </c>
      <c r="BT146" s="6553">
        <v>2.0404628599999999</v>
      </c>
      <c r="BU146" s="6553">
        <v>4.1415626100000003</v>
      </c>
      <c r="BV146" s="6553">
        <v>2.0046762299999998</v>
      </c>
      <c r="BW146" s="6553">
        <v>2.15264145</v>
      </c>
      <c r="BX146" s="6553">
        <v>1.75940816</v>
      </c>
      <c r="BY146" s="6553">
        <v>2.6681637899999999</v>
      </c>
      <c r="BZ146" s="6553">
        <v>2.7694834400000001</v>
      </c>
      <c r="CA146" s="6553">
        <v>1.34520822</v>
      </c>
      <c r="CB146" s="6553">
        <v>0.60363323000000002</v>
      </c>
      <c r="CC146" s="6670">
        <f t="shared" si="143"/>
        <v>37.520663490000004</v>
      </c>
      <c r="CD146" s="6553">
        <v>76.329985339999993</v>
      </c>
      <c r="CE146" s="6632">
        <v>10.598618500000001</v>
      </c>
      <c r="CF146" s="3946"/>
      <c r="CG146" s="789"/>
      <c r="CH146" s="789"/>
      <c r="CI146" s="3948"/>
      <c r="CJ146" s="789"/>
      <c r="CK146" s="3948"/>
      <c r="CL146" s="789"/>
      <c r="CM146" s="789"/>
      <c r="CN146" s="789"/>
      <c r="CO146" s="789"/>
      <c r="CP146" s="4087"/>
      <c r="CQ146" s="790"/>
      <c r="CR146" s="6873">
        <f t="shared" si="151"/>
        <v>-65.731366839999993</v>
      </c>
      <c r="CS146" s="6874">
        <f t="shared" si="152"/>
        <v>2.4635936699999998</v>
      </c>
      <c r="CT146" s="795"/>
      <c r="CU146" s="6765">
        <f t="shared" si="144"/>
        <v>86.928603839999994</v>
      </c>
      <c r="CV146" s="6739"/>
      <c r="CW146" s="6953"/>
      <c r="CX146" s="6757">
        <f t="shared" si="145"/>
        <v>72.16275718</v>
      </c>
      <c r="CY146" s="2775"/>
      <c r="CZ146" s="590"/>
      <c r="DA146" s="590"/>
      <c r="DB146" s="590"/>
      <c r="DC146" s="590"/>
      <c r="DD146" s="590"/>
      <c r="DE146" s="590"/>
      <c r="DF146" s="590"/>
      <c r="DG146" s="590"/>
      <c r="DH146" s="590"/>
      <c r="DI146" s="590"/>
      <c r="DJ146" s="590"/>
      <c r="DK146" s="590"/>
      <c r="DL146" s="590"/>
      <c r="DM146" s="590"/>
      <c r="DO146" s="2261"/>
      <c r="DP146" s="2261"/>
      <c r="DS146" s="2261"/>
      <c r="DT146" s="2261"/>
    </row>
    <row r="147" spans="1:124" ht="16.3" customHeight="1" x14ac:dyDescent="0.55000000000000004">
      <c r="A147" s="4151"/>
      <c r="B147" s="1028"/>
      <c r="C147" s="1028" t="s">
        <v>6</v>
      </c>
      <c r="D147" s="1028"/>
      <c r="E147" s="1028"/>
      <c r="F147" s="1028"/>
      <c r="G147" s="1028"/>
      <c r="H147" s="1028"/>
      <c r="I147" s="1028"/>
      <c r="J147" s="1028"/>
      <c r="K147" s="1028"/>
      <c r="L147" s="1028"/>
      <c r="M147" s="1028"/>
      <c r="N147" s="1028"/>
      <c r="O147" s="1028"/>
      <c r="P147" s="1028"/>
      <c r="Q147" s="1028"/>
      <c r="R147" s="1028"/>
      <c r="S147" s="1028"/>
      <c r="T147" s="1028"/>
      <c r="U147" s="1028"/>
      <c r="V147" s="1028"/>
      <c r="W147" s="1028"/>
      <c r="X147" s="1028"/>
      <c r="Y147" s="1028"/>
      <c r="Z147" s="1028"/>
      <c r="AA147" s="1028"/>
      <c r="AB147" s="1028"/>
      <c r="AC147" s="1028"/>
      <c r="AD147" s="1028"/>
      <c r="AE147" s="1028"/>
      <c r="AF147" s="1028"/>
      <c r="AG147" s="1028"/>
      <c r="AH147" s="1028"/>
      <c r="AI147" s="1028"/>
      <c r="AJ147" s="1028"/>
      <c r="AK147" s="1028"/>
      <c r="AL147" s="1028"/>
      <c r="AM147" s="1028"/>
      <c r="AN147" s="1028"/>
      <c r="AO147" s="4142"/>
      <c r="AP147" s="4143"/>
      <c r="AQ147" s="4214"/>
      <c r="AR147" s="4214"/>
      <c r="AS147" s="4214"/>
      <c r="AT147" s="4214"/>
      <c r="AU147" s="4214"/>
      <c r="AV147" s="4214"/>
      <c r="AW147" s="4214"/>
      <c r="AX147" s="4214"/>
      <c r="AY147" s="4214"/>
      <c r="AZ147" s="4214"/>
      <c r="BA147" s="4214"/>
      <c r="BB147" s="4214"/>
      <c r="BC147" s="4215"/>
      <c r="BD147" s="789"/>
      <c r="BE147" s="3946"/>
      <c r="BF147" s="3946"/>
      <c r="BG147" s="789"/>
      <c r="BH147" s="789"/>
      <c r="BI147" s="789"/>
      <c r="BJ147" s="789"/>
      <c r="BK147" s="789"/>
      <c r="BL147" s="789"/>
      <c r="BM147" s="789"/>
      <c r="BN147" s="789"/>
      <c r="BO147" s="789"/>
      <c r="BP147" s="6631">
        <v>475.92213515295578</v>
      </c>
      <c r="BQ147" s="6553">
        <v>1.8922512386029322</v>
      </c>
      <c r="BR147" s="6632">
        <v>2.4818941900000002</v>
      </c>
      <c r="BS147" s="6632">
        <v>0.70588277825719248</v>
      </c>
      <c r="BT147" s="6553">
        <v>3.8676703799999999</v>
      </c>
      <c r="BU147" s="6553">
        <v>0.20809046</v>
      </c>
      <c r="BV147" s="6553">
        <v>0.95145148999999996</v>
      </c>
      <c r="BW147" s="6553">
        <v>1.18853264</v>
      </c>
      <c r="BX147" s="6553">
        <v>0.66414165999999997</v>
      </c>
      <c r="BY147" s="6553">
        <v>2.6811764299999998</v>
      </c>
      <c r="BZ147" s="6553">
        <v>-1.43874788</v>
      </c>
      <c r="CA147" s="6553">
        <v>0.55627282670187073</v>
      </c>
      <c r="CB147" s="6553">
        <v>0.80422347872646049</v>
      </c>
      <c r="CC147" s="6670">
        <f t="shared" si="143"/>
        <v>14.562839692288454</v>
      </c>
      <c r="CD147" s="6553">
        <v>1.16736518</v>
      </c>
      <c r="CE147" s="6632">
        <v>0.88786531000000002</v>
      </c>
      <c r="CF147" s="3946"/>
      <c r="CG147" s="789"/>
      <c r="CH147" s="789"/>
      <c r="CI147" s="4184"/>
      <c r="CJ147" s="789"/>
      <c r="CK147" s="4184"/>
      <c r="CL147" s="789"/>
      <c r="CM147" s="789"/>
      <c r="CN147" s="789"/>
      <c r="CO147" s="789"/>
      <c r="CP147" s="4087"/>
      <c r="CQ147" s="790"/>
      <c r="CR147" s="6873">
        <f t="shared" si="151"/>
        <v>-0.27949986999999998</v>
      </c>
      <c r="CS147" s="6874">
        <f t="shared" si="152"/>
        <v>-1.5940288800000002</v>
      </c>
      <c r="CT147" s="795"/>
      <c r="CU147" s="6765">
        <f t="shared" si="144"/>
        <v>2.05523049</v>
      </c>
      <c r="CV147" s="6739"/>
      <c r="CW147" s="6953"/>
      <c r="CX147" s="6757">
        <f t="shared" si="145"/>
        <v>-2.3189149386029322</v>
      </c>
      <c r="CY147" s="2775"/>
      <c r="CZ147" s="590"/>
      <c r="DA147" s="590"/>
      <c r="DB147" s="590"/>
      <c r="DC147" s="590"/>
      <c r="DD147" s="590"/>
      <c r="DE147" s="590"/>
      <c r="DF147" s="590"/>
      <c r="DG147" s="590"/>
      <c r="DH147" s="590"/>
      <c r="DI147" s="590"/>
      <c r="DJ147" s="590"/>
      <c r="DK147" s="590"/>
      <c r="DL147" s="590"/>
      <c r="DM147" s="590"/>
      <c r="DO147" s="2261"/>
      <c r="DP147" s="2261"/>
      <c r="DS147" s="2261"/>
      <c r="DT147" s="2261"/>
    </row>
    <row r="148" spans="1:124" ht="16.3" customHeight="1" x14ac:dyDescent="0.55000000000000004">
      <c r="A148" s="4151"/>
      <c r="B148" s="1028"/>
      <c r="C148" s="1028" t="s">
        <v>0</v>
      </c>
      <c r="D148" s="1028"/>
      <c r="E148" s="4379" t="s">
        <v>1107</v>
      </c>
      <c r="F148" s="1028"/>
      <c r="G148" s="1028"/>
      <c r="H148" s="1028"/>
      <c r="I148" s="1028"/>
      <c r="J148" s="1028"/>
      <c r="K148" s="1028"/>
      <c r="L148" s="1028"/>
      <c r="M148" s="1028"/>
      <c r="N148" s="1028"/>
      <c r="O148" s="1028"/>
      <c r="P148" s="1028"/>
      <c r="Q148" s="1028"/>
      <c r="R148" s="1028"/>
      <c r="S148" s="1028"/>
      <c r="T148" s="1028"/>
      <c r="U148" s="1028"/>
      <c r="V148" s="1028"/>
      <c r="W148" s="1028"/>
      <c r="X148" s="1028"/>
      <c r="Y148" s="1028"/>
      <c r="Z148" s="1028"/>
      <c r="AA148" s="1028"/>
      <c r="AB148" s="1028"/>
      <c r="AC148" s="1028"/>
      <c r="AD148" s="1028"/>
      <c r="AE148" s="1028"/>
      <c r="AF148" s="1028"/>
      <c r="AG148" s="1028"/>
      <c r="AH148" s="1028"/>
      <c r="AI148" s="1028"/>
      <c r="AJ148" s="1028"/>
      <c r="AK148" s="1028"/>
      <c r="AL148" s="1028"/>
      <c r="AM148" s="1028"/>
      <c r="AN148" s="1028"/>
      <c r="AO148" s="4142"/>
      <c r="AP148" s="4143"/>
      <c r="AQ148" s="4214"/>
      <c r="AR148" s="4214"/>
      <c r="AS148" s="4214"/>
      <c r="AT148" s="4214"/>
      <c r="AU148" s="4214"/>
      <c r="AV148" s="4214"/>
      <c r="AW148" s="4214"/>
      <c r="AX148" s="4214"/>
      <c r="AY148" s="4214"/>
      <c r="AZ148" s="4214"/>
      <c r="BA148" s="4214"/>
      <c r="BB148" s="4214"/>
      <c r="BC148" s="4215"/>
      <c r="BD148" s="789"/>
      <c r="BE148" s="3946"/>
      <c r="BF148" s="3946"/>
      <c r="BG148" s="789"/>
      <c r="BH148" s="789"/>
      <c r="BI148" s="789"/>
      <c r="BJ148" s="789"/>
      <c r="BK148" s="789"/>
      <c r="BL148" s="789"/>
      <c r="BM148" s="789"/>
      <c r="BN148" s="789"/>
      <c r="BO148" s="789"/>
      <c r="BP148" s="6631">
        <v>135.83110047101053</v>
      </c>
      <c r="BQ148" s="6553">
        <v>9.0695834803637165</v>
      </c>
      <c r="BR148" s="6632">
        <v>9.083092943194524</v>
      </c>
      <c r="BS148" s="6632">
        <v>8.5533175751921764</v>
      </c>
      <c r="BT148" s="6553">
        <v>8.0081605054749314</v>
      </c>
      <c r="BU148" s="6553">
        <v>7.601471640997806</v>
      </c>
      <c r="BV148" s="6553">
        <v>11.299897061566099</v>
      </c>
      <c r="BW148" s="6553">
        <v>9.4703809891940267</v>
      </c>
      <c r="BX148" s="6553">
        <v>9.1587074919815752</v>
      </c>
      <c r="BY148" s="6553">
        <v>9.0471217205674552</v>
      </c>
      <c r="BZ148" s="6553">
        <v>8.9171924917815204</v>
      </c>
      <c r="CA148" s="6553">
        <v>8.8098991677780063</v>
      </c>
      <c r="CB148" s="6553">
        <v>8.7653509584411307</v>
      </c>
      <c r="CC148" s="6670">
        <f t="shared" si="143"/>
        <v>107.78417602653298</v>
      </c>
      <c r="CD148" s="6553">
        <v>8.6477550930830454</v>
      </c>
      <c r="CE148" s="6632">
        <v>8.4037940593990701</v>
      </c>
      <c r="CF148" s="3946"/>
      <c r="CG148" s="789"/>
      <c r="CH148" s="789"/>
      <c r="CI148" s="3948"/>
      <c r="CJ148" s="789"/>
      <c r="CK148" s="3948"/>
      <c r="CL148" s="789"/>
      <c r="CM148" s="789"/>
      <c r="CN148" s="789"/>
      <c r="CO148" s="789"/>
      <c r="CP148" s="4087"/>
      <c r="CQ148" s="790"/>
      <c r="CR148" s="6873">
        <f t="shared" si="151"/>
        <v>-0.24396103368397526</v>
      </c>
      <c r="CS148" s="6874">
        <f t="shared" si="152"/>
        <v>-0.67929888379545389</v>
      </c>
      <c r="CT148" s="795"/>
      <c r="CU148" s="6765">
        <f t="shared" si="144"/>
        <v>17.051549152482117</v>
      </c>
      <c r="CV148" s="6739"/>
      <c r="CW148" s="6953"/>
      <c r="CX148" s="6757">
        <f t="shared" si="145"/>
        <v>-1.1011272710761233</v>
      </c>
      <c r="CY148" s="2775"/>
      <c r="CZ148" s="590"/>
      <c r="DA148" s="590"/>
      <c r="DB148" s="590"/>
      <c r="DC148" s="590"/>
      <c r="DD148" s="590"/>
      <c r="DE148" s="590"/>
      <c r="DF148" s="590"/>
      <c r="DG148" s="590"/>
      <c r="DH148" s="590"/>
      <c r="DI148" s="590"/>
      <c r="DJ148" s="590"/>
      <c r="DK148" s="590"/>
      <c r="DL148" s="590"/>
      <c r="DM148" s="590"/>
      <c r="DO148" s="2261"/>
      <c r="DP148" s="2261"/>
      <c r="DS148" s="2261"/>
      <c r="DT148" s="2261"/>
    </row>
    <row r="149" spans="1:124" ht="16.3" customHeight="1" x14ac:dyDescent="0.55000000000000004">
      <c r="A149" s="4151"/>
      <c r="B149" s="1028"/>
      <c r="C149" s="1028" t="s">
        <v>7</v>
      </c>
      <c r="D149" s="1028"/>
      <c r="E149" s="1028"/>
      <c r="F149" s="1028"/>
      <c r="G149" s="1028"/>
      <c r="H149" s="1028"/>
      <c r="I149" s="1028"/>
      <c r="J149" s="1028"/>
      <c r="K149" s="1028"/>
      <c r="L149" s="1028"/>
      <c r="M149" s="1028"/>
      <c r="N149" s="1028"/>
      <c r="O149" s="1028"/>
      <c r="P149" s="1028"/>
      <c r="Q149" s="1028"/>
      <c r="R149" s="1028"/>
      <c r="S149" s="1028"/>
      <c r="T149" s="1028"/>
      <c r="U149" s="1028"/>
      <c r="V149" s="1028"/>
      <c r="W149" s="1028"/>
      <c r="X149" s="1028"/>
      <c r="Y149" s="1028"/>
      <c r="Z149" s="1028"/>
      <c r="AA149" s="1028"/>
      <c r="AB149" s="1028"/>
      <c r="AC149" s="1028"/>
      <c r="AD149" s="1028"/>
      <c r="AE149" s="1028"/>
      <c r="AF149" s="1028"/>
      <c r="AG149" s="1028"/>
      <c r="AH149" s="1028"/>
      <c r="AI149" s="1028"/>
      <c r="AJ149" s="1028"/>
      <c r="AK149" s="1028"/>
      <c r="AL149" s="1028"/>
      <c r="AM149" s="1028"/>
      <c r="AN149" s="1028"/>
      <c r="AO149" s="4142"/>
      <c r="AP149" s="4143"/>
      <c r="AQ149" s="4214"/>
      <c r="AR149" s="4214"/>
      <c r="AS149" s="4214"/>
      <c r="AT149" s="4214"/>
      <c r="AU149" s="4214"/>
      <c r="AV149" s="4214"/>
      <c r="AW149" s="4214"/>
      <c r="AX149" s="4214"/>
      <c r="AY149" s="4214"/>
      <c r="AZ149" s="4214"/>
      <c r="BA149" s="4214"/>
      <c r="BB149" s="4214"/>
      <c r="BC149" s="4215"/>
      <c r="BD149" s="789"/>
      <c r="BE149" s="3946"/>
      <c r="BF149" s="3946"/>
      <c r="BG149" s="789"/>
      <c r="BH149" s="789"/>
      <c r="BI149" s="789"/>
      <c r="BJ149" s="789"/>
      <c r="BK149" s="789"/>
      <c r="BL149" s="789"/>
      <c r="BM149" s="789"/>
      <c r="BN149" s="789"/>
      <c r="BO149" s="789"/>
      <c r="BP149" s="6631">
        <v>331.66446040016882</v>
      </c>
      <c r="BQ149" s="6553">
        <v>26.924977269999999</v>
      </c>
      <c r="BR149" s="6632">
        <v>27.036136370000001</v>
      </c>
      <c r="BS149" s="6632">
        <v>26.95909091</v>
      </c>
      <c r="BT149" s="6553">
        <v>25.009090910000001</v>
      </c>
      <c r="BU149" s="6553">
        <v>25.009090910000001</v>
      </c>
      <c r="BV149" s="6553">
        <v>25.01363636</v>
      </c>
      <c r="BW149" s="6553">
        <v>25</v>
      </c>
      <c r="BX149" s="6553">
        <v>25</v>
      </c>
      <c r="BY149" s="6553">
        <v>25</v>
      </c>
      <c r="BZ149" s="6553">
        <v>25</v>
      </c>
      <c r="CA149" s="6553">
        <v>25</v>
      </c>
      <c r="CB149" s="6553">
        <v>35.258319999999998</v>
      </c>
      <c r="CC149" s="6670">
        <f t="shared" si="143"/>
        <v>316.21034272999998</v>
      </c>
      <c r="CD149" s="6553">
        <v>25</v>
      </c>
      <c r="CE149" s="6632">
        <v>25</v>
      </c>
      <c r="CF149" s="3946"/>
      <c r="CG149" s="789"/>
      <c r="CH149" s="789"/>
      <c r="CI149" s="4184"/>
      <c r="CJ149" s="789"/>
      <c r="CK149" s="4184"/>
      <c r="CL149" s="789"/>
      <c r="CM149" s="789"/>
      <c r="CN149" s="789"/>
      <c r="CO149" s="789"/>
      <c r="CP149" s="4087"/>
      <c r="CQ149" s="790"/>
      <c r="CR149" s="6873">
        <f t="shared" si="151"/>
        <v>0</v>
      </c>
      <c r="CS149" s="6874">
        <f t="shared" si="152"/>
        <v>-2.0361363700000012</v>
      </c>
      <c r="CT149" s="795"/>
      <c r="CU149" s="6765">
        <f t="shared" si="144"/>
        <v>50</v>
      </c>
      <c r="CV149" s="6739"/>
      <c r="CW149" s="6953"/>
      <c r="CX149" s="6757">
        <f t="shared" si="145"/>
        <v>-3.9611136400000007</v>
      </c>
      <c r="CY149" s="2775"/>
      <c r="CZ149" s="590"/>
      <c r="DA149" s="590"/>
      <c r="DB149" s="590"/>
      <c r="DC149" s="590"/>
      <c r="DD149" s="590"/>
      <c r="DE149" s="590"/>
      <c r="DF149" s="590"/>
      <c r="DG149" s="590"/>
      <c r="DH149" s="590"/>
      <c r="DI149" s="590"/>
      <c r="DJ149" s="590"/>
      <c r="DK149" s="590"/>
      <c r="DL149" s="590"/>
      <c r="DM149" s="590"/>
      <c r="DO149" s="2261"/>
      <c r="DP149" s="2261"/>
      <c r="DS149" s="2261"/>
      <c r="DT149" s="2261"/>
    </row>
    <row r="150" spans="1:124" ht="16.3" customHeight="1" x14ac:dyDescent="0.55000000000000004">
      <c r="A150" s="4141"/>
      <c r="B150" s="4221" t="s">
        <v>599</v>
      </c>
      <c r="C150" s="4158"/>
      <c r="D150" s="4158"/>
      <c r="E150" s="4158"/>
      <c r="F150" s="4158"/>
      <c r="G150" s="4158"/>
      <c r="H150" s="4158"/>
      <c r="I150" s="4158"/>
      <c r="J150" s="4158"/>
      <c r="K150" s="4158"/>
      <c r="L150" s="4158"/>
      <c r="M150" s="4158"/>
      <c r="N150" s="4158"/>
      <c r="O150" s="4158"/>
      <c r="P150" s="4158"/>
      <c r="Q150" s="4158"/>
      <c r="R150" s="4158"/>
      <c r="S150" s="4158"/>
      <c r="T150" s="4158"/>
      <c r="U150" s="4158"/>
      <c r="V150" s="4158"/>
      <c r="W150" s="4158"/>
      <c r="X150" s="4158"/>
      <c r="Y150" s="4158"/>
      <c r="Z150" s="4158"/>
      <c r="AA150" s="4158"/>
      <c r="AB150" s="4158"/>
      <c r="AC150" s="4158"/>
      <c r="AD150" s="4158"/>
      <c r="AE150" s="4158"/>
      <c r="AF150" s="4158"/>
      <c r="AG150" s="4158"/>
      <c r="AH150" s="4158"/>
      <c r="AI150" s="4158"/>
      <c r="AJ150" s="4158"/>
      <c r="AK150" s="4158"/>
      <c r="AL150" s="4158"/>
      <c r="AM150" s="4158"/>
      <c r="AN150" s="4158"/>
      <c r="AO150" s="3876"/>
      <c r="AP150" s="4161"/>
      <c r="AQ150" s="4222"/>
      <c r="AR150" s="4222"/>
      <c r="AS150" s="4222"/>
      <c r="AT150" s="4222"/>
      <c r="AU150" s="4222"/>
      <c r="AV150" s="4222"/>
      <c r="AW150" s="4222"/>
      <c r="AX150" s="4222"/>
      <c r="AY150" s="4222"/>
      <c r="AZ150" s="4222"/>
      <c r="BA150" s="4222"/>
      <c r="BB150" s="4222"/>
      <c r="BC150" s="4223"/>
      <c r="BD150" s="800"/>
      <c r="BE150" s="800"/>
      <c r="BF150" s="800"/>
      <c r="BG150" s="800"/>
      <c r="BH150" s="800"/>
      <c r="BI150" s="800"/>
      <c r="BJ150" s="800"/>
      <c r="BK150" s="800"/>
      <c r="BL150" s="800"/>
      <c r="BM150" s="800"/>
      <c r="BN150" s="800"/>
      <c r="BO150" s="800"/>
      <c r="BP150" s="6636">
        <f>SUM(BP151:BP155)</f>
        <v>1517.2725452247576</v>
      </c>
      <c r="BQ150" s="6526">
        <f>SUM(BQ151:BQ155)</f>
        <v>36.083116509213582</v>
      </c>
      <c r="BR150" s="6526">
        <f t="shared" ref="BR150" si="170">SUM(BR151:BR155)</f>
        <v>28.99805460131504</v>
      </c>
      <c r="BS150" s="6526">
        <f t="shared" ref="BS150" si="171">SUM(BS151:BS155)</f>
        <v>29.121302787002239</v>
      </c>
      <c r="BT150" s="6526">
        <f t="shared" ref="BT150" si="172">SUM(BT151:BT155)</f>
        <v>28.083782651917847</v>
      </c>
      <c r="BU150" s="6526">
        <f t="shared" ref="BU150" si="173">SUM(BU151:BU155)</f>
        <v>22.2785212253801</v>
      </c>
      <c r="BV150" s="6526">
        <f t="shared" ref="BV150" si="174">SUM(BV151:BV155)</f>
        <v>24.782897848214933</v>
      </c>
      <c r="BW150" s="6526">
        <f t="shared" ref="BW150" si="175">SUM(BW151:BW155)</f>
        <v>26.677203882440832</v>
      </c>
      <c r="BX150" s="6526">
        <f t="shared" ref="BX150" si="176">SUM(BX151:BX155)</f>
        <v>22.51690798671823</v>
      </c>
      <c r="BY150" s="6526">
        <f t="shared" ref="BY150" si="177">SUM(BY151:BY155)</f>
        <v>29.599316016224432</v>
      </c>
      <c r="BZ150" s="6526">
        <f t="shared" ref="BZ150" si="178">SUM(BZ151:BZ155)</f>
        <v>30.041260627571571</v>
      </c>
      <c r="CA150" s="6526">
        <f t="shared" ref="CA150" si="179">SUM(CA151:CA155)</f>
        <v>27.494496861786313</v>
      </c>
      <c r="CB150" s="6526">
        <f t="shared" ref="CB150" si="180">SUM(CB151:CB155)</f>
        <v>32.300935703476604</v>
      </c>
      <c r="CC150" s="6671">
        <f t="shared" si="143"/>
        <v>337.97779670126175</v>
      </c>
      <c r="CD150" s="6526">
        <f t="shared" ref="CD150" si="181">SUM(CD151:CD155)</f>
        <v>99.062619604341648</v>
      </c>
      <c r="CE150" s="6526">
        <f t="shared" ref="CE150" si="182">SUM(CE151:CE155)</f>
        <v>32.595862232023158</v>
      </c>
      <c r="CF150" s="800"/>
      <c r="CG150" s="800"/>
      <c r="CH150" s="800"/>
      <c r="CI150" s="800"/>
      <c r="CJ150" s="800"/>
      <c r="CK150" s="800"/>
      <c r="CL150" s="800"/>
      <c r="CM150" s="800"/>
      <c r="CN150" s="800"/>
      <c r="CO150" s="800"/>
      <c r="CP150" s="800">
        <f t="shared" ref="CP150:CQ150" si="183">CP151+CP152+CP153+CP154+CP155</f>
        <v>0</v>
      </c>
      <c r="CQ150" s="800">
        <f t="shared" si="183"/>
        <v>0</v>
      </c>
      <c r="CR150" s="6869">
        <f t="shared" si="151"/>
        <v>-66.466757372318483</v>
      </c>
      <c r="CS150" s="6896">
        <f t="shared" si="152"/>
        <v>3.5978076307081182</v>
      </c>
      <c r="CT150" s="808"/>
      <c r="CU150" s="6924">
        <f t="shared" si="144"/>
        <v>131.65848183636481</v>
      </c>
      <c r="CV150" s="6739"/>
      <c r="CW150" s="6953"/>
      <c r="CX150" s="6760">
        <f t="shared" si="145"/>
        <v>66.577310725836185</v>
      </c>
      <c r="CY150" s="2775"/>
      <c r="CZ150" s="590"/>
      <c r="DA150" s="590"/>
      <c r="DB150" s="590"/>
      <c r="DC150" s="590"/>
      <c r="DD150" s="590"/>
      <c r="DE150" s="590"/>
      <c r="DF150" s="590"/>
      <c r="DG150" s="590"/>
      <c r="DH150" s="590"/>
      <c r="DI150" s="590"/>
      <c r="DJ150" s="590"/>
      <c r="DK150" s="590"/>
      <c r="DL150" s="590"/>
      <c r="DM150" s="590"/>
      <c r="DO150" s="2261"/>
      <c r="DP150" s="2261"/>
      <c r="DS150" s="2261"/>
      <c r="DT150" s="2261"/>
    </row>
    <row r="151" spans="1:124" ht="16.3" customHeight="1" x14ac:dyDescent="0.55000000000000004">
      <c r="A151" s="4151"/>
      <c r="B151" s="4158"/>
      <c r="C151" s="4158" t="s">
        <v>41</v>
      </c>
      <c r="D151" s="4158"/>
      <c r="E151" s="4158"/>
      <c r="F151" s="4158"/>
      <c r="G151" s="4158"/>
      <c r="H151" s="4158"/>
      <c r="I151" s="4158"/>
      <c r="J151" s="4158"/>
      <c r="K151" s="4158"/>
      <c r="L151" s="4158"/>
      <c r="M151" s="4158"/>
      <c r="N151" s="4158"/>
      <c r="O151" s="4158"/>
      <c r="P151" s="4158"/>
      <c r="Q151" s="4158"/>
      <c r="R151" s="4158"/>
      <c r="S151" s="4158"/>
      <c r="T151" s="4158"/>
      <c r="U151" s="4158"/>
      <c r="V151" s="4158"/>
      <c r="W151" s="4158"/>
      <c r="X151" s="4158"/>
      <c r="Y151" s="4158"/>
      <c r="Z151" s="4158"/>
      <c r="AA151" s="4158"/>
      <c r="AB151" s="4158"/>
      <c r="AC151" s="4158"/>
      <c r="AD151" s="4158"/>
      <c r="AE151" s="4158"/>
      <c r="AF151" s="4158"/>
      <c r="AG151" s="4158"/>
      <c r="AH151" s="4158"/>
      <c r="AI151" s="4158"/>
      <c r="AJ151" s="4158"/>
      <c r="AK151" s="4158"/>
      <c r="AL151" s="4158"/>
      <c r="AM151" s="4158"/>
      <c r="AN151" s="4158"/>
      <c r="AO151" s="3876"/>
      <c r="AP151" s="4161"/>
      <c r="AQ151" s="4222"/>
      <c r="AR151" s="4222"/>
      <c r="AS151" s="4222"/>
      <c r="AT151" s="4222"/>
      <c r="AU151" s="4222"/>
      <c r="AV151" s="4222"/>
      <c r="AW151" s="4222"/>
      <c r="AX151" s="4222"/>
      <c r="AY151" s="4222"/>
      <c r="AZ151" s="4222"/>
      <c r="BA151" s="4222"/>
      <c r="BB151" s="4222"/>
      <c r="BC151" s="4223"/>
      <c r="BD151" s="800"/>
      <c r="BE151" s="4166"/>
      <c r="BF151" s="4166"/>
      <c r="BG151" s="800"/>
      <c r="BH151" s="800"/>
      <c r="BI151" s="800"/>
      <c r="BJ151" s="800"/>
      <c r="BK151" s="800"/>
      <c r="BL151" s="800"/>
      <c r="BM151" s="800"/>
      <c r="BN151" s="800"/>
      <c r="BO151" s="800"/>
      <c r="BP151" s="6636">
        <v>797.32478927</v>
      </c>
      <c r="BQ151" s="6526">
        <v>6.5737609099999998</v>
      </c>
      <c r="BR151" s="6637">
        <v>5.9374799999999999</v>
      </c>
      <c r="BS151" s="6637">
        <v>2.3205800000000001</v>
      </c>
      <c r="BT151" s="6526">
        <v>0.75180999999999998</v>
      </c>
      <c r="BU151" s="6526">
        <v>0.43518000000000001</v>
      </c>
      <c r="BV151" s="6526">
        <v>0.66324000000000005</v>
      </c>
      <c r="BW151" s="6526">
        <v>0.14848</v>
      </c>
      <c r="BX151" s="6526">
        <v>0.27789000000000003</v>
      </c>
      <c r="BY151" s="6526">
        <v>0.48953182000000001</v>
      </c>
      <c r="BZ151" s="6526">
        <v>1.25776</v>
      </c>
      <c r="CA151" s="6526">
        <v>0.48260999999999998</v>
      </c>
      <c r="CB151" s="6526">
        <v>0.59775</v>
      </c>
      <c r="CC151" s="6671">
        <f t="shared" si="143"/>
        <v>19.936072730000003</v>
      </c>
      <c r="CD151" s="6526">
        <v>72.832747659999995</v>
      </c>
      <c r="CE151" s="6637">
        <v>8.5221841999999999</v>
      </c>
      <c r="CF151" s="4166"/>
      <c r="CG151" s="800"/>
      <c r="CH151" s="800"/>
      <c r="CI151" s="3884"/>
      <c r="CJ151" s="800"/>
      <c r="CK151" s="3884"/>
      <c r="CL151" s="800"/>
      <c r="CM151" s="800"/>
      <c r="CN151" s="800"/>
      <c r="CO151" s="800"/>
      <c r="CP151" s="4087"/>
      <c r="CQ151" s="790"/>
      <c r="CR151" s="6869">
        <f t="shared" si="151"/>
        <v>-64.310563459999997</v>
      </c>
      <c r="CS151" s="6896">
        <f t="shared" si="152"/>
        <v>2.5847042</v>
      </c>
      <c r="CT151" s="808"/>
      <c r="CU151" s="6924">
        <f t="shared" si="144"/>
        <v>81.354931859999994</v>
      </c>
      <c r="CV151" s="6739"/>
      <c r="CW151" s="6953"/>
      <c r="CX151" s="6760">
        <f t="shared" si="145"/>
        <v>68.843690949999996</v>
      </c>
      <c r="CY151" s="2775"/>
      <c r="CZ151" s="590"/>
      <c r="DA151" s="590"/>
      <c r="DB151" s="590"/>
      <c r="DC151" s="590"/>
      <c r="DD151" s="590"/>
      <c r="DE151" s="590"/>
      <c r="DF151" s="590"/>
      <c r="DG151" s="590"/>
      <c r="DH151" s="590"/>
      <c r="DI151" s="590"/>
      <c r="DJ151" s="590"/>
      <c r="DK151" s="590"/>
      <c r="DL151" s="590"/>
      <c r="DM151" s="590"/>
      <c r="DO151" s="2261"/>
      <c r="DP151" s="2261"/>
      <c r="DS151" s="2261"/>
      <c r="DT151" s="2261"/>
    </row>
    <row r="152" spans="1:124" ht="16.3" customHeight="1" x14ac:dyDescent="0.55000000000000004">
      <c r="A152" s="4151"/>
      <c r="B152" s="4158"/>
      <c r="C152" s="4158" t="s">
        <v>13</v>
      </c>
      <c r="D152" s="4158"/>
      <c r="E152" s="4158"/>
      <c r="F152" s="4158"/>
      <c r="G152" s="4158"/>
      <c r="H152" s="4158"/>
      <c r="I152" s="4158"/>
      <c r="J152" s="4158"/>
      <c r="K152" s="4158"/>
      <c r="L152" s="4158"/>
      <c r="M152" s="4158"/>
      <c r="N152" s="4158"/>
      <c r="O152" s="4158"/>
      <c r="P152" s="4158"/>
      <c r="Q152" s="4158"/>
      <c r="R152" s="4158"/>
      <c r="S152" s="4158"/>
      <c r="T152" s="4158"/>
      <c r="U152" s="4158"/>
      <c r="V152" s="4158"/>
      <c r="W152" s="4158"/>
      <c r="X152" s="4158"/>
      <c r="Y152" s="4158"/>
      <c r="Z152" s="4158"/>
      <c r="AA152" s="4158"/>
      <c r="AB152" s="4158"/>
      <c r="AC152" s="4158"/>
      <c r="AD152" s="4158"/>
      <c r="AE152" s="4158"/>
      <c r="AF152" s="4158"/>
      <c r="AG152" s="4158"/>
      <c r="AH152" s="4158"/>
      <c r="AI152" s="4158"/>
      <c r="AJ152" s="4158"/>
      <c r="AK152" s="4158"/>
      <c r="AL152" s="4158"/>
      <c r="AM152" s="4158"/>
      <c r="AN152" s="4158"/>
      <c r="AO152" s="3876"/>
      <c r="AP152" s="4161"/>
      <c r="AQ152" s="4222"/>
      <c r="AR152" s="4222"/>
      <c r="AS152" s="4222"/>
      <c r="AT152" s="4222"/>
      <c r="AU152" s="4222"/>
      <c r="AV152" s="4222"/>
      <c r="AW152" s="4222"/>
      <c r="AX152" s="4222"/>
      <c r="AY152" s="4222"/>
      <c r="AZ152" s="4222"/>
      <c r="BA152" s="4222"/>
      <c r="BB152" s="4222"/>
      <c r="BC152" s="4223"/>
      <c r="BD152" s="800"/>
      <c r="BE152" s="4166"/>
      <c r="BF152" s="4166"/>
      <c r="BG152" s="800"/>
      <c r="BH152" s="800"/>
      <c r="BI152" s="800"/>
      <c r="BJ152" s="800"/>
      <c r="BK152" s="800"/>
      <c r="BL152" s="800"/>
      <c r="BM152" s="800"/>
      <c r="BN152" s="800"/>
      <c r="BO152" s="800"/>
      <c r="BP152" s="6636">
        <v>251.72743087602271</v>
      </c>
      <c r="BQ152" s="6526">
        <v>22.038547830097563</v>
      </c>
      <c r="BR152" s="6637">
        <v>16.769815691893839</v>
      </c>
      <c r="BS152" s="6637">
        <v>21.312237807224037</v>
      </c>
      <c r="BT152" s="6526">
        <v>21.598500302568745</v>
      </c>
      <c r="BU152" s="6526">
        <v>16.692266520214382</v>
      </c>
      <c r="BV152" s="6526">
        <v>18.741527660111977</v>
      </c>
      <c r="BW152" s="6526">
        <v>20.351510782907109</v>
      </c>
      <c r="BX152" s="6526">
        <v>16.532708721168593</v>
      </c>
      <c r="BY152" s="6526">
        <v>21.815881792660285</v>
      </c>
      <c r="BZ152" s="6526">
        <v>22.629455615118903</v>
      </c>
      <c r="CA152" s="6526">
        <v>16.533837392263443</v>
      </c>
      <c r="CB152" s="6526">
        <v>19.558094547215905</v>
      </c>
      <c r="CC152" s="6671">
        <f t="shared" si="143"/>
        <v>234.57438466344482</v>
      </c>
      <c r="CD152" s="6526">
        <v>20.946281601334146</v>
      </c>
      <c r="CE152" s="6637">
        <v>17.675523319472827</v>
      </c>
      <c r="CF152" s="4166"/>
      <c r="CG152" s="800"/>
      <c r="CH152" s="800"/>
      <c r="CI152" s="4224"/>
      <c r="CJ152" s="800"/>
      <c r="CK152" s="4224"/>
      <c r="CL152" s="800"/>
      <c r="CM152" s="800"/>
      <c r="CN152" s="800"/>
      <c r="CO152" s="800"/>
      <c r="CP152" s="4087"/>
      <c r="CQ152" s="790"/>
      <c r="CR152" s="6869">
        <f t="shared" si="151"/>
        <v>-3.270758281861319</v>
      </c>
      <c r="CS152" s="6896">
        <f t="shared" si="152"/>
        <v>0.90570762757898748</v>
      </c>
      <c r="CT152" s="808"/>
      <c r="CU152" s="6924">
        <f t="shared" si="144"/>
        <v>38.621804920806973</v>
      </c>
      <c r="CV152" s="6739"/>
      <c r="CW152" s="6953"/>
      <c r="CX152" s="6760">
        <f t="shared" si="145"/>
        <v>-0.18655860118443002</v>
      </c>
      <c r="CY152" s="2775"/>
      <c r="CZ152" s="590"/>
      <c r="DA152" s="590"/>
      <c r="DB152" s="590"/>
      <c r="DC152" s="590"/>
      <c r="DD152" s="590"/>
      <c r="DE152" s="590"/>
      <c r="DF152" s="590"/>
      <c r="DG152" s="590"/>
      <c r="DH152" s="590"/>
      <c r="DI152" s="590"/>
      <c r="DJ152" s="590"/>
      <c r="DK152" s="590"/>
      <c r="DL152" s="590"/>
      <c r="DM152" s="590"/>
      <c r="DO152" s="2261"/>
      <c r="DP152" s="2261"/>
      <c r="DS152" s="2261"/>
      <c r="DT152" s="2261"/>
    </row>
    <row r="153" spans="1:124" ht="16.3" customHeight="1" x14ac:dyDescent="0.55000000000000004">
      <c r="A153" s="4151"/>
      <c r="B153" s="4158"/>
      <c r="C153" s="4158" t="s">
        <v>42</v>
      </c>
      <c r="D153" s="4158"/>
      <c r="E153" s="4158"/>
      <c r="F153" s="4158"/>
      <c r="G153" s="4158"/>
      <c r="H153" s="4158"/>
      <c r="I153" s="4158"/>
      <c r="J153" s="4158"/>
      <c r="K153" s="4158"/>
      <c r="L153" s="4158"/>
      <c r="M153" s="4158"/>
      <c r="N153" s="4158"/>
      <c r="O153" s="4158"/>
      <c r="P153" s="4158"/>
      <c r="Q153" s="4158"/>
      <c r="R153" s="4158"/>
      <c r="S153" s="4158"/>
      <c r="T153" s="4158"/>
      <c r="U153" s="4158"/>
      <c r="V153" s="4158"/>
      <c r="W153" s="4158"/>
      <c r="X153" s="4158"/>
      <c r="Y153" s="4158"/>
      <c r="Z153" s="4158"/>
      <c r="AA153" s="4158"/>
      <c r="AB153" s="4158"/>
      <c r="AC153" s="4158"/>
      <c r="AD153" s="4158"/>
      <c r="AE153" s="4158"/>
      <c r="AF153" s="4158"/>
      <c r="AG153" s="4158"/>
      <c r="AH153" s="4158"/>
      <c r="AI153" s="4158"/>
      <c r="AJ153" s="4158"/>
      <c r="AK153" s="4158"/>
      <c r="AL153" s="4158"/>
      <c r="AM153" s="4158"/>
      <c r="AN153" s="4158"/>
      <c r="AO153" s="3876"/>
      <c r="AP153" s="4161"/>
      <c r="AQ153" s="4222"/>
      <c r="AR153" s="4222"/>
      <c r="AS153" s="4222"/>
      <c r="AT153" s="4222"/>
      <c r="AU153" s="4222"/>
      <c r="AV153" s="4222"/>
      <c r="AW153" s="4222"/>
      <c r="AX153" s="4222"/>
      <c r="AY153" s="4222"/>
      <c r="AZ153" s="4222"/>
      <c r="BA153" s="4222"/>
      <c r="BB153" s="4222"/>
      <c r="BC153" s="4223"/>
      <c r="BD153" s="800"/>
      <c r="BE153" s="4166"/>
      <c r="BF153" s="4166"/>
      <c r="BG153" s="800"/>
      <c r="BH153" s="800"/>
      <c r="BI153" s="800"/>
      <c r="BJ153" s="800"/>
      <c r="BK153" s="800"/>
      <c r="BL153" s="800"/>
      <c r="BM153" s="800"/>
      <c r="BN153" s="800"/>
      <c r="BO153" s="800"/>
      <c r="BP153" s="6636">
        <v>389.92601559321207</v>
      </c>
      <c r="BQ153" s="6526">
        <v>1.9120388792226557</v>
      </c>
      <c r="BR153" s="6637">
        <v>1.0550962990871278</v>
      </c>
      <c r="BS153" s="6637">
        <v>0.30674904688633736</v>
      </c>
      <c r="BT153" s="6526">
        <v>0.53445333167614162</v>
      </c>
      <c r="BU153" s="6526">
        <v>0.25143689483428511</v>
      </c>
      <c r="BV153" s="6526">
        <v>0.3600294255574249</v>
      </c>
      <c r="BW153" s="6526">
        <v>0.58036965251424444</v>
      </c>
      <c r="BX153" s="6526">
        <v>0.25764395000000001</v>
      </c>
      <c r="BY153" s="6526">
        <v>1.0624336400000001</v>
      </c>
      <c r="BZ153" s="6526">
        <v>0.29891261518209145</v>
      </c>
      <c r="CA153" s="6526">
        <v>0.44079136000000002</v>
      </c>
      <c r="CB153" s="6526">
        <v>0.4535713802112038</v>
      </c>
      <c r="CC153" s="6671">
        <f t="shared" si="143"/>
        <v>7.5135264751715134</v>
      </c>
      <c r="CD153" s="6526">
        <v>3.8583291087256909E-2</v>
      </c>
      <c r="CE153" s="6637">
        <v>0.6681452026033865</v>
      </c>
      <c r="CF153" s="4166"/>
      <c r="CG153" s="800"/>
      <c r="CH153" s="800"/>
      <c r="CI153" s="3899"/>
      <c r="CJ153" s="800"/>
      <c r="CK153" s="3899"/>
      <c r="CL153" s="800"/>
      <c r="CM153" s="800"/>
      <c r="CN153" s="800"/>
      <c r="CO153" s="800"/>
      <c r="CP153" s="4087"/>
      <c r="CQ153" s="790"/>
      <c r="CR153" s="6869">
        <f t="shared" si="151"/>
        <v>0.62956191151612961</v>
      </c>
      <c r="CS153" s="6896">
        <f t="shared" si="152"/>
        <v>-0.38695109648374126</v>
      </c>
      <c r="CT153" s="808"/>
      <c r="CU153" s="6924">
        <f t="shared" si="144"/>
        <v>0.70672849369064339</v>
      </c>
      <c r="CV153" s="6739"/>
      <c r="CW153" s="6953"/>
      <c r="CX153" s="6760">
        <f t="shared" si="145"/>
        <v>-2.2604066846191402</v>
      </c>
      <c r="CY153" s="2775"/>
      <c r="CZ153" s="590"/>
      <c r="DA153" s="590"/>
      <c r="DB153" s="590"/>
      <c r="DC153" s="590"/>
      <c r="DD153" s="590"/>
      <c r="DE153" s="590"/>
      <c r="DF153" s="590"/>
      <c r="DG153" s="590"/>
      <c r="DH153" s="590"/>
      <c r="DI153" s="590"/>
      <c r="DJ153" s="590"/>
      <c r="DK153" s="590"/>
      <c r="DL153" s="590"/>
      <c r="DM153" s="590"/>
      <c r="DO153" s="2261"/>
      <c r="DP153" s="2261"/>
      <c r="DS153" s="2261"/>
      <c r="DT153" s="2261"/>
    </row>
    <row r="154" spans="1:124" ht="16.3" customHeight="1" x14ac:dyDescent="0.55000000000000004">
      <c r="A154" s="4151"/>
      <c r="B154" s="4158"/>
      <c r="C154" s="4158" t="s">
        <v>14</v>
      </c>
      <c r="D154" s="4158"/>
      <c r="E154" s="6247" t="s">
        <v>1203</v>
      </c>
      <c r="F154" s="4158"/>
      <c r="G154" s="4158"/>
      <c r="H154" s="4158"/>
      <c r="I154" s="4158"/>
      <c r="J154" s="4158"/>
      <c r="K154" s="4158"/>
      <c r="L154" s="4158"/>
      <c r="M154" s="4158"/>
      <c r="N154" s="4158"/>
      <c r="O154" s="4158"/>
      <c r="P154" s="4158"/>
      <c r="Q154" s="4158"/>
      <c r="R154" s="4158"/>
      <c r="S154" s="4158"/>
      <c r="T154" s="4158"/>
      <c r="U154" s="4158"/>
      <c r="V154" s="4158"/>
      <c r="W154" s="4158"/>
      <c r="X154" s="4158"/>
      <c r="Y154" s="4158"/>
      <c r="Z154" s="4158"/>
      <c r="AA154" s="4158"/>
      <c r="AB154" s="4158"/>
      <c r="AC154" s="4158"/>
      <c r="AD154" s="4158"/>
      <c r="AE154" s="4158"/>
      <c r="AF154" s="4158"/>
      <c r="AG154" s="4158"/>
      <c r="AH154" s="4158"/>
      <c r="AI154" s="4158"/>
      <c r="AJ154" s="4158"/>
      <c r="AK154" s="4158"/>
      <c r="AL154" s="4158"/>
      <c r="AM154" s="4158"/>
      <c r="AN154" s="4158"/>
      <c r="AO154" s="3876"/>
      <c r="AP154" s="4161"/>
      <c r="AQ154" s="4222"/>
      <c r="AR154" s="4222"/>
      <c r="AS154" s="4222"/>
      <c r="AT154" s="4222"/>
      <c r="AU154" s="4222"/>
      <c r="AV154" s="4222"/>
      <c r="AW154" s="4222"/>
      <c r="AX154" s="4222"/>
      <c r="AY154" s="4222"/>
      <c r="AZ154" s="4222"/>
      <c r="BA154" s="4222"/>
      <c r="BB154" s="4222"/>
      <c r="BC154" s="4223"/>
      <c r="BD154" s="800"/>
      <c r="BE154" s="4166"/>
      <c r="BF154" s="4166"/>
      <c r="BG154" s="800"/>
      <c r="BH154" s="800"/>
      <c r="BI154" s="800"/>
      <c r="BJ154" s="800"/>
      <c r="BK154" s="800"/>
      <c r="BL154" s="800"/>
      <c r="BM154" s="800"/>
      <c r="BN154" s="800"/>
      <c r="BO154" s="800"/>
      <c r="BP154" s="6636">
        <v>39.189980544578745</v>
      </c>
      <c r="BQ154" s="6526">
        <v>2.7356366417339482</v>
      </c>
      <c r="BR154" s="6637">
        <v>2.6044904282698269</v>
      </c>
      <c r="BS154" s="6637">
        <v>2.5261414602450118</v>
      </c>
      <c r="BT154" s="6526">
        <v>2.6774053666521258</v>
      </c>
      <c r="BU154" s="6526">
        <v>2.7165191938454023</v>
      </c>
      <c r="BV154" s="6526">
        <v>2.5090587933264792</v>
      </c>
      <c r="BW154" s="6526">
        <v>2.6636662798262618</v>
      </c>
      <c r="BX154" s="6526">
        <v>2.7155570889612592</v>
      </c>
      <c r="BY154" s="6526">
        <v>2.8862041604611948</v>
      </c>
      <c r="BZ154" s="6526">
        <v>2.8815228565762507</v>
      </c>
      <c r="CA154" s="6526">
        <v>2.8460823403094975</v>
      </c>
      <c r="CB154" s="6526">
        <v>2.7827486712506793</v>
      </c>
      <c r="CC154" s="6671">
        <f t="shared" si="143"/>
        <v>32.545033281457933</v>
      </c>
      <c r="CD154" s="6526">
        <v>2.8003943140363483</v>
      </c>
      <c r="CE154" s="6637">
        <v>2.9282947744678021</v>
      </c>
      <c r="CF154" s="4166"/>
      <c r="CG154" s="800"/>
      <c r="CH154" s="800"/>
      <c r="CI154" s="4224"/>
      <c r="CJ154" s="800"/>
      <c r="CK154" s="4224"/>
      <c r="CL154" s="800"/>
      <c r="CM154" s="800"/>
      <c r="CN154" s="800"/>
      <c r="CO154" s="800"/>
      <c r="CP154" s="4087"/>
      <c r="CQ154" s="790"/>
      <c r="CR154" s="6869">
        <f t="shared" si="151"/>
        <v>0.12790046043145376</v>
      </c>
      <c r="CS154" s="6896">
        <f t="shared" si="152"/>
        <v>0.32380434619797516</v>
      </c>
      <c r="CT154" s="808"/>
      <c r="CU154" s="6924">
        <f t="shared" si="144"/>
        <v>5.7286890885041508</v>
      </c>
      <c r="CV154" s="6739"/>
      <c r="CW154" s="6953"/>
      <c r="CX154" s="6760">
        <f t="shared" si="145"/>
        <v>0.38856201850037575</v>
      </c>
      <c r="CY154" s="2775"/>
      <c r="CZ154" s="590"/>
      <c r="DA154" s="590"/>
      <c r="DB154" s="590"/>
      <c r="DC154" s="590"/>
      <c r="DD154" s="590"/>
      <c r="DE154" s="590"/>
      <c r="DF154" s="590"/>
      <c r="DG154" s="590"/>
      <c r="DH154" s="590"/>
      <c r="DI154" s="590"/>
      <c r="DJ154" s="590"/>
      <c r="DK154" s="590"/>
      <c r="DL154" s="590"/>
      <c r="DM154" s="590"/>
      <c r="DO154" s="2261"/>
      <c r="DP154" s="2261"/>
      <c r="DS154" s="2261"/>
      <c r="DT154" s="2261"/>
    </row>
    <row r="155" spans="1:124" ht="16.3" customHeight="1" x14ac:dyDescent="0.55000000000000004">
      <c r="A155" s="4151"/>
      <c r="B155" s="4158"/>
      <c r="C155" s="4158" t="s">
        <v>16</v>
      </c>
      <c r="D155" s="4158"/>
      <c r="E155" s="4158"/>
      <c r="F155" s="4158"/>
      <c r="G155" s="4158"/>
      <c r="H155" s="4158"/>
      <c r="I155" s="4158"/>
      <c r="J155" s="4158"/>
      <c r="K155" s="4158"/>
      <c r="L155" s="4158"/>
      <c r="M155" s="4158"/>
      <c r="N155" s="4158"/>
      <c r="O155" s="4158"/>
      <c r="P155" s="4158"/>
      <c r="Q155" s="4158"/>
      <c r="R155" s="4158"/>
      <c r="S155" s="4158"/>
      <c r="T155" s="4158"/>
      <c r="U155" s="4158"/>
      <c r="V155" s="4158"/>
      <c r="W155" s="4158"/>
      <c r="X155" s="4158"/>
      <c r="Y155" s="4158"/>
      <c r="Z155" s="4158"/>
      <c r="AA155" s="4158"/>
      <c r="AB155" s="4158"/>
      <c r="AC155" s="4158"/>
      <c r="AD155" s="4158"/>
      <c r="AE155" s="4158"/>
      <c r="AF155" s="4158"/>
      <c r="AG155" s="4158"/>
      <c r="AH155" s="4158"/>
      <c r="AI155" s="4158"/>
      <c r="AJ155" s="4158"/>
      <c r="AK155" s="4158"/>
      <c r="AL155" s="4158"/>
      <c r="AM155" s="4158"/>
      <c r="AN155" s="4158"/>
      <c r="AO155" s="3876"/>
      <c r="AP155" s="4161"/>
      <c r="AQ155" s="4222"/>
      <c r="AR155" s="4222"/>
      <c r="AS155" s="4222"/>
      <c r="AT155" s="4222"/>
      <c r="AU155" s="4222"/>
      <c r="AV155" s="4222"/>
      <c r="AW155" s="4222"/>
      <c r="AX155" s="4222"/>
      <c r="AY155" s="4222"/>
      <c r="AZ155" s="4222"/>
      <c r="BA155" s="4222"/>
      <c r="BB155" s="4222"/>
      <c r="BC155" s="4223"/>
      <c r="BD155" s="800"/>
      <c r="BE155" s="4166"/>
      <c r="BF155" s="4166"/>
      <c r="BG155" s="800"/>
      <c r="BH155" s="800"/>
      <c r="BI155" s="800"/>
      <c r="BJ155" s="800"/>
      <c r="BK155" s="800"/>
      <c r="BL155" s="800"/>
      <c r="BM155" s="800"/>
      <c r="BN155" s="800"/>
      <c r="BO155" s="800"/>
      <c r="BP155" s="6636">
        <v>39.104328940944278</v>
      </c>
      <c r="BQ155" s="6526">
        <v>2.8231322481594132</v>
      </c>
      <c r="BR155" s="6637">
        <v>2.631172182064244</v>
      </c>
      <c r="BS155" s="6637">
        <v>2.6555944726468526</v>
      </c>
      <c r="BT155" s="6526">
        <v>2.5216136510208389</v>
      </c>
      <c r="BU155" s="6526">
        <v>2.183118616486031</v>
      </c>
      <c r="BV155" s="6526">
        <v>2.5090419692190506</v>
      </c>
      <c r="BW155" s="6526">
        <v>2.9331771671932181</v>
      </c>
      <c r="BX155" s="6526">
        <v>2.7331082265883828</v>
      </c>
      <c r="BY155" s="6526">
        <v>3.3452646031029536</v>
      </c>
      <c r="BZ155" s="6526">
        <v>2.9736095406943264</v>
      </c>
      <c r="CA155" s="6526">
        <v>7.1911757692133742</v>
      </c>
      <c r="CB155" s="6526">
        <v>8.9087711047988147</v>
      </c>
      <c r="CC155" s="6671">
        <f t="shared" si="143"/>
        <v>43.4087795511875</v>
      </c>
      <c r="CD155" s="6526">
        <v>2.4446127378838929</v>
      </c>
      <c r="CE155" s="6637">
        <v>2.801714735479139</v>
      </c>
      <c r="CF155" s="4166"/>
      <c r="CG155" s="800"/>
      <c r="CH155" s="800"/>
      <c r="CI155" s="4224"/>
      <c r="CJ155" s="800"/>
      <c r="CK155" s="4224"/>
      <c r="CL155" s="800"/>
      <c r="CM155" s="800"/>
      <c r="CN155" s="800"/>
      <c r="CO155" s="800"/>
      <c r="CP155" s="4087"/>
      <c r="CQ155" s="790"/>
      <c r="CR155" s="6869">
        <f t="shared" si="151"/>
        <v>0.35710199759524608</v>
      </c>
      <c r="CS155" s="6896">
        <f t="shared" si="152"/>
        <v>0.17054255341489499</v>
      </c>
      <c r="CT155" s="808"/>
      <c r="CU155" s="6924">
        <f t="shared" si="144"/>
        <v>5.2463274733630314</v>
      </c>
      <c r="CV155" s="6739"/>
      <c r="CW155" s="6953"/>
      <c r="CX155" s="6760">
        <f t="shared" si="145"/>
        <v>-0.20797695686062578</v>
      </c>
      <c r="CY155" s="2775"/>
      <c r="CZ155" s="590"/>
      <c r="DA155" s="590"/>
      <c r="DB155" s="590"/>
      <c r="DC155" s="590"/>
      <c r="DD155" s="590"/>
      <c r="DE155" s="590"/>
      <c r="DF155" s="590"/>
      <c r="DG155" s="590"/>
      <c r="DH155" s="590"/>
      <c r="DI155" s="590"/>
      <c r="DJ155" s="590"/>
      <c r="DK155" s="590"/>
      <c r="DL155" s="590"/>
      <c r="DM155" s="590"/>
      <c r="DO155" s="2261"/>
      <c r="DP155" s="2261"/>
      <c r="DS155" s="2261"/>
      <c r="DT155" s="2261"/>
    </row>
    <row r="156" spans="1:124" ht="16.3" customHeight="1" x14ac:dyDescent="0.55000000000000004">
      <c r="A156" s="4151"/>
      <c r="B156" s="4174" t="s">
        <v>17</v>
      </c>
      <c r="C156" s="4175"/>
      <c r="D156" s="4175"/>
      <c r="E156" s="4175"/>
      <c r="F156" s="4175"/>
      <c r="G156" s="4175"/>
      <c r="H156" s="4175"/>
      <c r="I156" s="4175"/>
      <c r="J156" s="4175"/>
      <c r="K156" s="4175"/>
      <c r="L156" s="4175"/>
      <c r="M156" s="4175"/>
      <c r="N156" s="4175"/>
      <c r="O156" s="4175"/>
      <c r="P156" s="4175"/>
      <c r="Q156" s="4175"/>
      <c r="R156" s="4175"/>
      <c r="S156" s="4175"/>
      <c r="T156" s="4175"/>
      <c r="U156" s="4175"/>
      <c r="V156" s="4175"/>
      <c r="W156" s="4175"/>
      <c r="X156" s="4175"/>
      <c r="Y156" s="4175"/>
      <c r="Z156" s="4175"/>
      <c r="AA156" s="4175"/>
      <c r="AB156" s="4175"/>
      <c r="AC156" s="4175"/>
      <c r="AD156" s="4175"/>
      <c r="AE156" s="4175"/>
      <c r="AF156" s="4175"/>
      <c r="AG156" s="4175"/>
      <c r="AH156" s="4175"/>
      <c r="AI156" s="4175"/>
      <c r="AJ156" s="4175"/>
      <c r="AK156" s="4175"/>
      <c r="AL156" s="4175"/>
      <c r="AM156" s="4175"/>
      <c r="AN156" s="4175"/>
      <c r="AO156" s="4176"/>
      <c r="AP156" s="4177"/>
      <c r="AQ156" s="4225"/>
      <c r="AR156" s="4225"/>
      <c r="AS156" s="4225"/>
      <c r="AT156" s="4225"/>
      <c r="AU156" s="4225"/>
      <c r="AV156" s="4225"/>
      <c r="AW156" s="4225"/>
      <c r="AX156" s="4225"/>
      <c r="AY156" s="4225"/>
      <c r="AZ156" s="4225"/>
      <c r="BA156" s="4225"/>
      <c r="BB156" s="4225"/>
      <c r="BC156" s="4226"/>
      <c r="BD156" s="814"/>
      <c r="BE156" s="814"/>
      <c r="BF156" s="814"/>
      <c r="BG156" s="814"/>
      <c r="BH156" s="814"/>
      <c r="BI156" s="814"/>
      <c r="BJ156" s="814"/>
      <c r="BK156" s="814"/>
      <c r="BL156" s="814"/>
      <c r="BM156" s="814"/>
      <c r="BN156" s="814"/>
      <c r="BO156" s="814"/>
      <c r="BP156" s="6640">
        <v>48.939202750621597</v>
      </c>
      <c r="BQ156" s="6672">
        <f>BQ145-BQ150-BQ157</f>
        <v>10.406786212515296</v>
      </c>
      <c r="BR156" s="6672">
        <f t="shared" ref="BR156" si="184">BR145-BR150-BR157</f>
        <v>-1.2838893361205201</v>
      </c>
      <c r="BS156" s="6672">
        <f t="shared" ref="BS156" si="185">BS145-BS150-BS157</f>
        <v>5.7066022764471329</v>
      </c>
      <c r="BT156" s="6672">
        <f t="shared" ref="BT156" si="186">BT145-BT150-BT157</f>
        <v>5.5789361155570818</v>
      </c>
      <c r="BU156" s="6672">
        <f t="shared" ref="BU156" si="187">BU145-BU150-BU157</f>
        <v>4.0036403617705218E-2</v>
      </c>
      <c r="BV156" s="6672">
        <f t="shared" ref="BV156" si="188">BV145-BV150-BV157</f>
        <v>11.117805713351164</v>
      </c>
      <c r="BW156" s="6672">
        <f t="shared" ref="BW156" si="189">BW145-BW150-BW157</f>
        <v>3.9280228807531898</v>
      </c>
      <c r="BX156" s="6672">
        <f t="shared" ref="BX156" si="190">BX145-BX150-BX157</f>
        <v>-5.4545131547366594</v>
      </c>
      <c r="BY156" s="6672">
        <f t="shared" ref="BY156" si="191">BY145-BY150-BY157</f>
        <v>6.0505012123430237</v>
      </c>
      <c r="BZ156" s="6672">
        <f t="shared" ref="BZ156" si="192">BZ145-BZ150-BZ157</f>
        <v>-5.2185853730272775</v>
      </c>
      <c r="CA156" s="6672">
        <f t="shared" ref="CA156" si="193">CA145-CA150-CA157</f>
        <v>-5.3573387273088553</v>
      </c>
      <c r="CB156" s="6672">
        <f t="shared" ref="CB156" si="194">CB145-CB150-CB157</f>
        <v>3.6545042139473303</v>
      </c>
      <c r="CC156" s="6673">
        <f t="shared" si="143"/>
        <v>29.168868437338606</v>
      </c>
      <c r="CD156" s="6672">
        <f t="shared" ref="CD156" si="195">CD145-CD150-CD157</f>
        <v>10.072277104190986</v>
      </c>
      <c r="CE156" s="6672">
        <f t="shared" ref="CE156" si="196">CE145-CE150-CE157</f>
        <v>-3.7579981951445518E-2</v>
      </c>
      <c r="CF156" s="814"/>
      <c r="CG156" s="814"/>
      <c r="CH156" s="814"/>
      <c r="CI156" s="814"/>
      <c r="CJ156" s="814"/>
      <c r="CK156" s="814"/>
      <c r="CL156" s="814"/>
      <c r="CM156" s="814"/>
      <c r="CN156" s="814"/>
      <c r="CO156" s="814"/>
      <c r="CP156" s="4087"/>
      <c r="CQ156" s="790"/>
      <c r="CR156" s="6899">
        <f t="shared" si="151"/>
        <v>-10.109857086142432</v>
      </c>
      <c r="CS156" s="6900">
        <f t="shared" si="152"/>
        <v>1.2463093541690746</v>
      </c>
      <c r="CT156" s="817"/>
      <c r="CU156" s="6766">
        <f t="shared" si="144"/>
        <v>10.034697122239541</v>
      </c>
      <c r="CV156" s="6739"/>
      <c r="CW156" s="6953"/>
      <c r="CX156" s="6761">
        <f t="shared" si="145"/>
        <v>0.91180024584476449</v>
      </c>
      <c r="CY156" s="2775"/>
      <c r="CZ156" s="590"/>
      <c r="DA156" s="590"/>
      <c r="DB156" s="590"/>
      <c r="DC156" s="590"/>
      <c r="DD156" s="590"/>
      <c r="DE156" s="590"/>
      <c r="DF156" s="590"/>
      <c r="DG156" s="590"/>
      <c r="DH156" s="590"/>
      <c r="DI156" s="590"/>
      <c r="DJ156" s="590"/>
      <c r="DK156" s="590"/>
      <c r="DL156" s="590"/>
      <c r="DM156" s="590"/>
      <c r="DO156" s="2261"/>
      <c r="DP156" s="2261"/>
      <c r="DS156" s="2261"/>
      <c r="DT156" s="2261"/>
    </row>
    <row r="157" spans="1:124" ht="16.3" customHeight="1" thickBot="1" x14ac:dyDescent="0.6">
      <c r="A157" s="4187"/>
      <c r="B157" s="1244"/>
      <c r="C157" s="1244" t="s">
        <v>600</v>
      </c>
      <c r="D157" s="1244"/>
      <c r="E157" s="1244"/>
      <c r="F157" s="1244"/>
      <c r="G157" s="1244"/>
      <c r="H157" s="1244"/>
      <c r="I157" s="1244"/>
      <c r="J157" s="1244"/>
      <c r="K157" s="1244"/>
      <c r="L157" s="1244"/>
      <c r="M157" s="1244"/>
      <c r="N157" s="1244"/>
      <c r="O157" s="1244"/>
      <c r="P157" s="1244"/>
      <c r="Q157" s="1244"/>
      <c r="R157" s="1244"/>
      <c r="S157" s="1244"/>
      <c r="T157" s="1244"/>
      <c r="U157" s="1244"/>
      <c r="V157" s="1244"/>
      <c r="W157" s="1244"/>
      <c r="X157" s="1244"/>
      <c r="Y157" s="1244"/>
      <c r="Z157" s="1244"/>
      <c r="AA157" s="1244"/>
      <c r="AB157" s="1244"/>
      <c r="AC157" s="1244"/>
      <c r="AD157" s="1244"/>
      <c r="AE157" s="1244"/>
      <c r="AF157" s="1244"/>
      <c r="AG157" s="1244"/>
      <c r="AH157" s="1244"/>
      <c r="AI157" s="1244"/>
      <c r="AJ157" s="1244"/>
      <c r="AK157" s="1244"/>
      <c r="AL157" s="1244"/>
      <c r="AM157" s="1244"/>
      <c r="AN157" s="1244"/>
      <c r="AO157" s="1244"/>
      <c r="AP157" s="4227"/>
      <c r="AQ157" s="4228"/>
      <c r="AR157" s="4228"/>
      <c r="AS157" s="4228"/>
      <c r="AT157" s="4228"/>
      <c r="AU157" s="4228"/>
      <c r="AV157" s="4228"/>
      <c r="AW157" s="4228"/>
      <c r="AX157" s="4228"/>
      <c r="AY157" s="4228"/>
      <c r="AZ157" s="4228"/>
      <c r="BA157" s="4228"/>
      <c r="BB157" s="4228"/>
      <c r="BC157" s="4229"/>
      <c r="BD157" s="4193"/>
      <c r="BE157" s="4193"/>
      <c r="BF157" s="4193"/>
      <c r="BG157" s="4193"/>
      <c r="BH157" s="4193"/>
      <c r="BI157" s="4230"/>
      <c r="BJ157" s="4230"/>
      <c r="BK157" s="4230"/>
      <c r="BL157" s="4230"/>
      <c r="BM157" s="4230"/>
      <c r="BN157" s="4230"/>
      <c r="BO157" s="4230"/>
      <c r="BP157" s="6643">
        <v>71.621675288755753</v>
      </c>
      <c r="BQ157" s="6641">
        <v>-1.9722689027622273</v>
      </c>
      <c r="BR157" s="6642">
        <v>19.021983068000008</v>
      </c>
      <c r="BS157" s="6641">
        <v>4.6599630400000001</v>
      </c>
      <c r="BT157" s="6641">
        <v>5.2626658879999999</v>
      </c>
      <c r="BU157" s="6641">
        <v>14.641657992000003</v>
      </c>
      <c r="BV157" s="6674">
        <v>3.36895758</v>
      </c>
      <c r="BW157" s="6674">
        <v>7.2063283160000005</v>
      </c>
      <c r="BX157" s="6674">
        <v>19.519862480000008</v>
      </c>
      <c r="BY157" s="6674">
        <v>3.7466447120000002</v>
      </c>
      <c r="BZ157" s="6674">
        <v>10.425252797237228</v>
      </c>
      <c r="CA157" s="6674">
        <v>13.574222080002416</v>
      </c>
      <c r="CB157" s="6674">
        <v>9.4760877497436518</v>
      </c>
      <c r="CC157" s="6675">
        <f t="shared" si="143"/>
        <v>108.93135680022108</v>
      </c>
      <c r="CD157" s="6641">
        <v>2.0102089045504115</v>
      </c>
      <c r="CE157" s="6642">
        <v>12.331995619327358</v>
      </c>
      <c r="CF157" s="4193"/>
      <c r="CG157" s="4193"/>
      <c r="CH157" s="4193"/>
      <c r="CI157" s="4231"/>
      <c r="CJ157" s="4230"/>
      <c r="CK157" s="4231"/>
      <c r="CL157" s="4230"/>
      <c r="CM157" s="4230"/>
      <c r="CN157" s="4230"/>
      <c r="CO157" s="4230"/>
      <c r="CP157" s="4232"/>
      <c r="CQ157" s="4233"/>
      <c r="CR157" s="6901">
        <f t="shared" si="151"/>
        <v>10.321786714776946</v>
      </c>
      <c r="CS157" s="6908">
        <f t="shared" si="152"/>
        <v>-6.6899874486726496</v>
      </c>
      <c r="CT157" s="818"/>
      <c r="CU157" s="6958">
        <f t="shared" si="144"/>
        <v>14.34220452387777</v>
      </c>
      <c r="CV157" s="6970"/>
      <c r="CW157" s="6971"/>
      <c r="CX157" s="6764">
        <f t="shared" si="145"/>
        <v>-2.7075096413600104</v>
      </c>
      <c r="CY157" s="2775"/>
      <c r="CZ157" s="590"/>
      <c r="DA157" s="590"/>
      <c r="DB157" s="590"/>
      <c r="DC157" s="590"/>
      <c r="DD157" s="590"/>
      <c r="DE157" s="590"/>
      <c r="DF157" s="590"/>
      <c r="DG157" s="590"/>
      <c r="DH157" s="590"/>
      <c r="DI157" s="590"/>
      <c r="DJ157" s="590"/>
      <c r="DK157" s="590"/>
      <c r="DL157" s="590"/>
      <c r="DM157" s="590"/>
      <c r="DO157" s="2261"/>
      <c r="DP157" s="2261"/>
      <c r="DS157" s="2261"/>
      <c r="DT157" s="2261"/>
    </row>
    <row r="158" spans="1:124" ht="16.3" customHeight="1" x14ac:dyDescent="0.55000000000000004">
      <c r="A158" s="4197" t="s">
        <v>869</v>
      </c>
      <c r="B158" s="571" t="s">
        <v>598</v>
      </c>
      <c r="C158" s="1028"/>
      <c r="D158" s="1028"/>
      <c r="E158" s="1028"/>
      <c r="F158" s="1028"/>
      <c r="G158" s="1028"/>
      <c r="H158" s="1028"/>
      <c r="I158" s="1028"/>
      <c r="J158" s="1028"/>
      <c r="K158" s="1028"/>
      <c r="L158" s="1028"/>
      <c r="M158" s="1028"/>
      <c r="N158" s="1028"/>
      <c r="O158" s="1028"/>
      <c r="P158" s="1028"/>
      <c r="Q158" s="1028"/>
      <c r="R158" s="1028"/>
      <c r="S158" s="1028"/>
      <c r="T158" s="1028"/>
      <c r="U158" s="1028"/>
      <c r="V158" s="1028"/>
      <c r="W158" s="1028"/>
      <c r="X158" s="1028"/>
      <c r="Y158" s="1028"/>
      <c r="Z158" s="1028"/>
      <c r="AA158" s="1028"/>
      <c r="AB158" s="1028"/>
      <c r="AC158" s="1028"/>
      <c r="AD158" s="1028"/>
      <c r="AE158" s="1028"/>
      <c r="AF158" s="1028"/>
      <c r="AG158" s="1028"/>
      <c r="AH158" s="1028"/>
      <c r="AI158" s="1028"/>
      <c r="AJ158" s="1028"/>
      <c r="AK158" s="1028"/>
      <c r="AL158" s="1028"/>
      <c r="AM158" s="1028"/>
      <c r="AN158" s="1028"/>
      <c r="AO158" s="4142"/>
      <c r="AP158" s="4143"/>
      <c r="AQ158" s="4214">
        <v>51.166853209999999</v>
      </c>
      <c r="AR158" s="4214">
        <v>76.878026149999997</v>
      </c>
      <c r="AS158" s="4214">
        <v>59.158128119999994</v>
      </c>
      <c r="AT158" s="4214">
        <v>41.978587140000002</v>
      </c>
      <c r="AU158" s="4214">
        <v>56.237094429999992</v>
      </c>
      <c r="AV158" s="4214">
        <v>56.115080540000001</v>
      </c>
      <c r="AW158" s="4214">
        <v>50.005751959999998</v>
      </c>
      <c r="AX158" s="4214">
        <v>106.42738208</v>
      </c>
      <c r="AY158" s="4214">
        <v>43.093059099999998</v>
      </c>
      <c r="AZ158" s="4214">
        <v>279.91024176999997</v>
      </c>
      <c r="BA158" s="4214">
        <v>83.761107299999992</v>
      </c>
      <c r="BB158" s="4214">
        <v>57.471112550000001</v>
      </c>
      <c r="BC158" s="4215">
        <v>962.20242435</v>
      </c>
      <c r="BD158" s="789">
        <f>BD159+BD160+BD161+BD162</f>
        <v>144.55177593000002</v>
      </c>
      <c r="BE158" s="789">
        <f t="shared" ref="BE158:BK158" si="197">BE159+BE160+BE161+BE162</f>
        <v>112.99635718000002</v>
      </c>
      <c r="BF158" s="789">
        <f t="shared" si="197"/>
        <v>78.427457389999987</v>
      </c>
      <c r="BG158" s="789">
        <f t="shared" si="197"/>
        <v>88.031747219999986</v>
      </c>
      <c r="BH158" s="789">
        <f t="shared" si="197"/>
        <v>80.473403099999999</v>
      </c>
      <c r="BI158" s="789">
        <f t="shared" si="197"/>
        <v>62.959414250000002</v>
      </c>
      <c r="BJ158" s="789">
        <f t="shared" si="197"/>
        <v>150.83397558999999</v>
      </c>
      <c r="BK158" s="789">
        <f t="shared" si="197"/>
        <v>103.38559555000001</v>
      </c>
      <c r="BL158" s="789">
        <f>BL159+BL160+BL161+BL162</f>
        <v>326.82922393999996</v>
      </c>
      <c r="BM158" s="789">
        <f>BM159+BM160+BM161+BM162</f>
        <v>247.29960561000001</v>
      </c>
      <c r="BN158" s="789">
        <f>BN159+BN160+BN161+BN162</f>
        <v>113.64098602</v>
      </c>
      <c r="BO158" s="789">
        <f>BO159+BO160+BO161+BO162</f>
        <v>101.10476917000001</v>
      </c>
      <c r="BP158" s="6688">
        <f>SUM(BP159:BP162)</f>
        <v>1610.53431095</v>
      </c>
      <c r="BQ158" s="6553">
        <f>SUM(BQ159:BQ162)</f>
        <v>98.641518840000003</v>
      </c>
      <c r="BR158" s="6553">
        <f t="shared" ref="BR158" si="198">SUM(BR159:BR162)</f>
        <v>225.45248805999998</v>
      </c>
      <c r="BS158" s="6553">
        <f t="shared" ref="BS158" si="199">SUM(BS159:BS162)</f>
        <v>96.966151910000008</v>
      </c>
      <c r="BT158" s="6553">
        <f t="shared" ref="BT158" si="200">SUM(BT159:BT162)</f>
        <v>102.94316917000002</v>
      </c>
      <c r="BU158" s="6553">
        <f t="shared" ref="BU158" si="201">SUM(BU159:BU162)</f>
        <v>115.26143298</v>
      </c>
      <c r="BV158" s="6553">
        <f t="shared" ref="BV158" si="202">SUM(BV159:BV162)</f>
        <v>98.587445670000008</v>
      </c>
      <c r="BW158" s="6553">
        <f t="shared" ref="BW158" si="203">SUM(BW159:BW162)</f>
        <v>220.04821280000002</v>
      </c>
      <c r="BX158" s="6553">
        <f t="shared" ref="BX158" si="204">SUM(BX159:BX162)</f>
        <v>152.26669649999999</v>
      </c>
      <c r="BY158" s="6553">
        <f t="shared" ref="BY158" si="205">SUM(BY159:BY162)</f>
        <v>343.26258101000002</v>
      </c>
      <c r="BZ158" s="6553">
        <f t="shared" ref="BZ158" si="206">SUM(BZ159:BZ162)</f>
        <v>212.05282579999999</v>
      </c>
      <c r="CA158" s="6553">
        <f t="shared" ref="CA158" si="207">SUM(CA159:CA162)</f>
        <v>152.40701428</v>
      </c>
      <c r="CB158" s="6553">
        <f t="shared" ref="CB158" si="208">SUM(CB159:CB162)</f>
        <v>158.27465648</v>
      </c>
      <c r="CC158" s="6670">
        <v>1976.1641934999998</v>
      </c>
      <c r="CD158" s="6553">
        <f t="shared" ref="CD158" si="209">SUM(CD159:CD162)</f>
        <v>346.59578597000001</v>
      </c>
      <c r="CE158" s="6553">
        <f t="shared" ref="CE158" si="210">SUM(CE159:CE162)</f>
        <v>157.50233464999999</v>
      </c>
      <c r="CF158" s="789"/>
      <c r="CG158" s="789"/>
      <c r="CH158" s="789"/>
      <c r="CI158" s="789"/>
      <c r="CJ158" s="789"/>
      <c r="CK158" s="789"/>
      <c r="CL158" s="789"/>
      <c r="CM158" s="789"/>
      <c r="CN158" s="789"/>
      <c r="CO158" s="789"/>
      <c r="CP158" s="4087"/>
      <c r="CQ158" s="790"/>
      <c r="CR158" s="6873">
        <f t="shared" si="151"/>
        <v>-189.09345132000001</v>
      </c>
      <c r="CS158" s="6874">
        <f t="shared" si="152"/>
        <v>-67.950153409999984</v>
      </c>
      <c r="CT158" s="795"/>
      <c r="CU158" s="6765">
        <f t="shared" si="144"/>
        <v>504.09812062000003</v>
      </c>
      <c r="CV158" s="6739"/>
      <c r="CW158" s="6953"/>
      <c r="CX158" s="6757">
        <f t="shared" si="145"/>
        <v>180.00411372000008</v>
      </c>
      <c r="CY158" s="2775"/>
      <c r="CZ158" s="590"/>
      <c r="DA158" s="590"/>
      <c r="DB158" s="590"/>
      <c r="DC158" s="590"/>
      <c r="DD158" s="590"/>
      <c r="DE158" s="590"/>
      <c r="DF158" s="590"/>
      <c r="DG158" s="590"/>
      <c r="DH158" s="590"/>
      <c r="DI158" s="590"/>
      <c r="DJ158" s="590"/>
      <c r="DK158" s="590"/>
      <c r="DL158" s="590"/>
      <c r="DM158" s="590"/>
      <c r="DO158" s="4093">
        <f t="shared" ref="DO158:DO170" si="211">AVERAGE(BD158:BL158)</f>
        <v>127.60988334999999</v>
      </c>
      <c r="DP158" s="4093">
        <f t="shared" ref="DP158:DP170" si="212">AVERAGE(BQ158:BY158)</f>
        <v>161.49218854888889</v>
      </c>
      <c r="DS158" s="2261"/>
      <c r="DT158" s="2261"/>
    </row>
    <row r="159" spans="1:124" ht="16.3" customHeight="1" x14ac:dyDescent="0.55000000000000004">
      <c r="A159" s="4151"/>
      <c r="B159" s="1028"/>
      <c r="C159" s="1028" t="s">
        <v>10</v>
      </c>
      <c r="D159" s="1028"/>
      <c r="E159" s="1028"/>
      <c r="F159" s="1028"/>
      <c r="G159" s="1028"/>
      <c r="H159" s="1028"/>
      <c r="I159" s="1028"/>
      <c r="J159" s="1028"/>
      <c r="K159" s="1028"/>
      <c r="L159" s="1028"/>
      <c r="M159" s="1028"/>
      <c r="N159" s="1028"/>
      <c r="O159" s="1028"/>
      <c r="P159" s="1028"/>
      <c r="Q159" s="1028"/>
      <c r="R159" s="1028"/>
      <c r="S159" s="1028"/>
      <c r="T159" s="1028"/>
      <c r="U159" s="1028"/>
      <c r="V159" s="1028"/>
      <c r="W159" s="1028"/>
      <c r="X159" s="1028"/>
      <c r="Y159" s="1028"/>
      <c r="Z159" s="1028"/>
      <c r="AA159" s="1028"/>
      <c r="AB159" s="1028"/>
      <c r="AC159" s="1028"/>
      <c r="AD159" s="1028"/>
      <c r="AE159" s="1028"/>
      <c r="AF159" s="1028"/>
      <c r="AG159" s="1028"/>
      <c r="AH159" s="1028"/>
      <c r="AI159" s="1028"/>
      <c r="AJ159" s="1028"/>
      <c r="AK159" s="1028"/>
      <c r="AL159" s="1028"/>
      <c r="AM159" s="1028"/>
      <c r="AN159" s="1028"/>
      <c r="AO159" s="4142"/>
      <c r="AP159" s="4143"/>
      <c r="AQ159" s="4214">
        <v>35.208300289999997</v>
      </c>
      <c r="AR159" s="4214">
        <v>54.624340959999998</v>
      </c>
      <c r="AS159" s="4214">
        <v>36.55788664</v>
      </c>
      <c r="AT159" s="4214">
        <v>27.19717399</v>
      </c>
      <c r="AU159" s="4214">
        <v>38.848556049999999</v>
      </c>
      <c r="AV159" s="4214">
        <v>32.830734550000003</v>
      </c>
      <c r="AW159" s="4214">
        <v>32.209519419999999</v>
      </c>
      <c r="AX159" s="4214">
        <v>76.26501863</v>
      </c>
      <c r="AY159" s="4214">
        <v>26.62974981</v>
      </c>
      <c r="AZ159" s="4214">
        <v>252.38444805</v>
      </c>
      <c r="BA159" s="4214">
        <v>65.409374990000003</v>
      </c>
      <c r="BB159" s="4214">
        <v>39.972029810000002</v>
      </c>
      <c r="BC159" s="4215">
        <v>718.1371331900001</v>
      </c>
      <c r="BD159" s="789">
        <v>115.34696728</v>
      </c>
      <c r="BE159" s="3946">
        <v>92.381803790000006</v>
      </c>
      <c r="BF159" s="3946">
        <v>56.770690479999999</v>
      </c>
      <c r="BG159" s="789">
        <v>60.714873619999999</v>
      </c>
      <c r="BH159" s="789">
        <v>51.727680390000003</v>
      </c>
      <c r="BI159" s="789">
        <v>40.41589888</v>
      </c>
      <c r="BJ159" s="789">
        <v>118.24899814</v>
      </c>
      <c r="BK159" s="789">
        <v>72.17084448</v>
      </c>
      <c r="BL159" s="789">
        <v>277.51533178</v>
      </c>
      <c r="BM159" s="789">
        <v>205.48348873</v>
      </c>
      <c r="BN159" s="789">
        <v>88.649410230000001</v>
      </c>
      <c r="BO159" s="789">
        <v>68.754697820000004</v>
      </c>
      <c r="BP159" s="6689">
        <v>1248.1806856200001</v>
      </c>
      <c r="BQ159" s="6553">
        <v>65.130045139999993</v>
      </c>
      <c r="BR159" s="6632">
        <v>186.68648873999999</v>
      </c>
      <c r="BS159" s="6632">
        <v>74.432348340000004</v>
      </c>
      <c r="BT159" s="6553">
        <v>78.435447730000007</v>
      </c>
      <c r="BU159" s="6553">
        <v>86.414820919999997</v>
      </c>
      <c r="BV159" s="6553">
        <v>61.379269280000003</v>
      </c>
      <c r="BW159" s="6553">
        <v>160.55033344</v>
      </c>
      <c r="BX159" s="6553">
        <v>101.614431</v>
      </c>
      <c r="BY159" s="6553">
        <v>275.30587992</v>
      </c>
      <c r="BZ159" s="6553">
        <v>151.87770745</v>
      </c>
      <c r="CA159" s="6553">
        <v>101.6927129</v>
      </c>
      <c r="CB159" s="6553">
        <v>102.49592247</v>
      </c>
      <c r="CC159" s="6670">
        <v>1446.01540733</v>
      </c>
      <c r="CD159" s="6553">
        <v>278.91641041000003</v>
      </c>
      <c r="CE159" s="6632">
        <v>107.02892429000001</v>
      </c>
      <c r="CF159" s="3946"/>
      <c r="CG159" s="789"/>
      <c r="CH159" s="789"/>
      <c r="CI159" s="3948"/>
      <c r="CJ159" s="789"/>
      <c r="CK159" s="3948"/>
      <c r="CL159" s="3948"/>
      <c r="CM159" s="789"/>
      <c r="CN159" s="789"/>
      <c r="CO159" s="789"/>
      <c r="CP159" s="4087"/>
      <c r="CQ159" s="790"/>
      <c r="CR159" s="6873">
        <f t="shared" si="151"/>
        <v>-171.88748612000001</v>
      </c>
      <c r="CS159" s="6874">
        <f t="shared" si="152"/>
        <v>-79.657564449999981</v>
      </c>
      <c r="CT159" s="795"/>
      <c r="CU159" s="6765">
        <f t="shared" si="144"/>
        <v>385.94533470000005</v>
      </c>
      <c r="CV159" s="6739"/>
      <c r="CW159" s="6953"/>
      <c r="CX159" s="6757">
        <f t="shared" si="145"/>
        <v>134.12880082000007</v>
      </c>
      <c r="CY159" s="2775"/>
      <c r="CZ159" s="590"/>
      <c r="DA159" s="590"/>
      <c r="DB159" s="590"/>
      <c r="DC159" s="590"/>
      <c r="DD159" s="590"/>
      <c r="DE159" s="590"/>
      <c r="DF159" s="590"/>
      <c r="DG159" s="590"/>
      <c r="DH159" s="590"/>
      <c r="DI159" s="590"/>
      <c r="DJ159" s="590"/>
      <c r="DK159" s="590"/>
      <c r="DL159" s="590"/>
      <c r="DM159" s="590"/>
      <c r="DO159" s="4093">
        <f t="shared" si="211"/>
        <v>98.365898759999993</v>
      </c>
      <c r="DP159" s="4093">
        <f t="shared" si="212"/>
        <v>121.10545161222223</v>
      </c>
      <c r="DS159" s="2261"/>
      <c r="DT159" s="2261"/>
    </row>
    <row r="160" spans="1:124" ht="16.3" customHeight="1" x14ac:dyDescent="0.55000000000000004">
      <c r="A160" s="4151"/>
      <c r="B160" s="1028"/>
      <c r="C160" s="1028" t="s">
        <v>6</v>
      </c>
      <c r="D160" s="1028"/>
      <c r="E160" s="1028"/>
      <c r="F160" s="1028"/>
      <c r="G160" s="1028"/>
      <c r="H160" s="1028"/>
      <c r="I160" s="1028"/>
      <c r="J160" s="1028"/>
      <c r="K160" s="1028"/>
      <c r="L160" s="1028"/>
      <c r="M160" s="1028"/>
      <c r="N160" s="1028"/>
      <c r="O160" s="1028"/>
      <c r="P160" s="1028"/>
      <c r="Q160" s="1028"/>
      <c r="R160" s="1028"/>
      <c r="S160" s="1028"/>
      <c r="T160" s="1028"/>
      <c r="U160" s="1028"/>
      <c r="V160" s="1028"/>
      <c r="W160" s="1028"/>
      <c r="X160" s="1028"/>
      <c r="Y160" s="1028"/>
      <c r="Z160" s="1028"/>
      <c r="AA160" s="1028"/>
      <c r="AB160" s="1028"/>
      <c r="AC160" s="1028"/>
      <c r="AD160" s="1028"/>
      <c r="AE160" s="1028"/>
      <c r="AF160" s="1028"/>
      <c r="AG160" s="1028"/>
      <c r="AH160" s="1028"/>
      <c r="AI160" s="1028"/>
      <c r="AJ160" s="1028"/>
      <c r="AK160" s="1028"/>
      <c r="AL160" s="1028"/>
      <c r="AM160" s="1028"/>
      <c r="AN160" s="1028"/>
      <c r="AO160" s="4142"/>
      <c r="AP160" s="4143"/>
      <c r="AQ160" s="4214">
        <v>2.2492078100000001</v>
      </c>
      <c r="AR160" s="4214">
        <v>15.326399090000001</v>
      </c>
      <c r="AS160" s="4214">
        <v>9.97892285</v>
      </c>
      <c r="AT160" s="4214">
        <v>8.0602548600000006</v>
      </c>
      <c r="AU160" s="4214">
        <v>10.574178959999999</v>
      </c>
      <c r="AV160" s="4214">
        <v>11.279598180000001</v>
      </c>
      <c r="AW160" s="4214">
        <v>9.4175660299999997</v>
      </c>
      <c r="AX160" s="4214">
        <v>22.97286021</v>
      </c>
      <c r="AY160" s="4214">
        <v>2.5173947499999998</v>
      </c>
      <c r="AZ160" s="4214">
        <v>20.538734359999999</v>
      </c>
      <c r="BA160" s="4214">
        <v>10.85683671</v>
      </c>
      <c r="BB160" s="4214">
        <v>10.036640970000001</v>
      </c>
      <c r="BC160" s="4215">
        <v>133.80859477999999</v>
      </c>
      <c r="BD160" s="789">
        <v>15.268876150000001</v>
      </c>
      <c r="BE160" s="3946">
        <v>9.56613617</v>
      </c>
      <c r="BF160" s="3946">
        <v>13.16603301</v>
      </c>
      <c r="BG160" s="789">
        <v>13.42700893</v>
      </c>
      <c r="BH160" s="4376">
        <v>18.838185459999998</v>
      </c>
      <c r="BI160" s="789">
        <v>11.711347229999999</v>
      </c>
      <c r="BJ160" s="789">
        <v>18.233952299999999</v>
      </c>
      <c r="BK160" s="789">
        <v>13.10290077</v>
      </c>
      <c r="BL160" s="789">
        <v>23.172468859999999</v>
      </c>
      <c r="BM160" s="789">
        <v>22.131848040000001</v>
      </c>
      <c r="BN160" s="789">
        <v>17.781846250000001</v>
      </c>
      <c r="BO160" s="789">
        <v>11.927290940000001</v>
      </c>
      <c r="BP160" s="6689">
        <v>188.32789410999999</v>
      </c>
      <c r="BQ160" s="6553">
        <v>24.539149869999999</v>
      </c>
      <c r="BR160" s="6632">
        <v>24.976993329999999</v>
      </c>
      <c r="BS160" s="6632">
        <v>8.5582727799999994</v>
      </c>
      <c r="BT160" s="6553">
        <v>10.23685229</v>
      </c>
      <c r="BU160" s="6553">
        <v>13.66836558</v>
      </c>
      <c r="BV160" s="6553">
        <v>22.24111684</v>
      </c>
      <c r="BW160" s="6553">
        <v>45.68756149</v>
      </c>
      <c r="BX160" s="6553">
        <v>35.560174449999998</v>
      </c>
      <c r="BY160" s="6553">
        <v>53.929139360000001</v>
      </c>
      <c r="BZ160" s="6553">
        <v>45.383741639999997</v>
      </c>
      <c r="CA160" s="6553">
        <v>37.088442919999999</v>
      </c>
      <c r="CB160" s="6553">
        <v>42.187588810000001</v>
      </c>
      <c r="CC160" s="6670">
        <v>364.05739935999998</v>
      </c>
      <c r="CD160" s="6553">
        <v>53.249711380000001</v>
      </c>
      <c r="CE160" s="6632">
        <v>34.354443770000003</v>
      </c>
      <c r="CF160" s="3946"/>
      <c r="CG160" s="789"/>
      <c r="CH160" s="789"/>
      <c r="CI160" s="4184"/>
      <c r="CJ160" s="789"/>
      <c r="CK160" s="4184"/>
      <c r="CL160" s="4184"/>
      <c r="CM160" s="789"/>
      <c r="CN160" s="789"/>
      <c r="CO160" s="789"/>
      <c r="CP160" s="4087"/>
      <c r="CQ160" s="790"/>
      <c r="CR160" s="6873">
        <f t="shared" si="151"/>
        <v>-18.895267609999998</v>
      </c>
      <c r="CS160" s="6874">
        <f t="shared" si="152"/>
        <v>9.3774504400000041</v>
      </c>
      <c r="CT160" s="795"/>
      <c r="CU160" s="6765">
        <f t="shared" si="144"/>
        <v>87.604155149999997</v>
      </c>
      <c r="CV160" s="6739"/>
      <c r="CW160" s="6953"/>
      <c r="CX160" s="6757">
        <f t="shared" si="145"/>
        <v>38.088011949999995</v>
      </c>
      <c r="CY160" s="2775"/>
      <c r="CZ160" s="590"/>
      <c r="DA160" s="590"/>
      <c r="DB160" s="590"/>
      <c r="DC160" s="590"/>
      <c r="DD160" s="590"/>
      <c r="DE160" s="590"/>
      <c r="DF160" s="590"/>
      <c r="DG160" s="590"/>
      <c r="DH160" s="590"/>
      <c r="DI160" s="590"/>
      <c r="DJ160" s="590"/>
      <c r="DK160" s="590"/>
      <c r="DL160" s="590"/>
      <c r="DM160" s="590"/>
      <c r="DO160" s="4093">
        <f t="shared" si="211"/>
        <v>15.165212097777776</v>
      </c>
      <c r="DP160" s="4093">
        <f t="shared" si="212"/>
        <v>26.599736221111112</v>
      </c>
      <c r="DQ160" s="4093">
        <f>DP160-DO160</f>
        <v>11.434524123333336</v>
      </c>
      <c r="DS160" s="2261"/>
      <c r="DT160" s="2261"/>
    </row>
    <row r="161" spans="1:124" ht="16.3" customHeight="1" x14ac:dyDescent="0.55000000000000004">
      <c r="A161" s="4151"/>
      <c r="B161" s="1028"/>
      <c r="C161" s="1028" t="s">
        <v>0</v>
      </c>
      <c r="D161" s="1028"/>
      <c r="E161" s="4379" t="s">
        <v>1107</v>
      </c>
      <c r="F161" s="1028"/>
      <c r="G161" s="1028"/>
      <c r="H161" s="1028"/>
      <c r="I161" s="1028"/>
      <c r="J161" s="1028"/>
      <c r="K161" s="1028"/>
      <c r="L161" s="1028"/>
      <c r="M161" s="1028"/>
      <c r="N161" s="1028"/>
      <c r="O161" s="1028"/>
      <c r="P161" s="1028"/>
      <c r="Q161" s="1028"/>
      <c r="R161" s="1028"/>
      <c r="S161" s="1028"/>
      <c r="T161" s="1028"/>
      <c r="U161" s="1028"/>
      <c r="V161" s="1028"/>
      <c r="W161" s="1028"/>
      <c r="X161" s="1028"/>
      <c r="Y161" s="1028"/>
      <c r="Z161" s="1028"/>
      <c r="AA161" s="1028"/>
      <c r="AB161" s="1028"/>
      <c r="AC161" s="1028"/>
      <c r="AD161" s="1028"/>
      <c r="AE161" s="1028"/>
      <c r="AF161" s="1028"/>
      <c r="AG161" s="1028"/>
      <c r="AH161" s="1028"/>
      <c r="AI161" s="1028"/>
      <c r="AJ161" s="1028"/>
      <c r="AK161" s="1028"/>
      <c r="AL161" s="1028"/>
      <c r="AM161" s="1028"/>
      <c r="AN161" s="1028"/>
      <c r="AO161" s="4142"/>
      <c r="AP161" s="4143"/>
      <c r="AQ161" s="4214">
        <v>5.7071177100000003</v>
      </c>
      <c r="AR161" s="4214">
        <v>5.7489088400000004</v>
      </c>
      <c r="AS161" s="4214">
        <v>5.8226918300000001</v>
      </c>
      <c r="AT161" s="4214">
        <v>5.7612517900000002</v>
      </c>
      <c r="AU161" s="4214">
        <v>5.7821658400000002</v>
      </c>
      <c r="AV161" s="4214">
        <v>5.5630937300000003</v>
      </c>
      <c r="AW161" s="4214">
        <v>5.88801738</v>
      </c>
      <c r="AX161" s="4214">
        <v>5.9146264300000011</v>
      </c>
      <c r="AY161" s="4214">
        <v>5.8894420300000005</v>
      </c>
      <c r="AZ161" s="4214">
        <v>5.9852158600000003</v>
      </c>
      <c r="BA161" s="4214">
        <v>5.9909112700000007</v>
      </c>
      <c r="BB161" s="4214">
        <v>6.0235367699999998</v>
      </c>
      <c r="BC161" s="4215">
        <v>70.076979480000006</v>
      </c>
      <c r="BD161" s="4376">
        <v>5.9703263399999997</v>
      </c>
      <c r="BE161" s="4378">
        <v>5.6551406399999999</v>
      </c>
      <c r="BF161" s="4378">
        <v>5.8670983000000003</v>
      </c>
      <c r="BG161" s="4376">
        <v>5.8223608699999998</v>
      </c>
      <c r="BH161" s="4377">
        <v>5.7668647799999997</v>
      </c>
      <c r="BI161" s="4376">
        <v>5.7274192199999998</v>
      </c>
      <c r="BJ161" s="4377">
        <v>5.7640095899999997</v>
      </c>
      <c r="BK161" s="4376">
        <v>5.7255819199999998</v>
      </c>
      <c r="BL161" s="4376">
        <v>5.6775775199999998</v>
      </c>
      <c r="BM161" s="4376">
        <v>5.6784659599999996</v>
      </c>
      <c r="BN161" s="4376">
        <v>5.5838229100000003</v>
      </c>
      <c r="BO161" s="4376">
        <v>5.4971771900000004</v>
      </c>
      <c r="BP161" s="6689">
        <v>68.735845239999989</v>
      </c>
      <c r="BQ161" s="6553">
        <v>5.2481265800000001</v>
      </c>
      <c r="BR161" s="6632">
        <v>5.3671953700000001</v>
      </c>
      <c r="BS161" s="6632">
        <v>5.1954725699999997</v>
      </c>
      <c r="BT161" s="6553">
        <v>5.0662480399999996</v>
      </c>
      <c r="BU161" s="6553">
        <v>4.9718197100000001</v>
      </c>
      <c r="BV161" s="6553">
        <v>5.0249524000000001</v>
      </c>
      <c r="BW161" s="6553">
        <v>5.0402239</v>
      </c>
      <c r="BX161" s="6553">
        <v>5.0574361100000003</v>
      </c>
      <c r="BY161" s="6553">
        <v>4.9543201100000003</v>
      </c>
      <c r="BZ161" s="6553">
        <v>4.8782752499999997</v>
      </c>
      <c r="CA161" s="6553">
        <v>4.68329182</v>
      </c>
      <c r="CB161" s="6553">
        <v>4.6386204600000003</v>
      </c>
      <c r="CC161" s="6670">
        <v>60.125982319999991</v>
      </c>
      <c r="CD161" s="6553">
        <v>4.5258831700000002</v>
      </c>
      <c r="CE161" s="6632">
        <v>4.9466192800000002</v>
      </c>
      <c r="CF161" s="3946"/>
      <c r="CG161" s="789"/>
      <c r="CH161" s="789"/>
      <c r="CI161" s="3948"/>
      <c r="CJ161" s="789"/>
      <c r="CK161" s="3948"/>
      <c r="CL161" s="3948"/>
      <c r="CM161" s="789"/>
      <c r="CN161" s="789"/>
      <c r="CO161" s="789"/>
      <c r="CP161" s="4087"/>
      <c r="CQ161" s="790"/>
      <c r="CR161" s="6873">
        <f t="shared" si="151"/>
        <v>0.42073611</v>
      </c>
      <c r="CS161" s="6874">
        <f t="shared" si="152"/>
        <v>-0.42057608999999996</v>
      </c>
      <c r="CT161" s="795"/>
      <c r="CU161" s="6765">
        <f t="shared" si="144"/>
        <v>9.4725024500000004</v>
      </c>
      <c r="CV161" s="6739"/>
      <c r="CW161" s="6953"/>
      <c r="CX161" s="6757">
        <f t="shared" si="145"/>
        <v>-1.1428194999999999</v>
      </c>
      <c r="CY161" s="2775"/>
      <c r="CZ161" s="590"/>
      <c r="DA161" s="590"/>
      <c r="DB161" s="590"/>
      <c r="DC161" s="590"/>
      <c r="DD161" s="590"/>
      <c r="DE161" s="590"/>
      <c r="DF161" s="590"/>
      <c r="DG161" s="590"/>
      <c r="DH161" s="590"/>
      <c r="DI161" s="590"/>
      <c r="DJ161" s="590"/>
      <c r="DK161" s="590"/>
      <c r="DL161" s="590"/>
      <c r="DM161" s="590"/>
      <c r="DO161" s="4093">
        <f t="shared" si="211"/>
        <v>5.7751532422222214</v>
      </c>
      <c r="DP161" s="4093">
        <f t="shared" si="212"/>
        <v>5.1028660877777767</v>
      </c>
      <c r="DQ161" s="4093">
        <f t="shared" ref="DQ161:DQ170" si="213">DP161-DO161</f>
        <v>-0.67228715444444465</v>
      </c>
      <c r="DS161" s="2261"/>
      <c r="DT161" s="2261"/>
    </row>
    <row r="162" spans="1:124" ht="16.3" customHeight="1" x14ac:dyDescent="0.55000000000000004">
      <c r="A162" s="4151"/>
      <c r="B162" s="1028"/>
      <c r="C162" s="1028" t="s">
        <v>7</v>
      </c>
      <c r="D162" s="1028"/>
      <c r="E162" s="1028"/>
      <c r="F162" s="1028"/>
      <c r="G162" s="1028"/>
      <c r="H162" s="1028"/>
      <c r="I162" s="1028"/>
      <c r="J162" s="1028"/>
      <c r="K162" s="1028"/>
      <c r="L162" s="1028"/>
      <c r="M162" s="1028"/>
      <c r="N162" s="1028"/>
      <c r="O162" s="1028"/>
      <c r="P162" s="1028"/>
      <c r="Q162" s="1028"/>
      <c r="R162" s="1028"/>
      <c r="S162" s="1028"/>
      <c r="T162" s="1028"/>
      <c r="U162" s="1028"/>
      <c r="V162" s="1028"/>
      <c r="W162" s="1028"/>
      <c r="X162" s="1028"/>
      <c r="Y162" s="1028"/>
      <c r="Z162" s="1028"/>
      <c r="AA162" s="1028"/>
      <c r="AB162" s="1028"/>
      <c r="AC162" s="1028"/>
      <c r="AD162" s="1028"/>
      <c r="AE162" s="1028"/>
      <c r="AF162" s="1028"/>
      <c r="AG162" s="1028"/>
      <c r="AH162" s="1028"/>
      <c r="AI162" s="1028"/>
      <c r="AJ162" s="1028"/>
      <c r="AK162" s="1028"/>
      <c r="AL162" s="1028"/>
      <c r="AM162" s="1028"/>
      <c r="AN162" s="1028"/>
      <c r="AO162" s="4142"/>
      <c r="AP162" s="4143"/>
      <c r="AQ162" s="4214">
        <v>8.0022274000000007</v>
      </c>
      <c r="AR162" s="4214">
        <v>1.17837726</v>
      </c>
      <c r="AS162" s="4214">
        <v>6.7986267999999992</v>
      </c>
      <c r="AT162" s="4214">
        <v>0.9599065</v>
      </c>
      <c r="AU162" s="4214">
        <v>1.0321935799999999</v>
      </c>
      <c r="AV162" s="4214">
        <v>6.4416540800000011</v>
      </c>
      <c r="AW162" s="4214">
        <v>2.49064913</v>
      </c>
      <c r="AX162" s="4214">
        <v>1.2748768100000001</v>
      </c>
      <c r="AY162" s="4214">
        <v>8.0564725100000008</v>
      </c>
      <c r="AZ162" s="4214">
        <v>1.0018435000000001</v>
      </c>
      <c r="BA162" s="4214">
        <v>1.5039843300000002</v>
      </c>
      <c r="BB162" s="4214">
        <v>1.4389050000000001</v>
      </c>
      <c r="BC162" s="4215">
        <v>40.179716900000003</v>
      </c>
      <c r="BD162" s="789">
        <v>7.9656061600000001</v>
      </c>
      <c r="BE162" s="3946">
        <v>5.3932765800000002</v>
      </c>
      <c r="BF162" s="3946">
        <v>2.6236356000000001</v>
      </c>
      <c r="BG162" s="789">
        <v>8.0675038000000008</v>
      </c>
      <c r="BH162" s="4376">
        <v>4.1406724700000002</v>
      </c>
      <c r="BI162" s="789">
        <v>5.1047489199999996</v>
      </c>
      <c r="BJ162" s="789">
        <v>8.5870155599999993</v>
      </c>
      <c r="BK162" s="789">
        <v>12.386268380000001</v>
      </c>
      <c r="BL162" s="789">
        <v>20.46384578</v>
      </c>
      <c r="BM162" s="789">
        <v>14.005802879999999</v>
      </c>
      <c r="BN162" s="789">
        <v>1.62590663</v>
      </c>
      <c r="BO162" s="789">
        <v>14.925603219999999</v>
      </c>
      <c r="BP162" s="6689">
        <v>105.28988598000001</v>
      </c>
      <c r="BQ162" s="6553">
        <v>3.72419725</v>
      </c>
      <c r="BR162" s="6632">
        <v>8.4218106200000005</v>
      </c>
      <c r="BS162" s="6632">
        <v>8.7800582200000008</v>
      </c>
      <c r="BT162" s="6553">
        <v>9.2046211099999997</v>
      </c>
      <c r="BU162" s="6553">
        <v>10.20642677</v>
      </c>
      <c r="BV162" s="6553">
        <v>9.94210715</v>
      </c>
      <c r="BW162" s="6553">
        <v>8.7700939699999996</v>
      </c>
      <c r="BX162" s="6553">
        <v>10.034654939999999</v>
      </c>
      <c r="BY162" s="6553">
        <v>9.0732416199999992</v>
      </c>
      <c r="BZ162" s="6553">
        <v>9.91310146</v>
      </c>
      <c r="CA162" s="6553">
        <v>8.9425666400000008</v>
      </c>
      <c r="CB162" s="6553">
        <v>8.9525247399999994</v>
      </c>
      <c r="CC162" s="6670">
        <v>105.96540449</v>
      </c>
      <c r="CD162" s="6553">
        <v>9.9037810099999994</v>
      </c>
      <c r="CE162" s="6632">
        <v>11.172347309999999</v>
      </c>
      <c r="CF162" s="3946"/>
      <c r="CG162" s="789"/>
      <c r="CH162" s="789"/>
      <c r="CI162" s="4184"/>
      <c r="CJ162" s="789"/>
      <c r="CK162" s="4184"/>
      <c r="CL162" s="4184"/>
      <c r="CM162" s="789"/>
      <c r="CN162" s="789"/>
      <c r="CO162" s="789"/>
      <c r="CP162" s="4087"/>
      <c r="CQ162" s="790"/>
      <c r="CR162" s="6873">
        <f t="shared" si="151"/>
        <v>1.2685662999999998</v>
      </c>
      <c r="CS162" s="6874">
        <f t="shared" si="152"/>
        <v>2.7505366899999988</v>
      </c>
      <c r="CT162" s="795"/>
      <c r="CU162" s="6765">
        <f t="shared" si="144"/>
        <v>21.076128319999999</v>
      </c>
      <c r="CV162" s="6739"/>
      <c r="CW162" s="6953"/>
      <c r="CX162" s="6757">
        <f t="shared" si="145"/>
        <v>8.9301204499999987</v>
      </c>
      <c r="CY162" s="2775"/>
      <c r="CZ162" s="590"/>
      <c r="DA162" s="590"/>
      <c r="DB162" s="590"/>
      <c r="DC162" s="590"/>
      <c r="DD162" s="590"/>
      <c r="DE162" s="590"/>
      <c r="DF162" s="590"/>
      <c r="DG162" s="590"/>
      <c r="DH162" s="590"/>
      <c r="DI162" s="590"/>
      <c r="DJ162" s="590"/>
      <c r="DK162" s="590"/>
      <c r="DL162" s="590"/>
      <c r="DM162" s="590"/>
      <c r="DO162" s="4093">
        <f t="shared" si="211"/>
        <v>8.3036192500000006</v>
      </c>
      <c r="DP162" s="4093">
        <f t="shared" si="212"/>
        <v>8.6841346277777767</v>
      </c>
      <c r="DQ162" s="4093">
        <f t="shared" si="213"/>
        <v>0.38051537777777611</v>
      </c>
      <c r="DS162" s="2261"/>
      <c r="DT162" s="2261"/>
    </row>
    <row r="163" spans="1:124" ht="16.3" customHeight="1" x14ac:dyDescent="0.55000000000000004">
      <c r="A163" s="4141"/>
      <c r="B163" s="4221" t="s">
        <v>599</v>
      </c>
      <c r="C163" s="4158"/>
      <c r="D163" s="4158"/>
      <c r="E163" s="4158"/>
      <c r="F163" s="4158"/>
      <c r="G163" s="4158"/>
      <c r="H163" s="4158"/>
      <c r="I163" s="4158"/>
      <c r="J163" s="4158"/>
      <c r="K163" s="4158"/>
      <c r="L163" s="4158"/>
      <c r="M163" s="4158"/>
      <c r="N163" s="4158"/>
      <c r="O163" s="4158"/>
      <c r="P163" s="4158"/>
      <c r="Q163" s="4158"/>
      <c r="R163" s="4158"/>
      <c r="S163" s="4158"/>
      <c r="T163" s="4158"/>
      <c r="U163" s="4158"/>
      <c r="V163" s="4158"/>
      <c r="W163" s="4158"/>
      <c r="X163" s="4158"/>
      <c r="Y163" s="4158"/>
      <c r="Z163" s="4158"/>
      <c r="AA163" s="4158"/>
      <c r="AB163" s="4158"/>
      <c r="AC163" s="4158"/>
      <c r="AD163" s="4158"/>
      <c r="AE163" s="4158"/>
      <c r="AF163" s="4158"/>
      <c r="AG163" s="4158"/>
      <c r="AH163" s="4158"/>
      <c r="AI163" s="4158"/>
      <c r="AJ163" s="4158"/>
      <c r="AK163" s="4158"/>
      <c r="AL163" s="4158"/>
      <c r="AM163" s="4158"/>
      <c r="AN163" s="4158"/>
      <c r="AO163" s="3876"/>
      <c r="AP163" s="4161"/>
      <c r="AQ163" s="4222">
        <v>49.63475887057016</v>
      </c>
      <c r="AR163" s="4222">
        <v>75.746867094350748</v>
      </c>
      <c r="AS163" s="4222">
        <v>54.590282595137829</v>
      </c>
      <c r="AT163" s="4222">
        <v>40.869292470454113</v>
      </c>
      <c r="AU163" s="4222">
        <v>54.926879153249359</v>
      </c>
      <c r="AV163" s="4222">
        <v>51.633012394155919</v>
      </c>
      <c r="AW163" s="4222">
        <v>48.371840446595968</v>
      </c>
      <c r="AX163" s="4222">
        <v>104.17797131140156</v>
      </c>
      <c r="AY163" s="4222">
        <v>37.546427047764354</v>
      </c>
      <c r="AZ163" s="4222">
        <v>277.01652745053718</v>
      </c>
      <c r="BA163" s="4222">
        <v>81.965893287902318</v>
      </c>
      <c r="BB163" s="4222">
        <v>57.205009914516829</v>
      </c>
      <c r="BC163" s="4223">
        <v>933.68476203663636</v>
      </c>
      <c r="BD163" s="800">
        <f>BD164+BD165+BD166+BD167+BD168</f>
        <v>140.89140045234038</v>
      </c>
      <c r="BE163" s="800">
        <f t="shared" ref="BE163:CQ163" si="214">BE164+BE165+BE166+BE167+BE168</f>
        <v>109.59811125982922</v>
      </c>
      <c r="BF163" s="800">
        <f t="shared" si="214"/>
        <v>74.695644967787516</v>
      </c>
      <c r="BG163" s="800">
        <f t="shared" si="214"/>
        <v>85.03668384344148</v>
      </c>
      <c r="BH163" s="800">
        <f t="shared" si="214"/>
        <v>77.120751615832106</v>
      </c>
      <c r="BI163" s="800">
        <f t="shared" si="214"/>
        <v>59.491383363653512</v>
      </c>
      <c r="BJ163" s="800">
        <f t="shared" si="214"/>
        <v>148.36358017209452</v>
      </c>
      <c r="BK163" s="800">
        <f t="shared" si="214"/>
        <v>100.46629346451624</v>
      </c>
      <c r="BL163" s="800">
        <f t="shared" si="214"/>
        <v>323.34252646432105</v>
      </c>
      <c r="BM163" s="800">
        <f t="shared" si="214"/>
        <v>243.88669231605647</v>
      </c>
      <c r="BN163" s="800">
        <f>BN164+BN165+BN166+BN167+BN168</f>
        <v>110.43916620537384</v>
      </c>
      <c r="BO163" s="800">
        <f t="shared" si="214"/>
        <v>98.583572454307074</v>
      </c>
      <c r="BP163" s="6690">
        <f>SUM(BP164:BP168)</f>
        <v>1571.9158065795539</v>
      </c>
      <c r="BQ163" s="6526">
        <f>SUM(BQ164:BQ168)</f>
        <v>93.696069752068567</v>
      </c>
      <c r="BR163" s="6526">
        <f t="shared" ref="BR163" si="215">SUM(BR164:BR168)</f>
        <v>224.39843197889095</v>
      </c>
      <c r="BS163" s="6526">
        <f t="shared" ref="BS163" si="216">SUM(BS164:BS168)</f>
        <v>94.798995354712872</v>
      </c>
      <c r="BT163" s="6526">
        <f t="shared" ref="BT163" si="217">SUM(BT164:BT168)</f>
        <v>100.39645581015965</v>
      </c>
      <c r="BU163" s="6526">
        <f t="shared" ref="BU163" si="218">SUM(BU164:BU168)</f>
        <v>113.20618135599587</v>
      </c>
      <c r="BV163" s="6526">
        <f t="shared" ref="BV163" si="219">SUM(BV164:BV168)</f>
        <v>91.946164552093819</v>
      </c>
      <c r="BW163" s="6526">
        <f t="shared" ref="BW163" si="220">SUM(BW164:BW168)</f>
        <v>214.6491853577721</v>
      </c>
      <c r="BX163" s="6526">
        <f t="shared" ref="BX163" si="221">SUM(BX164:BX168)</f>
        <v>144.97524389182024</v>
      </c>
      <c r="BY163" s="6526">
        <f t="shared" ref="BY163" si="222">SUM(BY164:BY168)</f>
        <v>334.41013244071701</v>
      </c>
      <c r="BZ163" s="6526">
        <f t="shared" ref="BZ163" si="223">SUM(BZ164:BZ168)</f>
        <v>194.83852314061809</v>
      </c>
      <c r="CA163" s="6526">
        <f t="shared" ref="CA163" si="224">SUM(CA164:CA168)</f>
        <v>145.16060426404084</v>
      </c>
      <c r="CB163" s="6526">
        <f t="shared" ref="CB163" si="225">SUM(CB164:CB168)</f>
        <v>142.5443294930181</v>
      </c>
      <c r="CC163" s="6671">
        <v>1895.0203173919078</v>
      </c>
      <c r="CD163" s="6526">
        <f t="shared" ref="CD163" si="226">SUM(CD164:CD168)</f>
        <v>336.46763547967583</v>
      </c>
      <c r="CE163" s="6526">
        <f t="shared" ref="CE163" si="227">SUM(CE164:CE168)</f>
        <v>145.06060085804086</v>
      </c>
      <c r="CF163" s="800"/>
      <c r="CG163" s="800"/>
      <c r="CH163" s="800"/>
      <c r="CI163" s="800"/>
      <c r="CJ163" s="800"/>
      <c r="CK163" s="800"/>
      <c r="CL163" s="800"/>
      <c r="CM163" s="800"/>
      <c r="CN163" s="800"/>
      <c r="CO163" s="800"/>
      <c r="CP163" s="800">
        <f t="shared" si="214"/>
        <v>0</v>
      </c>
      <c r="CQ163" s="800">
        <f t="shared" si="214"/>
        <v>0</v>
      </c>
      <c r="CR163" s="6869">
        <f t="shared" si="151"/>
        <v>-191.40703462163498</v>
      </c>
      <c r="CS163" s="6896">
        <f t="shared" si="152"/>
        <v>-79.337831120850097</v>
      </c>
      <c r="CT163" s="808"/>
      <c r="CU163" s="6924">
        <f t="shared" si="144"/>
        <v>481.52823633771669</v>
      </c>
      <c r="CV163" s="6739"/>
      <c r="CW163" s="6953"/>
      <c r="CX163" s="6760">
        <f t="shared" si="145"/>
        <v>163.43373460675718</v>
      </c>
      <c r="CY163" s="2775"/>
      <c r="CZ163" s="590"/>
      <c r="DA163" s="590"/>
      <c r="DB163" s="590"/>
      <c r="DC163" s="590"/>
      <c r="DD163" s="590"/>
      <c r="DE163" s="590"/>
      <c r="DF163" s="590"/>
      <c r="DG163" s="590"/>
      <c r="DH163" s="590"/>
      <c r="DI163" s="590"/>
      <c r="DJ163" s="590"/>
      <c r="DK163" s="590"/>
      <c r="DL163" s="590"/>
      <c r="DM163" s="590"/>
      <c r="DO163" s="4093">
        <f t="shared" si="211"/>
        <v>124.33404173375733</v>
      </c>
      <c r="DP163" s="4093">
        <f t="shared" si="212"/>
        <v>156.9418733882479</v>
      </c>
      <c r="DQ163" s="4093">
        <f t="shared" si="213"/>
        <v>32.607831654490568</v>
      </c>
      <c r="DS163" s="2261"/>
      <c r="DT163" s="2261"/>
    </row>
    <row r="164" spans="1:124" ht="16.3" customHeight="1" x14ac:dyDescent="0.55000000000000004">
      <c r="A164" s="4151"/>
      <c r="B164" s="4158"/>
      <c r="C164" s="4158" t="s">
        <v>41</v>
      </c>
      <c r="D164" s="4158"/>
      <c r="E164" s="4158"/>
      <c r="F164" s="4158"/>
      <c r="G164" s="4158"/>
      <c r="H164" s="4158"/>
      <c r="I164" s="4158"/>
      <c r="J164" s="4158"/>
      <c r="K164" s="4158"/>
      <c r="L164" s="4158"/>
      <c r="M164" s="4158"/>
      <c r="N164" s="4158"/>
      <c r="O164" s="4158"/>
      <c r="P164" s="4158"/>
      <c r="Q164" s="4158"/>
      <c r="R164" s="4158"/>
      <c r="S164" s="4158"/>
      <c r="T164" s="4158"/>
      <c r="U164" s="4158"/>
      <c r="V164" s="4158"/>
      <c r="W164" s="4158"/>
      <c r="X164" s="4158"/>
      <c r="Y164" s="4158"/>
      <c r="Z164" s="4158"/>
      <c r="AA164" s="4158"/>
      <c r="AB164" s="4158"/>
      <c r="AC164" s="4158"/>
      <c r="AD164" s="4158"/>
      <c r="AE164" s="4158"/>
      <c r="AF164" s="4158"/>
      <c r="AG164" s="4158"/>
      <c r="AH164" s="4158"/>
      <c r="AI164" s="4158"/>
      <c r="AJ164" s="4158"/>
      <c r="AK164" s="4158"/>
      <c r="AL164" s="4158"/>
      <c r="AM164" s="4158"/>
      <c r="AN164" s="4158"/>
      <c r="AO164" s="3876"/>
      <c r="AP164" s="4161"/>
      <c r="AQ164" s="4222">
        <v>36.414721419999999</v>
      </c>
      <c r="AR164" s="4222">
        <v>56.320880109999997</v>
      </c>
      <c r="AS164" s="4222">
        <v>37.291514909999997</v>
      </c>
      <c r="AT164" s="4222">
        <v>27.424001780000005</v>
      </c>
      <c r="AU164" s="4222">
        <v>38.862341440000002</v>
      </c>
      <c r="AV164" s="4222">
        <v>32.591596860000003</v>
      </c>
      <c r="AW164" s="4222">
        <v>30.071764430000002</v>
      </c>
      <c r="AX164" s="4222">
        <v>80.984551330000002</v>
      </c>
      <c r="AY164" s="4222">
        <v>25.690076479999998</v>
      </c>
      <c r="AZ164" s="4222">
        <v>251.32561953000001</v>
      </c>
      <c r="BA164" s="4222">
        <v>65.242637590000001</v>
      </c>
      <c r="BB164" s="4222">
        <v>42.499253390000007</v>
      </c>
      <c r="BC164" s="4223">
        <v>724.71895927000003</v>
      </c>
      <c r="BD164" s="800">
        <v>122.06218429</v>
      </c>
      <c r="BE164" s="4166">
        <v>94.090007009999994</v>
      </c>
      <c r="BF164" s="4166">
        <v>59.492538969999998</v>
      </c>
      <c r="BG164" s="800">
        <v>68.457306340000002</v>
      </c>
      <c r="BH164" s="800">
        <v>62.504822529999998</v>
      </c>
      <c r="BI164" s="800">
        <v>44.748742759999999</v>
      </c>
      <c r="BJ164" s="800">
        <v>128.90437893999999</v>
      </c>
      <c r="BK164" s="800">
        <v>81.467261559999997</v>
      </c>
      <c r="BL164" s="800">
        <v>286.22700034000002</v>
      </c>
      <c r="BM164" s="800">
        <v>216.52106198999999</v>
      </c>
      <c r="BN164" s="800">
        <v>93.27709892</v>
      </c>
      <c r="BO164" s="800">
        <v>74.109502410000005</v>
      </c>
      <c r="BP164" s="6690">
        <v>1331.8619060600001</v>
      </c>
      <c r="BQ164" s="6526">
        <v>57.113328750000001</v>
      </c>
      <c r="BR164" s="6637">
        <v>206.81805313999999</v>
      </c>
      <c r="BS164" s="6637">
        <v>78.186720859999994</v>
      </c>
      <c r="BT164" s="6526">
        <v>83.066149379999999</v>
      </c>
      <c r="BU164" s="6526">
        <v>94.202627809999996</v>
      </c>
      <c r="BV164" s="6526">
        <v>67.409114290000005</v>
      </c>
      <c r="BW164" s="6526">
        <v>178.45651955</v>
      </c>
      <c r="BX164" s="6526">
        <v>116.93925818</v>
      </c>
      <c r="BY164" s="6526">
        <v>292.76027227999998</v>
      </c>
      <c r="BZ164" s="6526">
        <v>161.95740606999999</v>
      </c>
      <c r="CA164" s="6526">
        <v>113.76619307</v>
      </c>
      <c r="CB164" s="6526">
        <v>113.95089716</v>
      </c>
      <c r="CC164" s="6671">
        <v>1564.6265405400002</v>
      </c>
      <c r="CD164" s="6526">
        <v>304.45027703</v>
      </c>
      <c r="CE164" s="6637">
        <v>111.64033569999999</v>
      </c>
      <c r="CF164" s="4166"/>
      <c r="CG164" s="800"/>
      <c r="CH164" s="800"/>
      <c r="CI164" s="3884"/>
      <c r="CJ164" s="800"/>
      <c r="CK164" s="3884"/>
      <c r="CL164" s="3884"/>
      <c r="CM164" s="800"/>
      <c r="CN164" s="800"/>
      <c r="CO164" s="800"/>
      <c r="CP164" s="4087"/>
      <c r="CQ164" s="790"/>
      <c r="CR164" s="6869">
        <f t="shared" si="151"/>
        <v>-192.80994133000002</v>
      </c>
      <c r="CS164" s="6896">
        <f t="shared" si="152"/>
        <v>-95.177717439999995</v>
      </c>
      <c r="CT164" s="808"/>
      <c r="CU164" s="6924">
        <f t="shared" si="144"/>
        <v>416.09061272999998</v>
      </c>
      <c r="CV164" s="6739"/>
      <c r="CW164" s="6953"/>
      <c r="CX164" s="6760">
        <f t="shared" si="145"/>
        <v>152.15923083999996</v>
      </c>
      <c r="CY164" s="2775"/>
      <c r="CZ164" s="590"/>
      <c r="DA164" s="590"/>
      <c r="DB164" s="590"/>
      <c r="DC164" s="590"/>
      <c r="DD164" s="590"/>
      <c r="DE164" s="590"/>
      <c r="DF164" s="590"/>
      <c r="DG164" s="590"/>
      <c r="DH164" s="590"/>
      <c r="DI164" s="590"/>
      <c r="DJ164" s="590"/>
      <c r="DK164" s="590"/>
      <c r="DL164" s="590"/>
      <c r="DM164" s="590"/>
      <c r="DO164" s="4093">
        <f t="shared" si="211"/>
        <v>105.32824919333333</v>
      </c>
      <c r="DP164" s="4093">
        <f t="shared" si="212"/>
        <v>130.5502271377778</v>
      </c>
      <c r="DQ164" s="4093">
        <f t="shared" si="213"/>
        <v>25.221977944444461</v>
      </c>
      <c r="DS164" s="2261"/>
      <c r="DT164" s="2261"/>
    </row>
    <row r="165" spans="1:124" ht="16.3" customHeight="1" x14ac:dyDescent="0.55000000000000004">
      <c r="A165" s="4151"/>
      <c r="B165" s="4158"/>
      <c r="C165" s="4158" t="s">
        <v>13</v>
      </c>
      <c r="D165" s="4158"/>
      <c r="E165" s="4158"/>
      <c r="F165" s="4158"/>
      <c r="G165" s="4158"/>
      <c r="H165" s="4158"/>
      <c r="I165" s="4158"/>
      <c r="J165" s="4158"/>
      <c r="K165" s="4158"/>
      <c r="L165" s="4158"/>
      <c r="M165" s="4158"/>
      <c r="N165" s="4158"/>
      <c r="O165" s="4158"/>
      <c r="P165" s="4158"/>
      <c r="Q165" s="4158"/>
      <c r="R165" s="4158"/>
      <c r="S165" s="4158"/>
      <c r="T165" s="4158"/>
      <c r="U165" s="4158"/>
      <c r="V165" s="4158"/>
      <c r="W165" s="4158"/>
      <c r="X165" s="4158"/>
      <c r="Y165" s="4158"/>
      <c r="Z165" s="4158"/>
      <c r="AA165" s="4158"/>
      <c r="AB165" s="4158"/>
      <c r="AC165" s="4158"/>
      <c r="AD165" s="4158"/>
      <c r="AE165" s="4158"/>
      <c r="AF165" s="4158"/>
      <c r="AG165" s="4158"/>
      <c r="AH165" s="4158"/>
      <c r="AI165" s="4158"/>
      <c r="AJ165" s="4158"/>
      <c r="AK165" s="4158"/>
      <c r="AL165" s="4158"/>
      <c r="AM165" s="4158"/>
      <c r="AN165" s="4158"/>
      <c r="AO165" s="3876"/>
      <c r="AP165" s="4161"/>
      <c r="AQ165" s="4222">
        <v>3.5266881483137298</v>
      </c>
      <c r="AR165" s="4222">
        <v>3.3823871343507492</v>
      </c>
      <c r="AS165" s="4222">
        <v>3.9015063731387301</v>
      </c>
      <c r="AT165" s="4222">
        <v>3.5788583504769402</v>
      </c>
      <c r="AU165" s="4222">
        <v>3.4772751932493602</v>
      </c>
      <c r="AV165" s="4222">
        <v>3.34012307415591</v>
      </c>
      <c r="AW165" s="4222">
        <v>3.6182492465959601</v>
      </c>
      <c r="AX165" s="4222">
        <v>3.2880030213537004</v>
      </c>
      <c r="AY165" s="4222">
        <v>3.55859430655042</v>
      </c>
      <c r="AZ165" s="4222">
        <v>3.1870540677978703</v>
      </c>
      <c r="BA165" s="4222">
        <v>4.9536811879699805</v>
      </c>
      <c r="BB165" s="4222">
        <v>3.4301117595133541</v>
      </c>
      <c r="BC165" s="4223">
        <v>43.242531863466695</v>
      </c>
      <c r="BD165" s="800">
        <v>3.57972680768889</v>
      </c>
      <c r="BE165" s="4166">
        <v>3.81622271473125</v>
      </c>
      <c r="BF165" s="4166">
        <v>3.955707938681098</v>
      </c>
      <c r="BG165" s="800">
        <v>3.6042858675223459</v>
      </c>
      <c r="BH165" s="800">
        <v>3.5178997769946028</v>
      </c>
      <c r="BI165" s="800">
        <v>3.830631887665366</v>
      </c>
      <c r="BJ165" s="800">
        <v>3.7433027836629265</v>
      </c>
      <c r="BK165" s="800">
        <v>4.0968767356758278</v>
      </c>
      <c r="BL165" s="800">
        <v>4.9835758998819104</v>
      </c>
      <c r="BM165" s="800">
        <v>5.6456677034498348</v>
      </c>
      <c r="BN165" s="800">
        <v>4.2150196607861483</v>
      </c>
      <c r="BO165" s="800">
        <v>4.9849847038996309</v>
      </c>
      <c r="BP165" s="6690">
        <v>49.973902480639836</v>
      </c>
      <c r="BQ165" s="6526">
        <v>5.2826852723842883</v>
      </c>
      <c r="BR165" s="6637">
        <v>5.3600846349410238</v>
      </c>
      <c r="BS165" s="6637">
        <v>6.5251705759497467</v>
      </c>
      <c r="BT165" s="6526">
        <v>5.6544795929645764</v>
      </c>
      <c r="BU165" s="6526">
        <v>5.8535597416629503</v>
      </c>
      <c r="BV165" s="6526">
        <v>7.2227390983812407</v>
      </c>
      <c r="BW165" s="6526">
        <v>6.2698224053300855</v>
      </c>
      <c r="BX165" s="6526">
        <v>6.4951732119896439</v>
      </c>
      <c r="BY165" s="6526">
        <v>8.2098937229167674</v>
      </c>
      <c r="BZ165" s="6526">
        <v>7.5163638016713561</v>
      </c>
      <c r="CA165" s="6526">
        <v>6.0939590159528585</v>
      </c>
      <c r="CB165" s="6526">
        <v>6.5753651575194585</v>
      </c>
      <c r="CC165" s="6671">
        <v>77.059296231664007</v>
      </c>
      <c r="CD165" s="6526">
        <v>6.4584803143714167</v>
      </c>
      <c r="CE165" s="6637">
        <v>6.8049415782335689</v>
      </c>
      <c r="CF165" s="4166"/>
      <c r="CG165" s="800"/>
      <c r="CH165" s="800"/>
      <c r="CI165" s="4224"/>
      <c r="CJ165" s="800"/>
      <c r="CK165" s="4224"/>
      <c r="CL165" s="4224"/>
      <c r="CM165" s="800"/>
      <c r="CN165" s="800"/>
      <c r="CO165" s="800"/>
      <c r="CP165" s="4087"/>
      <c r="CQ165" s="790"/>
      <c r="CR165" s="6869">
        <f t="shared" si="151"/>
        <v>0.34646126386215226</v>
      </c>
      <c r="CS165" s="6896">
        <f t="shared" si="152"/>
        <v>1.4448569432925451</v>
      </c>
      <c r="CT165" s="808"/>
      <c r="CU165" s="6924">
        <f t="shared" si="144"/>
        <v>13.263421892604985</v>
      </c>
      <c r="CV165" s="6739"/>
      <c r="CW165" s="6953"/>
      <c r="CX165" s="6760">
        <f t="shared" si="145"/>
        <v>2.6206519852796717</v>
      </c>
      <c r="CY165" s="2775"/>
      <c r="CZ165" s="590"/>
      <c r="DA165" s="590"/>
      <c r="DB165" s="590"/>
      <c r="DC165" s="590"/>
      <c r="DD165" s="590"/>
      <c r="DE165" s="590"/>
      <c r="DF165" s="590"/>
      <c r="DG165" s="590"/>
      <c r="DH165" s="590"/>
      <c r="DI165" s="590"/>
      <c r="DJ165" s="590"/>
      <c r="DK165" s="590"/>
      <c r="DL165" s="590"/>
      <c r="DM165" s="590"/>
      <c r="DO165" s="4093">
        <f t="shared" si="211"/>
        <v>3.9031367125004683</v>
      </c>
      <c r="DP165" s="4093">
        <f t="shared" si="212"/>
        <v>6.319289806280036</v>
      </c>
      <c r="DQ165" s="4093">
        <f t="shared" si="213"/>
        <v>2.4161530937795677</v>
      </c>
      <c r="DS165" s="2261"/>
      <c r="DT165" s="2261"/>
    </row>
    <row r="166" spans="1:124" ht="16.3" customHeight="1" x14ac:dyDescent="0.55000000000000004">
      <c r="A166" s="4151"/>
      <c r="B166" s="4158"/>
      <c r="C166" s="4158" t="s">
        <v>42</v>
      </c>
      <c r="D166" s="4158"/>
      <c r="E166" s="4158"/>
      <c r="F166" s="4158"/>
      <c r="G166" s="4158"/>
      <c r="H166" s="4158"/>
      <c r="I166" s="4158"/>
      <c r="J166" s="4158"/>
      <c r="K166" s="4158"/>
      <c r="L166" s="4158"/>
      <c r="M166" s="4158"/>
      <c r="N166" s="4158"/>
      <c r="O166" s="4158"/>
      <c r="P166" s="4158"/>
      <c r="Q166" s="4158"/>
      <c r="R166" s="4158"/>
      <c r="S166" s="4158"/>
      <c r="T166" s="4158"/>
      <c r="U166" s="4158"/>
      <c r="V166" s="4158"/>
      <c r="W166" s="4158"/>
      <c r="X166" s="4158"/>
      <c r="Y166" s="4158"/>
      <c r="Z166" s="4158"/>
      <c r="AA166" s="4158"/>
      <c r="AB166" s="4158"/>
      <c r="AC166" s="4158"/>
      <c r="AD166" s="4158"/>
      <c r="AE166" s="4158"/>
      <c r="AF166" s="4158"/>
      <c r="AG166" s="4158"/>
      <c r="AH166" s="4158"/>
      <c r="AI166" s="4158"/>
      <c r="AJ166" s="4158"/>
      <c r="AK166" s="4158"/>
      <c r="AL166" s="4158"/>
      <c r="AM166" s="4158"/>
      <c r="AN166" s="4158"/>
      <c r="AO166" s="3876"/>
      <c r="AP166" s="4161"/>
      <c r="AQ166" s="4222">
        <v>7.4910464799999996</v>
      </c>
      <c r="AR166" s="4222">
        <v>13.30617608</v>
      </c>
      <c r="AS166" s="4222">
        <v>10.734154109999999</v>
      </c>
      <c r="AT166" s="4222">
        <v>7.6458743699999987</v>
      </c>
      <c r="AU166" s="4222">
        <v>10.148498350000001</v>
      </c>
      <c r="AV166" s="4222">
        <v>13.152694970000001</v>
      </c>
      <c r="AW166" s="4222">
        <v>11.851735140000001</v>
      </c>
      <c r="AX166" s="4222">
        <v>17.408956459999999</v>
      </c>
      <c r="AY166" s="4222">
        <v>5.9732480900000011</v>
      </c>
      <c r="AZ166" s="4222">
        <v>12.925305470000001</v>
      </c>
      <c r="BA166" s="4222">
        <v>9.4191761300000003</v>
      </c>
      <c r="BB166" s="4222">
        <v>8.8166653099999994</v>
      </c>
      <c r="BC166" s="4223">
        <v>128.87353095999998</v>
      </c>
      <c r="BD166" s="800">
        <v>10.26687454</v>
      </c>
      <c r="BE166" s="4166">
        <v>8.1647662800000003</v>
      </c>
      <c r="BF166" s="4166">
        <v>7.9585889500000002</v>
      </c>
      <c r="BG166" s="800">
        <v>9.7027041700000005</v>
      </c>
      <c r="BH166" s="800">
        <v>7.7180759800000001</v>
      </c>
      <c r="BI166" s="800">
        <v>7.8509883399999998</v>
      </c>
      <c r="BJ166" s="800">
        <v>11.38444011</v>
      </c>
      <c r="BK166" s="800">
        <v>10.35797213</v>
      </c>
      <c r="BL166" s="800">
        <v>18.299290710000001</v>
      </c>
      <c r="BM166" s="800">
        <v>16.074361450000001</v>
      </c>
      <c r="BN166" s="800">
        <v>8.8465039999999995</v>
      </c>
      <c r="BO166" s="800">
        <v>15.83271416</v>
      </c>
      <c r="BP166" s="6690">
        <v>132.45728081999999</v>
      </c>
      <c r="BQ166" s="6526">
        <v>25.454600750000001</v>
      </c>
      <c r="BR166" s="6637">
        <v>8.2220748399999994</v>
      </c>
      <c r="BS166" s="6637">
        <v>6.4922947300000002</v>
      </c>
      <c r="BT166" s="6526">
        <v>7.7515103500000002</v>
      </c>
      <c r="BU166" s="6526">
        <v>8.2240039899999999</v>
      </c>
      <c r="BV166" s="6526">
        <v>12.360798989999999</v>
      </c>
      <c r="BW166" s="6526">
        <v>23.16849667</v>
      </c>
      <c r="BX166" s="6526">
        <v>15.795286730000001</v>
      </c>
      <c r="BY166" s="6526">
        <v>24.3217356</v>
      </c>
      <c r="BZ166" s="6526">
        <v>20.486568599999998</v>
      </c>
      <c r="CA166" s="6526">
        <v>19.8131792</v>
      </c>
      <c r="CB166" s="6526">
        <v>17.390366159999999</v>
      </c>
      <c r="CC166" s="6671">
        <v>189.48091661000001</v>
      </c>
      <c r="CD166" s="6526">
        <v>19.35831718</v>
      </c>
      <c r="CE166" s="6637">
        <v>18.31985032</v>
      </c>
      <c r="CF166" s="4166"/>
      <c r="CG166" s="800"/>
      <c r="CH166" s="800"/>
      <c r="CI166" s="3899"/>
      <c r="CJ166" s="800"/>
      <c r="CK166" s="3899"/>
      <c r="CL166" s="3899"/>
      <c r="CM166" s="800"/>
      <c r="CN166" s="800"/>
      <c r="CO166" s="800"/>
      <c r="CP166" s="4087"/>
      <c r="CQ166" s="790"/>
      <c r="CR166" s="6869">
        <f t="shared" si="151"/>
        <v>-1.0384668599999998</v>
      </c>
      <c r="CS166" s="6896">
        <f t="shared" si="152"/>
        <v>10.097775480000001</v>
      </c>
      <c r="CT166" s="808"/>
      <c r="CU166" s="6924">
        <f t="shared" si="144"/>
        <v>37.678167500000001</v>
      </c>
      <c r="CV166" s="6739"/>
      <c r="CW166" s="6953"/>
      <c r="CX166" s="6760">
        <f t="shared" si="145"/>
        <v>4.0014919099999986</v>
      </c>
      <c r="CY166" s="2775"/>
      <c r="CZ166" s="590"/>
      <c r="DA166" s="590"/>
      <c r="DB166" s="590"/>
      <c r="DC166" s="590"/>
      <c r="DD166" s="590"/>
      <c r="DE166" s="590"/>
      <c r="DF166" s="590"/>
      <c r="DG166" s="590"/>
      <c r="DH166" s="590"/>
      <c r="DI166" s="590"/>
      <c r="DJ166" s="590"/>
      <c r="DK166" s="590"/>
      <c r="DL166" s="590"/>
      <c r="DM166" s="590"/>
      <c r="DO166" s="4093">
        <f t="shared" si="211"/>
        <v>10.189300134444444</v>
      </c>
      <c r="DP166" s="4093">
        <f t="shared" si="212"/>
        <v>14.643422516666666</v>
      </c>
      <c r="DQ166" s="4093">
        <f t="shared" si="213"/>
        <v>4.4541223822222218</v>
      </c>
      <c r="DS166" s="2261"/>
      <c r="DT166" s="2261"/>
    </row>
    <row r="167" spans="1:124" ht="16.3" customHeight="1" x14ac:dyDescent="0.55000000000000004">
      <c r="A167" s="4151"/>
      <c r="B167" s="4158"/>
      <c r="C167" s="4158" t="s">
        <v>14</v>
      </c>
      <c r="D167" s="4158"/>
      <c r="E167" s="6247" t="s">
        <v>1203</v>
      </c>
      <c r="F167" s="4158"/>
      <c r="G167" s="4158"/>
      <c r="H167" s="4158"/>
      <c r="I167" s="4158"/>
      <c r="J167" s="4158"/>
      <c r="K167" s="4158"/>
      <c r="L167" s="4158"/>
      <c r="M167" s="4158"/>
      <c r="N167" s="4158"/>
      <c r="O167" s="4158"/>
      <c r="P167" s="4158"/>
      <c r="Q167" s="4158"/>
      <c r="R167" s="4158"/>
      <c r="S167" s="4158"/>
      <c r="T167" s="4158"/>
      <c r="U167" s="4158"/>
      <c r="V167" s="4158"/>
      <c r="W167" s="4158"/>
      <c r="X167" s="4158"/>
      <c r="Y167" s="4158"/>
      <c r="Z167" s="4158"/>
      <c r="AA167" s="4158"/>
      <c r="AB167" s="4158"/>
      <c r="AC167" s="4158"/>
      <c r="AD167" s="4158"/>
      <c r="AE167" s="4158"/>
      <c r="AF167" s="4158"/>
      <c r="AG167" s="4158"/>
      <c r="AH167" s="4158"/>
      <c r="AI167" s="4158"/>
      <c r="AJ167" s="4158"/>
      <c r="AK167" s="4158"/>
      <c r="AL167" s="4158"/>
      <c r="AM167" s="4158"/>
      <c r="AN167" s="4158"/>
      <c r="AO167" s="3876"/>
      <c r="AP167" s="4161"/>
      <c r="AQ167" s="4222">
        <v>0.49313038999999997</v>
      </c>
      <c r="AR167" s="4222">
        <v>0.50020286000000003</v>
      </c>
      <c r="AS167" s="4222">
        <v>0.49844843999999999</v>
      </c>
      <c r="AT167" s="4222">
        <v>0.49329475</v>
      </c>
      <c r="AU167" s="4222">
        <v>0.44048179999999992</v>
      </c>
      <c r="AV167" s="4222">
        <v>0.44105418999999996</v>
      </c>
      <c r="AW167" s="4222">
        <v>0.44445643000000001</v>
      </c>
      <c r="AX167" s="4222">
        <v>0.44599298999999992</v>
      </c>
      <c r="AY167" s="4222">
        <v>0.44759874999999999</v>
      </c>
      <c r="AZ167" s="4222">
        <v>0.44420254999999997</v>
      </c>
      <c r="BA167" s="4222">
        <v>0.44231526999999998</v>
      </c>
      <c r="BB167" s="4222">
        <v>0.21392091642775379</v>
      </c>
      <c r="BC167" s="4223">
        <v>5.3050993364277534</v>
      </c>
      <c r="BD167" s="800">
        <v>0.44683133700714606</v>
      </c>
      <c r="BE167" s="4166">
        <v>0.49963260747940896</v>
      </c>
      <c r="BF167" s="4166">
        <v>0.50127540106994639</v>
      </c>
      <c r="BG167" s="800">
        <v>0.49650142713854983</v>
      </c>
      <c r="BH167" s="800">
        <v>0.51080717937556253</v>
      </c>
      <c r="BI167" s="800">
        <v>0.51404783497852757</v>
      </c>
      <c r="BJ167" s="800">
        <v>0.47719612785435622</v>
      </c>
      <c r="BK167" s="800">
        <v>0.3678615715560894</v>
      </c>
      <c r="BL167" s="800">
        <v>0.27487597810385966</v>
      </c>
      <c r="BM167" s="800">
        <v>0.22321967072683291</v>
      </c>
      <c r="BN167" s="800">
        <v>0.20018515760265237</v>
      </c>
      <c r="BO167" s="800">
        <v>0.19999336000000001</v>
      </c>
      <c r="BP167" s="6690">
        <v>4.7124276528929316</v>
      </c>
      <c r="BQ167" s="6526">
        <v>0.22968309000000001</v>
      </c>
      <c r="BR167" s="6637">
        <v>0.38513278000000001</v>
      </c>
      <c r="BS167" s="6637">
        <v>0.40296744000000001</v>
      </c>
      <c r="BT167" s="6526">
        <v>0.42084356000000001</v>
      </c>
      <c r="BU167" s="6526">
        <v>0.52421439999999997</v>
      </c>
      <c r="BV167" s="6526">
        <v>0.54788767000000005</v>
      </c>
      <c r="BW167" s="6526">
        <v>0.61919712999999998</v>
      </c>
      <c r="BX167" s="6526">
        <v>0.32183969000000001</v>
      </c>
      <c r="BY167" s="6526">
        <v>0.63149904000000001</v>
      </c>
      <c r="BZ167" s="6526">
        <v>0.62321895999999999</v>
      </c>
      <c r="CA167" s="6526">
        <v>0.61045470000000002</v>
      </c>
      <c r="CB167" s="6526">
        <v>0.48561493999999999</v>
      </c>
      <c r="CC167" s="6671">
        <v>5.8025533999999999</v>
      </c>
      <c r="CD167" s="6526">
        <v>0.53696862000000001</v>
      </c>
      <c r="CE167" s="6637">
        <v>0.63766159</v>
      </c>
      <c r="CF167" s="4166"/>
      <c r="CG167" s="800"/>
      <c r="CH167" s="800"/>
      <c r="CI167" s="4224"/>
      <c r="CJ167" s="800"/>
      <c r="CK167" s="4224"/>
      <c r="CL167" s="4224"/>
      <c r="CM167" s="800"/>
      <c r="CN167" s="800"/>
      <c r="CO167" s="800"/>
      <c r="CP167" s="4087"/>
      <c r="CQ167" s="790"/>
      <c r="CR167" s="6869">
        <f t="shared" si="151"/>
        <v>0.10069296999999999</v>
      </c>
      <c r="CS167" s="6896">
        <f t="shared" si="152"/>
        <v>0.25252880999999999</v>
      </c>
      <c r="CT167" s="808"/>
      <c r="CU167" s="6924">
        <f t="shared" si="144"/>
        <v>1.1746302100000001</v>
      </c>
      <c r="CV167" s="6739"/>
      <c r="CW167" s="6953"/>
      <c r="CX167" s="6760">
        <f t="shared" si="145"/>
        <v>0.55981434000000008</v>
      </c>
      <c r="CY167" s="2775"/>
      <c r="CZ167" s="590"/>
      <c r="DA167" s="590"/>
      <c r="DB167" s="590"/>
      <c r="DC167" s="590"/>
      <c r="DD167" s="590"/>
      <c r="DE167" s="590"/>
      <c r="DF167" s="590"/>
      <c r="DG167" s="590"/>
      <c r="DH167" s="590"/>
      <c r="DI167" s="590"/>
      <c r="DJ167" s="590"/>
      <c r="DK167" s="590"/>
      <c r="DL167" s="590"/>
      <c r="DM167" s="590"/>
      <c r="DO167" s="4093">
        <f t="shared" si="211"/>
        <v>0.45433660717371638</v>
      </c>
      <c r="DP167" s="4093">
        <f t="shared" si="212"/>
        <v>0.4536960888888889</v>
      </c>
      <c r="DQ167" s="4093">
        <f t="shared" si="213"/>
        <v>-6.4051828482747375E-4</v>
      </c>
      <c r="DS167" s="2261"/>
      <c r="DT167" s="2261"/>
    </row>
    <row r="168" spans="1:124" ht="16.3" customHeight="1" x14ac:dyDescent="0.55000000000000004">
      <c r="A168" s="4151"/>
      <c r="B168" s="4158"/>
      <c r="C168" s="4158" t="s">
        <v>16</v>
      </c>
      <c r="D168" s="4158"/>
      <c r="E168" s="6247"/>
      <c r="F168" s="4158"/>
      <c r="G168" s="4158"/>
      <c r="H168" s="4158"/>
      <c r="I168" s="4158"/>
      <c r="J168" s="4158"/>
      <c r="K168" s="4158"/>
      <c r="L168" s="4158"/>
      <c r="M168" s="4158"/>
      <c r="N168" s="4158"/>
      <c r="O168" s="4158"/>
      <c r="P168" s="4158"/>
      <c r="Q168" s="4158"/>
      <c r="R168" s="4158"/>
      <c r="S168" s="4158"/>
      <c r="T168" s="4158"/>
      <c r="U168" s="4158"/>
      <c r="V168" s="4158"/>
      <c r="W168" s="4158"/>
      <c r="X168" s="4158"/>
      <c r="Y168" s="4158"/>
      <c r="Z168" s="4158"/>
      <c r="AA168" s="4158"/>
      <c r="AB168" s="4158"/>
      <c r="AC168" s="4158"/>
      <c r="AD168" s="4158"/>
      <c r="AE168" s="4158"/>
      <c r="AF168" s="4158"/>
      <c r="AG168" s="4158"/>
      <c r="AH168" s="4158"/>
      <c r="AI168" s="4158"/>
      <c r="AJ168" s="4158"/>
      <c r="AK168" s="4158"/>
      <c r="AL168" s="4158"/>
      <c r="AM168" s="4158"/>
      <c r="AN168" s="4158"/>
      <c r="AO168" s="3876"/>
      <c r="AP168" s="4161"/>
      <c r="AQ168" s="4222">
        <v>1.7091724322564301</v>
      </c>
      <c r="AR168" s="4222">
        <v>2.23722091</v>
      </c>
      <c r="AS168" s="4222">
        <v>2.1646587619991098</v>
      </c>
      <c r="AT168" s="4222">
        <v>1.72726321997717</v>
      </c>
      <c r="AU168" s="4222">
        <v>1.9982823700000001</v>
      </c>
      <c r="AV168" s="4222">
        <v>2.1075433000000001</v>
      </c>
      <c r="AW168" s="4222">
        <v>2.3856351999999998</v>
      </c>
      <c r="AX168" s="4222">
        <v>2.05046751004787</v>
      </c>
      <c r="AY168" s="4222">
        <v>1.8769094212139401</v>
      </c>
      <c r="AZ168" s="4222">
        <v>9.1343458327392995</v>
      </c>
      <c r="BA168" s="4222">
        <v>1.9080831099323499</v>
      </c>
      <c r="BB168" s="4222">
        <v>2.245058538575722</v>
      </c>
      <c r="BC168" s="4223">
        <v>31.544640606741893</v>
      </c>
      <c r="BD168" s="800">
        <v>4.5357834776443395</v>
      </c>
      <c r="BE168" s="4166">
        <v>3.0274826476185699</v>
      </c>
      <c r="BF168" s="4166">
        <v>2.7875337080364573</v>
      </c>
      <c r="BG168" s="800">
        <v>2.7758860387805675</v>
      </c>
      <c r="BH168" s="800">
        <v>2.8691461494619537</v>
      </c>
      <c r="BI168" s="800">
        <v>2.5469725410096156</v>
      </c>
      <c r="BJ168" s="800">
        <v>3.8542622105772071</v>
      </c>
      <c r="BK168" s="800">
        <v>4.1763214672843052</v>
      </c>
      <c r="BL168" s="800">
        <v>13.557783536335316</v>
      </c>
      <c r="BM168" s="800">
        <v>5.4223815018798254</v>
      </c>
      <c r="BN168" s="800">
        <v>3.9003584669850437</v>
      </c>
      <c r="BO168" s="800">
        <v>3.4563778204074578</v>
      </c>
      <c r="BP168" s="6690">
        <v>52.910289566020666</v>
      </c>
      <c r="BQ168" s="6526">
        <v>5.6157718896842805</v>
      </c>
      <c r="BR168" s="6637">
        <v>3.6130865839499426</v>
      </c>
      <c r="BS168" s="6637">
        <v>3.1918417487631343</v>
      </c>
      <c r="BT168" s="6526">
        <v>3.5034729271950824</v>
      </c>
      <c r="BU168" s="6526">
        <v>4.4017754143329171</v>
      </c>
      <c r="BV168" s="6526">
        <v>4.4056245037125681</v>
      </c>
      <c r="BW168" s="6526">
        <v>6.1351496024420165</v>
      </c>
      <c r="BX168" s="6526">
        <v>5.4236860798306159</v>
      </c>
      <c r="BY168" s="6526">
        <v>8.4867317978002745</v>
      </c>
      <c r="BZ168" s="6526">
        <v>4.2549657089467283</v>
      </c>
      <c r="CA168" s="6526">
        <v>4.8768182780879936</v>
      </c>
      <c r="CB168" s="6526">
        <v>4.1420860754986473</v>
      </c>
      <c r="CC168" s="6671">
        <v>58.051010610244198</v>
      </c>
      <c r="CD168" s="6526">
        <v>5.6635923353044202</v>
      </c>
      <c r="CE168" s="6637">
        <v>7.6578116698072876</v>
      </c>
      <c r="CF168" s="4166"/>
      <c r="CG168" s="800"/>
      <c r="CH168" s="800"/>
      <c r="CI168" s="4224"/>
      <c r="CJ168" s="800"/>
      <c r="CK168" s="4224"/>
      <c r="CL168" s="4224"/>
      <c r="CM168" s="800"/>
      <c r="CN168" s="800"/>
      <c r="CO168" s="800"/>
      <c r="CP168" s="4087"/>
      <c r="CQ168" s="790"/>
      <c r="CR168" s="6869">
        <f t="shared" si="151"/>
        <v>1.9942193345028674</v>
      </c>
      <c r="CS168" s="6896">
        <f t="shared" si="152"/>
        <v>4.0447250858573449</v>
      </c>
      <c r="CT168" s="808"/>
      <c r="CU168" s="6924">
        <f t="shared" si="144"/>
        <v>13.321404005111708</v>
      </c>
      <c r="CV168" s="6739"/>
      <c r="CW168" s="6953"/>
      <c r="CX168" s="6760">
        <f t="shared" si="145"/>
        <v>4.0925455314774855</v>
      </c>
      <c r="CY168" s="2775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O168" s="4093">
        <f t="shared" si="211"/>
        <v>4.4590190863053705</v>
      </c>
      <c r="DP168" s="4093">
        <f t="shared" si="212"/>
        <v>4.9752378386345368</v>
      </c>
      <c r="DQ168" s="4093">
        <f t="shared" si="213"/>
        <v>0.51621875232916636</v>
      </c>
      <c r="DS168" s="2261"/>
      <c r="DT168" s="2261"/>
    </row>
    <row r="169" spans="1:124" ht="16.3" customHeight="1" x14ac:dyDescent="0.55000000000000004">
      <c r="A169" s="4151"/>
      <c r="B169" s="4174" t="s">
        <v>17</v>
      </c>
      <c r="C169" s="4175"/>
      <c r="D169" s="4175"/>
      <c r="E169" s="4175"/>
      <c r="F169" s="4175"/>
      <c r="G169" s="4175"/>
      <c r="H169" s="4175"/>
      <c r="I169" s="4175"/>
      <c r="J169" s="4175"/>
      <c r="K169" s="4175"/>
      <c r="L169" s="4175"/>
      <c r="M169" s="4175"/>
      <c r="N169" s="4175"/>
      <c r="O169" s="4175"/>
      <c r="P169" s="4175"/>
      <c r="Q169" s="4175"/>
      <c r="R169" s="4175"/>
      <c r="S169" s="4175"/>
      <c r="T169" s="4175"/>
      <c r="U169" s="4175"/>
      <c r="V169" s="4175"/>
      <c r="W169" s="4175"/>
      <c r="X169" s="4175"/>
      <c r="Y169" s="4175"/>
      <c r="Z169" s="4175"/>
      <c r="AA169" s="4175"/>
      <c r="AB169" s="4175"/>
      <c r="AC169" s="4175"/>
      <c r="AD169" s="4175"/>
      <c r="AE169" s="4175"/>
      <c r="AF169" s="4175"/>
      <c r="AG169" s="4175"/>
      <c r="AH169" s="4175"/>
      <c r="AI169" s="4175"/>
      <c r="AJ169" s="4175"/>
      <c r="AK169" s="4175"/>
      <c r="AL169" s="4175"/>
      <c r="AM169" s="4175"/>
      <c r="AN169" s="4175"/>
      <c r="AO169" s="4176"/>
      <c r="AP169" s="4177"/>
      <c r="AQ169" s="4225">
        <v>0.78469619264848978</v>
      </c>
      <c r="AR169" s="4225">
        <v>-1.2221504791790054</v>
      </c>
      <c r="AS169" s="4225">
        <v>3.4039179675585376</v>
      </c>
      <c r="AT169" s="4225">
        <v>0.27353711151211169</v>
      </c>
      <c r="AU169" s="4225">
        <v>5.5556863281973401E-2</v>
      </c>
      <c r="AV169" s="4225">
        <v>2.6270555680646881</v>
      </c>
      <c r="AW169" s="4225">
        <v>1.2862984462317604</v>
      </c>
      <c r="AX169" s="4225">
        <v>5.7314307837990075E-2</v>
      </c>
      <c r="AY169" s="4225">
        <v>3.9924241319515579</v>
      </c>
      <c r="AZ169" s="4225">
        <v>1.5131723841591156</v>
      </c>
      <c r="BA169" s="4225">
        <v>0.89556682460469972</v>
      </c>
      <c r="BB169" s="4225">
        <v>-1.6844151657804178</v>
      </c>
      <c r="BC169" s="4226">
        <v>11.982974152891501</v>
      </c>
      <c r="BD169" s="814">
        <f>BD158-BD163-BD170</f>
        <v>3.1253146377582643</v>
      </c>
      <c r="BE169" s="814">
        <f>BE158-BE163-BE170</f>
        <v>2.7333906599460551</v>
      </c>
      <c r="BF169" s="814">
        <f t="shared" ref="BF169:BM169" si="228">BF158-BF163-BF170</f>
        <v>3.6472784727790102</v>
      </c>
      <c r="BG169" s="814">
        <f t="shared" si="228"/>
        <v>2.1020135052927573</v>
      </c>
      <c r="BH169" s="814">
        <f t="shared" si="228"/>
        <v>2.1612044484699653</v>
      </c>
      <c r="BI169" s="814">
        <f t="shared" si="228"/>
        <v>1.8080794399743307</v>
      </c>
      <c r="BJ169" s="814">
        <f t="shared" si="228"/>
        <v>2.7242758740850674</v>
      </c>
      <c r="BK169" s="814">
        <f t="shared" si="228"/>
        <v>0.93480314936228881</v>
      </c>
      <c r="BL169" s="814">
        <f t="shared" si="228"/>
        <v>3.6787974286770559</v>
      </c>
      <c r="BM169" s="814">
        <f t="shared" si="228"/>
        <v>2.5442226617933494</v>
      </c>
      <c r="BN169" s="814">
        <f>BN158-BN163-BN170</f>
        <v>2.0726069634121687</v>
      </c>
      <c r="BO169" s="814">
        <f>BO158-BO163-BO170</f>
        <v>2.2974416429260653</v>
      </c>
      <c r="BP169" s="6691">
        <v>29.884391067522927</v>
      </c>
      <c r="BQ169" s="6672">
        <f>BQ158-BQ163-BQ170</f>
        <v>5.1919827007767143</v>
      </c>
      <c r="BR169" s="6672">
        <f t="shared" ref="BR169" si="229">BR158-BR163-BR170</f>
        <v>-1.3236918023909765</v>
      </c>
      <c r="BS169" s="6672">
        <f t="shared" ref="BS169" si="230">BS158-BS163-BS170</f>
        <v>1.5846611752871356</v>
      </c>
      <c r="BT169" s="6672">
        <f t="shared" ref="BT169" si="231">BT158-BT163-BT170</f>
        <v>1.8888801238403676</v>
      </c>
      <c r="BU169" s="6672">
        <f t="shared" ref="BU169" si="232">BU158-BU163-BU170</f>
        <v>0.22504437500412822</v>
      </c>
      <c r="BV169" s="6672">
        <f t="shared" ref="BV169" si="233">BV158-BV163-BV170</f>
        <v>6.220161420406189</v>
      </c>
      <c r="BW169" s="6672">
        <f t="shared" ref="BW169" si="234">BW158-BW163-BW170</f>
        <v>4.4982364027279189</v>
      </c>
      <c r="BX169" s="6672">
        <f t="shared" ref="BX169" si="235">BX158-BX163-BX170</f>
        <v>4.8514697981797523</v>
      </c>
      <c r="BY169" s="6672">
        <f t="shared" ref="BY169" si="236">BY158-BY163-BY170</f>
        <v>8.3841179802830119</v>
      </c>
      <c r="BZ169" s="6672">
        <f t="shared" ref="BZ169" si="237">BZ158-BZ163-BZ170</f>
        <v>15.911146059727248</v>
      </c>
      <c r="CA169" s="6672">
        <f t="shared" ref="CA169" si="238">CA158-CA163-CA170</f>
        <v>5.5496322559588549</v>
      </c>
      <c r="CB169" s="6672">
        <f t="shared" ref="CB169" si="239">CB158-CB163-CB170</f>
        <v>14.545816018263951</v>
      </c>
      <c r="CC169" s="6673">
        <v>67.52745650806429</v>
      </c>
      <c r="CD169" s="6672">
        <f t="shared" ref="CD169" si="240">CD158-CD163-CD170</f>
        <v>9.8188875819318024</v>
      </c>
      <c r="CE169" s="6672">
        <f t="shared" ref="CE169" si="241">CE158-CE163-CE170</f>
        <v>10.544503696678007</v>
      </c>
      <c r="CF169" s="814"/>
      <c r="CG169" s="814"/>
      <c r="CH169" s="814"/>
      <c r="CI169" s="814"/>
      <c r="CJ169" s="814"/>
      <c r="CK169" s="814"/>
      <c r="CL169" s="814"/>
      <c r="CM169" s="814"/>
      <c r="CN169" s="814"/>
      <c r="CO169" s="814"/>
      <c r="CP169" s="4087"/>
      <c r="CQ169" s="790"/>
      <c r="CR169" s="6899">
        <f t="shared" si="151"/>
        <v>0.72561611474620413</v>
      </c>
      <c r="CS169" s="6900">
        <f t="shared" si="152"/>
        <v>11.868195499068984</v>
      </c>
      <c r="CT169" s="817"/>
      <c r="CU169" s="6966">
        <f t="shared" si="144"/>
        <v>20.363391278609811</v>
      </c>
      <c r="CV169" s="6739"/>
      <c r="CW169" s="6953"/>
      <c r="CX169" s="6761">
        <f t="shared" si="145"/>
        <v>16.495100380224073</v>
      </c>
      <c r="CY169" s="2775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O169" s="4093">
        <f t="shared" si="211"/>
        <v>2.5461286240383103</v>
      </c>
      <c r="DP169" s="4093">
        <f t="shared" si="212"/>
        <v>3.5023180193460268</v>
      </c>
      <c r="DQ169" s="4093">
        <f t="shared" si="213"/>
        <v>0.95618939530771652</v>
      </c>
      <c r="DS169" s="2261"/>
      <c r="DT169" s="2261"/>
    </row>
    <row r="170" spans="1:124" ht="16.3" customHeight="1" thickBot="1" x14ac:dyDescent="0.6">
      <c r="A170" s="4187"/>
      <c r="B170" s="1244"/>
      <c r="C170" s="1244" t="s">
        <v>600</v>
      </c>
      <c r="D170" s="1244"/>
      <c r="E170" s="1244"/>
      <c r="F170" s="1244"/>
      <c r="G170" s="1244"/>
      <c r="H170" s="1244"/>
      <c r="I170" s="1244"/>
      <c r="J170" s="1244"/>
      <c r="K170" s="1244"/>
      <c r="L170" s="1244"/>
      <c r="M170" s="1244"/>
      <c r="N170" s="1244"/>
      <c r="O170" s="1244"/>
      <c r="P170" s="1244"/>
      <c r="Q170" s="1244"/>
      <c r="R170" s="1244"/>
      <c r="S170" s="1244"/>
      <c r="T170" s="1244"/>
      <c r="U170" s="1244"/>
      <c r="V170" s="1244"/>
      <c r="W170" s="1244"/>
      <c r="X170" s="1244"/>
      <c r="Y170" s="1244"/>
      <c r="Z170" s="1244"/>
      <c r="AA170" s="1244"/>
      <c r="AB170" s="1244"/>
      <c r="AC170" s="1244"/>
      <c r="AD170" s="1244"/>
      <c r="AE170" s="1244"/>
      <c r="AF170" s="1244"/>
      <c r="AG170" s="1244"/>
      <c r="AH170" s="1244"/>
      <c r="AI170" s="1244"/>
      <c r="AJ170" s="1244"/>
      <c r="AK170" s="1244"/>
      <c r="AL170" s="1244"/>
      <c r="AM170" s="1244"/>
      <c r="AN170" s="1244"/>
      <c r="AO170" s="1244"/>
      <c r="AP170" s="4227"/>
      <c r="AQ170" s="4228">
        <v>0.74739814678134986</v>
      </c>
      <c r="AR170" s="4228">
        <v>2.3533095348282544</v>
      </c>
      <c r="AS170" s="4228">
        <v>1.163927557303627</v>
      </c>
      <c r="AT170" s="4228">
        <v>0.83575755803377749</v>
      </c>
      <c r="AU170" s="4228">
        <v>1.2546584134686591</v>
      </c>
      <c r="AV170" s="4228">
        <v>1.8550125777793938</v>
      </c>
      <c r="AW170" s="4228">
        <v>0.34761306717226942</v>
      </c>
      <c r="AX170" s="4228">
        <v>2.1920964607604474</v>
      </c>
      <c r="AY170" s="4228">
        <v>1.5542079202840859</v>
      </c>
      <c r="AZ170" s="4228">
        <v>1.3805419353036723</v>
      </c>
      <c r="BA170" s="4228">
        <v>0.8996471874929739</v>
      </c>
      <c r="BB170" s="4228">
        <v>1.9505178012635898</v>
      </c>
      <c r="BC170" s="4229">
        <v>16.534688160472097</v>
      </c>
      <c r="BD170" s="4193">
        <v>0.53506083990137765</v>
      </c>
      <c r="BE170" s="4193">
        <v>0.66485526022473906</v>
      </c>
      <c r="BF170" s="4193">
        <v>8.4533949433460695E-2</v>
      </c>
      <c r="BG170" s="4193">
        <v>0.89304987126574797</v>
      </c>
      <c r="BH170" s="4193">
        <v>1.1914470356979279</v>
      </c>
      <c r="BI170" s="4230">
        <v>1.6599514463721594</v>
      </c>
      <c r="BJ170" s="4230">
        <v>-0.25388045617958832</v>
      </c>
      <c r="BK170" s="4230">
        <v>1.9844989361214753</v>
      </c>
      <c r="BL170" s="4230">
        <v>-0.19209995299814664</v>
      </c>
      <c r="BM170" s="4230">
        <v>0.86869063215019704</v>
      </c>
      <c r="BN170" s="4230">
        <v>1.1292128512139938</v>
      </c>
      <c r="BO170" s="4230">
        <v>0.22375507276687201</v>
      </c>
      <c r="BP170" s="6692">
        <v>8.7343506449702151</v>
      </c>
      <c r="BQ170" s="6641">
        <v>-0.24653361284527842</v>
      </c>
      <c r="BR170" s="6642">
        <v>2.377747883500001</v>
      </c>
      <c r="BS170" s="6641">
        <v>0.58249538000000001</v>
      </c>
      <c r="BT170" s="6641">
        <v>0.65783323599999999</v>
      </c>
      <c r="BU170" s="6641">
        <v>1.8302072490000003</v>
      </c>
      <c r="BV170" s="6674">
        <v>0.4211196975</v>
      </c>
      <c r="BW170" s="6674">
        <v>0.90079103950000006</v>
      </c>
      <c r="BX170" s="6674">
        <v>2.4399828100000009</v>
      </c>
      <c r="BY170" s="6674">
        <v>0.46833058900000002</v>
      </c>
      <c r="BZ170" s="6674">
        <v>1.3031565996546535</v>
      </c>
      <c r="CA170" s="6674">
        <v>1.696777760000302</v>
      </c>
      <c r="CB170" s="6674">
        <v>1.1845109687179565</v>
      </c>
      <c r="CC170" s="6675">
        <v>13.616419600027635</v>
      </c>
      <c r="CD170" s="6641">
        <v>0.30926290839237103</v>
      </c>
      <c r="CE170" s="6642">
        <v>1.8972300952811318</v>
      </c>
      <c r="CF170" s="4193"/>
      <c r="CG170" s="4193"/>
      <c r="CH170" s="4193"/>
      <c r="CI170" s="4231"/>
      <c r="CJ170" s="4230"/>
      <c r="CK170" s="4231"/>
      <c r="CL170" s="4231"/>
      <c r="CM170" s="4230"/>
      <c r="CN170" s="4230"/>
      <c r="CO170" s="4230"/>
      <c r="CP170" s="4232"/>
      <c r="CQ170" s="4233"/>
      <c r="CR170" s="6901">
        <f t="shared" si="151"/>
        <v>1.5879671868887608</v>
      </c>
      <c r="CS170" s="6908">
        <f t="shared" si="152"/>
        <v>-0.48051778821886915</v>
      </c>
      <c r="CT170" s="818"/>
      <c r="CU170" s="6958">
        <f t="shared" si="144"/>
        <v>2.2064930036735029</v>
      </c>
      <c r="CV170" s="6970"/>
      <c r="CW170" s="6971"/>
      <c r="CX170" s="6764">
        <f t="shared" si="145"/>
        <v>7.5278733018780297E-2</v>
      </c>
      <c r="CY170" s="2775"/>
      <c r="CZ170" s="590"/>
      <c r="DA170" s="590"/>
      <c r="DB170" s="590"/>
      <c r="DC170" s="590"/>
      <c r="DD170" s="590"/>
      <c r="DE170" s="590"/>
      <c r="DF170" s="590"/>
      <c r="DG170" s="590"/>
      <c r="DH170" s="590"/>
      <c r="DI170" s="590"/>
      <c r="DJ170" s="590"/>
      <c r="DK170" s="590"/>
      <c r="DL170" s="590"/>
      <c r="DM170" s="590"/>
      <c r="DO170" s="4093">
        <f t="shared" si="211"/>
        <v>0.72971299220435037</v>
      </c>
      <c r="DP170" s="4093">
        <f t="shared" si="212"/>
        <v>1.0479971412949693</v>
      </c>
      <c r="DQ170" s="4093">
        <f t="shared" si="213"/>
        <v>0.31828414909061897</v>
      </c>
      <c r="DS170" s="2261"/>
      <c r="DT170" s="2261"/>
    </row>
    <row r="171" spans="1:124" ht="16.3" customHeight="1" x14ac:dyDescent="0.55000000000000004">
      <c r="A171" s="4197" t="s">
        <v>939</v>
      </c>
      <c r="B171" s="571" t="s">
        <v>598</v>
      </c>
      <c r="C171" s="1028"/>
      <c r="D171" s="1028"/>
      <c r="E171" s="1028"/>
      <c r="F171" s="1028"/>
      <c r="G171" s="1028"/>
      <c r="H171" s="1028"/>
      <c r="I171" s="1028"/>
      <c r="J171" s="1028"/>
      <c r="K171" s="1028"/>
      <c r="L171" s="1028"/>
      <c r="M171" s="1028"/>
      <c r="N171" s="1028"/>
      <c r="O171" s="1028"/>
      <c r="P171" s="1028"/>
      <c r="Q171" s="1028"/>
      <c r="R171" s="1028"/>
      <c r="S171" s="1028"/>
      <c r="T171" s="1028"/>
      <c r="U171" s="1028"/>
      <c r="V171" s="1028"/>
      <c r="W171" s="1028"/>
      <c r="X171" s="1028"/>
      <c r="Y171" s="1028"/>
      <c r="Z171" s="1028"/>
      <c r="AA171" s="1028"/>
      <c r="AB171" s="1028"/>
      <c r="AC171" s="1028"/>
      <c r="AD171" s="1028"/>
      <c r="AE171" s="1028"/>
      <c r="AF171" s="1028"/>
      <c r="AG171" s="1028"/>
      <c r="AH171" s="1028"/>
      <c r="AI171" s="1028"/>
      <c r="AJ171" s="1028"/>
      <c r="AK171" s="1028"/>
      <c r="AL171" s="1028"/>
      <c r="AM171" s="1028"/>
      <c r="AN171" s="1028"/>
      <c r="AO171" s="4142"/>
      <c r="AP171" s="4143"/>
      <c r="AQ171" s="4214"/>
      <c r="AR171" s="4214"/>
      <c r="AS171" s="4214"/>
      <c r="AT171" s="4214"/>
      <c r="AU171" s="4214"/>
      <c r="AV171" s="4214"/>
      <c r="AW171" s="4214"/>
      <c r="AX171" s="4214"/>
      <c r="AY171" s="4214"/>
      <c r="AZ171" s="4214"/>
      <c r="BA171" s="4214"/>
      <c r="BB171" s="4214"/>
      <c r="BC171" s="4215"/>
      <c r="BD171" s="789"/>
      <c r="BE171" s="789"/>
      <c r="BF171" s="789"/>
      <c r="BG171" s="789"/>
      <c r="BH171" s="789"/>
      <c r="BI171" s="789"/>
      <c r="BJ171" s="789"/>
      <c r="BK171" s="789"/>
      <c r="BL171" s="789"/>
      <c r="BM171" s="789"/>
      <c r="BN171" s="789"/>
      <c r="BO171" s="789"/>
      <c r="BP171" s="6693"/>
      <c r="BQ171" s="6553">
        <f>SUM(BQ172:BQ175)</f>
        <v>7.0987022099999999</v>
      </c>
      <c r="BR171" s="6553">
        <f t="shared" ref="BR171" si="242">SUM(BR172:BR175)</f>
        <v>13.071349269999999</v>
      </c>
      <c r="BS171" s="6553">
        <f t="shared" ref="BS171" si="243">SUM(BS172:BS175)</f>
        <v>12.81520192</v>
      </c>
      <c r="BT171" s="6553">
        <f t="shared" ref="BT171" si="244">SUM(BT172:BT175)</f>
        <v>11.667345110000001</v>
      </c>
      <c r="BU171" s="6553">
        <f t="shared" ref="BU171" si="245">SUM(BU172:BU175)</f>
        <v>13.317545079999999</v>
      </c>
      <c r="BV171" s="6553">
        <f t="shared" ref="BV171" si="246">SUM(BV172:BV175)</f>
        <v>14.4497476</v>
      </c>
      <c r="BW171" s="6553">
        <f t="shared" ref="BW171" si="247">SUM(BW172:BW175)</f>
        <v>20.791976239999997</v>
      </c>
      <c r="BX171" s="6553">
        <f t="shared" ref="BX171" si="248">SUM(BX172:BX175)</f>
        <v>15.24598319</v>
      </c>
      <c r="BY171" s="6553">
        <f t="shared" ref="BY171" si="249">SUM(BY172:BY175)</f>
        <v>20.852986529999999</v>
      </c>
      <c r="BZ171" s="6553">
        <f t="shared" ref="BZ171" si="250">SUM(BZ172:BZ175)</f>
        <v>14.325817320000001</v>
      </c>
      <c r="CA171" s="6553">
        <f t="shared" ref="CA171" si="251">SUM(CA172:CA175)</f>
        <v>11.75729261</v>
      </c>
      <c r="CB171" s="6553">
        <f t="shared" ref="CB171" si="252">SUM(CB172:CB175)</f>
        <v>7.5182487599999988</v>
      </c>
      <c r="CC171" s="6670">
        <v>162.91219584000001</v>
      </c>
      <c r="CD171" s="6553">
        <f t="shared" ref="CD171" si="253">SUM(CD172:CD175)</f>
        <v>12.097514969999999</v>
      </c>
      <c r="CE171" s="6553">
        <f t="shared" ref="CE171" si="254">SUM(CE172:CE175)</f>
        <v>8.9908431800000006</v>
      </c>
      <c r="CF171" s="789"/>
      <c r="CG171" s="789"/>
      <c r="CH171" s="789"/>
      <c r="CI171" s="789"/>
      <c r="CJ171" s="789"/>
      <c r="CK171" s="789"/>
      <c r="CL171" s="789"/>
      <c r="CM171" s="789"/>
      <c r="CN171" s="789"/>
      <c r="CO171" s="789"/>
      <c r="CP171" s="789">
        <f t="shared" ref="CP171:CQ171" si="255">CP172+CP173+CP174+CP175</f>
        <v>0</v>
      </c>
      <c r="CQ171" s="789">
        <f t="shared" si="255"/>
        <v>0</v>
      </c>
      <c r="CR171" s="6873">
        <f t="shared" si="151"/>
        <v>-3.1066717899999983</v>
      </c>
      <c r="CS171" s="6874">
        <f t="shared" si="152"/>
        <v>-4.0805060899999983</v>
      </c>
      <c r="CT171" s="795"/>
      <c r="CU171" s="6765">
        <f t="shared" si="144"/>
        <v>21.088358149999998</v>
      </c>
      <c r="CV171" s="6739"/>
      <c r="CW171" s="6953"/>
      <c r="CX171" s="6757">
        <f t="shared" si="145"/>
        <v>0.91830666999999977</v>
      </c>
      <c r="CY171" s="2775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O171" s="2261"/>
      <c r="DP171" s="2261"/>
      <c r="DS171" s="2261"/>
      <c r="DT171" s="2261"/>
    </row>
    <row r="172" spans="1:124" ht="16.3" customHeight="1" x14ac:dyDescent="0.55000000000000004">
      <c r="A172" s="4151"/>
      <c r="B172" s="1028"/>
      <c r="C172" s="1028" t="s">
        <v>10</v>
      </c>
      <c r="D172" s="1028"/>
      <c r="E172" s="1028"/>
      <c r="F172" s="1028"/>
      <c r="G172" s="1028"/>
      <c r="H172" s="1028"/>
      <c r="I172" s="1028"/>
      <c r="J172" s="1028"/>
      <c r="K172" s="1028"/>
      <c r="L172" s="1028"/>
      <c r="M172" s="1028"/>
      <c r="N172" s="1028"/>
      <c r="O172" s="1028"/>
      <c r="P172" s="1028"/>
      <c r="Q172" s="1028"/>
      <c r="R172" s="1028"/>
      <c r="S172" s="1028"/>
      <c r="T172" s="1028"/>
      <c r="U172" s="1028"/>
      <c r="V172" s="1028"/>
      <c r="W172" s="1028"/>
      <c r="X172" s="1028"/>
      <c r="Y172" s="1028"/>
      <c r="Z172" s="1028"/>
      <c r="AA172" s="1028"/>
      <c r="AB172" s="1028"/>
      <c r="AC172" s="1028"/>
      <c r="AD172" s="1028"/>
      <c r="AE172" s="1028"/>
      <c r="AF172" s="1028"/>
      <c r="AG172" s="1028"/>
      <c r="AH172" s="1028"/>
      <c r="AI172" s="1028"/>
      <c r="AJ172" s="1028"/>
      <c r="AK172" s="1028"/>
      <c r="AL172" s="1028"/>
      <c r="AM172" s="1028"/>
      <c r="AN172" s="1028"/>
      <c r="AO172" s="4142"/>
      <c r="AP172" s="4143"/>
      <c r="AQ172" s="4214"/>
      <c r="AR172" s="4214"/>
      <c r="AS172" s="4214"/>
      <c r="AT172" s="4214"/>
      <c r="AU172" s="4214"/>
      <c r="AV172" s="4214"/>
      <c r="AW172" s="4214"/>
      <c r="AX172" s="4214"/>
      <c r="AY172" s="4214"/>
      <c r="AZ172" s="4214"/>
      <c r="BA172" s="4214"/>
      <c r="BB172" s="4214"/>
      <c r="BC172" s="4215"/>
      <c r="BD172" s="789"/>
      <c r="BE172" s="3946"/>
      <c r="BF172" s="3946"/>
      <c r="BG172" s="789"/>
      <c r="BH172" s="789"/>
      <c r="BI172" s="789"/>
      <c r="BJ172" s="789"/>
      <c r="BK172" s="789"/>
      <c r="BL172" s="789"/>
      <c r="BM172" s="789"/>
      <c r="BN172" s="789"/>
      <c r="BO172" s="789"/>
      <c r="BP172" s="6694"/>
      <c r="BQ172" s="6553">
        <v>0.51711545999999997</v>
      </c>
      <c r="BR172" s="6632">
        <v>2.7941499900000002</v>
      </c>
      <c r="BS172" s="6632">
        <v>0.57386090999999995</v>
      </c>
      <c r="BT172" s="6553">
        <v>0.62865998999999995</v>
      </c>
      <c r="BU172" s="6553">
        <v>0.95185273000000004</v>
      </c>
      <c r="BV172" s="6553">
        <v>0.45255363999999998</v>
      </c>
      <c r="BW172" s="6553">
        <v>2.1738272799999998</v>
      </c>
      <c r="BX172" s="6553">
        <v>0.58194564000000004</v>
      </c>
      <c r="BY172" s="6553">
        <v>1.79600274</v>
      </c>
      <c r="BZ172" s="6553">
        <v>1.37095364</v>
      </c>
      <c r="CA172" s="6553">
        <v>0.58993726000000002</v>
      </c>
      <c r="CB172" s="6553">
        <v>0.41408726000000001</v>
      </c>
      <c r="CC172" s="6670">
        <v>12.84494654</v>
      </c>
      <c r="CD172" s="6553">
        <v>0.83412090999999999</v>
      </c>
      <c r="CE172" s="6632">
        <v>0.35461273999999998</v>
      </c>
      <c r="CF172" s="3946"/>
      <c r="CG172" s="789"/>
      <c r="CH172" s="789"/>
      <c r="CI172" s="3948"/>
      <c r="CJ172" s="789"/>
      <c r="CK172" s="3948"/>
      <c r="CL172" s="789"/>
      <c r="CM172" s="789"/>
      <c r="CN172" s="789"/>
      <c r="CO172" s="789"/>
      <c r="CP172" s="4087"/>
      <c r="CQ172" s="790"/>
      <c r="CR172" s="6873">
        <f t="shared" si="151"/>
        <v>-0.47950817000000001</v>
      </c>
      <c r="CS172" s="6874">
        <f t="shared" si="152"/>
        <v>-2.4395372500000003</v>
      </c>
      <c r="CT172" s="795"/>
      <c r="CU172" s="6765">
        <f t="shared" si="144"/>
        <v>1.1887336500000001</v>
      </c>
      <c r="CV172" s="6739"/>
      <c r="CW172" s="6953"/>
      <c r="CX172" s="6757">
        <f t="shared" si="145"/>
        <v>-2.1225318</v>
      </c>
      <c r="CY172" s="2775"/>
      <c r="CZ172" s="590"/>
      <c r="DA172" s="590"/>
      <c r="DB172" s="590"/>
      <c r="DC172" s="590"/>
      <c r="DD172" s="590"/>
      <c r="DE172" s="590"/>
      <c r="DF172" s="590"/>
      <c r="DG172" s="590"/>
      <c r="DH172" s="590"/>
      <c r="DI172" s="590"/>
      <c r="DJ172" s="590"/>
      <c r="DK172" s="590"/>
      <c r="DL172" s="590"/>
      <c r="DM172" s="590"/>
      <c r="DO172" s="2261"/>
      <c r="DP172" s="2261"/>
      <c r="DS172" s="2261"/>
      <c r="DT172" s="2261"/>
    </row>
    <row r="173" spans="1:124" ht="16.3" customHeight="1" x14ac:dyDescent="0.55000000000000004">
      <c r="A173" s="4151"/>
      <c r="B173" s="1028"/>
      <c r="C173" s="1028" t="s">
        <v>6</v>
      </c>
      <c r="D173" s="1028"/>
      <c r="E173" s="1028"/>
      <c r="F173" s="1028"/>
      <c r="G173" s="1028"/>
      <c r="H173" s="1028"/>
      <c r="I173" s="1028"/>
      <c r="J173" s="1028"/>
      <c r="K173" s="1028"/>
      <c r="L173" s="1028"/>
      <c r="M173" s="1028"/>
      <c r="N173" s="1028"/>
      <c r="O173" s="1028"/>
      <c r="P173" s="1028"/>
      <c r="Q173" s="1028"/>
      <c r="R173" s="1028"/>
      <c r="S173" s="1028"/>
      <c r="T173" s="1028"/>
      <c r="U173" s="1028"/>
      <c r="V173" s="1028"/>
      <c r="W173" s="1028"/>
      <c r="X173" s="1028"/>
      <c r="Y173" s="1028"/>
      <c r="Z173" s="1028"/>
      <c r="AA173" s="1028"/>
      <c r="AB173" s="1028"/>
      <c r="AC173" s="1028"/>
      <c r="AD173" s="1028"/>
      <c r="AE173" s="1028"/>
      <c r="AF173" s="1028"/>
      <c r="AG173" s="1028"/>
      <c r="AH173" s="1028"/>
      <c r="AI173" s="1028"/>
      <c r="AJ173" s="1028"/>
      <c r="AK173" s="1028"/>
      <c r="AL173" s="1028"/>
      <c r="AM173" s="1028"/>
      <c r="AN173" s="1028"/>
      <c r="AO173" s="4142"/>
      <c r="AP173" s="4143"/>
      <c r="AQ173" s="4214"/>
      <c r="AR173" s="4214"/>
      <c r="AS173" s="4214"/>
      <c r="AT173" s="4214"/>
      <c r="AU173" s="4214"/>
      <c r="AV173" s="4214"/>
      <c r="AW173" s="4214"/>
      <c r="AX173" s="4214"/>
      <c r="AY173" s="4214"/>
      <c r="AZ173" s="4214"/>
      <c r="BA173" s="4214"/>
      <c r="BB173" s="4214"/>
      <c r="BC173" s="4215"/>
      <c r="BD173" s="789"/>
      <c r="BE173" s="3946"/>
      <c r="BF173" s="3946"/>
      <c r="BG173" s="789"/>
      <c r="BH173" s="789"/>
      <c r="BI173" s="789"/>
      <c r="BJ173" s="789"/>
      <c r="BK173" s="789"/>
      <c r="BL173" s="789"/>
      <c r="BM173" s="789"/>
      <c r="BN173" s="789"/>
      <c r="BO173" s="789"/>
      <c r="BP173" s="6694"/>
      <c r="BQ173" s="6553">
        <v>5.3569555199999996</v>
      </c>
      <c r="BR173" s="6632">
        <v>8.7198194000000004</v>
      </c>
      <c r="BS173" s="6632">
        <v>10.45315091</v>
      </c>
      <c r="BT173" s="6553">
        <v>9.2148367800000006</v>
      </c>
      <c r="BU173" s="6553">
        <v>10.56159312</v>
      </c>
      <c r="BV173" s="6553">
        <v>11.67948518</v>
      </c>
      <c r="BW173" s="6553">
        <v>16.442858739999998</v>
      </c>
      <c r="BX173" s="6553">
        <v>12.7050526</v>
      </c>
      <c r="BY173" s="6553">
        <v>16.5944778</v>
      </c>
      <c r="BZ173" s="6553">
        <v>10.805914250000001</v>
      </c>
      <c r="CA173" s="6553">
        <v>9.0418626799999995</v>
      </c>
      <c r="CB173" s="6553">
        <v>5.2542440199999998</v>
      </c>
      <c r="CC173" s="6670">
        <v>126.830251</v>
      </c>
      <c r="CD173" s="6553">
        <v>9.3637640399999995</v>
      </c>
      <c r="CE173" s="6632">
        <v>6.8289696700000002</v>
      </c>
      <c r="CF173" s="3946"/>
      <c r="CG173" s="789"/>
      <c r="CH173" s="789"/>
      <c r="CI173" s="4184"/>
      <c r="CJ173" s="789"/>
      <c r="CK173" s="4184"/>
      <c r="CL173" s="789"/>
      <c r="CM173" s="789"/>
      <c r="CN173" s="789"/>
      <c r="CO173" s="789"/>
      <c r="CP173" s="4087"/>
      <c r="CQ173" s="790"/>
      <c r="CR173" s="6873">
        <f t="shared" si="151"/>
        <v>-2.5347943699999993</v>
      </c>
      <c r="CS173" s="6874">
        <f t="shared" si="152"/>
        <v>-1.8908497300000002</v>
      </c>
      <c r="CT173" s="795"/>
      <c r="CU173" s="6765">
        <f t="shared" si="144"/>
        <v>16.192733709999999</v>
      </c>
      <c r="CV173" s="6739"/>
      <c r="CW173" s="6953"/>
      <c r="CX173" s="6757">
        <f t="shared" si="145"/>
        <v>2.1159587899999988</v>
      </c>
      <c r="CY173" s="2775"/>
      <c r="CZ173" s="590"/>
      <c r="DA173" s="590"/>
      <c r="DB173" s="590"/>
      <c r="DC173" s="590"/>
      <c r="DD173" s="590"/>
      <c r="DE173" s="590"/>
      <c r="DF173" s="590"/>
      <c r="DG173" s="590"/>
      <c r="DH173" s="590"/>
      <c r="DI173" s="590"/>
      <c r="DJ173" s="590"/>
      <c r="DK173" s="590"/>
      <c r="DL173" s="590"/>
      <c r="DM173" s="590"/>
      <c r="DO173" s="2261"/>
      <c r="DP173" s="2261"/>
      <c r="DS173" s="2261"/>
      <c r="DT173" s="2261"/>
    </row>
    <row r="174" spans="1:124" ht="16.3" customHeight="1" x14ac:dyDescent="0.55000000000000004">
      <c r="A174" s="4151"/>
      <c r="B174" s="1028"/>
      <c r="C174" s="1028" t="s">
        <v>0</v>
      </c>
      <c r="D174" s="1028"/>
      <c r="E174" s="4379" t="s">
        <v>1107</v>
      </c>
      <c r="F174" s="1028"/>
      <c r="G174" s="1028"/>
      <c r="H174" s="1028"/>
      <c r="I174" s="1028"/>
      <c r="J174" s="1028"/>
      <c r="K174" s="1028"/>
      <c r="L174" s="1028"/>
      <c r="M174" s="1028"/>
      <c r="N174" s="1028"/>
      <c r="O174" s="1028"/>
      <c r="P174" s="1028"/>
      <c r="Q174" s="1028"/>
      <c r="R174" s="1028"/>
      <c r="S174" s="1028"/>
      <c r="T174" s="1028"/>
      <c r="U174" s="1028"/>
      <c r="V174" s="1028"/>
      <c r="W174" s="1028"/>
      <c r="X174" s="1028"/>
      <c r="Y174" s="1028"/>
      <c r="Z174" s="1028"/>
      <c r="AA174" s="1028"/>
      <c r="AB174" s="1028"/>
      <c r="AC174" s="1028"/>
      <c r="AD174" s="1028"/>
      <c r="AE174" s="1028"/>
      <c r="AF174" s="1028"/>
      <c r="AG174" s="1028"/>
      <c r="AH174" s="1028"/>
      <c r="AI174" s="1028"/>
      <c r="AJ174" s="1028"/>
      <c r="AK174" s="1028"/>
      <c r="AL174" s="1028"/>
      <c r="AM174" s="1028"/>
      <c r="AN174" s="1028"/>
      <c r="AO174" s="4142"/>
      <c r="AP174" s="4143"/>
      <c r="AQ174" s="4214"/>
      <c r="AR174" s="4214"/>
      <c r="AS174" s="4214"/>
      <c r="AT174" s="4214"/>
      <c r="AU174" s="4214"/>
      <c r="AV174" s="4214"/>
      <c r="AW174" s="4214"/>
      <c r="AX174" s="4214"/>
      <c r="AY174" s="4214"/>
      <c r="AZ174" s="4214"/>
      <c r="BA174" s="4214"/>
      <c r="BB174" s="4214"/>
      <c r="BC174" s="4215"/>
      <c r="BD174" s="789"/>
      <c r="BE174" s="3946"/>
      <c r="BF174" s="3946"/>
      <c r="BG174" s="789"/>
      <c r="BH174" s="789"/>
      <c r="BI174" s="789"/>
      <c r="BJ174" s="789"/>
      <c r="BK174" s="789"/>
      <c r="BL174" s="789"/>
      <c r="BM174" s="789"/>
      <c r="BN174" s="789"/>
      <c r="BO174" s="789"/>
      <c r="BP174" s="6694"/>
      <c r="BQ174" s="6553">
        <v>1.2109912300000001</v>
      </c>
      <c r="BR174" s="6632">
        <v>1.3641719800000001</v>
      </c>
      <c r="BS174" s="6632">
        <v>1.272375</v>
      </c>
      <c r="BT174" s="6553">
        <v>1.2368362399999999</v>
      </c>
      <c r="BU174" s="6553">
        <v>1.21934623</v>
      </c>
      <c r="BV174" s="6553">
        <v>1.20893378</v>
      </c>
      <c r="BW174" s="6553">
        <v>1.20399572</v>
      </c>
      <c r="BX174" s="6553">
        <v>1.1871303499999999</v>
      </c>
      <c r="BY174" s="6553">
        <v>1.19753519</v>
      </c>
      <c r="BZ174" s="6553">
        <v>1.19710483</v>
      </c>
      <c r="CA174" s="6553">
        <v>1.1588697699999999</v>
      </c>
      <c r="CB174" s="6553">
        <v>1.16898988</v>
      </c>
      <c r="CC174" s="6670">
        <v>14.626280200000002</v>
      </c>
      <c r="CD174" s="6553">
        <v>1.13039742</v>
      </c>
      <c r="CE174" s="6632">
        <v>1.1050161199999999</v>
      </c>
      <c r="CF174" s="3946"/>
      <c r="CG174" s="789"/>
      <c r="CH174" s="789"/>
      <c r="CI174" s="3948"/>
      <c r="CJ174" s="789"/>
      <c r="CK174" s="3948"/>
      <c r="CL174" s="789"/>
      <c r="CM174" s="789"/>
      <c r="CN174" s="789"/>
      <c r="CO174" s="789"/>
      <c r="CP174" s="4087"/>
      <c r="CQ174" s="790"/>
      <c r="CR174" s="6873">
        <f t="shared" si="151"/>
        <v>-2.5381300000000051E-2</v>
      </c>
      <c r="CS174" s="6874">
        <f t="shared" si="152"/>
        <v>-0.25915586000000013</v>
      </c>
      <c r="CT174" s="795"/>
      <c r="CU174" s="6765">
        <f t="shared" si="144"/>
        <v>2.2354135399999997</v>
      </c>
      <c r="CV174" s="6739"/>
      <c r="CW174" s="6953"/>
      <c r="CX174" s="6757">
        <f t="shared" si="145"/>
        <v>-0.33974967000000067</v>
      </c>
      <c r="CY174" s="2775"/>
      <c r="CZ174" s="590"/>
      <c r="DA174" s="590"/>
      <c r="DB174" s="590"/>
      <c r="DC174" s="590"/>
      <c r="DD174" s="590"/>
      <c r="DE174" s="590"/>
      <c r="DF174" s="590"/>
      <c r="DG174" s="590"/>
      <c r="DH174" s="590"/>
      <c r="DI174" s="590"/>
      <c r="DJ174" s="590"/>
      <c r="DK174" s="590"/>
      <c r="DL174" s="590"/>
      <c r="DM174" s="590"/>
      <c r="DO174" s="2261"/>
      <c r="DP174" s="2261"/>
      <c r="DS174" s="2261"/>
      <c r="DT174" s="2261"/>
    </row>
    <row r="175" spans="1:124" ht="16.3" customHeight="1" x14ac:dyDescent="0.55000000000000004">
      <c r="A175" s="4151"/>
      <c r="B175" s="1028"/>
      <c r="C175" s="1028" t="s">
        <v>7</v>
      </c>
      <c r="D175" s="1028"/>
      <c r="E175" s="1028"/>
      <c r="F175" s="1028"/>
      <c r="G175" s="1028"/>
      <c r="H175" s="1028"/>
      <c r="I175" s="1028"/>
      <c r="J175" s="1028"/>
      <c r="K175" s="1028"/>
      <c r="L175" s="1028"/>
      <c r="M175" s="1028"/>
      <c r="N175" s="1028"/>
      <c r="O175" s="1028"/>
      <c r="P175" s="1028"/>
      <c r="Q175" s="1028"/>
      <c r="R175" s="1028"/>
      <c r="S175" s="1028"/>
      <c r="T175" s="1028"/>
      <c r="U175" s="1028"/>
      <c r="V175" s="1028"/>
      <c r="W175" s="1028"/>
      <c r="X175" s="1028"/>
      <c r="Y175" s="1028"/>
      <c r="Z175" s="1028"/>
      <c r="AA175" s="1028"/>
      <c r="AB175" s="1028"/>
      <c r="AC175" s="1028"/>
      <c r="AD175" s="1028"/>
      <c r="AE175" s="1028"/>
      <c r="AF175" s="1028"/>
      <c r="AG175" s="1028"/>
      <c r="AH175" s="1028"/>
      <c r="AI175" s="1028"/>
      <c r="AJ175" s="1028"/>
      <c r="AK175" s="1028"/>
      <c r="AL175" s="1028"/>
      <c r="AM175" s="1028"/>
      <c r="AN175" s="1028"/>
      <c r="AO175" s="4142"/>
      <c r="AP175" s="4143"/>
      <c r="AQ175" s="4214"/>
      <c r="AR175" s="4214"/>
      <c r="AS175" s="4214"/>
      <c r="AT175" s="4214"/>
      <c r="AU175" s="4214"/>
      <c r="AV175" s="4214"/>
      <c r="AW175" s="4214"/>
      <c r="AX175" s="4214"/>
      <c r="AY175" s="4214"/>
      <c r="AZ175" s="4214"/>
      <c r="BA175" s="4214"/>
      <c r="BB175" s="4214"/>
      <c r="BC175" s="4215"/>
      <c r="BD175" s="789"/>
      <c r="BE175" s="3946"/>
      <c r="BF175" s="3946"/>
      <c r="BG175" s="789"/>
      <c r="BH175" s="789"/>
      <c r="BI175" s="789"/>
      <c r="BJ175" s="789"/>
      <c r="BK175" s="789"/>
      <c r="BL175" s="789"/>
      <c r="BM175" s="789"/>
      <c r="BN175" s="789"/>
      <c r="BO175" s="789"/>
      <c r="BP175" s="6694"/>
      <c r="BQ175" s="6553">
        <v>1.3639999999999999E-2</v>
      </c>
      <c r="BR175" s="6632">
        <v>0.19320789999999999</v>
      </c>
      <c r="BS175" s="6632">
        <v>0.51581509999999997</v>
      </c>
      <c r="BT175" s="6553">
        <v>0.58701210000000004</v>
      </c>
      <c r="BU175" s="6553">
        <v>0.58475299999999997</v>
      </c>
      <c r="BV175" s="6553">
        <v>1.1087750000000001</v>
      </c>
      <c r="BW175" s="6553">
        <v>0.97129449999999995</v>
      </c>
      <c r="BX175" s="6553">
        <v>0.77185459999999995</v>
      </c>
      <c r="BY175" s="6553">
        <v>1.2649708</v>
      </c>
      <c r="BZ175" s="6553">
        <v>0.95184460000000004</v>
      </c>
      <c r="CA175" s="6553">
        <v>0.96662289999999995</v>
      </c>
      <c r="CB175" s="6553">
        <v>0.68092759999999997</v>
      </c>
      <c r="CC175" s="6670">
        <v>8.6107180999999997</v>
      </c>
      <c r="CD175" s="6553">
        <v>0.76923260000000004</v>
      </c>
      <c r="CE175" s="6632">
        <v>0.70224465000000003</v>
      </c>
      <c r="CF175" s="3946"/>
      <c r="CG175" s="789"/>
      <c r="CH175" s="789"/>
      <c r="CI175" s="4184"/>
      <c r="CJ175" s="789"/>
      <c r="CK175" s="4184"/>
      <c r="CL175" s="789"/>
      <c r="CM175" s="789"/>
      <c r="CN175" s="789"/>
      <c r="CO175" s="789"/>
      <c r="CP175" s="4087"/>
      <c r="CQ175" s="790"/>
      <c r="CR175" s="6873">
        <f t="shared" si="151"/>
        <v>-6.6987950000000018E-2</v>
      </c>
      <c r="CS175" s="6874">
        <f t="shared" si="152"/>
        <v>0.50903675000000004</v>
      </c>
      <c r="CT175" s="795"/>
      <c r="CU175" s="6765">
        <f t="shared" si="144"/>
        <v>1.47147725</v>
      </c>
      <c r="CV175" s="6739"/>
      <c r="CW175" s="6953"/>
      <c r="CX175" s="6757">
        <f t="shared" si="145"/>
        <v>1.2646293499999999</v>
      </c>
      <c r="CY175" s="2775"/>
      <c r="CZ175" s="590"/>
      <c r="DA175" s="590"/>
      <c r="DB175" s="590"/>
      <c r="DC175" s="590"/>
      <c r="DD175" s="590"/>
      <c r="DE175" s="590"/>
      <c r="DF175" s="590"/>
      <c r="DG175" s="590"/>
      <c r="DH175" s="590"/>
      <c r="DI175" s="590"/>
      <c r="DJ175" s="590"/>
      <c r="DK175" s="590"/>
      <c r="DL175" s="590"/>
      <c r="DM175" s="590"/>
      <c r="DO175" s="2261"/>
      <c r="DP175" s="2261"/>
      <c r="DS175" s="2261"/>
      <c r="DT175" s="2261"/>
    </row>
    <row r="176" spans="1:124" x14ac:dyDescent="0.55000000000000004">
      <c r="B176" s="4221" t="s">
        <v>599</v>
      </c>
      <c r="C176" s="4158"/>
      <c r="D176" s="4158"/>
      <c r="E176" s="4158"/>
      <c r="F176" s="4158"/>
      <c r="G176" s="4158"/>
      <c r="H176" s="4158"/>
      <c r="I176" s="4158"/>
      <c r="J176" s="4158"/>
      <c r="K176" s="4158"/>
      <c r="L176" s="4158"/>
      <c r="M176" s="4158"/>
      <c r="N176" s="4158"/>
      <c r="O176" s="4158"/>
      <c r="P176" s="4158"/>
      <c r="Q176" s="4158"/>
      <c r="R176" s="4158"/>
      <c r="S176" s="4158"/>
      <c r="T176" s="4158"/>
      <c r="U176" s="4158"/>
      <c r="V176" s="4158"/>
      <c r="W176" s="4158"/>
      <c r="X176" s="4158"/>
      <c r="Y176" s="4158"/>
      <c r="Z176" s="4158"/>
      <c r="AA176" s="4158"/>
      <c r="AB176" s="4158"/>
      <c r="AC176" s="4158"/>
      <c r="AD176" s="4158"/>
      <c r="AE176" s="4158"/>
      <c r="AF176" s="4158"/>
      <c r="AG176" s="4158"/>
      <c r="AH176" s="4158"/>
      <c r="AI176" s="4158"/>
      <c r="AJ176" s="4158"/>
      <c r="AK176" s="4158"/>
      <c r="AL176" s="4158"/>
      <c r="AM176" s="4158"/>
      <c r="AN176" s="4158"/>
      <c r="AO176" s="4158"/>
      <c r="AP176" s="803"/>
      <c r="AQ176" s="4158"/>
      <c r="AR176" s="4158"/>
      <c r="AS176" s="4158"/>
      <c r="AT176" s="4158"/>
      <c r="AU176" s="4158"/>
      <c r="AV176" s="4158"/>
      <c r="AW176" s="4158"/>
      <c r="AX176" s="4158"/>
      <c r="AY176" s="4158"/>
      <c r="AZ176" s="4158"/>
      <c r="BA176" s="4158"/>
      <c r="BB176" s="4158"/>
      <c r="BC176" s="4158"/>
      <c r="BD176" s="4158"/>
      <c r="BE176" s="4158"/>
      <c r="BF176" s="4158"/>
      <c r="BG176" s="4158"/>
      <c r="BH176" s="4158"/>
      <c r="BI176" s="4158"/>
      <c r="BJ176" s="4158"/>
      <c r="BK176" s="4158"/>
      <c r="BL176" s="4158"/>
      <c r="BM176" s="4158"/>
      <c r="BN176" s="6248"/>
      <c r="BO176" s="4158"/>
      <c r="BP176" s="6694"/>
      <c r="BQ176" s="6681">
        <f>SUM(BQ177:BQ181)</f>
        <v>11.377763601318172</v>
      </c>
      <c r="BR176" s="6526">
        <f t="shared" ref="BR176" si="256">SUM(BR177:BR181)</f>
        <v>13.780593567009841</v>
      </c>
      <c r="BS176" s="6526">
        <f t="shared" ref="BS176" si="257">SUM(BS177:BS181)</f>
        <v>15.589123468975725</v>
      </c>
      <c r="BT176" s="6526">
        <f t="shared" ref="BT176" si="258">SUM(BT177:BT181)</f>
        <v>17.191636120390093</v>
      </c>
      <c r="BU176" s="6526">
        <f t="shared" ref="BU176" si="259">SUM(BU177:BU181)</f>
        <v>18.368781856617865</v>
      </c>
      <c r="BV176" s="6526">
        <f t="shared" ref="BV176" si="260">SUM(BV177:BV181)</f>
        <v>16.912273720323007</v>
      </c>
      <c r="BW176" s="6526">
        <f t="shared" ref="BW176" si="261">SUM(BW177:BW181)</f>
        <v>22.018846060698269</v>
      </c>
      <c r="BX176" s="6526">
        <f t="shared" ref="BX176" si="262">SUM(BX177:BX181)</f>
        <v>18.736666662571807</v>
      </c>
      <c r="BY176" s="6526">
        <f t="shared" ref="BY176" si="263">SUM(BY177:BY181)</f>
        <v>20.884541573401883</v>
      </c>
      <c r="BZ176" s="6526">
        <f t="shared" ref="BZ176" si="264">SUM(BZ177:BZ181)</f>
        <v>21.672493573494776</v>
      </c>
      <c r="CA176" s="6526">
        <f t="shared" ref="CA176" si="265">SUM(CA177:CA181)</f>
        <v>15.193501986361596</v>
      </c>
      <c r="CB176" s="6526">
        <f t="shared" ref="CB176" si="266">SUM(CB177:CB181)</f>
        <v>13.834531806518417</v>
      </c>
      <c r="CC176" s="6526">
        <f t="shared" ref="CC176:CE176" si="267">CC177+CC178+CC179+CC180+CC181</f>
        <v>205.56075399768147</v>
      </c>
      <c r="CD176" s="6681">
        <f t="shared" ref="CD176" si="268">SUM(CD177:CD181)</f>
        <v>11.57347652002934</v>
      </c>
      <c r="CE176" s="6526">
        <f t="shared" si="267"/>
        <v>10.906682797519958</v>
      </c>
      <c r="CF176" s="800"/>
      <c r="CG176" s="800"/>
      <c r="CH176" s="800"/>
      <c r="CI176" s="800"/>
      <c r="CJ176" s="800"/>
      <c r="CK176" s="800"/>
      <c r="CL176" s="800"/>
      <c r="CM176" s="800"/>
      <c r="CN176" s="800"/>
      <c r="CO176" s="800"/>
      <c r="CP176" s="800"/>
      <c r="CQ176" s="800"/>
      <c r="CR176" s="6869">
        <f t="shared" si="151"/>
        <v>-0.66679372250938229</v>
      </c>
      <c r="CS176" s="6635">
        <f t="shared" si="152"/>
        <v>-2.8739107694898838</v>
      </c>
      <c r="CT176" s="800"/>
      <c r="CU176" s="6924">
        <f t="shared" si="144"/>
        <v>22.480159317549298</v>
      </c>
      <c r="CV176" s="6972"/>
      <c r="CW176" s="6972"/>
      <c r="CX176" s="6972">
        <f t="shared" si="145"/>
        <v>-2.6781978507787159</v>
      </c>
    </row>
    <row r="177" spans="1:124" ht="16.3" customHeight="1" x14ac:dyDescent="0.55000000000000004">
      <c r="A177" s="4151"/>
      <c r="B177" s="4158"/>
      <c r="C177" s="4158" t="s">
        <v>41</v>
      </c>
      <c r="D177" s="4158"/>
      <c r="E177" s="4158"/>
      <c r="F177" s="4158"/>
      <c r="G177" s="4158"/>
      <c r="H177" s="4158"/>
      <c r="I177" s="4158"/>
      <c r="J177" s="4158"/>
      <c r="K177" s="4158"/>
      <c r="L177" s="4158"/>
      <c r="M177" s="4158"/>
      <c r="N177" s="4158"/>
      <c r="O177" s="4158"/>
      <c r="P177" s="4158"/>
      <c r="Q177" s="4158"/>
      <c r="R177" s="4158"/>
      <c r="S177" s="4158"/>
      <c r="T177" s="4158"/>
      <c r="U177" s="4158"/>
      <c r="V177" s="4158"/>
      <c r="W177" s="4158"/>
      <c r="X177" s="4158"/>
      <c r="Y177" s="4158"/>
      <c r="Z177" s="4158"/>
      <c r="AA177" s="4158"/>
      <c r="AB177" s="4158"/>
      <c r="AC177" s="4158"/>
      <c r="AD177" s="4158"/>
      <c r="AE177" s="4158"/>
      <c r="AF177" s="4158"/>
      <c r="AG177" s="4158"/>
      <c r="AH177" s="4158"/>
      <c r="AI177" s="4158"/>
      <c r="AJ177" s="4158"/>
      <c r="AK177" s="4158"/>
      <c r="AL177" s="4158"/>
      <c r="AM177" s="4158"/>
      <c r="AN177" s="4158"/>
      <c r="AO177" s="3876"/>
      <c r="AP177" s="4161"/>
      <c r="AQ177" s="4222"/>
      <c r="AR177" s="4222"/>
      <c r="AS177" s="4222"/>
      <c r="AT177" s="4222"/>
      <c r="AU177" s="4222"/>
      <c r="AV177" s="4222"/>
      <c r="AW177" s="4222"/>
      <c r="AX177" s="4222"/>
      <c r="AY177" s="4222"/>
      <c r="AZ177" s="4222"/>
      <c r="BA177" s="4222"/>
      <c r="BB177" s="4222"/>
      <c r="BC177" s="4223"/>
      <c r="BD177" s="800"/>
      <c r="BE177" s="4166"/>
      <c r="BF177" s="4166"/>
      <c r="BG177" s="800"/>
      <c r="BH177" s="800"/>
      <c r="BI177" s="800"/>
      <c r="BJ177" s="800"/>
      <c r="BK177" s="800"/>
      <c r="BL177" s="800"/>
      <c r="BM177" s="800"/>
      <c r="BN177" s="800"/>
      <c r="BO177" s="800"/>
      <c r="BP177" s="6694"/>
      <c r="BQ177" s="6526">
        <v>0.71640910000000002</v>
      </c>
      <c r="BR177" s="6637">
        <v>3.86542545</v>
      </c>
      <c r="BS177" s="6637">
        <v>0.82601363999999999</v>
      </c>
      <c r="BT177" s="6526">
        <v>0.90711724999999999</v>
      </c>
      <c r="BU177" s="6526">
        <v>1.2053418199999999</v>
      </c>
      <c r="BV177" s="6526">
        <v>0.59914451000000002</v>
      </c>
      <c r="BW177" s="6526">
        <v>2.9047527099999999</v>
      </c>
      <c r="BX177" s="6526">
        <v>0.81159183999999995</v>
      </c>
      <c r="BY177" s="6526">
        <v>2.3104917399999998</v>
      </c>
      <c r="BZ177" s="6526">
        <v>1.75646718</v>
      </c>
      <c r="CA177" s="6526">
        <v>0.89533362999999999</v>
      </c>
      <c r="CB177" s="6526">
        <v>0.54819454000000001</v>
      </c>
      <c r="CC177" s="6671">
        <v>17.346283410000002</v>
      </c>
      <c r="CD177" s="6526">
        <v>1.3119873200000001</v>
      </c>
      <c r="CE177" s="6637">
        <v>0.44771454999999999</v>
      </c>
      <c r="CF177" s="4166"/>
      <c r="CG177" s="800"/>
      <c r="CH177" s="800"/>
      <c r="CI177" s="3884"/>
      <c r="CJ177" s="800"/>
      <c r="CK177" s="3884"/>
      <c r="CL177" s="800"/>
      <c r="CM177" s="800"/>
      <c r="CN177" s="800"/>
      <c r="CO177" s="800"/>
      <c r="CP177" s="4087"/>
      <c r="CQ177" s="790"/>
      <c r="CR177" s="6869">
        <f t="shared" si="151"/>
        <v>-0.86427277000000013</v>
      </c>
      <c r="CS177" s="6896">
        <f t="shared" si="152"/>
        <v>-3.4177108999999999</v>
      </c>
      <c r="CT177" s="808"/>
      <c r="CU177" s="6924">
        <f t="shared" si="144"/>
        <v>1.75970187</v>
      </c>
      <c r="CV177" s="6739"/>
      <c r="CW177" s="6953"/>
      <c r="CX177" s="6760">
        <f t="shared" si="145"/>
        <v>-2.8221326800000002</v>
      </c>
      <c r="CY177" s="2775"/>
      <c r="CZ177" s="590"/>
      <c r="DA177" s="590"/>
      <c r="DB177" s="590"/>
      <c r="DC177" s="590"/>
      <c r="DD177" s="590"/>
      <c r="DE177" s="590"/>
      <c r="DF177" s="590"/>
      <c r="DG177" s="590"/>
      <c r="DH177" s="590"/>
      <c r="DI177" s="590"/>
      <c r="DJ177" s="590"/>
      <c r="DK177" s="590"/>
      <c r="DL177" s="590"/>
      <c r="DM177" s="590"/>
      <c r="DO177" s="2261"/>
      <c r="DP177" s="2261"/>
      <c r="DS177" s="2261"/>
      <c r="DT177" s="2261"/>
    </row>
    <row r="178" spans="1:124" ht="16.3" customHeight="1" x14ac:dyDescent="0.55000000000000004">
      <c r="A178" s="4151"/>
      <c r="B178" s="4158"/>
      <c r="C178" s="4158" t="s">
        <v>13</v>
      </c>
      <c r="D178" s="4158"/>
      <c r="E178" s="4158"/>
      <c r="F178" s="4158"/>
      <c r="G178" s="4158"/>
      <c r="H178" s="4158"/>
      <c r="I178" s="4158"/>
      <c r="J178" s="4158"/>
      <c r="K178" s="4158"/>
      <c r="L178" s="4158"/>
      <c r="M178" s="4158"/>
      <c r="N178" s="4158"/>
      <c r="O178" s="4158"/>
      <c r="P178" s="4158"/>
      <c r="Q178" s="4158"/>
      <c r="R178" s="4158"/>
      <c r="S178" s="4158"/>
      <c r="T178" s="4158"/>
      <c r="U178" s="4158"/>
      <c r="V178" s="4158"/>
      <c r="W178" s="4158"/>
      <c r="X178" s="4158"/>
      <c r="Y178" s="4158"/>
      <c r="Z178" s="4158"/>
      <c r="AA178" s="4158"/>
      <c r="AB178" s="4158"/>
      <c r="AC178" s="4158"/>
      <c r="AD178" s="4158"/>
      <c r="AE178" s="4158"/>
      <c r="AF178" s="4158"/>
      <c r="AG178" s="4158"/>
      <c r="AH178" s="4158"/>
      <c r="AI178" s="4158"/>
      <c r="AJ178" s="4158"/>
      <c r="AK178" s="4158"/>
      <c r="AL178" s="4158"/>
      <c r="AM178" s="4158"/>
      <c r="AN178" s="4158"/>
      <c r="AO178" s="3876"/>
      <c r="AP178" s="4161"/>
      <c r="AQ178" s="4222"/>
      <c r="AR178" s="4222"/>
      <c r="AS178" s="4222"/>
      <c r="AT178" s="4222"/>
      <c r="AU178" s="4222"/>
      <c r="AV178" s="4222"/>
      <c r="AW178" s="4222"/>
      <c r="AX178" s="4222"/>
      <c r="AY178" s="4222"/>
      <c r="AZ178" s="4222"/>
      <c r="BA178" s="4222"/>
      <c r="BB178" s="4222"/>
      <c r="BC178" s="4223"/>
      <c r="BD178" s="800"/>
      <c r="BE178" s="4166"/>
      <c r="BF178" s="4166"/>
      <c r="BG178" s="800"/>
      <c r="BH178" s="800"/>
      <c r="BI178" s="800"/>
      <c r="BJ178" s="800"/>
      <c r="BK178" s="800"/>
      <c r="BL178" s="800"/>
      <c r="BM178" s="800"/>
      <c r="BN178" s="800"/>
      <c r="BO178" s="800"/>
      <c r="BP178" s="6694"/>
      <c r="BQ178" s="6681">
        <v>7.3742112366550181</v>
      </c>
      <c r="BR178" s="6637">
        <v>6.1842758501032948</v>
      </c>
      <c r="BS178" s="6637">
        <v>8.633835737464036</v>
      </c>
      <c r="BT178" s="6526">
        <v>8.7132750325769859</v>
      </c>
      <c r="BU178" s="6526">
        <v>8.1466078764875434</v>
      </c>
      <c r="BV178" s="6526">
        <v>8.6000436793512218</v>
      </c>
      <c r="BW178" s="6526">
        <v>8.8017744779932148</v>
      </c>
      <c r="BX178" s="6526">
        <v>7.3255081503693411</v>
      </c>
      <c r="BY178" s="6526">
        <v>9.7684181164490109</v>
      </c>
      <c r="BZ178" s="6526">
        <v>8.7357335278501385</v>
      </c>
      <c r="CA178" s="6526">
        <v>7.6546251625611461</v>
      </c>
      <c r="CB178" s="6526">
        <v>6.669158479669087</v>
      </c>
      <c r="CC178" s="6671">
        <v>96.607467327530046</v>
      </c>
      <c r="CD178" s="6526">
        <v>5.5954829345004358</v>
      </c>
      <c r="CE178" s="6637">
        <v>4.185549643829364</v>
      </c>
      <c r="CF178" s="4166"/>
      <c r="CG178" s="800"/>
      <c r="CH178" s="800"/>
      <c r="CI178" s="4224"/>
      <c r="CJ178" s="800"/>
      <c r="CK178" s="4224"/>
      <c r="CL178" s="800"/>
      <c r="CM178" s="800"/>
      <c r="CN178" s="800"/>
      <c r="CO178" s="800"/>
      <c r="CP178" s="4087"/>
      <c r="CQ178" s="790"/>
      <c r="CR178" s="6869">
        <f t="shared" si="151"/>
        <v>-1.4099332906710718</v>
      </c>
      <c r="CS178" s="6896">
        <f t="shared" si="152"/>
        <v>-1.9987262062739308</v>
      </c>
      <c r="CT178" s="808"/>
      <c r="CU178" s="6924">
        <f t="shared" si="144"/>
        <v>9.7810325783297998</v>
      </c>
      <c r="CV178" s="6739"/>
      <c r="CW178" s="6953"/>
      <c r="CX178" s="6760">
        <f t="shared" si="145"/>
        <v>-3.7774545084285123</v>
      </c>
      <c r="CY178" s="2775"/>
      <c r="CZ178" s="590"/>
      <c r="DA178" s="590"/>
      <c r="DB178" s="590"/>
      <c r="DC178" s="590"/>
      <c r="DD178" s="590"/>
      <c r="DE178" s="590"/>
      <c r="DF178" s="590"/>
      <c r="DG178" s="590"/>
      <c r="DH178" s="590"/>
      <c r="DI178" s="590"/>
      <c r="DJ178" s="590"/>
      <c r="DK178" s="590"/>
      <c r="DL178" s="590"/>
      <c r="DM178" s="590"/>
      <c r="DO178" s="2261"/>
      <c r="DP178" s="2261"/>
      <c r="DS178" s="2261"/>
      <c r="DT178" s="2261"/>
    </row>
    <row r="179" spans="1:124" ht="16.3" customHeight="1" x14ac:dyDescent="0.55000000000000004">
      <c r="A179" s="4151"/>
      <c r="B179" s="4158"/>
      <c r="C179" s="4158" t="s">
        <v>42</v>
      </c>
      <c r="D179" s="4158"/>
      <c r="E179" s="4158"/>
      <c r="F179" s="4158"/>
      <c r="G179" s="4158"/>
      <c r="H179" s="4158"/>
      <c r="I179" s="4158"/>
      <c r="J179" s="4158"/>
      <c r="K179" s="4158"/>
      <c r="L179" s="4158"/>
      <c r="M179" s="4158"/>
      <c r="N179" s="4158"/>
      <c r="O179" s="4158"/>
      <c r="P179" s="4158"/>
      <c r="Q179" s="4158"/>
      <c r="R179" s="4158"/>
      <c r="S179" s="4158"/>
      <c r="T179" s="4158"/>
      <c r="U179" s="4158"/>
      <c r="V179" s="4158"/>
      <c r="W179" s="4158"/>
      <c r="X179" s="4158"/>
      <c r="Y179" s="4158"/>
      <c r="Z179" s="4158"/>
      <c r="AA179" s="4158"/>
      <c r="AB179" s="4158"/>
      <c r="AC179" s="4158"/>
      <c r="AD179" s="4158"/>
      <c r="AE179" s="4158"/>
      <c r="AF179" s="4158"/>
      <c r="AG179" s="4158"/>
      <c r="AH179" s="4158"/>
      <c r="AI179" s="4158"/>
      <c r="AJ179" s="4158"/>
      <c r="AK179" s="4158"/>
      <c r="AL179" s="4158"/>
      <c r="AM179" s="4158"/>
      <c r="AN179" s="4158"/>
      <c r="AO179" s="3876"/>
      <c r="AP179" s="4161"/>
      <c r="AQ179" s="4222"/>
      <c r="AR179" s="4222"/>
      <c r="AS179" s="4222"/>
      <c r="AT179" s="4222"/>
      <c r="AU179" s="4222"/>
      <c r="AV179" s="4222"/>
      <c r="AW179" s="4222"/>
      <c r="AX179" s="4222"/>
      <c r="AY179" s="4222"/>
      <c r="AZ179" s="4222"/>
      <c r="BA179" s="4222"/>
      <c r="BB179" s="4222"/>
      <c r="BC179" s="4223"/>
      <c r="BD179" s="800"/>
      <c r="BE179" s="4166"/>
      <c r="BF179" s="4166"/>
      <c r="BG179" s="800"/>
      <c r="BH179" s="800"/>
      <c r="BI179" s="800"/>
      <c r="BJ179" s="800"/>
      <c r="BK179" s="800"/>
      <c r="BL179" s="800"/>
      <c r="BM179" s="800"/>
      <c r="BN179" s="800"/>
      <c r="BO179" s="800"/>
      <c r="BP179" s="6694"/>
      <c r="BQ179" s="6526">
        <v>2.6425338200000001</v>
      </c>
      <c r="BR179" s="6637">
        <v>2.6303095500000002</v>
      </c>
      <c r="BS179" s="6637">
        <v>4.6336322699999997</v>
      </c>
      <c r="BT179" s="6526">
        <v>6.5126472</v>
      </c>
      <c r="BU179" s="6526">
        <v>7.9611752999999998</v>
      </c>
      <c r="BV179" s="6526">
        <v>6.6979291500000002</v>
      </c>
      <c r="BW179" s="6526">
        <v>9.1818255400000002</v>
      </c>
      <c r="BX179" s="6526">
        <v>9.6723374399999997</v>
      </c>
      <c r="BY179" s="6526">
        <v>7.8907824</v>
      </c>
      <c r="BZ179" s="6526">
        <v>10.26141917</v>
      </c>
      <c r="CA179" s="6526">
        <v>5.8026807600000003</v>
      </c>
      <c r="CB179" s="6526">
        <v>5.64206159</v>
      </c>
      <c r="CC179" s="6671">
        <v>79.52933419</v>
      </c>
      <c r="CD179" s="6526">
        <v>3.80605372</v>
      </c>
      <c r="CE179" s="6637">
        <v>5.4885768099999996</v>
      </c>
      <c r="CF179" s="4166"/>
      <c r="CG179" s="800"/>
      <c r="CH179" s="800"/>
      <c r="CI179" s="3899"/>
      <c r="CJ179" s="800"/>
      <c r="CK179" s="3899"/>
      <c r="CL179" s="800"/>
      <c r="CM179" s="800"/>
      <c r="CN179" s="800"/>
      <c r="CO179" s="800"/>
      <c r="CP179" s="4087"/>
      <c r="CQ179" s="790"/>
      <c r="CR179" s="6869">
        <f t="shared" si="151"/>
        <v>1.6825230899999997</v>
      </c>
      <c r="CS179" s="6896">
        <f t="shared" si="152"/>
        <v>2.8582672599999994</v>
      </c>
      <c r="CT179" s="808"/>
      <c r="CU179" s="6924">
        <f t="shared" si="144"/>
        <v>9.2946305299999992</v>
      </c>
      <c r="CV179" s="6739"/>
      <c r="CW179" s="6953"/>
      <c r="CX179" s="6760">
        <f t="shared" si="145"/>
        <v>4.0217871599999988</v>
      </c>
      <c r="CY179" s="2775"/>
      <c r="CZ179" s="590"/>
      <c r="DA179" s="590"/>
      <c r="DB179" s="590"/>
      <c r="DC179" s="590"/>
      <c r="DD179" s="590"/>
      <c r="DE179" s="590"/>
      <c r="DF179" s="590"/>
      <c r="DG179" s="590"/>
      <c r="DH179" s="590"/>
      <c r="DI179" s="590"/>
      <c r="DJ179" s="590"/>
      <c r="DK179" s="590"/>
      <c r="DL179" s="590"/>
      <c r="DM179" s="590"/>
      <c r="DO179" s="2261"/>
      <c r="DP179" s="2261"/>
      <c r="DS179" s="2261"/>
      <c r="DT179" s="2261"/>
    </row>
    <row r="180" spans="1:124" ht="16.3" customHeight="1" x14ac:dyDescent="0.55000000000000004">
      <c r="A180" s="4151"/>
      <c r="B180" s="4158"/>
      <c r="C180" s="4158" t="s">
        <v>14</v>
      </c>
      <c r="D180" s="4158"/>
      <c r="E180" s="6247" t="s">
        <v>1203</v>
      </c>
      <c r="F180" s="4158"/>
      <c r="G180" s="4158"/>
      <c r="H180" s="4158"/>
      <c r="I180" s="4158"/>
      <c r="J180" s="4158"/>
      <c r="K180" s="4158"/>
      <c r="L180" s="4158"/>
      <c r="M180" s="4158"/>
      <c r="N180" s="4158"/>
      <c r="O180" s="4158"/>
      <c r="P180" s="4158"/>
      <c r="Q180" s="4158"/>
      <c r="R180" s="4158"/>
      <c r="S180" s="4158"/>
      <c r="T180" s="4158"/>
      <c r="U180" s="4158"/>
      <c r="V180" s="4158"/>
      <c r="W180" s="4158"/>
      <c r="X180" s="4158"/>
      <c r="Y180" s="4158"/>
      <c r="Z180" s="4158"/>
      <c r="AA180" s="4158"/>
      <c r="AB180" s="4158"/>
      <c r="AC180" s="4158"/>
      <c r="AD180" s="4158"/>
      <c r="AE180" s="4158"/>
      <c r="AF180" s="4158"/>
      <c r="AG180" s="4158"/>
      <c r="AH180" s="4158"/>
      <c r="AI180" s="4158"/>
      <c r="AJ180" s="4158"/>
      <c r="AK180" s="4158"/>
      <c r="AL180" s="4158"/>
      <c r="AM180" s="4158"/>
      <c r="AN180" s="4158"/>
      <c r="AO180" s="3876"/>
      <c r="AP180" s="4161"/>
      <c r="AQ180" s="4222"/>
      <c r="AR180" s="4222"/>
      <c r="AS180" s="4222"/>
      <c r="AT180" s="4222"/>
      <c r="AU180" s="4222"/>
      <c r="AV180" s="4222"/>
      <c r="AW180" s="4222"/>
      <c r="AX180" s="4222"/>
      <c r="AY180" s="4222"/>
      <c r="AZ180" s="4222"/>
      <c r="BA180" s="4222"/>
      <c r="BB180" s="4222"/>
      <c r="BC180" s="4223"/>
      <c r="BD180" s="800"/>
      <c r="BE180" s="4166"/>
      <c r="BF180" s="4166"/>
      <c r="BG180" s="800"/>
      <c r="BH180" s="800"/>
      <c r="BI180" s="800"/>
      <c r="BJ180" s="800"/>
      <c r="BK180" s="800"/>
      <c r="BL180" s="800"/>
      <c r="BM180" s="800"/>
      <c r="BN180" s="800"/>
      <c r="BO180" s="800"/>
      <c r="BP180" s="6694"/>
      <c r="BQ180" s="6526">
        <v>7.5349150000000004E-2</v>
      </c>
      <c r="BR180" s="6637">
        <v>0.37832009</v>
      </c>
      <c r="BS180" s="6637">
        <v>0.55641194999999999</v>
      </c>
      <c r="BT180" s="6526">
        <v>0.23169349</v>
      </c>
      <c r="BU180" s="6526">
        <v>0.25822068999999997</v>
      </c>
      <c r="BV180" s="6526">
        <v>0.27509021</v>
      </c>
      <c r="BW180" s="6526">
        <v>0.24734115000000001</v>
      </c>
      <c r="BX180" s="6526">
        <v>0.24730915000000001</v>
      </c>
      <c r="BY180" s="6526">
        <v>0.25919152847777055</v>
      </c>
      <c r="BZ180" s="6526">
        <v>0.25126404004073188</v>
      </c>
      <c r="CA180" s="6526">
        <v>0.24879911033969149</v>
      </c>
      <c r="CB180" s="6526">
        <v>0.21061056649238558</v>
      </c>
      <c r="CC180" s="6671">
        <v>3.2396011253505792</v>
      </c>
      <c r="CD180" s="6526">
        <v>0.27421225507088681</v>
      </c>
      <c r="CE180" s="6637">
        <v>0.29337717082747267</v>
      </c>
      <c r="CF180" s="4166"/>
      <c r="CG180" s="800"/>
      <c r="CH180" s="800"/>
      <c r="CI180" s="4224"/>
      <c r="CJ180" s="800"/>
      <c r="CK180" s="4224"/>
      <c r="CL180" s="800"/>
      <c r="CM180" s="800"/>
      <c r="CN180" s="800"/>
      <c r="CO180" s="800"/>
      <c r="CP180" s="4087"/>
      <c r="CQ180" s="790"/>
      <c r="CR180" s="6869">
        <f t="shared" si="151"/>
        <v>1.9164915756585854E-2</v>
      </c>
      <c r="CS180" s="6896">
        <f t="shared" si="152"/>
        <v>-8.4942919172527331E-2</v>
      </c>
      <c r="CT180" s="808"/>
      <c r="CU180" s="6924">
        <f t="shared" si="144"/>
        <v>0.56758942589835948</v>
      </c>
      <c r="CV180" s="6739"/>
      <c r="CW180" s="6953"/>
      <c r="CX180" s="6760">
        <f t="shared" si="145"/>
        <v>0.11392018589835951</v>
      </c>
      <c r="CY180" s="2775"/>
      <c r="CZ180" s="590"/>
      <c r="DA180" s="590"/>
      <c r="DB180" s="590"/>
      <c r="DC180" s="590"/>
      <c r="DD180" s="590"/>
      <c r="DE180" s="590"/>
      <c r="DF180" s="590"/>
      <c r="DG180" s="590"/>
      <c r="DH180" s="590"/>
      <c r="DI180" s="590"/>
      <c r="DJ180" s="590"/>
      <c r="DK180" s="590"/>
      <c r="DL180" s="590"/>
      <c r="DM180" s="590"/>
      <c r="DO180" s="2261"/>
      <c r="DP180" s="2261"/>
      <c r="DS180" s="2261"/>
      <c r="DT180" s="2261"/>
    </row>
    <row r="181" spans="1:124" ht="16.3" customHeight="1" x14ac:dyDescent="0.55000000000000004">
      <c r="A181" s="4151"/>
      <c r="B181" s="4158"/>
      <c r="C181" s="4158" t="s">
        <v>16</v>
      </c>
      <c r="D181" s="4158"/>
      <c r="E181" s="6247"/>
      <c r="F181" s="4158"/>
      <c r="G181" s="4158"/>
      <c r="H181" s="4158"/>
      <c r="I181" s="4158"/>
      <c r="J181" s="4158"/>
      <c r="K181" s="4158"/>
      <c r="L181" s="4158"/>
      <c r="M181" s="4158"/>
      <c r="N181" s="4158"/>
      <c r="O181" s="4158"/>
      <c r="P181" s="4158"/>
      <c r="Q181" s="4158"/>
      <c r="R181" s="4158"/>
      <c r="S181" s="4158"/>
      <c r="T181" s="4158"/>
      <c r="U181" s="4158"/>
      <c r="V181" s="4158"/>
      <c r="W181" s="4158"/>
      <c r="X181" s="4158"/>
      <c r="Y181" s="4158"/>
      <c r="Z181" s="4158"/>
      <c r="AA181" s="4158"/>
      <c r="AB181" s="4158"/>
      <c r="AC181" s="4158"/>
      <c r="AD181" s="4158"/>
      <c r="AE181" s="4158"/>
      <c r="AF181" s="4158"/>
      <c r="AG181" s="4158"/>
      <c r="AH181" s="4158"/>
      <c r="AI181" s="4158"/>
      <c r="AJ181" s="4158"/>
      <c r="AK181" s="4158"/>
      <c r="AL181" s="4158"/>
      <c r="AM181" s="4158"/>
      <c r="AN181" s="4158"/>
      <c r="AO181" s="3876"/>
      <c r="AP181" s="4161"/>
      <c r="AQ181" s="4222"/>
      <c r="AR181" s="4222"/>
      <c r="AS181" s="4222"/>
      <c r="AT181" s="4222"/>
      <c r="AU181" s="4222"/>
      <c r="AV181" s="4222"/>
      <c r="AW181" s="4222"/>
      <c r="AX181" s="4222"/>
      <c r="AY181" s="4222"/>
      <c r="AZ181" s="4222"/>
      <c r="BA181" s="4222"/>
      <c r="BB181" s="4222"/>
      <c r="BC181" s="4223"/>
      <c r="BD181" s="800"/>
      <c r="BE181" s="4166"/>
      <c r="BF181" s="4166"/>
      <c r="BG181" s="800"/>
      <c r="BH181" s="800"/>
      <c r="BI181" s="800"/>
      <c r="BJ181" s="800"/>
      <c r="BK181" s="800"/>
      <c r="BL181" s="800"/>
      <c r="BM181" s="800"/>
      <c r="BN181" s="800"/>
      <c r="BO181" s="800"/>
      <c r="BP181" s="6694"/>
      <c r="BQ181" s="6526">
        <v>0.56926029466315398</v>
      </c>
      <c r="BR181" s="6637">
        <v>0.72226262690654608</v>
      </c>
      <c r="BS181" s="6637">
        <v>0.93922987151169135</v>
      </c>
      <c r="BT181" s="6526">
        <v>0.82690314781310681</v>
      </c>
      <c r="BU181" s="6526">
        <v>0.7974361701303232</v>
      </c>
      <c r="BV181" s="6526">
        <v>0.7400661709717874</v>
      </c>
      <c r="BW181" s="6526">
        <v>0.88315218270505402</v>
      </c>
      <c r="BX181" s="6526">
        <v>0.67992008220246525</v>
      </c>
      <c r="BY181" s="6526">
        <v>0.6556577884750997</v>
      </c>
      <c r="BZ181" s="6526">
        <v>0.66760965560390861</v>
      </c>
      <c r="CA181" s="6526">
        <v>0.59206332346075896</v>
      </c>
      <c r="CB181" s="6526">
        <v>0.76450663035694288</v>
      </c>
      <c r="CC181" s="6671">
        <v>8.8380679448008372</v>
      </c>
      <c r="CD181" s="6526">
        <v>0.58574029045801679</v>
      </c>
      <c r="CE181" s="6637">
        <v>0.4914646228631212</v>
      </c>
      <c r="CF181" s="4166"/>
      <c r="CG181" s="800"/>
      <c r="CH181" s="800"/>
      <c r="CI181" s="4224"/>
      <c r="CJ181" s="800"/>
      <c r="CK181" s="4224"/>
      <c r="CL181" s="800"/>
      <c r="CM181" s="800"/>
      <c r="CN181" s="800"/>
      <c r="CO181" s="800"/>
      <c r="CP181" s="4087"/>
      <c r="CQ181" s="790"/>
      <c r="CR181" s="6869">
        <f t="shared" si="151"/>
        <v>-9.4275667594895585E-2</v>
      </c>
      <c r="CS181" s="6896">
        <f t="shared" si="152"/>
        <v>-0.23079800404342488</v>
      </c>
      <c r="CT181" s="808"/>
      <c r="CU181" s="6924">
        <f t="shared" si="144"/>
        <v>1.0772049133211379</v>
      </c>
      <c r="CV181" s="6739"/>
      <c r="CW181" s="6953"/>
      <c r="CX181" s="6760">
        <f t="shared" si="145"/>
        <v>-0.21431800824856229</v>
      </c>
      <c r="CY181" s="2775"/>
      <c r="CZ181" s="590"/>
      <c r="DA181" s="590"/>
      <c r="DB181" s="590"/>
      <c r="DC181" s="590"/>
      <c r="DD181" s="590"/>
      <c r="DE181" s="590"/>
      <c r="DF181" s="590"/>
      <c r="DG181" s="590"/>
      <c r="DH181" s="590"/>
      <c r="DI181" s="590"/>
      <c r="DJ181" s="590"/>
      <c r="DK181" s="590"/>
      <c r="DL181" s="590"/>
      <c r="DM181" s="590"/>
      <c r="DO181" s="2261"/>
      <c r="DP181" s="2261"/>
      <c r="DS181" s="2261"/>
      <c r="DT181" s="2261"/>
    </row>
    <row r="182" spans="1:124" ht="16.3" customHeight="1" x14ac:dyDescent="0.55000000000000004">
      <c r="A182" s="4151"/>
      <c r="B182" s="4174" t="s">
        <v>17</v>
      </c>
      <c r="C182" s="4175"/>
      <c r="D182" s="4175"/>
      <c r="E182" s="4175"/>
      <c r="F182" s="4175"/>
      <c r="G182" s="4175"/>
      <c r="H182" s="4175"/>
      <c r="I182" s="4175"/>
      <c r="J182" s="4175"/>
      <c r="K182" s="4175"/>
      <c r="L182" s="4175"/>
      <c r="M182" s="4175"/>
      <c r="N182" s="4175"/>
      <c r="O182" s="4175"/>
      <c r="P182" s="4175"/>
      <c r="Q182" s="4175"/>
      <c r="R182" s="4175"/>
      <c r="S182" s="4175"/>
      <c r="T182" s="4175"/>
      <c r="U182" s="4175"/>
      <c r="V182" s="4175"/>
      <c r="W182" s="4175"/>
      <c r="X182" s="4175"/>
      <c r="Y182" s="4175"/>
      <c r="Z182" s="4175"/>
      <c r="AA182" s="4175"/>
      <c r="AB182" s="4175"/>
      <c r="AC182" s="4175"/>
      <c r="AD182" s="4175"/>
      <c r="AE182" s="4175"/>
      <c r="AF182" s="4175"/>
      <c r="AG182" s="4175"/>
      <c r="AH182" s="4175"/>
      <c r="AI182" s="4175"/>
      <c r="AJ182" s="4175"/>
      <c r="AK182" s="4175"/>
      <c r="AL182" s="4175"/>
      <c r="AM182" s="4175"/>
      <c r="AN182" s="4175"/>
      <c r="AO182" s="4176"/>
      <c r="AP182" s="4177"/>
      <c r="AQ182" s="4225"/>
      <c r="AR182" s="4225"/>
      <c r="AS182" s="4225"/>
      <c r="AT182" s="4225"/>
      <c r="AU182" s="4225"/>
      <c r="AV182" s="4225"/>
      <c r="AW182" s="4225"/>
      <c r="AX182" s="4225"/>
      <c r="AY182" s="4225"/>
      <c r="AZ182" s="4225"/>
      <c r="BA182" s="4225"/>
      <c r="BB182" s="4225"/>
      <c r="BC182" s="4226"/>
      <c r="BD182" s="814"/>
      <c r="BE182" s="814"/>
      <c r="BF182" s="814"/>
      <c r="BG182" s="814"/>
      <c r="BH182" s="814"/>
      <c r="BI182" s="814"/>
      <c r="BJ182" s="814"/>
      <c r="BK182" s="814"/>
      <c r="BL182" s="814"/>
      <c r="BM182" s="814"/>
      <c r="BN182" s="814"/>
      <c r="BO182" s="814"/>
      <c r="BP182" s="6694"/>
      <c r="BQ182" s="6672">
        <f>BQ171-BQ176-BQ183</f>
        <v>-4.1804479461800605</v>
      </c>
      <c r="BR182" s="6672">
        <f t="shared" ref="BR182" si="269">BR171-BR176-BR183</f>
        <v>-1.6603434504098429</v>
      </c>
      <c r="BS182" s="6672">
        <f t="shared" ref="BS182" si="270">BS171-BS176-BS183</f>
        <v>-3.0069197009757249</v>
      </c>
      <c r="BT182" s="6672">
        <f t="shared" ref="BT182" si="271">BT171-BT176-BT183</f>
        <v>-5.7874243047900924</v>
      </c>
      <c r="BU182" s="6672">
        <f t="shared" ref="BU182" si="272">BU171-BU176-BU183</f>
        <v>-5.7833196762178662</v>
      </c>
      <c r="BV182" s="6672">
        <f t="shared" ref="BV182" si="273">BV171-BV176-BV183</f>
        <v>-2.630973999323007</v>
      </c>
      <c r="BW182" s="6672">
        <f t="shared" ref="BW182" si="274">BW171-BW176-BW183</f>
        <v>-1.5871862364982727</v>
      </c>
      <c r="BX182" s="6672">
        <f t="shared" ref="BX182" si="275">BX171-BX176-BX183</f>
        <v>-4.4666765965718067</v>
      </c>
      <c r="BY182" s="6672">
        <f t="shared" ref="BY182" si="276">BY171-BY176-BY183</f>
        <v>-0.21888727900188387</v>
      </c>
      <c r="BZ182" s="6672">
        <f t="shared" ref="BZ182" si="277">BZ171-BZ176-BZ183</f>
        <v>-7.8679388933566372</v>
      </c>
      <c r="CA182" s="6672">
        <f t="shared" ref="CA182" si="278">CA171-CA176-CA183</f>
        <v>-4.1149204803617163</v>
      </c>
      <c r="CB182" s="6672">
        <f t="shared" ref="CB182" si="279">CB171-CB176-CB183</f>
        <v>-6.7900874340056001</v>
      </c>
      <c r="CC182" s="6673">
        <v>-48.095125997692513</v>
      </c>
      <c r="CD182" s="6672">
        <f t="shared" ref="CD182" si="280">CD171-CD176-CD183</f>
        <v>0.42095081383986865</v>
      </c>
      <c r="CE182" s="6672">
        <f t="shared" ref="CE182" si="281">CE171-CE176-CE183</f>
        <v>-2.5482496492803346</v>
      </c>
      <c r="CF182" s="814"/>
      <c r="CG182" s="814"/>
      <c r="CH182" s="814"/>
      <c r="CI182" s="814"/>
      <c r="CJ182" s="814"/>
      <c r="CK182" s="814"/>
      <c r="CL182" s="814"/>
      <c r="CM182" s="814"/>
      <c r="CN182" s="814"/>
      <c r="CO182" s="814"/>
      <c r="CP182" s="4087"/>
      <c r="CQ182" s="790"/>
      <c r="CR182" s="6899">
        <f t="shared" si="151"/>
        <v>-2.9692004631202034</v>
      </c>
      <c r="CS182" s="6900">
        <f t="shared" si="152"/>
        <v>-0.88790619887049171</v>
      </c>
      <c r="CT182" s="817"/>
      <c r="CU182" s="6766">
        <f t="shared" si="144"/>
        <v>-2.1272988354404658</v>
      </c>
      <c r="CV182" s="6739"/>
      <c r="CW182" s="6953"/>
      <c r="CX182" s="6761">
        <f t="shared" si="145"/>
        <v>3.7134925611494376</v>
      </c>
      <c r="CY182" s="2775"/>
      <c r="CZ182" s="590"/>
      <c r="DA182" s="590"/>
      <c r="DB182" s="590"/>
      <c r="DC182" s="590"/>
      <c r="DD182" s="590"/>
      <c r="DE182" s="590"/>
      <c r="DF182" s="590"/>
      <c r="DG182" s="590"/>
      <c r="DH182" s="590"/>
      <c r="DI182" s="590"/>
      <c r="DJ182" s="590"/>
      <c r="DK182" s="590"/>
      <c r="DL182" s="590"/>
      <c r="DM182" s="590"/>
      <c r="DO182" s="2261"/>
      <c r="DP182" s="2261"/>
      <c r="DS182" s="2261"/>
      <c r="DT182" s="2261"/>
    </row>
    <row r="183" spans="1:124" ht="16.3" customHeight="1" thickBot="1" x14ac:dyDescent="0.6">
      <c r="A183" s="4187"/>
      <c r="B183" s="1244"/>
      <c r="C183" s="1244" t="s">
        <v>600</v>
      </c>
      <c r="D183" s="1244"/>
      <c r="E183" s="1244"/>
      <c r="F183" s="1244"/>
      <c r="G183" s="1244"/>
      <c r="H183" s="1244"/>
      <c r="I183" s="1244"/>
      <c r="J183" s="1244"/>
      <c r="K183" s="1244"/>
      <c r="L183" s="1244"/>
      <c r="M183" s="1244"/>
      <c r="N183" s="1244"/>
      <c r="O183" s="1244"/>
      <c r="P183" s="1244"/>
      <c r="Q183" s="1244"/>
      <c r="R183" s="1244"/>
      <c r="S183" s="1244"/>
      <c r="T183" s="1244"/>
      <c r="U183" s="1244"/>
      <c r="V183" s="1244"/>
      <c r="W183" s="1244"/>
      <c r="X183" s="1244"/>
      <c r="Y183" s="1244"/>
      <c r="Z183" s="1244"/>
      <c r="AA183" s="1244"/>
      <c r="AB183" s="1244"/>
      <c r="AC183" s="1244"/>
      <c r="AD183" s="1244"/>
      <c r="AE183" s="1244"/>
      <c r="AF183" s="1244"/>
      <c r="AG183" s="1244"/>
      <c r="AH183" s="1244"/>
      <c r="AI183" s="1244"/>
      <c r="AJ183" s="1244"/>
      <c r="AK183" s="1244"/>
      <c r="AL183" s="1244"/>
      <c r="AM183" s="1244"/>
      <c r="AN183" s="1244"/>
      <c r="AO183" s="1244"/>
      <c r="AP183" s="4227"/>
      <c r="AQ183" s="4228"/>
      <c r="AR183" s="4228"/>
      <c r="AS183" s="4228"/>
      <c r="AT183" s="4228"/>
      <c r="AU183" s="4228"/>
      <c r="AV183" s="4228"/>
      <c r="AW183" s="4228"/>
      <c r="AX183" s="4228"/>
      <c r="AY183" s="4228"/>
      <c r="AZ183" s="4228"/>
      <c r="BA183" s="4228"/>
      <c r="BB183" s="4228"/>
      <c r="BC183" s="4229"/>
      <c r="BD183" s="4193"/>
      <c r="BE183" s="4193"/>
      <c r="BF183" s="4193"/>
      <c r="BG183" s="4193"/>
      <c r="BH183" s="4193"/>
      <c r="BI183" s="4230"/>
      <c r="BJ183" s="4230"/>
      <c r="BK183" s="4230"/>
      <c r="BL183" s="4230"/>
      <c r="BM183" s="4230"/>
      <c r="BN183" s="4230"/>
      <c r="BO183" s="4230"/>
      <c r="BP183" s="6694"/>
      <c r="BQ183" s="6641">
        <v>-9.8613445138111364E-2</v>
      </c>
      <c r="BR183" s="6642">
        <v>0.9510991534000004</v>
      </c>
      <c r="BS183" s="6641">
        <v>0.23299815200000001</v>
      </c>
      <c r="BT183" s="6641">
        <v>0.2631332944</v>
      </c>
      <c r="BU183" s="6641">
        <v>0.73208289959999995</v>
      </c>
      <c r="BV183" s="6674">
        <v>0.16844787900000002</v>
      </c>
      <c r="BW183" s="6674">
        <v>0.36031641580000001</v>
      </c>
      <c r="BX183" s="6674">
        <v>0.97599312400000016</v>
      </c>
      <c r="BY183" s="6674">
        <v>0.18733223560000001</v>
      </c>
      <c r="BZ183" s="6674">
        <v>0.52126263986186139</v>
      </c>
      <c r="CA183" s="6674">
        <v>0.6787111040001208</v>
      </c>
      <c r="CB183" s="6674">
        <v>0.47380438748718262</v>
      </c>
      <c r="CC183" s="6675">
        <v>5.4465678400110535</v>
      </c>
      <c r="CD183" s="6641">
        <v>0.10308763613079033</v>
      </c>
      <c r="CE183" s="6642">
        <v>0.63241003176037736</v>
      </c>
      <c r="CF183" s="4193"/>
      <c r="CG183" s="4193"/>
      <c r="CH183" s="4193"/>
      <c r="CI183" s="4231"/>
      <c r="CJ183" s="4230"/>
      <c r="CK183" s="4231"/>
      <c r="CL183" s="4230"/>
      <c r="CM183" s="4230"/>
      <c r="CN183" s="4230"/>
      <c r="CO183" s="4230"/>
      <c r="CP183" s="4232"/>
      <c r="CQ183" s="4233"/>
      <c r="CR183" s="6901">
        <f t="shared" si="151"/>
        <v>0.52932239562958705</v>
      </c>
      <c r="CS183" s="6908">
        <f t="shared" si="152"/>
        <v>-0.31868912163962304</v>
      </c>
      <c r="CT183" s="818"/>
      <c r="CU183" s="6958">
        <f t="shared" si="144"/>
        <v>0.73549766789116766</v>
      </c>
      <c r="CV183" s="6970"/>
      <c r="CW183" s="6971"/>
      <c r="CX183" s="6764">
        <f t="shared" si="145"/>
        <v>-0.11698804037072141</v>
      </c>
      <c r="CY183" s="2775"/>
      <c r="CZ183" s="590"/>
      <c r="DA183" s="590"/>
      <c r="DB183" s="590"/>
      <c r="DC183" s="590"/>
      <c r="DD183" s="590"/>
      <c r="DE183" s="590"/>
      <c r="DF183" s="590"/>
      <c r="DG183" s="590"/>
      <c r="DH183" s="590"/>
      <c r="DI183" s="590"/>
      <c r="DJ183" s="590"/>
      <c r="DK183" s="590"/>
      <c r="DL183" s="590"/>
      <c r="DM183" s="590"/>
      <c r="DO183" s="2261"/>
      <c r="DP183" s="2261"/>
      <c r="DS183" s="2261"/>
      <c r="DT183" s="2261"/>
    </row>
    <row r="184" spans="1:124" x14ac:dyDescent="0.55000000000000004">
      <c r="AQ184" s="4234"/>
      <c r="BD184" s="4235"/>
      <c r="BE184" s="4235"/>
      <c r="BF184" s="4235"/>
      <c r="BG184" s="4235"/>
      <c r="BH184" s="4235"/>
      <c r="BI184" s="4235"/>
      <c r="BJ184" s="4235"/>
      <c r="BK184" s="4235"/>
      <c r="BL184" s="4235"/>
      <c r="BM184" s="4235"/>
      <c r="BO184" s="4235"/>
      <c r="BP184" s="4235"/>
      <c r="BQ184" s="4235"/>
      <c r="BS184" s="4235"/>
      <c r="BT184" s="4235"/>
      <c r="BU184" s="4235"/>
      <c r="BV184" s="4235"/>
      <c r="BW184" s="4235"/>
      <c r="BX184" s="4235"/>
      <c r="BY184" s="4235"/>
      <c r="BZ184" s="4235"/>
      <c r="CB184" s="4235"/>
      <c r="CC184" s="4235"/>
      <c r="CD184" s="4235"/>
      <c r="CF184" s="4235"/>
      <c r="CG184" s="4235"/>
      <c r="CH184" s="4235"/>
      <c r="CI184" s="4235"/>
      <c r="CJ184" s="4235"/>
      <c r="CK184" s="4235"/>
      <c r="CL184" s="4235"/>
      <c r="CM184" s="4235"/>
      <c r="CO184" s="4235"/>
      <c r="DO184" s="2261"/>
      <c r="DP184" s="2261"/>
      <c r="DS184" s="2261"/>
      <c r="DT184" s="2261"/>
    </row>
    <row r="192" spans="1:124" ht="15.45" thickBot="1" x14ac:dyDescent="0.6">
      <c r="BD192" s="7077"/>
      <c r="BE192" s="7077"/>
      <c r="BF192" s="7077"/>
      <c r="BG192" s="7077"/>
      <c r="BH192" s="7077"/>
      <c r="BI192" s="7077"/>
      <c r="BJ192" s="7077"/>
      <c r="BK192" s="7077"/>
      <c r="BL192" s="7077"/>
      <c r="BM192" s="7077"/>
      <c r="BN192" s="7078"/>
      <c r="BO192" s="7077"/>
      <c r="BP192" s="7077"/>
      <c r="BQ192" s="7077"/>
      <c r="BR192" s="7079"/>
      <c r="BS192" s="7077"/>
      <c r="BT192" s="7077"/>
      <c r="BU192" s="7077"/>
      <c r="BV192" s="7077"/>
      <c r="BW192" s="7077"/>
      <c r="BX192" s="7077"/>
      <c r="BY192" s="7077"/>
      <c r="BZ192" s="7077"/>
      <c r="CA192" s="7078"/>
      <c r="CB192" s="7077"/>
      <c r="CC192" s="7077"/>
      <c r="CD192" s="7077"/>
      <c r="CE192" s="7079"/>
      <c r="CF192" s="7077"/>
      <c r="CG192" s="7077"/>
      <c r="CH192" s="7077"/>
      <c r="CI192" s="7077"/>
      <c r="CJ192" s="7077"/>
      <c r="CK192" s="7077"/>
      <c r="CL192" s="7077"/>
      <c r="CM192" s="7077"/>
      <c r="CN192" s="7078"/>
      <c r="CO192" s="7077"/>
      <c r="CP192" s="7077"/>
      <c r="CQ192" s="7077"/>
      <c r="CR192" s="7077"/>
      <c r="CS192" s="7077"/>
    </row>
    <row r="193" spans="1:98" ht="16.75" thickBot="1" x14ac:dyDescent="0.6">
      <c r="A193" s="7066" t="s">
        <v>124</v>
      </c>
      <c r="B193" s="7067"/>
      <c r="C193" s="7067"/>
      <c r="D193" s="7068"/>
      <c r="E193" s="3715" t="s">
        <v>125</v>
      </c>
      <c r="F193" s="4236" t="s">
        <v>642</v>
      </c>
      <c r="G193" s="4237" t="s">
        <v>643</v>
      </c>
      <c r="H193" s="4237" t="s">
        <v>644</v>
      </c>
      <c r="I193" s="4237" t="s">
        <v>645</v>
      </c>
      <c r="J193" s="4237" t="s">
        <v>646</v>
      </c>
      <c r="K193" s="4237" t="s">
        <v>647</v>
      </c>
      <c r="L193" s="4237" t="s">
        <v>648</v>
      </c>
      <c r="M193" s="4237" t="s">
        <v>649</v>
      </c>
      <c r="N193" s="4237" t="s">
        <v>650</v>
      </c>
      <c r="O193" s="4237" t="s">
        <v>651</v>
      </c>
      <c r="P193" s="4237" t="s">
        <v>652</v>
      </c>
      <c r="Q193" s="4238" t="s">
        <v>653</v>
      </c>
      <c r="R193" s="4239" t="s">
        <v>654</v>
      </c>
      <c r="S193" s="4239" t="s">
        <v>655</v>
      </c>
      <c r="T193" s="4239" t="s">
        <v>656</v>
      </c>
      <c r="U193" s="4239" t="s">
        <v>657</v>
      </c>
      <c r="V193" s="4239" t="s">
        <v>658</v>
      </c>
      <c r="W193" s="4239" t="s">
        <v>659</v>
      </c>
      <c r="X193" s="4239" t="s">
        <v>660</v>
      </c>
      <c r="Y193" s="4239" t="s">
        <v>661</v>
      </c>
      <c r="Z193" s="4239" t="s">
        <v>662</v>
      </c>
      <c r="AA193" s="4239" t="s">
        <v>663</v>
      </c>
      <c r="AB193" s="4239" t="s">
        <v>664</v>
      </c>
      <c r="AC193" s="4239" t="s">
        <v>665</v>
      </c>
      <c r="AD193" s="4240" t="s">
        <v>478</v>
      </c>
      <c r="AE193" s="4241" t="s">
        <v>364</v>
      </c>
      <c r="AF193" s="4241" t="s">
        <v>365</v>
      </c>
      <c r="AG193" s="4241" t="s">
        <v>366</v>
      </c>
      <c r="AH193" s="4241" t="s">
        <v>367</v>
      </c>
      <c r="AI193" s="4241" t="s">
        <v>368</v>
      </c>
      <c r="AJ193" s="4241" t="s">
        <v>369</v>
      </c>
      <c r="AK193" s="4241" t="s">
        <v>370</v>
      </c>
      <c r="AL193" s="4241" t="s">
        <v>371</v>
      </c>
      <c r="AM193" s="4241" t="s">
        <v>372</v>
      </c>
      <c r="AN193" s="4241" t="s">
        <v>373</v>
      </c>
      <c r="AO193" s="4241" t="s">
        <v>374</v>
      </c>
      <c r="AP193" s="4241"/>
      <c r="AQ193" s="4242" t="s">
        <v>553</v>
      </c>
      <c r="AR193" s="4243" t="s">
        <v>554</v>
      </c>
      <c r="AS193" s="4243" t="s">
        <v>555</v>
      </c>
      <c r="AT193" s="4243" t="s">
        <v>556</v>
      </c>
      <c r="AU193" s="4243" t="s">
        <v>557</v>
      </c>
      <c r="AV193" s="4243" t="s">
        <v>558</v>
      </c>
      <c r="AW193" s="4243" t="s">
        <v>559</v>
      </c>
      <c r="AX193" s="4243" t="s">
        <v>560</v>
      </c>
      <c r="AY193" s="4243" t="s">
        <v>561</v>
      </c>
      <c r="AZ193" s="4243" t="s">
        <v>562</v>
      </c>
      <c r="BA193" s="4243" t="s">
        <v>563</v>
      </c>
      <c r="BB193" s="4243" t="s">
        <v>564</v>
      </c>
      <c r="BC193" s="4244" t="s">
        <v>565</v>
      </c>
      <c r="BD193" s="4245" t="s">
        <v>2</v>
      </c>
      <c r="BE193" s="4245" t="s">
        <v>3</v>
      </c>
      <c r="BF193" s="4245" t="s">
        <v>155</v>
      </c>
      <c r="BG193" s="4245" t="s">
        <v>341</v>
      </c>
      <c r="BH193" s="4245" t="s">
        <v>342</v>
      </c>
      <c r="BI193" s="4245" t="s">
        <v>604</v>
      </c>
      <c r="BJ193" s="4245" t="s">
        <v>666</v>
      </c>
      <c r="BK193" s="4245" t="s">
        <v>667</v>
      </c>
      <c r="BL193" s="4245" t="s">
        <v>346</v>
      </c>
      <c r="BM193" s="4245" t="s">
        <v>347</v>
      </c>
      <c r="BN193" s="4246" t="s">
        <v>348</v>
      </c>
      <c r="BO193" s="4245" t="s">
        <v>349</v>
      </c>
      <c r="BP193" s="3729" t="s">
        <v>1224</v>
      </c>
      <c r="BQ193" s="3729" t="s">
        <v>941</v>
      </c>
      <c r="BR193" s="3730" t="s">
        <v>942</v>
      </c>
      <c r="BS193" s="3729" t="s">
        <v>944</v>
      </c>
      <c r="BT193" s="3729" t="s">
        <v>945</v>
      </c>
      <c r="BU193" s="3729" t="s">
        <v>946</v>
      </c>
      <c r="BV193" s="3729" t="s">
        <v>947</v>
      </c>
      <c r="BW193" s="3729" t="s">
        <v>948</v>
      </c>
      <c r="BX193" s="3729" t="s">
        <v>949</v>
      </c>
      <c r="BY193" s="3729" t="s">
        <v>950</v>
      </c>
      <c r="BZ193" s="3729" t="s">
        <v>951</v>
      </c>
      <c r="CA193" s="3729" t="s">
        <v>952</v>
      </c>
      <c r="CB193" s="3729" t="s">
        <v>953</v>
      </c>
      <c r="CC193" s="3729"/>
      <c r="CD193" s="3729" t="s">
        <v>941</v>
      </c>
      <c r="CE193" s="3730" t="s">
        <v>942</v>
      </c>
      <c r="CF193" s="3729" t="s">
        <v>944</v>
      </c>
      <c r="CG193" s="3729" t="s">
        <v>945</v>
      </c>
      <c r="CH193" s="3729" t="s">
        <v>946</v>
      </c>
      <c r="CI193" s="3729" t="s">
        <v>947</v>
      </c>
      <c r="CJ193" s="3729" t="s">
        <v>948</v>
      </c>
      <c r="CK193" s="3729" t="s">
        <v>949</v>
      </c>
      <c r="CL193" s="3729" t="s">
        <v>950</v>
      </c>
      <c r="CM193" s="3729" t="s">
        <v>951</v>
      </c>
      <c r="CN193" s="3729" t="s">
        <v>952</v>
      </c>
      <c r="CO193" s="3729" t="s">
        <v>953</v>
      </c>
      <c r="CP193" s="4245" t="s">
        <v>8</v>
      </c>
      <c r="CQ193" s="4245" t="s">
        <v>9</v>
      </c>
      <c r="CR193" s="4247" t="s">
        <v>130</v>
      </c>
      <c r="CS193" s="4248" t="s">
        <v>443</v>
      </c>
      <c r="CT193" s="4249"/>
    </row>
    <row r="194" spans="1:98" x14ac:dyDescent="0.55000000000000004">
      <c r="A194" s="4250" t="s">
        <v>1101</v>
      </c>
      <c r="B194" s="1929"/>
      <c r="C194" s="1929"/>
      <c r="D194" s="1929"/>
      <c r="E194" s="1929"/>
      <c r="F194" s="4251" t="b">
        <f t="shared" ref="F194:AO194" si="282">ROUND(F5,1)=ROUND(F11+F12+F49+F52,1)</f>
        <v>1</v>
      </c>
      <c r="G194" s="4252" t="b">
        <f t="shared" si="282"/>
        <v>1</v>
      </c>
      <c r="H194" s="4252" t="b">
        <f t="shared" si="282"/>
        <v>1</v>
      </c>
      <c r="I194" s="4252" t="b">
        <f t="shared" si="282"/>
        <v>1</v>
      </c>
      <c r="J194" s="4252" t="b">
        <f t="shared" si="282"/>
        <v>1</v>
      </c>
      <c r="K194" s="4252" t="b">
        <f t="shared" si="282"/>
        <v>1</v>
      </c>
      <c r="L194" s="4252" t="b">
        <f t="shared" si="282"/>
        <v>1</v>
      </c>
      <c r="M194" s="4252" t="b">
        <f t="shared" si="282"/>
        <v>1</v>
      </c>
      <c r="N194" s="4252" t="b">
        <f t="shared" si="282"/>
        <v>1</v>
      </c>
      <c r="O194" s="4252" t="b">
        <f t="shared" si="282"/>
        <v>1</v>
      </c>
      <c r="P194" s="4252" t="b">
        <f t="shared" si="282"/>
        <v>1</v>
      </c>
      <c r="Q194" s="4253" t="b">
        <f t="shared" si="282"/>
        <v>1</v>
      </c>
      <c r="R194" s="3737" t="b">
        <f t="shared" si="282"/>
        <v>1</v>
      </c>
      <c r="S194" s="3737" t="b">
        <f t="shared" si="282"/>
        <v>1</v>
      </c>
      <c r="T194" s="3737" t="b">
        <f t="shared" si="282"/>
        <v>1</v>
      </c>
      <c r="U194" s="3737" t="b">
        <f t="shared" si="282"/>
        <v>1</v>
      </c>
      <c r="V194" s="3737" t="b">
        <f t="shared" si="282"/>
        <v>1</v>
      </c>
      <c r="W194" s="3737" t="b">
        <f t="shared" si="282"/>
        <v>1</v>
      </c>
      <c r="X194" s="3737" t="b">
        <f t="shared" si="282"/>
        <v>1</v>
      </c>
      <c r="Y194" s="3737" t="b">
        <f t="shared" si="282"/>
        <v>1</v>
      </c>
      <c r="Z194" s="3737" t="b">
        <f t="shared" si="282"/>
        <v>1</v>
      </c>
      <c r="AA194" s="3737" t="b">
        <f t="shared" si="282"/>
        <v>1</v>
      </c>
      <c r="AB194" s="3737" t="b">
        <f t="shared" si="282"/>
        <v>1</v>
      </c>
      <c r="AC194" s="3737" t="b">
        <f t="shared" si="282"/>
        <v>1</v>
      </c>
      <c r="AD194" s="3736" t="b">
        <f t="shared" si="282"/>
        <v>1</v>
      </c>
      <c r="AE194" s="3737" t="b">
        <f t="shared" si="282"/>
        <v>1</v>
      </c>
      <c r="AF194" s="3737" t="b">
        <f t="shared" si="282"/>
        <v>1</v>
      </c>
      <c r="AG194" s="3737" t="b">
        <f t="shared" si="282"/>
        <v>1</v>
      </c>
      <c r="AH194" s="3737" t="b">
        <f t="shared" si="282"/>
        <v>1</v>
      </c>
      <c r="AI194" s="3739" t="b">
        <f t="shared" si="282"/>
        <v>1</v>
      </c>
      <c r="AJ194" s="3737" t="b">
        <f t="shared" si="282"/>
        <v>1</v>
      </c>
      <c r="AK194" s="3737" t="b">
        <f t="shared" si="282"/>
        <v>1</v>
      </c>
      <c r="AL194" s="3737" t="b">
        <f t="shared" si="282"/>
        <v>1</v>
      </c>
      <c r="AM194" s="3737" t="b">
        <f t="shared" si="282"/>
        <v>1</v>
      </c>
      <c r="AN194" s="3737" t="b">
        <f t="shared" si="282"/>
        <v>1</v>
      </c>
      <c r="AO194" s="3737" t="b">
        <f t="shared" si="282"/>
        <v>1</v>
      </c>
      <c r="AP194" s="3755"/>
      <c r="AQ194" s="4254" t="b">
        <f>ROUND(AQ5,1)=ROUND(AQ11+AQ12+AQ49+AQ52,1)</f>
        <v>1</v>
      </c>
      <c r="AR194" s="4255" t="b">
        <f>ROUND(AR5,1)=ROUND(AR11+AR12+AR49+AR52,1)</f>
        <v>1</v>
      </c>
      <c r="AS194" s="4255" t="b">
        <f>ROUND(AW5,1)=ROUND(AW11+AW12+AW49+AW52,1)</f>
        <v>1</v>
      </c>
      <c r="AT194" s="4255" t="b">
        <f t="shared" ref="AT194:BP194" si="283">ROUND(AT5,1)=ROUND(AT11+AT12+AT49+AT52,1)</f>
        <v>1</v>
      </c>
      <c r="AU194" s="4255" t="b">
        <f t="shared" si="283"/>
        <v>1</v>
      </c>
      <c r="AV194" s="4255" t="b">
        <f t="shared" si="283"/>
        <v>1</v>
      </c>
      <c r="AW194" s="4255" t="b">
        <f t="shared" si="283"/>
        <v>1</v>
      </c>
      <c r="AX194" s="4255" t="b">
        <f t="shared" si="283"/>
        <v>1</v>
      </c>
      <c r="AY194" s="4255" t="b">
        <f t="shared" si="283"/>
        <v>1</v>
      </c>
      <c r="AZ194" s="4255" t="b">
        <f t="shared" si="283"/>
        <v>1</v>
      </c>
      <c r="BA194" s="4255" t="b">
        <f t="shared" si="283"/>
        <v>1</v>
      </c>
      <c r="BB194" s="4255" t="b">
        <f t="shared" si="283"/>
        <v>1</v>
      </c>
      <c r="BC194" s="4256" t="b">
        <f t="shared" si="283"/>
        <v>1</v>
      </c>
      <c r="BD194" s="4257" t="b">
        <f t="shared" si="283"/>
        <v>1</v>
      </c>
      <c r="BE194" s="4257" t="b">
        <f t="shared" si="283"/>
        <v>1</v>
      </c>
      <c r="BF194" s="4257" t="b">
        <f t="shared" si="283"/>
        <v>1</v>
      </c>
      <c r="BG194" s="4257" t="b">
        <f t="shared" si="283"/>
        <v>1</v>
      </c>
      <c r="BH194" s="4257" t="b">
        <f t="shared" si="283"/>
        <v>1</v>
      </c>
      <c r="BI194" s="4257" t="b">
        <f t="shared" si="283"/>
        <v>1</v>
      </c>
      <c r="BJ194" s="4257" t="b">
        <f t="shared" si="283"/>
        <v>1</v>
      </c>
      <c r="BK194" s="4257" t="b">
        <f t="shared" si="283"/>
        <v>1</v>
      </c>
      <c r="BL194" s="4257" t="b">
        <f t="shared" si="283"/>
        <v>1</v>
      </c>
      <c r="BM194" s="4257" t="b">
        <f t="shared" si="283"/>
        <v>1</v>
      </c>
      <c r="BN194" s="4257" t="b">
        <f t="shared" si="283"/>
        <v>1</v>
      </c>
      <c r="BO194" s="4257" t="b">
        <f t="shared" si="283"/>
        <v>1</v>
      </c>
      <c r="BP194" s="4257" t="b">
        <f t="shared" si="283"/>
        <v>1</v>
      </c>
      <c r="BQ194" s="4257" t="b">
        <f t="shared" ref="BQ194:CB194" si="284">ROUND(BQ5,1)=ROUND(BQ11+BQ12+BQ49+BQ52,1)</f>
        <v>1</v>
      </c>
      <c r="BR194" s="4258" t="b">
        <f t="shared" si="284"/>
        <v>1</v>
      </c>
      <c r="BS194" s="4257" t="b">
        <f t="shared" si="284"/>
        <v>1</v>
      </c>
      <c r="BT194" s="4257" t="b">
        <f t="shared" si="284"/>
        <v>1</v>
      </c>
      <c r="BU194" s="4257" t="b">
        <f t="shared" si="284"/>
        <v>1</v>
      </c>
      <c r="BV194" s="4257" t="b">
        <f t="shared" si="284"/>
        <v>1</v>
      </c>
      <c r="BW194" s="4257" t="b">
        <f t="shared" si="284"/>
        <v>1</v>
      </c>
      <c r="BX194" s="4257" t="b">
        <f t="shared" si="284"/>
        <v>1</v>
      </c>
      <c r="BY194" s="4257" t="b">
        <f t="shared" si="284"/>
        <v>1</v>
      </c>
      <c r="BZ194" s="4257" t="b">
        <f t="shared" si="284"/>
        <v>1</v>
      </c>
      <c r="CA194" s="4257" t="b">
        <f t="shared" si="284"/>
        <v>1</v>
      </c>
      <c r="CB194" s="4257" t="b">
        <f t="shared" si="284"/>
        <v>1</v>
      </c>
      <c r="CC194" s="4257"/>
      <c r="CD194" s="4257" t="b">
        <f t="shared" ref="CD194:CP194" si="285">ROUND(CD5,1)=ROUND(CD11+CD12+CD49+CD52,1)</f>
        <v>1</v>
      </c>
      <c r="CE194" s="4258" t="b">
        <f t="shared" si="285"/>
        <v>1</v>
      </c>
      <c r="CF194" s="4257" t="b">
        <f t="shared" si="285"/>
        <v>1</v>
      </c>
      <c r="CG194" s="4257" t="b">
        <f t="shared" si="285"/>
        <v>1</v>
      </c>
      <c r="CH194" s="4257" t="b">
        <f t="shared" si="285"/>
        <v>1</v>
      </c>
      <c r="CI194" s="4257" t="b">
        <f t="shared" si="285"/>
        <v>1</v>
      </c>
      <c r="CJ194" s="4257" t="b">
        <f t="shared" si="285"/>
        <v>1</v>
      </c>
      <c r="CK194" s="4257" t="b">
        <f t="shared" si="285"/>
        <v>1</v>
      </c>
      <c r="CL194" s="4257" t="b">
        <f t="shared" si="285"/>
        <v>1</v>
      </c>
      <c r="CM194" s="4257" t="b">
        <f t="shared" si="285"/>
        <v>1</v>
      </c>
      <c r="CN194" s="4257" t="b">
        <f t="shared" si="285"/>
        <v>1</v>
      </c>
      <c r="CO194" s="4257" t="b">
        <f t="shared" si="285"/>
        <v>1</v>
      </c>
      <c r="CP194" s="3037" t="e">
        <f t="shared" si="285"/>
        <v>#N/A</v>
      </c>
      <c r="CQ194" s="4259"/>
      <c r="CR194" s="4260" t="b">
        <f>ROUND(CR5,1)=ROUND(CR11+CR12+CR49+CR52,1)</f>
        <v>1</v>
      </c>
      <c r="CS194" s="4261" t="b">
        <f>ROUND(CS5,1)=ROUND(CS11+CS12+CS49+CS52,1)</f>
        <v>1</v>
      </c>
      <c r="CT194" s="4262"/>
    </row>
    <row r="195" spans="1:98" x14ac:dyDescent="0.55000000000000004">
      <c r="A195" s="3453" t="s">
        <v>585</v>
      </c>
      <c r="F195" s="3752" t="b">
        <f t="shared" ref="F195:AO195" si="286">F6=F11+F52</f>
        <v>1</v>
      </c>
      <c r="G195" s="3753" t="b">
        <f t="shared" si="286"/>
        <v>1</v>
      </c>
      <c r="H195" s="3753" t="b">
        <f t="shared" si="286"/>
        <v>1</v>
      </c>
      <c r="I195" s="3753" t="b">
        <f t="shared" si="286"/>
        <v>1</v>
      </c>
      <c r="J195" s="3753" t="b">
        <f t="shared" si="286"/>
        <v>1</v>
      </c>
      <c r="K195" s="3753" t="b">
        <f t="shared" si="286"/>
        <v>1</v>
      </c>
      <c r="L195" s="3753" t="b">
        <f t="shared" si="286"/>
        <v>1</v>
      </c>
      <c r="M195" s="3753" t="b">
        <f t="shared" si="286"/>
        <v>1</v>
      </c>
      <c r="N195" s="3753" t="b">
        <f t="shared" si="286"/>
        <v>1</v>
      </c>
      <c r="O195" s="3753" t="b">
        <f t="shared" si="286"/>
        <v>1</v>
      </c>
      <c r="P195" s="3753" t="b">
        <f t="shared" si="286"/>
        <v>1</v>
      </c>
      <c r="Q195" s="3754" t="b">
        <f t="shared" si="286"/>
        <v>1</v>
      </c>
      <c r="R195" s="3753" t="b">
        <f t="shared" si="286"/>
        <v>1</v>
      </c>
      <c r="S195" s="3753" t="b">
        <f t="shared" si="286"/>
        <v>1</v>
      </c>
      <c r="T195" s="3753" t="b">
        <f t="shared" si="286"/>
        <v>1</v>
      </c>
      <c r="U195" s="3753" t="b">
        <f t="shared" si="286"/>
        <v>1</v>
      </c>
      <c r="V195" s="3753" t="b">
        <f t="shared" si="286"/>
        <v>1</v>
      </c>
      <c r="W195" s="3753" t="b">
        <f t="shared" si="286"/>
        <v>1</v>
      </c>
      <c r="X195" s="3753" t="b">
        <f t="shared" si="286"/>
        <v>1</v>
      </c>
      <c r="Y195" s="3753" t="b">
        <f t="shared" si="286"/>
        <v>1</v>
      </c>
      <c r="Z195" s="3753" t="b">
        <f t="shared" si="286"/>
        <v>1</v>
      </c>
      <c r="AA195" s="3753" t="b">
        <f t="shared" si="286"/>
        <v>1</v>
      </c>
      <c r="AB195" s="3753" t="b">
        <f t="shared" si="286"/>
        <v>1</v>
      </c>
      <c r="AC195" s="3753" t="b">
        <f t="shared" si="286"/>
        <v>1</v>
      </c>
      <c r="AD195" s="3752" t="b">
        <f t="shared" si="286"/>
        <v>1</v>
      </c>
      <c r="AE195" s="3753" t="b">
        <f t="shared" si="286"/>
        <v>1</v>
      </c>
      <c r="AF195" s="3753" t="b">
        <f t="shared" si="286"/>
        <v>1</v>
      </c>
      <c r="AG195" s="3753" t="b">
        <f t="shared" si="286"/>
        <v>1</v>
      </c>
      <c r="AH195" s="3753" t="b">
        <f t="shared" si="286"/>
        <v>1</v>
      </c>
      <c r="AI195" s="3753" t="b">
        <f t="shared" si="286"/>
        <v>1</v>
      </c>
      <c r="AJ195" s="3753" t="b">
        <f t="shared" si="286"/>
        <v>1</v>
      </c>
      <c r="AK195" s="3753" t="b">
        <f t="shared" si="286"/>
        <v>1</v>
      </c>
      <c r="AL195" s="3753" t="b">
        <f t="shared" si="286"/>
        <v>1</v>
      </c>
      <c r="AM195" s="3753" t="b">
        <f t="shared" si="286"/>
        <v>1</v>
      </c>
      <c r="AN195" s="3753" t="b">
        <f t="shared" si="286"/>
        <v>1</v>
      </c>
      <c r="AO195" s="3755" t="b">
        <f t="shared" si="286"/>
        <v>1</v>
      </c>
      <c r="AP195" s="3755"/>
      <c r="AQ195" s="627" t="b">
        <f>AQ6=AQ11+AQ52</f>
        <v>1</v>
      </c>
      <c r="AR195" s="4263" t="b">
        <f>AR6=AR11+AR52</f>
        <v>1</v>
      </c>
      <c r="AS195" s="4263" t="b">
        <f>AW6=AW11+AW52</f>
        <v>1</v>
      </c>
      <c r="AT195" s="4263" t="b">
        <f t="shared" ref="AT195:BP195" si="287">AT6=AT11+AT52</f>
        <v>1</v>
      </c>
      <c r="AU195" s="4263" t="b">
        <f t="shared" si="287"/>
        <v>1</v>
      </c>
      <c r="AV195" s="4263" t="b">
        <f t="shared" si="287"/>
        <v>1</v>
      </c>
      <c r="AW195" s="4263" t="b">
        <f t="shared" si="287"/>
        <v>1</v>
      </c>
      <c r="AX195" s="4263" t="b">
        <f t="shared" si="287"/>
        <v>1</v>
      </c>
      <c r="AY195" s="4263" t="b">
        <f t="shared" si="287"/>
        <v>1</v>
      </c>
      <c r="AZ195" s="4263" t="b">
        <f t="shared" si="287"/>
        <v>1</v>
      </c>
      <c r="BA195" s="4263" t="b">
        <f t="shared" si="287"/>
        <v>1</v>
      </c>
      <c r="BB195" s="4263" t="b">
        <f t="shared" si="287"/>
        <v>1</v>
      </c>
      <c r="BC195" s="4264" t="b">
        <f t="shared" si="287"/>
        <v>1</v>
      </c>
      <c r="BD195" s="4265" t="b">
        <f t="shared" si="287"/>
        <v>1</v>
      </c>
      <c r="BE195" s="4266" t="b">
        <f t="shared" si="287"/>
        <v>1</v>
      </c>
      <c r="BF195" s="4266" t="b">
        <f t="shared" si="287"/>
        <v>1</v>
      </c>
      <c r="BG195" s="4266" t="b">
        <f t="shared" si="287"/>
        <v>1</v>
      </c>
      <c r="BH195" s="4266" t="b">
        <f t="shared" si="287"/>
        <v>1</v>
      </c>
      <c r="BI195" s="4266" t="b">
        <f t="shared" si="287"/>
        <v>1</v>
      </c>
      <c r="BJ195" s="4266" t="b">
        <f t="shared" si="287"/>
        <v>1</v>
      </c>
      <c r="BK195" s="4266" t="b">
        <f t="shared" si="287"/>
        <v>1</v>
      </c>
      <c r="BL195" s="4266" t="b">
        <f t="shared" si="287"/>
        <v>1</v>
      </c>
      <c r="BM195" s="4266" t="b">
        <f t="shared" si="287"/>
        <v>1</v>
      </c>
      <c r="BN195" s="4266" t="b">
        <f t="shared" si="287"/>
        <v>1</v>
      </c>
      <c r="BO195" s="4266" t="b">
        <f t="shared" si="287"/>
        <v>1</v>
      </c>
      <c r="BP195" s="4265" t="b">
        <f t="shared" si="287"/>
        <v>1</v>
      </c>
      <c r="BQ195" s="4265" t="b">
        <f t="shared" ref="BQ195:CB195" si="288">BQ6=BQ11+BQ52</f>
        <v>1</v>
      </c>
      <c r="BR195" s="4267" t="b">
        <f t="shared" si="288"/>
        <v>1</v>
      </c>
      <c r="BS195" s="4266" t="b">
        <f t="shared" si="288"/>
        <v>1</v>
      </c>
      <c r="BT195" s="4266" t="b">
        <f t="shared" si="288"/>
        <v>1</v>
      </c>
      <c r="BU195" s="4266" t="b">
        <f t="shared" si="288"/>
        <v>1</v>
      </c>
      <c r="BV195" s="4266" t="b">
        <f t="shared" si="288"/>
        <v>1</v>
      </c>
      <c r="BW195" s="4266" t="b">
        <f t="shared" si="288"/>
        <v>1</v>
      </c>
      <c r="BX195" s="4266" t="b">
        <f t="shared" si="288"/>
        <v>1</v>
      </c>
      <c r="BY195" s="4266" t="b">
        <f t="shared" si="288"/>
        <v>1</v>
      </c>
      <c r="BZ195" s="4266" t="b">
        <f t="shared" si="288"/>
        <v>1</v>
      </c>
      <c r="CA195" s="4266" t="b">
        <f t="shared" si="288"/>
        <v>1</v>
      </c>
      <c r="CB195" s="4266" t="b">
        <f t="shared" si="288"/>
        <v>1</v>
      </c>
      <c r="CC195" s="4266"/>
      <c r="CD195" s="4265" t="b">
        <f t="shared" ref="CD195:CP195" si="289">CD6=CD11+CD52</f>
        <v>1</v>
      </c>
      <c r="CE195" s="4267" t="b">
        <f t="shared" si="289"/>
        <v>1</v>
      </c>
      <c r="CF195" s="4266" t="b">
        <f t="shared" si="289"/>
        <v>1</v>
      </c>
      <c r="CG195" s="4266" t="b">
        <f t="shared" si="289"/>
        <v>1</v>
      </c>
      <c r="CH195" s="4266" t="b">
        <f t="shared" si="289"/>
        <v>1</v>
      </c>
      <c r="CI195" s="4266" t="b">
        <f t="shared" si="289"/>
        <v>1</v>
      </c>
      <c r="CJ195" s="4266" t="b">
        <f t="shared" si="289"/>
        <v>1</v>
      </c>
      <c r="CK195" s="4266" t="b">
        <f t="shared" si="289"/>
        <v>1</v>
      </c>
      <c r="CL195" s="4266" t="b">
        <f t="shared" si="289"/>
        <v>1</v>
      </c>
      <c r="CM195" s="4266" t="b">
        <f t="shared" si="289"/>
        <v>1</v>
      </c>
      <c r="CN195" s="4266" t="b">
        <f t="shared" si="289"/>
        <v>1</v>
      </c>
      <c r="CO195" s="4266" t="b">
        <f t="shared" si="289"/>
        <v>1</v>
      </c>
      <c r="CP195" s="4268" t="e">
        <f t="shared" si="289"/>
        <v>#N/A</v>
      </c>
      <c r="CQ195" s="760"/>
      <c r="CR195" s="914" t="b">
        <f>ROUND(CR6,1)=ROUND(CR11+CR52,1)</f>
        <v>1</v>
      </c>
      <c r="CS195" s="4269" t="b">
        <f>ROUND(CS6,1)=ROUND(CS11+CS52,1)</f>
        <v>1</v>
      </c>
      <c r="CT195" s="604"/>
    </row>
    <row r="196" spans="1:98" x14ac:dyDescent="0.55000000000000004">
      <c r="A196" s="3453" t="s">
        <v>581</v>
      </c>
      <c r="F196" s="3752" t="b">
        <f t="shared" ref="F196:AO196" si="290">F7+F8=F6</f>
        <v>1</v>
      </c>
      <c r="G196" s="3753" t="b">
        <f t="shared" si="290"/>
        <v>1</v>
      </c>
      <c r="H196" s="3753" t="b">
        <f t="shared" si="290"/>
        <v>1</v>
      </c>
      <c r="I196" s="3753" t="b">
        <f t="shared" si="290"/>
        <v>1</v>
      </c>
      <c r="J196" s="3753" t="b">
        <f t="shared" si="290"/>
        <v>1</v>
      </c>
      <c r="K196" s="3753" t="b">
        <f t="shared" si="290"/>
        <v>1</v>
      </c>
      <c r="L196" s="3753" t="b">
        <f t="shared" si="290"/>
        <v>1</v>
      </c>
      <c r="M196" s="3753" t="b">
        <f t="shared" si="290"/>
        <v>1</v>
      </c>
      <c r="N196" s="3753" t="b">
        <f t="shared" si="290"/>
        <v>1</v>
      </c>
      <c r="O196" s="3753" t="b">
        <f t="shared" si="290"/>
        <v>1</v>
      </c>
      <c r="P196" s="3753" t="b">
        <f t="shared" si="290"/>
        <v>1</v>
      </c>
      <c r="Q196" s="3754" t="b">
        <f t="shared" si="290"/>
        <v>1</v>
      </c>
      <c r="R196" s="3753" t="b">
        <f t="shared" si="290"/>
        <v>1</v>
      </c>
      <c r="S196" s="3753" t="b">
        <f t="shared" si="290"/>
        <v>1</v>
      </c>
      <c r="T196" s="3753" t="b">
        <f t="shared" si="290"/>
        <v>1</v>
      </c>
      <c r="U196" s="3753" t="b">
        <f t="shared" si="290"/>
        <v>1</v>
      </c>
      <c r="V196" s="3753" t="b">
        <f t="shared" si="290"/>
        <v>1</v>
      </c>
      <c r="W196" s="3753" t="b">
        <f t="shared" si="290"/>
        <v>1</v>
      </c>
      <c r="X196" s="3753" t="b">
        <f t="shared" si="290"/>
        <v>1</v>
      </c>
      <c r="Y196" s="3753" t="b">
        <f t="shared" si="290"/>
        <v>1</v>
      </c>
      <c r="Z196" s="3753" t="b">
        <f t="shared" si="290"/>
        <v>1</v>
      </c>
      <c r="AA196" s="3753" t="b">
        <f t="shared" si="290"/>
        <v>1</v>
      </c>
      <c r="AB196" s="3753" t="b">
        <f t="shared" si="290"/>
        <v>1</v>
      </c>
      <c r="AC196" s="3753" t="b">
        <f t="shared" si="290"/>
        <v>1</v>
      </c>
      <c r="AD196" s="3752" t="b">
        <f t="shared" si="290"/>
        <v>1</v>
      </c>
      <c r="AE196" s="3753" t="b">
        <f t="shared" si="290"/>
        <v>1</v>
      </c>
      <c r="AF196" s="3753" t="b">
        <f t="shared" si="290"/>
        <v>1</v>
      </c>
      <c r="AG196" s="3753" t="b">
        <f t="shared" si="290"/>
        <v>1</v>
      </c>
      <c r="AH196" s="3753" t="b">
        <f t="shared" si="290"/>
        <v>1</v>
      </c>
      <c r="AI196" s="3753" t="b">
        <f t="shared" si="290"/>
        <v>1</v>
      </c>
      <c r="AJ196" s="3753" t="b">
        <f t="shared" si="290"/>
        <v>1</v>
      </c>
      <c r="AK196" s="3753" t="b">
        <f t="shared" si="290"/>
        <v>1</v>
      </c>
      <c r="AL196" s="3753" t="b">
        <f t="shared" si="290"/>
        <v>1</v>
      </c>
      <c r="AM196" s="3753" t="b">
        <f t="shared" si="290"/>
        <v>1</v>
      </c>
      <c r="AN196" s="3753" t="b">
        <f t="shared" si="290"/>
        <v>1</v>
      </c>
      <c r="AO196" s="3755" t="b">
        <f t="shared" si="290"/>
        <v>1</v>
      </c>
      <c r="AP196" s="3755"/>
      <c r="AQ196" s="627" t="b">
        <f>AQ7+AQ8=AQ6</f>
        <v>1</v>
      </c>
      <c r="AR196" s="4263" t="b">
        <f>AR7+AR8=AR6</f>
        <v>1</v>
      </c>
      <c r="AS196" s="4263" t="b">
        <f>AW7+AW8=AW6</f>
        <v>1</v>
      </c>
      <c r="AT196" s="4263" t="b">
        <f t="shared" ref="AT196:BP196" si="291">AT7+AT8=AT6</f>
        <v>1</v>
      </c>
      <c r="AU196" s="4263" t="b">
        <f t="shared" si="291"/>
        <v>1</v>
      </c>
      <c r="AV196" s="4263" t="b">
        <f t="shared" si="291"/>
        <v>1</v>
      </c>
      <c r="AW196" s="4263" t="b">
        <f t="shared" si="291"/>
        <v>1</v>
      </c>
      <c r="AX196" s="4263" t="b">
        <f t="shared" si="291"/>
        <v>1</v>
      </c>
      <c r="AY196" s="4263" t="b">
        <f t="shared" si="291"/>
        <v>1</v>
      </c>
      <c r="AZ196" s="4263" t="b">
        <f t="shared" si="291"/>
        <v>1</v>
      </c>
      <c r="BA196" s="4263" t="b">
        <f t="shared" si="291"/>
        <v>1</v>
      </c>
      <c r="BB196" s="4263" t="b">
        <f t="shared" si="291"/>
        <v>1</v>
      </c>
      <c r="BC196" s="4270" t="b">
        <f t="shared" si="291"/>
        <v>1</v>
      </c>
      <c r="BD196" s="4265" t="b">
        <f t="shared" si="291"/>
        <v>1</v>
      </c>
      <c r="BE196" s="4266" t="b">
        <f t="shared" si="291"/>
        <v>1</v>
      </c>
      <c r="BF196" s="4266" t="b">
        <f t="shared" si="291"/>
        <v>1</v>
      </c>
      <c r="BG196" s="4266" t="b">
        <f t="shared" si="291"/>
        <v>1</v>
      </c>
      <c r="BH196" s="4266" t="b">
        <f t="shared" si="291"/>
        <v>1</v>
      </c>
      <c r="BI196" s="4266" t="b">
        <f t="shared" si="291"/>
        <v>1</v>
      </c>
      <c r="BJ196" s="4266" t="b">
        <f t="shared" si="291"/>
        <v>1</v>
      </c>
      <c r="BK196" s="4266" t="b">
        <f t="shared" si="291"/>
        <v>1</v>
      </c>
      <c r="BL196" s="4266" t="b">
        <f t="shared" si="291"/>
        <v>1</v>
      </c>
      <c r="BM196" s="4266" t="b">
        <f t="shared" si="291"/>
        <v>1</v>
      </c>
      <c r="BN196" s="4266" t="b">
        <f t="shared" si="291"/>
        <v>1</v>
      </c>
      <c r="BO196" s="4266" t="b">
        <f t="shared" si="291"/>
        <v>1</v>
      </c>
      <c r="BP196" s="4265" t="b">
        <f t="shared" si="291"/>
        <v>1</v>
      </c>
      <c r="BQ196" s="4265" t="b">
        <f t="shared" ref="BQ196:CB196" si="292">BQ7+BQ8=BQ6</f>
        <v>1</v>
      </c>
      <c r="BR196" s="4267" t="b">
        <f t="shared" si="292"/>
        <v>1</v>
      </c>
      <c r="BS196" s="4266" t="b">
        <f t="shared" si="292"/>
        <v>1</v>
      </c>
      <c r="BT196" s="4266" t="b">
        <f t="shared" si="292"/>
        <v>1</v>
      </c>
      <c r="BU196" s="4266" t="b">
        <f t="shared" si="292"/>
        <v>1</v>
      </c>
      <c r="BV196" s="4266" t="b">
        <f t="shared" si="292"/>
        <v>1</v>
      </c>
      <c r="BW196" s="4266" t="b">
        <f t="shared" si="292"/>
        <v>1</v>
      </c>
      <c r="BX196" s="4266" t="b">
        <f t="shared" si="292"/>
        <v>1</v>
      </c>
      <c r="BY196" s="4266" t="b">
        <f t="shared" si="292"/>
        <v>1</v>
      </c>
      <c r="BZ196" s="4266" t="b">
        <f t="shared" si="292"/>
        <v>1</v>
      </c>
      <c r="CA196" s="4266" t="b">
        <f t="shared" si="292"/>
        <v>1</v>
      </c>
      <c r="CB196" s="4266" t="b">
        <f t="shared" si="292"/>
        <v>1</v>
      </c>
      <c r="CC196" s="4266"/>
      <c r="CD196" s="4265" t="b">
        <f t="shared" ref="CD196:CP196" si="293">CD7+CD8=CD6</f>
        <v>1</v>
      </c>
      <c r="CE196" s="4267" t="b">
        <f t="shared" si="293"/>
        <v>1</v>
      </c>
      <c r="CF196" s="4266" t="b">
        <f t="shared" si="293"/>
        <v>1</v>
      </c>
      <c r="CG196" s="4266" t="b">
        <f t="shared" si="293"/>
        <v>1</v>
      </c>
      <c r="CH196" s="4266" t="b">
        <f t="shared" si="293"/>
        <v>1</v>
      </c>
      <c r="CI196" s="4266" t="b">
        <f t="shared" si="293"/>
        <v>1</v>
      </c>
      <c r="CJ196" s="4266" t="b">
        <f t="shared" si="293"/>
        <v>1</v>
      </c>
      <c r="CK196" s="4266" t="b">
        <f t="shared" si="293"/>
        <v>1</v>
      </c>
      <c r="CL196" s="4266" t="b">
        <f t="shared" si="293"/>
        <v>1</v>
      </c>
      <c r="CM196" s="4266" t="b">
        <f t="shared" si="293"/>
        <v>1</v>
      </c>
      <c r="CN196" s="4266" t="b">
        <f t="shared" si="293"/>
        <v>1</v>
      </c>
      <c r="CO196" s="4266" t="b">
        <f t="shared" si="293"/>
        <v>1</v>
      </c>
      <c r="CP196" s="4268" t="e">
        <f t="shared" si="293"/>
        <v>#N/A</v>
      </c>
      <c r="CQ196" s="760"/>
      <c r="CR196" s="914" t="b">
        <f>CR7+CR8=CR6</f>
        <v>1</v>
      </c>
      <c r="CS196" s="4269" t="b">
        <f>CS7+CS8=CS6</f>
        <v>1</v>
      </c>
      <c r="CT196" s="604"/>
    </row>
    <row r="197" spans="1:98" x14ac:dyDescent="0.55000000000000004">
      <c r="A197" s="3453"/>
      <c r="B197" s="2771" t="s">
        <v>1090</v>
      </c>
      <c r="F197" s="3752" t="b">
        <f t="shared" ref="F197:AO197" si="294">ROUND(F13+F21+F37,1)=ROUND(F12,1)</f>
        <v>1</v>
      </c>
      <c r="G197" s="3753" t="b">
        <f t="shared" si="294"/>
        <v>1</v>
      </c>
      <c r="H197" s="3753" t="b">
        <f t="shared" si="294"/>
        <v>1</v>
      </c>
      <c r="I197" s="3753" t="b">
        <f t="shared" si="294"/>
        <v>1</v>
      </c>
      <c r="J197" s="3753" t="b">
        <f t="shared" si="294"/>
        <v>1</v>
      </c>
      <c r="K197" s="3753" t="b">
        <f t="shared" si="294"/>
        <v>1</v>
      </c>
      <c r="L197" s="4271" t="b">
        <f t="shared" si="294"/>
        <v>1</v>
      </c>
      <c r="M197" s="4271" t="b">
        <f t="shared" si="294"/>
        <v>1</v>
      </c>
      <c r="N197" s="4271" t="b">
        <f t="shared" si="294"/>
        <v>1</v>
      </c>
      <c r="O197" s="4271" t="b">
        <f t="shared" si="294"/>
        <v>1</v>
      </c>
      <c r="P197" s="4271" t="b">
        <f t="shared" si="294"/>
        <v>1</v>
      </c>
      <c r="Q197" s="4272" t="b">
        <f t="shared" si="294"/>
        <v>1</v>
      </c>
      <c r="R197" s="3814" t="b">
        <f t="shared" si="294"/>
        <v>1</v>
      </c>
      <c r="S197" s="3814" t="b">
        <f t="shared" si="294"/>
        <v>1</v>
      </c>
      <c r="T197" s="3814" t="b">
        <f t="shared" si="294"/>
        <v>1</v>
      </c>
      <c r="U197" s="3814" t="b">
        <f t="shared" si="294"/>
        <v>1</v>
      </c>
      <c r="V197" s="3814" t="b">
        <f t="shared" si="294"/>
        <v>1</v>
      </c>
      <c r="W197" s="3814" t="b">
        <f t="shared" si="294"/>
        <v>1</v>
      </c>
      <c r="X197" s="3814" t="b">
        <f t="shared" si="294"/>
        <v>1</v>
      </c>
      <c r="Y197" s="3814" t="b">
        <f t="shared" si="294"/>
        <v>1</v>
      </c>
      <c r="Z197" s="3814" t="b">
        <f t="shared" si="294"/>
        <v>1</v>
      </c>
      <c r="AA197" s="3814" t="b">
        <f t="shared" si="294"/>
        <v>1</v>
      </c>
      <c r="AB197" s="3814" t="b">
        <f t="shared" si="294"/>
        <v>1</v>
      </c>
      <c r="AC197" s="3814" t="b">
        <f t="shared" si="294"/>
        <v>1</v>
      </c>
      <c r="AD197" s="3752" t="b">
        <f t="shared" si="294"/>
        <v>1</v>
      </c>
      <c r="AE197" s="3753" t="b">
        <f t="shared" si="294"/>
        <v>1</v>
      </c>
      <c r="AF197" s="3753" t="b">
        <f t="shared" si="294"/>
        <v>1</v>
      </c>
      <c r="AG197" s="3753" t="b">
        <f t="shared" si="294"/>
        <v>1</v>
      </c>
      <c r="AH197" s="3753" t="b">
        <f t="shared" si="294"/>
        <v>1</v>
      </c>
      <c r="AI197" s="3753" t="b">
        <f t="shared" si="294"/>
        <v>1</v>
      </c>
      <c r="AJ197" s="3814" t="b">
        <f t="shared" si="294"/>
        <v>1</v>
      </c>
      <c r="AK197" s="3814" t="b">
        <f t="shared" si="294"/>
        <v>1</v>
      </c>
      <c r="AL197" s="3814" t="b">
        <f t="shared" si="294"/>
        <v>1</v>
      </c>
      <c r="AM197" s="3814" t="b">
        <f t="shared" si="294"/>
        <v>1</v>
      </c>
      <c r="AN197" s="3814" t="b">
        <f t="shared" si="294"/>
        <v>1</v>
      </c>
      <c r="AO197" s="3814" t="b">
        <f t="shared" si="294"/>
        <v>1</v>
      </c>
      <c r="AP197" s="3814"/>
      <c r="AQ197" s="627" t="b">
        <f>ROUND(AQ13+AQ21+AQ37,1)=ROUND(AQ12,1)</f>
        <v>1</v>
      </c>
      <c r="AR197" s="4263" t="b">
        <f>ROUND(AR13+AR21+AR37,1)=ROUND(AR12,1)</f>
        <v>1</v>
      </c>
      <c r="AS197" s="4263" t="b">
        <f>ROUND(AW13+AW21+AW37,1)=ROUND(AW12,1)</f>
        <v>1</v>
      </c>
      <c r="AT197" s="4263" t="b">
        <f t="shared" ref="AT197:BP197" si="295">ROUND(AT13+AT21+AT37,1)=ROUND(AT12,1)</f>
        <v>1</v>
      </c>
      <c r="AU197" s="4263" t="b">
        <f t="shared" si="295"/>
        <v>1</v>
      </c>
      <c r="AV197" s="4263" t="b">
        <f t="shared" si="295"/>
        <v>1</v>
      </c>
      <c r="AW197" s="4263" t="b">
        <f t="shared" si="295"/>
        <v>1</v>
      </c>
      <c r="AX197" s="4263" t="b">
        <f t="shared" si="295"/>
        <v>1</v>
      </c>
      <c r="AY197" s="4263" t="b">
        <f t="shared" si="295"/>
        <v>1</v>
      </c>
      <c r="AZ197" s="4263" t="b">
        <f t="shared" si="295"/>
        <v>1</v>
      </c>
      <c r="BA197" s="4263" t="b">
        <f t="shared" si="295"/>
        <v>1</v>
      </c>
      <c r="BB197" s="4263" t="b">
        <f t="shared" si="295"/>
        <v>1</v>
      </c>
      <c r="BC197" s="4264" t="b">
        <f t="shared" si="295"/>
        <v>1</v>
      </c>
      <c r="BD197" s="4265" t="b">
        <f t="shared" si="295"/>
        <v>1</v>
      </c>
      <c r="BE197" s="4266" t="b">
        <f t="shared" si="295"/>
        <v>1</v>
      </c>
      <c r="BF197" s="4266" t="b">
        <f t="shared" si="295"/>
        <v>1</v>
      </c>
      <c r="BG197" s="4266" t="b">
        <f t="shared" si="295"/>
        <v>1</v>
      </c>
      <c r="BH197" s="4266" t="b">
        <f t="shared" si="295"/>
        <v>1</v>
      </c>
      <c r="BI197" s="4266" t="b">
        <f t="shared" si="295"/>
        <v>1</v>
      </c>
      <c r="BJ197" s="4266" t="b">
        <f t="shared" si="295"/>
        <v>1</v>
      </c>
      <c r="BK197" s="4266" t="b">
        <f t="shared" si="295"/>
        <v>1</v>
      </c>
      <c r="BL197" s="4266" t="b">
        <f t="shared" si="295"/>
        <v>1</v>
      </c>
      <c r="BM197" s="4266" t="b">
        <f t="shared" si="295"/>
        <v>1</v>
      </c>
      <c r="BN197" s="4266" t="b">
        <f t="shared" si="295"/>
        <v>1</v>
      </c>
      <c r="BO197" s="4266" t="b">
        <f t="shared" si="295"/>
        <v>1</v>
      </c>
      <c r="BP197" s="4265" t="b">
        <f t="shared" si="295"/>
        <v>1</v>
      </c>
      <c r="BQ197" s="4265" t="b">
        <f t="shared" ref="BQ197:CB197" si="296">ROUND(BQ13+BQ21+BQ37,1)=ROUND(BQ12,1)</f>
        <v>1</v>
      </c>
      <c r="BR197" s="4267" t="b">
        <f t="shared" si="296"/>
        <v>1</v>
      </c>
      <c r="BS197" s="4266" t="b">
        <f t="shared" si="296"/>
        <v>1</v>
      </c>
      <c r="BT197" s="4266" t="b">
        <f t="shared" si="296"/>
        <v>1</v>
      </c>
      <c r="BU197" s="4266" t="b">
        <f t="shared" si="296"/>
        <v>1</v>
      </c>
      <c r="BV197" s="4266" t="b">
        <f t="shared" si="296"/>
        <v>1</v>
      </c>
      <c r="BW197" s="4266" t="b">
        <f t="shared" si="296"/>
        <v>1</v>
      </c>
      <c r="BX197" s="4266" t="b">
        <f t="shared" si="296"/>
        <v>1</v>
      </c>
      <c r="BY197" s="4266" t="b">
        <f t="shared" si="296"/>
        <v>1</v>
      </c>
      <c r="BZ197" s="4266" t="b">
        <f t="shared" si="296"/>
        <v>1</v>
      </c>
      <c r="CA197" s="4266" t="b">
        <f t="shared" si="296"/>
        <v>1</v>
      </c>
      <c r="CB197" s="4266" t="b">
        <f t="shared" si="296"/>
        <v>1</v>
      </c>
      <c r="CC197" s="4266"/>
      <c r="CD197" s="4265" t="b">
        <f t="shared" ref="CD197:CP197" si="297">ROUND(CD13+CD21+CD37,1)=ROUND(CD12,1)</f>
        <v>1</v>
      </c>
      <c r="CE197" s="4267" t="b">
        <f t="shared" si="297"/>
        <v>1</v>
      </c>
      <c r="CF197" s="4266" t="b">
        <f t="shared" si="297"/>
        <v>1</v>
      </c>
      <c r="CG197" s="4266" t="b">
        <f t="shared" si="297"/>
        <v>1</v>
      </c>
      <c r="CH197" s="4266" t="b">
        <f t="shared" si="297"/>
        <v>1</v>
      </c>
      <c r="CI197" s="4266" t="b">
        <f t="shared" si="297"/>
        <v>1</v>
      </c>
      <c r="CJ197" s="4266" t="b">
        <f t="shared" si="297"/>
        <v>1</v>
      </c>
      <c r="CK197" s="4266" t="b">
        <f t="shared" si="297"/>
        <v>1</v>
      </c>
      <c r="CL197" s="4266" t="b">
        <f t="shared" si="297"/>
        <v>1</v>
      </c>
      <c r="CM197" s="4266" t="b">
        <f t="shared" si="297"/>
        <v>1</v>
      </c>
      <c r="CN197" s="4266" t="b">
        <f t="shared" si="297"/>
        <v>1</v>
      </c>
      <c r="CO197" s="4266" t="b">
        <f t="shared" si="297"/>
        <v>1</v>
      </c>
      <c r="CP197" s="4268" t="e">
        <f t="shared" si="297"/>
        <v>#N/A</v>
      </c>
      <c r="CQ197" s="760"/>
      <c r="CR197" s="597" t="b">
        <f>ROUND(CR13+CR21+CR37,1)=ROUND(CR12,1)</f>
        <v>1</v>
      </c>
      <c r="CS197" s="4273" t="b">
        <f>ROUND(CS13+CS21+CS37,1)=ROUND(CS12,1)</f>
        <v>1</v>
      </c>
      <c r="CT197" s="607"/>
    </row>
    <row r="198" spans="1:98" ht="15.45" thickBot="1" x14ac:dyDescent="0.6">
      <c r="A198" s="3453"/>
      <c r="C198" s="2771" t="s">
        <v>6</v>
      </c>
      <c r="F198" s="3752" t="b">
        <f t="shared" ref="F198:AO198" si="298">F13=F14+F15</f>
        <v>1</v>
      </c>
      <c r="G198" s="3753" t="b">
        <f t="shared" si="298"/>
        <v>1</v>
      </c>
      <c r="H198" s="3753" t="b">
        <f t="shared" si="298"/>
        <v>1</v>
      </c>
      <c r="I198" s="3753" t="b">
        <f t="shared" si="298"/>
        <v>1</v>
      </c>
      <c r="J198" s="3753" t="b">
        <f t="shared" si="298"/>
        <v>1</v>
      </c>
      <c r="K198" s="3753" t="b">
        <f t="shared" si="298"/>
        <v>1</v>
      </c>
      <c r="L198" s="3753" t="b">
        <f t="shared" si="298"/>
        <v>1</v>
      </c>
      <c r="M198" s="3753" t="b">
        <f t="shared" si="298"/>
        <v>1</v>
      </c>
      <c r="N198" s="3753" t="b">
        <f t="shared" si="298"/>
        <v>1</v>
      </c>
      <c r="O198" s="3753" t="b">
        <f t="shared" si="298"/>
        <v>1</v>
      </c>
      <c r="P198" s="3753" t="b">
        <f t="shared" si="298"/>
        <v>1</v>
      </c>
      <c r="Q198" s="3754" t="b">
        <f t="shared" si="298"/>
        <v>1</v>
      </c>
      <c r="R198" s="3753" t="b">
        <f t="shared" si="298"/>
        <v>1</v>
      </c>
      <c r="S198" s="3753" t="b">
        <f t="shared" si="298"/>
        <v>1</v>
      </c>
      <c r="T198" s="3753" t="b">
        <f t="shared" si="298"/>
        <v>1</v>
      </c>
      <c r="U198" s="3753" t="b">
        <f t="shared" si="298"/>
        <v>1</v>
      </c>
      <c r="V198" s="3753" t="b">
        <f t="shared" si="298"/>
        <v>1</v>
      </c>
      <c r="W198" s="3753" t="b">
        <f t="shared" si="298"/>
        <v>1</v>
      </c>
      <c r="X198" s="3753" t="b">
        <f t="shared" si="298"/>
        <v>1</v>
      </c>
      <c r="Y198" s="3753" t="b">
        <f t="shared" si="298"/>
        <v>1</v>
      </c>
      <c r="Z198" s="3753" t="b">
        <f t="shared" si="298"/>
        <v>1</v>
      </c>
      <c r="AA198" s="3753" t="b">
        <f t="shared" si="298"/>
        <v>1</v>
      </c>
      <c r="AB198" s="3753" t="b">
        <f t="shared" si="298"/>
        <v>1</v>
      </c>
      <c r="AC198" s="3753" t="b">
        <f t="shared" si="298"/>
        <v>1</v>
      </c>
      <c r="AD198" s="3752" t="b">
        <f t="shared" si="298"/>
        <v>1</v>
      </c>
      <c r="AE198" s="3753" t="b">
        <f t="shared" si="298"/>
        <v>1</v>
      </c>
      <c r="AF198" s="3753" t="b">
        <f t="shared" si="298"/>
        <v>1</v>
      </c>
      <c r="AG198" s="3753" t="b">
        <f t="shared" si="298"/>
        <v>1</v>
      </c>
      <c r="AH198" s="3753" t="b">
        <f t="shared" si="298"/>
        <v>1</v>
      </c>
      <c r="AI198" s="3753" t="b">
        <f t="shared" si="298"/>
        <v>1</v>
      </c>
      <c r="AJ198" s="3753" t="b">
        <f t="shared" si="298"/>
        <v>1</v>
      </c>
      <c r="AK198" s="3753" t="b">
        <f t="shared" si="298"/>
        <v>1</v>
      </c>
      <c r="AL198" s="3753" t="b">
        <f t="shared" si="298"/>
        <v>1</v>
      </c>
      <c r="AM198" s="3753" t="b">
        <f t="shared" si="298"/>
        <v>1</v>
      </c>
      <c r="AN198" s="3753" t="b">
        <f t="shared" si="298"/>
        <v>1</v>
      </c>
      <c r="AO198" s="3755" t="b">
        <f t="shared" si="298"/>
        <v>1</v>
      </c>
      <c r="AP198" s="3755"/>
      <c r="AQ198" s="627" t="b">
        <f>AQ13=AQ14+AQ15</f>
        <v>1</v>
      </c>
      <c r="AR198" s="4263" t="b">
        <f>AR13=AR14+AR15</f>
        <v>1</v>
      </c>
      <c r="AS198" s="4263" t="b">
        <f>AW13=AW14+AW15</f>
        <v>1</v>
      </c>
      <c r="AT198" s="4263" t="b">
        <f t="shared" ref="AT198:BP198" si="299">AT13=AT14+AT15</f>
        <v>1</v>
      </c>
      <c r="AU198" s="4263" t="b">
        <f t="shared" si="299"/>
        <v>1</v>
      </c>
      <c r="AV198" s="4263" t="b">
        <f t="shared" si="299"/>
        <v>1</v>
      </c>
      <c r="AW198" s="4263" t="b">
        <f t="shared" si="299"/>
        <v>1</v>
      </c>
      <c r="AX198" s="4263" t="b">
        <f t="shared" si="299"/>
        <v>1</v>
      </c>
      <c r="AY198" s="4263" t="b">
        <f t="shared" si="299"/>
        <v>1</v>
      </c>
      <c r="AZ198" s="4263" t="b">
        <f t="shared" si="299"/>
        <v>1</v>
      </c>
      <c r="BA198" s="4263" t="b">
        <f t="shared" si="299"/>
        <v>1</v>
      </c>
      <c r="BB198" s="4263" t="b">
        <f t="shared" si="299"/>
        <v>1</v>
      </c>
      <c r="BC198" s="4264" t="b">
        <f t="shared" si="299"/>
        <v>1</v>
      </c>
      <c r="BD198" s="4265" t="b">
        <f t="shared" si="299"/>
        <v>1</v>
      </c>
      <c r="BE198" s="4266" t="b">
        <f t="shared" si="299"/>
        <v>1</v>
      </c>
      <c r="BF198" s="4266" t="b">
        <f t="shared" si="299"/>
        <v>1</v>
      </c>
      <c r="BG198" s="4266" t="b">
        <f t="shared" si="299"/>
        <v>1</v>
      </c>
      <c r="BH198" s="4266" t="b">
        <f t="shared" si="299"/>
        <v>1</v>
      </c>
      <c r="BI198" s="4266" t="b">
        <f t="shared" si="299"/>
        <v>1</v>
      </c>
      <c r="BJ198" s="4266" t="b">
        <f t="shared" si="299"/>
        <v>1</v>
      </c>
      <c r="BK198" s="4266" t="b">
        <f t="shared" si="299"/>
        <v>1</v>
      </c>
      <c r="BL198" s="4266" t="b">
        <f t="shared" si="299"/>
        <v>1</v>
      </c>
      <c r="BM198" s="4266" t="b">
        <f t="shared" si="299"/>
        <v>1</v>
      </c>
      <c r="BN198" s="4266" t="b">
        <f t="shared" si="299"/>
        <v>1</v>
      </c>
      <c r="BO198" s="4266" t="b">
        <f t="shared" si="299"/>
        <v>1</v>
      </c>
      <c r="BP198" s="4265" t="b">
        <f t="shared" si="299"/>
        <v>1</v>
      </c>
      <c r="BQ198" s="4265" t="b">
        <f t="shared" ref="BQ198:CB198" si="300">BQ13=BQ14+BQ15</f>
        <v>1</v>
      </c>
      <c r="BR198" s="4267" t="b">
        <f t="shared" si="300"/>
        <v>1</v>
      </c>
      <c r="BS198" s="4266" t="b">
        <f t="shared" si="300"/>
        <v>1</v>
      </c>
      <c r="BT198" s="4266" t="b">
        <f t="shared" si="300"/>
        <v>1</v>
      </c>
      <c r="BU198" s="4266" t="b">
        <f t="shared" si="300"/>
        <v>1</v>
      </c>
      <c r="BV198" s="4266" t="b">
        <f t="shared" si="300"/>
        <v>1</v>
      </c>
      <c r="BW198" s="4266" t="b">
        <f t="shared" si="300"/>
        <v>1</v>
      </c>
      <c r="BX198" s="4266" t="b">
        <f t="shared" si="300"/>
        <v>1</v>
      </c>
      <c r="BY198" s="4266" t="b">
        <f t="shared" si="300"/>
        <v>1</v>
      </c>
      <c r="BZ198" s="4266" t="b">
        <f t="shared" si="300"/>
        <v>1</v>
      </c>
      <c r="CA198" s="4266" t="b">
        <f t="shared" si="300"/>
        <v>1</v>
      </c>
      <c r="CB198" s="4266" t="b">
        <f t="shared" si="300"/>
        <v>1</v>
      </c>
      <c r="CC198" s="4266"/>
      <c r="CD198" s="4265" t="b">
        <f t="shared" ref="CD198:CO198" si="301">CD13=CD14+CD15</f>
        <v>1</v>
      </c>
      <c r="CE198" s="4267" t="b">
        <f t="shared" si="301"/>
        <v>1</v>
      </c>
      <c r="CF198" s="4266" t="b">
        <f t="shared" si="301"/>
        <v>1</v>
      </c>
      <c r="CG198" s="4266" t="b">
        <f t="shared" si="301"/>
        <v>1</v>
      </c>
      <c r="CH198" s="4266" t="b">
        <f t="shared" si="301"/>
        <v>1</v>
      </c>
      <c r="CI198" s="4266" t="b">
        <f t="shared" si="301"/>
        <v>1</v>
      </c>
      <c r="CJ198" s="4266" t="b">
        <f t="shared" si="301"/>
        <v>1</v>
      </c>
      <c r="CK198" s="4266" t="b">
        <f t="shared" si="301"/>
        <v>1</v>
      </c>
      <c r="CL198" s="4266" t="b">
        <f t="shared" si="301"/>
        <v>1</v>
      </c>
      <c r="CM198" s="4266" t="b">
        <f t="shared" si="301"/>
        <v>1</v>
      </c>
      <c r="CN198" s="4266" t="b">
        <f t="shared" si="301"/>
        <v>1</v>
      </c>
      <c r="CO198" s="4266" t="b">
        <f t="shared" si="301"/>
        <v>1</v>
      </c>
      <c r="CP198" s="4268" t="e">
        <f>ROUND(CP13,1)=ROUND(CP14+CP15,1)</f>
        <v>#N/A</v>
      </c>
      <c r="CQ198" s="760"/>
      <c r="CR198" s="597" t="b">
        <f>CR13=CR14+CR15</f>
        <v>1</v>
      </c>
      <c r="CS198" s="4273" t="b">
        <f>ROUND(CS13,1)=ROUND(CS14+CS15,1)</f>
        <v>1</v>
      </c>
      <c r="CT198" s="607"/>
    </row>
    <row r="199" spans="1:98" ht="15.45" thickBot="1" x14ac:dyDescent="0.6">
      <c r="A199" s="3453"/>
      <c r="C199" s="4274" t="s">
        <v>0</v>
      </c>
      <c r="D199" s="3861"/>
      <c r="E199" s="3861"/>
      <c r="F199" s="3862" t="b">
        <f t="shared" ref="F199:AO199" si="302">ROUND(SUM(F25:F36),1)=ROUND(F21,1)</f>
        <v>1</v>
      </c>
      <c r="G199" s="3863" t="b">
        <f t="shared" si="302"/>
        <v>1</v>
      </c>
      <c r="H199" s="3863" t="b">
        <f t="shared" si="302"/>
        <v>1</v>
      </c>
      <c r="I199" s="3863" t="b">
        <f t="shared" si="302"/>
        <v>1</v>
      </c>
      <c r="J199" s="3863" t="b">
        <f t="shared" si="302"/>
        <v>1</v>
      </c>
      <c r="K199" s="3863" t="b">
        <f t="shared" si="302"/>
        <v>1</v>
      </c>
      <c r="L199" s="3863" t="b">
        <f t="shared" si="302"/>
        <v>1</v>
      </c>
      <c r="M199" s="3863" t="b">
        <f t="shared" si="302"/>
        <v>1</v>
      </c>
      <c r="N199" s="3863" t="b">
        <f t="shared" si="302"/>
        <v>1</v>
      </c>
      <c r="O199" s="3863" t="b">
        <f t="shared" si="302"/>
        <v>1</v>
      </c>
      <c r="P199" s="3863" t="b">
        <f t="shared" si="302"/>
        <v>1</v>
      </c>
      <c r="Q199" s="3864" t="b">
        <f t="shared" si="302"/>
        <v>1</v>
      </c>
      <c r="R199" s="3863" t="b">
        <f t="shared" si="302"/>
        <v>1</v>
      </c>
      <c r="S199" s="3863" t="b">
        <f t="shared" si="302"/>
        <v>1</v>
      </c>
      <c r="T199" s="3863" t="b">
        <f t="shared" si="302"/>
        <v>1</v>
      </c>
      <c r="U199" s="3863" t="b">
        <f t="shared" si="302"/>
        <v>1</v>
      </c>
      <c r="V199" s="3863" t="b">
        <f t="shared" si="302"/>
        <v>1</v>
      </c>
      <c r="W199" s="3863" t="b">
        <f t="shared" si="302"/>
        <v>1</v>
      </c>
      <c r="X199" s="3863" t="b">
        <f t="shared" si="302"/>
        <v>1</v>
      </c>
      <c r="Y199" s="3863" t="b">
        <f t="shared" si="302"/>
        <v>1</v>
      </c>
      <c r="Z199" s="3863" t="b">
        <f t="shared" si="302"/>
        <v>1</v>
      </c>
      <c r="AA199" s="3863" t="b">
        <f t="shared" si="302"/>
        <v>1</v>
      </c>
      <c r="AB199" s="3863" t="b">
        <f t="shared" si="302"/>
        <v>1</v>
      </c>
      <c r="AC199" s="3863" t="b">
        <f t="shared" si="302"/>
        <v>1</v>
      </c>
      <c r="AD199" s="3862" t="b">
        <f t="shared" si="302"/>
        <v>1</v>
      </c>
      <c r="AE199" s="3863" t="b">
        <f t="shared" si="302"/>
        <v>1</v>
      </c>
      <c r="AF199" s="3863" t="b">
        <f t="shared" si="302"/>
        <v>1</v>
      </c>
      <c r="AG199" s="3863" t="b">
        <f t="shared" si="302"/>
        <v>1</v>
      </c>
      <c r="AH199" s="3863" t="b">
        <f t="shared" si="302"/>
        <v>1</v>
      </c>
      <c r="AI199" s="3863" t="b">
        <f t="shared" si="302"/>
        <v>1</v>
      </c>
      <c r="AJ199" s="3863" t="b">
        <f t="shared" si="302"/>
        <v>1</v>
      </c>
      <c r="AK199" s="3863" t="b">
        <f t="shared" si="302"/>
        <v>1</v>
      </c>
      <c r="AL199" s="3863" t="b">
        <f t="shared" si="302"/>
        <v>1</v>
      </c>
      <c r="AM199" s="3863" t="b">
        <f t="shared" si="302"/>
        <v>1</v>
      </c>
      <c r="AN199" s="3863" t="b">
        <f t="shared" si="302"/>
        <v>1</v>
      </c>
      <c r="AO199" s="3863" t="b">
        <f t="shared" si="302"/>
        <v>1</v>
      </c>
      <c r="AP199" s="3863"/>
      <c r="AQ199" s="4275" t="b">
        <f>ROUND(SUM(AQ25:AQ32),1)=ROUND(AQ21,1)</f>
        <v>1</v>
      </c>
      <c r="AR199" s="4276" t="b">
        <f>ROUND(SUM(AR25:AR32),1)=ROUND(AR21,1)</f>
        <v>1</v>
      </c>
      <c r="AS199" s="4276" t="b">
        <f>ROUND(SUM(AW25:AW32),1)=ROUND(AW21,1)</f>
        <v>1</v>
      </c>
      <c r="AT199" s="4276" t="b">
        <f t="shared" ref="AT199:BP199" si="303">ROUND(SUM(AT25:AT32),1)=ROUND(AT21,1)</f>
        <v>1</v>
      </c>
      <c r="AU199" s="4276" t="b">
        <f t="shared" si="303"/>
        <v>1</v>
      </c>
      <c r="AV199" s="4276" t="b">
        <f t="shared" si="303"/>
        <v>1</v>
      </c>
      <c r="AW199" s="4276" t="b">
        <f t="shared" si="303"/>
        <v>1</v>
      </c>
      <c r="AX199" s="4276" t="b">
        <f t="shared" si="303"/>
        <v>1</v>
      </c>
      <c r="AY199" s="4276" t="b">
        <f t="shared" si="303"/>
        <v>1</v>
      </c>
      <c r="AZ199" s="4276" t="b">
        <f t="shared" si="303"/>
        <v>1</v>
      </c>
      <c r="BA199" s="4276" t="b">
        <f t="shared" si="303"/>
        <v>1</v>
      </c>
      <c r="BB199" s="4276" t="b">
        <f t="shared" si="303"/>
        <v>1</v>
      </c>
      <c r="BC199" s="4277" t="b">
        <f t="shared" si="303"/>
        <v>1</v>
      </c>
      <c r="BD199" s="4278" t="b">
        <f t="shared" si="303"/>
        <v>1</v>
      </c>
      <c r="BE199" s="4278" t="b">
        <f t="shared" si="303"/>
        <v>1</v>
      </c>
      <c r="BF199" s="4278" t="b">
        <f t="shared" si="303"/>
        <v>1</v>
      </c>
      <c r="BG199" s="4278" t="b">
        <f t="shared" si="303"/>
        <v>1</v>
      </c>
      <c r="BH199" s="4278" t="b">
        <f t="shared" si="303"/>
        <v>1</v>
      </c>
      <c r="BI199" s="4278" t="b">
        <f t="shared" si="303"/>
        <v>1</v>
      </c>
      <c r="BJ199" s="4278" t="b">
        <f t="shared" si="303"/>
        <v>1</v>
      </c>
      <c r="BK199" s="4278" t="b">
        <f t="shared" si="303"/>
        <v>1</v>
      </c>
      <c r="BL199" s="4278" t="b">
        <f t="shared" si="303"/>
        <v>1</v>
      </c>
      <c r="BM199" s="4278" t="b">
        <f t="shared" si="303"/>
        <v>1</v>
      </c>
      <c r="BN199" s="4278" t="b">
        <f t="shared" si="303"/>
        <v>1</v>
      </c>
      <c r="BO199" s="4278" t="b">
        <f t="shared" si="303"/>
        <v>1</v>
      </c>
      <c r="BP199" s="4278" t="b">
        <f t="shared" si="303"/>
        <v>1</v>
      </c>
      <c r="BQ199" s="4278" t="b">
        <f t="shared" ref="BQ199:CB199" si="304">ROUND(SUM(BQ25:BQ32),1)=ROUND(BQ21,1)</f>
        <v>1</v>
      </c>
      <c r="BR199" s="4279" t="b">
        <f t="shared" si="304"/>
        <v>1</v>
      </c>
      <c r="BS199" s="4278" t="b">
        <f t="shared" si="304"/>
        <v>1</v>
      </c>
      <c r="BT199" s="4278" t="b">
        <f t="shared" si="304"/>
        <v>1</v>
      </c>
      <c r="BU199" s="4278" t="b">
        <f t="shared" si="304"/>
        <v>1</v>
      </c>
      <c r="BV199" s="4278" t="b">
        <f t="shared" si="304"/>
        <v>1</v>
      </c>
      <c r="BW199" s="4278" t="b">
        <f t="shared" si="304"/>
        <v>1</v>
      </c>
      <c r="BX199" s="4278" t="b">
        <f t="shared" si="304"/>
        <v>1</v>
      </c>
      <c r="BY199" s="4278" t="b">
        <f t="shared" si="304"/>
        <v>1</v>
      </c>
      <c r="BZ199" s="4278" t="b">
        <f t="shared" si="304"/>
        <v>1</v>
      </c>
      <c r="CA199" s="4278" t="b">
        <f t="shared" si="304"/>
        <v>1</v>
      </c>
      <c r="CB199" s="4278" t="b">
        <f t="shared" si="304"/>
        <v>1</v>
      </c>
      <c r="CC199" s="4278"/>
      <c r="CD199" s="4278" t="b">
        <f t="shared" ref="CD199:CO199" si="305">ROUND(SUM(CD25:CD32),1)=ROUND(CD21,1)</f>
        <v>1</v>
      </c>
      <c r="CE199" s="4279" t="b">
        <f t="shared" si="305"/>
        <v>1</v>
      </c>
      <c r="CF199" s="4278" t="b">
        <f t="shared" si="305"/>
        <v>1</v>
      </c>
      <c r="CG199" s="4278" t="b">
        <f t="shared" si="305"/>
        <v>1</v>
      </c>
      <c r="CH199" s="4278" t="b">
        <f t="shared" si="305"/>
        <v>1</v>
      </c>
      <c r="CI199" s="4278" t="b">
        <f t="shared" si="305"/>
        <v>1</v>
      </c>
      <c r="CJ199" s="4278" t="b">
        <f t="shared" si="305"/>
        <v>1</v>
      </c>
      <c r="CK199" s="4278" t="b">
        <f t="shared" si="305"/>
        <v>1</v>
      </c>
      <c r="CL199" s="4278" t="b">
        <f t="shared" si="305"/>
        <v>1</v>
      </c>
      <c r="CM199" s="4278" t="b">
        <f t="shared" si="305"/>
        <v>1</v>
      </c>
      <c r="CN199" s="4278" t="b">
        <f t="shared" si="305"/>
        <v>1</v>
      </c>
      <c r="CO199" s="4278" t="b">
        <f t="shared" si="305"/>
        <v>1</v>
      </c>
      <c r="CP199" s="4280"/>
      <c r="CQ199" s="4281"/>
      <c r="CR199" s="4282" t="b">
        <f>ROUND(SUM(CR25:CR32),1)=ROUND(CR21,1)</f>
        <v>1</v>
      </c>
      <c r="CS199" s="4283" t="b">
        <f>ROUND(SUM(CS25:CS32),1)=ROUND(CS21,1)</f>
        <v>1</v>
      </c>
      <c r="CT199" s="808"/>
    </row>
    <row r="200" spans="1:98" x14ac:dyDescent="0.55000000000000004">
      <c r="A200" s="3453"/>
      <c r="C200" s="2771" t="s">
        <v>7</v>
      </c>
      <c r="F200" s="3752" t="b">
        <f>F37=SUM(F38:F43)</f>
        <v>1</v>
      </c>
      <c r="G200" s="3753" t="b">
        <f t="shared" ref="G200:BO200" si="306">G37=SUM(G38:G43)</f>
        <v>1</v>
      </c>
      <c r="H200" s="3753" t="b">
        <f t="shared" si="306"/>
        <v>1</v>
      </c>
      <c r="I200" s="3753" t="b">
        <f t="shared" si="306"/>
        <v>1</v>
      </c>
      <c r="J200" s="3753" t="b">
        <f t="shared" si="306"/>
        <v>1</v>
      </c>
      <c r="K200" s="3753" t="b">
        <f t="shared" si="306"/>
        <v>1</v>
      </c>
      <c r="L200" s="3753" t="b">
        <f t="shared" si="306"/>
        <v>1</v>
      </c>
      <c r="M200" s="3753" t="b">
        <f t="shared" si="306"/>
        <v>1</v>
      </c>
      <c r="N200" s="3753" t="b">
        <f t="shared" si="306"/>
        <v>1</v>
      </c>
      <c r="O200" s="3753" t="b">
        <f t="shared" si="306"/>
        <v>1</v>
      </c>
      <c r="P200" s="3753" t="b">
        <f t="shared" si="306"/>
        <v>1</v>
      </c>
      <c r="Q200" s="3754" t="b">
        <f t="shared" si="306"/>
        <v>1</v>
      </c>
      <c r="R200" s="3753" t="b">
        <f t="shared" si="306"/>
        <v>1</v>
      </c>
      <c r="S200" s="3753" t="b">
        <f t="shared" si="306"/>
        <v>1</v>
      </c>
      <c r="T200" s="3753" t="b">
        <f t="shared" si="306"/>
        <v>1</v>
      </c>
      <c r="U200" s="3753" t="b">
        <f t="shared" si="306"/>
        <v>1</v>
      </c>
      <c r="V200" s="3753" t="b">
        <f t="shared" si="306"/>
        <v>1</v>
      </c>
      <c r="W200" s="3753" t="b">
        <f t="shared" si="306"/>
        <v>1</v>
      </c>
      <c r="X200" s="3753" t="b">
        <f t="shared" si="306"/>
        <v>1</v>
      </c>
      <c r="Y200" s="3753" t="b">
        <f t="shared" si="306"/>
        <v>1</v>
      </c>
      <c r="Z200" s="3753" t="b">
        <f t="shared" si="306"/>
        <v>1</v>
      </c>
      <c r="AA200" s="3753" t="b">
        <f t="shared" si="306"/>
        <v>1</v>
      </c>
      <c r="AB200" s="3753" t="b">
        <f t="shared" si="306"/>
        <v>1</v>
      </c>
      <c r="AC200" s="3753" t="b">
        <f t="shared" si="306"/>
        <v>1</v>
      </c>
      <c r="AD200" s="3752" t="b">
        <f t="shared" si="306"/>
        <v>1</v>
      </c>
      <c r="AE200" s="3753" t="b">
        <f t="shared" si="306"/>
        <v>1</v>
      </c>
      <c r="AF200" s="3753" t="b">
        <f t="shared" si="306"/>
        <v>1</v>
      </c>
      <c r="AG200" s="3753" t="b">
        <f t="shared" si="306"/>
        <v>1</v>
      </c>
      <c r="AH200" s="3753" t="b">
        <f t="shared" si="306"/>
        <v>1</v>
      </c>
      <c r="AI200" s="3753" t="b">
        <f t="shared" si="306"/>
        <v>1</v>
      </c>
      <c r="AJ200" s="3753" t="b">
        <f t="shared" si="306"/>
        <v>1</v>
      </c>
      <c r="AK200" s="3753" t="b">
        <f t="shared" si="306"/>
        <v>1</v>
      </c>
      <c r="AL200" s="3753" t="b">
        <f t="shared" si="306"/>
        <v>1</v>
      </c>
      <c r="AM200" s="3753" t="b">
        <f t="shared" si="306"/>
        <v>1</v>
      </c>
      <c r="AN200" s="3753" t="b">
        <f t="shared" si="306"/>
        <v>1</v>
      </c>
      <c r="AO200" s="3755" t="b">
        <f t="shared" si="306"/>
        <v>1</v>
      </c>
      <c r="AP200" s="3755"/>
      <c r="AQ200" s="627" t="b">
        <f>ROUND(AQ37,1)=ROUND(SUM(AQ38:AQ43),1)</f>
        <v>1</v>
      </c>
      <c r="AR200" s="4263" t="b">
        <f t="shared" si="306"/>
        <v>1</v>
      </c>
      <c r="AS200" s="4263" t="b">
        <f>AW37=SUM(AW38:AW43)</f>
        <v>1</v>
      </c>
      <c r="AT200" s="4263" t="b">
        <f t="shared" si="306"/>
        <v>1</v>
      </c>
      <c r="AU200" s="4263" t="b">
        <f t="shared" si="306"/>
        <v>1</v>
      </c>
      <c r="AV200" s="4263" t="b">
        <f t="shared" si="306"/>
        <v>1</v>
      </c>
      <c r="AW200" s="4263" t="b">
        <f t="shared" si="306"/>
        <v>1</v>
      </c>
      <c r="AX200" s="4263" t="b">
        <f t="shared" si="306"/>
        <v>1</v>
      </c>
      <c r="AY200" s="4263" t="b">
        <f t="shared" si="306"/>
        <v>1</v>
      </c>
      <c r="AZ200" s="4263" t="b">
        <f t="shared" si="306"/>
        <v>1</v>
      </c>
      <c r="BA200" s="4263" t="b">
        <f t="shared" si="306"/>
        <v>1</v>
      </c>
      <c r="BB200" s="4263" t="b">
        <f t="shared" si="306"/>
        <v>1</v>
      </c>
      <c r="BC200" s="4264" t="b">
        <f t="shared" si="306"/>
        <v>1</v>
      </c>
      <c r="BD200" s="4265" t="b">
        <f t="shared" si="306"/>
        <v>1</v>
      </c>
      <c r="BE200" s="4266" t="b">
        <f t="shared" si="306"/>
        <v>1</v>
      </c>
      <c r="BF200" s="4266" t="b">
        <f t="shared" si="306"/>
        <v>1</v>
      </c>
      <c r="BG200" s="4266" t="b">
        <f t="shared" si="306"/>
        <v>1</v>
      </c>
      <c r="BH200" s="4266" t="b">
        <f t="shared" si="306"/>
        <v>1</v>
      </c>
      <c r="BI200" s="4266" t="b">
        <f t="shared" si="306"/>
        <v>1</v>
      </c>
      <c r="BJ200" s="4266" t="b">
        <f t="shared" si="306"/>
        <v>1</v>
      </c>
      <c r="BK200" s="4266" t="b">
        <f t="shared" si="306"/>
        <v>1</v>
      </c>
      <c r="BL200" s="4266" t="b">
        <f t="shared" si="306"/>
        <v>1</v>
      </c>
      <c r="BM200" s="4266" t="b">
        <f t="shared" si="306"/>
        <v>1</v>
      </c>
      <c r="BN200" s="4266" t="b">
        <f t="shared" si="306"/>
        <v>1</v>
      </c>
      <c r="BO200" s="4266" t="b">
        <f t="shared" si="306"/>
        <v>1</v>
      </c>
      <c r="BP200" s="4265" t="b">
        <f t="shared" ref="BP200" si="307">BP37=SUM(BP38:BP43)</f>
        <v>1</v>
      </c>
      <c r="BQ200" s="4265" t="b">
        <f t="shared" ref="BQ200:CB200" si="308">BQ37=SUM(BQ38:BQ43)</f>
        <v>1</v>
      </c>
      <c r="BR200" s="4267" t="b">
        <f t="shared" si="308"/>
        <v>1</v>
      </c>
      <c r="BS200" s="4266" t="b">
        <f t="shared" si="308"/>
        <v>1</v>
      </c>
      <c r="BT200" s="4266" t="b">
        <f>BT37=SUM(BT38:BT43)</f>
        <v>1</v>
      </c>
      <c r="BU200" s="4266" t="b">
        <f t="shared" si="308"/>
        <v>1</v>
      </c>
      <c r="BV200" s="4266" t="b">
        <f t="shared" si="308"/>
        <v>1</v>
      </c>
      <c r="BW200" s="4266" t="b">
        <f t="shared" si="308"/>
        <v>1</v>
      </c>
      <c r="BX200" s="4266" t="b">
        <f t="shared" si="308"/>
        <v>1</v>
      </c>
      <c r="BY200" s="4266" t="b">
        <f t="shared" si="308"/>
        <v>1</v>
      </c>
      <c r="BZ200" s="4266" t="b">
        <f t="shared" si="308"/>
        <v>1</v>
      </c>
      <c r="CA200" s="4266" t="b">
        <f t="shared" si="308"/>
        <v>1</v>
      </c>
      <c r="CB200" s="4266" t="b">
        <f t="shared" si="308"/>
        <v>1</v>
      </c>
      <c r="CC200" s="4266"/>
      <c r="CD200" s="4265" t="b">
        <f t="shared" ref="CD200:CF200" si="309">CD37=SUM(CD38:CD43)</f>
        <v>1</v>
      </c>
      <c r="CE200" s="4267" t="b">
        <f t="shared" si="309"/>
        <v>1</v>
      </c>
      <c r="CF200" s="4266" t="b">
        <f t="shared" si="309"/>
        <v>1</v>
      </c>
      <c r="CG200" s="4266" t="b">
        <f>CG37=SUM(CG38:CG43)</f>
        <v>1</v>
      </c>
      <c r="CH200" s="4266" t="b">
        <f t="shared" ref="CH200:CO200" si="310">CH37=SUM(CH38:CH43)</f>
        <v>1</v>
      </c>
      <c r="CI200" s="4266" t="b">
        <f t="shared" si="310"/>
        <v>1</v>
      </c>
      <c r="CJ200" s="4266" t="b">
        <f t="shared" si="310"/>
        <v>1</v>
      </c>
      <c r="CK200" s="4266" t="b">
        <f t="shared" si="310"/>
        <v>1</v>
      </c>
      <c r="CL200" s="4266" t="b">
        <f t="shared" si="310"/>
        <v>1</v>
      </c>
      <c r="CM200" s="4266" t="b">
        <f t="shared" si="310"/>
        <v>1</v>
      </c>
      <c r="CN200" s="4266" t="b">
        <f t="shared" si="310"/>
        <v>1</v>
      </c>
      <c r="CO200" s="4266" t="b">
        <f t="shared" si="310"/>
        <v>1</v>
      </c>
      <c r="CP200" s="4268" t="e">
        <f>CP37=SUM(CP38:CP43)</f>
        <v>#N/A</v>
      </c>
      <c r="CQ200" s="760"/>
      <c r="CR200" s="597" t="b">
        <f>CR37=CR37</f>
        <v>1</v>
      </c>
      <c r="CS200" s="597" t="b">
        <f>ROUND(CS37,1)=ROUND(SUM(CS38:CS43),1)</f>
        <v>1</v>
      </c>
      <c r="CT200" s="607"/>
    </row>
    <row r="201" spans="1:98" x14ac:dyDescent="0.55000000000000004">
      <c r="A201" s="3453"/>
      <c r="B201" s="1522" t="s">
        <v>5</v>
      </c>
      <c r="C201" s="1523"/>
      <c r="D201" s="1523"/>
      <c r="E201" s="1523"/>
      <c r="F201" s="3783" t="b">
        <f t="shared" ref="F201:AO201" si="311">F44=SUM(F45:F48)</f>
        <v>1</v>
      </c>
      <c r="G201" s="3941" t="b">
        <f t="shared" si="311"/>
        <v>1</v>
      </c>
      <c r="H201" s="3941" t="b">
        <f t="shared" si="311"/>
        <v>1</v>
      </c>
      <c r="I201" s="3941" t="b">
        <f t="shared" si="311"/>
        <v>1</v>
      </c>
      <c r="J201" s="3941" t="b">
        <f t="shared" si="311"/>
        <v>1</v>
      </c>
      <c r="K201" s="3941" t="b">
        <f t="shared" si="311"/>
        <v>1</v>
      </c>
      <c r="L201" s="3941" t="b">
        <f t="shared" si="311"/>
        <v>1</v>
      </c>
      <c r="M201" s="3941" t="b">
        <f t="shared" si="311"/>
        <v>1</v>
      </c>
      <c r="N201" s="3941" t="b">
        <f t="shared" si="311"/>
        <v>1</v>
      </c>
      <c r="O201" s="3941" t="b">
        <f t="shared" si="311"/>
        <v>1</v>
      </c>
      <c r="P201" s="3941" t="b">
        <f t="shared" si="311"/>
        <v>1</v>
      </c>
      <c r="Q201" s="3785" t="b">
        <f t="shared" si="311"/>
        <v>1</v>
      </c>
      <c r="R201" s="7069"/>
      <c r="S201" s="7069"/>
      <c r="T201" s="7069"/>
      <c r="U201" s="7069"/>
      <c r="V201" s="7069"/>
      <c r="W201" s="7069"/>
      <c r="X201" s="7069"/>
      <c r="Y201" s="7069"/>
      <c r="Z201" s="7069"/>
      <c r="AA201" s="7069"/>
      <c r="AB201" s="7069"/>
      <c r="AC201" s="7070"/>
      <c r="AD201" s="3769" t="b">
        <f>ROUND(AD44,1)=ROUND(SUM(AD45:AD48),1)</f>
        <v>1</v>
      </c>
      <c r="AE201" s="3769" t="b">
        <f t="shared" si="311"/>
        <v>1</v>
      </c>
      <c r="AF201" s="3769" t="b">
        <f t="shared" si="311"/>
        <v>1</v>
      </c>
      <c r="AG201" s="3769" t="b">
        <f t="shared" si="311"/>
        <v>1</v>
      </c>
      <c r="AH201" s="3769" t="b">
        <f t="shared" si="311"/>
        <v>1</v>
      </c>
      <c r="AI201" s="3769" t="b">
        <f t="shared" si="311"/>
        <v>1</v>
      </c>
      <c r="AJ201" s="3769" t="b">
        <f t="shared" si="311"/>
        <v>1</v>
      </c>
      <c r="AK201" s="3769" t="b">
        <f t="shared" si="311"/>
        <v>1</v>
      </c>
      <c r="AL201" s="3769" t="b">
        <f t="shared" si="311"/>
        <v>1</v>
      </c>
      <c r="AM201" s="3769" t="b">
        <f t="shared" si="311"/>
        <v>1</v>
      </c>
      <c r="AN201" s="3769" t="b">
        <f t="shared" si="311"/>
        <v>1</v>
      </c>
      <c r="AO201" s="3769" t="b">
        <f t="shared" si="311"/>
        <v>1</v>
      </c>
      <c r="AP201" s="3755"/>
      <c r="AQ201" s="627" t="b">
        <f>AQ44=SUM(AQ45:AQ48)</f>
        <v>1</v>
      </c>
      <c r="AR201" s="4263" t="b">
        <f t="shared" ref="AR201:CS201" si="312">AR44=SUM(AR45:AR48)</f>
        <v>1</v>
      </c>
      <c r="AS201" s="4263" t="b">
        <f>AW44=SUM(AW45:AW48)</f>
        <v>1</v>
      </c>
      <c r="AT201" s="4263" t="b">
        <f t="shared" si="312"/>
        <v>1</v>
      </c>
      <c r="AU201" s="4263" t="b">
        <f t="shared" si="312"/>
        <v>1</v>
      </c>
      <c r="AV201" s="4263" t="b">
        <f t="shared" si="312"/>
        <v>1</v>
      </c>
      <c r="AW201" s="4263" t="b">
        <f t="shared" si="312"/>
        <v>1</v>
      </c>
      <c r="AX201" s="4263" t="b">
        <f t="shared" si="312"/>
        <v>1</v>
      </c>
      <c r="AY201" s="4263" t="b">
        <f t="shared" si="312"/>
        <v>1</v>
      </c>
      <c r="AZ201" s="4263" t="b">
        <f t="shared" si="312"/>
        <v>1</v>
      </c>
      <c r="BA201" s="4263" t="b">
        <f t="shared" si="312"/>
        <v>1</v>
      </c>
      <c r="BB201" s="4263" t="b">
        <f t="shared" si="312"/>
        <v>1</v>
      </c>
      <c r="BC201" s="4270" t="b">
        <f t="shared" si="312"/>
        <v>1</v>
      </c>
      <c r="BD201" s="4284" t="b">
        <f t="shared" si="312"/>
        <v>1</v>
      </c>
      <c r="BE201" s="4285" t="b">
        <f t="shared" si="312"/>
        <v>1</v>
      </c>
      <c r="BF201" s="4285" t="b">
        <f t="shared" si="312"/>
        <v>1</v>
      </c>
      <c r="BG201" s="4285" t="b">
        <f t="shared" si="312"/>
        <v>1</v>
      </c>
      <c r="BH201" s="4285" t="b">
        <f t="shared" si="312"/>
        <v>1</v>
      </c>
      <c r="BI201" s="4285" t="b">
        <f t="shared" si="312"/>
        <v>1</v>
      </c>
      <c r="BJ201" s="4285" t="b">
        <f t="shared" si="312"/>
        <v>1</v>
      </c>
      <c r="BK201" s="4285" t="b">
        <f t="shared" si="312"/>
        <v>1</v>
      </c>
      <c r="BL201" s="4285" t="b">
        <f t="shared" si="312"/>
        <v>1</v>
      </c>
      <c r="BM201" s="4285" t="b">
        <f t="shared" si="312"/>
        <v>1</v>
      </c>
      <c r="BN201" s="4285" t="b">
        <f t="shared" si="312"/>
        <v>1</v>
      </c>
      <c r="BO201" s="4285" t="b">
        <f t="shared" si="312"/>
        <v>1</v>
      </c>
      <c r="BP201" s="4284" t="b">
        <f>BP44=SUM(BP45:BP48)</f>
        <v>1</v>
      </c>
      <c r="BQ201" s="4284" t="b">
        <f>BQ44=SUM(BQ45:BQ48)</f>
        <v>1</v>
      </c>
      <c r="BR201" s="4286" t="b">
        <f t="shared" ref="BR201" si="313">BR44=SUM(BR45:BR48)</f>
        <v>1</v>
      </c>
      <c r="BS201" s="4285" t="b">
        <f>ROUND(BS44,1)=ROUND(SUM(BS45:BS48),1)</f>
        <v>1</v>
      </c>
      <c r="BT201" s="4285" t="b">
        <f>ROUND(BT44,1)=ROUND(SUM(BT45:BT48),1)</f>
        <v>1</v>
      </c>
      <c r="BU201" s="4285" t="b">
        <f t="shared" ref="BU201:CB201" si="314">ROUND(BU44,1)=ROUND(SUM(BU45:BU48),1)</f>
        <v>1</v>
      </c>
      <c r="BV201" s="4285" t="b">
        <f t="shared" si="314"/>
        <v>1</v>
      </c>
      <c r="BW201" s="4285" t="b">
        <f t="shared" si="314"/>
        <v>1</v>
      </c>
      <c r="BX201" s="4285" t="b">
        <f t="shared" si="314"/>
        <v>1</v>
      </c>
      <c r="BY201" s="4285" t="b">
        <f t="shared" si="314"/>
        <v>1</v>
      </c>
      <c r="BZ201" s="4285" t="b">
        <f t="shared" si="314"/>
        <v>1</v>
      </c>
      <c r="CA201" s="4285" t="b">
        <f t="shared" si="314"/>
        <v>1</v>
      </c>
      <c r="CB201" s="4285" t="b">
        <f t="shared" si="314"/>
        <v>1</v>
      </c>
      <c r="CC201" s="4285"/>
      <c r="CD201" s="4284" t="b">
        <f>CD44=SUM(CD45:CD48)</f>
        <v>1</v>
      </c>
      <c r="CE201" s="4286" t="b">
        <f t="shared" ref="CE201" si="315">CE44=SUM(CE45:CE48)</f>
        <v>1</v>
      </c>
      <c r="CF201" s="4285" t="b">
        <f>ROUND(CF44,1)=ROUND(SUM(CF45:CF48),1)</f>
        <v>1</v>
      </c>
      <c r="CG201" s="4285" t="b">
        <f>ROUND(CG44,1)=ROUND(SUM(CG45:CG48),1)</f>
        <v>1</v>
      </c>
      <c r="CH201" s="4285" t="b">
        <f t="shared" ref="CH201:CO201" si="316">ROUND(CH44,1)=ROUND(SUM(CH45:CH48),1)</f>
        <v>1</v>
      </c>
      <c r="CI201" s="4285" t="b">
        <f t="shared" si="316"/>
        <v>1</v>
      </c>
      <c r="CJ201" s="4285" t="b">
        <f t="shared" si="316"/>
        <v>1</v>
      </c>
      <c r="CK201" s="4285" t="b">
        <f t="shared" si="316"/>
        <v>1</v>
      </c>
      <c r="CL201" s="4285" t="b">
        <f t="shared" si="316"/>
        <v>1</v>
      </c>
      <c r="CM201" s="4285" t="b">
        <f t="shared" si="316"/>
        <v>1</v>
      </c>
      <c r="CN201" s="4285" t="b">
        <f t="shared" si="316"/>
        <v>1</v>
      </c>
      <c r="CO201" s="4285" t="b">
        <f t="shared" si="316"/>
        <v>1</v>
      </c>
      <c r="CP201" s="4287" t="e">
        <f t="shared" si="312"/>
        <v>#N/A</v>
      </c>
      <c r="CQ201" s="4288"/>
      <c r="CR201" s="4289" t="b">
        <f>CR44=CR44</f>
        <v>1</v>
      </c>
      <c r="CS201" s="4290" t="b">
        <f t="shared" si="312"/>
        <v>1</v>
      </c>
      <c r="CT201" s="607"/>
    </row>
    <row r="202" spans="1:98" x14ac:dyDescent="0.55000000000000004">
      <c r="A202" s="3453"/>
      <c r="C202" s="1028" t="s">
        <v>582</v>
      </c>
      <c r="D202" s="1028"/>
      <c r="E202" s="1028"/>
      <c r="F202" s="3783" t="b">
        <f>F50+F51=F49</f>
        <v>1</v>
      </c>
      <c r="G202" s="3941" t="b">
        <f t="shared" ref="G202:BP202" si="317">G50+G51=G49</f>
        <v>1</v>
      </c>
      <c r="H202" s="3941" t="b">
        <f t="shared" si="317"/>
        <v>1</v>
      </c>
      <c r="I202" s="3941" t="b">
        <f t="shared" si="317"/>
        <v>1</v>
      </c>
      <c r="J202" s="3941" t="b">
        <f t="shared" si="317"/>
        <v>1</v>
      </c>
      <c r="K202" s="3941" t="b">
        <f t="shared" si="317"/>
        <v>1</v>
      </c>
      <c r="L202" s="3941" t="b">
        <f t="shared" si="317"/>
        <v>1</v>
      </c>
      <c r="M202" s="3941" t="b">
        <f t="shared" si="317"/>
        <v>1</v>
      </c>
      <c r="N202" s="3941" t="b">
        <f t="shared" si="317"/>
        <v>1</v>
      </c>
      <c r="O202" s="3941" t="b">
        <f t="shared" si="317"/>
        <v>1</v>
      </c>
      <c r="P202" s="3941" t="b">
        <f t="shared" si="317"/>
        <v>1</v>
      </c>
      <c r="Q202" s="3785" t="b">
        <f t="shared" si="317"/>
        <v>1</v>
      </c>
      <c r="R202" s="3941" t="b">
        <f t="shared" si="317"/>
        <v>1</v>
      </c>
      <c r="S202" s="3941" t="b">
        <f t="shared" si="317"/>
        <v>1</v>
      </c>
      <c r="T202" s="3941" t="b">
        <f t="shared" si="317"/>
        <v>1</v>
      </c>
      <c r="U202" s="3941" t="b">
        <f t="shared" si="317"/>
        <v>1</v>
      </c>
      <c r="V202" s="3941" t="b">
        <f t="shared" si="317"/>
        <v>1</v>
      </c>
      <c r="W202" s="3941" t="b">
        <f t="shared" si="317"/>
        <v>1</v>
      </c>
      <c r="X202" s="3941" t="b">
        <f t="shared" si="317"/>
        <v>1</v>
      </c>
      <c r="Y202" s="3941" t="b">
        <f t="shared" si="317"/>
        <v>1</v>
      </c>
      <c r="Z202" s="3941" t="b">
        <f t="shared" si="317"/>
        <v>1</v>
      </c>
      <c r="AA202" s="3941" t="b">
        <f t="shared" si="317"/>
        <v>1</v>
      </c>
      <c r="AB202" s="3941" t="b">
        <f t="shared" si="317"/>
        <v>1</v>
      </c>
      <c r="AC202" s="3785" t="b">
        <f t="shared" si="317"/>
        <v>1</v>
      </c>
      <c r="AD202" s="3941" t="b">
        <f t="shared" si="317"/>
        <v>1</v>
      </c>
      <c r="AE202" s="3941" t="b">
        <f t="shared" si="317"/>
        <v>1</v>
      </c>
      <c r="AF202" s="3941" t="b">
        <f t="shared" si="317"/>
        <v>1</v>
      </c>
      <c r="AG202" s="3941" t="b">
        <f t="shared" si="317"/>
        <v>1</v>
      </c>
      <c r="AH202" s="3941" t="b">
        <f t="shared" si="317"/>
        <v>1</v>
      </c>
      <c r="AI202" s="3941" t="b">
        <f t="shared" si="317"/>
        <v>1</v>
      </c>
      <c r="AJ202" s="3941" t="b">
        <f t="shared" si="317"/>
        <v>1</v>
      </c>
      <c r="AK202" s="3941" t="b">
        <f t="shared" si="317"/>
        <v>1</v>
      </c>
      <c r="AL202" s="3941" t="b">
        <f t="shared" si="317"/>
        <v>1</v>
      </c>
      <c r="AM202" s="3941" t="b">
        <f t="shared" si="317"/>
        <v>1</v>
      </c>
      <c r="AN202" s="3941" t="b">
        <f t="shared" si="317"/>
        <v>1</v>
      </c>
      <c r="AO202" s="3941" t="b">
        <f t="shared" si="317"/>
        <v>1</v>
      </c>
      <c r="AP202" s="3784"/>
      <c r="AQ202" s="788" t="b">
        <f t="shared" si="317"/>
        <v>1</v>
      </c>
      <c r="AR202" s="4291" t="b">
        <f t="shared" si="317"/>
        <v>1</v>
      </c>
      <c r="AS202" s="4291" t="b">
        <f>AW50+AW51=AW49</f>
        <v>1</v>
      </c>
      <c r="AT202" s="4291" t="b">
        <f t="shared" si="317"/>
        <v>1</v>
      </c>
      <c r="AU202" s="4291" t="b">
        <f t="shared" si="317"/>
        <v>1</v>
      </c>
      <c r="AV202" s="4291" t="b">
        <f t="shared" si="317"/>
        <v>1</v>
      </c>
      <c r="AW202" s="4291" t="b">
        <f t="shared" si="317"/>
        <v>1</v>
      </c>
      <c r="AX202" s="4291" t="b">
        <f t="shared" si="317"/>
        <v>1</v>
      </c>
      <c r="AY202" s="4291" t="b">
        <f t="shared" si="317"/>
        <v>1</v>
      </c>
      <c r="AZ202" s="4291" t="b">
        <f t="shared" si="317"/>
        <v>1</v>
      </c>
      <c r="BA202" s="4291" t="b">
        <f t="shared" si="317"/>
        <v>1</v>
      </c>
      <c r="BB202" s="4291" t="b">
        <f t="shared" si="317"/>
        <v>1</v>
      </c>
      <c r="BC202" s="4292" t="b">
        <f t="shared" si="317"/>
        <v>1</v>
      </c>
      <c r="BD202" s="4293" t="b">
        <f t="shared" si="317"/>
        <v>1</v>
      </c>
      <c r="BE202" s="4293" t="b">
        <f t="shared" si="317"/>
        <v>1</v>
      </c>
      <c r="BF202" s="4293" t="b">
        <f t="shared" si="317"/>
        <v>1</v>
      </c>
      <c r="BG202" s="4293" t="b">
        <f t="shared" si="317"/>
        <v>1</v>
      </c>
      <c r="BH202" s="4293" t="b">
        <f t="shared" si="317"/>
        <v>1</v>
      </c>
      <c r="BI202" s="4293" t="b">
        <f t="shared" si="317"/>
        <v>1</v>
      </c>
      <c r="BJ202" s="4293" t="b">
        <f t="shared" si="317"/>
        <v>1</v>
      </c>
      <c r="BK202" s="4293" t="b">
        <f t="shared" si="317"/>
        <v>1</v>
      </c>
      <c r="BL202" s="4293" t="b">
        <f t="shared" si="317"/>
        <v>1</v>
      </c>
      <c r="BM202" s="4293" t="b">
        <f t="shared" si="317"/>
        <v>1</v>
      </c>
      <c r="BN202" s="4293" t="b">
        <f t="shared" si="317"/>
        <v>1</v>
      </c>
      <c r="BO202" s="4293" t="b">
        <f t="shared" si="317"/>
        <v>1</v>
      </c>
      <c r="BP202" s="4293" t="b">
        <f t="shared" si="317"/>
        <v>1</v>
      </c>
      <c r="BQ202" s="4293" t="b">
        <f t="shared" ref="BQ202:CB202" si="318">BQ50+BQ51=BQ49</f>
        <v>1</v>
      </c>
      <c r="BR202" s="4294" t="b">
        <f t="shared" si="318"/>
        <v>1</v>
      </c>
      <c r="BS202" s="4293" t="b">
        <f t="shared" si="318"/>
        <v>1</v>
      </c>
      <c r="BT202" s="4293" t="b">
        <f t="shared" si="318"/>
        <v>1</v>
      </c>
      <c r="BU202" s="4293" t="b">
        <f t="shared" si="318"/>
        <v>1</v>
      </c>
      <c r="BV202" s="4293" t="b">
        <f t="shared" si="318"/>
        <v>1</v>
      </c>
      <c r="BW202" s="4293" t="b">
        <f t="shared" si="318"/>
        <v>1</v>
      </c>
      <c r="BX202" s="4293" t="b">
        <f t="shared" si="318"/>
        <v>1</v>
      </c>
      <c r="BY202" s="4293" t="b">
        <f t="shared" si="318"/>
        <v>1</v>
      </c>
      <c r="BZ202" s="4293" t="b">
        <f t="shared" si="318"/>
        <v>1</v>
      </c>
      <c r="CA202" s="4293" t="b">
        <f t="shared" si="318"/>
        <v>1</v>
      </c>
      <c r="CB202" s="4293" t="b">
        <f t="shared" si="318"/>
        <v>1</v>
      </c>
      <c r="CC202" s="4293"/>
      <c r="CD202" s="4293" t="b">
        <f t="shared" ref="CD202:CO202" si="319">CD50+CD51=CD49</f>
        <v>1</v>
      </c>
      <c r="CE202" s="4294" t="b">
        <f t="shared" si="319"/>
        <v>1</v>
      </c>
      <c r="CF202" s="4293" t="b">
        <f t="shared" si="319"/>
        <v>1</v>
      </c>
      <c r="CG202" s="4293" t="b">
        <f t="shared" si="319"/>
        <v>1</v>
      </c>
      <c r="CH202" s="4293" t="b">
        <f t="shared" si="319"/>
        <v>1</v>
      </c>
      <c r="CI202" s="4293" t="b">
        <f t="shared" si="319"/>
        <v>1</v>
      </c>
      <c r="CJ202" s="4293" t="b">
        <f t="shared" si="319"/>
        <v>1</v>
      </c>
      <c r="CK202" s="4293" t="b">
        <f t="shared" si="319"/>
        <v>1</v>
      </c>
      <c r="CL202" s="4293" t="b">
        <f t="shared" si="319"/>
        <v>1</v>
      </c>
      <c r="CM202" s="4293" t="b">
        <f t="shared" si="319"/>
        <v>1</v>
      </c>
      <c r="CN202" s="4293" t="b">
        <f t="shared" si="319"/>
        <v>1</v>
      </c>
      <c r="CO202" s="4293" t="b">
        <f t="shared" si="319"/>
        <v>1</v>
      </c>
      <c r="CP202" s="4295" t="e">
        <f>CP50+CP51=CP49</f>
        <v>#N/A</v>
      </c>
      <c r="CQ202" s="760"/>
      <c r="CR202" s="791" t="b">
        <f>CR50+CR51=CR49</f>
        <v>1</v>
      </c>
      <c r="CS202" s="4296" t="b">
        <f>CS50+CS51=CS49</f>
        <v>1</v>
      </c>
      <c r="CT202" s="795"/>
    </row>
    <row r="203" spans="1:98" x14ac:dyDescent="0.55000000000000004">
      <c r="A203" s="4297" t="s">
        <v>584</v>
      </c>
      <c r="B203" s="3976"/>
      <c r="C203" s="3976"/>
      <c r="D203" s="3976"/>
      <c r="E203" s="3976"/>
      <c r="F203" s="3977" t="b">
        <f>ROUND(F54,1)=ROUND(SUM(F55:F69),1)</f>
        <v>1</v>
      </c>
      <c r="G203" s="3978" t="b">
        <f t="shared" ref="G203:AO203" si="320">ROUND(G54,1)=ROUND(SUM(G55:G69),1)</f>
        <v>1</v>
      </c>
      <c r="H203" s="3978" t="b">
        <f t="shared" si="320"/>
        <v>1</v>
      </c>
      <c r="I203" s="3978" t="b">
        <f t="shared" si="320"/>
        <v>1</v>
      </c>
      <c r="J203" s="3978" t="b">
        <f t="shared" si="320"/>
        <v>1</v>
      </c>
      <c r="K203" s="3978" t="b">
        <f t="shared" si="320"/>
        <v>1</v>
      </c>
      <c r="L203" s="3978" t="b">
        <f t="shared" si="320"/>
        <v>1</v>
      </c>
      <c r="M203" s="3978" t="b">
        <f t="shared" si="320"/>
        <v>1</v>
      </c>
      <c r="N203" s="3978" t="b">
        <f t="shared" si="320"/>
        <v>1</v>
      </c>
      <c r="O203" s="3978" t="b">
        <f t="shared" si="320"/>
        <v>1</v>
      </c>
      <c r="P203" s="3978" t="b">
        <f t="shared" si="320"/>
        <v>1</v>
      </c>
      <c r="Q203" s="3979" t="b">
        <f t="shared" si="320"/>
        <v>1</v>
      </c>
      <c r="R203" s="3978" t="b">
        <f t="shared" si="320"/>
        <v>1</v>
      </c>
      <c r="S203" s="3978" t="b">
        <f t="shared" si="320"/>
        <v>1</v>
      </c>
      <c r="T203" s="3978" t="b">
        <f t="shared" si="320"/>
        <v>1</v>
      </c>
      <c r="U203" s="3978" t="b">
        <f t="shared" si="320"/>
        <v>1</v>
      </c>
      <c r="V203" s="3978" t="b">
        <f t="shared" si="320"/>
        <v>1</v>
      </c>
      <c r="W203" s="3978" t="b">
        <f t="shared" si="320"/>
        <v>1</v>
      </c>
      <c r="X203" s="3978" t="b">
        <f t="shared" si="320"/>
        <v>1</v>
      </c>
      <c r="Y203" s="3978" t="b">
        <f t="shared" si="320"/>
        <v>1</v>
      </c>
      <c r="Z203" s="3978" t="b">
        <f t="shared" si="320"/>
        <v>1</v>
      </c>
      <c r="AA203" s="3978" t="b">
        <f t="shared" si="320"/>
        <v>1</v>
      </c>
      <c r="AB203" s="3978" t="b">
        <f t="shared" si="320"/>
        <v>1</v>
      </c>
      <c r="AC203" s="3978" t="b">
        <f t="shared" si="320"/>
        <v>1</v>
      </c>
      <c r="AD203" s="3977" t="b">
        <f t="shared" si="320"/>
        <v>1</v>
      </c>
      <c r="AE203" s="3978" t="b">
        <f t="shared" si="320"/>
        <v>1</v>
      </c>
      <c r="AF203" s="3978" t="b">
        <f t="shared" si="320"/>
        <v>1</v>
      </c>
      <c r="AG203" s="3978" t="b">
        <f t="shared" si="320"/>
        <v>1</v>
      </c>
      <c r="AH203" s="3978" t="b">
        <f t="shared" si="320"/>
        <v>1</v>
      </c>
      <c r="AI203" s="3980" t="b">
        <f t="shared" si="320"/>
        <v>1</v>
      </c>
      <c r="AJ203" s="3978" t="b">
        <f t="shared" si="320"/>
        <v>1</v>
      </c>
      <c r="AK203" s="3978" t="b">
        <f t="shared" si="320"/>
        <v>1</v>
      </c>
      <c r="AL203" s="3978" t="b">
        <f t="shared" si="320"/>
        <v>1</v>
      </c>
      <c r="AM203" s="3978" t="b">
        <f t="shared" si="320"/>
        <v>1</v>
      </c>
      <c r="AN203" s="3978" t="b">
        <f t="shared" si="320"/>
        <v>1</v>
      </c>
      <c r="AO203" s="3981" t="b">
        <f t="shared" si="320"/>
        <v>1</v>
      </c>
      <c r="AP203" s="3981"/>
      <c r="AQ203" s="4298" t="b">
        <f t="shared" ref="AQ203:BC203" si="321">ROUND(AQ54,1)=ROUND(SUM(AQ55,AQ61,AQ65,AQ68,AQ69),1)</f>
        <v>1</v>
      </c>
      <c r="AR203" s="4298" t="b">
        <f t="shared" si="321"/>
        <v>1</v>
      </c>
      <c r="AS203" s="4298" t="b">
        <f>ROUND(AW54,1)=ROUND(SUM(AW55,AW61,AW65,AW68,AW69),1)</f>
        <v>1</v>
      </c>
      <c r="AT203" s="4298" t="b">
        <f t="shared" si="321"/>
        <v>1</v>
      </c>
      <c r="AU203" s="4298" t="b">
        <f t="shared" si="321"/>
        <v>1</v>
      </c>
      <c r="AV203" s="4298" t="b">
        <f t="shared" si="321"/>
        <v>1</v>
      </c>
      <c r="AW203" s="4298" t="b">
        <f t="shared" si="321"/>
        <v>1</v>
      </c>
      <c r="AX203" s="4298" t="b">
        <f t="shared" si="321"/>
        <v>1</v>
      </c>
      <c r="AY203" s="4298" t="b">
        <f t="shared" si="321"/>
        <v>1</v>
      </c>
      <c r="AZ203" s="4298" t="b">
        <f t="shared" si="321"/>
        <v>1</v>
      </c>
      <c r="BA203" s="4298" t="b">
        <f t="shared" si="321"/>
        <v>1</v>
      </c>
      <c r="BB203" s="4298" t="b">
        <f t="shared" si="321"/>
        <v>1</v>
      </c>
      <c r="BC203" s="4298" t="b">
        <f t="shared" si="321"/>
        <v>1</v>
      </c>
      <c r="BD203" s="4298" t="b">
        <f t="shared" ref="BD203:BO203" si="322">ROUND(BD54,1)=ROUND(SUM(BD55,BD61,BD65,BD68,BD69),1)</f>
        <v>1</v>
      </c>
      <c r="BE203" s="4298" t="b">
        <f t="shared" si="322"/>
        <v>1</v>
      </c>
      <c r="BF203" s="4298" t="b">
        <f t="shared" si="322"/>
        <v>1</v>
      </c>
      <c r="BG203" s="4298" t="b">
        <f t="shared" si="322"/>
        <v>1</v>
      </c>
      <c r="BH203" s="4298" t="b">
        <f t="shared" si="322"/>
        <v>1</v>
      </c>
      <c r="BI203" s="4298" t="b">
        <f t="shared" si="322"/>
        <v>1</v>
      </c>
      <c r="BJ203" s="4298" t="b">
        <f t="shared" si="322"/>
        <v>1</v>
      </c>
      <c r="BK203" s="4298" t="b">
        <f t="shared" si="322"/>
        <v>1</v>
      </c>
      <c r="BL203" s="4298" t="b">
        <f t="shared" si="322"/>
        <v>1</v>
      </c>
      <c r="BM203" s="4298" t="b">
        <f t="shared" si="322"/>
        <v>1</v>
      </c>
      <c r="BN203" s="4298" t="b">
        <f t="shared" si="322"/>
        <v>1</v>
      </c>
      <c r="BO203" s="4298" t="b">
        <f t="shared" si="322"/>
        <v>1</v>
      </c>
      <c r="BP203" s="4298" t="b">
        <f>ROUND(BP54,1)=ROUND(SUM(BP55,BP61,BP65,BP68,BP69),1)</f>
        <v>1</v>
      </c>
      <c r="BQ203" s="4298" t="b">
        <f>ROUND(BQ54,1)=ROUND(SUM(BQ55,BQ61,BQ65,BQ68,BQ69),1)</f>
        <v>1</v>
      </c>
      <c r="BR203" s="4299" t="b">
        <f t="shared" ref="BR203:BY203" si="323">ROUND(BR54,1)=ROUND(SUM(BR55,BR61,BR65,BR68,BR69),1)</f>
        <v>1</v>
      </c>
      <c r="BS203" s="4298" t="b">
        <f t="shared" si="323"/>
        <v>1</v>
      </c>
      <c r="BT203" s="4298" t="b">
        <f t="shared" si="323"/>
        <v>1</v>
      </c>
      <c r="BU203" s="4298" t="b">
        <f t="shared" si="323"/>
        <v>1</v>
      </c>
      <c r="BV203" s="4298" t="b">
        <f t="shared" si="323"/>
        <v>1</v>
      </c>
      <c r="BW203" s="4298" t="b">
        <f t="shared" si="323"/>
        <v>1</v>
      </c>
      <c r="BX203" s="4298" t="b">
        <f t="shared" si="323"/>
        <v>1</v>
      </c>
      <c r="BY203" s="4298" t="b">
        <f t="shared" si="323"/>
        <v>1</v>
      </c>
      <c r="BZ203" s="4298" t="b">
        <f>ROUND(BZ54,1)=ROUND(SUM(BZ55,BZ61,BZ65,BZ68,BZ69),1)</f>
        <v>1</v>
      </c>
      <c r="CA203" s="4298" t="b">
        <f>ROUND(CA54,1)=ROUND(SUM(CA55,CA61,CA65,CA68,CA69),1)</f>
        <v>1</v>
      </c>
      <c r="CB203" s="4298" t="b">
        <f>ROUND(CB54,1)=ROUND(SUM(CB55,CB61,CB65,CB68,CB69),1)</f>
        <v>1</v>
      </c>
      <c r="CC203" s="4298"/>
      <c r="CD203" s="4298" t="b">
        <f>ROUND(CD54,1)=ROUND(SUM(CD55,CD61,CD65,CD68,CD69),1)</f>
        <v>1</v>
      </c>
      <c r="CE203" s="4299" t="b">
        <f t="shared" ref="CE203:CL203" si="324">ROUND(CE54,1)=ROUND(SUM(CE55,CE61,CE65,CE68,CE69),1)</f>
        <v>1</v>
      </c>
      <c r="CF203" s="4298" t="b">
        <f t="shared" si="324"/>
        <v>1</v>
      </c>
      <c r="CG203" s="4298" t="b">
        <f t="shared" si="324"/>
        <v>1</v>
      </c>
      <c r="CH203" s="4298" t="b">
        <f t="shared" si="324"/>
        <v>1</v>
      </c>
      <c r="CI203" s="4298" t="b">
        <f t="shared" si="324"/>
        <v>1</v>
      </c>
      <c r="CJ203" s="4298" t="b">
        <f t="shared" si="324"/>
        <v>1</v>
      </c>
      <c r="CK203" s="4298" t="b">
        <f t="shared" si="324"/>
        <v>1</v>
      </c>
      <c r="CL203" s="4298" t="b">
        <f t="shared" si="324"/>
        <v>1</v>
      </c>
      <c r="CM203" s="4298" t="b">
        <f>ROUND(CM54,1)=ROUND(SUM(CM55,CM61,CM65,CM68,CM69),1)</f>
        <v>1</v>
      </c>
      <c r="CN203" s="4298" t="b">
        <f>ROUND(CN54,1)=ROUND(SUM(CN55,CN61,CN65,CN68,CN69),1)</f>
        <v>1</v>
      </c>
      <c r="CO203" s="4298" t="b">
        <f>ROUND(CO54,1)=ROUND(SUM(CO55,CO61,CO65,CO68,CO69),1)</f>
        <v>1</v>
      </c>
      <c r="CP203" s="4298" t="e">
        <f>ROUND(CP54,1)=ROUND(SUM(CP55,CP61,CP65,CP68,CP69),1)</f>
        <v>#N/A</v>
      </c>
      <c r="CQ203" s="760"/>
      <c r="CR203" s="4298" t="b">
        <f>ROUND(CR54,1)=ROUND(SUM(CR55,CR61,CR65,CR68,CR69),1)</f>
        <v>1</v>
      </c>
      <c r="CS203" s="4298" t="b">
        <f>ROUND(CS54,1)=ROUND(SUM(CS55,CS61,CS65,CS68,CS69),1)</f>
        <v>1</v>
      </c>
      <c r="CT203" s="658"/>
    </row>
    <row r="204" spans="1:98" ht="15.45" thickBot="1" x14ac:dyDescent="0.6">
      <c r="A204" s="3453"/>
      <c r="B204" s="559" t="s">
        <v>16</v>
      </c>
      <c r="F204" s="3752" t="b">
        <f t="shared" ref="F204:CP204" si="325">ROUND(F69,1)=ROUND(SUM(F70:F76),1)</f>
        <v>1</v>
      </c>
      <c r="G204" s="3753" t="b">
        <f t="shared" si="325"/>
        <v>1</v>
      </c>
      <c r="H204" s="3753" t="b">
        <f t="shared" si="325"/>
        <v>1</v>
      </c>
      <c r="I204" s="3753" t="b">
        <f t="shared" si="325"/>
        <v>1</v>
      </c>
      <c r="J204" s="3753" t="b">
        <f t="shared" si="325"/>
        <v>1</v>
      </c>
      <c r="K204" s="3753" t="b">
        <f t="shared" si="325"/>
        <v>1</v>
      </c>
      <c r="L204" s="3753" t="b">
        <f t="shared" si="325"/>
        <v>1</v>
      </c>
      <c r="M204" s="3753" t="b">
        <f t="shared" si="325"/>
        <v>1</v>
      </c>
      <c r="N204" s="3753" t="b">
        <f t="shared" si="325"/>
        <v>1</v>
      </c>
      <c r="O204" s="3753" t="b">
        <f t="shared" si="325"/>
        <v>1</v>
      </c>
      <c r="P204" s="3753" t="b">
        <f t="shared" si="325"/>
        <v>1</v>
      </c>
      <c r="Q204" s="3754" t="b">
        <f t="shared" si="325"/>
        <v>1</v>
      </c>
      <c r="R204" s="3753" t="b">
        <f t="shared" si="325"/>
        <v>1</v>
      </c>
      <c r="S204" s="3753" t="b">
        <f t="shared" si="325"/>
        <v>1</v>
      </c>
      <c r="T204" s="3753" t="b">
        <f t="shared" si="325"/>
        <v>1</v>
      </c>
      <c r="U204" s="3753" t="b">
        <f t="shared" si="325"/>
        <v>1</v>
      </c>
      <c r="V204" s="3753" t="b">
        <f t="shared" si="325"/>
        <v>1</v>
      </c>
      <c r="W204" s="3753" t="b">
        <f t="shared" si="325"/>
        <v>1</v>
      </c>
      <c r="X204" s="3753" t="b">
        <f t="shared" si="325"/>
        <v>1</v>
      </c>
      <c r="Y204" s="3753" t="b">
        <f t="shared" si="325"/>
        <v>1</v>
      </c>
      <c r="Z204" s="3753" t="b">
        <f t="shared" si="325"/>
        <v>1</v>
      </c>
      <c r="AA204" s="3753" t="b">
        <f t="shared" si="325"/>
        <v>1</v>
      </c>
      <c r="AB204" s="3753" t="b">
        <f t="shared" si="325"/>
        <v>1</v>
      </c>
      <c r="AC204" s="3753" t="b">
        <f t="shared" si="325"/>
        <v>1</v>
      </c>
      <c r="AD204" s="3752" t="b">
        <f t="shared" si="325"/>
        <v>1</v>
      </c>
      <c r="AE204" s="3753" t="b">
        <f t="shared" si="325"/>
        <v>1</v>
      </c>
      <c r="AF204" s="3753" t="b">
        <f t="shared" si="325"/>
        <v>1</v>
      </c>
      <c r="AG204" s="3753" t="b">
        <f t="shared" si="325"/>
        <v>1</v>
      </c>
      <c r="AH204" s="3753" t="b">
        <f t="shared" si="325"/>
        <v>1</v>
      </c>
      <c r="AI204" s="3753" t="b">
        <f t="shared" si="325"/>
        <v>1</v>
      </c>
      <c r="AJ204" s="3753" t="b">
        <f t="shared" si="325"/>
        <v>1</v>
      </c>
      <c r="AK204" s="3753" t="b">
        <f t="shared" si="325"/>
        <v>1</v>
      </c>
      <c r="AL204" s="3753" t="b">
        <f t="shared" si="325"/>
        <v>1</v>
      </c>
      <c r="AM204" s="3753" t="b">
        <f t="shared" si="325"/>
        <v>1</v>
      </c>
      <c r="AN204" s="3753" t="b">
        <f t="shared" si="325"/>
        <v>1</v>
      </c>
      <c r="AO204" s="3755" t="b">
        <f t="shared" si="325"/>
        <v>1</v>
      </c>
      <c r="AP204" s="3755"/>
      <c r="AQ204" s="627" t="b">
        <f t="shared" si="325"/>
        <v>1</v>
      </c>
      <c r="AR204" s="4263" t="b">
        <f t="shared" si="325"/>
        <v>1</v>
      </c>
      <c r="AS204" s="4263" t="b">
        <f>ROUND(AW69,1)=ROUND(SUM(AW70:AW76),1)</f>
        <v>1</v>
      </c>
      <c r="AT204" s="4263" t="b">
        <f t="shared" si="325"/>
        <v>1</v>
      </c>
      <c r="AU204" s="4263" t="b">
        <f t="shared" si="325"/>
        <v>1</v>
      </c>
      <c r="AV204" s="4263" t="b">
        <f t="shared" si="325"/>
        <v>1</v>
      </c>
      <c r="AW204" s="4263" t="b">
        <f t="shared" si="325"/>
        <v>1</v>
      </c>
      <c r="AX204" s="4263" t="b">
        <f t="shared" si="325"/>
        <v>1</v>
      </c>
      <c r="AY204" s="4263" t="b">
        <f t="shared" si="325"/>
        <v>1</v>
      </c>
      <c r="AZ204" s="4263" t="b">
        <f t="shared" si="325"/>
        <v>1</v>
      </c>
      <c r="BA204" s="4263" t="b">
        <f t="shared" si="325"/>
        <v>1</v>
      </c>
      <c r="BB204" s="4263" t="b">
        <f t="shared" si="325"/>
        <v>1</v>
      </c>
      <c r="BC204" s="4264" t="b">
        <f t="shared" si="325"/>
        <v>1</v>
      </c>
      <c r="BD204" s="4265" t="b">
        <f t="shared" si="325"/>
        <v>1</v>
      </c>
      <c r="BE204" s="4300" t="b">
        <f t="shared" si="325"/>
        <v>1</v>
      </c>
      <c r="BF204" s="4300" t="b">
        <f t="shared" si="325"/>
        <v>1</v>
      </c>
      <c r="BG204" s="4300" t="b">
        <f t="shared" si="325"/>
        <v>1</v>
      </c>
      <c r="BH204" s="4300" t="b">
        <f t="shared" si="325"/>
        <v>1</v>
      </c>
      <c r="BI204" s="4300" t="b">
        <f t="shared" si="325"/>
        <v>1</v>
      </c>
      <c r="BJ204" s="4300" t="b">
        <f t="shared" si="325"/>
        <v>1</v>
      </c>
      <c r="BK204" s="4300" t="b">
        <f t="shared" si="325"/>
        <v>1</v>
      </c>
      <c r="BL204" s="4300" t="b">
        <f t="shared" si="325"/>
        <v>1</v>
      </c>
      <c r="BM204" s="4300" t="b">
        <f t="shared" si="325"/>
        <v>1</v>
      </c>
      <c r="BN204" s="4300" t="b">
        <f t="shared" si="325"/>
        <v>1</v>
      </c>
      <c r="BO204" s="4300" t="b">
        <f>ROUND(BO69,1)=ROUND(SUM(BO70:BO76),1)</f>
        <v>1</v>
      </c>
      <c r="BP204" s="4265" t="b">
        <f t="shared" ref="BP204" si="326">ROUND(BP69,1)=ROUND(SUM(BP70:BP76),1)</f>
        <v>1</v>
      </c>
      <c r="BQ204" s="4265" t="b">
        <f t="shared" ref="BQ204:CA204" si="327">ROUND(BQ69,1)=ROUND(SUM(BQ70:BQ76),1)</f>
        <v>1</v>
      </c>
      <c r="BR204" s="4301" t="b">
        <f t="shared" si="327"/>
        <v>1</v>
      </c>
      <c r="BS204" s="4300" t="b">
        <f t="shared" si="327"/>
        <v>1</v>
      </c>
      <c r="BT204" s="4300" t="b">
        <f t="shared" si="327"/>
        <v>1</v>
      </c>
      <c r="BU204" s="4300" t="b">
        <f t="shared" si="327"/>
        <v>1</v>
      </c>
      <c r="BV204" s="4300" t="b">
        <f t="shared" si="327"/>
        <v>1</v>
      </c>
      <c r="BW204" s="4300" t="b">
        <f t="shared" si="327"/>
        <v>1</v>
      </c>
      <c r="BX204" s="4300" t="b">
        <f t="shared" si="327"/>
        <v>1</v>
      </c>
      <c r="BY204" s="4300" t="b">
        <f t="shared" si="327"/>
        <v>1</v>
      </c>
      <c r="BZ204" s="4300" t="b">
        <f t="shared" si="327"/>
        <v>1</v>
      </c>
      <c r="CA204" s="4300" t="b">
        <f t="shared" si="327"/>
        <v>1</v>
      </c>
      <c r="CB204" s="4300" t="b">
        <f>ROUND(CB69,1)=ROUND(SUM(CB70:CB76),1)</f>
        <v>1</v>
      </c>
      <c r="CC204" s="4300"/>
      <c r="CD204" s="4265" t="b">
        <f t="shared" ref="CD204:CN204" si="328">ROUND(CD69,1)=ROUND(SUM(CD70:CD76),1)</f>
        <v>1</v>
      </c>
      <c r="CE204" s="4301" t="b">
        <f t="shared" si="328"/>
        <v>1</v>
      </c>
      <c r="CF204" s="4300" t="b">
        <f t="shared" si="328"/>
        <v>1</v>
      </c>
      <c r="CG204" s="4300" t="b">
        <f t="shared" si="328"/>
        <v>1</v>
      </c>
      <c r="CH204" s="4300" t="b">
        <f t="shared" si="328"/>
        <v>1</v>
      </c>
      <c r="CI204" s="4300" t="b">
        <f t="shared" si="328"/>
        <v>1</v>
      </c>
      <c r="CJ204" s="4300" t="b">
        <f t="shared" si="328"/>
        <v>1</v>
      </c>
      <c r="CK204" s="4300" t="b">
        <f t="shared" si="328"/>
        <v>1</v>
      </c>
      <c r="CL204" s="4300" t="b">
        <f t="shared" si="328"/>
        <v>1</v>
      </c>
      <c r="CM204" s="4300" t="b">
        <f t="shared" si="328"/>
        <v>1</v>
      </c>
      <c r="CN204" s="4300" t="b">
        <f t="shared" si="328"/>
        <v>1</v>
      </c>
      <c r="CO204" s="4300" t="b">
        <f>ROUND(CO69,1)=ROUND(SUM(CO70:CO76),1)</f>
        <v>1</v>
      </c>
      <c r="CP204" s="4268" t="e">
        <f t="shared" si="325"/>
        <v>#N/A</v>
      </c>
      <c r="CQ204" s="760"/>
      <c r="CR204" s="597" t="b">
        <f>ROUND(CR69,1)=ROUND(SUM(CR70:CR76),1)</f>
        <v>1</v>
      </c>
      <c r="CS204" s="4273" t="b">
        <f>ROUND(CS69,1)=ROUND(SUM(CS70:CS76),1)</f>
        <v>1</v>
      </c>
      <c r="CT204" s="607"/>
    </row>
    <row r="205" spans="1:98" ht="15.45" thickBot="1" x14ac:dyDescent="0.6">
      <c r="A205" s="4302" t="s">
        <v>17</v>
      </c>
      <c r="B205" s="4058"/>
      <c r="C205" s="4058"/>
      <c r="D205" s="4058"/>
      <c r="E205" s="4058"/>
      <c r="F205" s="4063" t="b">
        <f>ROUND(SUM(F79:F83,F86,F88),1)=ROUND(F78,1)</f>
        <v>1</v>
      </c>
      <c r="G205" s="4060" t="b">
        <f t="shared" ref="G205:AO205" si="329">ROUND(SUM(G79:G83,G86,G88),1)=ROUND(G78,1)</f>
        <v>1</v>
      </c>
      <c r="H205" s="4060" t="b">
        <f t="shared" si="329"/>
        <v>1</v>
      </c>
      <c r="I205" s="4060" t="b">
        <f t="shared" si="329"/>
        <v>1</v>
      </c>
      <c r="J205" s="4060" t="b">
        <f t="shared" si="329"/>
        <v>1</v>
      </c>
      <c r="K205" s="4060" t="b">
        <f t="shared" si="329"/>
        <v>1</v>
      </c>
      <c r="L205" s="4060" t="b">
        <f t="shared" si="329"/>
        <v>1</v>
      </c>
      <c r="M205" s="4060" t="b">
        <f t="shared" si="329"/>
        <v>1</v>
      </c>
      <c r="N205" s="4060" t="b">
        <f t="shared" si="329"/>
        <v>1</v>
      </c>
      <c r="O205" s="4060" t="b">
        <f t="shared" si="329"/>
        <v>1</v>
      </c>
      <c r="P205" s="4060" t="b">
        <f t="shared" si="329"/>
        <v>1</v>
      </c>
      <c r="Q205" s="4061" t="b">
        <f t="shared" si="329"/>
        <v>1</v>
      </c>
      <c r="R205" s="4060" t="b">
        <f t="shared" si="329"/>
        <v>1</v>
      </c>
      <c r="S205" s="4060" t="b">
        <f t="shared" si="329"/>
        <v>1</v>
      </c>
      <c r="T205" s="4060" t="b">
        <f t="shared" si="329"/>
        <v>1</v>
      </c>
      <c r="U205" s="4062" t="b">
        <f t="shared" si="329"/>
        <v>1</v>
      </c>
      <c r="V205" s="4060" t="b">
        <f t="shared" si="329"/>
        <v>1</v>
      </c>
      <c r="W205" s="4060" t="b">
        <f t="shared" si="329"/>
        <v>1</v>
      </c>
      <c r="X205" s="4060" t="b">
        <f t="shared" si="329"/>
        <v>1</v>
      </c>
      <c r="Y205" s="4060" t="b">
        <f t="shared" si="329"/>
        <v>1</v>
      </c>
      <c r="Z205" s="4060" t="b">
        <f t="shared" si="329"/>
        <v>1</v>
      </c>
      <c r="AA205" s="4060" t="b">
        <f t="shared" si="329"/>
        <v>1</v>
      </c>
      <c r="AB205" s="4060" t="b">
        <f t="shared" si="329"/>
        <v>1</v>
      </c>
      <c r="AC205" s="4060" t="b">
        <f t="shared" si="329"/>
        <v>1</v>
      </c>
      <c r="AD205" s="4063" t="b">
        <f t="shared" si="329"/>
        <v>1</v>
      </c>
      <c r="AE205" s="4060" t="b">
        <f>ROUND(SUM(AE79:AE83,AE86,AE88),1)=ROUND(AE78,1)</f>
        <v>1</v>
      </c>
      <c r="AF205" s="4060" t="b">
        <f t="shared" si="329"/>
        <v>1</v>
      </c>
      <c r="AG205" s="4060" t="b">
        <f t="shared" si="329"/>
        <v>1</v>
      </c>
      <c r="AH205" s="4060" t="b">
        <f t="shared" si="329"/>
        <v>1</v>
      </c>
      <c r="AI205" s="4060" t="b">
        <f t="shared" si="329"/>
        <v>1</v>
      </c>
      <c r="AJ205" s="4064" t="b">
        <f t="shared" si="329"/>
        <v>1</v>
      </c>
      <c r="AK205" s="4064" t="b">
        <f t="shared" si="329"/>
        <v>1</v>
      </c>
      <c r="AL205" s="4060" t="b">
        <f t="shared" si="329"/>
        <v>1</v>
      </c>
      <c r="AM205" s="4060" t="b">
        <f t="shared" si="329"/>
        <v>1</v>
      </c>
      <c r="AN205" s="4060" t="b">
        <f t="shared" si="329"/>
        <v>1</v>
      </c>
      <c r="AO205" s="4060" t="b">
        <f t="shared" si="329"/>
        <v>1</v>
      </c>
      <c r="AP205" s="4060"/>
      <c r="AQ205" s="4303" t="b">
        <f>ROUND(SUM(AQ79:AQ83,AQ86:AQ88),1)=ROUND(AQ78,1)</f>
        <v>1</v>
      </c>
      <c r="AR205" s="4304" t="b">
        <f t="shared" ref="AR205:BO205" si="330">ROUND(SUM(AR79:AR83,AR86:AR88),1)=ROUND(AR78,1)</f>
        <v>1</v>
      </c>
      <c r="AS205" s="4304" t="b">
        <f>ROUND(SUM(AW79:AW83,AW86:AW88),1)=ROUND(AW78,1)</f>
        <v>1</v>
      </c>
      <c r="AT205" s="4304" t="b">
        <f t="shared" si="330"/>
        <v>1</v>
      </c>
      <c r="AU205" s="4304" t="b">
        <f t="shared" si="330"/>
        <v>1</v>
      </c>
      <c r="AV205" s="4304" t="b">
        <f t="shared" si="330"/>
        <v>1</v>
      </c>
      <c r="AW205" s="4304" t="b">
        <f t="shared" si="330"/>
        <v>1</v>
      </c>
      <c r="AX205" s="4304" t="b">
        <f t="shared" si="330"/>
        <v>1</v>
      </c>
      <c r="AY205" s="4304" t="b">
        <f t="shared" si="330"/>
        <v>1</v>
      </c>
      <c r="AZ205" s="4304" t="b">
        <f t="shared" si="330"/>
        <v>1</v>
      </c>
      <c r="BA205" s="4304" t="b">
        <f t="shared" si="330"/>
        <v>1</v>
      </c>
      <c r="BB205" s="4304" t="b">
        <f t="shared" si="330"/>
        <v>1</v>
      </c>
      <c r="BC205" s="4305" t="b">
        <f t="shared" si="330"/>
        <v>1</v>
      </c>
      <c r="BD205" s="4306" t="b">
        <f t="shared" si="330"/>
        <v>1</v>
      </c>
      <c r="BE205" s="4307" t="b">
        <f t="shared" si="330"/>
        <v>1</v>
      </c>
      <c r="BF205" s="4307" t="b">
        <f>ROUND(SUM(BF79:BF83,BF86:BF88),1)=ROUND(BF78,1)</f>
        <v>1</v>
      </c>
      <c r="BG205" s="4307" t="b">
        <f t="shared" si="330"/>
        <v>1</v>
      </c>
      <c r="BH205" s="4307" t="b">
        <f t="shared" si="330"/>
        <v>1</v>
      </c>
      <c r="BI205" s="4307" t="b">
        <f t="shared" si="330"/>
        <v>1</v>
      </c>
      <c r="BJ205" s="4307" t="b">
        <f t="shared" si="330"/>
        <v>1</v>
      </c>
      <c r="BK205" s="4307" t="b">
        <f t="shared" si="330"/>
        <v>1</v>
      </c>
      <c r="BL205" s="4307" t="b">
        <f t="shared" si="330"/>
        <v>1</v>
      </c>
      <c r="BM205" s="4307" t="b">
        <f t="shared" si="330"/>
        <v>1</v>
      </c>
      <c r="BN205" s="4307" t="b">
        <f t="shared" si="330"/>
        <v>1</v>
      </c>
      <c r="BO205" s="4307" t="b">
        <f t="shared" si="330"/>
        <v>1</v>
      </c>
      <c r="BP205" s="4306" t="b">
        <f>ROUND(SUM(BP79:BP83,BP86:BP88),1)=ROUND(BP78,1)</f>
        <v>1</v>
      </c>
      <c r="BQ205" s="4306" t="b">
        <f>ROUND(SUM(BQ79:BQ83,BQ86:BQ88),1)=ROUND(BQ78,1)</f>
        <v>1</v>
      </c>
      <c r="BR205" s="4308" t="b">
        <f>ROUND(SUM(BR79:BR83,BR86:BR88),1)=ROUND(BR78,1)</f>
        <v>1</v>
      </c>
      <c r="BS205" s="4307" t="b">
        <f>ROUND(SUM(BS79:BS83,BS86:BS88),1)=ROUND(BS78,1)</f>
        <v>1</v>
      </c>
      <c r="BT205" s="4307" t="b">
        <f t="shared" ref="BT205:CB205" si="331">ROUND(SUM(BT79:BT83,BT86:BT88),1)=ROUND(BT78,1)</f>
        <v>1</v>
      </c>
      <c r="BU205" s="4307" t="b">
        <f t="shared" si="331"/>
        <v>1</v>
      </c>
      <c r="BV205" s="4307" t="b">
        <f t="shared" si="331"/>
        <v>1</v>
      </c>
      <c r="BW205" s="4307" t="b">
        <f t="shared" si="331"/>
        <v>1</v>
      </c>
      <c r="BX205" s="4307" t="b">
        <f>ROUND(SUM(BX79:BX83,BX86:BX88),1)=ROUND(BX78,1)</f>
        <v>1</v>
      </c>
      <c r="BY205" s="4307" t="b">
        <f t="shared" si="331"/>
        <v>1</v>
      </c>
      <c r="BZ205" s="4307" t="b">
        <f t="shared" si="331"/>
        <v>1</v>
      </c>
      <c r="CA205" s="4307" t="b">
        <f t="shared" si="331"/>
        <v>1</v>
      </c>
      <c r="CB205" s="4307" t="b">
        <f t="shared" si="331"/>
        <v>1</v>
      </c>
      <c r="CC205" s="4307"/>
      <c r="CD205" s="4306" t="b">
        <f>ROUND(SUM(CD79:CD83,CD86:CD88),1)=ROUND(CD78,1)</f>
        <v>1</v>
      </c>
      <c r="CE205" s="4308" t="b">
        <f>ROUND(SUM(CE79:CE83,CE86:CE88),1)=ROUND(CE78,1)</f>
        <v>1</v>
      </c>
      <c r="CF205" s="4307" t="b">
        <f>ROUND(SUM(CF79:CF83,CF86:CF88),1)=ROUND(CF78,1)</f>
        <v>1</v>
      </c>
      <c r="CG205" s="4307" t="b">
        <f t="shared" ref="CG205:CJ205" si="332">ROUND(SUM(CG79:CG83,CG86:CG88),1)=ROUND(CG78,1)</f>
        <v>1</v>
      </c>
      <c r="CH205" s="4307" t="b">
        <f t="shared" si="332"/>
        <v>1</v>
      </c>
      <c r="CI205" s="4307" t="b">
        <f t="shared" si="332"/>
        <v>1</v>
      </c>
      <c r="CJ205" s="4307" t="b">
        <f t="shared" si="332"/>
        <v>1</v>
      </c>
      <c r="CK205" s="4307" t="b">
        <f>ROUND(SUM(CK79:CK83,CK86:CK88),1)=ROUND(CK78,1)</f>
        <v>1</v>
      </c>
      <c r="CL205" s="4307" t="b">
        <f t="shared" ref="CL205:CO205" si="333">ROUND(SUM(CL79:CL83,CL86:CL88),1)=ROUND(CL78,1)</f>
        <v>1</v>
      </c>
      <c r="CM205" s="4307" t="b">
        <f t="shared" si="333"/>
        <v>1</v>
      </c>
      <c r="CN205" s="4307" t="b">
        <f t="shared" si="333"/>
        <v>1</v>
      </c>
      <c r="CO205" s="4307" t="b">
        <f t="shared" si="333"/>
        <v>1</v>
      </c>
      <c r="CP205" s="4309"/>
      <c r="CQ205" s="4310"/>
      <c r="CR205" s="4311" t="b">
        <f>ROUND(SUM(CR79:CR83,CR86:CR88),1)=ROUND(CR78,1)</f>
        <v>1</v>
      </c>
      <c r="CS205" s="4312" t="b">
        <f>ROUND(SUM(CS79:CS83,CS86:CS88),1)=ROUND(CS78,1)</f>
        <v>1</v>
      </c>
      <c r="CT205" s="817"/>
    </row>
    <row r="206" spans="1:98" x14ac:dyDescent="0.55000000000000004">
      <c r="A206" s="4313" t="s">
        <v>19</v>
      </c>
      <c r="B206" s="4130" t="s">
        <v>587</v>
      </c>
      <c r="C206" s="4131"/>
      <c r="D206" s="4131"/>
      <c r="E206" s="4131"/>
      <c r="F206" s="4314" t="b">
        <f>F90=F91+F92</f>
        <v>1</v>
      </c>
      <c r="G206" s="4131" t="b">
        <f t="shared" ref="G206:R206" si="334">G90=G91+G92</f>
        <v>1</v>
      </c>
      <c r="H206" s="4131" t="b">
        <f t="shared" si="334"/>
        <v>1</v>
      </c>
      <c r="I206" s="4131" t="b">
        <f t="shared" si="334"/>
        <v>1</v>
      </c>
      <c r="J206" s="4131" t="b">
        <f t="shared" si="334"/>
        <v>1</v>
      </c>
      <c r="K206" s="4131" t="b">
        <f t="shared" si="334"/>
        <v>1</v>
      </c>
      <c r="L206" s="4131" t="b">
        <f t="shared" si="334"/>
        <v>1</v>
      </c>
      <c r="M206" s="4131" t="b">
        <f t="shared" si="334"/>
        <v>1</v>
      </c>
      <c r="N206" s="4131" t="b">
        <f t="shared" si="334"/>
        <v>1</v>
      </c>
      <c r="O206" s="4131" t="b">
        <f t="shared" si="334"/>
        <v>1</v>
      </c>
      <c r="P206" s="4131" t="b">
        <f t="shared" si="334"/>
        <v>1</v>
      </c>
      <c r="Q206" s="4315" t="b">
        <f t="shared" si="334"/>
        <v>1</v>
      </c>
      <c r="R206" s="4131" t="b">
        <f t="shared" si="334"/>
        <v>1</v>
      </c>
      <c r="S206" s="4131" t="b">
        <f>S90=S91-S92</f>
        <v>1</v>
      </c>
      <c r="T206" s="4131" t="b">
        <f t="shared" ref="T206:CS206" si="335">T90=T91-T92</f>
        <v>1</v>
      </c>
      <c r="U206" s="4131" t="b">
        <f t="shared" si="335"/>
        <v>1</v>
      </c>
      <c r="V206" s="4131" t="b">
        <f t="shared" si="335"/>
        <v>1</v>
      </c>
      <c r="W206" s="4131" t="b">
        <f t="shared" si="335"/>
        <v>1</v>
      </c>
      <c r="X206" s="4131" t="b">
        <f t="shared" si="335"/>
        <v>1</v>
      </c>
      <c r="Y206" s="4131" t="b">
        <f t="shared" si="335"/>
        <v>1</v>
      </c>
      <c r="Z206" s="4131" t="b">
        <f t="shared" si="335"/>
        <v>1</v>
      </c>
      <c r="AA206" s="4131" t="b">
        <f t="shared" si="335"/>
        <v>1</v>
      </c>
      <c r="AB206" s="4131" t="b">
        <f t="shared" si="335"/>
        <v>1</v>
      </c>
      <c r="AC206" s="4131" t="b">
        <f t="shared" si="335"/>
        <v>1</v>
      </c>
      <c r="AD206" s="4316" t="b">
        <f t="shared" si="335"/>
        <v>1</v>
      </c>
      <c r="AE206" s="4316" t="b">
        <f t="shared" si="335"/>
        <v>1</v>
      </c>
      <c r="AF206" s="4316" t="b">
        <f t="shared" si="335"/>
        <v>1</v>
      </c>
      <c r="AG206" s="4316" t="b">
        <f t="shared" si="335"/>
        <v>1</v>
      </c>
      <c r="AH206" s="4316" t="b">
        <f t="shared" si="335"/>
        <v>1</v>
      </c>
      <c r="AI206" s="4317" t="b">
        <f t="shared" si="335"/>
        <v>1</v>
      </c>
      <c r="AJ206" s="4316" t="b">
        <f t="shared" si="335"/>
        <v>1</v>
      </c>
      <c r="AK206" s="4316" t="b">
        <f t="shared" si="335"/>
        <v>1</v>
      </c>
      <c r="AL206" s="4316" t="b">
        <f t="shared" si="335"/>
        <v>1</v>
      </c>
      <c r="AM206" s="4316" t="b">
        <f t="shared" si="335"/>
        <v>1</v>
      </c>
      <c r="AN206" s="4316" t="b">
        <f t="shared" si="335"/>
        <v>1</v>
      </c>
      <c r="AO206" s="4316" t="b">
        <f t="shared" si="335"/>
        <v>1</v>
      </c>
      <c r="AP206" s="4316"/>
      <c r="AQ206" s="4318" t="b">
        <f t="shared" si="335"/>
        <v>1</v>
      </c>
      <c r="AR206" s="4318" t="b">
        <f t="shared" si="335"/>
        <v>1</v>
      </c>
      <c r="AS206" s="4318" t="b">
        <f>AW90=AW91-AW92</f>
        <v>1</v>
      </c>
      <c r="AT206" s="4318" t="b">
        <f t="shared" si="335"/>
        <v>1</v>
      </c>
      <c r="AU206" s="4318" t="b">
        <f t="shared" si="335"/>
        <v>1</v>
      </c>
      <c r="AV206" s="4318" t="b">
        <f t="shared" si="335"/>
        <v>1</v>
      </c>
      <c r="AW206" s="4318" t="b">
        <f t="shared" si="335"/>
        <v>1</v>
      </c>
      <c r="AX206" s="4318" t="b">
        <f t="shared" si="335"/>
        <v>1</v>
      </c>
      <c r="AY206" s="4318" t="b">
        <f t="shared" si="335"/>
        <v>1</v>
      </c>
      <c r="AZ206" s="4318" t="b">
        <f t="shared" si="335"/>
        <v>1</v>
      </c>
      <c r="BA206" s="4318" t="b">
        <f t="shared" si="335"/>
        <v>1</v>
      </c>
      <c r="BB206" s="4318" t="b">
        <f t="shared" si="335"/>
        <v>1</v>
      </c>
      <c r="BC206" s="4319" t="b">
        <f t="shared" si="335"/>
        <v>1</v>
      </c>
      <c r="BD206" s="4320" t="b">
        <f t="shared" si="335"/>
        <v>1</v>
      </c>
      <c r="BE206" s="4320" t="b">
        <f t="shared" si="335"/>
        <v>1</v>
      </c>
      <c r="BF206" s="4320" t="b">
        <f t="shared" si="335"/>
        <v>1</v>
      </c>
      <c r="BG206" s="4320" t="b">
        <f t="shared" si="335"/>
        <v>1</v>
      </c>
      <c r="BH206" s="4320" t="b">
        <f t="shared" si="335"/>
        <v>1</v>
      </c>
      <c r="BI206" s="4320" t="b">
        <f t="shared" si="335"/>
        <v>1</v>
      </c>
      <c r="BJ206" s="4320" t="b">
        <f t="shared" si="335"/>
        <v>1</v>
      </c>
      <c r="BK206" s="4320" t="b">
        <f t="shared" si="335"/>
        <v>1</v>
      </c>
      <c r="BL206" s="4320" t="b">
        <f t="shared" si="335"/>
        <v>1</v>
      </c>
      <c r="BM206" s="4320" t="b">
        <f t="shared" si="335"/>
        <v>1</v>
      </c>
      <c r="BN206" s="4320" t="b">
        <f t="shared" si="335"/>
        <v>1</v>
      </c>
      <c r="BO206" s="4320" t="b">
        <f t="shared" si="335"/>
        <v>1</v>
      </c>
      <c r="BP206" s="4320" t="b">
        <f t="shared" si="335"/>
        <v>1</v>
      </c>
      <c r="BQ206" s="4320" t="b">
        <f t="shared" ref="BQ206:CB206" si="336">BQ90=BQ91-BQ92</f>
        <v>1</v>
      </c>
      <c r="BR206" s="4321" t="b">
        <f t="shared" si="336"/>
        <v>1</v>
      </c>
      <c r="BS206" s="4320" t="b">
        <f t="shared" si="336"/>
        <v>1</v>
      </c>
      <c r="BT206" s="4320" t="b">
        <f t="shared" si="336"/>
        <v>1</v>
      </c>
      <c r="BU206" s="4320" t="b">
        <f t="shared" si="336"/>
        <v>1</v>
      </c>
      <c r="BV206" s="4320" t="b">
        <f t="shared" si="336"/>
        <v>1</v>
      </c>
      <c r="BW206" s="4320" t="b">
        <f t="shared" si="336"/>
        <v>1</v>
      </c>
      <c r="BX206" s="4320" t="b">
        <f t="shared" si="336"/>
        <v>1</v>
      </c>
      <c r="BY206" s="4320" t="b">
        <f t="shared" si="336"/>
        <v>1</v>
      </c>
      <c r="BZ206" s="4320" t="b">
        <f t="shared" si="336"/>
        <v>1</v>
      </c>
      <c r="CA206" s="4320" t="b">
        <f t="shared" si="336"/>
        <v>1</v>
      </c>
      <c r="CB206" s="4320" t="b">
        <f t="shared" si="336"/>
        <v>1</v>
      </c>
      <c r="CC206" s="4320"/>
      <c r="CD206" s="4320" t="b">
        <f t="shared" ref="CD206:CO206" si="337">CD90=CD91-CD92</f>
        <v>1</v>
      </c>
      <c r="CE206" s="4321" t="b">
        <f t="shared" si="337"/>
        <v>1</v>
      </c>
      <c r="CF206" s="4320" t="b">
        <f t="shared" si="337"/>
        <v>1</v>
      </c>
      <c r="CG206" s="4320" t="b">
        <f t="shared" si="337"/>
        <v>1</v>
      </c>
      <c r="CH206" s="4320" t="b">
        <f t="shared" si="337"/>
        <v>1</v>
      </c>
      <c r="CI206" s="4320" t="b">
        <f t="shared" si="337"/>
        <v>1</v>
      </c>
      <c r="CJ206" s="4320" t="b">
        <f t="shared" si="337"/>
        <v>1</v>
      </c>
      <c r="CK206" s="4320" t="b">
        <f t="shared" si="337"/>
        <v>1</v>
      </c>
      <c r="CL206" s="4320" t="b">
        <f t="shared" si="337"/>
        <v>1</v>
      </c>
      <c r="CM206" s="4320" t="b">
        <f t="shared" si="337"/>
        <v>1</v>
      </c>
      <c r="CN206" s="4320" t="b">
        <f t="shared" si="337"/>
        <v>1</v>
      </c>
      <c r="CO206" s="4320" t="b">
        <f t="shared" si="337"/>
        <v>1</v>
      </c>
      <c r="CP206" s="4322"/>
      <c r="CQ206" s="4323"/>
      <c r="CR206" s="4324" t="b">
        <f t="shared" si="335"/>
        <v>1</v>
      </c>
      <c r="CS206" s="4325" t="b">
        <f t="shared" si="335"/>
        <v>1</v>
      </c>
      <c r="CT206" s="607"/>
    </row>
    <row r="207" spans="1:98" x14ac:dyDescent="0.55000000000000004">
      <c r="A207" s="4326"/>
      <c r="C207" s="559" t="s">
        <v>23</v>
      </c>
      <c r="F207" s="3453" t="b">
        <f>SUM(F93:F96)=F92</f>
        <v>1</v>
      </c>
      <c r="G207" s="559" t="b">
        <f t="shared" ref="G207:BO207" si="338">SUM(G93:G96)=G92</f>
        <v>1</v>
      </c>
      <c r="H207" s="559" t="b">
        <f t="shared" si="338"/>
        <v>1</v>
      </c>
      <c r="I207" s="559" t="b">
        <f t="shared" si="338"/>
        <v>1</v>
      </c>
      <c r="J207" s="559" t="b">
        <f t="shared" si="338"/>
        <v>1</v>
      </c>
      <c r="K207" s="559" t="b">
        <f t="shared" si="338"/>
        <v>1</v>
      </c>
      <c r="L207" s="559" t="b">
        <f t="shared" si="338"/>
        <v>1</v>
      </c>
      <c r="M207" s="559" t="b">
        <f t="shared" si="338"/>
        <v>1</v>
      </c>
      <c r="N207" s="559" t="b">
        <f t="shared" si="338"/>
        <v>1</v>
      </c>
      <c r="O207" s="559" t="b">
        <f t="shared" si="338"/>
        <v>1</v>
      </c>
      <c r="P207" s="559" t="b">
        <f t="shared" si="338"/>
        <v>1</v>
      </c>
      <c r="Q207" s="1055" t="b">
        <f t="shared" si="338"/>
        <v>1</v>
      </c>
      <c r="R207" s="559" t="b">
        <f t="shared" si="338"/>
        <v>1</v>
      </c>
      <c r="S207" s="559" t="b">
        <f t="shared" si="338"/>
        <v>1</v>
      </c>
      <c r="T207" s="559" t="b">
        <f t="shared" si="338"/>
        <v>1</v>
      </c>
      <c r="U207" s="559" t="b">
        <f t="shared" si="338"/>
        <v>1</v>
      </c>
      <c r="V207" s="559" t="b">
        <f t="shared" si="338"/>
        <v>1</v>
      </c>
      <c r="W207" s="559" t="b">
        <f t="shared" si="338"/>
        <v>1</v>
      </c>
      <c r="X207" s="559" t="b">
        <f t="shared" si="338"/>
        <v>1</v>
      </c>
      <c r="Y207" s="559" t="b">
        <f t="shared" si="338"/>
        <v>1</v>
      </c>
      <c r="Z207" s="559" t="b">
        <f t="shared" si="338"/>
        <v>1</v>
      </c>
      <c r="AA207" s="559" t="b">
        <f t="shared" si="338"/>
        <v>1</v>
      </c>
      <c r="AB207" s="559" t="b">
        <f t="shared" si="338"/>
        <v>1</v>
      </c>
      <c r="AC207" s="559" t="b">
        <f t="shared" si="338"/>
        <v>1</v>
      </c>
      <c r="AD207" s="559" t="b">
        <f t="shared" si="338"/>
        <v>1</v>
      </c>
      <c r="AE207" s="559" t="b">
        <f t="shared" si="338"/>
        <v>1</v>
      </c>
      <c r="AF207" s="559" t="b">
        <f t="shared" si="338"/>
        <v>1</v>
      </c>
      <c r="AG207" s="559" t="b">
        <f t="shared" si="338"/>
        <v>1</v>
      </c>
      <c r="AH207" s="559" t="b">
        <f t="shared" si="338"/>
        <v>1</v>
      </c>
      <c r="AI207" s="559" t="b">
        <f t="shared" si="338"/>
        <v>1</v>
      </c>
      <c r="AJ207" s="559" t="b">
        <f t="shared" si="338"/>
        <v>1</v>
      </c>
      <c r="AK207" s="559" t="b">
        <f t="shared" si="338"/>
        <v>1</v>
      </c>
      <c r="AL207" s="559" t="b">
        <f t="shared" si="338"/>
        <v>1</v>
      </c>
      <c r="AM207" s="559" t="b">
        <f t="shared" si="338"/>
        <v>1</v>
      </c>
      <c r="AN207" s="559" t="b">
        <f t="shared" si="338"/>
        <v>1</v>
      </c>
      <c r="AO207" s="4147" t="b">
        <f t="shared" si="338"/>
        <v>1</v>
      </c>
      <c r="AP207" s="4147"/>
      <c r="AQ207" s="1255" t="b">
        <f t="shared" si="338"/>
        <v>1</v>
      </c>
      <c r="AR207" s="1255" t="b">
        <f t="shared" si="338"/>
        <v>1</v>
      </c>
      <c r="AS207" s="1255" t="b">
        <f>SUM(AW93:AW96)=AW92</f>
        <v>1</v>
      </c>
      <c r="AT207" s="1255" t="b">
        <f t="shared" si="338"/>
        <v>1</v>
      </c>
      <c r="AU207" s="1255" t="b">
        <f t="shared" si="338"/>
        <v>1</v>
      </c>
      <c r="AV207" s="1255" t="b">
        <f t="shared" si="338"/>
        <v>1</v>
      </c>
      <c r="AW207" s="1255" t="b">
        <f t="shared" si="338"/>
        <v>1</v>
      </c>
      <c r="AX207" s="1255" t="b">
        <f t="shared" si="338"/>
        <v>1</v>
      </c>
      <c r="AY207" s="1255" t="b">
        <f t="shared" si="338"/>
        <v>1</v>
      </c>
      <c r="AZ207" s="1255" t="b">
        <f t="shared" si="338"/>
        <v>1</v>
      </c>
      <c r="BA207" s="1255" t="b">
        <f t="shared" si="338"/>
        <v>1</v>
      </c>
      <c r="BB207" s="1255" t="b">
        <f t="shared" si="338"/>
        <v>1</v>
      </c>
      <c r="BC207" s="4327" t="b">
        <f t="shared" si="338"/>
        <v>1</v>
      </c>
      <c r="BD207" s="4300" t="b">
        <f t="shared" si="338"/>
        <v>1</v>
      </c>
      <c r="BE207" s="4300" t="b">
        <f t="shared" si="338"/>
        <v>1</v>
      </c>
      <c r="BF207" s="4300" t="b">
        <f t="shared" si="338"/>
        <v>1</v>
      </c>
      <c r="BG207" s="4300" t="b">
        <f t="shared" si="338"/>
        <v>1</v>
      </c>
      <c r="BH207" s="4300" t="b">
        <f t="shared" si="338"/>
        <v>1</v>
      </c>
      <c r="BI207" s="4300" t="b">
        <f t="shared" si="338"/>
        <v>1</v>
      </c>
      <c r="BJ207" s="4300" t="b">
        <f t="shared" si="338"/>
        <v>1</v>
      </c>
      <c r="BK207" s="4300" t="b">
        <f t="shared" si="338"/>
        <v>1</v>
      </c>
      <c r="BL207" s="4300" t="b">
        <f t="shared" si="338"/>
        <v>1</v>
      </c>
      <c r="BM207" s="4300" t="b">
        <f t="shared" si="338"/>
        <v>1</v>
      </c>
      <c r="BN207" s="4300" t="b">
        <f t="shared" si="338"/>
        <v>1</v>
      </c>
      <c r="BO207" s="4300" t="b">
        <f t="shared" si="338"/>
        <v>1</v>
      </c>
      <c r="BP207" s="4300" t="b">
        <f t="shared" ref="BP207" si="339">SUM(BP93:BP96)=BP92</f>
        <v>1</v>
      </c>
      <c r="BQ207" s="4300" t="b">
        <f t="shared" ref="BQ207:CB207" si="340">SUM(BQ93:BQ96)=BQ92</f>
        <v>1</v>
      </c>
      <c r="BR207" s="4301" t="b">
        <f t="shared" si="340"/>
        <v>1</v>
      </c>
      <c r="BS207" s="4300" t="b">
        <f t="shared" si="340"/>
        <v>1</v>
      </c>
      <c r="BT207" s="4300" t="b">
        <f t="shared" si="340"/>
        <v>1</v>
      </c>
      <c r="BU207" s="4300" t="b">
        <f t="shared" si="340"/>
        <v>1</v>
      </c>
      <c r="BV207" s="4300" t="b">
        <f t="shared" si="340"/>
        <v>1</v>
      </c>
      <c r="BW207" s="4300" t="b">
        <f t="shared" si="340"/>
        <v>1</v>
      </c>
      <c r="BX207" s="4300" t="b">
        <f t="shared" si="340"/>
        <v>1</v>
      </c>
      <c r="BY207" s="4300" t="b">
        <f t="shared" si="340"/>
        <v>1</v>
      </c>
      <c r="BZ207" s="4300" t="b">
        <f t="shared" si="340"/>
        <v>1</v>
      </c>
      <c r="CA207" s="4300" t="b">
        <f t="shared" si="340"/>
        <v>1</v>
      </c>
      <c r="CB207" s="4300" t="b">
        <f t="shared" si="340"/>
        <v>1</v>
      </c>
      <c r="CC207" s="4300"/>
      <c r="CD207" s="4300" t="b">
        <f t="shared" ref="CD207:CO207" si="341">SUM(CD93:CD96)=CD92</f>
        <v>1</v>
      </c>
      <c r="CE207" s="4301" t="b">
        <f t="shared" si="341"/>
        <v>1</v>
      </c>
      <c r="CF207" s="4300" t="b">
        <f t="shared" si="341"/>
        <v>1</v>
      </c>
      <c r="CG207" s="4300" t="b">
        <f t="shared" si="341"/>
        <v>1</v>
      </c>
      <c r="CH207" s="4300" t="b">
        <f t="shared" si="341"/>
        <v>1</v>
      </c>
      <c r="CI207" s="4300" t="b">
        <f t="shared" si="341"/>
        <v>1</v>
      </c>
      <c r="CJ207" s="4300" t="b">
        <f t="shared" si="341"/>
        <v>1</v>
      </c>
      <c r="CK207" s="4300" t="b">
        <f t="shared" si="341"/>
        <v>1</v>
      </c>
      <c r="CL207" s="4300" t="b">
        <f t="shared" si="341"/>
        <v>1</v>
      </c>
      <c r="CM207" s="4300" t="b">
        <f t="shared" si="341"/>
        <v>1</v>
      </c>
      <c r="CN207" s="4300" t="b">
        <f t="shared" si="341"/>
        <v>1</v>
      </c>
      <c r="CO207" s="4300" t="b">
        <f t="shared" si="341"/>
        <v>1</v>
      </c>
      <c r="CP207" s="4328"/>
      <c r="CQ207" s="4329"/>
      <c r="CR207" s="597" t="b">
        <f>ROUND(SUM(CR93:CR96),1)=ROUND(CR92,1)</f>
        <v>1</v>
      </c>
      <c r="CS207" s="4273" t="b">
        <f>ROUND(SUM(CS93:CS96),1)=ROUND(CS92,1)</f>
        <v>1</v>
      </c>
      <c r="CT207" s="607"/>
    </row>
    <row r="208" spans="1:98" x14ac:dyDescent="0.55000000000000004">
      <c r="A208" s="4326"/>
      <c r="B208" s="797" t="s">
        <v>588</v>
      </c>
      <c r="C208" s="798"/>
      <c r="D208" s="798"/>
      <c r="E208" s="798"/>
      <c r="F208" s="798"/>
      <c r="G208" s="798"/>
      <c r="H208" s="798"/>
      <c r="I208" s="798"/>
      <c r="J208" s="798"/>
      <c r="K208" s="798"/>
      <c r="L208" s="798"/>
      <c r="M208" s="798"/>
      <c r="N208" s="798"/>
      <c r="O208" s="798"/>
      <c r="P208" s="798"/>
      <c r="Q208" s="4330"/>
      <c r="R208" s="798"/>
      <c r="S208" s="798"/>
      <c r="T208" s="798"/>
      <c r="U208" s="798"/>
      <c r="V208" s="798"/>
      <c r="W208" s="798"/>
      <c r="X208" s="798"/>
      <c r="Y208" s="798"/>
      <c r="Z208" s="798"/>
      <c r="AA208" s="798"/>
      <c r="AB208" s="798"/>
      <c r="AC208" s="798"/>
      <c r="AD208" s="798"/>
      <c r="AE208" s="798"/>
      <c r="AF208" s="798"/>
      <c r="AG208" s="798"/>
      <c r="AH208" s="798"/>
      <c r="AI208" s="798"/>
      <c r="AJ208" s="798"/>
      <c r="AK208" s="798"/>
      <c r="AL208" s="798"/>
      <c r="AM208" s="798"/>
      <c r="AN208" s="798"/>
      <c r="AO208" s="4152"/>
      <c r="AP208" s="4152"/>
      <c r="AQ208" s="4331"/>
      <c r="AR208" s="4331"/>
      <c r="AS208" s="4331"/>
      <c r="AT208" s="4331"/>
      <c r="AU208" s="4331"/>
      <c r="AV208" s="4331"/>
      <c r="AW208" s="4331"/>
      <c r="AX208" s="4331"/>
      <c r="AY208" s="4331"/>
      <c r="AZ208" s="4331"/>
      <c r="BA208" s="4331"/>
      <c r="BB208" s="4331"/>
      <c r="BC208" s="4332"/>
      <c r="BD208" s="4333"/>
      <c r="BE208" s="4333"/>
      <c r="BF208" s="4333"/>
      <c r="BG208" s="4333"/>
      <c r="BH208" s="4333"/>
      <c r="BI208" s="4333"/>
      <c r="BJ208" s="4334"/>
      <c r="BK208" s="4335"/>
      <c r="BL208" s="4335"/>
      <c r="BM208" s="4335"/>
      <c r="BN208" s="4335"/>
      <c r="BO208" s="4335"/>
      <c r="BP208" s="4333"/>
      <c r="BQ208" s="4333"/>
      <c r="BR208" s="4336"/>
      <c r="BS208" s="4333"/>
      <c r="BT208" s="4333"/>
      <c r="BU208" s="4333"/>
      <c r="BV208" s="4333"/>
      <c r="BW208" s="4334"/>
      <c r="BX208" s="4335"/>
      <c r="BY208" s="4335"/>
      <c r="BZ208" s="4335"/>
      <c r="CA208" s="4335"/>
      <c r="CB208" s="4335"/>
      <c r="CC208" s="4335"/>
      <c r="CD208" s="4333"/>
      <c r="CE208" s="4336"/>
      <c r="CF208" s="4333"/>
      <c r="CG208" s="4333"/>
      <c r="CH208" s="4333"/>
      <c r="CI208" s="4333"/>
      <c r="CJ208" s="4334"/>
      <c r="CK208" s="4335"/>
      <c r="CL208" s="4335"/>
      <c r="CM208" s="4335"/>
      <c r="CN208" s="4335"/>
      <c r="CO208" s="4335"/>
      <c r="CP208" s="4328"/>
      <c r="CQ208" s="4329"/>
      <c r="CR208" s="801"/>
      <c r="CS208" s="4337"/>
      <c r="CT208" s="808"/>
    </row>
    <row r="209" spans="1:98" x14ac:dyDescent="0.55000000000000004">
      <c r="A209" s="3453"/>
      <c r="B209" s="4158"/>
      <c r="C209" s="1028" t="s">
        <v>589</v>
      </c>
      <c r="D209" s="1028"/>
      <c r="E209" s="1028"/>
      <c r="F209" s="1028" t="b">
        <f t="shared" ref="F209:BJ209" si="342">ROUND(SUM(F99:F101),1)=ROUND(F98,1)</f>
        <v>1</v>
      </c>
      <c r="G209" s="1028" t="b">
        <f t="shared" si="342"/>
        <v>1</v>
      </c>
      <c r="H209" s="1028" t="b">
        <f t="shared" si="342"/>
        <v>1</v>
      </c>
      <c r="I209" s="1028" t="b">
        <f t="shared" si="342"/>
        <v>1</v>
      </c>
      <c r="J209" s="1028" t="b">
        <f t="shared" si="342"/>
        <v>1</v>
      </c>
      <c r="K209" s="1028" t="b">
        <f t="shared" si="342"/>
        <v>1</v>
      </c>
      <c r="L209" s="1028" t="b">
        <f t="shared" si="342"/>
        <v>1</v>
      </c>
      <c r="M209" s="1028" t="b">
        <f t="shared" si="342"/>
        <v>1</v>
      </c>
      <c r="N209" s="1028" t="b">
        <f t="shared" si="342"/>
        <v>1</v>
      </c>
      <c r="O209" s="1028" t="b">
        <f t="shared" si="342"/>
        <v>1</v>
      </c>
      <c r="P209" s="1028" t="b">
        <f t="shared" si="342"/>
        <v>1</v>
      </c>
      <c r="Q209" s="4338" t="b">
        <f t="shared" si="342"/>
        <v>1</v>
      </c>
      <c r="R209" s="1028" t="b">
        <f t="shared" si="342"/>
        <v>1</v>
      </c>
      <c r="S209" s="1028" t="b">
        <f t="shared" si="342"/>
        <v>1</v>
      </c>
      <c r="T209" s="1028" t="b">
        <f t="shared" si="342"/>
        <v>1</v>
      </c>
      <c r="U209" s="1028" t="b">
        <f t="shared" si="342"/>
        <v>1</v>
      </c>
      <c r="V209" s="1028" t="b">
        <f t="shared" si="342"/>
        <v>1</v>
      </c>
      <c r="W209" s="1028" t="b">
        <f t="shared" si="342"/>
        <v>1</v>
      </c>
      <c r="X209" s="1028" t="b">
        <f t="shared" si="342"/>
        <v>1</v>
      </c>
      <c r="Y209" s="1028" t="b">
        <f t="shared" si="342"/>
        <v>1</v>
      </c>
      <c r="Z209" s="1028" t="b">
        <f t="shared" si="342"/>
        <v>1</v>
      </c>
      <c r="AA209" s="1028" t="b">
        <f t="shared" si="342"/>
        <v>1</v>
      </c>
      <c r="AB209" s="1028" t="b">
        <f t="shared" si="342"/>
        <v>1</v>
      </c>
      <c r="AC209" s="1028" t="b">
        <f t="shared" si="342"/>
        <v>1</v>
      </c>
      <c r="AD209" s="1028" t="b">
        <f t="shared" si="342"/>
        <v>1</v>
      </c>
      <c r="AE209" s="1028" t="b">
        <f t="shared" si="342"/>
        <v>1</v>
      </c>
      <c r="AF209" s="1028" t="b">
        <f t="shared" si="342"/>
        <v>1</v>
      </c>
      <c r="AG209" s="1028" t="b">
        <f t="shared" si="342"/>
        <v>1</v>
      </c>
      <c r="AH209" s="1028" t="b">
        <f t="shared" si="342"/>
        <v>1</v>
      </c>
      <c r="AI209" s="1028" t="b">
        <f t="shared" si="342"/>
        <v>1</v>
      </c>
      <c r="AJ209" s="1028" t="b">
        <f t="shared" si="342"/>
        <v>1</v>
      </c>
      <c r="AK209" s="1028" t="b">
        <f t="shared" si="342"/>
        <v>1</v>
      </c>
      <c r="AL209" s="1028" t="b">
        <f t="shared" si="342"/>
        <v>1</v>
      </c>
      <c r="AM209" s="1028" t="b">
        <f t="shared" si="342"/>
        <v>1</v>
      </c>
      <c r="AN209" s="1028" t="b">
        <f t="shared" si="342"/>
        <v>1</v>
      </c>
      <c r="AO209" s="4142" t="b">
        <f t="shared" si="342"/>
        <v>1</v>
      </c>
      <c r="AP209" s="4142"/>
      <c r="AQ209" s="4291" t="b">
        <f t="shared" si="342"/>
        <v>1</v>
      </c>
      <c r="AR209" s="4291" t="b">
        <f t="shared" si="342"/>
        <v>1</v>
      </c>
      <c r="AS209" s="4291" t="b">
        <f>ROUND(SUM(AW99:AW101),1)=ROUND(AW98,1)</f>
        <v>1</v>
      </c>
      <c r="AT209" s="4291" t="b">
        <f t="shared" si="342"/>
        <v>1</v>
      </c>
      <c r="AU209" s="4291" t="b">
        <f t="shared" si="342"/>
        <v>1</v>
      </c>
      <c r="AV209" s="4291" t="b">
        <f t="shared" si="342"/>
        <v>1</v>
      </c>
      <c r="AW209" s="4291" t="b">
        <f t="shared" si="342"/>
        <v>1</v>
      </c>
      <c r="AX209" s="4291" t="b">
        <f t="shared" si="342"/>
        <v>1</v>
      </c>
      <c r="AY209" s="4291" t="b">
        <f t="shared" si="342"/>
        <v>1</v>
      </c>
      <c r="AZ209" s="4291" t="b">
        <f t="shared" si="342"/>
        <v>1</v>
      </c>
      <c r="BA209" s="4291" t="b">
        <f t="shared" si="342"/>
        <v>1</v>
      </c>
      <c r="BB209" s="4291" t="b">
        <f t="shared" si="342"/>
        <v>1</v>
      </c>
      <c r="BC209" s="4339" t="b">
        <f t="shared" si="342"/>
        <v>1</v>
      </c>
      <c r="BD209" s="4293" t="b">
        <f t="shared" si="342"/>
        <v>1</v>
      </c>
      <c r="BE209" s="4293" t="b">
        <f t="shared" si="342"/>
        <v>1</v>
      </c>
      <c r="BF209" s="4293" t="b">
        <f t="shared" si="342"/>
        <v>1</v>
      </c>
      <c r="BG209" s="4293" t="b">
        <f t="shared" si="342"/>
        <v>1</v>
      </c>
      <c r="BH209" s="4293" t="b">
        <f t="shared" si="342"/>
        <v>1</v>
      </c>
      <c r="BI209" s="4293" t="b">
        <f t="shared" si="342"/>
        <v>1</v>
      </c>
      <c r="BJ209" s="4340" t="b">
        <f t="shared" si="342"/>
        <v>1</v>
      </c>
      <c r="BK209" s="4340" t="b">
        <f>SUM(BK99:BK101)=BK98</f>
        <v>1</v>
      </c>
      <c r="BL209" s="4340" t="b">
        <f>SUM(BL99:BL101)=BL98</f>
        <v>1</v>
      </c>
      <c r="BM209" s="4340" t="b">
        <f>SUM(BM99:BM101)=BM98</f>
        <v>1</v>
      </c>
      <c r="BN209" s="4340" t="b">
        <f>SUM(BN99:BN101)=BN98</f>
        <v>1</v>
      </c>
      <c r="BO209" s="4340" t="b">
        <f>SUM(BO99:BO101)=BO98</f>
        <v>1</v>
      </c>
      <c r="BP209" s="4293" t="b">
        <f t="shared" ref="BP209" si="343">ROUND(SUM(BP99:BP101),1)=ROUND(BP98,1)</f>
        <v>1</v>
      </c>
      <c r="BQ209" s="4293" t="b">
        <f t="shared" ref="BQ209:BW209" si="344">ROUND(SUM(BQ99:BQ101),1)=ROUND(BQ98,1)</f>
        <v>1</v>
      </c>
      <c r="BR209" s="4294" t="b">
        <f t="shared" si="344"/>
        <v>1</v>
      </c>
      <c r="BS209" s="4293" t="b">
        <f t="shared" si="344"/>
        <v>1</v>
      </c>
      <c r="BT209" s="4293" t="b">
        <f t="shared" si="344"/>
        <v>1</v>
      </c>
      <c r="BU209" s="4293" t="b">
        <f t="shared" si="344"/>
        <v>1</v>
      </c>
      <c r="BV209" s="4293" t="b">
        <f t="shared" si="344"/>
        <v>1</v>
      </c>
      <c r="BW209" s="4340" t="b">
        <f t="shared" si="344"/>
        <v>1</v>
      </c>
      <c r="BX209" s="4340" t="b">
        <f>SUM(BX99:BX101)=BX98</f>
        <v>1</v>
      </c>
      <c r="BY209" s="4340" t="b">
        <f>SUM(BY99:BY101)=BY98</f>
        <v>1</v>
      </c>
      <c r="BZ209" s="4340" t="b">
        <f>SUM(BZ99:BZ101)=BZ98</f>
        <v>1</v>
      </c>
      <c r="CA209" s="4340" t="b">
        <f>SUM(CA99:CA101)=CA98</f>
        <v>1</v>
      </c>
      <c r="CB209" s="4340" t="b">
        <f>SUM(CB99:CB101)=CB98</f>
        <v>1</v>
      </c>
      <c r="CC209" s="4340"/>
      <c r="CD209" s="4293" t="b">
        <f t="shared" ref="CD209:CJ209" si="345">ROUND(SUM(CD99:CD101),1)=ROUND(CD98,1)</f>
        <v>1</v>
      </c>
      <c r="CE209" s="4294" t="b">
        <f t="shared" si="345"/>
        <v>1</v>
      </c>
      <c r="CF209" s="4293" t="b">
        <f t="shared" si="345"/>
        <v>1</v>
      </c>
      <c r="CG209" s="4293" t="b">
        <f t="shared" si="345"/>
        <v>1</v>
      </c>
      <c r="CH209" s="4293" t="b">
        <f t="shared" si="345"/>
        <v>1</v>
      </c>
      <c r="CI209" s="4293" t="b">
        <f t="shared" si="345"/>
        <v>1</v>
      </c>
      <c r="CJ209" s="4340" t="b">
        <f t="shared" si="345"/>
        <v>1</v>
      </c>
      <c r="CK209" s="4340" t="b">
        <f>SUM(CK99:CK101)=CK98</f>
        <v>1</v>
      </c>
      <c r="CL209" s="4340" t="b">
        <f>SUM(CL99:CL101)=CL98</f>
        <v>1</v>
      </c>
      <c r="CM209" s="4340" t="b">
        <f>SUM(CM99:CM101)=CM98</f>
        <v>1</v>
      </c>
      <c r="CN209" s="4340" t="b">
        <f>SUM(CN99:CN101)=CN98</f>
        <v>1</v>
      </c>
      <c r="CO209" s="4340" t="b">
        <f>SUM(CO99:CO101)=CO98</f>
        <v>1</v>
      </c>
      <c r="CP209" s="4328"/>
      <c r="CQ209" s="4329"/>
      <c r="CR209" s="791" t="b">
        <f>ROUND(SUM(CR99:CR101),1)=ROUND(CR98,1)</f>
        <v>1</v>
      </c>
      <c r="CS209" s="4296" t="b">
        <f>ROUND(SUM(CS99:CS101),1)=ROUND(CS98,1)</f>
        <v>1</v>
      </c>
      <c r="CT209" s="795"/>
    </row>
    <row r="210" spans="1:98" x14ac:dyDescent="0.55000000000000004">
      <c r="A210" s="3453"/>
      <c r="B210" s="4158"/>
      <c r="C210" s="4158" t="s">
        <v>591</v>
      </c>
      <c r="D210" s="4158"/>
      <c r="E210" s="4158"/>
      <c r="F210" s="4158" t="b">
        <f>SUM(F103:F106)=F102</f>
        <v>1</v>
      </c>
      <c r="G210" s="4158" t="b">
        <f t="shared" ref="G210:BO210" si="346">SUM(G103:G106)=G102</f>
        <v>1</v>
      </c>
      <c r="H210" s="4158" t="b">
        <f t="shared" si="346"/>
        <v>1</v>
      </c>
      <c r="I210" s="4158" t="b">
        <f t="shared" si="346"/>
        <v>1</v>
      </c>
      <c r="J210" s="4158" t="b">
        <f t="shared" si="346"/>
        <v>1</v>
      </c>
      <c r="K210" s="4158" t="b">
        <f t="shared" si="346"/>
        <v>1</v>
      </c>
      <c r="L210" s="4158" t="b">
        <f t="shared" si="346"/>
        <v>1</v>
      </c>
      <c r="M210" s="4158" t="b">
        <f t="shared" si="346"/>
        <v>1</v>
      </c>
      <c r="N210" s="4158" t="b">
        <f t="shared" si="346"/>
        <v>1</v>
      </c>
      <c r="O210" s="4158" t="b">
        <f t="shared" si="346"/>
        <v>1</v>
      </c>
      <c r="P210" s="4158" t="b">
        <f t="shared" si="346"/>
        <v>1</v>
      </c>
      <c r="Q210" s="4341" t="b">
        <f t="shared" si="346"/>
        <v>1</v>
      </c>
      <c r="R210" s="4158" t="b">
        <f t="shared" si="346"/>
        <v>1</v>
      </c>
      <c r="S210" s="4158" t="b">
        <f t="shared" si="346"/>
        <v>1</v>
      </c>
      <c r="T210" s="4158" t="b">
        <f t="shared" si="346"/>
        <v>1</v>
      </c>
      <c r="U210" s="4158" t="b">
        <f t="shared" si="346"/>
        <v>1</v>
      </c>
      <c r="V210" s="4158" t="b">
        <f t="shared" si="346"/>
        <v>1</v>
      </c>
      <c r="W210" s="4158" t="b">
        <f t="shared" si="346"/>
        <v>1</v>
      </c>
      <c r="X210" s="4158" t="b">
        <f t="shared" si="346"/>
        <v>1</v>
      </c>
      <c r="Y210" s="4158" t="b">
        <f t="shared" si="346"/>
        <v>1</v>
      </c>
      <c r="Z210" s="4158" t="b">
        <f t="shared" si="346"/>
        <v>1</v>
      </c>
      <c r="AA210" s="4158" t="b">
        <f t="shared" si="346"/>
        <v>1</v>
      </c>
      <c r="AB210" s="4158" t="b">
        <f t="shared" si="346"/>
        <v>1</v>
      </c>
      <c r="AC210" s="4158" t="b">
        <f t="shared" si="346"/>
        <v>1</v>
      </c>
      <c r="AD210" s="4158" t="b">
        <f t="shared" si="346"/>
        <v>1</v>
      </c>
      <c r="AE210" s="4158" t="b">
        <f t="shared" si="346"/>
        <v>1</v>
      </c>
      <c r="AF210" s="4158" t="b">
        <f t="shared" si="346"/>
        <v>1</v>
      </c>
      <c r="AG210" s="4158" t="b">
        <f t="shared" si="346"/>
        <v>1</v>
      </c>
      <c r="AH210" s="4158" t="b">
        <f t="shared" si="346"/>
        <v>1</v>
      </c>
      <c r="AI210" s="4158" t="b">
        <f t="shared" si="346"/>
        <v>1</v>
      </c>
      <c r="AJ210" s="4158" t="b">
        <f t="shared" si="346"/>
        <v>1</v>
      </c>
      <c r="AK210" s="4158" t="b">
        <f t="shared" si="346"/>
        <v>1</v>
      </c>
      <c r="AL210" s="4158" t="b">
        <f t="shared" si="346"/>
        <v>1</v>
      </c>
      <c r="AM210" s="4158" t="b">
        <f t="shared" si="346"/>
        <v>1</v>
      </c>
      <c r="AN210" s="4158" t="b">
        <f t="shared" si="346"/>
        <v>1</v>
      </c>
      <c r="AO210" s="3876" t="b">
        <f t="shared" si="346"/>
        <v>1</v>
      </c>
      <c r="AP210" s="3876"/>
      <c r="AQ210" s="4342" t="b">
        <f t="shared" si="346"/>
        <v>1</v>
      </c>
      <c r="AR210" s="4342" t="b">
        <f t="shared" si="346"/>
        <v>1</v>
      </c>
      <c r="AS210" s="4342" t="b">
        <f>SUM(AW103:AW106)=AW102</f>
        <v>1</v>
      </c>
      <c r="AT210" s="4342" t="b">
        <f t="shared" si="346"/>
        <v>1</v>
      </c>
      <c r="AU210" s="4342" t="b">
        <f t="shared" si="346"/>
        <v>1</v>
      </c>
      <c r="AV210" s="4342" t="b">
        <f t="shared" si="346"/>
        <v>1</v>
      </c>
      <c r="AW210" s="4342" t="b">
        <f t="shared" si="346"/>
        <v>1</v>
      </c>
      <c r="AX210" s="4342" t="b">
        <f t="shared" si="346"/>
        <v>1</v>
      </c>
      <c r="AY210" s="4342" t="b">
        <f t="shared" si="346"/>
        <v>1</v>
      </c>
      <c r="AZ210" s="4342" t="b">
        <f t="shared" si="346"/>
        <v>1</v>
      </c>
      <c r="BA210" s="4342" t="b">
        <f t="shared" si="346"/>
        <v>1</v>
      </c>
      <c r="BB210" s="4342" t="b">
        <f t="shared" si="346"/>
        <v>1</v>
      </c>
      <c r="BC210" s="4343" t="b">
        <f t="shared" si="346"/>
        <v>1</v>
      </c>
      <c r="BD210" s="4344" t="b">
        <f t="shared" si="346"/>
        <v>1</v>
      </c>
      <c r="BE210" s="4344" t="b">
        <f t="shared" si="346"/>
        <v>1</v>
      </c>
      <c r="BF210" s="4344" t="b">
        <f t="shared" si="346"/>
        <v>1</v>
      </c>
      <c r="BG210" s="4344" t="b">
        <f t="shared" si="346"/>
        <v>1</v>
      </c>
      <c r="BH210" s="4344" t="b">
        <f t="shared" si="346"/>
        <v>1</v>
      </c>
      <c r="BI210" s="4344" t="b">
        <f t="shared" si="346"/>
        <v>1</v>
      </c>
      <c r="BJ210" s="4335" t="b">
        <f t="shared" si="346"/>
        <v>1</v>
      </c>
      <c r="BK210" s="4335" t="b">
        <f t="shared" si="346"/>
        <v>1</v>
      </c>
      <c r="BL210" s="4335" t="b">
        <f t="shared" si="346"/>
        <v>1</v>
      </c>
      <c r="BM210" s="4335" t="b">
        <f t="shared" si="346"/>
        <v>1</v>
      </c>
      <c r="BN210" s="4335" t="b">
        <f t="shared" si="346"/>
        <v>1</v>
      </c>
      <c r="BO210" s="4335" t="b">
        <f t="shared" si="346"/>
        <v>1</v>
      </c>
      <c r="BP210" s="4344" t="b">
        <f t="shared" ref="BP210" si="347">SUM(BP103:BP106)=BP102</f>
        <v>1</v>
      </c>
      <c r="BQ210" s="4344" t="b">
        <f t="shared" ref="BQ210:CB210" si="348">SUM(BQ103:BQ106)=BQ102</f>
        <v>1</v>
      </c>
      <c r="BR210" s="4345" t="b">
        <f t="shared" si="348"/>
        <v>1</v>
      </c>
      <c r="BS210" s="4344" t="b">
        <f t="shared" si="348"/>
        <v>1</v>
      </c>
      <c r="BT210" s="4344" t="b">
        <f t="shared" si="348"/>
        <v>1</v>
      </c>
      <c r="BU210" s="4344" t="b">
        <f t="shared" si="348"/>
        <v>1</v>
      </c>
      <c r="BV210" s="4344" t="b">
        <f t="shared" si="348"/>
        <v>1</v>
      </c>
      <c r="BW210" s="4335" t="b">
        <f t="shared" si="348"/>
        <v>1</v>
      </c>
      <c r="BX210" s="4335" t="b">
        <f t="shared" si="348"/>
        <v>1</v>
      </c>
      <c r="BY210" s="4335" t="b">
        <f t="shared" si="348"/>
        <v>1</v>
      </c>
      <c r="BZ210" s="4335" t="b">
        <f t="shared" si="348"/>
        <v>1</v>
      </c>
      <c r="CA210" s="4335" t="b">
        <f t="shared" si="348"/>
        <v>1</v>
      </c>
      <c r="CB210" s="4335" t="b">
        <f t="shared" si="348"/>
        <v>1</v>
      </c>
      <c r="CC210" s="4335"/>
      <c r="CD210" s="4344" t="b">
        <f t="shared" ref="CD210:CO210" si="349">SUM(CD103:CD106)=CD102</f>
        <v>1</v>
      </c>
      <c r="CE210" s="4345" t="b">
        <f t="shared" si="349"/>
        <v>1</v>
      </c>
      <c r="CF210" s="4344" t="b">
        <f t="shared" si="349"/>
        <v>1</v>
      </c>
      <c r="CG210" s="4344" t="b">
        <f t="shared" si="349"/>
        <v>1</v>
      </c>
      <c r="CH210" s="4344" t="b">
        <f t="shared" si="349"/>
        <v>1</v>
      </c>
      <c r="CI210" s="4344" t="b">
        <f t="shared" si="349"/>
        <v>1</v>
      </c>
      <c r="CJ210" s="4335" t="b">
        <f t="shared" si="349"/>
        <v>1</v>
      </c>
      <c r="CK210" s="4335" t="b">
        <f t="shared" si="349"/>
        <v>1</v>
      </c>
      <c r="CL210" s="4335" t="b">
        <f t="shared" si="349"/>
        <v>1</v>
      </c>
      <c r="CM210" s="4335" t="b">
        <f t="shared" si="349"/>
        <v>1</v>
      </c>
      <c r="CN210" s="4335" t="b">
        <f t="shared" si="349"/>
        <v>1</v>
      </c>
      <c r="CO210" s="4335" t="b">
        <f t="shared" si="349"/>
        <v>1</v>
      </c>
      <c r="CP210" s="4328"/>
      <c r="CQ210" s="4329"/>
      <c r="CR210" s="805" t="b">
        <f>ROUND(SUM(CR103:CR106),1)=ROUND(CR102,1)</f>
        <v>1</v>
      </c>
      <c r="CS210" s="4346" t="b">
        <f>ROUND(SUM(CS103:CS106),1)=ROUND(CS102,1)</f>
        <v>1</v>
      </c>
      <c r="CT210" s="808"/>
    </row>
    <row r="211" spans="1:98" x14ac:dyDescent="0.55000000000000004">
      <c r="A211" s="4347" t="s">
        <v>20</v>
      </c>
      <c r="B211" s="2771" t="s">
        <v>587</v>
      </c>
      <c r="F211" s="1255" t="b">
        <f t="shared" ref="F211:BB211" si="350">ROUND(F112-F113,1)=ROUND(F111,1)</f>
        <v>1</v>
      </c>
      <c r="G211" s="1255" t="b">
        <f t="shared" si="350"/>
        <v>1</v>
      </c>
      <c r="H211" s="1255" t="b">
        <f t="shared" si="350"/>
        <v>1</v>
      </c>
      <c r="I211" s="1255" t="b">
        <f t="shared" si="350"/>
        <v>1</v>
      </c>
      <c r="J211" s="1255" t="b">
        <f t="shared" si="350"/>
        <v>1</v>
      </c>
      <c r="K211" s="1255" t="b">
        <f t="shared" si="350"/>
        <v>1</v>
      </c>
      <c r="L211" s="1255" t="b">
        <f t="shared" si="350"/>
        <v>1</v>
      </c>
      <c r="M211" s="1255" t="b">
        <f t="shared" si="350"/>
        <v>1</v>
      </c>
      <c r="N211" s="1255" t="b">
        <f t="shared" si="350"/>
        <v>1</v>
      </c>
      <c r="O211" s="1255" t="b">
        <f t="shared" si="350"/>
        <v>1</v>
      </c>
      <c r="P211" s="1255" t="b">
        <f t="shared" si="350"/>
        <v>1</v>
      </c>
      <c r="Q211" s="1255" t="b">
        <f t="shared" si="350"/>
        <v>1</v>
      </c>
      <c r="R211" s="595" t="b">
        <f t="shared" si="350"/>
        <v>1</v>
      </c>
      <c r="S211" s="1255" t="b">
        <f t="shared" si="350"/>
        <v>1</v>
      </c>
      <c r="T211" s="1255" t="b">
        <f t="shared" si="350"/>
        <v>1</v>
      </c>
      <c r="U211" s="1255" t="b">
        <f t="shared" si="350"/>
        <v>1</v>
      </c>
      <c r="V211" s="1255" t="b">
        <f t="shared" si="350"/>
        <v>1</v>
      </c>
      <c r="W211" s="1255" t="b">
        <f t="shared" si="350"/>
        <v>1</v>
      </c>
      <c r="X211" s="1255" t="b">
        <f t="shared" si="350"/>
        <v>1</v>
      </c>
      <c r="Y211" s="1255" t="b">
        <f t="shared" si="350"/>
        <v>1</v>
      </c>
      <c r="Z211" s="1255" t="b">
        <f t="shared" si="350"/>
        <v>1</v>
      </c>
      <c r="AA211" s="1255" t="b">
        <f t="shared" si="350"/>
        <v>1</v>
      </c>
      <c r="AB211" s="1255" t="b">
        <f t="shared" si="350"/>
        <v>1</v>
      </c>
      <c r="AC211" s="1255" t="b">
        <f t="shared" si="350"/>
        <v>1</v>
      </c>
      <c r="AD211" s="1255" t="b">
        <f t="shared" si="350"/>
        <v>1</v>
      </c>
      <c r="AE211" s="1255" t="b">
        <f t="shared" si="350"/>
        <v>1</v>
      </c>
      <c r="AF211" s="1255" t="b">
        <f t="shared" si="350"/>
        <v>1</v>
      </c>
      <c r="AG211" s="1255" t="b">
        <f t="shared" si="350"/>
        <v>1</v>
      </c>
      <c r="AH211" s="1255" t="b">
        <f t="shared" si="350"/>
        <v>1</v>
      </c>
      <c r="AI211" s="1255" t="b">
        <f t="shared" si="350"/>
        <v>1</v>
      </c>
      <c r="AJ211" s="1255" t="b">
        <f t="shared" si="350"/>
        <v>1</v>
      </c>
      <c r="AK211" s="1255" t="b">
        <f t="shared" si="350"/>
        <v>1</v>
      </c>
      <c r="AL211" s="1255" t="b">
        <f t="shared" si="350"/>
        <v>1</v>
      </c>
      <c r="AM211" s="1255" t="b">
        <f t="shared" si="350"/>
        <v>1</v>
      </c>
      <c r="AN211" s="1255" t="b">
        <f t="shared" si="350"/>
        <v>1</v>
      </c>
      <c r="AO211" s="1255" t="b">
        <f t="shared" si="350"/>
        <v>1</v>
      </c>
      <c r="AP211" s="4348"/>
      <c r="AQ211" s="1255" t="b">
        <f t="shared" si="350"/>
        <v>1</v>
      </c>
      <c r="AR211" s="1255" t="b">
        <f t="shared" si="350"/>
        <v>1</v>
      </c>
      <c r="AS211" s="1255" t="b">
        <f>ROUND(AW112-AW113,1)=ROUND(AW111,1)</f>
        <v>1</v>
      </c>
      <c r="AT211" s="1255" t="b">
        <f t="shared" si="350"/>
        <v>1</v>
      </c>
      <c r="AU211" s="1255" t="b">
        <f t="shared" si="350"/>
        <v>1</v>
      </c>
      <c r="AV211" s="1255" t="b">
        <f t="shared" si="350"/>
        <v>1</v>
      </c>
      <c r="AW211" s="1255" t="b">
        <f t="shared" si="350"/>
        <v>1</v>
      </c>
      <c r="AX211" s="1255" t="b">
        <f t="shared" si="350"/>
        <v>1</v>
      </c>
      <c r="AY211" s="1255" t="b">
        <f t="shared" si="350"/>
        <v>1</v>
      </c>
      <c r="AZ211" s="1255" t="b">
        <f t="shared" si="350"/>
        <v>1</v>
      </c>
      <c r="BA211" s="1255" t="b">
        <f t="shared" si="350"/>
        <v>1</v>
      </c>
      <c r="BB211" s="1255" t="b">
        <f t="shared" si="350"/>
        <v>1</v>
      </c>
      <c r="BC211" s="4327" t="b">
        <f>ROUND(BC112-BC113,1)=ROUND(BC111,1)</f>
        <v>1</v>
      </c>
      <c r="BD211" s="4300" t="b">
        <f t="shared" ref="BD211:CS211" si="351">ROUND(BD112-BD113,1)=ROUND(BD111,1)</f>
        <v>1</v>
      </c>
      <c r="BE211" s="4300" t="b">
        <f t="shared" si="351"/>
        <v>1</v>
      </c>
      <c r="BF211" s="4300" t="b">
        <f t="shared" si="351"/>
        <v>1</v>
      </c>
      <c r="BG211" s="4300" t="b">
        <f t="shared" si="351"/>
        <v>1</v>
      </c>
      <c r="BH211" s="4300" t="b">
        <f t="shared" si="351"/>
        <v>1</v>
      </c>
      <c r="BI211" s="4300" t="b">
        <f t="shared" si="351"/>
        <v>1</v>
      </c>
      <c r="BJ211" s="4300" t="b">
        <f t="shared" si="351"/>
        <v>1</v>
      </c>
      <c r="BK211" s="4300" t="b">
        <f t="shared" si="351"/>
        <v>1</v>
      </c>
      <c r="BL211" s="4300" t="b">
        <f t="shared" si="351"/>
        <v>1</v>
      </c>
      <c r="BM211" s="4300" t="b">
        <f t="shared" si="351"/>
        <v>1</v>
      </c>
      <c r="BN211" s="4300" t="b">
        <f t="shared" si="351"/>
        <v>1</v>
      </c>
      <c r="BO211" s="4300" t="b">
        <f t="shared" si="351"/>
        <v>1</v>
      </c>
      <c r="BP211" s="4300" t="b">
        <f t="shared" si="351"/>
        <v>1</v>
      </c>
      <c r="BQ211" s="4300" t="b">
        <f t="shared" ref="BQ211:CB211" si="352">ROUND(BQ112-BQ113,1)=ROUND(BQ111,1)</f>
        <v>1</v>
      </c>
      <c r="BR211" s="4301" t="b">
        <f t="shared" si="352"/>
        <v>1</v>
      </c>
      <c r="BS211" s="4300" t="b">
        <f t="shared" si="352"/>
        <v>1</v>
      </c>
      <c r="BT211" s="4300" t="b">
        <f t="shared" si="352"/>
        <v>1</v>
      </c>
      <c r="BU211" s="4300" t="b">
        <f t="shared" si="352"/>
        <v>1</v>
      </c>
      <c r="BV211" s="4300" t="b">
        <f t="shared" si="352"/>
        <v>1</v>
      </c>
      <c r="BW211" s="4300" t="b">
        <f t="shared" si="352"/>
        <v>1</v>
      </c>
      <c r="BX211" s="4300" t="b">
        <f t="shared" si="352"/>
        <v>1</v>
      </c>
      <c r="BY211" s="4300" t="b">
        <f t="shared" si="352"/>
        <v>1</v>
      </c>
      <c r="BZ211" s="4300" t="b">
        <f t="shared" si="352"/>
        <v>1</v>
      </c>
      <c r="CA211" s="4300" t="b">
        <f t="shared" si="352"/>
        <v>1</v>
      </c>
      <c r="CB211" s="4300" t="b">
        <f t="shared" si="352"/>
        <v>1</v>
      </c>
      <c r="CC211" s="4300"/>
      <c r="CD211" s="4300" t="b">
        <f t="shared" ref="CD211:CO211" si="353">ROUND(CD112-CD113,1)=ROUND(CD111,1)</f>
        <v>1</v>
      </c>
      <c r="CE211" s="4301" t="b">
        <f t="shared" si="353"/>
        <v>1</v>
      </c>
      <c r="CF211" s="4300" t="b">
        <f t="shared" si="353"/>
        <v>1</v>
      </c>
      <c r="CG211" s="4300" t="b">
        <f t="shared" si="353"/>
        <v>1</v>
      </c>
      <c r="CH211" s="4300" t="b">
        <f t="shared" si="353"/>
        <v>1</v>
      </c>
      <c r="CI211" s="4300" t="b">
        <f t="shared" si="353"/>
        <v>1</v>
      </c>
      <c r="CJ211" s="4300" t="b">
        <f t="shared" si="353"/>
        <v>1</v>
      </c>
      <c r="CK211" s="4300" t="b">
        <f t="shared" si="353"/>
        <v>1</v>
      </c>
      <c r="CL211" s="4300" t="b">
        <f t="shared" si="353"/>
        <v>1</v>
      </c>
      <c r="CM211" s="4300" t="b">
        <f t="shared" si="353"/>
        <v>1</v>
      </c>
      <c r="CN211" s="4300" t="b">
        <f t="shared" si="353"/>
        <v>1</v>
      </c>
      <c r="CO211" s="4300" t="b">
        <f t="shared" si="353"/>
        <v>1</v>
      </c>
      <c r="CP211" s="4328"/>
      <c r="CQ211" s="4329"/>
      <c r="CR211" s="597" t="b">
        <f t="shared" si="351"/>
        <v>1</v>
      </c>
      <c r="CS211" s="4273" t="b">
        <f t="shared" si="351"/>
        <v>1</v>
      </c>
      <c r="CT211" s="607"/>
    </row>
    <row r="212" spans="1:98" x14ac:dyDescent="0.55000000000000004">
      <c r="A212" s="3453"/>
      <c r="B212" s="4221" t="s">
        <v>596</v>
      </c>
      <c r="C212" s="4158"/>
      <c r="D212" s="4158"/>
      <c r="E212" s="4158"/>
      <c r="F212" s="4349" t="b">
        <f>ROUND(F115-F118,1)=ROUND(F114,1)</f>
        <v>1</v>
      </c>
      <c r="G212" s="4158" t="b">
        <f t="shared" ref="G212:CS212" si="354">ROUND(G115-G118,1)=ROUND(G114,1)</f>
        <v>1</v>
      </c>
      <c r="H212" s="4158" t="b">
        <f t="shared" si="354"/>
        <v>1</v>
      </c>
      <c r="I212" s="4158" t="b">
        <f t="shared" si="354"/>
        <v>1</v>
      </c>
      <c r="J212" s="4158" t="b">
        <f t="shared" si="354"/>
        <v>1</v>
      </c>
      <c r="K212" s="4158" t="b">
        <f t="shared" si="354"/>
        <v>1</v>
      </c>
      <c r="L212" s="4158" t="b">
        <f t="shared" si="354"/>
        <v>1</v>
      </c>
      <c r="M212" s="4158" t="b">
        <f t="shared" si="354"/>
        <v>1</v>
      </c>
      <c r="N212" s="4158" t="b">
        <f t="shared" si="354"/>
        <v>1</v>
      </c>
      <c r="O212" s="4158" t="b">
        <f t="shared" si="354"/>
        <v>1</v>
      </c>
      <c r="P212" s="4158" t="b">
        <f t="shared" si="354"/>
        <v>1</v>
      </c>
      <c r="Q212" s="4341" t="b">
        <f t="shared" si="354"/>
        <v>1</v>
      </c>
      <c r="R212" s="4158" t="b">
        <f t="shared" si="354"/>
        <v>1</v>
      </c>
      <c r="S212" s="4158" t="b">
        <f t="shared" si="354"/>
        <v>1</v>
      </c>
      <c r="T212" s="4158" t="b">
        <f t="shared" si="354"/>
        <v>1</v>
      </c>
      <c r="U212" s="4158" t="b">
        <f t="shared" si="354"/>
        <v>1</v>
      </c>
      <c r="V212" s="4158" t="b">
        <f t="shared" si="354"/>
        <v>1</v>
      </c>
      <c r="W212" s="4158" t="b">
        <f t="shared" si="354"/>
        <v>1</v>
      </c>
      <c r="X212" s="4158" t="b">
        <f t="shared" si="354"/>
        <v>1</v>
      </c>
      <c r="Y212" s="4158" t="b">
        <f t="shared" si="354"/>
        <v>1</v>
      </c>
      <c r="Z212" s="4158" t="b">
        <f t="shared" si="354"/>
        <v>1</v>
      </c>
      <c r="AA212" s="4158" t="b">
        <f t="shared" si="354"/>
        <v>1</v>
      </c>
      <c r="AB212" s="4158" t="b">
        <f t="shared" si="354"/>
        <v>1</v>
      </c>
      <c r="AC212" s="4158" t="b">
        <f t="shared" si="354"/>
        <v>1</v>
      </c>
      <c r="AD212" s="4158" t="b">
        <f t="shared" si="354"/>
        <v>1</v>
      </c>
      <c r="AE212" s="4158" t="b">
        <f t="shared" si="354"/>
        <v>1</v>
      </c>
      <c r="AF212" s="4158" t="b">
        <f t="shared" si="354"/>
        <v>1</v>
      </c>
      <c r="AG212" s="4158" t="b">
        <f t="shared" si="354"/>
        <v>1</v>
      </c>
      <c r="AH212" s="4158" t="b">
        <f t="shared" si="354"/>
        <v>1</v>
      </c>
      <c r="AI212" s="4158" t="b">
        <f t="shared" si="354"/>
        <v>1</v>
      </c>
      <c r="AJ212" s="4158" t="b">
        <f t="shared" si="354"/>
        <v>1</v>
      </c>
      <c r="AK212" s="4158" t="b">
        <f t="shared" si="354"/>
        <v>1</v>
      </c>
      <c r="AL212" s="4158" t="b">
        <f t="shared" si="354"/>
        <v>1</v>
      </c>
      <c r="AM212" s="4158" t="b">
        <f t="shared" si="354"/>
        <v>1</v>
      </c>
      <c r="AN212" s="4158" t="b">
        <f t="shared" si="354"/>
        <v>1</v>
      </c>
      <c r="AO212" s="3876" t="b">
        <f t="shared" si="354"/>
        <v>1</v>
      </c>
      <c r="AP212" s="3876"/>
      <c r="AQ212" s="4342" t="b">
        <f t="shared" si="354"/>
        <v>1</v>
      </c>
      <c r="AR212" s="4342" t="b">
        <f t="shared" si="354"/>
        <v>1</v>
      </c>
      <c r="AS212" s="4342" t="b">
        <f>ROUND(AW115-AW118,1)=ROUND(AW114,1)</f>
        <v>1</v>
      </c>
      <c r="AT212" s="4342" t="b">
        <f t="shared" si="354"/>
        <v>1</v>
      </c>
      <c r="AU212" s="4342" t="b">
        <f t="shared" si="354"/>
        <v>1</v>
      </c>
      <c r="AV212" s="4342" t="b">
        <f t="shared" si="354"/>
        <v>1</v>
      </c>
      <c r="AW212" s="4342" t="b">
        <f t="shared" si="354"/>
        <v>1</v>
      </c>
      <c r="AX212" s="4342" t="b">
        <f t="shared" si="354"/>
        <v>1</v>
      </c>
      <c r="AY212" s="4342" t="b">
        <f t="shared" si="354"/>
        <v>1</v>
      </c>
      <c r="AZ212" s="4342" t="b">
        <f t="shared" si="354"/>
        <v>1</v>
      </c>
      <c r="BA212" s="4342" t="b">
        <f t="shared" si="354"/>
        <v>1</v>
      </c>
      <c r="BB212" s="4342" t="b">
        <f t="shared" si="354"/>
        <v>1</v>
      </c>
      <c r="BC212" s="4343" t="b">
        <f t="shared" si="354"/>
        <v>1</v>
      </c>
      <c r="BD212" s="4344" t="b">
        <f t="shared" si="354"/>
        <v>1</v>
      </c>
      <c r="BE212" s="4344" t="b">
        <f t="shared" si="354"/>
        <v>1</v>
      </c>
      <c r="BF212" s="4344" t="b">
        <f t="shared" si="354"/>
        <v>1</v>
      </c>
      <c r="BG212" s="4344" t="b">
        <f t="shared" si="354"/>
        <v>1</v>
      </c>
      <c r="BH212" s="4344" t="b">
        <f t="shared" si="354"/>
        <v>1</v>
      </c>
      <c r="BI212" s="4344" t="b">
        <f t="shared" si="354"/>
        <v>1</v>
      </c>
      <c r="BJ212" s="4344" t="b">
        <f t="shared" si="354"/>
        <v>1</v>
      </c>
      <c r="BK212" s="4344" t="b">
        <f t="shared" si="354"/>
        <v>1</v>
      </c>
      <c r="BL212" s="4344" t="b">
        <f t="shared" si="354"/>
        <v>1</v>
      </c>
      <c r="BM212" s="4344" t="b">
        <f t="shared" si="354"/>
        <v>1</v>
      </c>
      <c r="BN212" s="4344" t="b">
        <f t="shared" si="354"/>
        <v>1</v>
      </c>
      <c r="BO212" s="4344" t="b">
        <f t="shared" si="354"/>
        <v>1</v>
      </c>
      <c r="BP212" s="4344" t="b">
        <f t="shared" si="354"/>
        <v>1</v>
      </c>
      <c r="BQ212" s="4344" t="b">
        <f t="shared" ref="BQ212:CB212" si="355">ROUND(BQ115-BQ118,1)=ROUND(BQ114,1)</f>
        <v>1</v>
      </c>
      <c r="BR212" s="4345" t="b">
        <f t="shared" si="355"/>
        <v>1</v>
      </c>
      <c r="BS212" s="4344" t="b">
        <f t="shared" si="355"/>
        <v>1</v>
      </c>
      <c r="BT212" s="4344" t="b">
        <f t="shared" si="355"/>
        <v>1</v>
      </c>
      <c r="BU212" s="4344" t="b">
        <f t="shared" si="355"/>
        <v>1</v>
      </c>
      <c r="BV212" s="4344" t="b">
        <f t="shared" si="355"/>
        <v>1</v>
      </c>
      <c r="BW212" s="4344" t="b">
        <f t="shared" si="355"/>
        <v>1</v>
      </c>
      <c r="BX212" s="4344" t="b">
        <f t="shared" si="355"/>
        <v>1</v>
      </c>
      <c r="BY212" s="4344" t="b">
        <f t="shared" si="355"/>
        <v>1</v>
      </c>
      <c r="BZ212" s="4344" t="b">
        <f t="shared" si="355"/>
        <v>1</v>
      </c>
      <c r="CA212" s="4344" t="b">
        <f t="shared" si="355"/>
        <v>1</v>
      </c>
      <c r="CB212" s="4344" t="b">
        <f t="shared" si="355"/>
        <v>1</v>
      </c>
      <c r="CC212" s="4344"/>
      <c r="CD212" s="4344" t="b">
        <f t="shared" ref="CD212:CO212" si="356">ROUND(CD115-CD118,1)=ROUND(CD114,1)</f>
        <v>1</v>
      </c>
      <c r="CE212" s="4345" t="b">
        <f t="shared" si="356"/>
        <v>1</v>
      </c>
      <c r="CF212" s="4344" t="b">
        <f t="shared" si="356"/>
        <v>1</v>
      </c>
      <c r="CG212" s="4344" t="b">
        <f t="shared" si="356"/>
        <v>1</v>
      </c>
      <c r="CH212" s="4344" t="b">
        <f t="shared" si="356"/>
        <v>1</v>
      </c>
      <c r="CI212" s="4344" t="b">
        <f t="shared" si="356"/>
        <v>1</v>
      </c>
      <c r="CJ212" s="4344" t="b">
        <f t="shared" si="356"/>
        <v>1</v>
      </c>
      <c r="CK212" s="4344" t="b">
        <f t="shared" si="356"/>
        <v>1</v>
      </c>
      <c r="CL212" s="4344" t="b">
        <f t="shared" si="356"/>
        <v>1</v>
      </c>
      <c r="CM212" s="4344" t="b">
        <f t="shared" si="356"/>
        <v>1</v>
      </c>
      <c r="CN212" s="4344" t="b">
        <f t="shared" si="356"/>
        <v>1</v>
      </c>
      <c r="CO212" s="4344" t="b">
        <f t="shared" si="356"/>
        <v>1</v>
      </c>
      <c r="CP212" s="4328"/>
      <c r="CQ212" s="4329"/>
      <c r="CR212" s="805" t="b">
        <f t="shared" si="354"/>
        <v>1</v>
      </c>
      <c r="CS212" s="4346" t="b">
        <f t="shared" si="354"/>
        <v>1</v>
      </c>
      <c r="CT212" s="808"/>
    </row>
    <row r="213" spans="1:98" x14ac:dyDescent="0.55000000000000004">
      <c r="A213" s="3453"/>
      <c r="B213" s="4158"/>
      <c r="C213" s="1028" t="s">
        <v>35</v>
      </c>
      <c r="D213" s="1028"/>
      <c r="E213" s="1028"/>
      <c r="F213" s="4350" t="b">
        <f t="shared" ref="F213:BJ213" si="357">ROUND(F118,1)=ROUND(SUM(F119:F124),1)</f>
        <v>1</v>
      </c>
      <c r="G213" s="1028" t="b">
        <f t="shared" si="357"/>
        <v>1</v>
      </c>
      <c r="H213" s="1028" t="b">
        <f t="shared" si="357"/>
        <v>1</v>
      </c>
      <c r="I213" s="1028" t="b">
        <f t="shared" si="357"/>
        <v>1</v>
      </c>
      <c r="J213" s="1028" t="b">
        <f t="shared" si="357"/>
        <v>1</v>
      </c>
      <c r="K213" s="1028" t="b">
        <f t="shared" si="357"/>
        <v>1</v>
      </c>
      <c r="L213" s="1028" t="b">
        <f t="shared" si="357"/>
        <v>1</v>
      </c>
      <c r="M213" s="1028" t="b">
        <f t="shared" si="357"/>
        <v>1</v>
      </c>
      <c r="N213" s="1028" t="b">
        <f t="shared" si="357"/>
        <v>1</v>
      </c>
      <c r="O213" s="1028" t="b">
        <f t="shared" si="357"/>
        <v>1</v>
      </c>
      <c r="P213" s="1028" t="b">
        <f t="shared" si="357"/>
        <v>1</v>
      </c>
      <c r="Q213" s="4338" t="b">
        <f t="shared" si="357"/>
        <v>1</v>
      </c>
      <c r="R213" s="1028" t="b">
        <f t="shared" si="357"/>
        <v>1</v>
      </c>
      <c r="S213" s="1028" t="b">
        <f t="shared" si="357"/>
        <v>1</v>
      </c>
      <c r="T213" s="1028" t="b">
        <f t="shared" si="357"/>
        <v>1</v>
      </c>
      <c r="U213" s="1028" t="b">
        <f t="shared" si="357"/>
        <v>1</v>
      </c>
      <c r="V213" s="1028" t="b">
        <f t="shared" si="357"/>
        <v>1</v>
      </c>
      <c r="W213" s="1028" t="b">
        <f t="shared" si="357"/>
        <v>1</v>
      </c>
      <c r="X213" s="1028" t="b">
        <f t="shared" si="357"/>
        <v>1</v>
      </c>
      <c r="Y213" s="1028" t="b">
        <f t="shared" si="357"/>
        <v>1</v>
      </c>
      <c r="Z213" s="1028" t="b">
        <f t="shared" si="357"/>
        <v>1</v>
      </c>
      <c r="AA213" s="1028" t="b">
        <f t="shared" si="357"/>
        <v>1</v>
      </c>
      <c r="AB213" s="1028" t="b">
        <f t="shared" si="357"/>
        <v>1</v>
      </c>
      <c r="AC213" s="1028" t="b">
        <f t="shared" si="357"/>
        <v>1</v>
      </c>
      <c r="AD213" s="1028" t="b">
        <f t="shared" si="357"/>
        <v>1</v>
      </c>
      <c r="AE213" s="1028" t="b">
        <f t="shared" si="357"/>
        <v>1</v>
      </c>
      <c r="AF213" s="1028" t="b">
        <f t="shared" si="357"/>
        <v>1</v>
      </c>
      <c r="AG213" s="1028" t="b">
        <f t="shared" si="357"/>
        <v>1</v>
      </c>
      <c r="AH213" s="1028" t="b">
        <f t="shared" si="357"/>
        <v>1</v>
      </c>
      <c r="AI213" s="1028" t="b">
        <f t="shared" si="357"/>
        <v>1</v>
      </c>
      <c r="AJ213" s="1028" t="b">
        <f t="shared" si="357"/>
        <v>1</v>
      </c>
      <c r="AK213" s="1028" t="b">
        <f t="shared" si="357"/>
        <v>1</v>
      </c>
      <c r="AL213" s="1028" t="b">
        <f t="shared" si="357"/>
        <v>1</v>
      </c>
      <c r="AM213" s="1028" t="b">
        <f t="shared" si="357"/>
        <v>1</v>
      </c>
      <c r="AN213" s="1028" t="b">
        <f t="shared" si="357"/>
        <v>1</v>
      </c>
      <c r="AO213" s="4142" t="b">
        <f t="shared" si="357"/>
        <v>1</v>
      </c>
      <c r="AP213" s="4142"/>
      <c r="AQ213" s="4291" t="b">
        <f t="shared" si="357"/>
        <v>1</v>
      </c>
      <c r="AR213" s="4291" t="b">
        <f t="shared" si="357"/>
        <v>1</v>
      </c>
      <c r="AS213" s="4291" t="b">
        <f>ROUND(AW118,1)=ROUND(SUM(AW119:AW124),1)</f>
        <v>1</v>
      </c>
      <c r="AT213" s="4291" t="b">
        <f t="shared" si="357"/>
        <v>1</v>
      </c>
      <c r="AU213" s="4291" t="b">
        <f t="shared" si="357"/>
        <v>1</v>
      </c>
      <c r="AV213" s="4291" t="b">
        <f t="shared" si="357"/>
        <v>1</v>
      </c>
      <c r="AW213" s="4291" t="b">
        <f t="shared" si="357"/>
        <v>1</v>
      </c>
      <c r="AX213" s="4291" t="b">
        <f t="shared" si="357"/>
        <v>1</v>
      </c>
      <c r="AY213" s="4291" t="b">
        <f t="shared" si="357"/>
        <v>1</v>
      </c>
      <c r="AZ213" s="4291" t="b">
        <f t="shared" si="357"/>
        <v>1</v>
      </c>
      <c r="BA213" s="4291" t="b">
        <f t="shared" si="357"/>
        <v>1</v>
      </c>
      <c r="BB213" s="4291" t="b">
        <f t="shared" si="357"/>
        <v>1</v>
      </c>
      <c r="BC213" s="4339" t="b">
        <f t="shared" si="357"/>
        <v>1</v>
      </c>
      <c r="BD213" s="4293" t="b">
        <f t="shared" si="357"/>
        <v>1</v>
      </c>
      <c r="BE213" s="4293" t="b">
        <f t="shared" si="357"/>
        <v>1</v>
      </c>
      <c r="BF213" s="4293" t="b">
        <f t="shared" si="357"/>
        <v>1</v>
      </c>
      <c r="BG213" s="4293" t="b">
        <f t="shared" si="357"/>
        <v>1</v>
      </c>
      <c r="BH213" s="4293" t="b">
        <f t="shared" si="357"/>
        <v>1</v>
      </c>
      <c r="BI213" s="4293" t="b">
        <f t="shared" si="357"/>
        <v>1</v>
      </c>
      <c r="BJ213" s="4293" t="b">
        <f t="shared" si="357"/>
        <v>1</v>
      </c>
      <c r="BK213" s="4293" t="b">
        <f>BK118=SUM(BK119:BK124)</f>
        <v>1</v>
      </c>
      <c r="BL213" s="4293" t="b">
        <f>BL118=SUM(BL119:BL124)</f>
        <v>1</v>
      </c>
      <c r="BM213" s="4293" t="b">
        <f>BM118=SUM(BM119:BM124)</f>
        <v>1</v>
      </c>
      <c r="BN213" s="4293" t="b">
        <f>BN118=SUM(BN119:BN124)</f>
        <v>1</v>
      </c>
      <c r="BO213" s="4293" t="b">
        <f>BO118=SUM(BO119:BO124)</f>
        <v>1</v>
      </c>
      <c r="BP213" s="4293" t="b">
        <f t="shared" ref="BP213" si="358">ROUND(BP118,1)=ROUND(SUM(BP119:BP124),1)</f>
        <v>1</v>
      </c>
      <c r="BQ213" s="4293" t="b">
        <f t="shared" ref="BQ213:BW213" si="359">ROUND(BQ118,1)=ROUND(SUM(BQ119:BQ124),1)</f>
        <v>1</v>
      </c>
      <c r="BR213" s="4294" t="b">
        <f t="shared" si="359"/>
        <v>1</v>
      </c>
      <c r="BS213" s="4293" t="b">
        <f t="shared" si="359"/>
        <v>1</v>
      </c>
      <c r="BT213" s="4293" t="b">
        <f t="shared" si="359"/>
        <v>1</v>
      </c>
      <c r="BU213" s="4293" t="b">
        <f t="shared" si="359"/>
        <v>1</v>
      </c>
      <c r="BV213" s="4293" t="b">
        <f t="shared" si="359"/>
        <v>1</v>
      </c>
      <c r="BW213" s="4293" t="b">
        <f t="shared" si="359"/>
        <v>1</v>
      </c>
      <c r="BX213" s="4293" t="b">
        <f>BX118=SUM(BX119:BX124)</f>
        <v>1</v>
      </c>
      <c r="BY213" s="4293" t="b">
        <f>BY118=SUM(BY119:BY124)</f>
        <v>1</v>
      </c>
      <c r="BZ213" s="4293" t="b">
        <f>BZ118=SUM(BZ119:BZ124)</f>
        <v>1</v>
      </c>
      <c r="CA213" s="4293" t="b">
        <f>CA118=SUM(CA119:CA124)</f>
        <v>1</v>
      </c>
      <c r="CB213" s="4293" t="b">
        <f>CB118=SUM(CB119:CB124)</f>
        <v>1</v>
      </c>
      <c r="CC213" s="4293"/>
      <c r="CD213" s="4293" t="b">
        <f t="shared" ref="CD213:CJ213" si="360">ROUND(CD118,1)=ROUND(SUM(CD119:CD124),1)</f>
        <v>1</v>
      </c>
      <c r="CE213" s="4294" t="b">
        <f t="shared" si="360"/>
        <v>1</v>
      </c>
      <c r="CF213" s="4293" t="b">
        <f t="shared" si="360"/>
        <v>1</v>
      </c>
      <c r="CG213" s="4293" t="b">
        <f t="shared" si="360"/>
        <v>1</v>
      </c>
      <c r="CH213" s="4293" t="b">
        <f t="shared" si="360"/>
        <v>1</v>
      </c>
      <c r="CI213" s="4293" t="b">
        <f t="shared" si="360"/>
        <v>1</v>
      </c>
      <c r="CJ213" s="4293" t="b">
        <f t="shared" si="360"/>
        <v>1</v>
      </c>
      <c r="CK213" s="4293" t="b">
        <f>CK118=SUM(CK119:CK124)</f>
        <v>1</v>
      </c>
      <c r="CL213" s="4293" t="b">
        <f>CL118=SUM(CL119:CL124)</f>
        <v>1</v>
      </c>
      <c r="CM213" s="4293" t="b">
        <f>CM118=SUM(CM119:CM124)</f>
        <v>1</v>
      </c>
      <c r="CN213" s="4293" t="b">
        <f>CN118=SUM(CN119:CN124)</f>
        <v>1</v>
      </c>
      <c r="CO213" s="4293" t="b">
        <f>CO118=SUM(CO119:CO124)</f>
        <v>1</v>
      </c>
      <c r="CP213" s="4328"/>
      <c r="CQ213" s="4329"/>
      <c r="CR213" s="791" t="b">
        <f>ROUND(CR118,1)=ROUND(SUM(CR119:CR124),1)</f>
        <v>1</v>
      </c>
      <c r="CS213" s="4296" t="b">
        <f>ROUND(CS118,1)=ROUND(SUM(CS119:CS124),1)</f>
        <v>1</v>
      </c>
      <c r="CT213" s="795"/>
    </row>
    <row r="214" spans="1:98" x14ac:dyDescent="0.55000000000000004">
      <c r="A214" s="3453"/>
      <c r="B214" s="4158"/>
      <c r="C214" s="4158" t="s">
        <v>37</v>
      </c>
      <c r="D214" s="4158"/>
      <c r="E214" s="4158"/>
      <c r="F214" s="4349" t="b">
        <f t="shared" ref="F214:BJ214" si="361">ROUND(F118,1)=ROUND(SUM(F119:F124),1)</f>
        <v>1</v>
      </c>
      <c r="G214" s="4158" t="b">
        <f t="shared" si="361"/>
        <v>1</v>
      </c>
      <c r="H214" s="4158" t="b">
        <f t="shared" si="361"/>
        <v>1</v>
      </c>
      <c r="I214" s="4158" t="b">
        <f t="shared" si="361"/>
        <v>1</v>
      </c>
      <c r="J214" s="4158" t="b">
        <f t="shared" si="361"/>
        <v>1</v>
      </c>
      <c r="K214" s="4158" t="b">
        <f t="shared" si="361"/>
        <v>1</v>
      </c>
      <c r="L214" s="4158" t="b">
        <f t="shared" si="361"/>
        <v>1</v>
      </c>
      <c r="M214" s="4158" t="b">
        <f t="shared" si="361"/>
        <v>1</v>
      </c>
      <c r="N214" s="4158" t="b">
        <f t="shared" si="361"/>
        <v>1</v>
      </c>
      <c r="O214" s="4158" t="b">
        <f t="shared" si="361"/>
        <v>1</v>
      </c>
      <c r="P214" s="4158" t="b">
        <f t="shared" si="361"/>
        <v>1</v>
      </c>
      <c r="Q214" s="4341" t="b">
        <f t="shared" si="361"/>
        <v>1</v>
      </c>
      <c r="R214" s="4158" t="b">
        <f t="shared" si="361"/>
        <v>1</v>
      </c>
      <c r="S214" s="4158" t="b">
        <f t="shared" si="361"/>
        <v>1</v>
      </c>
      <c r="T214" s="4158" t="b">
        <f t="shared" si="361"/>
        <v>1</v>
      </c>
      <c r="U214" s="4158" t="b">
        <f t="shared" si="361"/>
        <v>1</v>
      </c>
      <c r="V214" s="4158" t="b">
        <f t="shared" si="361"/>
        <v>1</v>
      </c>
      <c r="W214" s="4158" t="b">
        <f t="shared" si="361"/>
        <v>1</v>
      </c>
      <c r="X214" s="4158" t="b">
        <f t="shared" si="361"/>
        <v>1</v>
      </c>
      <c r="Y214" s="4158" t="b">
        <f t="shared" si="361"/>
        <v>1</v>
      </c>
      <c r="Z214" s="4158" t="b">
        <f t="shared" si="361"/>
        <v>1</v>
      </c>
      <c r="AA214" s="4158" t="b">
        <f t="shared" si="361"/>
        <v>1</v>
      </c>
      <c r="AB214" s="4158" t="b">
        <f t="shared" si="361"/>
        <v>1</v>
      </c>
      <c r="AC214" s="4158" t="b">
        <f t="shared" si="361"/>
        <v>1</v>
      </c>
      <c r="AD214" s="4158" t="b">
        <f t="shared" si="361"/>
        <v>1</v>
      </c>
      <c r="AE214" s="4158" t="b">
        <f t="shared" si="361"/>
        <v>1</v>
      </c>
      <c r="AF214" s="4158" t="b">
        <f t="shared" si="361"/>
        <v>1</v>
      </c>
      <c r="AG214" s="4158" t="b">
        <f t="shared" si="361"/>
        <v>1</v>
      </c>
      <c r="AH214" s="4158" t="b">
        <f t="shared" si="361"/>
        <v>1</v>
      </c>
      <c r="AI214" s="4158" t="b">
        <f t="shared" si="361"/>
        <v>1</v>
      </c>
      <c r="AJ214" s="4158" t="b">
        <f t="shared" si="361"/>
        <v>1</v>
      </c>
      <c r="AK214" s="4158" t="b">
        <f t="shared" si="361"/>
        <v>1</v>
      </c>
      <c r="AL214" s="4158" t="b">
        <f t="shared" si="361"/>
        <v>1</v>
      </c>
      <c r="AM214" s="4158" t="b">
        <f t="shared" si="361"/>
        <v>1</v>
      </c>
      <c r="AN214" s="4158" t="b">
        <f t="shared" si="361"/>
        <v>1</v>
      </c>
      <c r="AO214" s="3876" t="b">
        <f t="shared" si="361"/>
        <v>1</v>
      </c>
      <c r="AP214" s="3876"/>
      <c r="AQ214" s="4342" t="b">
        <f t="shared" si="361"/>
        <v>1</v>
      </c>
      <c r="AR214" s="4342" t="b">
        <f t="shared" si="361"/>
        <v>1</v>
      </c>
      <c r="AS214" s="4342" t="b">
        <f>ROUND(AW118,1)=ROUND(SUM(AW119:AW124),1)</f>
        <v>1</v>
      </c>
      <c r="AT214" s="4342" t="b">
        <f t="shared" si="361"/>
        <v>1</v>
      </c>
      <c r="AU214" s="4342" t="b">
        <f t="shared" si="361"/>
        <v>1</v>
      </c>
      <c r="AV214" s="4342" t="b">
        <f t="shared" si="361"/>
        <v>1</v>
      </c>
      <c r="AW214" s="4342" t="b">
        <f t="shared" si="361"/>
        <v>1</v>
      </c>
      <c r="AX214" s="4342" t="b">
        <f t="shared" si="361"/>
        <v>1</v>
      </c>
      <c r="AY214" s="4342" t="b">
        <f t="shared" si="361"/>
        <v>1</v>
      </c>
      <c r="AZ214" s="4342" t="b">
        <f t="shared" si="361"/>
        <v>1</v>
      </c>
      <c r="BA214" s="4342" t="b">
        <f t="shared" si="361"/>
        <v>1</v>
      </c>
      <c r="BB214" s="4342" t="b">
        <f t="shared" si="361"/>
        <v>1</v>
      </c>
      <c r="BC214" s="4343" t="b">
        <f t="shared" si="361"/>
        <v>1</v>
      </c>
      <c r="BD214" s="4344" t="b">
        <f t="shared" si="361"/>
        <v>1</v>
      </c>
      <c r="BE214" s="4344" t="b">
        <f t="shared" si="361"/>
        <v>1</v>
      </c>
      <c r="BF214" s="4344" t="b">
        <f t="shared" si="361"/>
        <v>1</v>
      </c>
      <c r="BG214" s="4344" t="b">
        <f t="shared" si="361"/>
        <v>1</v>
      </c>
      <c r="BH214" s="4344" t="b">
        <f t="shared" si="361"/>
        <v>1</v>
      </c>
      <c r="BI214" s="4344" t="b">
        <f t="shared" si="361"/>
        <v>1</v>
      </c>
      <c r="BJ214" s="4344" t="b">
        <f t="shared" si="361"/>
        <v>1</v>
      </c>
      <c r="BK214" s="4344" t="b">
        <f>BK118=SUM(BK119:BK124)</f>
        <v>1</v>
      </c>
      <c r="BL214" s="4344" t="b">
        <f>BL118=SUM(BL119:BL124)</f>
        <v>1</v>
      </c>
      <c r="BM214" s="4344" t="b">
        <f>BM118=SUM(BM119:BM124)</f>
        <v>1</v>
      </c>
      <c r="BN214" s="4344" t="b">
        <f>BN118=SUM(BN119:BN124)</f>
        <v>1</v>
      </c>
      <c r="BO214" s="4344" t="b">
        <f>BO118=SUM(BO119:BO124)</f>
        <v>1</v>
      </c>
      <c r="BP214" s="4344" t="b">
        <f t="shared" ref="BP214" si="362">ROUND(BP118,1)=ROUND(SUM(BP119:BP124),1)</f>
        <v>1</v>
      </c>
      <c r="BQ214" s="4344" t="b">
        <f t="shared" ref="BQ214:BW214" si="363">ROUND(BQ118,1)=ROUND(SUM(BQ119:BQ124),1)</f>
        <v>1</v>
      </c>
      <c r="BR214" s="4345" t="b">
        <f t="shared" si="363"/>
        <v>1</v>
      </c>
      <c r="BS214" s="4344" t="b">
        <f t="shared" si="363"/>
        <v>1</v>
      </c>
      <c r="BT214" s="4344" t="b">
        <f t="shared" si="363"/>
        <v>1</v>
      </c>
      <c r="BU214" s="4344" t="b">
        <f t="shared" si="363"/>
        <v>1</v>
      </c>
      <c r="BV214" s="4344" t="b">
        <f t="shared" si="363"/>
        <v>1</v>
      </c>
      <c r="BW214" s="4344" t="b">
        <f t="shared" si="363"/>
        <v>1</v>
      </c>
      <c r="BX214" s="4344" t="b">
        <f>BX118=SUM(BX119:BX124)</f>
        <v>1</v>
      </c>
      <c r="BY214" s="4344" t="b">
        <f>BY118=SUM(BY119:BY124)</f>
        <v>1</v>
      </c>
      <c r="BZ214" s="4344" t="b">
        <f>BZ118=SUM(BZ119:BZ124)</f>
        <v>1</v>
      </c>
      <c r="CA214" s="4344" t="b">
        <f>CA118=SUM(CA119:CA124)</f>
        <v>1</v>
      </c>
      <c r="CB214" s="4344" t="b">
        <f>CB118=SUM(CB119:CB124)</f>
        <v>1</v>
      </c>
      <c r="CC214" s="4344"/>
      <c r="CD214" s="4344" t="b">
        <f t="shared" ref="CD214:CJ214" si="364">ROUND(CD118,1)=ROUND(SUM(CD119:CD124),1)</f>
        <v>1</v>
      </c>
      <c r="CE214" s="4345" t="b">
        <f t="shared" si="364"/>
        <v>1</v>
      </c>
      <c r="CF214" s="4344" t="b">
        <f t="shared" si="364"/>
        <v>1</v>
      </c>
      <c r="CG214" s="4344" t="b">
        <f t="shared" si="364"/>
        <v>1</v>
      </c>
      <c r="CH214" s="4344" t="b">
        <f t="shared" si="364"/>
        <v>1</v>
      </c>
      <c r="CI214" s="4344" t="b">
        <f t="shared" si="364"/>
        <v>1</v>
      </c>
      <c r="CJ214" s="4344" t="b">
        <f t="shared" si="364"/>
        <v>1</v>
      </c>
      <c r="CK214" s="4344" t="b">
        <f>CK118=SUM(CK119:CK124)</f>
        <v>1</v>
      </c>
      <c r="CL214" s="4344" t="b">
        <f>CL118=SUM(CL119:CL124)</f>
        <v>1</v>
      </c>
      <c r="CM214" s="4344" t="b">
        <f>CM118=SUM(CM119:CM124)</f>
        <v>1</v>
      </c>
      <c r="CN214" s="4344" t="b">
        <f>CN118=SUM(CN119:CN124)</f>
        <v>1</v>
      </c>
      <c r="CO214" s="4344" t="b">
        <f>CO118=SUM(CO119:CO124)</f>
        <v>1</v>
      </c>
      <c r="CP214" s="4328"/>
      <c r="CQ214" s="4329"/>
      <c r="CR214" s="805" t="b">
        <f>ROUND(CR118,1)=ROUND(SUM(CR119:CR124),1)</f>
        <v>1</v>
      </c>
      <c r="CS214" s="4346" t="b">
        <f>ROUND(CS118,1)=ROUND(SUM(CS119:CS124),1)</f>
        <v>1</v>
      </c>
      <c r="CT214" s="808"/>
    </row>
    <row r="215" spans="1:98" x14ac:dyDescent="0.55000000000000004">
      <c r="A215" s="4347" t="s">
        <v>875</v>
      </c>
      <c r="B215" s="571" t="s">
        <v>598</v>
      </c>
      <c r="C215" s="1028"/>
      <c r="D215" s="1028"/>
      <c r="E215" s="1028"/>
      <c r="F215" s="1028" t="b">
        <f>F158=SUM(F159:F162)</f>
        <v>1</v>
      </c>
      <c r="G215" s="1028" t="b">
        <f t="shared" ref="G215:AL215" si="365">G158=SUM(G159:G162)</f>
        <v>1</v>
      </c>
      <c r="H215" s="1028" t="b">
        <f t="shared" si="365"/>
        <v>1</v>
      </c>
      <c r="I215" s="1028" t="b">
        <f t="shared" si="365"/>
        <v>1</v>
      </c>
      <c r="J215" s="1028" t="b">
        <f t="shared" si="365"/>
        <v>1</v>
      </c>
      <c r="K215" s="1028" t="b">
        <f t="shared" si="365"/>
        <v>1</v>
      </c>
      <c r="L215" s="1028" t="b">
        <f t="shared" si="365"/>
        <v>1</v>
      </c>
      <c r="M215" s="1028" t="b">
        <f t="shared" si="365"/>
        <v>1</v>
      </c>
      <c r="N215" s="1028" t="b">
        <f t="shared" si="365"/>
        <v>1</v>
      </c>
      <c r="O215" s="1028" t="b">
        <f t="shared" si="365"/>
        <v>1</v>
      </c>
      <c r="P215" s="1028" t="b">
        <f t="shared" si="365"/>
        <v>1</v>
      </c>
      <c r="Q215" s="4338" t="b">
        <f t="shared" si="365"/>
        <v>1</v>
      </c>
      <c r="R215" s="1028" t="b">
        <f t="shared" si="365"/>
        <v>1</v>
      </c>
      <c r="S215" s="1028" t="b">
        <f t="shared" si="365"/>
        <v>1</v>
      </c>
      <c r="T215" s="1028" t="b">
        <f t="shared" si="365"/>
        <v>1</v>
      </c>
      <c r="U215" s="1028" t="b">
        <f t="shared" si="365"/>
        <v>1</v>
      </c>
      <c r="V215" s="1028" t="b">
        <f t="shared" si="365"/>
        <v>1</v>
      </c>
      <c r="W215" s="1028" t="b">
        <f t="shared" si="365"/>
        <v>1</v>
      </c>
      <c r="X215" s="1028" t="b">
        <f t="shared" si="365"/>
        <v>1</v>
      </c>
      <c r="Y215" s="1028" t="b">
        <f t="shared" si="365"/>
        <v>1</v>
      </c>
      <c r="Z215" s="1028" t="b">
        <f t="shared" si="365"/>
        <v>1</v>
      </c>
      <c r="AA215" s="1028" t="b">
        <f t="shared" si="365"/>
        <v>1</v>
      </c>
      <c r="AB215" s="1028" t="b">
        <f t="shared" si="365"/>
        <v>1</v>
      </c>
      <c r="AC215" s="1028" t="b">
        <f t="shared" si="365"/>
        <v>1</v>
      </c>
      <c r="AD215" s="1028" t="b">
        <f t="shared" si="365"/>
        <v>1</v>
      </c>
      <c r="AE215" s="1028" t="b">
        <f t="shared" si="365"/>
        <v>1</v>
      </c>
      <c r="AF215" s="1028" t="b">
        <f t="shared" si="365"/>
        <v>1</v>
      </c>
      <c r="AG215" s="1028" t="b">
        <f t="shared" si="365"/>
        <v>1</v>
      </c>
      <c r="AH215" s="1028" t="b">
        <f t="shared" si="365"/>
        <v>1</v>
      </c>
      <c r="AI215" s="1028" t="b">
        <f t="shared" si="365"/>
        <v>1</v>
      </c>
      <c r="AJ215" s="1028" t="b">
        <f t="shared" si="365"/>
        <v>1</v>
      </c>
      <c r="AK215" s="1028" t="b">
        <f t="shared" si="365"/>
        <v>1</v>
      </c>
      <c r="AL215" s="1028" t="b">
        <f t="shared" si="365"/>
        <v>1</v>
      </c>
      <c r="AM215" s="1028" t="b">
        <f t="shared" ref="AM215:BP215" si="366">AM158=SUM(AM159:AM162)</f>
        <v>1</v>
      </c>
      <c r="AN215" s="1028" t="b">
        <f t="shared" si="366"/>
        <v>1</v>
      </c>
      <c r="AO215" s="4142" t="b">
        <f t="shared" si="366"/>
        <v>1</v>
      </c>
      <c r="AP215" s="4142"/>
      <c r="AQ215" s="4351" t="b">
        <f t="shared" si="366"/>
        <v>1</v>
      </c>
      <c r="AR215" s="4351" t="b">
        <f t="shared" si="366"/>
        <v>1</v>
      </c>
      <c r="AS215" s="4351" t="b">
        <f>AW158=SUM(AW159:AW162)</f>
        <v>1</v>
      </c>
      <c r="AT215" s="4351" t="b">
        <f t="shared" si="366"/>
        <v>1</v>
      </c>
      <c r="AU215" s="4351" t="b">
        <f t="shared" si="366"/>
        <v>1</v>
      </c>
      <c r="AV215" s="4351" t="b">
        <f t="shared" si="366"/>
        <v>1</v>
      </c>
      <c r="AW215" s="4351" t="b">
        <f t="shared" si="366"/>
        <v>1</v>
      </c>
      <c r="AX215" s="4351" t="b">
        <f t="shared" si="366"/>
        <v>1</v>
      </c>
      <c r="AY215" s="4351" t="b">
        <f t="shared" si="366"/>
        <v>1</v>
      </c>
      <c r="AZ215" s="4351" t="b">
        <f t="shared" si="366"/>
        <v>1</v>
      </c>
      <c r="BA215" s="4351" t="b">
        <f t="shared" si="366"/>
        <v>1</v>
      </c>
      <c r="BB215" s="4351" t="b">
        <f t="shared" si="366"/>
        <v>1</v>
      </c>
      <c r="BC215" s="4352" t="b">
        <f t="shared" si="366"/>
        <v>1</v>
      </c>
      <c r="BD215" s="4293" t="b">
        <f t="shared" si="366"/>
        <v>1</v>
      </c>
      <c r="BE215" s="4293" t="b">
        <f t="shared" si="366"/>
        <v>1</v>
      </c>
      <c r="BF215" s="4293" t="b">
        <f t="shared" si="366"/>
        <v>1</v>
      </c>
      <c r="BG215" s="4293" t="b">
        <f t="shared" si="366"/>
        <v>1</v>
      </c>
      <c r="BH215" s="4293" t="b">
        <f t="shared" si="366"/>
        <v>1</v>
      </c>
      <c r="BI215" s="4293" t="b">
        <f t="shared" si="366"/>
        <v>1</v>
      </c>
      <c r="BJ215" s="4293" t="b">
        <f t="shared" si="366"/>
        <v>1</v>
      </c>
      <c r="BK215" s="4293" t="b">
        <f t="shared" si="366"/>
        <v>1</v>
      </c>
      <c r="BL215" s="4293" t="b">
        <f t="shared" si="366"/>
        <v>1</v>
      </c>
      <c r="BM215" s="4293" t="b">
        <f t="shared" si="366"/>
        <v>1</v>
      </c>
      <c r="BN215" s="4293" t="b">
        <f t="shared" si="366"/>
        <v>1</v>
      </c>
      <c r="BO215" s="4293" t="b">
        <f t="shared" si="366"/>
        <v>1</v>
      </c>
      <c r="BP215" s="4293" t="b">
        <f t="shared" si="366"/>
        <v>1</v>
      </c>
      <c r="BQ215" s="4293" t="b">
        <f t="shared" ref="BQ215:CB215" si="367">BQ158=SUM(BQ159:BQ162)</f>
        <v>1</v>
      </c>
      <c r="BR215" s="4294" t="b">
        <f t="shared" si="367"/>
        <v>1</v>
      </c>
      <c r="BS215" s="4293" t="b">
        <f t="shared" si="367"/>
        <v>1</v>
      </c>
      <c r="BT215" s="4293" t="b">
        <f t="shared" si="367"/>
        <v>1</v>
      </c>
      <c r="BU215" s="4293" t="b">
        <f t="shared" si="367"/>
        <v>1</v>
      </c>
      <c r="BV215" s="4293" t="b">
        <f t="shared" si="367"/>
        <v>1</v>
      </c>
      <c r="BW215" s="4293" t="b">
        <f t="shared" si="367"/>
        <v>1</v>
      </c>
      <c r="BX215" s="4293" t="b">
        <f t="shared" si="367"/>
        <v>1</v>
      </c>
      <c r="BY215" s="4293" t="b">
        <f t="shared" si="367"/>
        <v>1</v>
      </c>
      <c r="BZ215" s="4293" t="b">
        <f t="shared" si="367"/>
        <v>1</v>
      </c>
      <c r="CA215" s="4293" t="b">
        <f t="shared" si="367"/>
        <v>1</v>
      </c>
      <c r="CB215" s="4293" t="b">
        <f t="shared" si="367"/>
        <v>1</v>
      </c>
      <c r="CC215" s="4293"/>
      <c r="CD215" s="4293" t="b">
        <f t="shared" ref="CD215:CO215" si="368">CD158=SUM(CD159:CD162)</f>
        <v>1</v>
      </c>
      <c r="CE215" s="4294" t="b">
        <f t="shared" si="368"/>
        <v>1</v>
      </c>
      <c r="CF215" s="4293" t="b">
        <f t="shared" si="368"/>
        <v>1</v>
      </c>
      <c r="CG215" s="4293" t="b">
        <f t="shared" si="368"/>
        <v>1</v>
      </c>
      <c r="CH215" s="4293" t="b">
        <f t="shared" si="368"/>
        <v>1</v>
      </c>
      <c r="CI215" s="4293" t="b">
        <f t="shared" si="368"/>
        <v>1</v>
      </c>
      <c r="CJ215" s="4293" t="b">
        <f t="shared" si="368"/>
        <v>1</v>
      </c>
      <c r="CK215" s="4293" t="b">
        <f t="shared" si="368"/>
        <v>1</v>
      </c>
      <c r="CL215" s="4293" t="b">
        <f t="shared" si="368"/>
        <v>1</v>
      </c>
      <c r="CM215" s="4293" t="b">
        <f t="shared" si="368"/>
        <v>1</v>
      </c>
      <c r="CN215" s="4293" t="b">
        <f t="shared" si="368"/>
        <v>1</v>
      </c>
      <c r="CO215" s="4293" t="b">
        <f t="shared" si="368"/>
        <v>1</v>
      </c>
      <c r="CP215" s="4328"/>
      <c r="CQ215" s="4329"/>
      <c r="CR215" s="791" t="b">
        <f>ROUND(CR158,1)=ROUND(SUM(CR159:CR162),1)</f>
        <v>1</v>
      </c>
      <c r="CS215" s="4296" t="b">
        <f>CS158=SUM(CS159:CS162)</f>
        <v>1</v>
      </c>
      <c r="CT215" s="795"/>
    </row>
    <row r="216" spans="1:98" ht="15.45" thickBot="1" x14ac:dyDescent="0.6">
      <c r="A216" s="4353"/>
      <c r="B216" s="4354" t="s">
        <v>599</v>
      </c>
      <c r="C216" s="3903"/>
      <c r="D216" s="3903"/>
      <c r="E216" s="3903"/>
      <c r="F216" s="3903" t="b">
        <f t="shared" ref="F216:BN216" si="369">F163=SUM(F164:F168)</f>
        <v>1</v>
      </c>
      <c r="G216" s="3903" t="b">
        <f t="shared" si="369"/>
        <v>1</v>
      </c>
      <c r="H216" s="3903" t="b">
        <f t="shared" si="369"/>
        <v>1</v>
      </c>
      <c r="I216" s="3903" t="b">
        <f t="shared" si="369"/>
        <v>1</v>
      </c>
      <c r="J216" s="3903" t="b">
        <f t="shared" si="369"/>
        <v>1</v>
      </c>
      <c r="K216" s="3903" t="b">
        <f t="shared" si="369"/>
        <v>1</v>
      </c>
      <c r="L216" s="3903" t="b">
        <f t="shared" si="369"/>
        <v>1</v>
      </c>
      <c r="M216" s="3903" t="b">
        <f t="shared" si="369"/>
        <v>1</v>
      </c>
      <c r="N216" s="3903" t="b">
        <f t="shared" si="369"/>
        <v>1</v>
      </c>
      <c r="O216" s="3903" t="b">
        <f t="shared" si="369"/>
        <v>1</v>
      </c>
      <c r="P216" s="3903" t="b">
        <f t="shared" si="369"/>
        <v>1</v>
      </c>
      <c r="Q216" s="4355" t="b">
        <f t="shared" si="369"/>
        <v>1</v>
      </c>
      <c r="R216" s="3903" t="b">
        <f t="shared" si="369"/>
        <v>1</v>
      </c>
      <c r="S216" s="3903" t="b">
        <f t="shared" si="369"/>
        <v>1</v>
      </c>
      <c r="T216" s="3903" t="b">
        <f t="shared" si="369"/>
        <v>1</v>
      </c>
      <c r="U216" s="3903" t="b">
        <f t="shared" si="369"/>
        <v>1</v>
      </c>
      <c r="V216" s="3903" t="b">
        <f t="shared" si="369"/>
        <v>1</v>
      </c>
      <c r="W216" s="3903" t="b">
        <f t="shared" si="369"/>
        <v>1</v>
      </c>
      <c r="X216" s="3903" t="b">
        <f t="shared" si="369"/>
        <v>1</v>
      </c>
      <c r="Y216" s="3903" t="b">
        <f t="shared" si="369"/>
        <v>1</v>
      </c>
      <c r="Z216" s="3903" t="b">
        <f t="shared" si="369"/>
        <v>1</v>
      </c>
      <c r="AA216" s="3903" t="b">
        <f t="shared" si="369"/>
        <v>1</v>
      </c>
      <c r="AB216" s="3903" t="b">
        <f t="shared" si="369"/>
        <v>1</v>
      </c>
      <c r="AC216" s="3903" t="b">
        <f t="shared" si="369"/>
        <v>1</v>
      </c>
      <c r="AD216" s="3903" t="b">
        <f t="shared" si="369"/>
        <v>1</v>
      </c>
      <c r="AE216" s="3903" t="b">
        <f t="shared" si="369"/>
        <v>1</v>
      </c>
      <c r="AF216" s="3903" t="b">
        <f t="shared" si="369"/>
        <v>1</v>
      </c>
      <c r="AG216" s="3903" t="b">
        <f t="shared" si="369"/>
        <v>1</v>
      </c>
      <c r="AH216" s="3903" t="b">
        <f t="shared" si="369"/>
        <v>1</v>
      </c>
      <c r="AI216" s="3903" t="b">
        <f t="shared" si="369"/>
        <v>1</v>
      </c>
      <c r="AJ216" s="3903" t="b">
        <f t="shared" si="369"/>
        <v>1</v>
      </c>
      <c r="AK216" s="3903" t="b">
        <f t="shared" si="369"/>
        <v>1</v>
      </c>
      <c r="AL216" s="3903" t="b">
        <f t="shared" si="369"/>
        <v>1</v>
      </c>
      <c r="AM216" s="3903" t="b">
        <f t="shared" si="369"/>
        <v>1</v>
      </c>
      <c r="AN216" s="3903" t="b">
        <f t="shared" si="369"/>
        <v>1</v>
      </c>
      <c r="AO216" s="3908" t="b">
        <f t="shared" si="369"/>
        <v>1</v>
      </c>
      <c r="AP216" s="3908"/>
      <c r="AQ216" s="4356" t="b">
        <f t="shared" si="369"/>
        <v>1</v>
      </c>
      <c r="AR216" s="4356" t="b">
        <f t="shared" si="369"/>
        <v>1</v>
      </c>
      <c r="AS216" s="4356" t="b">
        <f>AW163=SUM(AW164:AW168)</f>
        <v>1</v>
      </c>
      <c r="AT216" s="4356" t="b">
        <f t="shared" si="369"/>
        <v>1</v>
      </c>
      <c r="AU216" s="4356" t="b">
        <f t="shared" si="369"/>
        <v>1</v>
      </c>
      <c r="AV216" s="4356" t="b">
        <f t="shared" si="369"/>
        <v>1</v>
      </c>
      <c r="AW216" s="4356" t="b">
        <f t="shared" si="369"/>
        <v>1</v>
      </c>
      <c r="AX216" s="4356" t="b">
        <f t="shared" si="369"/>
        <v>1</v>
      </c>
      <c r="AY216" s="4356" t="b">
        <f t="shared" si="369"/>
        <v>1</v>
      </c>
      <c r="AZ216" s="4356" t="b">
        <f t="shared" si="369"/>
        <v>1</v>
      </c>
      <c r="BA216" s="4356" t="b">
        <f t="shared" si="369"/>
        <v>1</v>
      </c>
      <c r="BB216" s="4356" t="b">
        <f t="shared" si="369"/>
        <v>1</v>
      </c>
      <c r="BC216" s="4357" t="b">
        <f t="shared" si="369"/>
        <v>1</v>
      </c>
      <c r="BD216" s="4358" t="b">
        <f t="shared" si="369"/>
        <v>1</v>
      </c>
      <c r="BE216" s="4358" t="b">
        <f t="shared" si="369"/>
        <v>1</v>
      </c>
      <c r="BF216" s="4358" t="b">
        <f t="shared" si="369"/>
        <v>1</v>
      </c>
      <c r="BG216" s="4358" t="b">
        <f t="shared" si="369"/>
        <v>1</v>
      </c>
      <c r="BH216" s="4358" t="b">
        <f t="shared" si="369"/>
        <v>1</v>
      </c>
      <c r="BI216" s="4358" t="b">
        <f t="shared" si="369"/>
        <v>1</v>
      </c>
      <c r="BJ216" s="4358" t="b">
        <f t="shared" si="369"/>
        <v>1</v>
      </c>
      <c r="BK216" s="4358" t="b">
        <f t="shared" si="369"/>
        <v>1</v>
      </c>
      <c r="BL216" s="4358" t="b">
        <f t="shared" si="369"/>
        <v>1</v>
      </c>
      <c r="BM216" s="4358" t="b">
        <f t="shared" si="369"/>
        <v>1</v>
      </c>
      <c r="BN216" s="4358" t="b">
        <f t="shared" si="369"/>
        <v>1</v>
      </c>
      <c r="BO216" s="4358" t="b">
        <f>BO163=SUM(BO164:BO168)</f>
        <v>1</v>
      </c>
      <c r="BP216" s="4358" t="b">
        <f t="shared" ref="BP216" si="370">BP163=SUM(BP164:BP168)</f>
        <v>1</v>
      </c>
      <c r="BQ216" s="4358" t="b">
        <f t="shared" ref="BQ216:CA216" si="371">BQ163=SUM(BQ164:BQ168)</f>
        <v>1</v>
      </c>
      <c r="BR216" s="4359" t="b">
        <f t="shared" si="371"/>
        <v>1</v>
      </c>
      <c r="BS216" s="4358" t="b">
        <f t="shared" si="371"/>
        <v>1</v>
      </c>
      <c r="BT216" s="4358" t="b">
        <f t="shared" si="371"/>
        <v>1</v>
      </c>
      <c r="BU216" s="4358" t="b">
        <f t="shared" si="371"/>
        <v>1</v>
      </c>
      <c r="BV216" s="4358" t="b">
        <f t="shared" si="371"/>
        <v>1</v>
      </c>
      <c r="BW216" s="4358" t="b">
        <f t="shared" si="371"/>
        <v>1</v>
      </c>
      <c r="BX216" s="4358" t="b">
        <f t="shared" si="371"/>
        <v>1</v>
      </c>
      <c r="BY216" s="4358" t="b">
        <f t="shared" si="371"/>
        <v>1</v>
      </c>
      <c r="BZ216" s="4358" t="b">
        <f t="shared" si="371"/>
        <v>1</v>
      </c>
      <c r="CA216" s="4358" t="b">
        <f t="shared" si="371"/>
        <v>1</v>
      </c>
      <c r="CB216" s="4358" t="b">
        <f>CB163=SUM(CB164:CB168)</f>
        <v>1</v>
      </c>
      <c r="CC216" s="4358"/>
      <c r="CD216" s="4358" t="b">
        <f t="shared" ref="CD216:CN216" si="372">CD163=SUM(CD164:CD168)</f>
        <v>1</v>
      </c>
      <c r="CE216" s="4359" t="b">
        <f t="shared" si="372"/>
        <v>1</v>
      </c>
      <c r="CF216" s="4358" t="b">
        <f t="shared" si="372"/>
        <v>1</v>
      </c>
      <c r="CG216" s="4358" t="b">
        <f t="shared" si="372"/>
        <v>1</v>
      </c>
      <c r="CH216" s="4358" t="b">
        <f t="shared" si="372"/>
        <v>1</v>
      </c>
      <c r="CI216" s="4358" t="b">
        <f t="shared" si="372"/>
        <v>1</v>
      </c>
      <c r="CJ216" s="4358" t="b">
        <f t="shared" si="372"/>
        <v>1</v>
      </c>
      <c r="CK216" s="4358" t="b">
        <f t="shared" si="372"/>
        <v>1</v>
      </c>
      <c r="CL216" s="4358" t="b">
        <f t="shared" si="372"/>
        <v>1</v>
      </c>
      <c r="CM216" s="4358" t="b">
        <f t="shared" si="372"/>
        <v>1</v>
      </c>
      <c r="CN216" s="4358" t="b">
        <f t="shared" si="372"/>
        <v>1</v>
      </c>
      <c r="CO216" s="4358" t="b">
        <f>CO163=SUM(CO164:CO168)</f>
        <v>1</v>
      </c>
      <c r="CP216" s="4360"/>
      <c r="CQ216" s="4361"/>
      <c r="CR216" s="4362" t="b">
        <f>ROUND(CR163,1)=ROUND(SUM(CR164:CR168),1)</f>
        <v>1</v>
      </c>
      <c r="CS216" s="4363" t="b">
        <f>ROUND(CS163,1)=ROUND(SUM(CS164:CS168),1)</f>
        <v>1</v>
      </c>
      <c r="CT216" s="808"/>
    </row>
  </sheetData>
  <mergeCells count="8">
    <mergeCell ref="A193:D193"/>
    <mergeCell ref="R201:AC201"/>
    <mergeCell ref="CU3:CX3"/>
    <mergeCell ref="A4:D4"/>
    <mergeCell ref="R44:AC44"/>
    <mergeCell ref="R87:AC87"/>
    <mergeCell ref="BD192:CS192"/>
    <mergeCell ref="D76:E76"/>
  </mergeCells>
  <phoneticPr fontId="1" type="noConversion"/>
  <conditionalFormatting sqref="F206:AC206 CR209:CT216 F209:BO216">
    <cfRule type="cellIs" dxfId="22" priority="10" operator="equal">
      <formula>FALSE</formula>
    </cfRule>
  </conditionalFormatting>
  <conditionalFormatting sqref="F201:Q201 AD201:BO201 F194:BO200 F202:BO207 CR194:CT207 CP200:CP204 CP194:CP198">
    <cfRule type="cellIs" dxfId="21" priority="9" operator="equal">
      <formula>FALSE</formula>
    </cfRule>
  </conditionalFormatting>
  <conditionalFormatting sqref="BO26:BP27">
    <cfRule type="containsBlanks" dxfId="20" priority="7">
      <formula>LEN(TRIM(BO26))=0</formula>
    </cfRule>
  </conditionalFormatting>
  <conditionalFormatting sqref="BP209:CC216">
    <cfRule type="cellIs" dxfId="19" priority="6" operator="equal">
      <formula>FALSE</formula>
    </cfRule>
  </conditionalFormatting>
  <conditionalFormatting sqref="BP194:CC207">
    <cfRule type="cellIs" dxfId="18" priority="5" operator="equal">
      <formula>FALSE</formula>
    </cfRule>
  </conditionalFormatting>
  <conditionalFormatting sqref="CD209:CO216">
    <cfRule type="cellIs" dxfId="17" priority="3" operator="equal">
      <formula>FALSE</formula>
    </cfRule>
  </conditionalFormatting>
  <conditionalFormatting sqref="CD194:CO207">
    <cfRule type="cellIs" dxfId="16" priority="2" operator="equal">
      <formula>FALSE</formula>
    </cfRule>
  </conditionalFormatting>
  <conditionalFormatting sqref="CC26:CC27">
    <cfRule type="containsBlanks" dxfId="15" priority="1">
      <formula>LEN(TRIM(CC26))=0</formula>
    </cfRule>
  </conditionalFormatting>
  <pageMargins left="0.23622047244094491" right="0.23622047244094491" top="0.74803149606299213" bottom="0.74803149606299213" header="0.31496062992125984" footer="0.31496062992125984"/>
  <pageSetup paperSize="9" scale="20" fitToWidth="0" pageOrder="overThenDown" orientation="landscape" r:id="rId1"/>
  <colBreaks count="1" manualBreakCount="1">
    <brk id="38" max="157" man="1"/>
  </colBreaks>
  <ignoredErrors>
    <ignoredError sqref="CW8 CV84:CW85 CW20 CV36:CW36 CW50 CW16 CW17 CW18 CW19 CV22:CW22 CV23:CW23 CV24:CW24 CV25:CW25 CV26:CX26 CV27:CW27 CV28:CW28 CV29:CW29 CV30:CW30 CV31:CW31 CV32:CW32 CV33:CW33 CV34:CW34 CV35:CW35 CV79:CW79 CV80:CW80 CV81:CW81 CV83:CW83 CV89:CW89 CV86:CW86 CV87:CW87 CV88:CW88 CV170:CW170 CV90:CW90 CV91:CW91 CV92:CW92 CV93:CW93 CV94:CW94 CV95:CW95 CV96:CW96 CV97:CW97 CV98:CW98 CV99:CW99 CV100:CW100 CV101:CW101 CV102:CW102 CV103:CW103 CV104:CW104 CV105:CW105 CV106:CW106 CV107:CW107 CV108:CW108 CV109:CW109 CV110:CW110 CV111:CW111 CV112:CW112 CV113:CW113 CV114:CW114 CV115:CW115 CV116:CW116 CV117:CW117 CV118:CW118 CV119:CW119 CV120:CW120 CV121:CW121 CV122:CW122 CV123:CW123 CV124:CW124 CV125:CW125 CV126:CW126 CV127:CW127 CV128:CW128 CV129:CW129 CV130:CW130 CV131:CW131 CV160:CW160 CV161:CW161 CV162:CW162 CV163:CW163 CV164:CW164 CV165:CW165 CV166:CW166 CV167:CW167 CV168:CW168 CV169:CW169" formulaRange="1"/>
    <ignoredError sqref="BP79:BP87 CC5:CC6 CC20 CC76:CC179" formula="1"/>
    <ignoredError sqref="CC21:CC75 CC7:CC19" formula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6608-F032-4244-BC96-D458BE4B0578}">
  <sheetPr codeName="Sheet20">
    <tabColor theme="7" tint="0.79998168889431442"/>
  </sheetPr>
  <dimension ref="A1:CE355"/>
  <sheetViews>
    <sheetView showGridLines="0" zoomScale="40" zoomScaleNormal="40" workbookViewId="0">
      <pane xSplit="4" ySplit="3" topLeftCell="AU4" activePane="bottomRight" state="frozen"/>
      <selection activeCell="CK20" sqref="CK20"/>
      <selection pane="topRight" activeCell="CK20" sqref="CK20"/>
      <selection pane="bottomLeft" activeCell="CK20" sqref="CK20"/>
      <selection pane="bottomRight" activeCell="CK20" sqref="CK20"/>
    </sheetView>
  </sheetViews>
  <sheetFormatPr defaultRowHeight="17.600000000000001" outlineLevelCol="1" x14ac:dyDescent="0.55000000000000004"/>
  <cols>
    <col min="1" max="1" width="15.5703125" customWidth="1"/>
    <col min="2" max="2" width="7.140625" customWidth="1"/>
    <col min="3" max="3" width="12.42578125" customWidth="1"/>
    <col min="4" max="4" width="12.42578125" hidden="1" customWidth="1"/>
    <col min="5" max="16" width="10.35546875" hidden="1" customWidth="1" outlineLevel="1"/>
    <col min="17" max="17" width="10.35546875" customWidth="1" collapsed="1"/>
    <col min="18" max="18" width="10.35546875" customWidth="1"/>
    <col min="19" max="29" width="10.35546875" customWidth="1" outlineLevel="1"/>
    <col min="30" max="30" width="11.2109375" customWidth="1" outlineLevel="1"/>
    <col min="31" max="31" width="12" customWidth="1"/>
    <col min="32" max="32" width="10.35546875" customWidth="1"/>
    <col min="33" max="33" width="1.92578125" style="61" customWidth="1"/>
    <col min="34" max="38" width="10.35546875" customWidth="1" outlineLevel="1"/>
    <col min="39" max="39" width="10.5" customWidth="1" outlineLevel="1"/>
    <col min="40" max="41" width="10.85546875" customWidth="1" outlineLevel="1"/>
    <col min="42" max="42" width="10" customWidth="1" outlineLevel="1"/>
    <col min="43" max="43" width="11.7109375" customWidth="1" outlineLevel="1"/>
    <col min="44" max="44" width="10.92578125" customWidth="1" outlineLevel="1"/>
    <col min="45" max="45" width="15.2109375" customWidth="1" outlineLevel="1"/>
    <col min="46" max="47" width="10.92578125" bestFit="1" customWidth="1"/>
    <col min="48" max="48" width="1.92578125" style="61" customWidth="1"/>
    <col min="49" max="54" width="12.2109375" customWidth="1" outlineLevel="1"/>
    <col min="55" max="56" width="10.85546875" customWidth="1" outlineLevel="1"/>
    <col min="57" max="57" width="10.7109375" customWidth="1" outlineLevel="1"/>
    <col min="58" max="58" width="11.7109375" customWidth="1" outlineLevel="1"/>
    <col min="59" max="59" width="10.92578125" customWidth="1" outlineLevel="1"/>
    <col min="60" max="60" width="10.5703125" customWidth="1" outlineLevel="1"/>
    <col min="61" max="62" width="10.92578125" bestFit="1" customWidth="1"/>
    <col min="63" max="63" width="1.92578125" style="61" customWidth="1"/>
    <col min="64" max="69" width="12.2109375" customWidth="1" outlineLevel="1"/>
    <col min="70" max="71" width="10.85546875" customWidth="1" outlineLevel="1"/>
    <col min="72" max="72" width="10.7109375" customWidth="1" outlineLevel="1"/>
    <col min="73" max="73" width="11.7109375" customWidth="1" outlineLevel="1"/>
    <col min="74" max="74" width="10.92578125" customWidth="1" outlineLevel="1"/>
    <col min="75" max="75" width="10.5703125" customWidth="1" outlineLevel="1"/>
    <col min="76" max="76" width="10.92578125" bestFit="1" customWidth="1"/>
    <col min="77" max="78" width="11.42578125" customWidth="1"/>
    <col min="80" max="82" width="14.42578125" customWidth="1"/>
    <col min="83" max="83" width="13.7109375" customWidth="1"/>
  </cols>
  <sheetData>
    <row r="1" spans="1:83" s="559" customFormat="1" ht="15" x14ac:dyDescent="0.55000000000000004">
      <c r="A1" s="4476">
        <f>'0. 개요'!AE2</f>
        <v>46054</v>
      </c>
      <c r="AG1" s="3444"/>
      <c r="AH1" s="2860"/>
      <c r="AI1" s="2860"/>
      <c r="AJ1" s="2860"/>
      <c r="AK1" s="2860"/>
      <c r="AL1" s="2860"/>
      <c r="AV1" s="3444"/>
      <c r="AW1" s="2860"/>
      <c r="AX1" s="2860"/>
      <c r="AY1" s="2860"/>
      <c r="AZ1" s="2860"/>
      <c r="BA1" s="2860"/>
      <c r="BK1" s="3444"/>
      <c r="BM1" s="3444"/>
      <c r="BN1" s="2860"/>
      <c r="BO1" s="2860"/>
      <c r="BP1" s="2860"/>
      <c r="BQ1" s="2860"/>
      <c r="BR1" s="2860"/>
      <c r="BZ1" s="6977"/>
      <c r="CD1" s="2845" t="s">
        <v>452</v>
      </c>
    </row>
    <row r="2" spans="1:83" s="559" customFormat="1" ht="15" x14ac:dyDescent="0.55000000000000004">
      <c r="O2" s="2860"/>
      <c r="S2" s="3286">
        <v>1.0009999999999999</v>
      </c>
      <c r="T2" s="3286">
        <v>2.0009999999999999</v>
      </c>
      <c r="U2" s="3286">
        <v>3.0009999999999999</v>
      </c>
      <c r="V2" s="3286">
        <v>4.0010000000000003</v>
      </c>
      <c r="W2" s="3286">
        <v>5.0010000000000003</v>
      </c>
      <c r="X2" s="3286">
        <v>6.0010000000000003</v>
      </c>
      <c r="Y2" s="3286">
        <v>7.0010000000000003</v>
      </c>
      <c r="Z2" s="3286">
        <v>8.0009999999999994</v>
      </c>
      <c r="AA2" s="3286">
        <v>9.0009999999999994</v>
      </c>
      <c r="AB2" s="3286">
        <v>10.000999999999999</v>
      </c>
      <c r="AC2" s="3286">
        <v>11.000999999999999</v>
      </c>
      <c r="AD2" s="3286">
        <v>12.000999999999999</v>
      </c>
      <c r="AG2" s="3444"/>
      <c r="AH2" s="3286">
        <v>1.0009999999999999</v>
      </c>
      <c r="AI2" s="3286">
        <v>2.0009999999999999</v>
      </c>
      <c r="AJ2" s="3286">
        <v>3.0009999999999999</v>
      </c>
      <c r="AK2" s="3286">
        <v>4.0010000000000003</v>
      </c>
      <c r="AL2" s="3286">
        <v>5.0010000000000003</v>
      </c>
      <c r="AM2" s="3286">
        <v>6.0010000000000003</v>
      </c>
      <c r="AN2" s="3286">
        <v>7.0010000000000003</v>
      </c>
      <c r="AO2" s="3286">
        <v>8.0009999999999994</v>
      </c>
      <c r="AP2" s="3286">
        <v>9.0009999999999994</v>
      </c>
      <c r="AQ2" s="3286">
        <v>10.000999999999999</v>
      </c>
      <c r="AR2" s="3286">
        <v>11.000999999999999</v>
      </c>
      <c r="AS2" s="3286">
        <v>12.000999999999999</v>
      </c>
      <c r="AV2" s="3444"/>
      <c r="AW2" s="4477">
        <v>45658</v>
      </c>
      <c r="AX2" s="4477">
        <v>45689</v>
      </c>
      <c r="AY2" s="4477">
        <v>45717</v>
      </c>
      <c r="AZ2" s="4477">
        <v>45748</v>
      </c>
      <c r="BA2" s="4477">
        <v>45778</v>
      </c>
      <c r="BB2" s="4477">
        <v>45809</v>
      </c>
      <c r="BC2" s="4477">
        <v>45839</v>
      </c>
      <c r="BD2" s="4477">
        <v>45870</v>
      </c>
      <c r="BE2" s="4477">
        <v>45901</v>
      </c>
      <c r="BF2" s="4477">
        <v>45931</v>
      </c>
      <c r="BG2" s="4477">
        <v>45962</v>
      </c>
      <c r="BH2" s="4477">
        <v>45992</v>
      </c>
      <c r="BI2" s="3688"/>
      <c r="BK2" s="3444"/>
      <c r="BL2" s="4477">
        <v>46023</v>
      </c>
      <c r="BM2" s="4477">
        <v>46054</v>
      </c>
      <c r="BN2" s="4477">
        <v>46082</v>
      </c>
      <c r="BO2" s="4477">
        <v>46113</v>
      </c>
      <c r="BP2" s="4477">
        <v>46143</v>
      </c>
      <c r="BQ2" s="4477">
        <v>46174</v>
      </c>
      <c r="BR2" s="4477">
        <v>46204</v>
      </c>
      <c r="BS2" s="4477">
        <v>46235</v>
      </c>
      <c r="BT2" s="4477">
        <v>46266</v>
      </c>
      <c r="BU2" s="4477">
        <v>46296</v>
      </c>
      <c r="BV2" s="4477">
        <v>46327</v>
      </c>
      <c r="BW2" s="4477">
        <v>46357</v>
      </c>
      <c r="BZ2" s="6977"/>
    </row>
    <row r="3" spans="1:83" s="559" customFormat="1" ht="16.75" thickBot="1" x14ac:dyDescent="0.6">
      <c r="A3" s="559" t="s">
        <v>153</v>
      </c>
      <c r="B3" s="567"/>
      <c r="C3" s="567"/>
      <c r="D3" s="570" t="s">
        <v>477</v>
      </c>
      <c r="E3" s="2863" t="s">
        <v>478</v>
      </c>
      <c r="F3" s="2864" t="s">
        <v>479</v>
      </c>
      <c r="G3" s="2864" t="s">
        <v>480</v>
      </c>
      <c r="H3" s="2864" t="s">
        <v>481</v>
      </c>
      <c r="I3" s="2864" t="s">
        <v>482</v>
      </c>
      <c r="J3" s="2864" t="s">
        <v>483</v>
      </c>
      <c r="K3" s="2864" t="s">
        <v>484</v>
      </c>
      <c r="L3" s="2864" t="s">
        <v>485</v>
      </c>
      <c r="M3" s="2864" t="s">
        <v>486</v>
      </c>
      <c r="N3" s="2864" t="s">
        <v>487</v>
      </c>
      <c r="O3" s="2864" t="s">
        <v>488</v>
      </c>
      <c r="P3" s="2864" t="s">
        <v>489</v>
      </c>
      <c r="Q3" s="2864" t="s">
        <v>504</v>
      </c>
      <c r="R3" s="2864" t="s">
        <v>505</v>
      </c>
      <c r="S3" s="2863" t="s">
        <v>490</v>
      </c>
      <c r="T3" s="2864" t="s">
        <v>491</v>
      </c>
      <c r="U3" s="2864" t="s">
        <v>492</v>
      </c>
      <c r="V3" s="2864" t="s">
        <v>493</v>
      </c>
      <c r="W3" s="2864" t="s">
        <v>494</v>
      </c>
      <c r="X3" s="2864" t="s">
        <v>495</v>
      </c>
      <c r="Y3" s="2864" t="s">
        <v>496</v>
      </c>
      <c r="Z3" s="2864" t="s">
        <v>497</v>
      </c>
      <c r="AA3" s="2864" t="s">
        <v>498</v>
      </c>
      <c r="AB3" s="2864" t="s">
        <v>499</v>
      </c>
      <c r="AC3" s="2864" t="s">
        <v>500</v>
      </c>
      <c r="AD3" s="2864" t="s">
        <v>501</v>
      </c>
      <c r="AE3" s="2864" t="s">
        <v>508</v>
      </c>
      <c r="AF3" s="2864" t="s">
        <v>509</v>
      </c>
      <c r="AG3" s="4480"/>
      <c r="AH3" s="2863" t="s">
        <v>502</v>
      </c>
      <c r="AI3" s="2864" t="s">
        <v>3</v>
      </c>
      <c r="AJ3" s="2864" t="s">
        <v>503</v>
      </c>
      <c r="AK3" s="2864" t="s">
        <v>341</v>
      </c>
      <c r="AL3" s="2864" t="s">
        <v>342</v>
      </c>
      <c r="AM3" s="2864" t="s">
        <v>343</v>
      </c>
      <c r="AN3" s="2864" t="s">
        <v>344</v>
      </c>
      <c r="AO3" s="2864" t="s">
        <v>345</v>
      </c>
      <c r="AP3" s="2864" t="s">
        <v>346</v>
      </c>
      <c r="AQ3" s="2864" t="s">
        <v>347</v>
      </c>
      <c r="AR3" s="2864" t="s">
        <v>348</v>
      </c>
      <c r="AS3" s="2864" t="s">
        <v>349</v>
      </c>
      <c r="AT3" s="2864" t="s">
        <v>506</v>
      </c>
      <c r="AU3" s="2864" t="s">
        <v>507</v>
      </c>
      <c r="AV3" s="4480"/>
      <c r="AW3" s="2863" t="s">
        <v>941</v>
      </c>
      <c r="AX3" s="2864" t="s">
        <v>943</v>
      </c>
      <c r="AY3" s="2864" t="s">
        <v>944</v>
      </c>
      <c r="AZ3" s="2864" t="s">
        <v>945</v>
      </c>
      <c r="BA3" s="2864" t="s">
        <v>946</v>
      </c>
      <c r="BB3" s="2864" t="s">
        <v>947</v>
      </c>
      <c r="BC3" s="2864" t="s">
        <v>948</v>
      </c>
      <c r="BD3" s="2864" t="s">
        <v>949</v>
      </c>
      <c r="BE3" s="2864" t="s">
        <v>950</v>
      </c>
      <c r="BF3" s="2864" t="s">
        <v>951</v>
      </c>
      <c r="BG3" s="2864" t="s">
        <v>952</v>
      </c>
      <c r="BH3" s="2864" t="s">
        <v>953</v>
      </c>
      <c r="BI3" s="2864" t="s">
        <v>954</v>
      </c>
      <c r="BJ3" s="2864" t="s">
        <v>955</v>
      </c>
      <c r="BK3" s="4480"/>
      <c r="BL3" s="3729" t="s">
        <v>1122</v>
      </c>
      <c r="BM3" s="3730" t="s">
        <v>1072</v>
      </c>
      <c r="BN3" s="3729" t="s">
        <v>1073</v>
      </c>
      <c r="BO3" s="3729" t="s">
        <v>1074</v>
      </c>
      <c r="BP3" s="3729" t="s">
        <v>1075</v>
      </c>
      <c r="BQ3" s="3729" t="s">
        <v>1076</v>
      </c>
      <c r="BR3" s="3729" t="s">
        <v>1077</v>
      </c>
      <c r="BS3" s="3729" t="s">
        <v>1078</v>
      </c>
      <c r="BT3" s="3729" t="s">
        <v>1079</v>
      </c>
      <c r="BU3" s="3729" t="s">
        <v>1080</v>
      </c>
      <c r="BV3" s="3729" t="s">
        <v>1081</v>
      </c>
      <c r="BW3" s="3729" t="s">
        <v>1082</v>
      </c>
      <c r="BX3" s="2864" t="s">
        <v>1160</v>
      </c>
      <c r="BY3" s="2864" t="s">
        <v>955</v>
      </c>
      <c r="BZ3" s="6977"/>
      <c r="CB3" s="4481" t="s">
        <v>444</v>
      </c>
      <c r="CC3" s="4481" t="s">
        <v>445</v>
      </c>
      <c r="CD3" s="4482" t="s">
        <v>450</v>
      </c>
      <c r="CE3" s="4481" t="s">
        <v>130</v>
      </c>
    </row>
    <row r="4" spans="1:83" x14ac:dyDescent="0.55000000000000004">
      <c r="A4" s="7087" t="s">
        <v>383</v>
      </c>
      <c r="B4" s="14" t="s">
        <v>43</v>
      </c>
      <c r="C4" s="6"/>
      <c r="D4" s="249">
        <f>D13+D23</f>
        <v>1799300</v>
      </c>
      <c r="E4" s="250">
        <f>E13+E23</f>
        <v>1782553</v>
      </c>
      <c r="F4" s="249">
        <f t="shared" ref="F4:P4" si="0">F13+F23</f>
        <v>1798072</v>
      </c>
      <c r="G4" s="249">
        <f t="shared" si="0"/>
        <v>1800011</v>
      </c>
      <c r="H4" s="249">
        <f t="shared" si="0"/>
        <v>1804393</v>
      </c>
      <c r="I4" s="249">
        <f t="shared" si="0"/>
        <v>1810221</v>
      </c>
      <c r="J4" s="249">
        <f t="shared" si="0"/>
        <v>1862310</v>
      </c>
      <c r="K4" s="249">
        <f t="shared" si="0"/>
        <v>1864291</v>
      </c>
      <c r="L4" s="249">
        <f t="shared" si="0"/>
        <v>1860439</v>
      </c>
      <c r="M4" s="249">
        <f t="shared" si="0"/>
        <v>1901176</v>
      </c>
      <c r="N4" s="249">
        <f t="shared" si="0"/>
        <v>1911711</v>
      </c>
      <c r="O4" s="249">
        <f t="shared" si="0"/>
        <v>1912051</v>
      </c>
      <c r="P4" s="249">
        <f t="shared" si="0"/>
        <v>1934596</v>
      </c>
      <c r="Q4" s="249">
        <f>P4</f>
        <v>1934596</v>
      </c>
      <c r="R4" s="249">
        <f>AVERAGE(E4:P4)</f>
        <v>1853485.3333333333</v>
      </c>
      <c r="S4" s="250">
        <f>S13+S23</f>
        <v>1918519</v>
      </c>
      <c r="T4" s="249">
        <f t="shared" ref="T4:AD4" si="1">T13+T23</f>
        <v>1920181</v>
      </c>
      <c r="U4" s="249">
        <f t="shared" si="1"/>
        <v>1938092</v>
      </c>
      <c r="V4" s="249">
        <f t="shared" si="1"/>
        <v>1942400</v>
      </c>
      <c r="W4" s="249">
        <f t="shared" si="1"/>
        <v>1939416</v>
      </c>
      <c r="X4" s="249">
        <f t="shared" si="1"/>
        <v>1936240</v>
      </c>
      <c r="Y4" s="249">
        <f t="shared" si="1"/>
        <v>1931322</v>
      </c>
      <c r="Z4" s="249">
        <f t="shared" si="1"/>
        <v>1927955</v>
      </c>
      <c r="AA4" s="249">
        <f t="shared" si="1"/>
        <v>1923583</v>
      </c>
      <c r="AB4" s="249">
        <f t="shared" si="1"/>
        <v>1923969</v>
      </c>
      <c r="AC4" s="249">
        <f t="shared" si="1"/>
        <v>1918160</v>
      </c>
      <c r="AD4" s="249">
        <f t="shared" si="1"/>
        <v>1911006</v>
      </c>
      <c r="AE4" s="249">
        <f>AD4</f>
        <v>1911006</v>
      </c>
      <c r="AF4" s="249">
        <f>AVERAGE(S4:AD4)</f>
        <v>1927570.25</v>
      </c>
      <c r="AG4" s="249"/>
      <c r="AH4" s="542">
        <v>1911765</v>
      </c>
      <c r="AI4" s="539">
        <v>1907527</v>
      </c>
      <c r="AJ4" s="539">
        <v>1900105</v>
      </c>
      <c r="AK4" s="539">
        <v>1891951</v>
      </c>
      <c r="AL4" s="539">
        <v>1884591</v>
      </c>
      <c r="AM4" s="539">
        <v>1880855</v>
      </c>
      <c r="AN4" s="539">
        <v>1878067</v>
      </c>
      <c r="AO4" s="539">
        <v>1874881</v>
      </c>
      <c r="AP4" s="539">
        <v>1870904</v>
      </c>
      <c r="AQ4" s="539">
        <v>1855279</v>
      </c>
      <c r="AR4" s="539">
        <v>1839193</v>
      </c>
      <c r="AS4" s="249">
        <v>1822479</v>
      </c>
      <c r="AT4" s="249">
        <f>AS4</f>
        <v>1822479</v>
      </c>
      <c r="AU4" s="249">
        <f>AVERAGE(AH4:AS4)</f>
        <v>1876466.4166666667</v>
      </c>
      <c r="AV4" s="249"/>
      <c r="AW4" s="250">
        <v>1803580</v>
      </c>
      <c r="AX4" s="249">
        <v>1790204</v>
      </c>
      <c r="AY4" s="249">
        <v>1775190</v>
      </c>
      <c r="AZ4" s="539">
        <v>1765612</v>
      </c>
      <c r="BA4" s="249">
        <v>1782731</v>
      </c>
      <c r="BB4" s="249">
        <v>1768469</v>
      </c>
      <c r="BC4" s="249">
        <v>1759997</v>
      </c>
      <c r="BD4" s="249">
        <v>1735190</v>
      </c>
      <c r="BE4" s="249">
        <v>1717237</v>
      </c>
      <c r="BF4" s="249">
        <v>1693616</v>
      </c>
      <c r="BG4" s="249">
        <v>1672289</v>
      </c>
      <c r="BH4" s="249">
        <v>1647799</v>
      </c>
      <c r="BI4" s="249">
        <f>INDEX($AW4:$BH4, 1, MATCH(0, $AW4:$BH4, -1))</f>
        <v>1647799</v>
      </c>
      <c r="BJ4" s="249">
        <f>AVERAGE(AW4:BH4)</f>
        <v>1742659.5</v>
      </c>
      <c r="BK4" s="249"/>
      <c r="BL4" s="250">
        <v>1614383</v>
      </c>
      <c r="BM4" s="249">
        <v>1596245</v>
      </c>
      <c r="BN4" s="249"/>
      <c r="BO4" s="539"/>
      <c r="BP4" s="249"/>
      <c r="BQ4" s="249"/>
      <c r="BR4" s="249"/>
      <c r="BS4" s="249"/>
      <c r="BT4" s="249"/>
      <c r="BU4" s="249"/>
      <c r="BV4" s="249"/>
      <c r="BW4" s="249"/>
      <c r="BX4" s="249">
        <f>INDEX($BL4:$BW4, 1, MATCH(0, $BL4:$BW4, -1))</f>
        <v>1596245</v>
      </c>
      <c r="BY4" s="249">
        <f>AVERAGE(BL4:BW4)</f>
        <v>1605314</v>
      </c>
      <c r="BZ4" s="6977"/>
      <c r="CB4" s="169">
        <f>IFERROR(_xlfn.XLOOKUP($A$1,$2:$2,4:4)-_xlfn.XLOOKUP(EDATE($A$1,-12),$2:$2,4:4),"")</f>
        <v>-193959</v>
      </c>
      <c r="CC4" s="169">
        <f>BY4-BJ4</f>
        <v>-137345.5</v>
      </c>
      <c r="CD4" s="303">
        <f>IFERROR(_xlfn.XLOOKUP($A$1,$2:$2,4:4)-_xlfn.XLOOKUP(EDATE($A$1,-12),$2:$2,4:4),"")</f>
        <v>-193959</v>
      </c>
      <c r="CE4" s="278">
        <f>IFERROR(
  _xlfn.XLOOKUP($A$1,$2:$2,4:4)
 -_xlfn.XLOOKUP(EDATE($A$1,-1),$2:$2,4:4),"")</f>
        <v>-18138</v>
      </c>
    </row>
    <row r="5" spans="1:83" x14ac:dyDescent="0.55000000000000004">
      <c r="A5" s="7088"/>
      <c r="B5" s="251" t="s">
        <v>56</v>
      </c>
      <c r="C5" s="252"/>
      <c r="D5" s="138">
        <f t="shared" ref="D5:P5" si="2">D14+D24</f>
        <v>0</v>
      </c>
      <c r="E5" s="137">
        <f t="shared" si="2"/>
        <v>50955</v>
      </c>
      <c r="F5" s="138">
        <f t="shared" si="2"/>
        <v>60715</v>
      </c>
      <c r="G5" s="138">
        <f t="shared" si="2"/>
        <v>55334</v>
      </c>
      <c r="H5" s="138">
        <f t="shared" si="2"/>
        <v>55246</v>
      </c>
      <c r="I5" s="138">
        <f>I14+I24</f>
        <v>57823</v>
      </c>
      <c r="J5" s="138">
        <f t="shared" si="2"/>
        <v>55801</v>
      </c>
      <c r="K5" s="138">
        <f t="shared" si="2"/>
        <v>49956</v>
      </c>
      <c r="L5" s="138">
        <f t="shared" si="2"/>
        <v>64094</v>
      </c>
      <c r="M5" s="138">
        <f t="shared" si="2"/>
        <v>47731</v>
      </c>
      <c r="N5" s="138">
        <f t="shared" si="2"/>
        <v>71376</v>
      </c>
      <c r="O5" s="138">
        <f t="shared" si="2"/>
        <v>49014</v>
      </c>
      <c r="P5" s="138">
        <f t="shared" si="2"/>
        <v>39837</v>
      </c>
      <c r="Q5" s="138">
        <f>SUM(E5:P5)</f>
        <v>657882</v>
      </c>
      <c r="R5" s="138">
        <f>Q5/12</f>
        <v>54823.5</v>
      </c>
      <c r="S5" s="137">
        <v>44833</v>
      </c>
      <c r="T5" s="138">
        <v>58018</v>
      </c>
      <c r="U5" s="138">
        <v>45975</v>
      </c>
      <c r="V5" s="138">
        <v>42289</v>
      </c>
      <c r="W5" s="138">
        <v>46787</v>
      </c>
      <c r="X5" s="138">
        <v>43236</v>
      </c>
      <c r="Y5" s="138">
        <v>42744</v>
      </c>
      <c r="Z5" s="138">
        <v>62567</v>
      </c>
      <c r="AA5" s="138">
        <v>39419</v>
      </c>
      <c r="AB5" s="138">
        <v>70467</v>
      </c>
      <c r="AC5" s="138">
        <v>41324</v>
      </c>
      <c r="AD5" s="138">
        <v>34632</v>
      </c>
      <c r="AE5" s="138">
        <f>SUM(S5:AD5)</f>
        <v>572291</v>
      </c>
      <c r="AF5" s="138">
        <f>AE5/12</f>
        <v>47690.916666666664</v>
      </c>
      <c r="AG5" s="138"/>
      <c r="AH5" s="453">
        <v>60465</v>
      </c>
      <c r="AI5" s="452">
        <v>44118</v>
      </c>
      <c r="AJ5" s="452">
        <v>46236</v>
      </c>
      <c r="AK5" s="452">
        <v>47834</v>
      </c>
      <c r="AL5" s="452">
        <v>49112</v>
      </c>
      <c r="AM5" s="452">
        <v>44044</v>
      </c>
      <c r="AN5" s="452">
        <v>61054.999999999993</v>
      </c>
      <c r="AO5" s="452">
        <v>47733</v>
      </c>
      <c r="AP5" s="452">
        <v>67427</v>
      </c>
      <c r="AQ5" s="452">
        <v>61530</v>
      </c>
      <c r="AR5" s="452">
        <v>48015</v>
      </c>
      <c r="AS5" s="138">
        <v>41108</v>
      </c>
      <c r="AT5" s="138">
        <f>SUM(AH5:AS5)</f>
        <v>618677</v>
      </c>
      <c r="AU5" s="138">
        <f t="shared" ref="AU5:AU38" si="3">AVERAGE(AH5:AS5)</f>
        <v>51556.416666666664</v>
      </c>
      <c r="AV5" s="138"/>
      <c r="AW5" s="137">
        <v>38822</v>
      </c>
      <c r="AX5" s="452">
        <v>74843</v>
      </c>
      <c r="AY5" s="452">
        <v>50688</v>
      </c>
      <c r="AZ5" s="452">
        <v>64086</v>
      </c>
      <c r="BA5" s="452">
        <v>98908</v>
      </c>
      <c r="BB5" s="452">
        <v>63565</v>
      </c>
      <c r="BC5" s="452">
        <v>95972</v>
      </c>
      <c r="BD5" s="452">
        <v>57549</v>
      </c>
      <c r="BE5" s="452">
        <v>76227</v>
      </c>
      <c r="BF5" s="138">
        <v>62495</v>
      </c>
      <c r="BG5" s="138">
        <v>52601</v>
      </c>
      <c r="BH5" s="452">
        <v>52735</v>
      </c>
      <c r="BI5" s="138">
        <f t="shared" ref="BI5:BI12" si="4">SUM(AW5:BH5)</f>
        <v>788491</v>
      </c>
      <c r="BJ5" s="138">
        <f t="shared" ref="BJ5:BJ38" si="5">AVERAGE(AW5:BH5)</f>
        <v>65707.583333333328</v>
      </c>
      <c r="BK5" s="138"/>
      <c r="BL5" s="137">
        <v>41214</v>
      </c>
      <c r="BM5" s="452">
        <v>25644</v>
      </c>
      <c r="BN5" s="452"/>
      <c r="BO5" s="452"/>
      <c r="BP5" s="452"/>
      <c r="BQ5" s="452"/>
      <c r="BR5" s="452"/>
      <c r="BS5" s="452"/>
      <c r="BT5" s="452"/>
      <c r="BU5" s="138"/>
      <c r="BV5" s="138"/>
      <c r="BW5" s="452"/>
      <c r="BX5" s="138">
        <f t="shared" ref="BX5:BX12" si="6">SUM(BL5:BW5)</f>
        <v>66858</v>
      </c>
      <c r="BY5" s="138">
        <f t="shared" ref="BY5:BY32" si="7">AVERAGE(BL5:BW5)</f>
        <v>33429</v>
      </c>
      <c r="BZ5" s="6977"/>
      <c r="CB5" s="169">
        <f t="shared" ref="CB5:CB63" si="8">IFERROR(_xlfn.XLOOKUP($A$1,$2:$2,5:5)-_xlfn.XLOOKUP(EDATE($A$1,-12),$2:$2,5:5),"")</f>
        <v>-49199</v>
      </c>
      <c r="CC5" s="169">
        <f>BY5-BJ5</f>
        <v>-32278.583333333328</v>
      </c>
      <c r="CD5" s="169">
        <f>IFERROR(
  SUM(
    _xlfn.XLOOKUP(DATE(YEAR($A$1),1,1),$2:$2,5:5):
    _xlfn.XLOOKUP($A$1,$2:$2,5:5)
  )
 -SUM(
    _xlfn.XLOOKUP(DATE(YEAR($A$1)-1,1,1),$2:$2,5:5):
    _xlfn.XLOOKUP(EDATE($A$1,-12),$2:$2,5:5)
  ),"")</f>
        <v>-46807</v>
      </c>
      <c r="CE5" s="278">
        <f t="shared" ref="CE5:CE38" si="9">IFERROR(
  _xlfn.XLOOKUP($A$1,$2:$2,5:5)
 -_xlfn.XLOOKUP(EDATE($A$1,-1),$2:$2,5:5),"")</f>
        <v>-15570</v>
      </c>
    </row>
    <row r="6" spans="1:83" x14ac:dyDescent="0.55000000000000004">
      <c r="A6" s="7088"/>
      <c r="C6" t="s">
        <v>46</v>
      </c>
      <c r="D6" s="253"/>
      <c r="E6" s="139">
        <v>19297</v>
      </c>
      <c r="F6" s="140">
        <v>19144</v>
      </c>
      <c r="G6" s="140">
        <v>20698</v>
      </c>
      <c r="H6" s="140">
        <v>17541</v>
      </c>
      <c r="I6" s="140">
        <v>19365</v>
      </c>
      <c r="J6" s="140">
        <v>17053</v>
      </c>
      <c r="K6" s="140">
        <v>16148</v>
      </c>
      <c r="L6" s="140">
        <v>16035</v>
      </c>
      <c r="M6" s="140">
        <v>18739</v>
      </c>
      <c r="N6" s="140">
        <v>21559</v>
      </c>
      <c r="O6" s="140">
        <v>17952</v>
      </c>
      <c r="P6" s="140">
        <v>14762</v>
      </c>
      <c r="Q6" s="140">
        <f t="shared" ref="Q6:Q12" si="10">SUM(E6:P6)</f>
        <v>218293</v>
      </c>
      <c r="R6" s="140">
        <f t="shared" ref="R6:R12" si="11">Q6/12</f>
        <v>18191.083333333332</v>
      </c>
      <c r="S6" s="139">
        <v>16090</v>
      </c>
      <c r="T6" s="140">
        <v>17248</v>
      </c>
      <c r="U6" s="140">
        <v>16498</v>
      </c>
      <c r="V6" s="140">
        <v>13932</v>
      </c>
      <c r="W6" s="140">
        <v>16998</v>
      </c>
      <c r="X6" s="140">
        <v>15967</v>
      </c>
      <c r="Y6" s="140">
        <v>16709</v>
      </c>
      <c r="Z6" s="140">
        <v>18212</v>
      </c>
      <c r="AA6" s="140">
        <v>15262</v>
      </c>
      <c r="AB6" s="140">
        <v>17402</v>
      </c>
      <c r="AC6" s="140">
        <v>14939</v>
      </c>
      <c r="AD6" s="140">
        <v>13084</v>
      </c>
      <c r="AE6" s="140">
        <f t="shared" ref="AE6:AE12" si="12">SUM(S6:AD6)</f>
        <v>192341</v>
      </c>
      <c r="AF6" s="140">
        <f t="shared" ref="AF6:AF12" si="13">AE6/12</f>
        <v>16028.416666666666</v>
      </c>
      <c r="AG6" s="140"/>
      <c r="AH6" s="451">
        <v>21158</v>
      </c>
      <c r="AI6" s="450">
        <v>18812</v>
      </c>
      <c r="AJ6" s="450">
        <v>21166</v>
      </c>
      <c r="AK6" s="450">
        <v>20382</v>
      </c>
      <c r="AL6" s="450">
        <v>23263</v>
      </c>
      <c r="AM6" s="450">
        <v>21034</v>
      </c>
      <c r="AN6" s="450">
        <v>21255</v>
      </c>
      <c r="AO6" s="450">
        <v>19773</v>
      </c>
      <c r="AP6" s="450">
        <v>18965</v>
      </c>
      <c r="AQ6" s="450">
        <v>20062</v>
      </c>
      <c r="AR6" s="450">
        <v>19262</v>
      </c>
      <c r="AS6" s="140">
        <v>0</v>
      </c>
      <c r="AT6" s="140">
        <f t="shared" ref="AT6:AT12" si="14">SUM(AH6:AS6)</f>
        <v>225132</v>
      </c>
      <c r="AU6" s="140">
        <f t="shared" si="3"/>
        <v>18761</v>
      </c>
      <c r="AV6" s="140"/>
      <c r="AW6" s="139">
        <v>17134</v>
      </c>
      <c r="AX6" s="450">
        <v>24904</v>
      </c>
      <c r="AY6" s="450">
        <v>21688</v>
      </c>
      <c r="AZ6" s="450">
        <v>34019</v>
      </c>
      <c r="BA6" s="450">
        <v>68004</v>
      </c>
      <c r="BB6" s="450">
        <v>33265</v>
      </c>
      <c r="BC6" s="450">
        <v>49066</v>
      </c>
      <c r="BD6" s="450">
        <v>21066</v>
      </c>
      <c r="BE6" s="450">
        <v>23055</v>
      </c>
      <c r="BF6" s="140">
        <v>19985</v>
      </c>
      <c r="BG6" s="140">
        <v>21481</v>
      </c>
      <c r="BH6" s="450">
        <v>21980</v>
      </c>
      <c r="BI6" s="140">
        <f t="shared" si="4"/>
        <v>355647</v>
      </c>
      <c r="BJ6" s="140">
        <f t="shared" si="5"/>
        <v>29637.25</v>
      </c>
      <c r="BK6" s="140"/>
      <c r="BL6" s="139">
        <v>13704</v>
      </c>
      <c r="BM6" s="450">
        <v>9219</v>
      </c>
      <c r="BN6" s="450"/>
      <c r="BO6" s="450"/>
      <c r="BP6" s="450"/>
      <c r="BQ6" s="450"/>
      <c r="BR6" s="450"/>
      <c r="BS6" s="450"/>
      <c r="BT6" s="450"/>
      <c r="BU6" s="140"/>
      <c r="BV6" s="140"/>
      <c r="BW6" s="450"/>
      <c r="BX6" s="140">
        <f t="shared" si="6"/>
        <v>22923</v>
      </c>
      <c r="BY6" s="140">
        <f t="shared" si="7"/>
        <v>11461.5</v>
      </c>
      <c r="BZ6" s="6977"/>
      <c r="CB6" s="169">
        <f t="shared" si="8"/>
        <v>-15685</v>
      </c>
      <c r="CC6" s="169">
        <f>BY6-BJ6</f>
        <v>-18175.75</v>
      </c>
      <c r="CD6" s="169">
        <f>IFERROR(
  SUM(
    _xlfn.XLOOKUP(DATE(YEAR($A$1),1,1),$2:$2,6:6):
    _xlfn.XLOOKUP($A$1,$2:$2,6:6)
  )
 -SUM(
    _xlfn.XLOOKUP(DATE(YEAR($A$1)-1,1,1),$2:$2,6:6):
    _xlfn.XLOOKUP(EDATE($A$1,-12),$2:$2,6:6)
  ),"")</f>
        <v>-19115</v>
      </c>
      <c r="CE6" s="278">
        <f t="shared" si="9"/>
        <v>-4485</v>
      </c>
    </row>
    <row r="7" spans="1:83" x14ac:dyDescent="0.55000000000000004">
      <c r="A7" s="7088"/>
      <c r="C7" t="s">
        <v>55</v>
      </c>
      <c r="D7" s="253"/>
      <c r="E7" s="139">
        <v>31658</v>
      </c>
      <c r="F7" s="140">
        <v>41571</v>
      </c>
      <c r="G7" s="140">
        <v>34636</v>
      </c>
      <c r="H7" s="140">
        <v>37705</v>
      </c>
      <c r="I7" s="140">
        <v>38458</v>
      </c>
      <c r="J7" s="140">
        <v>38748</v>
      </c>
      <c r="K7" s="140">
        <v>33808</v>
      </c>
      <c r="L7" s="140">
        <v>48059</v>
      </c>
      <c r="M7" s="140">
        <v>28992</v>
      </c>
      <c r="N7" s="140">
        <v>49817</v>
      </c>
      <c r="O7" s="140">
        <v>31062</v>
      </c>
      <c r="P7" s="140">
        <v>25075</v>
      </c>
      <c r="Q7" s="140">
        <f t="shared" si="10"/>
        <v>439589</v>
      </c>
      <c r="R7" s="140">
        <f t="shared" si="11"/>
        <v>36632.416666666664</v>
      </c>
      <c r="S7" s="139">
        <f>S16+S26</f>
        <v>28743</v>
      </c>
      <c r="T7" s="140">
        <f t="shared" ref="S7:AD11" si="15">T16+T26</f>
        <v>40770</v>
      </c>
      <c r="U7" s="140">
        <f t="shared" si="15"/>
        <v>29477</v>
      </c>
      <c r="V7" s="140">
        <f t="shared" si="15"/>
        <v>28357</v>
      </c>
      <c r="W7" s="140">
        <v>29789</v>
      </c>
      <c r="X7" s="140">
        <v>27269</v>
      </c>
      <c r="Y7" s="140">
        <v>26035</v>
      </c>
      <c r="Z7" s="140">
        <v>44355</v>
      </c>
      <c r="AA7" s="140">
        <v>24157</v>
      </c>
      <c r="AB7" s="140">
        <v>53065</v>
      </c>
      <c r="AC7" s="140">
        <v>26385</v>
      </c>
      <c r="AD7" s="140">
        <v>21548</v>
      </c>
      <c r="AE7" s="140">
        <f t="shared" si="12"/>
        <v>379950</v>
      </c>
      <c r="AF7" s="140">
        <f t="shared" si="13"/>
        <v>31662.5</v>
      </c>
      <c r="AG7" s="140"/>
      <c r="AH7" s="451">
        <v>39132</v>
      </c>
      <c r="AI7" s="450">
        <v>24425</v>
      </c>
      <c r="AJ7" s="450">
        <v>25714</v>
      </c>
      <c r="AK7" s="450">
        <v>28122</v>
      </c>
      <c r="AL7" s="450">
        <v>26401</v>
      </c>
      <c r="AM7" s="450">
        <v>23736</v>
      </c>
      <c r="AN7" s="450">
        <v>40335</v>
      </c>
      <c r="AO7" s="450">
        <v>28327</v>
      </c>
      <c r="AP7" s="450">
        <v>48973</v>
      </c>
      <c r="AQ7" s="450">
        <v>42189</v>
      </c>
      <c r="AR7" s="450">
        <v>29295</v>
      </c>
      <c r="AS7" s="140">
        <v>856</v>
      </c>
      <c r="AT7" s="140">
        <f t="shared" si="14"/>
        <v>357505</v>
      </c>
      <c r="AU7" s="140">
        <f t="shared" si="3"/>
        <v>29792.083333333332</v>
      </c>
      <c r="AV7" s="140"/>
      <c r="AW7" s="139">
        <v>21688</v>
      </c>
      <c r="AX7" s="450">
        <v>49939</v>
      </c>
      <c r="AY7" s="450">
        <v>29000</v>
      </c>
      <c r="AZ7" s="450">
        <v>30067</v>
      </c>
      <c r="BA7" s="450">
        <v>30904</v>
      </c>
      <c r="BB7" s="450">
        <v>30300</v>
      </c>
      <c r="BC7" s="450">
        <v>46898</v>
      </c>
      <c r="BD7" s="450">
        <v>36483</v>
      </c>
      <c r="BE7" s="450">
        <v>53172</v>
      </c>
      <c r="BF7" s="140">
        <v>15625</v>
      </c>
      <c r="BG7" s="140">
        <v>11158</v>
      </c>
      <c r="BH7" s="450">
        <v>10059</v>
      </c>
      <c r="BI7" s="140">
        <f t="shared" si="4"/>
        <v>365293</v>
      </c>
      <c r="BJ7" s="140">
        <f t="shared" si="5"/>
        <v>30441.083333333332</v>
      </c>
      <c r="BK7" s="140"/>
      <c r="BL7" s="139">
        <v>27510</v>
      </c>
      <c r="BM7" s="450">
        <v>16425</v>
      </c>
      <c r="BN7" s="450"/>
      <c r="BO7" s="450"/>
      <c r="BP7" s="450"/>
      <c r="BQ7" s="450"/>
      <c r="BR7" s="450"/>
      <c r="BS7" s="450"/>
      <c r="BT7" s="450"/>
      <c r="BU7" s="140"/>
      <c r="BV7" s="140"/>
      <c r="BW7" s="450"/>
      <c r="BX7" s="140">
        <f t="shared" si="6"/>
        <v>43935</v>
      </c>
      <c r="BY7" s="140">
        <f t="shared" si="7"/>
        <v>21967.5</v>
      </c>
      <c r="BZ7" s="6977"/>
      <c r="CB7" s="169">
        <f t="shared" si="8"/>
        <v>-33514</v>
      </c>
      <c r="CC7" s="169">
        <f>BY7-BJ7</f>
        <v>-8473.5833333333321</v>
      </c>
      <c r="CD7" s="169">
        <f>IFERROR(
  SUM(
    _xlfn.XLOOKUP(DATE(YEAR($A$1),1,1),$2:$2,7:7):
    _xlfn.XLOOKUP($A$1,$2:$2,7:7)
  )
 -SUM(
    _xlfn.XLOOKUP(DATE(YEAR($A$1)-1,1,1),$2:$2,7:7):
    _xlfn.XLOOKUP(EDATE($A$1,-12),$2:$2,7:7)
  ),"")</f>
        <v>-27692</v>
      </c>
      <c r="CE7" s="278">
        <f t="shared" si="9"/>
        <v>-11085</v>
      </c>
    </row>
    <row r="8" spans="1:83" x14ac:dyDescent="0.55000000000000004">
      <c r="A8" s="7088"/>
      <c r="B8" t="s">
        <v>47</v>
      </c>
      <c r="D8" s="253"/>
      <c r="E8" s="139">
        <v>19409</v>
      </c>
      <c r="F8" s="140">
        <v>15664</v>
      </c>
      <c r="G8" s="140">
        <v>17851</v>
      </c>
      <c r="H8" s="140">
        <v>15117</v>
      </c>
      <c r="I8" s="140">
        <v>15428</v>
      </c>
      <c r="J8" s="140">
        <v>14814</v>
      </c>
      <c r="K8" s="140">
        <v>14533</v>
      </c>
      <c r="L8" s="140">
        <v>14838</v>
      </c>
      <c r="M8" s="140">
        <v>13068</v>
      </c>
      <c r="N8" s="140">
        <v>15405</v>
      </c>
      <c r="O8" s="140">
        <v>14418</v>
      </c>
      <c r="P8" s="140">
        <v>16778</v>
      </c>
      <c r="Q8" s="140">
        <f t="shared" si="10"/>
        <v>187323</v>
      </c>
      <c r="R8" s="140">
        <f t="shared" si="11"/>
        <v>15610.25</v>
      </c>
      <c r="S8" s="139">
        <f t="shared" si="15"/>
        <v>14759</v>
      </c>
      <c r="T8" s="140">
        <f t="shared" si="15"/>
        <v>14853</v>
      </c>
      <c r="U8" s="140">
        <f t="shared" si="15"/>
        <v>14862</v>
      </c>
      <c r="V8" s="140">
        <f t="shared" si="15"/>
        <v>14647</v>
      </c>
      <c r="W8" s="140">
        <f t="shared" si="15"/>
        <v>17249</v>
      </c>
      <c r="X8" s="140">
        <f t="shared" si="15"/>
        <v>16180</v>
      </c>
      <c r="Y8" s="140">
        <f t="shared" si="15"/>
        <v>17733</v>
      </c>
      <c r="Z8" s="140">
        <f t="shared" si="15"/>
        <v>19400</v>
      </c>
      <c r="AA8" s="140">
        <f t="shared" si="15"/>
        <v>15703</v>
      </c>
      <c r="AB8" s="140">
        <f t="shared" si="15"/>
        <v>18027</v>
      </c>
      <c r="AC8" s="140">
        <f t="shared" si="15"/>
        <v>16624</v>
      </c>
      <c r="AD8" s="140">
        <f t="shared" si="15"/>
        <v>16080</v>
      </c>
      <c r="AE8" s="140">
        <f t="shared" si="12"/>
        <v>196117</v>
      </c>
      <c r="AF8" s="140">
        <f t="shared" si="13"/>
        <v>16343.083333333334</v>
      </c>
      <c r="AG8" s="140"/>
      <c r="AH8" s="451">
        <v>17406</v>
      </c>
      <c r="AI8" s="450">
        <v>16695</v>
      </c>
      <c r="AJ8" s="450">
        <v>17129</v>
      </c>
      <c r="AK8" s="450">
        <v>17464</v>
      </c>
      <c r="AL8" s="450">
        <v>18385</v>
      </c>
      <c r="AM8" s="450">
        <v>16087</v>
      </c>
      <c r="AN8" s="450">
        <v>17724</v>
      </c>
      <c r="AO8" s="450">
        <v>16788</v>
      </c>
      <c r="AP8" s="450">
        <v>15770</v>
      </c>
      <c r="AQ8" s="450">
        <v>16883</v>
      </c>
      <c r="AR8" s="450">
        <v>17753</v>
      </c>
      <c r="AS8" s="140">
        <v>18307</v>
      </c>
      <c r="AT8" s="140">
        <f t="shared" si="14"/>
        <v>206391</v>
      </c>
      <c r="AU8" s="140">
        <f t="shared" si="3"/>
        <v>17199.25</v>
      </c>
      <c r="AV8" s="140"/>
      <c r="AW8" s="139">
        <v>14989</v>
      </c>
      <c r="AX8" s="450">
        <v>18290</v>
      </c>
      <c r="AY8" s="450">
        <v>16783</v>
      </c>
      <c r="AZ8" s="450">
        <v>16056</v>
      </c>
      <c r="BA8" s="450">
        <v>13653</v>
      </c>
      <c r="BB8" s="450">
        <v>15996</v>
      </c>
      <c r="BC8" s="450">
        <v>23615</v>
      </c>
      <c r="BD8" s="450">
        <v>17953</v>
      </c>
      <c r="BE8" s="450">
        <v>17962</v>
      </c>
      <c r="BF8" s="140">
        <v>17778</v>
      </c>
      <c r="BG8" s="140">
        <v>17373</v>
      </c>
      <c r="BH8" s="450">
        <v>19584</v>
      </c>
      <c r="BI8" s="140">
        <f t="shared" si="4"/>
        <v>210032</v>
      </c>
      <c r="BJ8" s="140">
        <f t="shared" si="5"/>
        <v>17502.666666666668</v>
      </c>
      <c r="BK8" s="140"/>
      <c r="BL8" s="139">
        <v>38385</v>
      </c>
      <c r="BM8" s="450">
        <v>12686</v>
      </c>
      <c r="BN8" s="450"/>
      <c r="BO8" s="450"/>
      <c r="BP8" s="450"/>
      <c r="BQ8" s="450"/>
      <c r="BR8" s="450"/>
      <c r="BS8" s="450"/>
      <c r="BT8" s="450"/>
      <c r="BU8" s="140"/>
      <c r="BV8" s="140"/>
      <c r="BW8" s="450"/>
      <c r="BX8" s="140">
        <f t="shared" si="6"/>
        <v>51071</v>
      </c>
      <c r="BY8" s="140">
        <f t="shared" si="7"/>
        <v>25535.5</v>
      </c>
      <c r="BZ8" s="6977"/>
      <c r="CB8" s="169">
        <f t="shared" si="8"/>
        <v>-5604</v>
      </c>
      <c r="CC8" s="169">
        <f>BY8-BJ8</f>
        <v>8032.8333333333321</v>
      </c>
      <c r="CD8" s="169">
        <f>IFERROR(
  SUM(
    _xlfn.XLOOKUP(DATE(YEAR($A$1),1,1),$2:$2,8:8):
    _xlfn.XLOOKUP($A$1,$2:$2,8:8)
  )
 -SUM(
    _xlfn.XLOOKUP(DATE(YEAR($A$1)-1,1,1),$2:$2,8:8):
    _xlfn.XLOOKUP(EDATE($A$1,-12),$2:$2,8:8)
  ),"")</f>
        <v>17792</v>
      </c>
      <c r="CE8" s="278">
        <f t="shared" si="9"/>
        <v>-25699</v>
      </c>
    </row>
    <row r="9" spans="1:83" x14ac:dyDescent="0.55000000000000004">
      <c r="A9" s="7088"/>
      <c r="B9" t="s">
        <v>58</v>
      </c>
      <c r="D9" s="253"/>
      <c r="E9" s="139">
        <v>1796</v>
      </c>
      <c r="F9" s="140">
        <v>739</v>
      </c>
      <c r="G9" s="140">
        <v>2968</v>
      </c>
      <c r="H9" s="140">
        <v>896</v>
      </c>
      <c r="I9" s="140">
        <v>1767</v>
      </c>
      <c r="J9" s="140">
        <v>1495</v>
      </c>
      <c r="K9" s="140">
        <v>941</v>
      </c>
      <c r="L9" s="140">
        <v>1616</v>
      </c>
      <c r="M9" s="140">
        <v>1021</v>
      </c>
      <c r="N9" s="140">
        <v>1267</v>
      </c>
      <c r="O9" s="140">
        <v>940</v>
      </c>
      <c r="P9" s="140">
        <v>2802</v>
      </c>
      <c r="Q9" s="140">
        <f t="shared" si="10"/>
        <v>18248</v>
      </c>
      <c r="R9" s="140">
        <f t="shared" si="11"/>
        <v>1520.6666666666667</v>
      </c>
      <c r="S9" s="139">
        <f t="shared" si="15"/>
        <v>918</v>
      </c>
      <c r="T9" s="140">
        <f t="shared" si="15"/>
        <v>903</v>
      </c>
      <c r="U9" s="140">
        <f t="shared" si="15"/>
        <v>1118</v>
      </c>
      <c r="V9" s="140">
        <f t="shared" si="15"/>
        <v>997</v>
      </c>
      <c r="W9" s="140">
        <f t="shared" si="15"/>
        <v>2183</v>
      </c>
      <c r="X9" s="140">
        <f t="shared" si="15"/>
        <v>1226</v>
      </c>
      <c r="Y9" s="140">
        <f t="shared" si="15"/>
        <v>1081</v>
      </c>
      <c r="Z9" s="140">
        <f t="shared" si="15"/>
        <v>1144</v>
      </c>
      <c r="AA9" s="140">
        <f t="shared" si="15"/>
        <v>1716</v>
      </c>
      <c r="AB9" s="140">
        <f t="shared" si="15"/>
        <v>1040</v>
      </c>
      <c r="AC9" s="140">
        <f t="shared" si="15"/>
        <v>1229</v>
      </c>
      <c r="AD9" s="140">
        <f t="shared" si="15"/>
        <v>2506</v>
      </c>
      <c r="AE9" s="140">
        <f t="shared" si="12"/>
        <v>16061</v>
      </c>
      <c r="AF9" s="140">
        <f t="shared" si="13"/>
        <v>1338.4166666666667</v>
      </c>
      <c r="AG9" s="140"/>
      <c r="AH9" s="451">
        <v>976</v>
      </c>
      <c r="AI9" s="450">
        <v>989</v>
      </c>
      <c r="AJ9" s="450">
        <v>1322</v>
      </c>
      <c r="AK9" s="450">
        <v>1340</v>
      </c>
      <c r="AL9" s="450">
        <v>2189</v>
      </c>
      <c r="AM9" s="450">
        <v>1151</v>
      </c>
      <c r="AN9" s="450">
        <v>1186</v>
      </c>
      <c r="AO9" s="450">
        <v>1414</v>
      </c>
      <c r="AP9" s="450">
        <v>1505</v>
      </c>
      <c r="AQ9" s="450">
        <v>1368</v>
      </c>
      <c r="AR9" s="450">
        <v>1477</v>
      </c>
      <c r="AS9" s="140">
        <v>3350</v>
      </c>
      <c r="AT9" s="140">
        <f t="shared" si="14"/>
        <v>18267</v>
      </c>
      <c r="AU9" s="140">
        <f t="shared" si="3"/>
        <v>1522.25</v>
      </c>
      <c r="AV9" s="140"/>
      <c r="AW9" s="139">
        <v>1314</v>
      </c>
      <c r="AX9" s="450">
        <v>1140</v>
      </c>
      <c r="AY9" s="450">
        <v>1083</v>
      </c>
      <c r="AZ9" s="450">
        <v>5069</v>
      </c>
      <c r="BA9" s="450">
        <v>1160</v>
      </c>
      <c r="BB9" s="450">
        <v>2042</v>
      </c>
      <c r="BC9" s="450">
        <v>1131</v>
      </c>
      <c r="BD9" s="450">
        <v>1265</v>
      </c>
      <c r="BE9" s="450">
        <v>1120</v>
      </c>
      <c r="BF9" s="140">
        <v>1323</v>
      </c>
      <c r="BG9" s="140">
        <v>1250</v>
      </c>
      <c r="BH9" s="450">
        <v>1545</v>
      </c>
      <c r="BI9" s="140">
        <f t="shared" si="4"/>
        <v>19442</v>
      </c>
      <c r="BJ9" s="140">
        <f t="shared" si="5"/>
        <v>1620.1666666666667</v>
      </c>
      <c r="BK9" s="140"/>
      <c r="BL9" s="139">
        <v>2338</v>
      </c>
      <c r="BM9" s="450">
        <v>836</v>
      </c>
      <c r="BN9" s="450"/>
      <c r="BO9" s="450"/>
      <c r="BP9" s="450"/>
      <c r="BQ9" s="450"/>
      <c r="BR9" s="450"/>
      <c r="BS9" s="450"/>
      <c r="BT9" s="450"/>
      <c r="BU9" s="140"/>
      <c r="BV9" s="140"/>
      <c r="BW9" s="450"/>
      <c r="BX9" s="140">
        <f t="shared" si="6"/>
        <v>3174</v>
      </c>
      <c r="BY9" s="140">
        <f t="shared" si="7"/>
        <v>1587</v>
      </c>
      <c r="BZ9" s="6977"/>
      <c r="CB9" s="169">
        <f t="shared" si="8"/>
        <v>-304</v>
      </c>
      <c r="CC9" s="169">
        <f>BY9-BJ9</f>
        <v>-33.166666666666742</v>
      </c>
      <c r="CD9" s="169">
        <f>IFERROR(
  SUM(
    _xlfn.XLOOKUP(DATE(YEAR($A$1),1,1),$2:$2,9:9):
    _xlfn.XLOOKUP($A$1,$2:$2,9:9)
  )
 -SUM(
    _xlfn.XLOOKUP(DATE(YEAR($A$1)-1,1,1),$2:$2,9:9):
    _xlfn.XLOOKUP(EDATE($A$1,-12),$2:$2,9:9)
  ),"")</f>
        <v>720</v>
      </c>
      <c r="CE9" s="278">
        <f t="shared" si="9"/>
        <v>-1502</v>
      </c>
    </row>
    <row r="10" spans="1:83" x14ac:dyDescent="0.55000000000000004">
      <c r="A10" s="7088"/>
      <c r="B10" t="s">
        <v>48</v>
      </c>
      <c r="D10" s="253"/>
      <c r="E10" s="139">
        <f>E19+E29</f>
        <v>40163</v>
      </c>
      <c r="F10" s="140">
        <f t="shared" ref="F10:P11" si="16">F19+F29</f>
        <v>14222</v>
      </c>
      <c r="G10" s="140">
        <f t="shared" si="16"/>
        <v>27487</v>
      </c>
      <c r="H10" s="140">
        <f t="shared" si="16"/>
        <v>27041</v>
      </c>
      <c r="I10" s="140">
        <f t="shared" si="16"/>
        <v>26286</v>
      </c>
      <c r="J10" s="140">
        <f t="shared" si="16"/>
        <v>26784</v>
      </c>
      <c r="K10" s="140">
        <f t="shared" si="16"/>
        <v>24600</v>
      </c>
      <c r="L10" s="140">
        <f t="shared" si="16"/>
        <v>35695</v>
      </c>
      <c r="M10" s="140">
        <f>M19+M29</f>
        <v>23126</v>
      </c>
      <c r="N10" s="140">
        <f t="shared" si="16"/>
        <v>37728</v>
      </c>
      <c r="O10" s="140">
        <f t="shared" si="16"/>
        <v>24424</v>
      </c>
      <c r="P10" s="140">
        <f t="shared" si="16"/>
        <v>22286</v>
      </c>
      <c r="Q10" s="140">
        <f t="shared" si="10"/>
        <v>329842</v>
      </c>
      <c r="R10" s="140">
        <f t="shared" si="11"/>
        <v>27486.833333333332</v>
      </c>
      <c r="S10" s="139">
        <f t="shared" si="15"/>
        <v>38632</v>
      </c>
      <c r="T10" s="140">
        <f t="shared" si="15"/>
        <v>34654</v>
      </c>
      <c r="U10" s="140">
        <f t="shared" si="15"/>
        <v>27120</v>
      </c>
      <c r="V10" s="140">
        <f t="shared" si="15"/>
        <v>17663</v>
      </c>
      <c r="W10" s="140">
        <f t="shared" si="15"/>
        <v>26322</v>
      </c>
      <c r="X10" s="140">
        <f t="shared" si="15"/>
        <v>24034</v>
      </c>
      <c r="Y10" s="140">
        <f t="shared" si="15"/>
        <v>23809</v>
      </c>
      <c r="Z10" s="140">
        <f t="shared" si="15"/>
        <v>40399</v>
      </c>
      <c r="AA10" s="140">
        <f t="shared" si="15"/>
        <v>22658</v>
      </c>
      <c r="AB10" s="140">
        <f t="shared" si="15"/>
        <v>41628</v>
      </c>
      <c r="AC10" s="140">
        <f t="shared" si="15"/>
        <v>23565</v>
      </c>
      <c r="AD10" s="140">
        <f t="shared" si="15"/>
        <v>20371</v>
      </c>
      <c r="AE10" s="140">
        <f t="shared" si="12"/>
        <v>340855</v>
      </c>
      <c r="AF10" s="140">
        <f t="shared" si="13"/>
        <v>28404.583333333332</v>
      </c>
      <c r="AG10" s="140"/>
      <c r="AH10" s="451">
        <v>36822</v>
      </c>
      <c r="AI10" s="450">
        <v>26513</v>
      </c>
      <c r="AJ10" s="450">
        <v>30707</v>
      </c>
      <c r="AK10" s="450">
        <v>32391</v>
      </c>
      <c r="AL10" s="450">
        <v>30663</v>
      </c>
      <c r="AM10" s="450">
        <v>24954</v>
      </c>
      <c r="AN10" s="450">
        <v>35706.999999999993</v>
      </c>
      <c r="AO10" s="450">
        <v>24216</v>
      </c>
      <c r="AP10" s="450">
        <v>45778</v>
      </c>
      <c r="AQ10" s="450">
        <v>46041</v>
      </c>
      <c r="AR10" s="450">
        <v>33123</v>
      </c>
      <c r="AS10" s="140">
        <v>30026</v>
      </c>
      <c r="AT10" s="140">
        <f t="shared" si="14"/>
        <v>396941</v>
      </c>
      <c r="AU10" s="140">
        <f t="shared" si="3"/>
        <v>33078.416666666664</v>
      </c>
      <c r="AV10" s="140"/>
      <c r="AW10" s="139">
        <v>33452</v>
      </c>
      <c r="AX10" s="450">
        <v>58703</v>
      </c>
      <c r="AY10" s="450">
        <v>40861</v>
      </c>
      <c r="AZ10" s="450">
        <v>46142</v>
      </c>
      <c r="BA10" s="450">
        <v>58250</v>
      </c>
      <c r="BB10" s="450">
        <v>49360</v>
      </c>
      <c r="BC10" s="450">
        <v>67006</v>
      </c>
      <c r="BD10" s="450">
        <v>49657</v>
      </c>
      <c r="BE10" s="450">
        <v>63821</v>
      </c>
      <c r="BF10" s="140">
        <v>52754</v>
      </c>
      <c r="BG10" s="140">
        <v>44092</v>
      </c>
      <c r="BH10" s="450">
        <v>45806</v>
      </c>
      <c r="BI10" s="140">
        <f t="shared" si="4"/>
        <v>609904</v>
      </c>
      <c r="BJ10" s="140">
        <f t="shared" si="5"/>
        <v>50825.333333333336</v>
      </c>
      <c r="BK10" s="140"/>
      <c r="BL10" s="139">
        <v>9545</v>
      </c>
      <c r="BM10" s="450">
        <v>11566</v>
      </c>
      <c r="BN10" s="450"/>
      <c r="BO10" s="450"/>
      <c r="BP10" s="450"/>
      <c r="BQ10" s="450"/>
      <c r="BR10" s="450"/>
      <c r="BS10" s="450"/>
      <c r="BT10" s="450"/>
      <c r="BU10" s="140"/>
      <c r="BV10" s="140"/>
      <c r="BW10" s="450"/>
      <c r="BX10" s="140">
        <f t="shared" si="6"/>
        <v>21111</v>
      </c>
      <c r="BY10" s="140">
        <f t="shared" si="7"/>
        <v>10555.5</v>
      </c>
      <c r="BZ10" s="6977"/>
      <c r="CB10" s="169">
        <f t="shared" si="8"/>
        <v>-47137</v>
      </c>
      <c r="CC10" s="169">
        <f>BY10-BJ10</f>
        <v>-40269.833333333336</v>
      </c>
      <c r="CD10" s="169">
        <f>IFERROR(
  SUM(
    _xlfn.XLOOKUP(DATE(YEAR($A$1),1,1),$2:$2,10:10):
    _xlfn.XLOOKUP($A$1,$2:$2,10:10)
  )
 -SUM(
    _xlfn.XLOOKUP(DATE(YEAR($A$1)-1,1,1),$2:$2,10:10):
    _xlfn.XLOOKUP(EDATE($A$1,-12),$2:$2,10:10)
  ),"")</f>
        <v>-71044</v>
      </c>
      <c r="CE10" s="278">
        <f t="shared" si="9"/>
        <v>2021</v>
      </c>
    </row>
    <row r="11" spans="1:83" x14ac:dyDescent="0.55000000000000004">
      <c r="A11" s="7088"/>
      <c r="B11" t="s">
        <v>49</v>
      </c>
      <c r="D11" s="253"/>
      <c r="E11" s="139">
        <f>E20+E30</f>
        <v>8130</v>
      </c>
      <c r="F11" s="140">
        <f t="shared" si="16"/>
        <v>15310</v>
      </c>
      <c r="G11" s="140">
        <f t="shared" si="16"/>
        <v>8057</v>
      </c>
      <c r="H11" s="140">
        <f t="shared" si="16"/>
        <v>8706</v>
      </c>
      <c r="I11" s="140">
        <f t="shared" si="16"/>
        <v>10281</v>
      </c>
      <c r="J11" s="140">
        <f t="shared" si="16"/>
        <v>7994</v>
      </c>
      <c r="K11" s="140">
        <f t="shared" si="16"/>
        <v>8842</v>
      </c>
      <c r="L11" s="140">
        <f t="shared" si="16"/>
        <v>17413</v>
      </c>
      <c r="M11" s="140">
        <f t="shared" si="16"/>
        <v>11736</v>
      </c>
      <c r="N11" s="140">
        <f t="shared" si="16"/>
        <v>7708</v>
      </c>
      <c r="O11" s="140">
        <f t="shared" si="16"/>
        <v>9832</v>
      </c>
      <c r="P11" s="140">
        <f t="shared" si="16"/>
        <v>7333</v>
      </c>
      <c r="Q11" s="140">
        <f t="shared" si="10"/>
        <v>121342</v>
      </c>
      <c r="R11" s="140">
        <f t="shared" si="11"/>
        <v>10111.833333333334</v>
      </c>
      <c r="S11" s="139">
        <f t="shared" si="15"/>
        <v>7519</v>
      </c>
      <c r="T11" s="140">
        <f t="shared" si="15"/>
        <v>6849</v>
      </c>
      <c r="U11" s="140">
        <f t="shared" si="15"/>
        <v>7657</v>
      </c>
      <c r="V11" s="140">
        <f t="shared" si="15"/>
        <v>5671</v>
      </c>
      <c r="W11" s="140">
        <f t="shared" si="15"/>
        <v>6200</v>
      </c>
      <c r="X11" s="140">
        <f t="shared" si="15"/>
        <v>6198</v>
      </c>
      <c r="Y11" s="140">
        <f t="shared" si="15"/>
        <v>6120</v>
      </c>
      <c r="Z11" s="140">
        <f t="shared" si="15"/>
        <v>6135</v>
      </c>
      <c r="AA11" s="140">
        <f t="shared" si="15"/>
        <v>5430</v>
      </c>
      <c r="AB11" s="140">
        <f t="shared" si="15"/>
        <v>10426</v>
      </c>
      <c r="AC11" s="140">
        <f t="shared" si="15"/>
        <v>6944</v>
      </c>
      <c r="AD11" s="140">
        <f t="shared" si="15"/>
        <v>5335</v>
      </c>
      <c r="AE11" s="140">
        <f>SUM(S11:AD11)-AE21</f>
        <v>58909</v>
      </c>
      <c r="AF11" s="140">
        <f t="shared" si="13"/>
        <v>4909.083333333333</v>
      </c>
      <c r="AG11" s="140"/>
      <c r="AH11" s="451">
        <v>5780</v>
      </c>
      <c r="AI11" s="450">
        <v>5148</v>
      </c>
      <c r="AJ11" s="450">
        <v>5822</v>
      </c>
      <c r="AK11" s="450">
        <v>6133</v>
      </c>
      <c r="AL11" s="450">
        <v>7424</v>
      </c>
      <c r="AM11" s="450">
        <v>6739</v>
      </c>
      <c r="AN11" s="450">
        <v>10412</v>
      </c>
      <c r="AO11" s="450">
        <v>9915</v>
      </c>
      <c r="AP11" s="450">
        <v>9856</v>
      </c>
      <c r="AQ11" s="450">
        <v>14231</v>
      </c>
      <c r="AR11" s="450">
        <v>13225</v>
      </c>
      <c r="AS11" s="140">
        <v>9489</v>
      </c>
      <c r="AT11" s="140">
        <f t="shared" si="14"/>
        <v>104174</v>
      </c>
      <c r="AU11" s="140">
        <f t="shared" si="3"/>
        <v>8681.1666666666661</v>
      </c>
      <c r="AV11" s="140"/>
      <c r="AW11" s="139">
        <v>9088</v>
      </c>
      <c r="AX11" s="450">
        <v>10466</v>
      </c>
      <c r="AY11" s="450">
        <v>8058</v>
      </c>
      <c r="AZ11" s="450">
        <v>11496</v>
      </c>
      <c r="BA11" s="450">
        <v>9856</v>
      </c>
      <c r="BB11" s="450">
        <v>12471</v>
      </c>
      <c r="BC11" s="450">
        <v>13823</v>
      </c>
      <c r="BD11" s="450">
        <v>14746</v>
      </c>
      <c r="BE11" s="450">
        <v>12395</v>
      </c>
      <c r="BF11" s="140">
        <v>16509</v>
      </c>
      <c r="BG11" s="140">
        <v>14932</v>
      </c>
      <c r="BH11" s="450">
        <v>14901</v>
      </c>
      <c r="BI11" s="140">
        <f t="shared" si="4"/>
        <v>148741</v>
      </c>
      <c r="BJ11" s="140">
        <f t="shared" si="5"/>
        <v>12395.083333333334</v>
      </c>
      <c r="BK11" s="140"/>
      <c r="BL11" s="139">
        <v>17411</v>
      </c>
      <c r="BM11" s="450">
        <v>18450</v>
      </c>
      <c r="BN11" s="450"/>
      <c r="BO11" s="450"/>
      <c r="BP11" s="450"/>
      <c r="BQ11" s="450"/>
      <c r="BR11" s="450"/>
      <c r="BS11" s="450"/>
      <c r="BT11" s="450"/>
      <c r="BU11" s="140"/>
      <c r="BV11" s="140"/>
      <c r="BW11" s="450"/>
      <c r="BX11" s="140">
        <f t="shared" si="6"/>
        <v>35861</v>
      </c>
      <c r="BY11" s="140">
        <f t="shared" si="7"/>
        <v>17930.5</v>
      </c>
      <c r="BZ11" s="6977"/>
      <c r="CB11" s="169">
        <f t="shared" si="8"/>
        <v>7984</v>
      </c>
      <c r="CC11" s="169">
        <f>BY11-BJ11</f>
        <v>5535.4166666666661</v>
      </c>
      <c r="CD11" s="169">
        <f>IFERROR(
  SUM(
    _xlfn.XLOOKUP(DATE(YEAR($A$1),1,1),$2:$2,11:11):
    _xlfn.XLOOKUP($A$1,$2:$2,11:11)
  )
 -SUM(
    _xlfn.XLOOKUP(DATE(YEAR($A$1)-1,1,1),$2:$2,11:11):
    _xlfn.XLOOKUP(EDATE($A$1,-12),$2:$2,11:11)
  ),"")</f>
        <v>16307</v>
      </c>
      <c r="CE11" s="278">
        <f t="shared" si="9"/>
        <v>1039</v>
      </c>
    </row>
    <row r="12" spans="1:83" ht="18" thickBot="1" x14ac:dyDescent="0.6">
      <c r="A12" s="7088"/>
      <c r="B12" s="254" t="s">
        <v>50</v>
      </c>
      <c r="C12" s="255"/>
      <c r="D12" s="142"/>
      <c r="E12" s="141">
        <f>E22+E32</f>
        <v>-16747</v>
      </c>
      <c r="F12" s="142">
        <f t="shared" ref="F12:P12" si="17">F22+F32</f>
        <v>15519</v>
      </c>
      <c r="G12" s="142">
        <f t="shared" si="17"/>
        <v>1939</v>
      </c>
      <c r="H12" s="142">
        <f t="shared" si="17"/>
        <v>4382</v>
      </c>
      <c r="I12" s="142">
        <f t="shared" si="17"/>
        <v>5828</v>
      </c>
      <c r="J12" s="142">
        <f t="shared" si="17"/>
        <v>52089</v>
      </c>
      <c r="K12" s="142">
        <f t="shared" si="17"/>
        <v>1981</v>
      </c>
      <c r="L12" s="142">
        <f t="shared" si="17"/>
        <v>-3852</v>
      </c>
      <c r="M12" s="142">
        <f t="shared" si="17"/>
        <v>40737</v>
      </c>
      <c r="N12" s="142">
        <f t="shared" si="17"/>
        <v>10535</v>
      </c>
      <c r="O12" s="142">
        <f t="shared" si="17"/>
        <v>340</v>
      </c>
      <c r="P12" s="142">
        <f t="shared" si="17"/>
        <v>22545</v>
      </c>
      <c r="Q12" s="142">
        <f t="shared" si="10"/>
        <v>135296</v>
      </c>
      <c r="R12" s="142">
        <f t="shared" si="11"/>
        <v>11274.666666666666</v>
      </c>
      <c r="S12" s="141">
        <f>S22+S32</f>
        <v>-16077</v>
      </c>
      <c r="T12" s="142">
        <f t="shared" ref="T12:AD12" si="18">T22+T32</f>
        <v>1662</v>
      </c>
      <c r="U12" s="142">
        <f t="shared" si="18"/>
        <v>17911</v>
      </c>
      <c r="V12" s="142">
        <f t="shared" si="18"/>
        <v>4308</v>
      </c>
      <c r="W12" s="142">
        <f t="shared" si="18"/>
        <v>-2984</v>
      </c>
      <c r="X12" s="142">
        <f t="shared" si="18"/>
        <v>-3176</v>
      </c>
      <c r="Y12" s="142">
        <f t="shared" si="18"/>
        <v>-4918</v>
      </c>
      <c r="Z12" s="142">
        <f t="shared" si="18"/>
        <v>-3367</v>
      </c>
      <c r="AA12" s="142">
        <f t="shared" si="18"/>
        <v>-4372</v>
      </c>
      <c r="AB12" s="142">
        <f t="shared" si="18"/>
        <v>386</v>
      </c>
      <c r="AC12" s="142">
        <f t="shared" si="18"/>
        <v>-5809</v>
      </c>
      <c r="AD12" s="142">
        <f t="shared" si="18"/>
        <v>-7154</v>
      </c>
      <c r="AE12" s="142">
        <f t="shared" si="12"/>
        <v>-23590</v>
      </c>
      <c r="AF12" s="142">
        <f t="shared" si="13"/>
        <v>-1965.8333333333333</v>
      </c>
      <c r="AG12" s="142"/>
      <c r="AH12" s="455">
        <v>759</v>
      </c>
      <c r="AI12" s="454">
        <v>-4238</v>
      </c>
      <c r="AJ12" s="454">
        <v>-7422</v>
      </c>
      <c r="AK12" s="454">
        <v>-8154</v>
      </c>
      <c r="AL12" s="454">
        <v>-7360</v>
      </c>
      <c r="AM12" s="454">
        <v>-3736</v>
      </c>
      <c r="AN12" s="454">
        <v>-2788</v>
      </c>
      <c r="AO12" s="454">
        <v>-3186</v>
      </c>
      <c r="AP12" s="454">
        <v>-3977</v>
      </c>
      <c r="AQ12" s="454">
        <v>-15625</v>
      </c>
      <c r="AR12" s="454">
        <v>-16086</v>
      </c>
      <c r="AS12" s="142">
        <v>-16714</v>
      </c>
      <c r="AT12" s="142">
        <f t="shared" si="14"/>
        <v>-88527</v>
      </c>
      <c r="AU12" s="142">
        <f t="shared" si="3"/>
        <v>-7377.25</v>
      </c>
      <c r="AV12" s="142"/>
      <c r="AW12" s="141">
        <v>-18707</v>
      </c>
      <c r="AX12" s="454">
        <v>-12616</v>
      </c>
      <c r="AY12" s="454">
        <v>-15014</v>
      </c>
      <c r="AZ12" s="454">
        <v>-9608</v>
      </c>
      <c r="BA12" s="454">
        <v>17119</v>
      </c>
      <c r="BB12" s="454">
        <v>-14262</v>
      </c>
      <c r="BC12" s="454">
        <v>-8472</v>
      </c>
      <c r="BD12" s="454">
        <v>-24807</v>
      </c>
      <c r="BE12" s="454">
        <v>-17953</v>
      </c>
      <c r="BF12" s="142">
        <v>-23621</v>
      </c>
      <c r="BG12" s="142">
        <v>-21327</v>
      </c>
      <c r="BH12" s="454">
        <v>-24490</v>
      </c>
      <c r="BI12" s="142">
        <f t="shared" si="4"/>
        <v>-173758</v>
      </c>
      <c r="BJ12" s="142">
        <f t="shared" si="5"/>
        <v>-14479.833333333334</v>
      </c>
      <c r="BK12" s="142"/>
      <c r="BL12" s="141">
        <v>-33416</v>
      </c>
      <c r="BM12" s="454">
        <v>-18138</v>
      </c>
      <c r="BN12" s="454"/>
      <c r="BO12" s="454"/>
      <c r="BP12" s="454"/>
      <c r="BQ12" s="454"/>
      <c r="BR12" s="454"/>
      <c r="BS12" s="454"/>
      <c r="BT12" s="454"/>
      <c r="BU12" s="142"/>
      <c r="BV12" s="142"/>
      <c r="BW12" s="454"/>
      <c r="BX12" s="142">
        <f t="shared" si="6"/>
        <v>-51554</v>
      </c>
      <c r="BY12" s="142">
        <f t="shared" si="7"/>
        <v>-25777</v>
      </c>
      <c r="BZ12" s="6977"/>
      <c r="CB12" s="169">
        <f t="shared" si="8"/>
        <v>-5522</v>
      </c>
      <c r="CC12" s="169">
        <f>BY12-BJ12</f>
        <v>-11297.166666666666</v>
      </c>
      <c r="CD12" s="169">
        <f>IFERROR(
  SUM(
    _xlfn.XLOOKUP(DATE(YEAR($A$1),1,1),$2:$2,12:12):
    _xlfn.XLOOKUP($A$1,$2:$2,12:12)
  )
 -SUM(
    _xlfn.XLOOKUP(DATE(YEAR($A$1)-1,1,1),$2:$2,12:12):
    _xlfn.XLOOKUP(EDATE($A$1,-12),$2:$2,12:12)
  ),"")</f>
        <v>-20231</v>
      </c>
      <c r="CE12" s="278">
        <f t="shared" si="9"/>
        <v>15278</v>
      </c>
    </row>
    <row r="13" spans="1:83" x14ac:dyDescent="0.55000000000000004">
      <c r="A13" s="7089" t="s">
        <v>59</v>
      </c>
      <c r="B13" s="17" t="s">
        <v>43</v>
      </c>
      <c r="C13" s="11"/>
      <c r="D13" s="256">
        <v>1042399</v>
      </c>
      <c r="E13" s="257">
        <v>1026284</v>
      </c>
      <c r="F13" s="256">
        <v>1037065</v>
      </c>
      <c r="G13" s="256">
        <v>1035726</v>
      </c>
      <c r="H13" s="256">
        <v>1034376</v>
      </c>
      <c r="I13" s="256">
        <v>1034972</v>
      </c>
      <c r="J13" s="256">
        <v>1081886</v>
      </c>
      <c r="K13" s="256">
        <v>1080522</v>
      </c>
      <c r="L13" s="256">
        <v>1082408</v>
      </c>
      <c r="M13" s="256">
        <v>1125494</v>
      </c>
      <c r="N13" s="256">
        <v>1131649</v>
      </c>
      <c r="O13" s="256">
        <v>1130938</v>
      </c>
      <c r="P13" s="256">
        <v>1154868</v>
      </c>
      <c r="Q13" s="256">
        <f>P13</f>
        <v>1154868</v>
      </c>
      <c r="R13" s="256">
        <f>AVERAGE(E13:P13)</f>
        <v>1079682.3333333333</v>
      </c>
      <c r="S13" s="257">
        <v>1138795</v>
      </c>
      <c r="T13" s="256">
        <v>1139459</v>
      </c>
      <c r="U13" s="256">
        <v>1158454</v>
      </c>
      <c r="V13" s="256">
        <v>1163489</v>
      </c>
      <c r="W13" s="256">
        <v>1162528</v>
      </c>
      <c r="X13" s="256">
        <v>1161780</v>
      </c>
      <c r="Y13" s="256">
        <v>1157182</v>
      </c>
      <c r="Z13" s="256">
        <v>1153875</v>
      </c>
      <c r="AA13" s="256">
        <v>1149004</v>
      </c>
      <c r="AB13" s="256">
        <v>1145434</v>
      </c>
      <c r="AC13" s="256">
        <v>1140093</v>
      </c>
      <c r="AD13" s="256">
        <v>1135255</v>
      </c>
      <c r="AE13" s="256">
        <f>AD13</f>
        <v>1135255</v>
      </c>
      <c r="AF13" s="256">
        <f>AVERAGE(S13:AD13)</f>
        <v>1150445.6666666667</v>
      </c>
      <c r="AG13" s="256"/>
      <c r="AH13" s="458">
        <v>1134578</v>
      </c>
      <c r="AI13" s="457">
        <v>1128116</v>
      </c>
      <c r="AJ13" s="457">
        <v>1121950</v>
      </c>
      <c r="AK13" s="457">
        <v>1115930</v>
      </c>
      <c r="AL13" s="457">
        <v>1111051</v>
      </c>
      <c r="AM13" s="457">
        <v>1110211</v>
      </c>
      <c r="AN13" s="457">
        <v>1110031</v>
      </c>
      <c r="AO13" s="457">
        <v>1115525</v>
      </c>
      <c r="AP13" s="457">
        <v>1110720</v>
      </c>
      <c r="AQ13" s="457">
        <v>1099002</v>
      </c>
      <c r="AR13" s="457">
        <v>1095047</v>
      </c>
      <c r="AS13" s="256">
        <v>1089991</v>
      </c>
      <c r="AT13" s="256">
        <f>AS13</f>
        <v>1089991</v>
      </c>
      <c r="AU13" s="256">
        <f t="shared" si="3"/>
        <v>1111846</v>
      </c>
      <c r="AV13" s="256"/>
      <c r="AW13" s="257">
        <v>1081462</v>
      </c>
      <c r="AX13" s="256">
        <v>1074041</v>
      </c>
      <c r="AY13" s="256">
        <v>1069017</v>
      </c>
      <c r="AZ13" s="256">
        <v>1065195</v>
      </c>
      <c r="BA13" s="256">
        <v>1073219</v>
      </c>
      <c r="BB13" s="256">
        <v>1065938</v>
      </c>
      <c r="BC13" s="256">
        <v>1059309</v>
      </c>
      <c r="BD13" s="256">
        <v>1047155</v>
      </c>
      <c r="BE13" s="256">
        <v>1034025</v>
      </c>
      <c r="BF13" s="256">
        <v>1019918</v>
      </c>
      <c r="BG13" s="256">
        <v>1009458</v>
      </c>
      <c r="BH13" s="256">
        <v>996312</v>
      </c>
      <c r="BI13" s="249">
        <f>INDEX($AW13:$BH13, 1, MATCH(0, $AW13:$BH13, -1))</f>
        <v>996312</v>
      </c>
      <c r="BJ13" s="256">
        <f t="shared" si="5"/>
        <v>1049587.4166666667</v>
      </c>
      <c r="BK13" s="256"/>
      <c r="BL13" s="257">
        <v>975802</v>
      </c>
      <c r="BM13" s="256">
        <v>965300</v>
      </c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49">
        <f>INDEX($BL13:$BW13, 1, MATCH(0, $BL13:$BW13, -1))</f>
        <v>965300</v>
      </c>
      <c r="BY13" s="256">
        <f t="shared" si="7"/>
        <v>970551</v>
      </c>
      <c r="BZ13" s="6977"/>
      <c r="CB13" s="169">
        <f t="shared" si="8"/>
        <v>-108741</v>
      </c>
      <c r="CC13" s="169">
        <f>BY13-BJ13</f>
        <v>-79036.416666666744</v>
      </c>
      <c r="CD13" s="303">
        <f>IFERROR(_xlfn.XLOOKUP($A$1,$2:$2,13:13)-_xlfn.XLOOKUP(EDATE($A$1,-12),$2:$2,13:13),"")</f>
        <v>-108741</v>
      </c>
      <c r="CE13" s="278">
        <f t="shared" si="9"/>
        <v>-10502</v>
      </c>
    </row>
    <row r="14" spans="1:83" x14ac:dyDescent="0.55000000000000004">
      <c r="A14" s="7085"/>
      <c r="B14" s="251" t="s">
        <v>56</v>
      </c>
      <c r="C14" s="252"/>
      <c r="D14" s="138"/>
      <c r="E14" s="137">
        <f>E15+E16</f>
        <v>26798</v>
      </c>
      <c r="F14" s="138">
        <f t="shared" ref="F14:P14" si="19">F15+F16</f>
        <v>31298</v>
      </c>
      <c r="G14" s="138">
        <f t="shared" si="19"/>
        <v>29236</v>
      </c>
      <c r="H14" s="138">
        <f t="shared" si="19"/>
        <v>27844</v>
      </c>
      <c r="I14" s="138">
        <f t="shared" si="19"/>
        <v>29187</v>
      </c>
      <c r="J14" s="138">
        <f t="shared" si="19"/>
        <v>29290</v>
      </c>
      <c r="K14" s="138">
        <f t="shared" si="19"/>
        <v>25357</v>
      </c>
      <c r="L14" s="138">
        <f t="shared" si="19"/>
        <v>36113</v>
      </c>
      <c r="M14" s="138">
        <f t="shared" si="19"/>
        <v>27466</v>
      </c>
      <c r="N14" s="138">
        <f t="shared" si="19"/>
        <v>42807</v>
      </c>
      <c r="O14" s="138">
        <f t="shared" si="19"/>
        <v>27534</v>
      </c>
      <c r="P14" s="138">
        <f t="shared" si="19"/>
        <v>21364</v>
      </c>
      <c r="Q14" s="138">
        <f>SUM(E14:P14)</f>
        <v>354294</v>
      </c>
      <c r="R14" s="138">
        <f>Q14/12</f>
        <v>29524.5</v>
      </c>
      <c r="S14" s="137">
        <v>24761</v>
      </c>
      <c r="T14" s="138">
        <v>34169</v>
      </c>
      <c r="U14" s="138">
        <v>26677</v>
      </c>
      <c r="V14" s="138">
        <v>23805</v>
      </c>
      <c r="W14" s="138">
        <v>27984</v>
      </c>
      <c r="X14" s="138">
        <v>25864</v>
      </c>
      <c r="Y14" s="138">
        <v>22587</v>
      </c>
      <c r="Z14" s="138">
        <v>34925</v>
      </c>
      <c r="AA14" s="138">
        <v>20303</v>
      </c>
      <c r="AB14" s="138">
        <v>36621</v>
      </c>
      <c r="AC14" s="138">
        <v>20971</v>
      </c>
      <c r="AD14" s="138">
        <v>17829</v>
      </c>
      <c r="AE14" s="138">
        <f>SUM(S14:AD14)</f>
        <v>316496</v>
      </c>
      <c r="AF14" s="138">
        <f>AE14/12</f>
        <v>26374.666666666668</v>
      </c>
      <c r="AG14" s="138"/>
      <c r="AH14" s="453">
        <v>31488</v>
      </c>
      <c r="AI14" s="452">
        <v>20437</v>
      </c>
      <c r="AJ14" s="452">
        <v>19263</v>
      </c>
      <c r="AK14" s="452">
        <v>19934</v>
      </c>
      <c r="AL14" s="452">
        <v>19519</v>
      </c>
      <c r="AM14" s="452">
        <v>18044</v>
      </c>
      <c r="AN14" s="452">
        <v>26456.999999999993</v>
      </c>
      <c r="AO14" s="452">
        <v>20695</v>
      </c>
      <c r="AP14" s="452">
        <v>24729</v>
      </c>
      <c r="AQ14" s="452">
        <v>23526</v>
      </c>
      <c r="AR14" s="452">
        <v>18473</v>
      </c>
      <c r="AS14" s="138">
        <v>15641</v>
      </c>
      <c r="AT14" s="138">
        <f t="shared" ref="AT14:AT22" si="20">SUM(AH14:AS14)</f>
        <v>258206</v>
      </c>
      <c r="AU14" s="138">
        <f t="shared" si="3"/>
        <v>21517.166666666668</v>
      </c>
      <c r="AV14" s="138"/>
      <c r="AW14" s="137">
        <v>13995</v>
      </c>
      <c r="AX14" s="452">
        <v>28177</v>
      </c>
      <c r="AY14" s="452">
        <v>20799</v>
      </c>
      <c r="AZ14" s="452">
        <v>25119</v>
      </c>
      <c r="BA14" s="452">
        <v>32216</v>
      </c>
      <c r="BB14" s="452">
        <v>20183</v>
      </c>
      <c r="BC14" s="452">
        <v>34631</v>
      </c>
      <c r="BD14" s="452">
        <v>19510</v>
      </c>
      <c r="BE14" s="452">
        <v>25930</v>
      </c>
      <c r="BF14" s="138">
        <v>20875</v>
      </c>
      <c r="BG14" s="138">
        <v>18871</v>
      </c>
      <c r="BH14" s="452">
        <v>16417</v>
      </c>
      <c r="BI14" s="138">
        <f>SUM(AW14:BH14)</f>
        <v>276723</v>
      </c>
      <c r="BJ14" s="138">
        <f t="shared" si="5"/>
        <v>23060.25</v>
      </c>
      <c r="BK14" s="138"/>
      <c r="BL14" s="137">
        <v>23902</v>
      </c>
      <c r="BM14" s="452">
        <v>15096</v>
      </c>
      <c r="BN14" s="452"/>
      <c r="BO14" s="452"/>
      <c r="BP14" s="452"/>
      <c r="BQ14" s="452"/>
      <c r="BR14" s="452"/>
      <c r="BS14" s="452"/>
      <c r="BT14" s="452"/>
      <c r="BU14" s="138"/>
      <c r="BV14" s="138"/>
      <c r="BW14" s="452"/>
      <c r="BX14" s="138">
        <f>SUM(BL14:BW14)</f>
        <v>38998</v>
      </c>
      <c r="BY14" s="138">
        <f t="shared" si="7"/>
        <v>19499</v>
      </c>
      <c r="BZ14" s="6977"/>
      <c r="CB14" s="169">
        <f t="shared" si="8"/>
        <v>-13081</v>
      </c>
      <c r="CC14" s="169">
        <f>BY14-BJ14</f>
        <v>-3561.25</v>
      </c>
      <c r="CD14" s="169">
        <f>IFERROR(
  SUM(
    _xlfn.XLOOKUP(DATE(YEAR($A$1),1,1),$2:$2,14:14):
    _xlfn.XLOOKUP($A$1,$2:$2,14:14)
  )
 -SUM(
    _xlfn.XLOOKUP(DATE(YEAR($A$1)-1,1,1),$2:$2,14:14):
    _xlfn.XLOOKUP(EDATE($A$1,-12),$2:$2,14:14)
  ),"")</f>
        <v>-3174</v>
      </c>
      <c r="CE14" s="278">
        <f t="shared" si="9"/>
        <v>-8806</v>
      </c>
    </row>
    <row r="15" spans="1:83" hidden="1" x14ac:dyDescent="0.55000000000000004">
      <c r="A15" s="7085"/>
      <c r="B15" s="61"/>
      <c r="C15" s="61" t="s">
        <v>46</v>
      </c>
      <c r="D15" s="253"/>
      <c r="E15" s="139">
        <v>7433</v>
      </c>
      <c r="F15" s="140">
        <v>7877</v>
      </c>
      <c r="G15" s="140">
        <v>8668</v>
      </c>
      <c r="H15" s="140">
        <v>7128</v>
      </c>
      <c r="I15" s="140">
        <v>8838</v>
      </c>
      <c r="J15" s="140">
        <v>7402</v>
      </c>
      <c r="K15" s="140">
        <v>7141</v>
      </c>
      <c r="L15" s="140">
        <v>7168</v>
      </c>
      <c r="M15" s="140">
        <v>10143</v>
      </c>
      <c r="N15" s="140">
        <v>10078</v>
      </c>
      <c r="O15" s="140">
        <v>8220</v>
      </c>
      <c r="P15" s="140">
        <v>6691</v>
      </c>
      <c r="Q15" s="140">
        <f t="shared" ref="Q15:Q22" si="21">SUM(E15:P15)</f>
        <v>96787</v>
      </c>
      <c r="R15" s="140">
        <f t="shared" ref="R15:R22" si="22">Q15/12</f>
        <v>8065.583333333333</v>
      </c>
      <c r="S15" s="446">
        <v>8376</v>
      </c>
      <c r="T15" s="447">
        <v>8739</v>
      </c>
      <c r="U15" s="447">
        <v>7942</v>
      </c>
      <c r="V15" s="447">
        <v>6048</v>
      </c>
      <c r="W15" s="447">
        <v>7495</v>
      </c>
      <c r="X15" s="447">
        <v>7024</v>
      </c>
      <c r="Y15" s="447">
        <v>5492</v>
      </c>
      <c r="Z15" s="447">
        <v>6447</v>
      </c>
      <c r="AA15" s="447">
        <v>4186</v>
      </c>
      <c r="AB15" s="447">
        <v>5471</v>
      </c>
      <c r="AC15" s="447">
        <v>4505</v>
      </c>
      <c r="AD15" s="447">
        <v>3993</v>
      </c>
      <c r="AE15" s="140">
        <f t="shared" ref="AE15:AE22" si="23">SUM(S15:AD15)</f>
        <v>75718</v>
      </c>
      <c r="AF15" s="140">
        <f t="shared" ref="AF15:AF22" si="24">AE15/12</f>
        <v>6309.833333333333</v>
      </c>
      <c r="AG15" s="140"/>
      <c r="AH15" s="543">
        <v>10070</v>
      </c>
      <c r="AI15" s="540">
        <v>7718</v>
      </c>
      <c r="AJ15" s="540">
        <v>6846</v>
      </c>
      <c r="AK15" s="540">
        <v>6141</v>
      </c>
      <c r="AL15" s="540">
        <v>6030</v>
      </c>
      <c r="AM15" s="540">
        <v>5517</v>
      </c>
      <c r="AN15" s="540">
        <v>6413</v>
      </c>
      <c r="AO15" s="540">
        <v>6943</v>
      </c>
      <c r="AP15" s="540">
        <v>6319</v>
      </c>
      <c r="AQ15" s="540">
        <v>5493</v>
      </c>
      <c r="AR15" s="540">
        <v>4884</v>
      </c>
      <c r="AS15" s="447">
        <v>0</v>
      </c>
      <c r="AT15" s="447">
        <f t="shared" si="20"/>
        <v>72374</v>
      </c>
      <c r="AU15" s="140">
        <f t="shared" si="3"/>
        <v>6031.166666666667</v>
      </c>
      <c r="AV15" s="140"/>
      <c r="AW15" s="446">
        <v>4609</v>
      </c>
      <c r="AX15" s="540">
        <v>6545</v>
      </c>
      <c r="AY15" s="540">
        <v>7965</v>
      </c>
      <c r="AZ15" s="540">
        <v>12665</v>
      </c>
      <c r="BA15" s="540">
        <v>20653</v>
      </c>
      <c r="BB15" s="540">
        <v>8318</v>
      </c>
      <c r="BC15" s="540">
        <v>14672</v>
      </c>
      <c r="BD15" s="540">
        <v>6710</v>
      </c>
      <c r="BE15" s="540">
        <v>6567</v>
      </c>
      <c r="BF15" s="447">
        <v>5250</v>
      </c>
      <c r="BG15" s="447">
        <v>7713</v>
      </c>
      <c r="BH15" s="540">
        <v>6358</v>
      </c>
      <c r="BI15" s="140">
        <f t="shared" ref="BI15:BI22" si="25">SUM(AW15:BH15)</f>
        <v>108025</v>
      </c>
      <c r="BJ15" s="140">
        <f t="shared" si="5"/>
        <v>9002.0833333333339</v>
      </c>
      <c r="BK15" s="140"/>
      <c r="BL15" s="446">
        <v>6634</v>
      </c>
      <c r="BM15" s="540">
        <v>4727</v>
      </c>
      <c r="BN15" s="540"/>
      <c r="BO15" s="540"/>
      <c r="BP15" s="540"/>
      <c r="BQ15" s="540"/>
      <c r="BR15" s="540"/>
      <c r="BS15" s="540"/>
      <c r="BT15" s="540"/>
      <c r="BU15" s="447"/>
      <c r="BV15" s="447"/>
      <c r="BW15" s="540"/>
      <c r="BX15" s="140">
        <f t="shared" ref="BX15:BX22" si="26">SUM(BL15:BW15)</f>
        <v>11361</v>
      </c>
      <c r="BY15" s="140">
        <f t="shared" si="7"/>
        <v>5680.5</v>
      </c>
      <c r="BZ15" s="6977"/>
      <c r="CB15" s="169">
        <f t="shared" si="8"/>
        <v>-1818</v>
      </c>
      <c r="CC15" s="169">
        <f>BY15-BJ15</f>
        <v>-3321.5833333333339</v>
      </c>
      <c r="CD15" s="169">
        <f>IFERROR(
  SUM(
    _xlfn.XLOOKUP(DATE(YEAR($A$1),1,1),$2:$2,15:15):
    _xlfn.XLOOKUP($A$1,$2:$2,15:15)
  )
 -SUM(
    _xlfn.XLOOKUP(DATE(YEAR($A$1)-1,1,1),$2:$2,15:15):
    _xlfn.XLOOKUP(EDATE($A$1,-12),$2:$2,15:15)
  ),"")</f>
        <v>207</v>
      </c>
      <c r="CE15" s="278">
        <f t="shared" si="9"/>
        <v>-1907</v>
      </c>
    </row>
    <row r="16" spans="1:83" hidden="1" x14ac:dyDescent="0.55000000000000004">
      <c r="A16" s="7085"/>
      <c r="B16" s="61"/>
      <c r="C16" s="108" t="s">
        <v>55</v>
      </c>
      <c r="D16" s="253"/>
      <c r="E16" s="139">
        <v>19365</v>
      </c>
      <c r="F16" s="140">
        <v>23421</v>
      </c>
      <c r="G16" s="140">
        <v>20568</v>
      </c>
      <c r="H16" s="140">
        <v>20716</v>
      </c>
      <c r="I16" s="140">
        <v>20349</v>
      </c>
      <c r="J16" s="140">
        <v>21888</v>
      </c>
      <c r="K16" s="140">
        <v>18216</v>
      </c>
      <c r="L16" s="140">
        <v>28945</v>
      </c>
      <c r="M16" s="140">
        <v>17323</v>
      </c>
      <c r="N16" s="140">
        <v>32729</v>
      </c>
      <c r="O16" s="140">
        <v>19314</v>
      </c>
      <c r="P16" s="140">
        <v>14673</v>
      </c>
      <c r="Q16" s="140">
        <f t="shared" si="21"/>
        <v>257507</v>
      </c>
      <c r="R16" s="140">
        <f t="shared" si="22"/>
        <v>21458.916666666668</v>
      </c>
      <c r="S16" s="446">
        <f>13122+590</f>
        <v>13712</v>
      </c>
      <c r="T16" s="447">
        <v>21528</v>
      </c>
      <c r="U16" s="447">
        <v>16246</v>
      </c>
      <c r="V16" s="447">
        <v>15496</v>
      </c>
      <c r="W16" s="447">
        <f>W7-W26</f>
        <v>17352</v>
      </c>
      <c r="X16" s="447">
        <v>15897</v>
      </c>
      <c r="Y16" s="447">
        <f t="shared" ref="Y16:AD16" si="27">Y7-Y26</f>
        <v>14432</v>
      </c>
      <c r="Z16" s="447">
        <f t="shared" si="27"/>
        <v>23498</v>
      </c>
      <c r="AA16" s="447">
        <f t="shared" si="27"/>
        <v>14726</v>
      </c>
      <c r="AB16" s="447">
        <f t="shared" si="27"/>
        <v>25332</v>
      </c>
      <c r="AC16" s="447">
        <f t="shared" si="27"/>
        <v>14007</v>
      </c>
      <c r="AD16" s="447">
        <f t="shared" si="27"/>
        <v>11937</v>
      </c>
      <c r="AE16" s="140">
        <f>SUM(S16:AD16)</f>
        <v>204163</v>
      </c>
      <c r="AF16" s="140">
        <f t="shared" si="24"/>
        <v>17013.583333333332</v>
      </c>
      <c r="AG16" s="140"/>
      <c r="AH16" s="543">
        <v>22049</v>
      </c>
      <c r="AI16" s="540">
        <v>12609</v>
      </c>
      <c r="AJ16" s="540">
        <v>13061</v>
      </c>
      <c r="AK16" s="540">
        <v>14463</v>
      </c>
      <c r="AL16" s="540">
        <v>14041</v>
      </c>
      <c r="AM16" s="540">
        <v>13252</v>
      </c>
      <c r="AN16" s="540">
        <v>20579</v>
      </c>
      <c r="AO16" s="540">
        <v>14118</v>
      </c>
      <c r="AP16" s="540">
        <v>18920</v>
      </c>
      <c r="AQ16" s="540">
        <v>18754</v>
      </c>
      <c r="AR16" s="540">
        <v>14131</v>
      </c>
      <c r="AS16" s="447">
        <v>856</v>
      </c>
      <c r="AT16" s="447">
        <f t="shared" si="20"/>
        <v>176833</v>
      </c>
      <c r="AU16" s="140">
        <f t="shared" si="3"/>
        <v>14736.083333333334</v>
      </c>
      <c r="AV16" s="140"/>
      <c r="AW16" s="446">
        <v>9386</v>
      </c>
      <c r="AX16" s="540">
        <v>21632</v>
      </c>
      <c r="AY16" s="540">
        <v>12834</v>
      </c>
      <c r="AZ16" s="540">
        <v>12454</v>
      </c>
      <c r="BA16" s="540">
        <v>11563</v>
      </c>
      <c r="BB16" s="540">
        <v>11865</v>
      </c>
      <c r="BC16" s="540">
        <v>19959</v>
      </c>
      <c r="BD16" s="540">
        <v>12800</v>
      </c>
      <c r="BE16" s="540">
        <v>19363</v>
      </c>
      <c r="BF16" s="447">
        <v>15625</v>
      </c>
      <c r="BG16" s="447">
        <v>11158</v>
      </c>
      <c r="BH16" s="540">
        <v>10059</v>
      </c>
      <c r="BI16" s="140">
        <f t="shared" si="25"/>
        <v>168698</v>
      </c>
      <c r="BJ16" s="140">
        <f t="shared" si="5"/>
        <v>14058.166666666666</v>
      </c>
      <c r="BK16" s="140"/>
      <c r="BL16" s="446">
        <v>17268</v>
      </c>
      <c r="BM16" s="540">
        <v>10369</v>
      </c>
      <c r="BN16" s="540"/>
      <c r="BO16" s="540"/>
      <c r="BP16" s="540"/>
      <c r="BQ16" s="540"/>
      <c r="BR16" s="540"/>
      <c r="BS16" s="540"/>
      <c r="BT16" s="540"/>
      <c r="BU16" s="447"/>
      <c r="BV16" s="447"/>
      <c r="BW16" s="540"/>
      <c r="BX16" s="140">
        <f t="shared" si="26"/>
        <v>27637</v>
      </c>
      <c r="BY16" s="140">
        <f t="shared" si="7"/>
        <v>13818.5</v>
      </c>
      <c r="BZ16" s="6977"/>
      <c r="CB16" s="169">
        <f t="shared" si="8"/>
        <v>-11263</v>
      </c>
      <c r="CC16" s="169">
        <f>BY16-BJ16</f>
        <v>-239.66666666666606</v>
      </c>
      <c r="CD16" s="169">
        <f>IFERROR(
  SUM(
    _xlfn.XLOOKUP(DATE(YEAR($A$1),1,1),$2:$2,16:16):
    _xlfn.XLOOKUP($A$1,$2:$2,16:16)
  )
 -SUM(
    _xlfn.XLOOKUP(DATE(YEAR($A$1)-1,1,1),$2:$2,16:16):
    _xlfn.XLOOKUP(EDATE($A$1,-12),$2:$2,16:16)
  ),"")</f>
        <v>-3381</v>
      </c>
      <c r="CE16" s="278">
        <f t="shared" si="9"/>
        <v>-6899</v>
      </c>
    </row>
    <row r="17" spans="1:83" x14ac:dyDescent="0.55000000000000004">
      <c r="A17" s="7085"/>
      <c r="B17" s="61" t="s">
        <v>47</v>
      </c>
      <c r="C17" s="61"/>
      <c r="D17" s="253"/>
      <c r="E17" s="139">
        <v>8508</v>
      </c>
      <c r="F17" s="140">
        <v>7063</v>
      </c>
      <c r="G17" s="140">
        <v>8553</v>
      </c>
      <c r="H17" s="140">
        <v>7420</v>
      </c>
      <c r="I17" s="140">
        <v>7119</v>
      </c>
      <c r="J17" s="140">
        <v>7159</v>
      </c>
      <c r="K17" s="140">
        <v>7182</v>
      </c>
      <c r="L17" s="140">
        <v>7012</v>
      </c>
      <c r="M17" s="140">
        <v>6245</v>
      </c>
      <c r="N17" s="140">
        <v>7306</v>
      </c>
      <c r="O17" s="140">
        <v>6745</v>
      </c>
      <c r="P17" s="140">
        <v>8269</v>
      </c>
      <c r="Q17" s="140">
        <f t="shared" si="21"/>
        <v>88581</v>
      </c>
      <c r="R17" s="140">
        <f t="shared" si="22"/>
        <v>7381.75</v>
      </c>
      <c r="S17" s="139">
        <v>7300</v>
      </c>
      <c r="T17" s="140">
        <v>7366</v>
      </c>
      <c r="U17" s="140">
        <v>7373</v>
      </c>
      <c r="V17" s="140">
        <v>7217</v>
      </c>
      <c r="W17" s="140">
        <v>8395</v>
      </c>
      <c r="X17" s="140">
        <v>7598</v>
      </c>
      <c r="Y17" s="140">
        <v>8786</v>
      </c>
      <c r="Z17" s="140">
        <v>9483</v>
      </c>
      <c r="AA17" s="140">
        <v>6920</v>
      </c>
      <c r="AB17" s="140">
        <v>8533</v>
      </c>
      <c r="AC17" s="140">
        <v>7682</v>
      </c>
      <c r="AD17" s="140">
        <v>7185</v>
      </c>
      <c r="AE17" s="140">
        <f t="shared" si="23"/>
        <v>93838</v>
      </c>
      <c r="AF17" s="140">
        <f t="shared" si="24"/>
        <v>7819.833333333333</v>
      </c>
      <c r="AG17" s="140"/>
      <c r="AH17" s="451">
        <v>7988</v>
      </c>
      <c r="AI17" s="450">
        <v>8249</v>
      </c>
      <c r="AJ17" s="450">
        <v>7584</v>
      </c>
      <c r="AK17" s="450">
        <v>7833</v>
      </c>
      <c r="AL17" s="450">
        <v>7802</v>
      </c>
      <c r="AM17" s="450">
        <v>7002</v>
      </c>
      <c r="AN17" s="450">
        <v>7605</v>
      </c>
      <c r="AO17" s="450">
        <v>7286</v>
      </c>
      <c r="AP17" s="450">
        <v>6879</v>
      </c>
      <c r="AQ17" s="450">
        <v>7341</v>
      </c>
      <c r="AR17" s="450">
        <v>7322</v>
      </c>
      <c r="AS17" s="140">
        <v>7776</v>
      </c>
      <c r="AT17" s="140">
        <f t="shared" si="20"/>
        <v>90667</v>
      </c>
      <c r="AU17" s="140">
        <f t="shared" si="3"/>
        <v>7555.583333333333</v>
      </c>
      <c r="AV17" s="140"/>
      <c r="AW17" s="139">
        <v>6584</v>
      </c>
      <c r="AX17" s="450">
        <v>7926</v>
      </c>
      <c r="AY17" s="450">
        <v>7665</v>
      </c>
      <c r="AZ17" s="450">
        <v>6992</v>
      </c>
      <c r="BA17" s="450">
        <v>5878</v>
      </c>
      <c r="BB17" s="450">
        <v>6308</v>
      </c>
      <c r="BC17" s="450">
        <v>9055</v>
      </c>
      <c r="BD17" s="450">
        <v>7814</v>
      </c>
      <c r="BE17" s="450">
        <v>7417</v>
      </c>
      <c r="BF17" s="140">
        <v>8949</v>
      </c>
      <c r="BG17" s="140">
        <v>8666</v>
      </c>
      <c r="BH17" s="450">
        <v>10017</v>
      </c>
      <c r="BI17" s="140">
        <f t="shared" si="25"/>
        <v>93271</v>
      </c>
      <c r="BJ17" s="140">
        <f t="shared" si="5"/>
        <v>7772.583333333333</v>
      </c>
      <c r="BK17" s="140"/>
      <c r="BL17" s="139">
        <v>16678</v>
      </c>
      <c r="BM17" s="450">
        <v>5454</v>
      </c>
      <c r="BN17" s="450"/>
      <c r="BO17" s="450"/>
      <c r="BP17" s="450"/>
      <c r="BQ17" s="450"/>
      <c r="BR17" s="450"/>
      <c r="BS17" s="450"/>
      <c r="BT17" s="450"/>
      <c r="BU17" s="140"/>
      <c r="BV17" s="140"/>
      <c r="BW17" s="450"/>
      <c r="BX17" s="140">
        <f t="shared" si="26"/>
        <v>22132</v>
      </c>
      <c r="BY17" s="140">
        <f t="shared" si="7"/>
        <v>11066</v>
      </c>
      <c r="BZ17" s="6977"/>
      <c r="CB17" s="169">
        <f t="shared" si="8"/>
        <v>-2472</v>
      </c>
      <c r="CC17" s="169">
        <f>BY17-BJ17</f>
        <v>3293.416666666667</v>
      </c>
      <c r="CD17" s="169">
        <f>IFERROR(
  SUM(
    _xlfn.XLOOKUP(DATE(YEAR($A$1),1,1),$2:$2,17:17):
    _xlfn.XLOOKUP($A$1,$2:$2,17:17)
  )
 -SUM(
    _xlfn.XLOOKUP(DATE(YEAR($A$1)-1,1,1),$2:$2,17:17):
    _xlfn.XLOOKUP(EDATE($A$1,-12),$2:$2,17:17)
  ),"")</f>
        <v>7622</v>
      </c>
      <c r="CE17" s="278">
        <f t="shared" si="9"/>
        <v>-11224</v>
      </c>
    </row>
    <row r="18" spans="1:83" x14ac:dyDescent="0.55000000000000004">
      <c r="A18" s="7085"/>
      <c r="B18" s="61" t="s">
        <v>58</v>
      </c>
      <c r="C18" s="61"/>
      <c r="D18" s="253"/>
      <c r="E18" s="139">
        <v>720</v>
      </c>
      <c r="F18" s="140">
        <v>345</v>
      </c>
      <c r="G18" s="140">
        <v>1670</v>
      </c>
      <c r="H18" s="140">
        <v>436</v>
      </c>
      <c r="I18" s="140">
        <v>697</v>
      </c>
      <c r="J18" s="140">
        <v>685</v>
      </c>
      <c r="K18" s="140">
        <v>455</v>
      </c>
      <c r="L18" s="140">
        <v>688</v>
      </c>
      <c r="M18" s="140">
        <v>510</v>
      </c>
      <c r="N18" s="140">
        <v>791</v>
      </c>
      <c r="O18" s="140">
        <v>433</v>
      </c>
      <c r="P18" s="140">
        <v>1436</v>
      </c>
      <c r="Q18" s="140">
        <f t="shared" si="21"/>
        <v>8866</v>
      </c>
      <c r="R18" s="140">
        <f t="shared" si="22"/>
        <v>738.83333333333337</v>
      </c>
      <c r="S18" s="139">
        <v>436</v>
      </c>
      <c r="T18" s="140">
        <v>432</v>
      </c>
      <c r="U18" s="140">
        <v>604</v>
      </c>
      <c r="V18" s="140">
        <v>506</v>
      </c>
      <c r="W18" s="140">
        <v>1046</v>
      </c>
      <c r="X18" s="140">
        <v>608</v>
      </c>
      <c r="Y18" s="140">
        <v>571</v>
      </c>
      <c r="Z18" s="140">
        <v>599</v>
      </c>
      <c r="AA18" s="140">
        <v>883</v>
      </c>
      <c r="AB18" s="140">
        <v>550</v>
      </c>
      <c r="AC18" s="140">
        <v>685</v>
      </c>
      <c r="AD18" s="140">
        <v>1259</v>
      </c>
      <c r="AE18" s="140">
        <f t="shared" si="23"/>
        <v>8179</v>
      </c>
      <c r="AF18" s="140">
        <f t="shared" si="24"/>
        <v>681.58333333333337</v>
      </c>
      <c r="AG18" s="140"/>
      <c r="AH18" s="451">
        <v>511</v>
      </c>
      <c r="AI18" s="450">
        <v>485</v>
      </c>
      <c r="AJ18" s="450">
        <v>727</v>
      </c>
      <c r="AK18" s="450">
        <v>787</v>
      </c>
      <c r="AL18" s="450">
        <v>1149</v>
      </c>
      <c r="AM18" s="450">
        <v>600</v>
      </c>
      <c r="AN18" s="450">
        <v>619</v>
      </c>
      <c r="AO18" s="450">
        <v>756</v>
      </c>
      <c r="AP18" s="450">
        <v>699</v>
      </c>
      <c r="AQ18" s="450">
        <v>689</v>
      </c>
      <c r="AR18" s="450">
        <v>538</v>
      </c>
      <c r="AS18" s="140">
        <v>1645</v>
      </c>
      <c r="AT18" s="140">
        <f t="shared" si="20"/>
        <v>9205</v>
      </c>
      <c r="AU18" s="140">
        <f t="shared" si="3"/>
        <v>767.08333333333337</v>
      </c>
      <c r="AV18" s="140"/>
      <c r="AW18" s="139">
        <v>497</v>
      </c>
      <c r="AX18" s="450">
        <v>485</v>
      </c>
      <c r="AY18" s="450">
        <v>456</v>
      </c>
      <c r="AZ18" s="450">
        <v>4399</v>
      </c>
      <c r="BA18" s="450">
        <v>464</v>
      </c>
      <c r="BB18" s="450">
        <v>902</v>
      </c>
      <c r="BC18" s="450">
        <v>428</v>
      </c>
      <c r="BD18" s="450">
        <v>512</v>
      </c>
      <c r="BE18" s="450">
        <v>527</v>
      </c>
      <c r="BF18" s="140">
        <v>729</v>
      </c>
      <c r="BG18" s="140">
        <v>680</v>
      </c>
      <c r="BH18" s="450">
        <v>887</v>
      </c>
      <c r="BI18" s="140">
        <f t="shared" si="25"/>
        <v>10966</v>
      </c>
      <c r="BJ18" s="140">
        <f t="shared" si="5"/>
        <v>913.83333333333337</v>
      </c>
      <c r="BK18" s="140"/>
      <c r="BL18" s="139">
        <v>1297</v>
      </c>
      <c r="BM18" s="450">
        <v>362</v>
      </c>
      <c r="BN18" s="450"/>
      <c r="BO18" s="450"/>
      <c r="BP18" s="450"/>
      <c r="BQ18" s="450"/>
      <c r="BR18" s="450"/>
      <c r="BS18" s="450"/>
      <c r="BT18" s="450"/>
      <c r="BU18" s="140"/>
      <c r="BV18" s="140"/>
      <c r="BW18" s="450"/>
      <c r="BX18" s="140">
        <f t="shared" si="26"/>
        <v>1659</v>
      </c>
      <c r="BY18" s="140">
        <f t="shared" si="7"/>
        <v>829.5</v>
      </c>
      <c r="BZ18" s="6977"/>
      <c r="CB18" s="169">
        <f t="shared" si="8"/>
        <v>-123</v>
      </c>
      <c r="CC18" s="169">
        <f>BY18-BJ18</f>
        <v>-84.333333333333371</v>
      </c>
      <c r="CD18" s="169">
        <f>IFERROR(
  SUM(
    _xlfn.XLOOKUP(DATE(YEAR($A$1),1,1),$2:$2,18:18):
    _xlfn.XLOOKUP($A$1,$2:$2,18:18)
  )
 -SUM(
    _xlfn.XLOOKUP(DATE(YEAR($A$1)-1,1,1),$2:$2,18:18):
    _xlfn.XLOOKUP(EDATE($A$1,-12),$2:$2,18:18)
  ),"")</f>
        <v>677</v>
      </c>
      <c r="CE18" s="278">
        <f t="shared" si="9"/>
        <v>-935</v>
      </c>
    </row>
    <row r="19" spans="1:83" x14ac:dyDescent="0.55000000000000004">
      <c r="A19" s="7085"/>
      <c r="B19" s="61" t="s">
        <v>48</v>
      </c>
      <c r="C19" s="61"/>
      <c r="D19" s="253"/>
      <c r="E19" s="139">
        <f t="shared" ref="E19:J19" si="28">-(E22-(E14-E17-E20+E21))</f>
        <v>30149</v>
      </c>
      <c r="F19" s="140">
        <f t="shared" si="28"/>
        <v>8022</v>
      </c>
      <c r="G19" s="140">
        <f t="shared" si="28"/>
        <v>17388</v>
      </c>
      <c r="H19" s="140">
        <f t="shared" si="28"/>
        <v>17422</v>
      </c>
      <c r="I19" s="140">
        <f t="shared" si="28"/>
        <v>15569</v>
      </c>
      <c r="J19" s="140">
        <f t="shared" si="28"/>
        <v>16387</v>
      </c>
      <c r="K19" s="140">
        <f t="shared" ref="K19:P19" si="29">-(K22-(K14-K17-K20+K21))</f>
        <v>14818</v>
      </c>
      <c r="L19" s="140">
        <f t="shared" si="29"/>
        <v>22178</v>
      </c>
      <c r="M19" s="140">
        <f t="shared" si="29"/>
        <v>14226</v>
      </c>
      <c r="N19" s="140">
        <f t="shared" si="29"/>
        <v>25093</v>
      </c>
      <c r="O19" s="140">
        <f t="shared" si="29"/>
        <v>15398</v>
      </c>
      <c r="P19" s="140">
        <f t="shared" si="29"/>
        <v>14310</v>
      </c>
      <c r="Q19" s="140">
        <f t="shared" si="21"/>
        <v>210960</v>
      </c>
      <c r="R19" s="140">
        <f t="shared" si="22"/>
        <v>17580</v>
      </c>
      <c r="S19" s="139">
        <f>-(S22-(S14-S17-S20))</f>
        <v>29064</v>
      </c>
      <c r="T19" s="140">
        <f>-(T22-(T14-T17-T20))</f>
        <v>21917</v>
      </c>
      <c r="U19" s="140">
        <f>-(U22-(U14-U17-U20+U21))</f>
        <v>17184</v>
      </c>
      <c r="V19" s="140">
        <f t="shared" ref="V19:AD19" si="30">-(V22-(V14-V17-V20))</f>
        <v>8204</v>
      </c>
      <c r="W19" s="140">
        <f t="shared" si="30"/>
        <v>16819</v>
      </c>
      <c r="X19" s="140">
        <f t="shared" si="30"/>
        <v>15343</v>
      </c>
      <c r="Y19" s="140">
        <f t="shared" si="30"/>
        <v>14739</v>
      </c>
      <c r="Z19" s="140">
        <f t="shared" si="30"/>
        <v>25256</v>
      </c>
      <c r="AA19" s="140">
        <f t="shared" si="30"/>
        <v>15183</v>
      </c>
      <c r="AB19" s="140">
        <f t="shared" si="30"/>
        <v>28543</v>
      </c>
      <c r="AC19" s="140">
        <f t="shared" si="30"/>
        <v>14627</v>
      </c>
      <c r="AD19" s="140">
        <f t="shared" si="30"/>
        <v>12599</v>
      </c>
      <c r="AE19" s="140">
        <f t="shared" si="23"/>
        <v>219478</v>
      </c>
      <c r="AF19" s="140">
        <f t="shared" si="24"/>
        <v>18289.833333333332</v>
      </c>
      <c r="AG19" s="140"/>
      <c r="AH19" s="451">
        <v>21389</v>
      </c>
      <c r="AI19" s="450">
        <v>12757</v>
      </c>
      <c r="AJ19" s="450">
        <v>12506</v>
      </c>
      <c r="AK19" s="450">
        <v>13538</v>
      </c>
      <c r="AL19" s="450">
        <v>11817.999999999998</v>
      </c>
      <c r="AM19" s="450">
        <v>7604.9999999999982</v>
      </c>
      <c r="AN19" s="450">
        <v>11962.999999999993</v>
      </c>
      <c r="AO19" s="450">
        <v>2147.0000000000018</v>
      </c>
      <c r="AP19" s="450">
        <v>16274</v>
      </c>
      <c r="AQ19" s="450">
        <v>17268</v>
      </c>
      <c r="AR19" s="450">
        <v>5586</v>
      </c>
      <c r="AS19" s="140">
        <v>7082</v>
      </c>
      <c r="AT19" s="140">
        <f t="shared" si="20"/>
        <v>139933</v>
      </c>
      <c r="AU19" s="140">
        <f t="shared" si="3"/>
        <v>11661.083333333334</v>
      </c>
      <c r="AV19" s="140"/>
      <c r="AW19" s="139">
        <v>9985</v>
      </c>
      <c r="AX19" s="450">
        <v>19763</v>
      </c>
      <c r="AY19" s="450">
        <v>13475</v>
      </c>
      <c r="AZ19" s="450">
        <v>13572</v>
      </c>
      <c r="BA19" s="450">
        <v>12473</v>
      </c>
      <c r="BB19" s="450">
        <v>12539</v>
      </c>
      <c r="BC19" s="450">
        <v>21830</v>
      </c>
      <c r="BD19" s="450">
        <v>14351</v>
      </c>
      <c r="BE19" s="450">
        <v>23243</v>
      </c>
      <c r="BF19" s="140">
        <v>14989</v>
      </c>
      <c r="BG19" s="140">
        <v>12970</v>
      </c>
      <c r="BH19" s="450">
        <v>13018</v>
      </c>
      <c r="BI19" s="140">
        <f t="shared" si="25"/>
        <v>182208</v>
      </c>
      <c r="BJ19" s="140">
        <f t="shared" si="5"/>
        <v>15184</v>
      </c>
      <c r="BK19" s="140"/>
      <c r="BL19" s="139">
        <v>7467</v>
      </c>
      <c r="BM19" s="450">
        <v>7262</v>
      </c>
      <c r="BN19" s="450"/>
      <c r="BO19" s="450"/>
      <c r="BP19" s="450"/>
      <c r="BQ19" s="450"/>
      <c r="BR19" s="450"/>
      <c r="BS19" s="450"/>
      <c r="BT19" s="450"/>
      <c r="BU19" s="140"/>
      <c r="BV19" s="140"/>
      <c r="BW19" s="450"/>
      <c r="BX19" s="140">
        <f t="shared" si="26"/>
        <v>14729</v>
      </c>
      <c r="BY19" s="140">
        <f t="shared" si="7"/>
        <v>7364.5</v>
      </c>
      <c r="BZ19" s="6977"/>
      <c r="CB19" s="169">
        <f t="shared" si="8"/>
        <v>-12501</v>
      </c>
      <c r="CC19" s="169">
        <f>BY19-BJ19</f>
        <v>-7819.5</v>
      </c>
      <c r="CD19" s="169">
        <f>IFERROR(
  SUM(
    _xlfn.XLOOKUP(DATE(YEAR($A$1),1,1),$2:$2,19:19):
    _xlfn.XLOOKUP($A$1,$2:$2,19:19)
  )
 -SUM(
    _xlfn.XLOOKUP(DATE(YEAR($A$1)-1,1,1),$2:$2,19:19):
    _xlfn.XLOOKUP(EDATE($A$1,-12),$2:$2,19:19)
  ),"")</f>
        <v>-15019</v>
      </c>
      <c r="CE19" s="278">
        <f t="shared" si="9"/>
        <v>-205</v>
      </c>
    </row>
    <row r="20" spans="1:83" x14ac:dyDescent="0.55000000000000004">
      <c r="A20" s="7085"/>
      <c r="B20" s="61" t="s">
        <v>49</v>
      </c>
      <c r="C20" s="61"/>
      <c r="D20" s="253"/>
      <c r="E20" s="139">
        <v>4256</v>
      </c>
      <c r="F20" s="140">
        <v>5432</v>
      </c>
      <c r="G20" s="140">
        <v>4634</v>
      </c>
      <c r="H20" s="140">
        <v>4352</v>
      </c>
      <c r="I20" s="140">
        <v>5903</v>
      </c>
      <c r="J20" s="140">
        <v>4710</v>
      </c>
      <c r="K20" s="140">
        <v>4721</v>
      </c>
      <c r="L20" s="140">
        <v>5037</v>
      </c>
      <c r="M20" s="140">
        <v>4845</v>
      </c>
      <c r="N20" s="140">
        <v>4253</v>
      </c>
      <c r="O20" s="140">
        <v>6102</v>
      </c>
      <c r="P20" s="140">
        <v>3960</v>
      </c>
      <c r="Q20" s="140">
        <f t="shared" si="21"/>
        <v>58205</v>
      </c>
      <c r="R20" s="140">
        <f t="shared" si="22"/>
        <v>4850.416666666667</v>
      </c>
      <c r="S20" s="139">
        <v>4470</v>
      </c>
      <c r="T20" s="140">
        <v>4222</v>
      </c>
      <c r="U20" s="140">
        <v>4700</v>
      </c>
      <c r="V20" s="140">
        <v>3349</v>
      </c>
      <c r="W20" s="140">
        <v>3731</v>
      </c>
      <c r="X20" s="140">
        <v>3671</v>
      </c>
      <c r="Y20" s="140">
        <v>3660</v>
      </c>
      <c r="Z20" s="140">
        <v>3493</v>
      </c>
      <c r="AA20" s="140">
        <v>3071</v>
      </c>
      <c r="AB20" s="140">
        <v>3115</v>
      </c>
      <c r="AC20" s="140">
        <v>4003</v>
      </c>
      <c r="AD20" s="140">
        <v>2883</v>
      </c>
      <c r="AE20" s="140">
        <f t="shared" si="23"/>
        <v>44368</v>
      </c>
      <c r="AF20" s="140">
        <f t="shared" si="24"/>
        <v>3697.3333333333335</v>
      </c>
      <c r="AG20" s="140"/>
      <c r="AH20" s="451">
        <v>3090</v>
      </c>
      <c r="AI20" s="450">
        <v>2939</v>
      </c>
      <c r="AJ20" s="450">
        <v>3413</v>
      </c>
      <c r="AK20" s="450">
        <v>3778</v>
      </c>
      <c r="AL20" s="450">
        <v>4768</v>
      </c>
      <c r="AM20" s="450">
        <v>4265</v>
      </c>
      <c r="AN20" s="450">
        <v>7069</v>
      </c>
      <c r="AO20" s="450">
        <v>5768</v>
      </c>
      <c r="AP20" s="450">
        <v>6381</v>
      </c>
      <c r="AQ20" s="450">
        <v>10635</v>
      </c>
      <c r="AR20" s="450">
        <v>9520</v>
      </c>
      <c r="AS20" s="140">
        <v>5839</v>
      </c>
      <c r="AT20" s="140">
        <f t="shared" si="20"/>
        <v>67465</v>
      </c>
      <c r="AU20" s="140">
        <f t="shared" si="3"/>
        <v>5622.083333333333</v>
      </c>
      <c r="AV20" s="140"/>
      <c r="AW20" s="139">
        <v>5763</v>
      </c>
      <c r="AX20" s="450">
        <v>7139</v>
      </c>
      <c r="AY20" s="450">
        <v>4676</v>
      </c>
      <c r="AZ20" s="450">
        <v>8377</v>
      </c>
      <c r="BA20" s="450">
        <v>5837</v>
      </c>
      <c r="BB20" s="450">
        <v>8614</v>
      </c>
      <c r="BC20" s="450">
        <v>10375</v>
      </c>
      <c r="BD20" s="450">
        <v>9499</v>
      </c>
      <c r="BE20" s="450">
        <v>8398</v>
      </c>
      <c r="BF20" s="140">
        <v>11969</v>
      </c>
      <c r="BG20" s="140">
        <v>10164</v>
      </c>
      <c r="BH20" s="450">
        <v>9594</v>
      </c>
      <c r="BI20" s="140">
        <f t="shared" si="25"/>
        <v>100405</v>
      </c>
      <c r="BJ20" s="140">
        <f t="shared" si="5"/>
        <v>8367.0833333333339</v>
      </c>
      <c r="BK20" s="140"/>
      <c r="BL20" s="139">
        <v>10978</v>
      </c>
      <c r="BM20" s="450">
        <v>11802</v>
      </c>
      <c r="BN20" s="450"/>
      <c r="BO20" s="450"/>
      <c r="BP20" s="450"/>
      <c r="BQ20" s="450"/>
      <c r="BR20" s="450"/>
      <c r="BS20" s="450"/>
      <c r="BT20" s="450"/>
      <c r="BU20" s="140"/>
      <c r="BV20" s="140"/>
      <c r="BW20" s="450"/>
      <c r="BX20" s="140">
        <f t="shared" si="26"/>
        <v>22780</v>
      </c>
      <c r="BY20" s="140">
        <f t="shared" si="7"/>
        <v>11390</v>
      </c>
      <c r="BZ20" s="6977"/>
      <c r="CB20" s="169">
        <f t="shared" si="8"/>
        <v>4663</v>
      </c>
      <c r="CC20" s="169">
        <f>BY20-BJ20</f>
        <v>3022.9166666666661</v>
      </c>
      <c r="CD20" s="169">
        <f>IFERROR(
  SUM(
    _xlfn.XLOOKUP(DATE(YEAR($A$1),1,1),$2:$2,20:20):
    _xlfn.XLOOKUP($A$1,$2:$2,20:20)
  )
 -SUM(
    _xlfn.XLOOKUP(DATE(YEAR($A$1)-1,1,1),$2:$2,20:20):
    _xlfn.XLOOKUP(EDATE($A$1,-12),$2:$2,20:20)
  ),"")</f>
        <v>9878</v>
      </c>
      <c r="CE20" s="278">
        <f t="shared" si="9"/>
        <v>824</v>
      </c>
    </row>
    <row r="21" spans="1:83" x14ac:dyDescent="0.55000000000000004">
      <c r="A21" s="7085"/>
      <c r="B21" t="s">
        <v>51</v>
      </c>
      <c r="D21" s="253"/>
      <c r="E21" s="139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45880</v>
      </c>
      <c r="K21" s="140">
        <v>0</v>
      </c>
      <c r="L21" s="140">
        <v>0</v>
      </c>
      <c r="M21" s="140">
        <v>40936</v>
      </c>
      <c r="N21" s="140">
        <v>0</v>
      </c>
      <c r="O21" s="140">
        <v>0</v>
      </c>
      <c r="P21" s="140">
        <v>29105</v>
      </c>
      <c r="Q21" s="140">
        <f t="shared" si="21"/>
        <v>115921</v>
      </c>
      <c r="R21" s="140">
        <f t="shared" si="22"/>
        <v>9660.0833333333339</v>
      </c>
      <c r="S21" s="139">
        <v>0</v>
      </c>
      <c r="T21" s="140">
        <v>0</v>
      </c>
      <c r="U21" s="140">
        <v>21575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f t="shared" si="23"/>
        <v>21575</v>
      </c>
      <c r="AF21" s="140">
        <f t="shared" si="24"/>
        <v>1797.9166666666667</v>
      </c>
      <c r="AG21" s="140"/>
      <c r="AH21" s="451">
        <v>0</v>
      </c>
      <c r="AI21" s="450">
        <v>2096</v>
      </c>
      <c r="AJ21" s="450">
        <v>1372</v>
      </c>
      <c r="AK21" s="450">
        <v>239</v>
      </c>
      <c r="AL21" s="450">
        <v>-605</v>
      </c>
      <c r="AM21" s="450">
        <v>-551</v>
      </c>
      <c r="AN21" s="450">
        <v>-247</v>
      </c>
      <c r="AO21" s="450">
        <v>-409</v>
      </c>
      <c r="AP21" s="450">
        <v>-567</v>
      </c>
      <c r="AQ21" s="450">
        <v>-562</v>
      </c>
      <c r="AR21" s="450">
        <v>-672</v>
      </c>
      <c r="AS21" s="450">
        <v>-685</v>
      </c>
      <c r="AT21" s="450">
        <f t="shared" si="20"/>
        <v>-591</v>
      </c>
      <c r="AU21" s="140">
        <f t="shared" si="3"/>
        <v>-49.25</v>
      </c>
      <c r="AV21" s="140"/>
      <c r="AW21" s="139">
        <v>0</v>
      </c>
      <c r="AX21" s="450">
        <v>10</v>
      </c>
      <c r="AY21" s="450">
        <v>7</v>
      </c>
      <c r="AZ21" s="450">
        <v>1</v>
      </c>
      <c r="BA21" s="450">
        <v>4</v>
      </c>
      <c r="BB21" s="450">
        <v>3</v>
      </c>
      <c r="BC21" s="450">
        <v>0</v>
      </c>
      <c r="BD21" s="450">
        <v>0</v>
      </c>
      <c r="BE21" s="450">
        <v>2</v>
      </c>
      <c r="BF21" s="140">
        <v>0</v>
      </c>
      <c r="BG21" s="140">
        <v>0</v>
      </c>
      <c r="BH21" s="450">
        <v>0</v>
      </c>
      <c r="BI21" s="140">
        <f t="shared" si="25"/>
        <v>27</v>
      </c>
      <c r="BJ21" s="140">
        <f t="shared" si="5"/>
        <v>2.25</v>
      </c>
      <c r="BK21" s="140"/>
      <c r="BL21" s="139">
        <v>0</v>
      </c>
      <c r="BM21" s="450">
        <v>0</v>
      </c>
      <c r="BN21" s="450"/>
      <c r="BO21" s="450"/>
      <c r="BP21" s="450"/>
      <c r="BQ21" s="450"/>
      <c r="BR21" s="450"/>
      <c r="BS21" s="450"/>
      <c r="BT21" s="450"/>
      <c r="BU21" s="140"/>
      <c r="BV21" s="140"/>
      <c r="BW21" s="450"/>
      <c r="BX21" s="140">
        <f t="shared" si="26"/>
        <v>0</v>
      </c>
      <c r="BY21" s="140">
        <f t="shared" si="7"/>
        <v>0</v>
      </c>
      <c r="BZ21" s="6977"/>
      <c r="CB21" s="169">
        <f t="shared" si="8"/>
        <v>-10</v>
      </c>
      <c r="CC21" s="169">
        <f>BY21-BJ21</f>
        <v>-2.25</v>
      </c>
      <c r="CD21" s="169">
        <f>IFERROR(
  SUM(
    _xlfn.XLOOKUP(DATE(YEAR($A$1),1,1),$2:$2,21:21):
    _xlfn.XLOOKUP($A$1,$2:$2,21:21)
  )
 -SUM(
    _xlfn.XLOOKUP(DATE(YEAR($A$1)-1,1,1),$2:$2,21:21):
    _xlfn.XLOOKUP(EDATE($A$1,-12),$2:$2,21:21)
  ),"")</f>
        <v>-10</v>
      </c>
      <c r="CE21" s="278">
        <f t="shared" si="9"/>
        <v>0</v>
      </c>
    </row>
    <row r="22" spans="1:83" ht="18" thickBot="1" x14ac:dyDescent="0.6">
      <c r="A22" s="7090"/>
      <c r="B22" s="28" t="s">
        <v>50</v>
      </c>
      <c r="C22" s="12"/>
      <c r="D22" s="258"/>
      <c r="E22" s="259">
        <f t="shared" ref="E22:O22" si="31">E13-D13</f>
        <v>-16115</v>
      </c>
      <c r="F22" s="258">
        <f t="shared" si="31"/>
        <v>10781</v>
      </c>
      <c r="G22" s="258">
        <f t="shared" si="31"/>
        <v>-1339</v>
      </c>
      <c r="H22" s="258">
        <f t="shared" si="31"/>
        <v>-1350</v>
      </c>
      <c r="I22" s="258">
        <f t="shared" si="31"/>
        <v>596</v>
      </c>
      <c r="J22" s="258">
        <f t="shared" si="31"/>
        <v>46914</v>
      </c>
      <c r="K22" s="258">
        <f t="shared" si="31"/>
        <v>-1364</v>
      </c>
      <c r="L22" s="258">
        <f t="shared" si="31"/>
        <v>1886</v>
      </c>
      <c r="M22" s="258">
        <f t="shared" si="31"/>
        <v>43086</v>
      </c>
      <c r="N22" s="258">
        <f t="shared" si="31"/>
        <v>6155</v>
      </c>
      <c r="O22" s="258">
        <f t="shared" si="31"/>
        <v>-711</v>
      </c>
      <c r="P22" s="258">
        <f>P13-O13</f>
        <v>23930</v>
      </c>
      <c r="Q22" s="258">
        <f t="shared" si="21"/>
        <v>112469</v>
      </c>
      <c r="R22" s="258">
        <f t="shared" si="22"/>
        <v>9372.4166666666661</v>
      </c>
      <c r="S22" s="259">
        <f>S13-P13</f>
        <v>-16073</v>
      </c>
      <c r="T22" s="258">
        <f>T13-S13</f>
        <v>664</v>
      </c>
      <c r="U22" s="258">
        <f t="shared" ref="U22:AD22" si="32">U13-T13</f>
        <v>18995</v>
      </c>
      <c r="V22" s="258">
        <f t="shared" si="32"/>
        <v>5035</v>
      </c>
      <c r="W22" s="258">
        <f t="shared" si="32"/>
        <v>-961</v>
      </c>
      <c r="X22" s="258">
        <f t="shared" si="32"/>
        <v>-748</v>
      </c>
      <c r="Y22" s="258">
        <f t="shared" si="32"/>
        <v>-4598</v>
      </c>
      <c r="Z22" s="258">
        <f t="shared" si="32"/>
        <v>-3307</v>
      </c>
      <c r="AA22" s="258">
        <f t="shared" si="32"/>
        <v>-4871</v>
      </c>
      <c r="AB22" s="258">
        <f t="shared" si="32"/>
        <v>-3570</v>
      </c>
      <c r="AC22" s="258">
        <f t="shared" si="32"/>
        <v>-5341</v>
      </c>
      <c r="AD22" s="258">
        <f t="shared" si="32"/>
        <v>-4838</v>
      </c>
      <c r="AE22" s="258">
        <f t="shared" si="23"/>
        <v>-19613</v>
      </c>
      <c r="AF22" s="258">
        <f t="shared" si="24"/>
        <v>-1634.4166666666667</v>
      </c>
      <c r="AG22" s="258"/>
      <c r="AH22" s="459">
        <v>-677</v>
      </c>
      <c r="AI22" s="456">
        <v>-6462</v>
      </c>
      <c r="AJ22" s="456">
        <v>-6166</v>
      </c>
      <c r="AK22" s="456">
        <v>-6020</v>
      </c>
      <c r="AL22" s="456">
        <v>-4879</v>
      </c>
      <c r="AM22" s="456">
        <v>-840</v>
      </c>
      <c r="AN22" s="456">
        <v>-180</v>
      </c>
      <c r="AO22" s="456">
        <v>5494</v>
      </c>
      <c r="AP22" s="456">
        <v>-4805</v>
      </c>
      <c r="AQ22" s="456">
        <v>-11718</v>
      </c>
      <c r="AR22" s="456">
        <v>-3955</v>
      </c>
      <c r="AS22" s="258">
        <v>-5056</v>
      </c>
      <c r="AT22" s="258">
        <f t="shared" si="20"/>
        <v>-45264</v>
      </c>
      <c r="AU22" s="258">
        <f t="shared" si="3"/>
        <v>-3772</v>
      </c>
      <c r="AV22" s="258"/>
      <c r="AW22" s="259">
        <v>-8337</v>
      </c>
      <c r="AX22" s="456">
        <v>-6661</v>
      </c>
      <c r="AY22" s="456">
        <v>-5024</v>
      </c>
      <c r="AZ22" s="456">
        <v>-3822</v>
      </c>
      <c r="BA22" s="456">
        <v>8024</v>
      </c>
      <c r="BB22" s="456">
        <v>-7281</v>
      </c>
      <c r="BC22" s="456">
        <v>-6629</v>
      </c>
      <c r="BD22" s="456">
        <v>-12154</v>
      </c>
      <c r="BE22" s="456">
        <v>-13130</v>
      </c>
      <c r="BF22" s="258">
        <v>-14107</v>
      </c>
      <c r="BG22" s="258">
        <v>-10460</v>
      </c>
      <c r="BH22" s="456">
        <v>-13146</v>
      </c>
      <c r="BI22" s="258">
        <f t="shared" si="25"/>
        <v>-92727</v>
      </c>
      <c r="BJ22" s="258">
        <f t="shared" si="5"/>
        <v>-7727.25</v>
      </c>
      <c r="BK22" s="258"/>
      <c r="BL22" s="259">
        <v>-20510</v>
      </c>
      <c r="BM22" s="456">
        <v>-10502</v>
      </c>
      <c r="BN22" s="456"/>
      <c r="BO22" s="456"/>
      <c r="BP22" s="456"/>
      <c r="BQ22" s="456"/>
      <c r="BR22" s="456"/>
      <c r="BS22" s="456"/>
      <c r="BT22" s="456"/>
      <c r="BU22" s="258"/>
      <c r="BV22" s="258"/>
      <c r="BW22" s="456"/>
      <c r="BX22" s="258">
        <f t="shared" si="26"/>
        <v>-31012</v>
      </c>
      <c r="BY22" s="258">
        <f t="shared" si="7"/>
        <v>-15506</v>
      </c>
      <c r="BZ22" s="6977"/>
      <c r="CB22" s="169">
        <f t="shared" si="8"/>
        <v>-3841</v>
      </c>
      <c r="CC22" s="169">
        <f>BY22-BJ22</f>
        <v>-7778.75</v>
      </c>
      <c r="CD22" s="169">
        <f>IFERROR(
  SUM(
    _xlfn.XLOOKUP(DATE(YEAR($A$1),1,1),$2:$2,22:22):
    _xlfn.XLOOKUP($A$1,$2:$2,22:22)
  )
 -SUM(
    _xlfn.XLOOKUP(DATE(YEAR($A$1)-1,1,1),$2:$2,22:22):
    _xlfn.XLOOKUP(EDATE($A$1,-12),$2:$2,22:22)
  ),"")</f>
        <v>-16014</v>
      </c>
      <c r="CE22" s="278">
        <f t="shared" si="9"/>
        <v>10008</v>
      </c>
    </row>
    <row r="23" spans="1:83" x14ac:dyDescent="0.55000000000000004">
      <c r="A23" s="7089" t="s">
        <v>60</v>
      </c>
      <c r="B23" s="17" t="s">
        <v>43</v>
      </c>
      <c r="C23" s="11"/>
      <c r="D23" s="256">
        <v>756901</v>
      </c>
      <c r="E23" s="257">
        <v>756269</v>
      </c>
      <c r="F23" s="256">
        <v>761007</v>
      </c>
      <c r="G23" s="256">
        <v>764285</v>
      </c>
      <c r="H23" s="256">
        <v>770017</v>
      </c>
      <c r="I23" s="256">
        <v>775249</v>
      </c>
      <c r="J23" s="256">
        <v>780424</v>
      </c>
      <c r="K23" s="256">
        <v>783769</v>
      </c>
      <c r="L23" s="256">
        <v>778031</v>
      </c>
      <c r="M23" s="256">
        <v>775682</v>
      </c>
      <c r="N23" s="256">
        <v>780062</v>
      </c>
      <c r="O23" s="256">
        <v>781113</v>
      </c>
      <c r="P23" s="256">
        <v>779728</v>
      </c>
      <c r="Q23" s="256">
        <f>P23</f>
        <v>779728</v>
      </c>
      <c r="R23" s="256">
        <f>AVERAGE(E23:P23)</f>
        <v>773803</v>
      </c>
      <c r="S23" s="257">
        <v>779724</v>
      </c>
      <c r="T23" s="256">
        <v>780722</v>
      </c>
      <c r="U23" s="256">
        <v>779638</v>
      </c>
      <c r="V23" s="256">
        <v>778911</v>
      </c>
      <c r="W23" s="256">
        <v>776888</v>
      </c>
      <c r="X23" s="256">
        <v>774460</v>
      </c>
      <c r="Y23" s="256">
        <v>774140</v>
      </c>
      <c r="Z23" s="256">
        <v>774080</v>
      </c>
      <c r="AA23" s="256">
        <v>774579</v>
      </c>
      <c r="AB23" s="256">
        <v>778535</v>
      </c>
      <c r="AC23" s="256">
        <v>778067</v>
      </c>
      <c r="AD23" s="256">
        <v>775751</v>
      </c>
      <c r="AE23" s="256">
        <f>AD23</f>
        <v>775751</v>
      </c>
      <c r="AF23" s="256">
        <f>AVERAGE(S23:AD23)</f>
        <v>777124.58333333337</v>
      </c>
      <c r="AG23" s="256"/>
      <c r="AH23" s="458">
        <v>777187</v>
      </c>
      <c r="AI23" s="457">
        <v>779411</v>
      </c>
      <c r="AJ23" s="457">
        <v>778155</v>
      </c>
      <c r="AK23" s="457">
        <v>776021</v>
      </c>
      <c r="AL23" s="457">
        <v>773540</v>
      </c>
      <c r="AM23" s="457">
        <v>770644</v>
      </c>
      <c r="AN23" s="457">
        <v>768036</v>
      </c>
      <c r="AO23" s="457">
        <v>759356</v>
      </c>
      <c r="AP23" s="457">
        <v>760184</v>
      </c>
      <c r="AQ23" s="457">
        <v>756277</v>
      </c>
      <c r="AR23" s="457">
        <v>744146</v>
      </c>
      <c r="AS23" s="256">
        <v>732488</v>
      </c>
      <c r="AT23" s="256">
        <f>AS23</f>
        <v>732488</v>
      </c>
      <c r="AU23" s="256">
        <f t="shared" si="3"/>
        <v>764620.41666666663</v>
      </c>
      <c r="AV23" s="256"/>
      <c r="AW23" s="257">
        <v>722118</v>
      </c>
      <c r="AX23" s="256">
        <v>716163</v>
      </c>
      <c r="AY23" s="256">
        <v>706173</v>
      </c>
      <c r="AZ23" s="457">
        <v>700387</v>
      </c>
      <c r="BA23" s="256">
        <v>709512</v>
      </c>
      <c r="BB23" s="256">
        <v>702531</v>
      </c>
      <c r="BC23" s="256">
        <v>700688</v>
      </c>
      <c r="BD23" s="256">
        <v>688035</v>
      </c>
      <c r="BE23" s="256">
        <v>683212</v>
      </c>
      <c r="BF23" s="256">
        <v>673698</v>
      </c>
      <c r="BG23" s="256">
        <v>662831</v>
      </c>
      <c r="BH23" s="256">
        <v>651487</v>
      </c>
      <c r="BI23" s="249">
        <f>INDEX($AW23:$BH23, 1, MATCH(0, $AW23:$BH23, -1))</f>
        <v>651487</v>
      </c>
      <c r="BJ23" s="256">
        <f t="shared" si="5"/>
        <v>693069.58333333337</v>
      </c>
      <c r="BK23" s="256"/>
      <c r="BL23" s="257">
        <v>638581</v>
      </c>
      <c r="BM23" s="256">
        <v>630945</v>
      </c>
      <c r="BN23" s="256"/>
      <c r="BO23" s="457"/>
      <c r="BP23" s="256"/>
      <c r="BQ23" s="256"/>
      <c r="BR23" s="256"/>
      <c r="BS23" s="256"/>
      <c r="BT23" s="256"/>
      <c r="BU23" s="256"/>
      <c r="BV23" s="256"/>
      <c r="BW23" s="256"/>
      <c r="BX23" s="249">
        <f>INDEX($BL23:$BW23, 1, MATCH(0, $BL23:$BW23, -1))</f>
        <v>630945</v>
      </c>
      <c r="BY23" s="256">
        <f t="shared" si="7"/>
        <v>634763</v>
      </c>
      <c r="BZ23" s="6977"/>
      <c r="CB23" s="169">
        <f t="shared" si="8"/>
        <v>-85218</v>
      </c>
      <c r="CC23" s="169">
        <f>BY23-BJ23</f>
        <v>-58306.583333333372</v>
      </c>
      <c r="CD23" s="303">
        <f>IFERROR(_xlfn.XLOOKUP($A$1,$2:$2,23:23)-_xlfn.XLOOKUP(EDATE($A$1,-12),$2:$2,23:23),"")</f>
        <v>-85218</v>
      </c>
      <c r="CE23" s="278">
        <f t="shared" si="9"/>
        <v>-7636</v>
      </c>
    </row>
    <row r="24" spans="1:83" x14ac:dyDescent="0.55000000000000004">
      <c r="A24" s="7085"/>
      <c r="B24" s="251" t="s">
        <v>56</v>
      </c>
      <c r="C24" s="252"/>
      <c r="D24" s="138"/>
      <c r="E24" s="137">
        <f t="shared" ref="E24:P24" si="33">E25+E26</f>
        <v>24157</v>
      </c>
      <c r="F24" s="138">
        <f t="shared" si="33"/>
        <v>29417</v>
      </c>
      <c r="G24" s="138">
        <f t="shared" si="33"/>
        <v>26098</v>
      </c>
      <c r="H24" s="138">
        <f t="shared" si="33"/>
        <v>27402</v>
      </c>
      <c r="I24" s="138">
        <f t="shared" si="33"/>
        <v>28636</v>
      </c>
      <c r="J24" s="138">
        <f t="shared" si="33"/>
        <v>26511</v>
      </c>
      <c r="K24" s="138">
        <f t="shared" si="33"/>
        <v>24599</v>
      </c>
      <c r="L24" s="138">
        <f t="shared" si="33"/>
        <v>27981</v>
      </c>
      <c r="M24" s="138">
        <f t="shared" si="33"/>
        <v>20265</v>
      </c>
      <c r="N24" s="138">
        <f t="shared" si="33"/>
        <v>28569</v>
      </c>
      <c r="O24" s="138">
        <f t="shared" si="33"/>
        <v>21480</v>
      </c>
      <c r="P24" s="138">
        <f t="shared" si="33"/>
        <v>18473</v>
      </c>
      <c r="Q24" s="138">
        <f>SUM(E24:P24)</f>
        <v>303588</v>
      </c>
      <c r="R24" s="138">
        <f>Q24/12</f>
        <v>25299</v>
      </c>
      <c r="S24" s="137">
        <v>20072</v>
      </c>
      <c r="T24" s="138">
        <v>23849</v>
      </c>
      <c r="U24" s="138">
        <v>19298</v>
      </c>
      <c r="V24" s="138">
        <v>18484</v>
      </c>
      <c r="W24" s="138">
        <v>18803</v>
      </c>
      <c r="X24" s="138">
        <v>17372</v>
      </c>
      <c r="Y24" s="138">
        <v>20157</v>
      </c>
      <c r="Z24" s="138">
        <v>27642</v>
      </c>
      <c r="AA24" s="138">
        <v>19116</v>
      </c>
      <c r="AB24" s="138">
        <v>33846</v>
      </c>
      <c r="AC24" s="138">
        <v>20353</v>
      </c>
      <c r="AD24" s="138">
        <v>16803</v>
      </c>
      <c r="AE24" s="138">
        <f>SUM(S24:AD24)</f>
        <v>255795</v>
      </c>
      <c r="AF24" s="138">
        <f>AE24/12</f>
        <v>21316.25</v>
      </c>
      <c r="AG24" s="138"/>
      <c r="AH24" s="453">
        <v>28977</v>
      </c>
      <c r="AI24" s="452">
        <v>23681</v>
      </c>
      <c r="AJ24" s="452">
        <v>26973</v>
      </c>
      <c r="AK24" s="452">
        <v>27900</v>
      </c>
      <c r="AL24" s="452">
        <v>29593</v>
      </c>
      <c r="AM24" s="452">
        <v>26000</v>
      </c>
      <c r="AN24" s="452">
        <v>34598</v>
      </c>
      <c r="AO24" s="452">
        <v>27038</v>
      </c>
      <c r="AP24" s="452">
        <v>42698</v>
      </c>
      <c r="AQ24" s="452">
        <v>38004</v>
      </c>
      <c r="AR24" s="452">
        <v>29542</v>
      </c>
      <c r="AS24" s="138">
        <v>25467</v>
      </c>
      <c r="AT24" s="138">
        <f t="shared" ref="AT24:AT38" si="34">SUM(AH24:AS24)</f>
        <v>360471</v>
      </c>
      <c r="AU24" s="138">
        <f t="shared" si="3"/>
        <v>30039.25</v>
      </c>
      <c r="AV24" s="138"/>
      <c r="AW24" s="137">
        <v>24827</v>
      </c>
      <c r="AX24" s="452">
        <v>46666</v>
      </c>
      <c r="AY24" s="452">
        <v>29889</v>
      </c>
      <c r="AZ24" s="452">
        <v>38967</v>
      </c>
      <c r="BA24" s="452">
        <v>66692</v>
      </c>
      <c r="BB24" s="452">
        <v>43382</v>
      </c>
      <c r="BC24" s="452">
        <v>61341</v>
      </c>
      <c r="BD24" s="452">
        <v>38039</v>
      </c>
      <c r="BE24" s="452">
        <v>50297</v>
      </c>
      <c r="BF24" s="138">
        <v>41620</v>
      </c>
      <c r="BG24" s="138">
        <v>33730</v>
      </c>
      <c r="BH24" s="452">
        <v>36318</v>
      </c>
      <c r="BI24" s="138">
        <f>SUM(AW24:BH24)</f>
        <v>511768</v>
      </c>
      <c r="BJ24" s="138">
        <f t="shared" si="5"/>
        <v>42647.333333333336</v>
      </c>
      <c r="BK24" s="138"/>
      <c r="BL24" s="137">
        <v>17312</v>
      </c>
      <c r="BM24" s="452">
        <v>10548</v>
      </c>
      <c r="BN24" s="452"/>
      <c r="BO24" s="452"/>
      <c r="BP24" s="452"/>
      <c r="BQ24" s="452"/>
      <c r="BR24" s="452"/>
      <c r="BS24" s="452"/>
      <c r="BT24" s="452"/>
      <c r="BU24" s="138"/>
      <c r="BV24" s="138"/>
      <c r="BW24" s="452"/>
      <c r="BX24" s="138">
        <f>SUM(BL24:BW24)</f>
        <v>27860</v>
      </c>
      <c r="BY24" s="138">
        <f t="shared" si="7"/>
        <v>13930</v>
      </c>
      <c r="BZ24" s="6977"/>
      <c r="CB24" s="169">
        <f t="shared" si="8"/>
        <v>-36118</v>
      </c>
      <c r="CC24" s="169">
        <f>BY24-BJ24</f>
        <v>-28717.333333333336</v>
      </c>
      <c r="CD24" s="169">
        <f>IFERROR(
  SUM(
    _xlfn.XLOOKUP(DATE(YEAR($A$1),1,1),$2:$2,24:24):
    _xlfn.XLOOKUP($A$1,$2:$2,24:24)
  )
 -SUM(
    _xlfn.XLOOKUP(DATE(YEAR($A$1)-1,1,1),$2:$2,24:24):
    _xlfn.XLOOKUP(EDATE($A$1,-12),$2:$2,24:24)
  ),"")</f>
        <v>-43633</v>
      </c>
      <c r="CE24" s="278">
        <f t="shared" si="9"/>
        <v>-6764</v>
      </c>
    </row>
    <row r="25" spans="1:83" hidden="1" x14ac:dyDescent="0.55000000000000004">
      <c r="A25" s="7085"/>
      <c r="C25" t="s">
        <v>46</v>
      </c>
      <c r="D25" s="253"/>
      <c r="E25" s="139">
        <v>11864</v>
      </c>
      <c r="F25" s="140">
        <v>11267</v>
      </c>
      <c r="G25" s="140">
        <v>12030</v>
      </c>
      <c r="H25" s="140">
        <v>10413</v>
      </c>
      <c r="I25" s="140">
        <v>10527</v>
      </c>
      <c r="J25" s="140">
        <v>9651</v>
      </c>
      <c r="K25" s="140">
        <v>9007</v>
      </c>
      <c r="L25" s="140">
        <v>8867</v>
      </c>
      <c r="M25" s="140">
        <v>8596</v>
      </c>
      <c r="N25" s="140">
        <v>11481</v>
      </c>
      <c r="O25" s="140">
        <v>9732</v>
      </c>
      <c r="P25" s="140">
        <v>8071</v>
      </c>
      <c r="Q25" s="140">
        <f t="shared" ref="Q25:Q32" si="35">SUM(E25:P25)</f>
        <v>121506</v>
      </c>
      <c r="R25" s="140">
        <f t="shared" ref="R25:R32" si="36">Q25/12</f>
        <v>10125.5</v>
      </c>
      <c r="S25" s="446">
        <f>S6-S15</f>
        <v>7714</v>
      </c>
      <c r="T25" s="447">
        <f t="shared" ref="T25:AD25" si="37">T6-T15</f>
        <v>8509</v>
      </c>
      <c r="U25" s="447">
        <f t="shared" si="37"/>
        <v>8556</v>
      </c>
      <c r="V25" s="447">
        <f t="shared" si="37"/>
        <v>7884</v>
      </c>
      <c r="W25" s="447">
        <f t="shared" si="37"/>
        <v>9503</v>
      </c>
      <c r="X25" s="447">
        <f t="shared" si="37"/>
        <v>8943</v>
      </c>
      <c r="Y25" s="447">
        <f t="shared" si="37"/>
        <v>11217</v>
      </c>
      <c r="Z25" s="447">
        <f t="shared" si="37"/>
        <v>11765</v>
      </c>
      <c r="AA25" s="447">
        <f t="shared" si="37"/>
        <v>11076</v>
      </c>
      <c r="AB25" s="447">
        <f t="shared" si="37"/>
        <v>11931</v>
      </c>
      <c r="AC25" s="447">
        <f t="shared" si="37"/>
        <v>10434</v>
      </c>
      <c r="AD25" s="447">
        <f t="shared" si="37"/>
        <v>9091</v>
      </c>
      <c r="AE25" s="140">
        <f t="shared" ref="AE25:AE31" si="38">SUM(S25:AD25)</f>
        <v>116623</v>
      </c>
      <c r="AF25" s="140">
        <f t="shared" ref="AF25:AF32" si="39">AE25/12</f>
        <v>9718.5833333333339</v>
      </c>
      <c r="AG25" s="140"/>
      <c r="AH25" s="543">
        <v>11088</v>
      </c>
      <c r="AI25" s="540">
        <v>11094</v>
      </c>
      <c r="AJ25" s="540">
        <v>14320</v>
      </c>
      <c r="AK25" s="540">
        <v>14241</v>
      </c>
      <c r="AL25" s="540">
        <v>17233</v>
      </c>
      <c r="AM25" s="540">
        <v>15517</v>
      </c>
      <c r="AN25" s="540">
        <v>14842</v>
      </c>
      <c r="AO25" s="540">
        <v>12830</v>
      </c>
      <c r="AP25" s="540">
        <v>12646</v>
      </c>
      <c r="AQ25" s="540">
        <v>14569</v>
      </c>
      <c r="AR25" s="540">
        <v>14378</v>
      </c>
      <c r="AS25" s="447">
        <v>0</v>
      </c>
      <c r="AT25" s="447">
        <f t="shared" si="34"/>
        <v>152758</v>
      </c>
      <c r="AU25" s="140">
        <f t="shared" si="3"/>
        <v>12729.833333333334</v>
      </c>
      <c r="AV25" s="140"/>
      <c r="AW25" s="446">
        <v>12525</v>
      </c>
      <c r="AX25" s="540">
        <v>18359</v>
      </c>
      <c r="AY25" s="540">
        <v>13723</v>
      </c>
      <c r="AZ25" s="540">
        <v>21354</v>
      </c>
      <c r="BA25" s="540">
        <v>47351</v>
      </c>
      <c r="BB25" s="540">
        <v>24947</v>
      </c>
      <c r="BC25" s="540">
        <v>34394</v>
      </c>
      <c r="BD25" s="540">
        <v>14356</v>
      </c>
      <c r="BE25" s="540">
        <v>16488</v>
      </c>
      <c r="BF25" s="447">
        <v>14735</v>
      </c>
      <c r="BG25" s="447">
        <v>13768</v>
      </c>
      <c r="BH25" s="540">
        <v>15622</v>
      </c>
      <c r="BI25" s="140">
        <f t="shared" ref="BI25:BI32" si="40">SUM(AW25:BH25)</f>
        <v>247622</v>
      </c>
      <c r="BJ25" s="140">
        <f t="shared" si="5"/>
        <v>20635.166666666668</v>
      </c>
      <c r="BK25" s="140"/>
      <c r="BL25" s="446">
        <v>7070</v>
      </c>
      <c r="BM25" s="540">
        <v>4492</v>
      </c>
      <c r="BN25" s="540"/>
      <c r="BO25" s="540"/>
      <c r="BP25" s="540"/>
      <c r="BQ25" s="540"/>
      <c r="BR25" s="540"/>
      <c r="BS25" s="540"/>
      <c r="BT25" s="540"/>
      <c r="BU25" s="447"/>
      <c r="BV25" s="447"/>
      <c r="BW25" s="540"/>
      <c r="BX25" s="140">
        <f t="shared" ref="BX25:BX32" si="41">SUM(BL25:BW25)</f>
        <v>11562</v>
      </c>
      <c r="BY25" s="140">
        <f t="shared" si="7"/>
        <v>5781</v>
      </c>
      <c r="BZ25" s="6977"/>
      <c r="CB25" s="169">
        <f t="shared" si="8"/>
        <v>-13867</v>
      </c>
      <c r="CC25" s="169">
        <f>BY25-BJ25</f>
        <v>-14854.166666666668</v>
      </c>
      <c r="CD25" s="169">
        <f>IFERROR(
  SUM(
    _xlfn.XLOOKUP(DATE(YEAR($A$1),1,1),$2:$2,25:25):
    _xlfn.XLOOKUP($A$1,$2:$2,25:25)
  )
 -SUM(
    _xlfn.XLOOKUP(DATE(YEAR($A$1)-1,1,1),$2:$2,25:25):
    _xlfn.XLOOKUP(EDATE($A$1,-12),$2:$2,25:25)
  ),"")</f>
        <v>-19322</v>
      </c>
      <c r="CE25" s="278">
        <f t="shared" si="9"/>
        <v>-2578</v>
      </c>
    </row>
    <row r="26" spans="1:83" hidden="1" x14ac:dyDescent="0.55000000000000004">
      <c r="A26" s="7085"/>
      <c r="C26" s="22" t="s">
        <v>55</v>
      </c>
      <c r="D26" s="253"/>
      <c r="E26" s="139">
        <v>12293</v>
      </c>
      <c r="F26" s="140">
        <v>18150</v>
      </c>
      <c r="G26" s="140">
        <v>14068</v>
      </c>
      <c r="H26" s="140">
        <v>16989</v>
      </c>
      <c r="I26" s="140">
        <v>18109</v>
      </c>
      <c r="J26" s="140">
        <v>16860</v>
      </c>
      <c r="K26" s="140">
        <v>15592</v>
      </c>
      <c r="L26" s="140">
        <v>19114</v>
      </c>
      <c r="M26" s="140">
        <v>11669</v>
      </c>
      <c r="N26" s="140">
        <v>17088</v>
      </c>
      <c r="O26" s="140">
        <v>11748</v>
      </c>
      <c r="P26" s="140">
        <v>10402</v>
      </c>
      <c r="Q26" s="140">
        <f t="shared" si="35"/>
        <v>182082</v>
      </c>
      <c r="R26" s="140">
        <f t="shared" si="36"/>
        <v>15173.5</v>
      </c>
      <c r="S26" s="446">
        <v>15031</v>
      </c>
      <c r="T26" s="447">
        <v>19242</v>
      </c>
      <c r="U26" s="447">
        <v>13231</v>
      </c>
      <c r="V26" s="447">
        <v>12861</v>
      </c>
      <c r="W26" s="447">
        <v>12437</v>
      </c>
      <c r="X26" s="447">
        <v>11372</v>
      </c>
      <c r="Y26" s="447">
        <v>11603</v>
      </c>
      <c r="Z26" s="447">
        <v>20857</v>
      </c>
      <c r="AA26" s="447">
        <v>9431</v>
      </c>
      <c r="AB26" s="447">
        <v>27733</v>
      </c>
      <c r="AC26" s="447">
        <v>12378</v>
      </c>
      <c r="AD26" s="447">
        <v>9611</v>
      </c>
      <c r="AE26" s="140">
        <f t="shared" si="38"/>
        <v>175787</v>
      </c>
      <c r="AF26" s="140">
        <f t="shared" si="39"/>
        <v>14648.916666666666</v>
      </c>
      <c r="AG26" s="140"/>
      <c r="AH26" s="543">
        <v>17083</v>
      </c>
      <c r="AI26" s="540">
        <v>11816</v>
      </c>
      <c r="AJ26" s="540">
        <v>12653</v>
      </c>
      <c r="AK26" s="540">
        <v>13659</v>
      </c>
      <c r="AL26" s="540">
        <v>12360</v>
      </c>
      <c r="AM26" s="540">
        <v>10484</v>
      </c>
      <c r="AN26" s="540">
        <v>19756</v>
      </c>
      <c r="AO26" s="540">
        <v>14209</v>
      </c>
      <c r="AP26" s="540">
        <v>30053</v>
      </c>
      <c r="AQ26" s="540">
        <v>23435</v>
      </c>
      <c r="AR26" s="540">
        <v>15164</v>
      </c>
      <c r="AS26" s="447">
        <v>0</v>
      </c>
      <c r="AT26" s="447">
        <f t="shared" si="34"/>
        <v>180672</v>
      </c>
      <c r="AU26" s="140">
        <f t="shared" si="3"/>
        <v>15056</v>
      </c>
      <c r="AV26" s="140"/>
      <c r="AW26" s="446">
        <v>12302</v>
      </c>
      <c r="AX26" s="540">
        <v>28307</v>
      </c>
      <c r="AY26" s="540">
        <v>16166</v>
      </c>
      <c r="AZ26" s="540">
        <v>17613</v>
      </c>
      <c r="BA26" s="540">
        <v>19341</v>
      </c>
      <c r="BB26" s="540">
        <v>18435</v>
      </c>
      <c r="BC26" s="540">
        <v>26939</v>
      </c>
      <c r="BD26" s="540">
        <v>23683</v>
      </c>
      <c r="BE26" s="540">
        <v>33809</v>
      </c>
      <c r="BF26" s="447"/>
      <c r="BG26" s="447"/>
      <c r="BH26" s="540"/>
      <c r="BI26" s="140">
        <f t="shared" si="40"/>
        <v>196595</v>
      </c>
      <c r="BJ26" s="140">
        <f t="shared" si="5"/>
        <v>21843.888888888891</v>
      </c>
      <c r="BK26" s="140"/>
      <c r="BL26" s="446">
        <v>10242</v>
      </c>
      <c r="BM26" s="540">
        <v>6056</v>
      </c>
      <c r="BN26" s="540"/>
      <c r="BO26" s="540"/>
      <c r="BP26" s="540"/>
      <c r="BQ26" s="540"/>
      <c r="BR26" s="540"/>
      <c r="BS26" s="540"/>
      <c r="BT26" s="540"/>
      <c r="BU26" s="447"/>
      <c r="BV26" s="447"/>
      <c r="BW26" s="540"/>
      <c r="BX26" s="140">
        <f t="shared" si="41"/>
        <v>16298</v>
      </c>
      <c r="BY26" s="140">
        <f t="shared" si="7"/>
        <v>8149</v>
      </c>
      <c r="BZ26" s="6977"/>
      <c r="CB26" s="169">
        <f t="shared" si="8"/>
        <v>-22251</v>
      </c>
      <c r="CC26" s="169">
        <f>BY26-BJ26</f>
        <v>-13694.888888888891</v>
      </c>
      <c r="CD26" s="169">
        <f>IFERROR(
  SUM(
    _xlfn.XLOOKUP(DATE(YEAR($A$1),1,1),$2:$2,26:26):
    _xlfn.XLOOKUP($A$1,$2:$2,26:26)
  )
 -SUM(
    _xlfn.XLOOKUP(DATE(YEAR($A$1)-1,1,1),$2:$2,26:26):
    _xlfn.XLOOKUP(EDATE($A$1,-12),$2:$2,26:26)
  ),"")</f>
        <v>-24311</v>
      </c>
      <c r="CE26" s="278">
        <f t="shared" si="9"/>
        <v>-4186</v>
      </c>
    </row>
    <row r="27" spans="1:83" x14ac:dyDescent="0.55000000000000004">
      <c r="A27" s="7085"/>
      <c r="B27" t="s">
        <v>47</v>
      </c>
      <c r="D27" s="253"/>
      <c r="E27" s="139">
        <v>10901</v>
      </c>
      <c r="F27" s="140">
        <v>8601</v>
      </c>
      <c r="G27" s="140">
        <v>9298</v>
      </c>
      <c r="H27" s="140">
        <v>7697</v>
      </c>
      <c r="I27" s="140">
        <v>8309</v>
      </c>
      <c r="J27" s="140">
        <v>7655</v>
      </c>
      <c r="K27" s="140">
        <v>7351</v>
      </c>
      <c r="L27" s="140">
        <v>7826</v>
      </c>
      <c r="M27" s="140">
        <v>6823</v>
      </c>
      <c r="N27" s="140">
        <v>8099</v>
      </c>
      <c r="O27" s="140">
        <v>7673</v>
      </c>
      <c r="P27" s="140">
        <v>8509</v>
      </c>
      <c r="Q27" s="140">
        <f t="shared" si="35"/>
        <v>98742</v>
      </c>
      <c r="R27" s="140">
        <f t="shared" si="36"/>
        <v>8228.5</v>
      </c>
      <c r="S27" s="139">
        <v>7459</v>
      </c>
      <c r="T27" s="140">
        <v>7487</v>
      </c>
      <c r="U27" s="140">
        <v>7489</v>
      </c>
      <c r="V27" s="140">
        <v>7430</v>
      </c>
      <c r="W27" s="140">
        <v>8854</v>
      </c>
      <c r="X27" s="140">
        <v>8582</v>
      </c>
      <c r="Y27" s="140">
        <v>8947</v>
      </c>
      <c r="Z27" s="140">
        <v>9917</v>
      </c>
      <c r="AA27" s="140">
        <v>8783</v>
      </c>
      <c r="AB27" s="140">
        <v>9494</v>
      </c>
      <c r="AC27" s="140">
        <v>8942</v>
      </c>
      <c r="AD27" s="140">
        <v>8895</v>
      </c>
      <c r="AE27" s="140">
        <f t="shared" si="38"/>
        <v>102279</v>
      </c>
      <c r="AF27" s="140">
        <f t="shared" si="39"/>
        <v>8523.25</v>
      </c>
      <c r="AG27" s="140"/>
      <c r="AH27" s="451">
        <v>9418</v>
      </c>
      <c r="AI27" s="450">
        <v>8446</v>
      </c>
      <c r="AJ27" s="450">
        <v>9545</v>
      </c>
      <c r="AK27" s="450">
        <v>9631</v>
      </c>
      <c r="AL27" s="450">
        <v>10583</v>
      </c>
      <c r="AM27" s="450">
        <v>9085</v>
      </c>
      <c r="AN27" s="450">
        <v>10119</v>
      </c>
      <c r="AO27" s="450">
        <v>9502</v>
      </c>
      <c r="AP27" s="450">
        <v>8891</v>
      </c>
      <c r="AQ27" s="450">
        <v>9542</v>
      </c>
      <c r="AR27" s="450">
        <v>10431</v>
      </c>
      <c r="AS27" s="140">
        <v>10531</v>
      </c>
      <c r="AT27" s="140">
        <f t="shared" si="34"/>
        <v>115724</v>
      </c>
      <c r="AU27" s="140">
        <f t="shared" si="3"/>
        <v>9643.6666666666661</v>
      </c>
      <c r="AV27" s="140"/>
      <c r="AW27" s="139">
        <v>8405</v>
      </c>
      <c r="AX27" s="450">
        <v>10364</v>
      </c>
      <c r="AY27" s="450">
        <v>9118</v>
      </c>
      <c r="AZ27" s="450">
        <v>9064</v>
      </c>
      <c r="BA27" s="450">
        <v>7775</v>
      </c>
      <c r="BB27" s="450">
        <v>9688</v>
      </c>
      <c r="BC27" s="450">
        <v>14560</v>
      </c>
      <c r="BD27" s="450">
        <v>10139</v>
      </c>
      <c r="BE27" s="450">
        <v>10545</v>
      </c>
      <c r="BF27" s="140">
        <v>8829</v>
      </c>
      <c r="BG27" s="140">
        <v>8707</v>
      </c>
      <c r="BH27" s="450">
        <v>9567</v>
      </c>
      <c r="BI27" s="140">
        <f t="shared" si="40"/>
        <v>116761</v>
      </c>
      <c r="BJ27" s="140">
        <f t="shared" si="5"/>
        <v>9730.0833333333339</v>
      </c>
      <c r="BK27" s="140"/>
      <c r="BL27" s="139">
        <v>21707</v>
      </c>
      <c r="BM27" s="450">
        <v>7232</v>
      </c>
      <c r="BN27" s="450"/>
      <c r="BO27" s="450"/>
      <c r="BP27" s="450"/>
      <c r="BQ27" s="450"/>
      <c r="BR27" s="450"/>
      <c r="BS27" s="450"/>
      <c r="BT27" s="450"/>
      <c r="BU27" s="140"/>
      <c r="BV27" s="140"/>
      <c r="BW27" s="450"/>
      <c r="BX27" s="140">
        <f t="shared" si="41"/>
        <v>28939</v>
      </c>
      <c r="BY27" s="140">
        <f t="shared" si="7"/>
        <v>14469.5</v>
      </c>
      <c r="BZ27" s="6977"/>
      <c r="CB27" s="169">
        <f t="shared" si="8"/>
        <v>-3132</v>
      </c>
      <c r="CC27" s="169">
        <f>BY27-BJ27</f>
        <v>4739.4166666666661</v>
      </c>
      <c r="CD27" s="169">
        <f>IFERROR(
  SUM(
    _xlfn.XLOOKUP(DATE(YEAR($A$1),1,1),$2:$2,27:27):
    _xlfn.XLOOKUP($A$1,$2:$2,27:27)
  )
 -SUM(
    _xlfn.XLOOKUP(DATE(YEAR($A$1)-1,1,1),$2:$2,27:27):
    _xlfn.XLOOKUP(EDATE($A$1,-12),$2:$2,27:27)
  ),"")</f>
        <v>10170</v>
      </c>
      <c r="CE27" s="278">
        <f t="shared" si="9"/>
        <v>-14475</v>
      </c>
    </row>
    <row r="28" spans="1:83" x14ac:dyDescent="0.55000000000000004">
      <c r="A28" s="7085"/>
      <c r="B28" t="s">
        <v>58</v>
      </c>
      <c r="D28" s="253"/>
      <c r="E28" s="139">
        <v>1076</v>
      </c>
      <c r="F28" s="140">
        <v>394</v>
      </c>
      <c r="G28" s="140">
        <v>1298</v>
      </c>
      <c r="H28" s="140">
        <v>460</v>
      </c>
      <c r="I28" s="140">
        <v>1070</v>
      </c>
      <c r="J28" s="140">
        <v>810</v>
      </c>
      <c r="K28" s="140">
        <v>486</v>
      </c>
      <c r="L28" s="140">
        <v>928</v>
      </c>
      <c r="M28" s="140">
        <v>511</v>
      </c>
      <c r="N28" s="140">
        <v>476</v>
      </c>
      <c r="O28" s="140">
        <v>507</v>
      </c>
      <c r="P28" s="140">
        <v>1366</v>
      </c>
      <c r="Q28" s="140">
        <f t="shared" si="35"/>
        <v>9382</v>
      </c>
      <c r="R28" s="140">
        <f t="shared" si="36"/>
        <v>781.83333333333337</v>
      </c>
      <c r="S28" s="139">
        <v>482</v>
      </c>
      <c r="T28" s="140">
        <v>471</v>
      </c>
      <c r="U28" s="140">
        <v>514</v>
      </c>
      <c r="V28" s="140">
        <v>491</v>
      </c>
      <c r="W28" s="140">
        <v>1137</v>
      </c>
      <c r="X28" s="140">
        <v>618</v>
      </c>
      <c r="Y28" s="140">
        <v>510</v>
      </c>
      <c r="Z28" s="140">
        <v>545</v>
      </c>
      <c r="AA28" s="140">
        <v>833</v>
      </c>
      <c r="AB28" s="140">
        <v>490</v>
      </c>
      <c r="AC28" s="140">
        <v>544</v>
      </c>
      <c r="AD28" s="140">
        <v>1247</v>
      </c>
      <c r="AE28" s="140">
        <f t="shared" si="38"/>
        <v>7882</v>
      </c>
      <c r="AF28" s="140">
        <f t="shared" si="39"/>
        <v>656.83333333333337</v>
      </c>
      <c r="AG28" s="140"/>
      <c r="AH28" s="451">
        <v>465</v>
      </c>
      <c r="AI28" s="450">
        <v>504</v>
      </c>
      <c r="AJ28" s="450">
        <v>595</v>
      </c>
      <c r="AK28" s="450">
        <v>553</v>
      </c>
      <c r="AL28" s="450">
        <v>1040</v>
      </c>
      <c r="AM28" s="450">
        <v>551</v>
      </c>
      <c r="AN28" s="450">
        <v>567</v>
      </c>
      <c r="AO28" s="450">
        <v>658</v>
      </c>
      <c r="AP28" s="450">
        <v>806</v>
      </c>
      <c r="AQ28" s="450">
        <v>679</v>
      </c>
      <c r="AR28" s="450">
        <v>939</v>
      </c>
      <c r="AS28" s="140">
        <v>1705</v>
      </c>
      <c r="AT28" s="140">
        <f t="shared" si="34"/>
        <v>9062</v>
      </c>
      <c r="AU28" s="140">
        <f t="shared" si="3"/>
        <v>755.16666666666663</v>
      </c>
      <c r="AV28" s="140"/>
      <c r="AW28" s="139">
        <v>817</v>
      </c>
      <c r="AX28" s="450">
        <v>655</v>
      </c>
      <c r="AY28" s="450">
        <v>627</v>
      </c>
      <c r="AZ28" s="450">
        <v>670</v>
      </c>
      <c r="BA28" s="450">
        <v>696</v>
      </c>
      <c r="BB28" s="450">
        <v>1140</v>
      </c>
      <c r="BC28" s="450">
        <v>703</v>
      </c>
      <c r="BD28" s="450">
        <v>753</v>
      </c>
      <c r="BE28" s="450">
        <v>593</v>
      </c>
      <c r="BF28" s="140">
        <v>594</v>
      </c>
      <c r="BG28" s="140">
        <v>570</v>
      </c>
      <c r="BH28" s="450">
        <v>658</v>
      </c>
      <c r="BI28" s="140">
        <f t="shared" si="40"/>
        <v>8476</v>
      </c>
      <c r="BJ28" s="140">
        <f t="shared" si="5"/>
        <v>706.33333333333337</v>
      </c>
      <c r="BK28" s="140"/>
      <c r="BL28" s="139">
        <v>1041</v>
      </c>
      <c r="BM28" s="450">
        <v>474</v>
      </c>
      <c r="BN28" s="450"/>
      <c r="BO28" s="450"/>
      <c r="BP28" s="450"/>
      <c r="BQ28" s="450"/>
      <c r="BR28" s="450"/>
      <c r="BS28" s="450"/>
      <c r="BT28" s="450"/>
      <c r="BU28" s="140"/>
      <c r="BV28" s="140"/>
      <c r="BW28" s="450"/>
      <c r="BX28" s="140">
        <f t="shared" si="41"/>
        <v>1515</v>
      </c>
      <c r="BY28" s="140">
        <f t="shared" si="7"/>
        <v>757.5</v>
      </c>
      <c r="BZ28" s="6977"/>
      <c r="CB28" s="169">
        <f t="shared" si="8"/>
        <v>-181</v>
      </c>
      <c r="CC28" s="169">
        <f>BY28-BJ28</f>
        <v>51.166666666666629</v>
      </c>
      <c r="CD28" s="169">
        <f>IFERROR(
  SUM(
    _xlfn.XLOOKUP(DATE(YEAR($A$1),1,1),$2:$2,28:28):
    _xlfn.XLOOKUP($A$1,$2:$2,28:28)
  )
 -SUM(
    _xlfn.XLOOKUP(DATE(YEAR($A$1)-1,1,1),$2:$2,28:28):
    _xlfn.XLOOKUP(EDATE($A$1,-12),$2:$2,28:28)
  ),"")</f>
        <v>43</v>
      </c>
      <c r="CE28" s="278">
        <f t="shared" si="9"/>
        <v>-567</v>
      </c>
    </row>
    <row r="29" spans="1:83" x14ac:dyDescent="0.55000000000000004">
      <c r="A29" s="7085"/>
      <c r="B29" t="s">
        <v>48</v>
      </c>
      <c r="D29" s="253"/>
      <c r="E29" s="139">
        <f t="shared" ref="E29:P29" si="42">-(E32-(E24-E27-E30))</f>
        <v>10014</v>
      </c>
      <c r="F29" s="140">
        <f>-(F32-(F24-F27-F30-F31))</f>
        <v>6200</v>
      </c>
      <c r="G29" s="140">
        <f t="shared" si="42"/>
        <v>10099</v>
      </c>
      <c r="H29" s="140">
        <f t="shared" si="42"/>
        <v>9619</v>
      </c>
      <c r="I29" s="140">
        <f t="shared" si="42"/>
        <v>10717</v>
      </c>
      <c r="J29" s="140">
        <f t="shared" si="42"/>
        <v>10397</v>
      </c>
      <c r="K29" s="140">
        <f t="shared" si="42"/>
        <v>9782</v>
      </c>
      <c r="L29" s="140">
        <f t="shared" si="42"/>
        <v>13517</v>
      </c>
      <c r="M29" s="140">
        <f t="shared" si="42"/>
        <v>8900</v>
      </c>
      <c r="N29" s="140">
        <f t="shared" si="42"/>
        <v>12635</v>
      </c>
      <c r="O29" s="140">
        <f t="shared" si="42"/>
        <v>9026</v>
      </c>
      <c r="P29" s="140">
        <f t="shared" si="42"/>
        <v>7976</v>
      </c>
      <c r="Q29" s="140">
        <f t="shared" si="35"/>
        <v>118882</v>
      </c>
      <c r="R29" s="140">
        <f t="shared" si="36"/>
        <v>9906.8333333333339</v>
      </c>
      <c r="S29" s="139">
        <f t="shared" ref="S29:AD29" si="43">-(S32-(S24-S27-S30))</f>
        <v>9568</v>
      </c>
      <c r="T29" s="140">
        <f t="shared" si="43"/>
        <v>12737</v>
      </c>
      <c r="U29" s="140">
        <f t="shared" si="43"/>
        <v>9936</v>
      </c>
      <c r="V29" s="140">
        <f t="shared" si="43"/>
        <v>9459</v>
      </c>
      <c r="W29" s="140">
        <f t="shared" si="43"/>
        <v>9503</v>
      </c>
      <c r="X29" s="140">
        <f t="shared" si="43"/>
        <v>8691</v>
      </c>
      <c r="Y29" s="140">
        <f t="shared" si="43"/>
        <v>9070</v>
      </c>
      <c r="Z29" s="140">
        <f t="shared" si="43"/>
        <v>15143</v>
      </c>
      <c r="AA29" s="140">
        <f t="shared" si="43"/>
        <v>7475</v>
      </c>
      <c r="AB29" s="140">
        <f t="shared" si="43"/>
        <v>13085</v>
      </c>
      <c r="AC29" s="140">
        <f t="shared" si="43"/>
        <v>8938</v>
      </c>
      <c r="AD29" s="140">
        <f t="shared" si="43"/>
        <v>7772</v>
      </c>
      <c r="AE29" s="140">
        <f t="shared" si="38"/>
        <v>121377</v>
      </c>
      <c r="AF29" s="140">
        <f t="shared" si="39"/>
        <v>10114.75</v>
      </c>
      <c r="AG29" s="140"/>
      <c r="AH29" s="451">
        <v>15433</v>
      </c>
      <c r="AI29" s="450">
        <v>13756</v>
      </c>
      <c r="AJ29" s="450">
        <v>18201</v>
      </c>
      <c r="AK29" s="450">
        <v>18853</v>
      </c>
      <c r="AL29" s="450">
        <v>18845</v>
      </c>
      <c r="AM29" s="450">
        <v>17349</v>
      </c>
      <c r="AN29" s="450">
        <v>23744</v>
      </c>
      <c r="AO29" s="450">
        <v>22069</v>
      </c>
      <c r="AP29" s="450">
        <v>29504</v>
      </c>
      <c r="AQ29" s="450">
        <v>28773</v>
      </c>
      <c r="AR29" s="450">
        <v>27537</v>
      </c>
      <c r="AS29" s="140">
        <v>22944</v>
      </c>
      <c r="AT29" s="140">
        <f t="shared" si="34"/>
        <v>257008</v>
      </c>
      <c r="AU29" s="140">
        <f t="shared" si="3"/>
        <v>21417.333333333332</v>
      </c>
      <c r="AV29" s="140"/>
      <c r="AW29" s="139">
        <v>23467</v>
      </c>
      <c r="AX29" s="450">
        <v>38940</v>
      </c>
      <c r="AY29" s="450">
        <v>27386</v>
      </c>
      <c r="AZ29" s="450">
        <v>32570</v>
      </c>
      <c r="BA29" s="450">
        <v>45777</v>
      </c>
      <c r="BB29" s="450">
        <v>36821</v>
      </c>
      <c r="BC29" s="450">
        <v>45176</v>
      </c>
      <c r="BD29" s="450">
        <v>35306</v>
      </c>
      <c r="BE29" s="450">
        <v>40578</v>
      </c>
      <c r="BF29" s="140">
        <v>37765</v>
      </c>
      <c r="BG29" s="140">
        <v>31122</v>
      </c>
      <c r="BH29" s="450">
        <v>32788</v>
      </c>
      <c r="BI29" s="140">
        <f t="shared" si="40"/>
        <v>427696</v>
      </c>
      <c r="BJ29" s="140">
        <f t="shared" si="5"/>
        <v>35641.333333333336</v>
      </c>
      <c r="BK29" s="140"/>
      <c r="BL29" s="139">
        <v>2078</v>
      </c>
      <c r="BM29" s="450">
        <v>4304</v>
      </c>
      <c r="BN29" s="450"/>
      <c r="BO29" s="450"/>
      <c r="BP29" s="450"/>
      <c r="BQ29" s="450"/>
      <c r="BR29" s="450"/>
      <c r="BS29" s="450"/>
      <c r="BT29" s="450"/>
      <c r="BU29" s="140"/>
      <c r="BV29" s="140"/>
      <c r="BW29" s="450"/>
      <c r="BX29" s="140">
        <f t="shared" si="41"/>
        <v>6382</v>
      </c>
      <c r="BY29" s="140">
        <f t="shared" si="7"/>
        <v>3191</v>
      </c>
      <c r="BZ29" s="6977"/>
      <c r="CB29" s="169">
        <f t="shared" si="8"/>
        <v>-34636</v>
      </c>
      <c r="CC29" s="169">
        <f>BY29-BJ29</f>
        <v>-32450.333333333336</v>
      </c>
      <c r="CD29" s="169">
        <f>IFERROR(
  SUM(
    _xlfn.XLOOKUP(DATE(YEAR($A$1),1,1),$2:$2,29:29):
    _xlfn.XLOOKUP($A$1,$2:$2,29:29)
  )
 -SUM(
    _xlfn.XLOOKUP(DATE(YEAR($A$1)-1,1,1),$2:$2,29:29):
    _xlfn.XLOOKUP(EDATE($A$1,-12),$2:$2,29:29)
  ),"")</f>
        <v>-56025</v>
      </c>
      <c r="CE29" s="278">
        <f t="shared" si="9"/>
        <v>2226</v>
      </c>
    </row>
    <row r="30" spans="1:83" x14ac:dyDescent="0.55000000000000004">
      <c r="A30" s="7085"/>
      <c r="B30" t="s">
        <v>49</v>
      </c>
      <c r="D30" s="253"/>
      <c r="E30" s="269">
        <v>3874</v>
      </c>
      <c r="F30" s="270">
        <v>9878</v>
      </c>
      <c r="G30" s="270">
        <v>3423</v>
      </c>
      <c r="H30" s="270">
        <v>4354</v>
      </c>
      <c r="I30" s="140">
        <v>4378</v>
      </c>
      <c r="J30" s="140">
        <v>3284</v>
      </c>
      <c r="K30" s="140">
        <v>4121</v>
      </c>
      <c r="L30" s="140">
        <v>12376</v>
      </c>
      <c r="M30" s="140">
        <v>6891</v>
      </c>
      <c r="N30" s="140">
        <v>3455</v>
      </c>
      <c r="O30" s="140">
        <v>3730</v>
      </c>
      <c r="P30" s="140">
        <v>3373</v>
      </c>
      <c r="Q30" s="140">
        <f t="shared" si="35"/>
        <v>63137</v>
      </c>
      <c r="R30" s="140">
        <f t="shared" si="36"/>
        <v>5261.416666666667</v>
      </c>
      <c r="S30" s="139">
        <v>3049</v>
      </c>
      <c r="T30" s="140">
        <v>2627</v>
      </c>
      <c r="U30" s="140">
        <v>2957</v>
      </c>
      <c r="V30" s="140">
        <v>2322</v>
      </c>
      <c r="W30" s="140">
        <v>2469</v>
      </c>
      <c r="X30" s="140">
        <v>2527</v>
      </c>
      <c r="Y30" s="140">
        <v>2460</v>
      </c>
      <c r="Z30" s="140">
        <v>2642</v>
      </c>
      <c r="AA30" s="140">
        <v>2359</v>
      </c>
      <c r="AB30" s="140">
        <v>7311</v>
      </c>
      <c r="AC30" s="140">
        <v>2941</v>
      </c>
      <c r="AD30" s="140">
        <v>2452</v>
      </c>
      <c r="AE30" s="140">
        <f t="shared" si="38"/>
        <v>36116</v>
      </c>
      <c r="AF30" s="140">
        <f t="shared" si="39"/>
        <v>3009.6666666666665</v>
      </c>
      <c r="AG30" s="140"/>
      <c r="AH30" s="451">
        <v>2690</v>
      </c>
      <c r="AI30" s="450">
        <v>2209</v>
      </c>
      <c r="AJ30" s="450">
        <v>2409</v>
      </c>
      <c r="AK30" s="450">
        <v>2355</v>
      </c>
      <c r="AL30" s="450">
        <v>2656</v>
      </c>
      <c r="AM30" s="450">
        <v>2474</v>
      </c>
      <c r="AN30" s="450">
        <v>3343</v>
      </c>
      <c r="AO30" s="450">
        <v>4147</v>
      </c>
      <c r="AP30" s="450">
        <v>3475</v>
      </c>
      <c r="AQ30" s="450">
        <v>3596</v>
      </c>
      <c r="AR30" s="450">
        <v>3705</v>
      </c>
      <c r="AS30" s="140">
        <v>3650</v>
      </c>
      <c r="AT30" s="140">
        <f t="shared" si="34"/>
        <v>36709</v>
      </c>
      <c r="AU30" s="140">
        <f t="shared" si="3"/>
        <v>3059.0833333333335</v>
      </c>
      <c r="AV30" s="140"/>
      <c r="AW30" s="139">
        <v>3325</v>
      </c>
      <c r="AX30" s="450">
        <v>3327</v>
      </c>
      <c r="AY30" s="450">
        <v>3382</v>
      </c>
      <c r="AZ30" s="450">
        <v>3119</v>
      </c>
      <c r="BA30" s="450">
        <v>4019</v>
      </c>
      <c r="BB30" s="450">
        <v>3857</v>
      </c>
      <c r="BC30" s="450">
        <v>3448</v>
      </c>
      <c r="BD30" s="450">
        <v>5247</v>
      </c>
      <c r="BE30" s="450">
        <v>3997</v>
      </c>
      <c r="BF30" s="140">
        <v>4540</v>
      </c>
      <c r="BG30" s="140">
        <v>4768</v>
      </c>
      <c r="BH30" s="450">
        <v>5307</v>
      </c>
      <c r="BI30" s="140">
        <f t="shared" si="40"/>
        <v>48336</v>
      </c>
      <c r="BJ30" s="140">
        <f t="shared" si="5"/>
        <v>4028</v>
      </c>
      <c r="BK30" s="140"/>
      <c r="BL30" s="139">
        <v>6433</v>
      </c>
      <c r="BM30" s="450">
        <v>6648</v>
      </c>
      <c r="BN30" s="450"/>
      <c r="BO30" s="450"/>
      <c r="BP30" s="450"/>
      <c r="BQ30" s="450"/>
      <c r="BR30" s="450"/>
      <c r="BS30" s="450"/>
      <c r="BT30" s="450"/>
      <c r="BU30" s="140"/>
      <c r="BV30" s="140"/>
      <c r="BW30" s="450"/>
      <c r="BX30" s="140">
        <f t="shared" si="41"/>
        <v>13081</v>
      </c>
      <c r="BY30" s="140">
        <f t="shared" si="7"/>
        <v>6540.5</v>
      </c>
      <c r="BZ30" s="6977"/>
      <c r="CB30" s="169">
        <f t="shared" si="8"/>
        <v>3321</v>
      </c>
      <c r="CC30" s="169">
        <f>BY30-BJ30</f>
        <v>2512.5</v>
      </c>
      <c r="CD30" s="169">
        <f>IFERROR(
  SUM(
    _xlfn.XLOOKUP(DATE(YEAR($A$1),1,1),$2:$2,30:30):
    _xlfn.XLOOKUP($A$1,$2:$2,30:30)
  )
 -SUM(
    _xlfn.XLOOKUP(DATE(YEAR($A$1)-1,1,1),$2:$2,30:30):
    _xlfn.XLOOKUP(EDATE($A$1,-12),$2:$2,30:30)
  ),"")</f>
        <v>6429</v>
      </c>
      <c r="CE30" s="278">
        <f t="shared" si="9"/>
        <v>215</v>
      </c>
    </row>
    <row r="31" spans="1:83" x14ac:dyDescent="0.55000000000000004">
      <c r="A31" s="7085"/>
      <c r="B31" t="s">
        <v>51</v>
      </c>
      <c r="D31" s="253"/>
      <c r="E31" s="139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f t="shared" si="35"/>
        <v>0</v>
      </c>
      <c r="R31" s="140">
        <f t="shared" si="36"/>
        <v>0</v>
      </c>
      <c r="S31" s="139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f t="shared" si="38"/>
        <v>0</v>
      </c>
      <c r="AF31" s="140">
        <f t="shared" si="39"/>
        <v>0</v>
      </c>
      <c r="AG31" s="140"/>
      <c r="AH31" s="451">
        <v>0</v>
      </c>
      <c r="AI31" s="450">
        <v>-2954</v>
      </c>
      <c r="AJ31" s="450">
        <v>-1926</v>
      </c>
      <c r="AK31" s="450">
        <v>-805</v>
      </c>
      <c r="AL31" s="450">
        <v>-10</v>
      </c>
      <c r="AM31" s="450">
        <v>-12</v>
      </c>
      <c r="AN31" s="450">
        <v>0</v>
      </c>
      <c r="AO31" s="450">
        <v>0</v>
      </c>
      <c r="AP31" s="450">
        <v>0</v>
      </c>
      <c r="AQ31" s="450">
        <v>0</v>
      </c>
      <c r="AR31" s="450">
        <v>0</v>
      </c>
      <c r="AS31" s="450">
        <v>0</v>
      </c>
      <c r="AT31" s="450">
        <f t="shared" si="34"/>
        <v>-5707</v>
      </c>
      <c r="AU31" s="140">
        <f t="shared" si="3"/>
        <v>-475.58333333333331</v>
      </c>
      <c r="AV31" s="140"/>
      <c r="AW31" s="139">
        <v>0</v>
      </c>
      <c r="AX31" s="450">
        <v>-10</v>
      </c>
      <c r="AY31" s="450">
        <v>-7</v>
      </c>
      <c r="AZ31" s="450">
        <v>0</v>
      </c>
      <c r="BA31" s="450">
        <v>-4</v>
      </c>
      <c r="BB31" s="450">
        <v>-3</v>
      </c>
      <c r="BC31" s="450">
        <v>0</v>
      </c>
      <c r="BD31" s="450">
        <v>0</v>
      </c>
      <c r="BE31" s="450">
        <v>0</v>
      </c>
      <c r="BF31" s="140">
        <v>0</v>
      </c>
      <c r="BG31" s="140">
        <v>0</v>
      </c>
      <c r="BH31" s="450">
        <v>0</v>
      </c>
      <c r="BI31" s="140">
        <f t="shared" si="40"/>
        <v>-24</v>
      </c>
      <c r="BJ31" s="140">
        <f t="shared" si="5"/>
        <v>-2</v>
      </c>
      <c r="BK31" s="140"/>
      <c r="BL31" s="139">
        <v>0</v>
      </c>
      <c r="BM31" s="450">
        <v>0</v>
      </c>
      <c r="BN31" s="450"/>
      <c r="BO31" s="450"/>
      <c r="BP31" s="450"/>
      <c r="BQ31" s="450"/>
      <c r="BR31" s="450"/>
      <c r="BS31" s="450"/>
      <c r="BT31" s="450"/>
      <c r="BU31" s="140"/>
      <c r="BV31" s="140"/>
      <c r="BW31" s="450"/>
      <c r="BX31" s="140">
        <f t="shared" si="41"/>
        <v>0</v>
      </c>
      <c r="BY31" s="140">
        <f t="shared" si="7"/>
        <v>0</v>
      </c>
      <c r="BZ31" s="6977"/>
      <c r="CB31" s="169">
        <f t="shared" si="8"/>
        <v>10</v>
      </c>
      <c r="CC31" s="169">
        <f>BY31-BJ31</f>
        <v>2</v>
      </c>
      <c r="CD31" s="169">
        <f>IFERROR(
  SUM(
    _xlfn.XLOOKUP(DATE(YEAR($A$1),1,1),$2:$2,31:31):
    _xlfn.XLOOKUP($A$1,$2:$2,31:31)
  )
 -SUM(
    _xlfn.XLOOKUP(DATE(YEAR($A$1)-1,1,1),$2:$2,31:31):
    _xlfn.XLOOKUP(EDATE($A$1,-12),$2:$2,31:31)
  ),"")</f>
        <v>10</v>
      </c>
      <c r="CE31" s="278">
        <f t="shared" si="9"/>
        <v>0</v>
      </c>
    </row>
    <row r="32" spans="1:83" x14ac:dyDescent="0.55000000000000004">
      <c r="A32" s="7090"/>
      <c r="B32" s="28" t="s">
        <v>50</v>
      </c>
      <c r="C32" s="12"/>
      <c r="D32" s="258"/>
      <c r="E32" s="259">
        <f>E23-D23</f>
        <v>-632</v>
      </c>
      <c r="F32" s="258">
        <f>F23-E23</f>
        <v>4738</v>
      </c>
      <c r="G32" s="258">
        <f t="shared" ref="G32:P32" si="44">G23-F23</f>
        <v>3278</v>
      </c>
      <c r="H32" s="258">
        <f t="shared" si="44"/>
        <v>5732</v>
      </c>
      <c r="I32" s="258">
        <f t="shared" si="44"/>
        <v>5232</v>
      </c>
      <c r="J32" s="258">
        <f t="shared" si="44"/>
        <v>5175</v>
      </c>
      <c r="K32" s="258">
        <f t="shared" si="44"/>
        <v>3345</v>
      </c>
      <c r="L32" s="258">
        <f t="shared" si="44"/>
        <v>-5738</v>
      </c>
      <c r="M32" s="258">
        <f t="shared" si="44"/>
        <v>-2349</v>
      </c>
      <c r="N32" s="258">
        <f t="shared" si="44"/>
        <v>4380</v>
      </c>
      <c r="O32" s="258">
        <f t="shared" si="44"/>
        <v>1051</v>
      </c>
      <c r="P32" s="258">
        <f t="shared" si="44"/>
        <v>-1385</v>
      </c>
      <c r="Q32" s="258">
        <f t="shared" si="35"/>
        <v>22827</v>
      </c>
      <c r="R32" s="258">
        <f t="shared" si="36"/>
        <v>1902.25</v>
      </c>
      <c r="S32" s="259">
        <f>S23-P23</f>
        <v>-4</v>
      </c>
      <c r="T32" s="258">
        <f t="shared" ref="T32:AC32" si="45">T23-S23</f>
        <v>998</v>
      </c>
      <c r="U32" s="258">
        <f t="shared" si="45"/>
        <v>-1084</v>
      </c>
      <c r="V32" s="258">
        <f t="shared" si="45"/>
        <v>-727</v>
      </c>
      <c r="W32" s="258">
        <f t="shared" si="45"/>
        <v>-2023</v>
      </c>
      <c r="X32" s="258">
        <f t="shared" si="45"/>
        <v>-2428</v>
      </c>
      <c r="Y32" s="258">
        <f t="shared" si="45"/>
        <v>-320</v>
      </c>
      <c r="Z32" s="258">
        <f t="shared" si="45"/>
        <v>-60</v>
      </c>
      <c r="AA32" s="258">
        <f t="shared" si="45"/>
        <v>499</v>
      </c>
      <c r="AB32" s="258">
        <f t="shared" si="45"/>
        <v>3956</v>
      </c>
      <c r="AC32" s="258">
        <f t="shared" si="45"/>
        <v>-468</v>
      </c>
      <c r="AD32" s="258">
        <f>AD23-AC23</f>
        <v>-2316</v>
      </c>
      <c r="AE32" s="258">
        <f>SUM(S32:AD32)</f>
        <v>-3977</v>
      </c>
      <c r="AF32" s="258">
        <f t="shared" si="39"/>
        <v>-331.41666666666669</v>
      </c>
      <c r="AG32" s="258"/>
      <c r="AH32" s="459">
        <v>1436</v>
      </c>
      <c r="AI32" s="456">
        <v>2224</v>
      </c>
      <c r="AJ32" s="456">
        <v>-1256</v>
      </c>
      <c r="AK32" s="456">
        <v>-2134</v>
      </c>
      <c r="AL32" s="456">
        <v>-2481</v>
      </c>
      <c r="AM32" s="456">
        <v>-2896</v>
      </c>
      <c r="AN32" s="456">
        <v>-2608</v>
      </c>
      <c r="AO32" s="456">
        <v>-8680</v>
      </c>
      <c r="AP32" s="456">
        <v>828</v>
      </c>
      <c r="AQ32" s="456">
        <v>-3907</v>
      </c>
      <c r="AR32" s="456">
        <v>-12131</v>
      </c>
      <c r="AS32" s="258">
        <v>-11658</v>
      </c>
      <c r="AT32" s="258">
        <f t="shared" si="34"/>
        <v>-43263</v>
      </c>
      <c r="AU32" s="258">
        <f t="shared" si="3"/>
        <v>-3605.25</v>
      </c>
      <c r="AV32" s="258"/>
      <c r="AW32" s="259">
        <v>-10370</v>
      </c>
      <c r="AX32" s="456">
        <v>-5955</v>
      </c>
      <c r="AY32" s="456">
        <v>-9990</v>
      </c>
      <c r="AZ32" s="456">
        <v>-5786</v>
      </c>
      <c r="BA32" s="456">
        <v>9125</v>
      </c>
      <c r="BB32" s="456">
        <v>-6981</v>
      </c>
      <c r="BC32" s="456">
        <v>-1843</v>
      </c>
      <c r="BD32" s="456">
        <v>-12653</v>
      </c>
      <c r="BE32" s="456">
        <v>-4823</v>
      </c>
      <c r="BF32" s="258">
        <v>-9514</v>
      </c>
      <c r="BG32" s="258">
        <v>-10867</v>
      </c>
      <c r="BH32" s="456">
        <v>-11344</v>
      </c>
      <c r="BI32" s="258">
        <f t="shared" si="40"/>
        <v>-81001</v>
      </c>
      <c r="BJ32" s="258">
        <f t="shared" si="5"/>
        <v>-6750.083333333333</v>
      </c>
      <c r="BK32" s="258"/>
      <c r="BL32" s="259">
        <v>-12906</v>
      </c>
      <c r="BM32" s="456">
        <v>-7636</v>
      </c>
      <c r="BN32" s="456"/>
      <c r="BO32" s="456"/>
      <c r="BP32" s="456"/>
      <c r="BQ32" s="456"/>
      <c r="BR32" s="456"/>
      <c r="BS32" s="456"/>
      <c r="BT32" s="456"/>
      <c r="BU32" s="258"/>
      <c r="BV32" s="258"/>
      <c r="BW32" s="456"/>
      <c r="BX32" s="258">
        <f t="shared" si="41"/>
        <v>-20542</v>
      </c>
      <c r="BY32" s="258">
        <f t="shared" si="7"/>
        <v>-10271</v>
      </c>
      <c r="BZ32" s="6977"/>
      <c r="CB32" s="169">
        <f t="shared" si="8"/>
        <v>-1681</v>
      </c>
      <c r="CC32" s="169">
        <f>BY32-BJ32</f>
        <v>-3520.916666666667</v>
      </c>
      <c r="CD32" s="169">
        <f>IFERROR(
  SUM(
    _xlfn.XLOOKUP(DATE(YEAR($A$1),1,1),$2:$2,32:32):
    _xlfn.XLOOKUP($A$1,$2:$2,32:32)
  )
 -SUM(
    _xlfn.XLOOKUP(DATE(YEAR($A$1)-1,1,1),$2:$2,32:32):
    _xlfn.XLOOKUP(EDATE($A$1,-12),$2:$2,32:32)
  ),"")</f>
        <v>-4217</v>
      </c>
      <c r="CE32" s="278">
        <f t="shared" si="9"/>
        <v>5270</v>
      </c>
    </row>
    <row r="33" spans="1:83" ht="2.4" customHeight="1" thickBot="1" x14ac:dyDescent="0.6">
      <c r="A33" s="22"/>
      <c r="D33" s="172"/>
      <c r="E33" s="172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172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172"/>
      <c r="AI33" s="253"/>
      <c r="AJ33" s="253"/>
      <c r="AK33" s="253"/>
      <c r="AL33" s="253"/>
      <c r="AM33" s="253"/>
      <c r="AN33" s="253"/>
      <c r="AO33" s="253"/>
      <c r="AP33" s="253"/>
      <c r="AQ33" s="256"/>
      <c r="AR33" s="253"/>
      <c r="AS33" s="253"/>
      <c r="AT33" s="253">
        <f t="shared" si="34"/>
        <v>0</v>
      </c>
      <c r="AU33" s="253" t="e">
        <f t="shared" si="3"/>
        <v>#DIV/0!</v>
      </c>
      <c r="AV33" s="253"/>
      <c r="AW33" s="172"/>
      <c r="AX33" s="253"/>
      <c r="AY33" s="253"/>
      <c r="AZ33" s="253"/>
      <c r="BA33" s="253"/>
      <c r="BB33" s="253"/>
      <c r="BC33" s="253"/>
      <c r="BD33" s="460"/>
      <c r="BE33" s="253"/>
      <c r="BF33" s="256"/>
      <c r="BG33" s="253"/>
      <c r="BH33" s="253"/>
      <c r="BI33" s="253"/>
      <c r="BJ33" s="253"/>
      <c r="BK33" s="253"/>
      <c r="BL33" s="172"/>
      <c r="BM33" s="253"/>
      <c r="BN33" s="253"/>
      <c r="BO33" s="253"/>
      <c r="BP33" s="253"/>
      <c r="BQ33" s="253"/>
      <c r="BR33" s="253"/>
      <c r="BS33" s="460"/>
      <c r="BT33" s="253"/>
      <c r="BU33" s="256"/>
      <c r="BV33" s="253"/>
      <c r="BW33" s="253"/>
      <c r="BX33" s="253"/>
      <c r="BY33" s="253"/>
      <c r="BZ33" s="6977"/>
      <c r="CB33" s="169">
        <f t="shared" si="8"/>
        <v>0</v>
      </c>
      <c r="CC33" s="169">
        <f>BY33-BJ33</f>
        <v>0</v>
      </c>
      <c r="CD33" s="169">
        <f>BI33-AH33</f>
        <v>0</v>
      </c>
      <c r="CE33" s="278">
        <f t="shared" si="9"/>
        <v>0</v>
      </c>
    </row>
    <row r="34" spans="1:83" x14ac:dyDescent="0.55000000000000004">
      <c r="A34" s="7091" t="s">
        <v>52</v>
      </c>
      <c r="B34" s="17" t="s">
        <v>43</v>
      </c>
      <c r="C34" s="11"/>
      <c r="D34" s="256">
        <v>505344</v>
      </c>
      <c r="E34" s="257">
        <v>502982</v>
      </c>
      <c r="F34" s="256">
        <v>497847</v>
      </c>
      <c r="G34" s="256">
        <v>486092</v>
      </c>
      <c r="H34" s="256">
        <v>478715</v>
      </c>
      <c r="I34" s="256">
        <v>476087</v>
      </c>
      <c r="J34" s="256">
        <v>466804</v>
      </c>
      <c r="K34" s="256">
        <v>459112</v>
      </c>
      <c r="L34" s="256">
        <v>454681</v>
      </c>
      <c r="M34" s="256">
        <v>443137</v>
      </c>
      <c r="N34" s="256">
        <v>427592</v>
      </c>
      <c r="O34" s="256">
        <v>408463</v>
      </c>
      <c r="P34" s="256">
        <v>419278</v>
      </c>
      <c r="Q34" s="256">
        <f>P34</f>
        <v>419278</v>
      </c>
      <c r="R34" s="256">
        <f>AVERAGE(E34:P34)</f>
        <v>460065.83333333331</v>
      </c>
      <c r="S34" s="257">
        <v>411876</v>
      </c>
      <c r="T34" s="256">
        <v>406172</v>
      </c>
      <c r="U34" s="256">
        <v>394966</v>
      </c>
      <c r="V34" s="256">
        <v>397471</v>
      </c>
      <c r="W34" s="256">
        <v>397780</v>
      </c>
      <c r="X34" s="256">
        <v>398545</v>
      </c>
      <c r="Y34" s="256">
        <v>400986</v>
      </c>
      <c r="Z34" s="256">
        <v>404550</v>
      </c>
      <c r="AA34" s="256">
        <v>410132</v>
      </c>
      <c r="AB34" s="256">
        <v>413864</v>
      </c>
      <c r="AC34" s="256">
        <v>419133</v>
      </c>
      <c r="AD34" s="256">
        <v>422904</v>
      </c>
      <c r="AE34" s="256">
        <f>AD34</f>
        <v>422904</v>
      </c>
      <c r="AF34" s="256">
        <f>AVERAGE(S34:AD34)</f>
        <v>406531.58333333331</v>
      </c>
      <c r="AG34" s="256"/>
      <c r="AH34" s="257">
        <v>423790</v>
      </c>
      <c r="AI34" s="256">
        <v>407221</v>
      </c>
      <c r="AJ34" s="256">
        <v>407097</v>
      </c>
      <c r="AK34" s="256">
        <v>387183</v>
      </c>
      <c r="AL34" s="256">
        <v>374888</v>
      </c>
      <c r="AM34" s="256">
        <v>374994</v>
      </c>
      <c r="AN34" s="256">
        <v>370613</v>
      </c>
      <c r="AO34" s="256">
        <v>362922</v>
      </c>
      <c r="AP34" s="256">
        <v>360865</v>
      </c>
      <c r="AQ34" s="256">
        <v>360050</v>
      </c>
      <c r="AR34" s="256">
        <v>354868</v>
      </c>
      <c r="AS34" s="256">
        <v>356356</v>
      </c>
      <c r="AT34" s="256">
        <f t="shared" si="34"/>
        <v>4540847</v>
      </c>
      <c r="AU34" s="256">
        <f t="shared" si="3"/>
        <v>378403.91666666669</v>
      </c>
      <c r="AV34" s="256"/>
      <c r="AW34" s="458">
        <v>357535</v>
      </c>
      <c r="AX34" s="457">
        <v>354197</v>
      </c>
      <c r="AY34" s="457">
        <v>348912</v>
      </c>
      <c r="AZ34" s="457">
        <v>353944</v>
      </c>
      <c r="BA34" s="457">
        <v>355534</v>
      </c>
      <c r="BB34" s="457">
        <v>351173</v>
      </c>
      <c r="BC34" s="256">
        <v>351748</v>
      </c>
      <c r="BD34" s="457">
        <v>350150</v>
      </c>
      <c r="BE34" s="457">
        <v>354955</v>
      </c>
      <c r="BF34" s="256">
        <v>352521</v>
      </c>
      <c r="BG34" s="256">
        <v>351881</v>
      </c>
      <c r="BH34" s="457">
        <v>352210</v>
      </c>
      <c r="BI34" s="249">
        <f>INDEX($AW34:$BH34, 1, MATCH(0, $AW34:$BH34, -1))</f>
        <v>352210</v>
      </c>
      <c r="BJ34" s="256">
        <f t="shared" si="5"/>
        <v>352896.66666666669</v>
      </c>
      <c r="BK34" s="256"/>
      <c r="BL34" s="458">
        <v>354082</v>
      </c>
      <c r="BM34" s="457">
        <v>354139</v>
      </c>
      <c r="BN34" s="457"/>
      <c r="BO34" s="457"/>
      <c r="BP34" s="457"/>
      <c r="BQ34" s="457"/>
      <c r="BR34" s="256"/>
      <c r="BS34" s="457"/>
      <c r="BT34" s="457"/>
      <c r="BU34" s="256"/>
      <c r="BV34" s="256"/>
      <c r="BW34" s="457"/>
      <c r="BX34" s="249">
        <f>INDEX($BL34:$BW34, 1, MATCH(0, $BL34:$BW34, -1))</f>
        <v>354139</v>
      </c>
      <c r="BY34" s="256">
        <f t="shared" ref="BY34:BY38" si="46">AVERAGE(BL34:BW34)</f>
        <v>354110.5</v>
      </c>
      <c r="BZ34" s="6977"/>
      <c r="CB34" s="169">
        <f t="shared" si="8"/>
        <v>-58</v>
      </c>
      <c r="CC34" s="169">
        <f>BY34-BJ34</f>
        <v>1213.8333333333139</v>
      </c>
      <c r="CD34" s="303">
        <f>IFERROR(_xlfn.XLOOKUP($A$1,$2:$2,34:34)-_xlfn.XLOOKUP(EDATE($A$1,-12),$2:$2,34:34),"")</f>
        <v>-58</v>
      </c>
      <c r="CE34" s="278">
        <f t="shared" si="9"/>
        <v>57</v>
      </c>
    </row>
    <row r="35" spans="1:83" x14ac:dyDescent="0.55000000000000004">
      <c r="A35" s="7092"/>
      <c r="B35" t="s">
        <v>46</v>
      </c>
      <c r="E35" s="139">
        <v>10034</v>
      </c>
      <c r="F35" s="140">
        <v>12077</v>
      </c>
      <c r="G35" s="140">
        <v>12628</v>
      </c>
      <c r="H35" s="140">
        <v>9921</v>
      </c>
      <c r="I35" s="140">
        <v>10589</v>
      </c>
      <c r="J35" s="140">
        <v>9739</v>
      </c>
      <c r="K35" s="140">
        <v>10675</v>
      </c>
      <c r="L35" s="140">
        <v>7347</v>
      </c>
      <c r="M35" s="140">
        <v>6973</v>
      </c>
      <c r="N35" s="140">
        <v>6648</v>
      </c>
      <c r="O35" s="140">
        <v>8848</v>
      </c>
      <c r="P35" s="140">
        <v>21209</v>
      </c>
      <c r="Q35" s="140">
        <f>SUM(E35:P35)</f>
        <v>126688</v>
      </c>
      <c r="R35" s="140">
        <f>Q35/12</f>
        <v>10557.333333333334</v>
      </c>
      <c r="S35" s="139">
        <v>10932</v>
      </c>
      <c r="T35" s="140">
        <v>5657</v>
      </c>
      <c r="U35" s="140">
        <v>5068</v>
      </c>
      <c r="V35" s="140">
        <v>10620</v>
      </c>
      <c r="W35" s="140">
        <v>5758</v>
      </c>
      <c r="X35" s="140">
        <v>9038</v>
      </c>
      <c r="Y35" s="140">
        <v>8317</v>
      </c>
      <c r="Z35" s="140">
        <v>10015</v>
      </c>
      <c r="AA35" s="140">
        <v>11650</v>
      </c>
      <c r="AB35" s="140">
        <v>7865</v>
      </c>
      <c r="AC35" s="140">
        <v>9912</v>
      </c>
      <c r="AD35" s="140">
        <v>8568</v>
      </c>
      <c r="AE35" s="140">
        <f>SUM(S35:AD35)</f>
        <v>103400</v>
      </c>
      <c r="AF35" s="140">
        <f>AE35/12</f>
        <v>8616.6666666666661</v>
      </c>
      <c r="AG35" s="140"/>
      <c r="AH35" s="139">
        <v>10975</v>
      </c>
      <c r="AI35" s="140">
        <v>3910</v>
      </c>
      <c r="AJ35" s="140">
        <v>5347</v>
      </c>
      <c r="AK35" s="140">
        <v>2829</v>
      </c>
      <c r="AL35" s="140">
        <v>5359</v>
      </c>
      <c r="AM35" s="140">
        <v>4278</v>
      </c>
      <c r="AN35" s="140">
        <v>5171</v>
      </c>
      <c r="AO35" s="140">
        <v>5224</v>
      </c>
      <c r="AP35" s="140">
        <v>3683</v>
      </c>
      <c r="AQ35" s="140">
        <v>4845</v>
      </c>
      <c r="AR35" s="140">
        <v>5666</v>
      </c>
      <c r="AS35" s="140">
        <v>6485</v>
      </c>
      <c r="AT35" s="140">
        <f t="shared" si="34"/>
        <v>63772</v>
      </c>
      <c r="AU35" s="140">
        <f t="shared" si="3"/>
        <v>5314.333333333333</v>
      </c>
      <c r="AV35" s="140"/>
      <c r="AW35" s="451">
        <v>5549</v>
      </c>
      <c r="AX35" s="450">
        <v>3086</v>
      </c>
      <c r="AY35" s="450">
        <v>2916</v>
      </c>
      <c r="AZ35" s="450">
        <v>11432</v>
      </c>
      <c r="BA35" s="450">
        <v>7680</v>
      </c>
      <c r="BB35" s="450">
        <v>7724</v>
      </c>
      <c r="BC35" s="140">
        <v>6988</v>
      </c>
      <c r="BD35" s="450">
        <v>5537</v>
      </c>
      <c r="BE35" s="450">
        <v>8871</v>
      </c>
      <c r="BF35" s="140">
        <v>3123</v>
      </c>
      <c r="BG35" s="140">
        <v>4673</v>
      </c>
      <c r="BH35" s="450">
        <v>4972</v>
      </c>
      <c r="BI35" s="140">
        <f>SUM(AW35:BH35)</f>
        <v>72551</v>
      </c>
      <c r="BJ35" s="140">
        <f t="shared" si="5"/>
        <v>6045.916666666667</v>
      </c>
      <c r="BK35" s="140"/>
      <c r="BL35" s="451">
        <v>8992</v>
      </c>
      <c r="BM35" s="450">
        <v>2957</v>
      </c>
      <c r="BN35" s="450"/>
      <c r="BO35" s="450"/>
      <c r="BP35" s="450"/>
      <c r="BQ35" s="450"/>
      <c r="BR35" s="140"/>
      <c r="BS35" s="450"/>
      <c r="BT35" s="450"/>
      <c r="BU35" s="140"/>
      <c r="BV35" s="140"/>
      <c r="BW35" s="450"/>
      <c r="BX35" s="140">
        <f>SUM(BL35:BW35)</f>
        <v>11949</v>
      </c>
      <c r="BY35" s="140">
        <f t="shared" si="46"/>
        <v>5974.5</v>
      </c>
      <c r="BZ35" s="6977"/>
      <c r="CB35" s="169">
        <f t="shared" si="8"/>
        <v>-129</v>
      </c>
      <c r="CC35" s="169">
        <f>BY35-BJ35</f>
        <v>-71.41666666666697</v>
      </c>
      <c r="CD35" s="169">
        <f>IFERROR(
  SUM(
    _xlfn.XLOOKUP(DATE(YEAR($A$1),1,1),$2:$2,35:35):
    _xlfn.XLOOKUP($A$1,$2:$2,35:35)
  )
 -SUM(
    _xlfn.XLOOKUP(DATE(YEAR($A$1)-1,1,1),$2:$2,35:35):
    _xlfn.XLOOKUP(EDATE($A$1,-12),$2:$2,35:35)
  ),"")</f>
        <v>3314</v>
      </c>
      <c r="CE35" s="278">
        <f t="shared" si="9"/>
        <v>-6035</v>
      </c>
    </row>
    <row r="36" spans="1:83" x14ac:dyDescent="0.55000000000000004">
      <c r="A36" s="7092"/>
      <c r="B36" t="s">
        <v>47</v>
      </c>
      <c r="E36" s="139">
        <v>1321</v>
      </c>
      <c r="F36" s="140">
        <v>4194</v>
      </c>
      <c r="G36" s="140">
        <v>7088</v>
      </c>
      <c r="H36" s="140">
        <v>3272</v>
      </c>
      <c r="I36" s="140">
        <v>3542</v>
      </c>
      <c r="J36" s="140">
        <v>3294</v>
      </c>
      <c r="K36" s="140">
        <v>2873</v>
      </c>
      <c r="L36" s="140">
        <v>3523</v>
      </c>
      <c r="M36" s="140">
        <v>7831</v>
      </c>
      <c r="N36" s="140">
        <v>3251</v>
      </c>
      <c r="O36" s="140">
        <v>6226</v>
      </c>
      <c r="P36" s="140">
        <v>7540</v>
      </c>
      <c r="Q36" s="140">
        <f>SUM(E36:P36)</f>
        <v>53955</v>
      </c>
      <c r="R36" s="140">
        <f>Q36/12</f>
        <v>4496.25</v>
      </c>
      <c r="S36" s="139">
        <v>4705</v>
      </c>
      <c r="T36" s="140">
        <v>1384</v>
      </c>
      <c r="U36" s="140">
        <v>1404</v>
      </c>
      <c r="V36" s="140">
        <v>5086</v>
      </c>
      <c r="W36" s="140">
        <v>3148</v>
      </c>
      <c r="X36" s="140">
        <v>4591</v>
      </c>
      <c r="Y36" s="140">
        <v>2765</v>
      </c>
      <c r="Z36" s="140">
        <v>3611</v>
      </c>
      <c r="AA36" s="140">
        <v>2690</v>
      </c>
      <c r="AB36" s="140">
        <v>1570</v>
      </c>
      <c r="AC36" s="140">
        <v>1845</v>
      </c>
      <c r="AD36" s="140">
        <v>2257</v>
      </c>
      <c r="AE36" s="140">
        <f>SUM(S36:AD36)</f>
        <v>35056</v>
      </c>
      <c r="AF36" s="140">
        <f>AE36/12</f>
        <v>2921.3333333333335</v>
      </c>
      <c r="AG36" s="140"/>
      <c r="AH36" s="139">
        <v>8263</v>
      </c>
      <c r="AI36" s="140">
        <v>3358</v>
      </c>
      <c r="AJ36" s="140">
        <v>3622</v>
      </c>
      <c r="AK36" s="140">
        <v>14616</v>
      </c>
      <c r="AL36" s="140">
        <v>873</v>
      </c>
      <c r="AM36" s="140">
        <v>1313</v>
      </c>
      <c r="AN36" s="140">
        <v>4431</v>
      </c>
      <c r="AO36" s="140">
        <v>6103</v>
      </c>
      <c r="AP36" s="140">
        <v>3901</v>
      </c>
      <c r="AQ36" s="140">
        <v>2147</v>
      </c>
      <c r="AR36" s="140">
        <v>6285</v>
      </c>
      <c r="AS36" s="140">
        <v>1588</v>
      </c>
      <c r="AT36" s="140">
        <f t="shared" si="34"/>
        <v>56500</v>
      </c>
      <c r="AU36" s="140">
        <f t="shared" si="3"/>
        <v>4708.333333333333</v>
      </c>
      <c r="AV36" s="140"/>
      <c r="AW36" s="451">
        <v>2104</v>
      </c>
      <c r="AX36" s="450">
        <v>3509</v>
      </c>
      <c r="AY36" s="450">
        <v>5605</v>
      </c>
      <c r="AZ36" s="450">
        <v>3976</v>
      </c>
      <c r="BA36" s="450">
        <v>2630</v>
      </c>
      <c r="BB36" s="450">
        <v>8919</v>
      </c>
      <c r="BC36" s="140">
        <v>1746</v>
      </c>
      <c r="BD36" s="450">
        <v>4075</v>
      </c>
      <c r="BE36" s="450">
        <v>1519</v>
      </c>
      <c r="BF36" s="140">
        <v>1638</v>
      </c>
      <c r="BG36" s="140">
        <v>1842</v>
      </c>
      <c r="BH36" s="450">
        <v>1524</v>
      </c>
      <c r="BI36" s="140">
        <f>SUM(AW36:BH36)</f>
        <v>39087</v>
      </c>
      <c r="BJ36" s="140">
        <f t="shared" si="5"/>
        <v>3257.25</v>
      </c>
      <c r="BK36" s="140"/>
      <c r="BL36" s="451">
        <v>4501</v>
      </c>
      <c r="BM36" s="450">
        <v>1010</v>
      </c>
      <c r="BN36" s="450"/>
      <c r="BO36" s="450"/>
      <c r="BP36" s="450"/>
      <c r="BQ36" s="450"/>
      <c r="BR36" s="140"/>
      <c r="BS36" s="450"/>
      <c r="BT36" s="450"/>
      <c r="BU36" s="140"/>
      <c r="BV36" s="140"/>
      <c r="BW36" s="450"/>
      <c r="BX36" s="140">
        <f>SUM(BL36:BW36)</f>
        <v>5511</v>
      </c>
      <c r="BY36" s="140">
        <f t="shared" si="46"/>
        <v>2755.5</v>
      </c>
      <c r="BZ36" s="6977"/>
      <c r="CB36" s="169">
        <f t="shared" si="8"/>
        <v>-2499</v>
      </c>
      <c r="CC36" s="169">
        <f>BY36-BJ36</f>
        <v>-501.75</v>
      </c>
      <c r="CD36" s="169">
        <f>IFERROR(
  SUM(
    _xlfn.XLOOKUP(DATE(YEAR($A$1),1,1),$2:$2,36:36):
    _xlfn.XLOOKUP($A$1,$2:$2,36:36)
  )
 -SUM(
    _xlfn.XLOOKUP(DATE(YEAR($A$1)-1,1,1),$2:$2,36:36):
    _xlfn.XLOOKUP(EDATE($A$1,-12),$2:$2,36:36)
  ),"")</f>
        <v>-102</v>
      </c>
      <c r="CE36" s="278">
        <f t="shared" si="9"/>
        <v>-3491</v>
      </c>
    </row>
    <row r="37" spans="1:83" x14ac:dyDescent="0.55000000000000004">
      <c r="A37" s="7092"/>
      <c r="B37" t="s">
        <v>49</v>
      </c>
      <c r="E37" s="139">
        <f t="shared" ref="E37:O37" si="47">-(E38-(E35-E36))</f>
        <v>11075</v>
      </c>
      <c r="F37" s="140">
        <f t="shared" si="47"/>
        <v>13018</v>
      </c>
      <c r="G37" s="140">
        <f t="shared" si="47"/>
        <v>17295</v>
      </c>
      <c r="H37" s="140">
        <f t="shared" si="47"/>
        <v>14026</v>
      </c>
      <c r="I37" s="140">
        <f t="shared" si="47"/>
        <v>9675</v>
      </c>
      <c r="J37" s="140">
        <f t="shared" si="47"/>
        <v>15728</v>
      </c>
      <c r="K37" s="140">
        <f t="shared" si="47"/>
        <v>15494</v>
      </c>
      <c r="L37" s="140">
        <f t="shared" si="47"/>
        <v>8255</v>
      </c>
      <c r="M37" s="140">
        <f t="shared" si="47"/>
        <v>10686</v>
      </c>
      <c r="N37" s="140">
        <f t="shared" si="47"/>
        <v>18942</v>
      </c>
      <c r="O37" s="140">
        <f t="shared" si="47"/>
        <v>21751</v>
      </c>
      <c r="P37" s="140">
        <f>-(P38-(P35-P36))</f>
        <v>2854</v>
      </c>
      <c r="Q37" s="140">
        <f>SUM(E37:P37)</f>
        <v>158799</v>
      </c>
      <c r="R37" s="140">
        <f>Q37/12</f>
        <v>13233.25</v>
      </c>
      <c r="S37" s="139">
        <f t="shared" ref="S37:AD37" si="48">-(S38-(S35-S36))</f>
        <v>13629</v>
      </c>
      <c r="T37" s="140">
        <f t="shared" si="48"/>
        <v>9977</v>
      </c>
      <c r="U37" s="140">
        <f t="shared" si="48"/>
        <v>14870</v>
      </c>
      <c r="V37" s="140">
        <f t="shared" si="48"/>
        <v>3029</v>
      </c>
      <c r="W37" s="140">
        <f t="shared" si="48"/>
        <v>2301</v>
      </c>
      <c r="X37" s="140">
        <f t="shared" si="48"/>
        <v>3682</v>
      </c>
      <c r="Y37" s="140">
        <f t="shared" si="48"/>
        <v>3111</v>
      </c>
      <c r="Z37" s="140">
        <f t="shared" si="48"/>
        <v>2840</v>
      </c>
      <c r="AA37" s="140">
        <f t="shared" si="48"/>
        <v>3378</v>
      </c>
      <c r="AB37" s="140">
        <f t="shared" si="48"/>
        <v>2563</v>
      </c>
      <c r="AC37" s="140">
        <f t="shared" si="48"/>
        <v>2798</v>
      </c>
      <c r="AD37" s="140">
        <f t="shared" si="48"/>
        <v>2540</v>
      </c>
      <c r="AE37" s="140">
        <f>SUM(S37:AD37)</f>
        <v>64718</v>
      </c>
      <c r="AF37" s="140">
        <f>AE37/12</f>
        <v>5393.166666666667</v>
      </c>
      <c r="AG37" s="140"/>
      <c r="AH37" s="139">
        <f t="shared" ref="AH37:AM37" si="49">-(AH38-(AH35-AH36))</f>
        <v>1826</v>
      </c>
      <c r="AI37" s="140">
        <f t="shared" si="49"/>
        <v>17121</v>
      </c>
      <c r="AJ37" s="140">
        <f t="shared" si="49"/>
        <v>1849</v>
      </c>
      <c r="AK37" s="140">
        <f t="shared" si="49"/>
        <v>8127</v>
      </c>
      <c r="AL37" s="140">
        <f t="shared" si="49"/>
        <v>16781</v>
      </c>
      <c r="AM37" s="140">
        <f t="shared" si="49"/>
        <v>2859</v>
      </c>
      <c r="AN37" s="140">
        <v>5121</v>
      </c>
      <c r="AO37" s="140">
        <v>6812</v>
      </c>
      <c r="AP37" s="140">
        <f>AP35-AP36-AP38</f>
        <v>1839</v>
      </c>
      <c r="AQ37" s="140">
        <v>1839</v>
      </c>
      <c r="AR37" s="140">
        <v>4565</v>
      </c>
      <c r="AS37" s="140">
        <v>3415</v>
      </c>
      <c r="AT37" s="140">
        <f t="shared" si="34"/>
        <v>72154</v>
      </c>
      <c r="AU37" s="140">
        <f t="shared" si="3"/>
        <v>6012.833333333333</v>
      </c>
      <c r="AV37" s="140"/>
      <c r="AW37" s="451">
        <v>4624</v>
      </c>
      <c r="AX37" s="450">
        <v>2915</v>
      </c>
      <c r="AY37" s="450">
        <v>2596</v>
      </c>
      <c r="AZ37" s="450">
        <v>2424</v>
      </c>
      <c r="BA37" s="450">
        <v>3460</v>
      </c>
      <c r="BB37" s="450">
        <v>3166</v>
      </c>
      <c r="BC37" s="140">
        <v>4626</v>
      </c>
      <c r="BD37" s="450">
        <v>3060</v>
      </c>
      <c r="BE37" s="450">
        <v>2547</v>
      </c>
      <c r="BF37" s="140">
        <v>3919</v>
      </c>
      <c r="BG37" s="140">
        <v>3471</v>
      </c>
      <c r="BH37" s="450">
        <v>3119</v>
      </c>
      <c r="BI37" s="140">
        <f>SUM(AW37:BH37)</f>
        <v>39927</v>
      </c>
      <c r="BJ37" s="140">
        <f t="shared" si="5"/>
        <v>3327.25</v>
      </c>
      <c r="BK37" s="140"/>
      <c r="BL37" s="451">
        <v>2621</v>
      </c>
      <c r="BM37" s="450">
        <v>2120</v>
      </c>
      <c r="BN37" s="450"/>
      <c r="BO37" s="450"/>
      <c r="BP37" s="450"/>
      <c r="BQ37" s="450"/>
      <c r="BR37" s="140"/>
      <c r="BS37" s="450"/>
      <c r="BT37" s="450"/>
      <c r="BU37" s="140"/>
      <c r="BV37" s="140"/>
      <c r="BW37" s="450"/>
      <c r="BX37" s="140">
        <f>SUM(BL37:BW37)</f>
        <v>4741</v>
      </c>
      <c r="BY37" s="140">
        <f t="shared" si="46"/>
        <v>2370.5</v>
      </c>
      <c r="BZ37" s="6977"/>
      <c r="CB37" s="169">
        <f t="shared" si="8"/>
        <v>-795</v>
      </c>
      <c r="CC37" s="169">
        <f>BY37-BJ37</f>
        <v>-956.75</v>
      </c>
      <c r="CD37" s="169">
        <f>IFERROR(
  SUM(
    _xlfn.XLOOKUP(DATE(YEAR($A$1),1,1),$2:$2,37:37):
    _xlfn.XLOOKUP($A$1,$2:$2,37:37)
  )
 -SUM(
    _xlfn.XLOOKUP(DATE(YEAR($A$1)-1,1,1),$2:$2,37:37):
    _xlfn.XLOOKUP(EDATE($A$1,-12),$2:$2,37:37)
  ),"")</f>
        <v>-2798</v>
      </c>
      <c r="CE37" s="278">
        <f t="shared" si="9"/>
        <v>-501</v>
      </c>
    </row>
    <row r="38" spans="1:83" ht="18" thickBot="1" x14ac:dyDescent="0.6">
      <c r="A38" s="7093"/>
      <c r="B38" s="19" t="s">
        <v>50</v>
      </c>
      <c r="C38" s="9"/>
      <c r="D38" s="9"/>
      <c r="E38" s="260">
        <f t="shared" ref="E38:O38" si="50">E34-D34</f>
        <v>-2362</v>
      </c>
      <c r="F38" s="261">
        <f t="shared" si="50"/>
        <v>-5135</v>
      </c>
      <c r="G38" s="261">
        <f t="shared" si="50"/>
        <v>-11755</v>
      </c>
      <c r="H38" s="261">
        <f t="shared" si="50"/>
        <v>-7377</v>
      </c>
      <c r="I38" s="261">
        <f t="shared" si="50"/>
        <v>-2628</v>
      </c>
      <c r="J38" s="261">
        <f t="shared" si="50"/>
        <v>-9283</v>
      </c>
      <c r="K38" s="261">
        <f t="shared" si="50"/>
        <v>-7692</v>
      </c>
      <c r="L38" s="261">
        <f t="shared" si="50"/>
        <v>-4431</v>
      </c>
      <c r="M38" s="261">
        <f t="shared" si="50"/>
        <v>-11544</v>
      </c>
      <c r="N38" s="261">
        <f t="shared" si="50"/>
        <v>-15545</v>
      </c>
      <c r="O38" s="261">
        <f t="shared" si="50"/>
        <v>-19129</v>
      </c>
      <c r="P38" s="261">
        <f>P34-O34</f>
        <v>10815</v>
      </c>
      <c r="Q38" s="261">
        <f>SUM(E38:P38)</f>
        <v>-86066</v>
      </c>
      <c r="R38" s="261">
        <f>Q38/12</f>
        <v>-7172.166666666667</v>
      </c>
      <c r="S38" s="260">
        <f>S34-P34</f>
        <v>-7402</v>
      </c>
      <c r="T38" s="261">
        <f>T34-S34</f>
        <v>-5704</v>
      </c>
      <c r="U38" s="261">
        <f t="shared" ref="U38:AC38" si="51">U34-T34</f>
        <v>-11206</v>
      </c>
      <c r="V38" s="261">
        <f t="shared" si="51"/>
        <v>2505</v>
      </c>
      <c r="W38" s="261">
        <f t="shared" si="51"/>
        <v>309</v>
      </c>
      <c r="X38" s="261">
        <f t="shared" si="51"/>
        <v>765</v>
      </c>
      <c r="Y38" s="261">
        <f t="shared" si="51"/>
        <v>2441</v>
      </c>
      <c r="Z38" s="261">
        <f t="shared" si="51"/>
        <v>3564</v>
      </c>
      <c r="AA38" s="261">
        <f t="shared" si="51"/>
        <v>5582</v>
      </c>
      <c r="AB38" s="261">
        <f t="shared" si="51"/>
        <v>3732</v>
      </c>
      <c r="AC38" s="261">
        <f t="shared" si="51"/>
        <v>5269</v>
      </c>
      <c r="AD38" s="261">
        <f>AD34-AC34</f>
        <v>3771</v>
      </c>
      <c r="AE38" s="261">
        <f>SUM(S38:AD38)</f>
        <v>3626</v>
      </c>
      <c r="AF38" s="261">
        <f>AE38/12</f>
        <v>302.16666666666669</v>
      </c>
      <c r="AG38" s="261"/>
      <c r="AH38" s="260">
        <f>AH34-AD34</f>
        <v>886</v>
      </c>
      <c r="AI38" s="261">
        <f>AI34-AH34</f>
        <v>-16569</v>
      </c>
      <c r="AJ38" s="261">
        <f>AJ34-AI34</f>
        <v>-124</v>
      </c>
      <c r="AK38" s="261">
        <f>AK34-AJ34</f>
        <v>-19914</v>
      </c>
      <c r="AL38" s="261">
        <f>AL34-AK34</f>
        <v>-12295</v>
      </c>
      <c r="AM38" s="261">
        <f>AM34-AL34</f>
        <v>106</v>
      </c>
      <c r="AN38" s="261">
        <v>-4381</v>
      </c>
      <c r="AO38" s="261">
        <v>-7691</v>
      </c>
      <c r="AP38" s="261">
        <f>AP34-AO34</f>
        <v>-2057</v>
      </c>
      <c r="AQ38" s="261">
        <v>-2057</v>
      </c>
      <c r="AR38" s="261">
        <v>5182</v>
      </c>
      <c r="AS38" s="461">
        <f>AR34-AW34</f>
        <v>-2667</v>
      </c>
      <c r="AT38" s="461">
        <f t="shared" si="34"/>
        <v>-61581</v>
      </c>
      <c r="AU38" s="261">
        <f t="shared" si="3"/>
        <v>-5131.75</v>
      </c>
      <c r="AV38" s="261"/>
      <c r="AW38" s="462">
        <v>-1179</v>
      </c>
      <c r="AX38" s="461">
        <v>-3338</v>
      </c>
      <c r="AY38" s="461">
        <v>-5285</v>
      </c>
      <c r="AZ38" s="461">
        <v>5032</v>
      </c>
      <c r="BA38" s="461">
        <v>1590</v>
      </c>
      <c r="BB38" s="461">
        <v>-4361</v>
      </c>
      <c r="BC38" s="261">
        <v>616</v>
      </c>
      <c r="BD38" s="461">
        <v>-1598</v>
      </c>
      <c r="BE38" s="461">
        <v>4805</v>
      </c>
      <c r="BF38" s="261">
        <v>-2434</v>
      </c>
      <c r="BG38" s="261">
        <v>-640</v>
      </c>
      <c r="BH38" s="461">
        <v>329</v>
      </c>
      <c r="BI38" s="261">
        <f>SUM(AW38:BH38)</f>
        <v>-6463</v>
      </c>
      <c r="BJ38" s="261">
        <f t="shared" si="5"/>
        <v>-538.58333333333337</v>
      </c>
      <c r="BK38" s="261"/>
      <c r="BL38" s="462">
        <v>1872</v>
      </c>
      <c r="BM38" s="461">
        <v>57</v>
      </c>
      <c r="BN38" s="461"/>
      <c r="BO38" s="461"/>
      <c r="BP38" s="461"/>
      <c r="BQ38" s="461"/>
      <c r="BR38" s="261"/>
      <c r="BS38" s="461"/>
      <c r="BT38" s="461"/>
      <c r="BU38" s="261"/>
      <c r="BV38" s="261"/>
      <c r="BW38" s="461"/>
      <c r="BX38" s="261">
        <f>SUM(BL38:BW38)</f>
        <v>1929</v>
      </c>
      <c r="BY38" s="261">
        <f t="shared" si="46"/>
        <v>964.5</v>
      </c>
      <c r="BZ38" s="6977"/>
      <c r="CB38" s="169">
        <f t="shared" si="8"/>
        <v>3395</v>
      </c>
      <c r="CC38" s="169">
        <f>BY38-BJ38</f>
        <v>1503.0833333333335</v>
      </c>
      <c r="CD38" s="169">
        <f>IFERROR(
  SUM(
    _xlfn.XLOOKUP(DATE(YEAR($A$1),1,1),$2:$2,38:38):
    _xlfn.XLOOKUP($A$1,$2:$2,38:38)
  )
 -SUM(
    _xlfn.XLOOKUP(DATE(YEAR($A$1)-1,1,1),$2:$2,38:38):
    _xlfn.XLOOKUP(EDATE($A$1,-12),$2:$2,38:38)
  ),"")</f>
        <v>6446</v>
      </c>
      <c r="CE38" s="278">
        <f t="shared" si="9"/>
        <v>-1815</v>
      </c>
    </row>
    <row r="39" spans="1:83" ht="10.3" customHeight="1" x14ac:dyDescent="0.55000000000000004">
      <c r="A39" s="22"/>
      <c r="BZ39" s="6977"/>
      <c r="CB39" s="169">
        <f t="shared" si="8"/>
        <v>0</v>
      </c>
      <c r="CC39" s="169">
        <f>BY39-BJ39</f>
        <v>0</v>
      </c>
      <c r="CD39" s="169"/>
    </row>
    <row r="40" spans="1:83" s="559" customFormat="1" ht="27.45" thickBot="1" x14ac:dyDescent="0.6">
      <c r="A40" s="2678" t="s">
        <v>83</v>
      </c>
      <c r="AE40" s="2860">
        <f>AE20-AE21</f>
        <v>22793</v>
      </c>
      <c r="AG40" s="3444"/>
      <c r="AI40" s="2860"/>
      <c r="AJ40" s="2860"/>
      <c r="AK40" s="2860"/>
      <c r="AL40" s="2860"/>
      <c r="AM40" s="2860"/>
      <c r="AV40" s="3444"/>
      <c r="AX40" s="2860"/>
      <c r="AY40" s="2860"/>
      <c r="AZ40" s="2860"/>
      <c r="BA40" s="2860"/>
      <c r="BB40" s="2860"/>
      <c r="BK40" s="3444"/>
      <c r="BM40" s="2860"/>
      <c r="BN40" s="2860"/>
      <c r="BO40" s="2860"/>
      <c r="BP40" s="2860"/>
      <c r="BQ40" s="2860"/>
      <c r="BZ40" s="6977"/>
      <c r="CB40" s="169">
        <f t="shared" si="8"/>
        <v>0</v>
      </c>
      <c r="CC40" s="2860">
        <f>BY40-BJ40</f>
        <v>0</v>
      </c>
      <c r="CD40" s="2860"/>
    </row>
    <row r="41" spans="1:83" s="559" customFormat="1" x14ac:dyDescent="0.55000000000000004">
      <c r="B41" s="567"/>
      <c r="C41" s="567"/>
      <c r="D41" s="567"/>
      <c r="E41" s="7082" t="s">
        <v>1</v>
      </c>
      <c r="F41" s="7083"/>
      <c r="G41" s="7083"/>
      <c r="H41" s="7083"/>
      <c r="I41" s="7083"/>
      <c r="J41" s="7083"/>
      <c r="K41" s="7083"/>
      <c r="L41" s="7083"/>
      <c r="M41" s="7083"/>
      <c r="N41" s="7083"/>
      <c r="O41" s="7083"/>
      <c r="P41" s="7083"/>
      <c r="Q41" s="7083"/>
      <c r="R41" s="7083"/>
      <c r="S41" s="7082" t="s">
        <v>1</v>
      </c>
      <c r="T41" s="7083"/>
      <c r="U41" s="7083"/>
      <c r="V41" s="7083"/>
      <c r="W41" s="7083"/>
      <c r="X41" s="7083"/>
      <c r="Y41" s="7083"/>
      <c r="Z41" s="7083"/>
      <c r="AA41" s="7083"/>
      <c r="AB41" s="7083"/>
      <c r="AC41" s="7083"/>
      <c r="AD41" s="7083"/>
      <c r="AE41" s="7083"/>
      <c r="AF41" s="7083"/>
      <c r="AG41" s="4483"/>
      <c r="AH41" s="7082" t="s">
        <v>1</v>
      </c>
      <c r="AI41" s="7083"/>
      <c r="AJ41" s="7083"/>
      <c r="AK41" s="7083"/>
      <c r="AL41" s="7083"/>
      <c r="AM41" s="7083"/>
      <c r="AN41" s="7083"/>
      <c r="AO41" s="7083"/>
      <c r="AP41" s="7083"/>
      <c r="AQ41" s="7083"/>
      <c r="AR41" s="7083"/>
      <c r="AS41" s="7083"/>
      <c r="AT41" s="7083"/>
      <c r="AU41" s="7083"/>
      <c r="AV41" s="4483"/>
      <c r="AW41" s="7082" t="s">
        <v>1</v>
      </c>
      <c r="AX41" s="7083"/>
      <c r="AY41" s="7083"/>
      <c r="AZ41" s="7083"/>
      <c r="BA41" s="7083"/>
      <c r="BB41" s="7083"/>
      <c r="BC41" s="7083"/>
      <c r="BD41" s="7083"/>
      <c r="BE41" s="7083"/>
      <c r="BF41" s="7083"/>
      <c r="BG41" s="7083"/>
      <c r="BH41" s="7083"/>
      <c r="BI41" s="7083"/>
      <c r="BJ41" s="7083"/>
      <c r="BK41" s="4483"/>
      <c r="BL41" s="7082" t="s">
        <v>1</v>
      </c>
      <c r="BM41" s="7083"/>
      <c r="BN41" s="7083"/>
      <c r="BO41" s="7083"/>
      <c r="BP41" s="7083"/>
      <c r="BQ41" s="7083"/>
      <c r="BR41" s="7083"/>
      <c r="BS41" s="7083"/>
      <c r="BT41" s="7083"/>
      <c r="BU41" s="7083"/>
      <c r="BV41" s="7083"/>
      <c r="BW41" s="7083"/>
      <c r="BX41" s="7083"/>
      <c r="BY41" s="7083"/>
      <c r="BZ41" s="6977"/>
      <c r="CB41" s="169">
        <f t="shared" si="8"/>
        <v>0</v>
      </c>
      <c r="CC41" s="2860"/>
      <c r="CD41" s="2860"/>
    </row>
    <row r="42" spans="1:83" s="559" customFormat="1" ht="18" thickBot="1" x14ac:dyDescent="0.6">
      <c r="A42" s="559" t="s">
        <v>152</v>
      </c>
      <c r="B42" s="567"/>
      <c r="C42" s="567"/>
      <c r="D42" s="570" t="s">
        <v>477</v>
      </c>
      <c r="E42" s="4484" t="s">
        <v>363</v>
      </c>
      <c r="F42" s="1155" t="s">
        <v>364</v>
      </c>
      <c r="G42" s="1155" t="s">
        <v>365</v>
      </c>
      <c r="H42" s="1155" t="s">
        <v>366</v>
      </c>
      <c r="I42" s="1155" t="s">
        <v>367</v>
      </c>
      <c r="J42" s="1155" t="s">
        <v>368</v>
      </c>
      <c r="K42" s="1155" t="s">
        <v>369</v>
      </c>
      <c r="L42" s="1155" t="s">
        <v>370</v>
      </c>
      <c r="M42" s="1155" t="s">
        <v>371</v>
      </c>
      <c r="N42" s="1155" t="s">
        <v>372</v>
      </c>
      <c r="O42" s="1155" t="s">
        <v>373</v>
      </c>
      <c r="P42" s="1155" t="s">
        <v>374</v>
      </c>
      <c r="Q42" s="2864" t="s">
        <v>504</v>
      </c>
      <c r="R42" s="2864" t="s">
        <v>505</v>
      </c>
      <c r="S42" s="4484" t="s">
        <v>351</v>
      </c>
      <c r="T42" s="1155" t="s">
        <v>352</v>
      </c>
      <c r="U42" s="1155" t="s">
        <v>353</v>
      </c>
      <c r="V42" s="1155" t="s">
        <v>354</v>
      </c>
      <c r="W42" s="1155" t="s">
        <v>355</v>
      </c>
      <c r="X42" s="1155" t="s">
        <v>356</v>
      </c>
      <c r="Y42" s="1155" t="s">
        <v>357</v>
      </c>
      <c r="Z42" s="1155" t="s">
        <v>358</v>
      </c>
      <c r="AA42" s="1155" t="s">
        <v>359</v>
      </c>
      <c r="AB42" s="1155" t="s">
        <v>360</v>
      </c>
      <c r="AC42" s="1155" t="s">
        <v>361</v>
      </c>
      <c r="AD42" s="1155" t="s">
        <v>362</v>
      </c>
      <c r="AE42" s="2864" t="s">
        <v>508</v>
      </c>
      <c r="AF42" s="2864" t="s">
        <v>509</v>
      </c>
      <c r="AG42" s="4480"/>
      <c r="AH42" s="2863" t="s">
        <v>502</v>
      </c>
      <c r="AI42" s="2864" t="s">
        <v>3</v>
      </c>
      <c r="AJ42" s="2864" t="s">
        <v>503</v>
      </c>
      <c r="AK42" s="2864" t="s">
        <v>341</v>
      </c>
      <c r="AL42" s="2864" t="s">
        <v>342</v>
      </c>
      <c r="AM42" s="2864" t="s">
        <v>343</v>
      </c>
      <c r="AN42" s="2864" t="s">
        <v>344</v>
      </c>
      <c r="AO42" s="2864" t="s">
        <v>345</v>
      </c>
      <c r="AP42" s="2864" t="s">
        <v>346</v>
      </c>
      <c r="AQ42" s="2864" t="s">
        <v>347</v>
      </c>
      <c r="AR42" s="2864" t="s">
        <v>348</v>
      </c>
      <c r="AS42" s="2864" t="s">
        <v>349</v>
      </c>
      <c r="AT42" s="2864" t="s">
        <v>506</v>
      </c>
      <c r="AU42" s="2864" t="s">
        <v>507</v>
      </c>
      <c r="AV42" s="4480"/>
      <c r="AW42" s="2863" t="s">
        <v>941</v>
      </c>
      <c r="AX42" s="2864" t="s">
        <v>943</v>
      </c>
      <c r="AY42" s="2864" t="s">
        <v>944</v>
      </c>
      <c r="AZ42" s="2864" t="s">
        <v>945</v>
      </c>
      <c r="BA42" s="2864" t="s">
        <v>946</v>
      </c>
      <c r="BB42" s="2864" t="s">
        <v>947</v>
      </c>
      <c r="BC42" s="2864" t="s">
        <v>948</v>
      </c>
      <c r="BD42" s="2864" t="s">
        <v>949</v>
      </c>
      <c r="BE42" s="2864" t="s">
        <v>950</v>
      </c>
      <c r="BF42" s="2864" t="s">
        <v>951</v>
      </c>
      <c r="BG42" s="2864" t="s">
        <v>952</v>
      </c>
      <c r="BH42" s="2864" t="s">
        <v>953</v>
      </c>
      <c r="BI42" s="2864" t="s">
        <v>954</v>
      </c>
      <c r="BJ42" s="2864" t="s">
        <v>955</v>
      </c>
      <c r="BK42" s="4480"/>
      <c r="BL42" s="3729" t="s">
        <v>1122</v>
      </c>
      <c r="BM42" s="3730" t="s">
        <v>1072</v>
      </c>
      <c r="BN42" s="3729" t="s">
        <v>1073</v>
      </c>
      <c r="BO42" s="3729" t="s">
        <v>1074</v>
      </c>
      <c r="BP42" s="3729" t="s">
        <v>1075</v>
      </c>
      <c r="BQ42" s="3729" t="s">
        <v>1076</v>
      </c>
      <c r="BR42" s="3729" t="s">
        <v>1077</v>
      </c>
      <c r="BS42" s="3729" t="s">
        <v>1078</v>
      </c>
      <c r="BT42" s="3729" t="s">
        <v>1079</v>
      </c>
      <c r="BU42" s="3729" t="s">
        <v>1080</v>
      </c>
      <c r="BV42" s="3729" t="s">
        <v>1081</v>
      </c>
      <c r="BW42" s="3729" t="s">
        <v>1082</v>
      </c>
      <c r="BX42" s="2864" t="s">
        <v>954</v>
      </c>
      <c r="BY42" s="2864" t="s">
        <v>955</v>
      </c>
      <c r="BZ42" s="6977"/>
      <c r="CB42" s="169" t="str">
        <f t="shared" si="8"/>
        <v/>
      </c>
      <c r="CC42" s="2860"/>
      <c r="CD42" s="2860"/>
    </row>
    <row r="43" spans="1:83" x14ac:dyDescent="0.55000000000000004">
      <c r="A43" s="7087" t="s">
        <v>84</v>
      </c>
      <c r="B43" s="14" t="s">
        <v>43</v>
      </c>
      <c r="C43" s="6"/>
      <c r="D43" s="250">
        <f>D50+D57</f>
        <v>456790</v>
      </c>
      <c r="E43" s="250">
        <f>E50+E57</f>
        <v>452951</v>
      </c>
      <c r="F43" s="249">
        <f>F50+F57</f>
        <v>448801</v>
      </c>
      <c r="G43" s="249">
        <f>G50+G57</f>
        <v>444123</v>
      </c>
      <c r="H43" s="249">
        <f>H50+H57</f>
        <v>440952</v>
      </c>
      <c r="I43" s="249">
        <f>I50+I57</f>
        <v>436516</v>
      </c>
      <c r="J43" s="249">
        <f>J50+J57</f>
        <v>432860</v>
      </c>
      <c r="K43" s="249">
        <f>K50+K57</f>
        <v>428270</v>
      </c>
      <c r="L43" s="249">
        <f>L50+L57</f>
        <v>425181</v>
      </c>
      <c r="M43" s="249">
        <f>M50+M57</f>
        <v>421170</v>
      </c>
      <c r="N43" s="249">
        <f>N50+N57</f>
        <v>419019</v>
      </c>
      <c r="O43" s="249">
        <f>O50+O57</f>
        <v>414797</v>
      </c>
      <c r="P43" s="249">
        <f>P50+P57</f>
        <v>408800</v>
      </c>
      <c r="Q43" s="249">
        <f>P43</f>
        <v>408800</v>
      </c>
      <c r="R43" s="249">
        <f>AVERAGE(E43:P43)</f>
        <v>431120</v>
      </c>
      <c r="S43" s="250">
        <f>S50+S57</f>
        <v>402184</v>
      </c>
      <c r="T43" s="249">
        <f>T50+T57</f>
        <v>399062</v>
      </c>
      <c r="U43" s="249">
        <f>U50+U57</f>
        <v>394879</v>
      </c>
      <c r="V43" s="249">
        <f>V50+V57</f>
        <v>391982</v>
      </c>
      <c r="W43" s="249">
        <f>W50+W57</f>
        <v>388525</v>
      </c>
      <c r="X43" s="249">
        <f>X50+X57</f>
        <v>384625</v>
      </c>
      <c r="Y43" s="249">
        <f>Y50+Y57</f>
        <v>379225</v>
      </c>
      <c r="Z43" s="249">
        <f>Z50+Z57</f>
        <v>375195</v>
      </c>
      <c r="AA43" s="249">
        <f>AA50+AA57</f>
        <v>371169</v>
      </c>
      <c r="AB43" s="249">
        <f>AB50+AB57</f>
        <v>368957</v>
      </c>
      <c r="AC43" s="249">
        <f>AC50+AC57</f>
        <v>366653</v>
      </c>
      <c r="AD43" s="249">
        <f>AD50+AD57</f>
        <v>362563</v>
      </c>
      <c r="AE43" s="249">
        <f>AD43</f>
        <v>362563</v>
      </c>
      <c r="AF43" s="249">
        <f>AVERAGE(S43:AD43)</f>
        <v>382084.91666666669</v>
      </c>
      <c r="AG43" s="249"/>
      <c r="AH43" s="250">
        <f>AH50+AH57</f>
        <v>360501</v>
      </c>
      <c r="AI43" s="249">
        <f>AI50+AI57</f>
        <v>356926</v>
      </c>
      <c r="AJ43" s="249">
        <f>AJ50+AJ57</f>
        <v>352957</v>
      </c>
      <c r="AK43" s="249">
        <f>AK50+AK57</f>
        <v>349972</v>
      </c>
      <c r="AL43" s="249">
        <f>AL50+AL57</f>
        <v>343827</v>
      </c>
      <c r="AM43" s="249">
        <f>AM50+AM57</f>
        <v>337664</v>
      </c>
      <c r="AN43" s="249">
        <v>332315</v>
      </c>
      <c r="AO43" s="249">
        <v>326169</v>
      </c>
      <c r="AP43" s="249">
        <f>AP50+AP57</f>
        <v>320605</v>
      </c>
      <c r="AQ43" s="249">
        <v>303537</v>
      </c>
      <c r="AR43" s="249">
        <v>298607</v>
      </c>
      <c r="AS43" s="249">
        <v>299670</v>
      </c>
      <c r="AT43" s="249">
        <f>AS43</f>
        <v>299670</v>
      </c>
      <c r="AU43" s="249">
        <f t="shared" ref="AU43:AU63" si="52">AVERAGE(AH43:AS43)</f>
        <v>331895.83333333331</v>
      </c>
      <c r="AV43" s="249"/>
      <c r="AW43" s="250">
        <v>293230</v>
      </c>
      <c r="AX43" s="539">
        <v>289323</v>
      </c>
      <c r="AY43" s="539">
        <v>283808</v>
      </c>
      <c r="AZ43" s="539">
        <v>279924</v>
      </c>
      <c r="BA43" s="539">
        <v>279331</v>
      </c>
      <c r="BB43" s="539">
        <v>275030</v>
      </c>
      <c r="BC43" s="539">
        <v>273151</v>
      </c>
      <c r="BD43" s="539">
        <v>269333</v>
      </c>
      <c r="BE43" s="539">
        <v>266054</v>
      </c>
      <c r="BF43" s="539">
        <v>260645</v>
      </c>
      <c r="BG43" s="249">
        <v>254480</v>
      </c>
      <c r="BH43" s="539">
        <v>248042</v>
      </c>
      <c r="BI43" s="249">
        <f>INDEX($AW43:$BH43, 1, MATCH(0, $AW43:$BH43, -1))</f>
        <v>248042</v>
      </c>
      <c r="BJ43" s="249">
        <f>AVERAGE(AW43:BH43)</f>
        <v>272695.91666666669</v>
      </c>
      <c r="BK43" s="249"/>
      <c r="BL43" s="250">
        <f>BL50+BL57</f>
        <v>243685</v>
      </c>
      <c r="BM43" s="539">
        <f>BM50+BM57</f>
        <v>237969</v>
      </c>
      <c r="BN43" s="539"/>
      <c r="BO43" s="539"/>
      <c r="BP43" s="539"/>
      <c r="BQ43" s="539"/>
      <c r="BR43" s="539"/>
      <c r="BS43" s="539"/>
      <c r="BT43" s="539"/>
      <c r="BU43" s="539"/>
      <c r="BV43" s="249"/>
      <c r="BW43" s="539"/>
      <c r="BX43" s="249">
        <f>INDEX($AW43:$BH43, 1, MATCH(0, $AW43:$BH43, -1))</f>
        <v>248042</v>
      </c>
      <c r="BY43" s="249">
        <f>AVERAGE(BL43:BW43)</f>
        <v>240827</v>
      </c>
      <c r="BZ43" s="6977"/>
      <c r="CB43" s="169">
        <f t="shared" si="8"/>
        <v>-51354</v>
      </c>
      <c r="CC43" s="169">
        <f>BY43-BJ43</f>
        <v>-31868.916666666686</v>
      </c>
      <c r="CD43" s="303">
        <f>IFERROR(_xlfn.XLOOKUP($A$1,$2:$2,43:43)-_xlfn.XLOOKUP(EDATE($A$1,-12),$2:$2,43:43),"")</f>
        <v>-51354</v>
      </c>
      <c r="CE43" s="278">
        <f>IFERROR(
  _xlfn.XLOOKUP($A$1,$2:$2,43:43)
 -_xlfn.XLOOKUP(EDATE($A$1,-1),$2:$2,43:43),"")</f>
        <v>-5716</v>
      </c>
    </row>
    <row r="44" spans="1:83" x14ac:dyDescent="0.55000000000000004">
      <c r="A44" s="7088"/>
      <c r="B44" s="22" t="s">
        <v>46</v>
      </c>
      <c r="E44" s="139">
        <f>E51+E58</f>
        <v>8835</v>
      </c>
      <c r="F44" s="140">
        <f>F51+F58</f>
        <v>7940</v>
      </c>
      <c r="G44" s="140">
        <f>G51+G58</f>
        <v>8642</v>
      </c>
      <c r="H44" s="140">
        <f>H51+H58</f>
        <v>9004</v>
      </c>
      <c r="I44" s="140">
        <f>I51+I58</f>
        <v>9187</v>
      </c>
      <c r="J44" s="140">
        <f>J51+J58</f>
        <v>8604</v>
      </c>
      <c r="K44" s="140">
        <f>K51+K58</f>
        <v>7114</v>
      </c>
      <c r="L44" s="140">
        <f>L51+L58</f>
        <v>8473</v>
      </c>
      <c r="M44" s="140">
        <f>M51+M58</f>
        <v>7793</v>
      </c>
      <c r="N44" s="140">
        <f>N51+N58</f>
        <v>9518</v>
      </c>
      <c r="O44" s="140">
        <f>O51+O58</f>
        <v>7874</v>
      </c>
      <c r="P44" s="140">
        <f>P51+P58</f>
        <v>6548</v>
      </c>
      <c r="Q44" s="140">
        <f t="shared" ref="Q44:Q49" si="53">SUM(E44:P44)</f>
        <v>99532</v>
      </c>
      <c r="R44" s="140">
        <f t="shared" ref="R44:R49" si="54">Q44/12</f>
        <v>8294.3333333333339</v>
      </c>
      <c r="S44" s="139">
        <f>S51+S58</f>
        <v>6968</v>
      </c>
      <c r="T44" s="140">
        <f>T51+T58</f>
        <v>8431</v>
      </c>
      <c r="U44" s="140">
        <f>U51+U58</f>
        <v>8004</v>
      </c>
      <c r="V44" s="140">
        <f>V51+V58</f>
        <v>7699</v>
      </c>
      <c r="W44" s="140">
        <f>W51+W58</f>
        <v>8517</v>
      </c>
      <c r="X44" s="140">
        <f>X51+X58</f>
        <v>8031</v>
      </c>
      <c r="Y44" s="140">
        <f>Y51+Y58</f>
        <v>6776</v>
      </c>
      <c r="Z44" s="140">
        <f>Z51+Z58</f>
        <v>9086</v>
      </c>
      <c r="AA44" s="140">
        <f>AA51+AA58</f>
        <v>7124</v>
      </c>
      <c r="AB44" s="140">
        <f>AB51+AB58</f>
        <v>8478</v>
      </c>
      <c r="AC44" s="140">
        <f>AC51+AC58</f>
        <v>7890</v>
      </c>
      <c r="AD44" s="140">
        <f>AD51+AD58</f>
        <v>5864</v>
      </c>
      <c r="AE44" s="140">
        <f t="shared" ref="AE44:AE49" si="55">SUM(S44:AD44)</f>
        <v>92868</v>
      </c>
      <c r="AF44" s="140">
        <f t="shared" ref="AF44:AF49" si="56">AE44/12</f>
        <v>7739</v>
      </c>
      <c r="AG44" s="140"/>
      <c r="AH44" s="139">
        <f>AH51+AH58</f>
        <v>8054</v>
      </c>
      <c r="AI44" s="140">
        <f>AI51+AI58</f>
        <v>6503</v>
      </c>
      <c r="AJ44" s="140">
        <f>AJ51+AJ58</f>
        <v>7899</v>
      </c>
      <c r="AK44" s="140">
        <f>AK51+AK58</f>
        <v>7960</v>
      </c>
      <c r="AL44" s="140">
        <f>AL51+AL58</f>
        <v>8817</v>
      </c>
      <c r="AM44" s="140">
        <f>AM51+AM58</f>
        <v>7854</v>
      </c>
      <c r="AN44" s="140">
        <v>9485</v>
      </c>
      <c r="AO44" s="140">
        <v>8409</v>
      </c>
      <c r="AP44" s="140">
        <f>AP51+AP58</f>
        <v>8784</v>
      </c>
      <c r="AQ44" s="140">
        <v>8485</v>
      </c>
      <c r="AR44" s="140">
        <v>12778</v>
      </c>
      <c r="AS44" s="140">
        <v>7491</v>
      </c>
      <c r="AT44" s="140">
        <f t="shared" ref="AT44:AT49" si="57">SUM(AH44:AS44)</f>
        <v>102519</v>
      </c>
      <c r="AU44" s="140">
        <f t="shared" si="52"/>
        <v>8543.25</v>
      </c>
      <c r="AV44" s="140"/>
      <c r="AW44" s="139">
        <v>6847</v>
      </c>
      <c r="AX44" s="450">
        <v>10197</v>
      </c>
      <c r="AY44" s="450">
        <v>8908</v>
      </c>
      <c r="AZ44" s="450">
        <v>9832</v>
      </c>
      <c r="BA44" s="450">
        <v>17314</v>
      </c>
      <c r="BB44" s="450">
        <v>11650</v>
      </c>
      <c r="BC44" s="450">
        <v>13532</v>
      </c>
      <c r="BD44" s="450">
        <v>11128</v>
      </c>
      <c r="BE44" s="450">
        <v>11339</v>
      </c>
      <c r="BF44" s="450">
        <v>7545</v>
      </c>
      <c r="BG44" s="140">
        <v>7481</v>
      </c>
      <c r="BH44" s="450">
        <v>7134</v>
      </c>
      <c r="BI44" s="140">
        <f>SUM(AW44:BH44)</f>
        <v>122907</v>
      </c>
      <c r="BJ44" s="140">
        <f t="shared" ref="BJ44:BJ49" si="58">BI44/12</f>
        <v>10242.25</v>
      </c>
      <c r="BK44" s="140"/>
      <c r="BL44" s="139">
        <f t="shared" ref="BL44:BM49" si="59">BL51+BL58</f>
        <v>5872</v>
      </c>
      <c r="BM44" s="450">
        <f t="shared" ref="BM44" si="60">BM51+BM58</f>
        <v>4643</v>
      </c>
      <c r="BN44" s="450"/>
      <c r="BO44" s="450"/>
      <c r="BP44" s="450"/>
      <c r="BQ44" s="450"/>
      <c r="BR44" s="450"/>
      <c r="BS44" s="450"/>
      <c r="BT44" s="450"/>
      <c r="BU44" s="450"/>
      <c r="BV44" s="140"/>
      <c r="BW44" s="450"/>
      <c r="BX44" s="140">
        <f>SUM(BL44:BW44)</f>
        <v>10515</v>
      </c>
      <c r="BY44" s="140">
        <f t="shared" ref="BY44:BY49" si="61">BX44/12</f>
        <v>876.25</v>
      </c>
      <c r="BZ44" s="6977"/>
      <c r="CB44" s="169">
        <f t="shared" si="8"/>
        <v>-5554</v>
      </c>
      <c r="CC44" s="169">
        <f>BY44-BJ44</f>
        <v>-9366</v>
      </c>
      <c r="CD44" s="169">
        <f>BI44-SUM(AH44:AR44)</f>
        <v>27879</v>
      </c>
      <c r="CE44" s="278">
        <f t="shared" ref="CE44:CE63" si="62">IFERROR(
  _xlfn.XLOOKUP($A$1,$2:$2,44:44)
 -_xlfn.XLOOKUP(EDATE($A$1,-1),$2:$2,44:44),"")</f>
        <v>-1229</v>
      </c>
    </row>
    <row r="45" spans="1:83" x14ac:dyDescent="0.55000000000000004">
      <c r="A45" s="7088"/>
      <c r="B45" t="s">
        <v>47</v>
      </c>
      <c r="E45" s="139">
        <f>E52+E59</f>
        <v>4230</v>
      </c>
      <c r="F45" s="140">
        <f>F52+F59</f>
        <v>4507</v>
      </c>
      <c r="G45" s="140">
        <f>G52+G59</f>
        <v>5262</v>
      </c>
      <c r="H45" s="140">
        <f>H52+H59</f>
        <v>4561</v>
      </c>
      <c r="I45" s="140">
        <f>I52+I59</f>
        <v>4507</v>
      </c>
      <c r="J45" s="140">
        <f>J52+J59</f>
        <v>4069</v>
      </c>
      <c r="K45" s="140">
        <f>K52+K59</f>
        <v>3951</v>
      </c>
      <c r="L45" s="140">
        <f>L52+L59</f>
        <v>4483</v>
      </c>
      <c r="M45" s="140">
        <f>M52+M59</f>
        <v>4048</v>
      </c>
      <c r="N45" s="140">
        <f>N52+N59</f>
        <v>4037</v>
      </c>
      <c r="O45" s="140">
        <f>O52+O59</f>
        <v>4304</v>
      </c>
      <c r="P45" s="140">
        <f>P52+P59</f>
        <v>4164</v>
      </c>
      <c r="Q45" s="140">
        <f t="shared" si="53"/>
        <v>52123</v>
      </c>
      <c r="R45" s="140">
        <f t="shared" si="54"/>
        <v>4343.583333333333</v>
      </c>
      <c r="S45" s="139">
        <f>S52+S59</f>
        <v>4229</v>
      </c>
      <c r="T45" s="140">
        <f>T52+T59</f>
        <v>4137</v>
      </c>
      <c r="U45" s="140">
        <f>U52+U59</f>
        <v>4351</v>
      </c>
      <c r="V45" s="140">
        <f>V52+V59</f>
        <v>3551</v>
      </c>
      <c r="W45" s="140">
        <f>W52+W59</f>
        <v>3809</v>
      </c>
      <c r="X45" s="140">
        <f>X52+X59</f>
        <v>4038</v>
      </c>
      <c r="Y45" s="140">
        <f>Y52+Y59</f>
        <v>3905</v>
      </c>
      <c r="Z45" s="140">
        <f>Z52+Z59</f>
        <v>4802</v>
      </c>
      <c r="AA45" s="140">
        <f>AA52+AA59</f>
        <v>3602</v>
      </c>
      <c r="AB45" s="140">
        <f>AB52+AB59</f>
        <v>3752</v>
      </c>
      <c r="AC45" s="140">
        <f>AC52+AC59</f>
        <v>3635</v>
      </c>
      <c r="AD45" s="140">
        <f>AD52+AD59</f>
        <v>3204</v>
      </c>
      <c r="AE45" s="140">
        <f t="shared" si="55"/>
        <v>47015</v>
      </c>
      <c r="AF45" s="140">
        <f t="shared" si="56"/>
        <v>3917.9166666666665</v>
      </c>
      <c r="AG45" s="140"/>
      <c r="AH45" s="139">
        <f>AH52+AH59</f>
        <v>3793</v>
      </c>
      <c r="AI45" s="140">
        <f>AI52+AI59</f>
        <v>3825</v>
      </c>
      <c r="AJ45" s="140">
        <f>AJ52+AJ59</f>
        <v>4027</v>
      </c>
      <c r="AK45" s="140">
        <f>AK52+AK59</f>
        <v>3936</v>
      </c>
      <c r="AL45" s="140">
        <f>AL52+AL59</f>
        <v>3900</v>
      </c>
      <c r="AM45" s="140">
        <f>AM52+AM59</f>
        <v>3827</v>
      </c>
      <c r="AN45" s="140">
        <v>3666</v>
      </c>
      <c r="AO45" s="140">
        <v>3542</v>
      </c>
      <c r="AP45" s="140">
        <f>AP52+AP59</f>
        <v>3230</v>
      </c>
      <c r="AQ45" s="140">
        <v>3175</v>
      </c>
      <c r="AR45" s="140">
        <v>2678</v>
      </c>
      <c r="AS45" s="140">
        <v>2667</v>
      </c>
      <c r="AT45" s="140">
        <f t="shared" si="57"/>
        <v>42266</v>
      </c>
      <c r="AU45" s="140">
        <f t="shared" si="52"/>
        <v>3522.1666666666665</v>
      </c>
      <c r="AV45" s="140"/>
      <c r="AW45" s="139">
        <v>2845</v>
      </c>
      <c r="AX45" s="450">
        <v>3689</v>
      </c>
      <c r="AY45" s="450">
        <v>3594</v>
      </c>
      <c r="AZ45" s="450">
        <v>3559</v>
      </c>
      <c r="BA45" s="450">
        <v>3118</v>
      </c>
      <c r="BB45" s="450">
        <v>3230</v>
      </c>
      <c r="BC45" s="450">
        <v>3142</v>
      </c>
      <c r="BD45" s="450">
        <v>2748</v>
      </c>
      <c r="BE45" s="450">
        <v>3047</v>
      </c>
      <c r="BF45" s="450">
        <v>3030</v>
      </c>
      <c r="BG45" s="140">
        <v>2850</v>
      </c>
      <c r="BH45" s="450">
        <v>2704</v>
      </c>
      <c r="BI45" s="140">
        <f>SUM(AW45:BH45)</f>
        <v>37556</v>
      </c>
      <c r="BJ45" s="140">
        <f t="shared" si="58"/>
        <v>3129.6666666666665</v>
      </c>
      <c r="BK45" s="140"/>
      <c r="BL45" s="139">
        <f t="shared" si="59"/>
        <v>4241</v>
      </c>
      <c r="BM45" s="450">
        <f t="shared" ref="BM45" si="63">BM52+BM59</f>
        <v>3854</v>
      </c>
      <c r="BN45" s="450"/>
      <c r="BO45" s="450"/>
      <c r="BP45" s="450"/>
      <c r="BQ45" s="450"/>
      <c r="BR45" s="450"/>
      <c r="BS45" s="450"/>
      <c r="BT45" s="450"/>
      <c r="BU45" s="450"/>
      <c r="BV45" s="140"/>
      <c r="BW45" s="450"/>
      <c r="BX45" s="140">
        <f>SUM(BL45:BW45)</f>
        <v>8095</v>
      </c>
      <c r="BY45" s="140">
        <f t="shared" si="61"/>
        <v>674.58333333333337</v>
      </c>
      <c r="BZ45" s="6977"/>
      <c r="CB45" s="169">
        <f t="shared" si="8"/>
        <v>165</v>
      </c>
      <c r="CC45" s="169">
        <f>BY45-BJ45</f>
        <v>-2455.083333333333</v>
      </c>
      <c r="CD45" s="169">
        <f>BI45-SUM(AH45:AR45)</f>
        <v>-2043</v>
      </c>
      <c r="CE45" s="278">
        <f t="shared" si="62"/>
        <v>-387</v>
      </c>
    </row>
    <row r="46" spans="1:83" x14ac:dyDescent="0.55000000000000004">
      <c r="A46" s="7088"/>
      <c r="B46" s="180" t="s">
        <v>58</v>
      </c>
      <c r="E46" s="139">
        <f>E53+E60</f>
        <v>244</v>
      </c>
      <c r="F46" s="140">
        <f>F53+F60</f>
        <v>257</v>
      </c>
      <c r="G46" s="140">
        <f>G53+G60</f>
        <v>297</v>
      </c>
      <c r="H46" s="140">
        <f>H53+H60</f>
        <v>154</v>
      </c>
      <c r="I46" s="140">
        <f>I53+I60</f>
        <v>262</v>
      </c>
      <c r="J46" s="140">
        <f>J53+J60</f>
        <v>216</v>
      </c>
      <c r="K46" s="140">
        <f>K53+K60</f>
        <v>231</v>
      </c>
      <c r="L46" s="140">
        <f>L53+L60</f>
        <v>242</v>
      </c>
      <c r="M46" s="140">
        <f>M53+M60</f>
        <v>286</v>
      </c>
      <c r="N46" s="140">
        <f>N53+N60</f>
        <v>199</v>
      </c>
      <c r="O46" s="140">
        <f>O53+O60</f>
        <v>215</v>
      </c>
      <c r="P46" s="140">
        <f>P53+P60</f>
        <v>237</v>
      </c>
      <c r="Q46" s="140">
        <f t="shared" si="53"/>
        <v>2840</v>
      </c>
      <c r="R46" s="140">
        <f t="shared" si="54"/>
        <v>236.66666666666666</v>
      </c>
      <c r="S46" s="139">
        <f>S53+S60</f>
        <v>221</v>
      </c>
      <c r="T46" s="140">
        <f>T53+T60</f>
        <v>209</v>
      </c>
      <c r="U46" s="140">
        <f>U53+U60</f>
        <v>194</v>
      </c>
      <c r="V46" s="140">
        <f>V53+V60</f>
        <v>260</v>
      </c>
      <c r="W46" s="140">
        <f>W53+W60</f>
        <v>250</v>
      </c>
      <c r="X46" s="140">
        <f>X53+X60</f>
        <v>287</v>
      </c>
      <c r="Y46" s="140">
        <f>Y53+Y60</f>
        <v>263</v>
      </c>
      <c r="Z46" s="140">
        <f>Z53+Z60</f>
        <v>815</v>
      </c>
      <c r="AA46" s="140">
        <f>AA53+AA60</f>
        <v>208</v>
      </c>
      <c r="AB46" s="140">
        <f>AB53+AB60</f>
        <v>283</v>
      </c>
      <c r="AC46" s="140">
        <f>AC53+AC60</f>
        <v>309</v>
      </c>
      <c r="AD46" s="140">
        <f>AD53+AD60</f>
        <v>228</v>
      </c>
      <c r="AE46" s="140">
        <f t="shared" si="55"/>
        <v>3527</v>
      </c>
      <c r="AF46" s="140">
        <f t="shared" si="56"/>
        <v>293.91666666666669</v>
      </c>
      <c r="AG46" s="140"/>
      <c r="AH46" s="139">
        <f>AH53+AH60</f>
        <v>270</v>
      </c>
      <c r="AI46" s="140">
        <f>AI53+AI60</f>
        <v>228</v>
      </c>
      <c r="AJ46" s="140">
        <f>AJ53+AJ60</f>
        <v>287</v>
      </c>
      <c r="AK46" s="140">
        <f>AK53+AK60</f>
        <v>287</v>
      </c>
      <c r="AL46" s="140">
        <f>AL53+AL60</f>
        <v>306</v>
      </c>
      <c r="AM46" s="140">
        <f>AM53+AM60</f>
        <v>226</v>
      </c>
      <c r="AN46" s="140">
        <v>490</v>
      </c>
      <c r="AO46" s="140">
        <v>177</v>
      </c>
      <c r="AP46" s="140">
        <f>AP53+AP60</f>
        <v>193</v>
      </c>
      <c r="AQ46" s="140">
        <v>197</v>
      </c>
      <c r="AR46" s="140">
        <v>200</v>
      </c>
      <c r="AS46" s="140">
        <v>175</v>
      </c>
      <c r="AT46" s="140">
        <f t="shared" si="57"/>
        <v>3036</v>
      </c>
      <c r="AU46" s="140">
        <f t="shared" si="52"/>
        <v>253</v>
      </c>
      <c r="AV46" s="140"/>
      <c r="AW46" s="139">
        <v>187</v>
      </c>
      <c r="AX46" s="450">
        <v>206</v>
      </c>
      <c r="AY46" s="450">
        <v>269</v>
      </c>
      <c r="AZ46" s="450">
        <v>271</v>
      </c>
      <c r="BA46" s="450">
        <v>308</v>
      </c>
      <c r="BB46" s="450">
        <v>209</v>
      </c>
      <c r="BC46" s="450">
        <v>195</v>
      </c>
      <c r="BD46" s="450">
        <v>150</v>
      </c>
      <c r="BE46" s="450">
        <v>171</v>
      </c>
      <c r="BF46" s="450">
        <v>158</v>
      </c>
      <c r="BG46" s="140">
        <v>108</v>
      </c>
      <c r="BH46" s="450">
        <v>122</v>
      </c>
      <c r="BI46" s="140">
        <f t="shared" ref="BI46:BI49" si="64">SUM(AW46:BH46)</f>
        <v>2354</v>
      </c>
      <c r="BJ46" s="140">
        <f t="shared" si="58"/>
        <v>196.16666666666666</v>
      </c>
      <c r="BK46" s="140"/>
      <c r="BL46" s="139">
        <f t="shared" si="59"/>
        <v>164</v>
      </c>
      <c r="BM46" s="450">
        <f t="shared" ref="BM46" si="65">BM53+BM60</f>
        <v>157</v>
      </c>
      <c r="BN46" s="450"/>
      <c r="BO46" s="450"/>
      <c r="BP46" s="450"/>
      <c r="BQ46" s="450"/>
      <c r="BR46" s="450"/>
      <c r="BS46" s="450"/>
      <c r="BT46" s="450"/>
      <c r="BU46" s="450"/>
      <c r="BV46" s="140"/>
      <c r="BW46" s="450"/>
      <c r="BX46" s="140">
        <f t="shared" ref="BX46:BX49" si="66">SUM(BL46:BW46)</f>
        <v>321</v>
      </c>
      <c r="BY46" s="140">
        <f t="shared" si="61"/>
        <v>26.75</v>
      </c>
      <c r="BZ46" s="6977"/>
      <c r="CB46" s="169">
        <f t="shared" si="8"/>
        <v>-49</v>
      </c>
      <c r="CC46" s="169">
        <f>BY46-BJ46</f>
        <v>-169.41666666666666</v>
      </c>
      <c r="CD46" s="169">
        <f>BI46-SUM(AH46:AR46)</f>
        <v>-507</v>
      </c>
      <c r="CE46" s="278">
        <f t="shared" si="62"/>
        <v>-7</v>
      </c>
    </row>
    <row r="47" spans="1:83" x14ac:dyDescent="0.55000000000000004">
      <c r="A47" s="7088"/>
      <c r="B47" s="252" t="s">
        <v>85</v>
      </c>
      <c r="C47" s="252"/>
      <c r="D47" s="252"/>
      <c r="E47" s="137">
        <f>E54+E61</f>
        <v>4605</v>
      </c>
      <c r="F47" s="138">
        <f>F54+F61</f>
        <v>3433</v>
      </c>
      <c r="G47" s="138">
        <f>G54+G61</f>
        <v>3380</v>
      </c>
      <c r="H47" s="138">
        <f>H54+H61</f>
        <v>4443</v>
      </c>
      <c r="I47" s="138">
        <f>I54+I61</f>
        <v>4680</v>
      </c>
      <c r="J47" s="138">
        <f>J54+J61</f>
        <v>4535</v>
      </c>
      <c r="K47" s="138">
        <f>K54+K61</f>
        <v>3163</v>
      </c>
      <c r="L47" s="138">
        <f>L54+L61</f>
        <v>3990</v>
      </c>
      <c r="M47" s="138">
        <f>M54+M61</f>
        <v>3745</v>
      </c>
      <c r="N47" s="138">
        <f>N54+N61</f>
        <v>5481</v>
      </c>
      <c r="O47" s="138">
        <f>O54+O61</f>
        <v>3570</v>
      </c>
      <c r="P47" s="138">
        <f>P54+P61</f>
        <v>2384</v>
      </c>
      <c r="Q47" s="138">
        <f t="shared" si="53"/>
        <v>47409</v>
      </c>
      <c r="R47" s="138">
        <f t="shared" si="54"/>
        <v>3950.75</v>
      </c>
      <c r="S47" s="137">
        <f>S54+S61</f>
        <v>2739</v>
      </c>
      <c r="T47" s="138">
        <f>T54+T61</f>
        <v>4294</v>
      </c>
      <c r="U47" s="138">
        <f>U54+U61</f>
        <v>3653</v>
      </c>
      <c r="V47" s="138">
        <f>V54+V61</f>
        <v>4148</v>
      </c>
      <c r="W47" s="138">
        <f>W54+W61</f>
        <v>4708</v>
      </c>
      <c r="X47" s="138">
        <f>X54+X61</f>
        <v>3993</v>
      </c>
      <c r="Y47" s="138">
        <f>Y54+Y61</f>
        <v>2871</v>
      </c>
      <c r="Z47" s="138">
        <f>Z54+Z61</f>
        <v>4284</v>
      </c>
      <c r="AA47" s="138">
        <f>AA54+AA61</f>
        <v>3522</v>
      </c>
      <c r="AB47" s="138">
        <f>AB54+AB61</f>
        <v>4726</v>
      </c>
      <c r="AC47" s="138">
        <f>AC54+AC61</f>
        <v>4255</v>
      </c>
      <c r="AD47" s="138">
        <f>AD54+AD61</f>
        <v>2660</v>
      </c>
      <c r="AE47" s="138">
        <f t="shared" si="55"/>
        <v>45853</v>
      </c>
      <c r="AF47" s="138">
        <f t="shared" si="56"/>
        <v>3821.0833333333335</v>
      </c>
      <c r="AG47" s="138"/>
      <c r="AH47" s="137">
        <f>AH54+AH61</f>
        <v>4261</v>
      </c>
      <c r="AI47" s="138">
        <f>AI54+AI61</f>
        <v>2678</v>
      </c>
      <c r="AJ47" s="138">
        <f>AJ54+AJ61</f>
        <v>3872</v>
      </c>
      <c r="AK47" s="138">
        <f>AK54+AK61</f>
        <v>4024</v>
      </c>
      <c r="AL47" s="138">
        <f>AL54+AL61</f>
        <v>4917</v>
      </c>
      <c r="AM47" s="138">
        <f>AM54+AM61</f>
        <v>4027</v>
      </c>
      <c r="AN47" s="138">
        <v>5819</v>
      </c>
      <c r="AO47" s="138">
        <v>4867</v>
      </c>
      <c r="AP47" s="138">
        <f>AP54+AP61</f>
        <v>5554</v>
      </c>
      <c r="AQ47" s="138">
        <v>5310</v>
      </c>
      <c r="AR47" s="138">
        <v>10100</v>
      </c>
      <c r="AS47" s="138">
        <v>4824</v>
      </c>
      <c r="AT47" s="138">
        <f t="shared" si="57"/>
        <v>60253</v>
      </c>
      <c r="AU47" s="138">
        <f t="shared" si="52"/>
        <v>5021.083333333333</v>
      </c>
      <c r="AV47" s="138"/>
      <c r="AW47" s="137">
        <v>3994</v>
      </c>
      <c r="AX47" s="452">
        <v>6202</v>
      </c>
      <c r="AY47" s="452">
        <v>5314</v>
      </c>
      <c r="AZ47" s="452">
        <v>6273</v>
      </c>
      <c r="BA47" s="452">
        <v>14196</v>
      </c>
      <c r="BB47" s="452">
        <v>8420</v>
      </c>
      <c r="BC47" s="452">
        <v>10390</v>
      </c>
      <c r="BD47" s="452">
        <v>8380</v>
      </c>
      <c r="BE47" s="452">
        <v>8292</v>
      </c>
      <c r="BF47" s="452">
        <v>4515</v>
      </c>
      <c r="BG47" s="138">
        <v>4631</v>
      </c>
      <c r="BH47" s="452">
        <f>BH54+BH61</f>
        <v>4430</v>
      </c>
      <c r="BI47" s="138">
        <f t="shared" si="64"/>
        <v>85037</v>
      </c>
      <c r="BJ47" s="138">
        <f t="shared" si="58"/>
        <v>7086.416666666667</v>
      </c>
      <c r="BK47" s="138"/>
      <c r="BL47" s="137">
        <f t="shared" si="59"/>
        <v>1631</v>
      </c>
      <c r="BM47" s="137">
        <f t="shared" ref="BM47" si="67">BM54+BM61</f>
        <v>789</v>
      </c>
      <c r="BN47" s="452"/>
      <c r="BO47" s="452"/>
      <c r="BP47" s="452"/>
      <c r="BQ47" s="452"/>
      <c r="BR47" s="452"/>
      <c r="BS47" s="452"/>
      <c r="BT47" s="452"/>
      <c r="BU47" s="452"/>
      <c r="BV47" s="138"/>
      <c r="BW47" s="452"/>
      <c r="BX47" s="138">
        <f t="shared" si="66"/>
        <v>2420</v>
      </c>
      <c r="BY47" s="138">
        <f t="shared" si="61"/>
        <v>201.66666666666666</v>
      </c>
      <c r="BZ47" s="6977"/>
      <c r="CB47" s="169">
        <f t="shared" si="8"/>
        <v>-5413</v>
      </c>
      <c r="CC47" s="169">
        <f>BY47-BJ47</f>
        <v>-6884.75</v>
      </c>
      <c r="CD47" s="169">
        <f>BI47-SUM(AH47:AR47)</f>
        <v>29608</v>
      </c>
      <c r="CE47" s="278">
        <f t="shared" si="62"/>
        <v>-842</v>
      </c>
    </row>
    <row r="48" spans="1:83" x14ac:dyDescent="0.55000000000000004">
      <c r="A48" s="7088"/>
      <c r="B48" t="s">
        <v>49</v>
      </c>
      <c r="E48" s="139">
        <f>E55+E62</f>
        <v>8444</v>
      </c>
      <c r="F48" s="140">
        <f>F55+F62</f>
        <v>7583</v>
      </c>
      <c r="G48" s="140">
        <f>G55+G62</f>
        <v>8058</v>
      </c>
      <c r="H48" s="140">
        <f>H55+H62</f>
        <v>7614</v>
      </c>
      <c r="I48" s="140">
        <f>I55+I62</f>
        <v>9116</v>
      </c>
      <c r="J48" s="140">
        <f>J55+J62</f>
        <v>8191</v>
      </c>
      <c r="K48" s="140">
        <f>K55+K62</f>
        <v>7753</v>
      </c>
      <c r="L48" s="140">
        <f>L55+L62</f>
        <v>7079</v>
      </c>
      <c r="M48" s="140">
        <f>M55+M62</f>
        <v>7756</v>
      </c>
      <c r="N48" s="140">
        <f>N55+N62</f>
        <v>7632</v>
      </c>
      <c r="O48" s="140">
        <f>O55+O62</f>
        <v>7792</v>
      </c>
      <c r="P48" s="140">
        <f>P55+P62</f>
        <v>8381</v>
      </c>
      <c r="Q48" s="140">
        <f t="shared" si="53"/>
        <v>95399</v>
      </c>
      <c r="R48" s="140">
        <f t="shared" si="54"/>
        <v>7949.916666666667</v>
      </c>
      <c r="S48" s="139">
        <f>S55+S62</f>
        <v>9355</v>
      </c>
      <c r="T48" s="140">
        <f>T55+T62</f>
        <v>7416</v>
      </c>
      <c r="U48" s="140">
        <f>U55+U62</f>
        <v>7836</v>
      </c>
      <c r="V48" s="140">
        <f>V55+V62</f>
        <v>7045</v>
      </c>
      <c r="W48" s="140">
        <f>W55+W62</f>
        <v>8165</v>
      </c>
      <c r="X48" s="140">
        <f>X55+X62</f>
        <v>7893</v>
      </c>
      <c r="Y48" s="140">
        <f>Y55+Y62</f>
        <v>8271</v>
      </c>
      <c r="Z48" s="140">
        <f>Z55+Z62</f>
        <v>8314</v>
      </c>
      <c r="AA48" s="140">
        <f>AA55+AA62</f>
        <v>7548</v>
      </c>
      <c r="AB48" s="140">
        <f>AB55+AB62</f>
        <v>6938</v>
      </c>
      <c r="AC48" s="140">
        <f>AC55+AC62</f>
        <v>6559</v>
      </c>
      <c r="AD48" s="140">
        <f>AD55+AD62</f>
        <v>6750</v>
      </c>
      <c r="AE48" s="140">
        <f t="shared" si="55"/>
        <v>92090</v>
      </c>
      <c r="AF48" s="140">
        <f t="shared" si="56"/>
        <v>7674.166666666667</v>
      </c>
      <c r="AG48" s="140"/>
      <c r="AH48" s="139">
        <f>AH55+AH62</f>
        <v>6323</v>
      </c>
      <c r="AI48" s="140">
        <f>AI55+AI62</f>
        <v>6253</v>
      </c>
      <c r="AJ48" s="140">
        <f>AJ55+AJ62</f>
        <v>7841</v>
      </c>
      <c r="AK48" s="140">
        <f>AK55+AK62</f>
        <v>7009</v>
      </c>
      <c r="AL48" s="140">
        <f>AL55+AL62</f>
        <v>11062</v>
      </c>
      <c r="AM48" s="140">
        <f>AM55+AM62</f>
        <v>10190</v>
      </c>
      <c r="AN48" s="140">
        <v>11168</v>
      </c>
      <c r="AO48" s="140">
        <v>11013</v>
      </c>
      <c r="AP48" s="140">
        <f>AP55+AP62</f>
        <v>11118</v>
      </c>
      <c r="AQ48" s="140">
        <v>18043</v>
      </c>
      <c r="AR48" s="140">
        <v>15030</v>
      </c>
      <c r="AS48" s="140">
        <v>11137</v>
      </c>
      <c r="AT48" s="140">
        <f>SUM(AH48:AS48)</f>
        <v>126187</v>
      </c>
      <c r="AU48" s="140">
        <f t="shared" si="52"/>
        <v>10515.583333333334</v>
      </c>
      <c r="AV48" s="140"/>
      <c r="AW48" s="139">
        <v>10716</v>
      </c>
      <c r="AX48" s="450">
        <v>10556</v>
      </c>
      <c r="AY48" s="450">
        <v>10829</v>
      </c>
      <c r="AZ48" s="450">
        <v>10157</v>
      </c>
      <c r="BA48" s="450">
        <v>14789</v>
      </c>
      <c r="BB48" s="450">
        <v>12721</v>
      </c>
      <c r="BC48" s="450">
        <v>12269</v>
      </c>
      <c r="BD48" s="450">
        <v>12198</v>
      </c>
      <c r="BE48" s="450">
        <v>11571</v>
      </c>
      <c r="BF48" s="450">
        <v>9924</v>
      </c>
      <c r="BG48" s="140">
        <v>10796</v>
      </c>
      <c r="BH48" s="450">
        <v>11913</v>
      </c>
      <c r="BI48" s="140">
        <f t="shared" si="64"/>
        <v>138439</v>
      </c>
      <c r="BJ48" s="140">
        <f t="shared" si="58"/>
        <v>11536.583333333334</v>
      </c>
      <c r="BK48" s="140"/>
      <c r="BL48" s="139">
        <f t="shared" si="59"/>
        <v>5988</v>
      </c>
      <c r="BM48" s="450">
        <f t="shared" ref="BM48" si="68">BM55+BM62</f>
        <v>6505</v>
      </c>
      <c r="BN48" s="450"/>
      <c r="BO48" s="450"/>
      <c r="BP48" s="450"/>
      <c r="BQ48" s="450"/>
      <c r="BR48" s="450"/>
      <c r="BS48" s="450"/>
      <c r="BT48" s="450"/>
      <c r="BU48" s="450"/>
      <c r="BV48" s="140"/>
      <c r="BW48" s="450"/>
      <c r="BX48" s="140">
        <f t="shared" si="66"/>
        <v>12493</v>
      </c>
      <c r="BY48" s="140">
        <f t="shared" si="61"/>
        <v>1041.0833333333333</v>
      </c>
      <c r="BZ48" s="6977"/>
      <c r="CB48" s="169">
        <f t="shared" si="8"/>
        <v>-4051</v>
      </c>
      <c r="CC48" s="169">
        <f>BY48-BJ48</f>
        <v>-10495.5</v>
      </c>
      <c r="CD48" s="169">
        <f>BI48-SUM(AH48:AR48)</f>
        <v>23389</v>
      </c>
      <c r="CE48" s="278">
        <f t="shared" si="62"/>
        <v>517</v>
      </c>
    </row>
    <row r="49" spans="1:83" ht="18" thickBot="1" x14ac:dyDescent="0.6">
      <c r="A49" s="7088"/>
      <c r="B49" s="254" t="s">
        <v>50</v>
      </c>
      <c r="C49" s="255"/>
      <c r="D49" s="255"/>
      <c r="E49" s="141">
        <f>E43-D43</f>
        <v>-3839</v>
      </c>
      <c r="F49" s="142">
        <f>F43-E43</f>
        <v>-4150</v>
      </c>
      <c r="G49" s="142">
        <f>G43-F43</f>
        <v>-4678</v>
      </c>
      <c r="H49" s="142">
        <f>H43-G43</f>
        <v>-3171</v>
      </c>
      <c r="I49" s="142">
        <f>I43-H43</f>
        <v>-4436</v>
      </c>
      <c r="J49" s="142">
        <f>J43-I43</f>
        <v>-3656</v>
      </c>
      <c r="K49" s="142">
        <f>K43-J43</f>
        <v>-4590</v>
      </c>
      <c r="L49" s="142">
        <f>L43-K43</f>
        <v>-3089</v>
      </c>
      <c r="M49" s="142">
        <f>M43-L43</f>
        <v>-4011</v>
      </c>
      <c r="N49" s="142">
        <f>N43-M43</f>
        <v>-2151</v>
      </c>
      <c r="O49" s="142">
        <f>O43-N43</f>
        <v>-4222</v>
      </c>
      <c r="P49" s="142">
        <f>P43-O43</f>
        <v>-5997</v>
      </c>
      <c r="Q49" s="142">
        <f t="shared" si="53"/>
        <v>-47990</v>
      </c>
      <c r="R49" s="142">
        <f t="shared" si="54"/>
        <v>-3999.1666666666665</v>
      </c>
      <c r="S49" s="141">
        <f>S43-P43</f>
        <v>-6616</v>
      </c>
      <c r="T49" s="142">
        <f>T43-S43</f>
        <v>-3122</v>
      </c>
      <c r="U49" s="142">
        <f>U43-T43</f>
        <v>-4183</v>
      </c>
      <c r="V49" s="142">
        <f>V43-U43</f>
        <v>-2897</v>
      </c>
      <c r="W49" s="142">
        <f>W43-V43</f>
        <v>-3457</v>
      </c>
      <c r="X49" s="142">
        <f>X43-W43</f>
        <v>-3900</v>
      </c>
      <c r="Y49" s="142">
        <f>Y43-X43</f>
        <v>-5400</v>
      </c>
      <c r="Z49" s="142">
        <f>Z43-Y43</f>
        <v>-4030</v>
      </c>
      <c r="AA49" s="142">
        <f>AA43-Z43</f>
        <v>-4026</v>
      </c>
      <c r="AB49" s="142">
        <f>AB43-AA43</f>
        <v>-2212</v>
      </c>
      <c r="AC49" s="142">
        <f>AC43-AB43</f>
        <v>-2304</v>
      </c>
      <c r="AD49" s="142">
        <f>AD43-AC43</f>
        <v>-4090</v>
      </c>
      <c r="AE49" s="142">
        <f t="shared" si="55"/>
        <v>-46237</v>
      </c>
      <c r="AF49" s="142">
        <f t="shared" si="56"/>
        <v>-3853.0833333333335</v>
      </c>
      <c r="AG49" s="142"/>
      <c r="AH49" s="141">
        <f>AH43-AD43</f>
        <v>-2062</v>
      </c>
      <c r="AI49" s="142">
        <f>AI43-AH43</f>
        <v>-3575</v>
      </c>
      <c r="AJ49" s="142">
        <f>AJ43-AI43</f>
        <v>-3969</v>
      </c>
      <c r="AK49" s="142">
        <f>AK43-AJ43</f>
        <v>-2985</v>
      </c>
      <c r="AL49" s="142">
        <f>AL43-AK43</f>
        <v>-6145</v>
      </c>
      <c r="AM49" s="142">
        <f>AM43-AL43</f>
        <v>-6163</v>
      </c>
      <c r="AN49" s="142">
        <v>-5349</v>
      </c>
      <c r="AO49" s="142">
        <v>-6146</v>
      </c>
      <c r="AP49" s="142">
        <f>AP56+AP63</f>
        <v>-5564</v>
      </c>
      <c r="AQ49" s="142">
        <v>-12733</v>
      </c>
      <c r="AR49" s="142">
        <v>-4930</v>
      </c>
      <c r="AS49" s="142">
        <v>-6313</v>
      </c>
      <c r="AT49" s="142">
        <f t="shared" si="57"/>
        <v>-65934</v>
      </c>
      <c r="AU49" s="142">
        <f t="shared" si="52"/>
        <v>-5494.5</v>
      </c>
      <c r="AV49" s="142"/>
      <c r="AW49" s="141">
        <v>-6440</v>
      </c>
      <c r="AX49" s="454">
        <v>-3907</v>
      </c>
      <c r="AY49" s="454">
        <v>-5515</v>
      </c>
      <c r="AZ49" s="454">
        <v>-3884</v>
      </c>
      <c r="BA49" s="454">
        <v>-593</v>
      </c>
      <c r="BB49" s="142">
        <v>-4301</v>
      </c>
      <c r="BC49" s="142">
        <v>-1879</v>
      </c>
      <c r="BD49" s="142">
        <v>-3818</v>
      </c>
      <c r="BE49" s="142">
        <v>-3279</v>
      </c>
      <c r="BF49" s="142">
        <v>-5409</v>
      </c>
      <c r="BG49" s="142">
        <v>-6165</v>
      </c>
      <c r="BH49" s="142">
        <f>BH43-BG43</f>
        <v>-6438</v>
      </c>
      <c r="BI49" s="142">
        <f t="shared" si="64"/>
        <v>-51628</v>
      </c>
      <c r="BJ49" s="142">
        <f t="shared" si="58"/>
        <v>-4302.333333333333</v>
      </c>
      <c r="BK49" s="142"/>
      <c r="BL49" s="141">
        <f t="shared" si="59"/>
        <v>-4357</v>
      </c>
      <c r="BM49" s="454">
        <f t="shared" ref="BM49" si="69">BM56+BM63</f>
        <v>-5716</v>
      </c>
      <c r="BN49" s="454"/>
      <c r="BO49" s="454"/>
      <c r="BP49" s="454"/>
      <c r="BQ49" s="142"/>
      <c r="BR49" s="142"/>
      <c r="BS49" s="142"/>
      <c r="BT49" s="142"/>
      <c r="BU49" s="142"/>
      <c r="BV49" s="142"/>
      <c r="BW49" s="142"/>
      <c r="BX49" s="142">
        <f t="shared" si="66"/>
        <v>-10073</v>
      </c>
      <c r="BY49" s="142">
        <f t="shared" si="61"/>
        <v>-839.41666666666663</v>
      </c>
      <c r="BZ49" s="6977"/>
      <c r="CB49" s="169">
        <f t="shared" si="8"/>
        <v>-1809</v>
      </c>
      <c r="CC49" s="169">
        <f>BY49-BJ49</f>
        <v>3462.9166666666665</v>
      </c>
      <c r="CD49" s="169">
        <f>BI49-SUM(AH49:AR49)</f>
        <v>7993</v>
      </c>
      <c r="CE49" s="278">
        <f t="shared" si="62"/>
        <v>-1359</v>
      </c>
    </row>
    <row r="50" spans="1:83" x14ac:dyDescent="0.55000000000000004">
      <c r="A50" s="7089" t="s">
        <v>86</v>
      </c>
      <c r="B50" s="17" t="s">
        <v>43</v>
      </c>
      <c r="C50" s="11"/>
      <c r="D50" s="11">
        <v>263119</v>
      </c>
      <c r="E50" s="257">
        <v>260702</v>
      </c>
      <c r="F50" s="256">
        <v>258542</v>
      </c>
      <c r="G50" s="256">
        <v>256501</v>
      </c>
      <c r="H50" s="256">
        <v>254122</v>
      </c>
      <c r="I50" s="256">
        <v>251320</v>
      </c>
      <c r="J50" s="256">
        <v>249179</v>
      </c>
      <c r="K50" s="256">
        <v>246693</v>
      </c>
      <c r="L50" s="256">
        <v>244885</v>
      </c>
      <c r="M50" s="256">
        <v>242703</v>
      </c>
      <c r="N50" s="256">
        <v>241214</v>
      </c>
      <c r="O50" s="256">
        <v>238241</v>
      </c>
      <c r="P50" s="264">
        <v>235137</v>
      </c>
      <c r="Q50" s="264">
        <f>P50</f>
        <v>235137</v>
      </c>
      <c r="R50" s="265">
        <f>AVERAGE(E50:P50)</f>
        <v>248269.91666666666</v>
      </c>
      <c r="S50" s="257">
        <v>231582</v>
      </c>
      <c r="T50" s="256">
        <v>230252</v>
      </c>
      <c r="U50" s="256">
        <v>227874</v>
      </c>
      <c r="V50" s="256">
        <v>226084</v>
      </c>
      <c r="W50" s="256">
        <v>223637</v>
      </c>
      <c r="X50" s="256">
        <v>220961</v>
      </c>
      <c r="Y50" s="256">
        <v>217327</v>
      </c>
      <c r="Z50" s="256">
        <v>214365</v>
      </c>
      <c r="AA50" s="256">
        <v>211752</v>
      </c>
      <c r="AB50" s="256">
        <v>209662</v>
      </c>
      <c r="AC50" s="256">
        <v>207811</v>
      </c>
      <c r="AD50" s="256">
        <v>204798</v>
      </c>
      <c r="AE50" s="264">
        <f>AD50</f>
        <v>204798</v>
      </c>
      <c r="AF50" s="265">
        <f>AVERAGE(S50:AD50)</f>
        <v>218842.08333333334</v>
      </c>
      <c r="AG50" s="239"/>
      <c r="AH50" s="257">
        <v>202813</v>
      </c>
      <c r="AI50" s="256">
        <v>200330</v>
      </c>
      <c r="AJ50" s="256">
        <v>197787</v>
      </c>
      <c r="AK50" s="256">
        <v>196122</v>
      </c>
      <c r="AL50" s="256">
        <v>191173</v>
      </c>
      <c r="AM50" s="256">
        <v>186288</v>
      </c>
      <c r="AN50" s="256">
        <v>182092</v>
      </c>
      <c r="AO50" s="256">
        <v>177497</v>
      </c>
      <c r="AP50" s="256">
        <v>173071</v>
      </c>
      <c r="AQ50" s="256">
        <v>165575</v>
      </c>
      <c r="AR50" s="256">
        <v>161972</v>
      </c>
      <c r="AS50" s="256">
        <v>157704</v>
      </c>
      <c r="AT50" s="256">
        <f>AS50</f>
        <v>157704</v>
      </c>
      <c r="AU50" s="264">
        <f t="shared" si="52"/>
        <v>182702</v>
      </c>
      <c r="AV50" s="239"/>
      <c r="AW50" s="257">
        <v>153599</v>
      </c>
      <c r="AX50" s="457">
        <v>150408</v>
      </c>
      <c r="AY50" s="457">
        <v>146972</v>
      </c>
      <c r="AZ50" s="457">
        <v>144200</v>
      </c>
      <c r="BA50" s="457">
        <v>143217</v>
      </c>
      <c r="BB50" s="457">
        <v>140264</v>
      </c>
      <c r="BC50" s="457">
        <v>138462</v>
      </c>
      <c r="BD50" s="457">
        <v>135180</v>
      </c>
      <c r="BE50" s="457">
        <v>132452</v>
      </c>
      <c r="BF50" s="457">
        <v>128701</v>
      </c>
      <c r="BG50" s="256">
        <v>124746</v>
      </c>
      <c r="BH50" s="457">
        <v>121161</v>
      </c>
      <c r="BI50" s="249">
        <f>INDEX($AW50:$BH50, 1, MATCH(0, $AW50:$BH50, -1))</f>
        <v>121161</v>
      </c>
      <c r="BJ50" s="264">
        <f>AVERAGE(AW50:BH50)</f>
        <v>138280.16666666666</v>
      </c>
      <c r="BK50" s="239"/>
      <c r="BL50" s="257">
        <v>118063</v>
      </c>
      <c r="BM50" s="457">
        <v>114565</v>
      </c>
      <c r="BN50" s="457"/>
      <c r="BO50" s="457"/>
      <c r="BP50" s="457"/>
      <c r="BQ50" s="457"/>
      <c r="BR50" s="457"/>
      <c r="BS50" s="457"/>
      <c r="BT50" s="457"/>
      <c r="BU50" s="457"/>
      <c r="BV50" s="256"/>
      <c r="BW50" s="457"/>
      <c r="BX50" s="249">
        <f>INDEX($AW50:$BH50, 1, MATCH(0, $AW50:$BH50, -1))</f>
        <v>121161</v>
      </c>
      <c r="BY50" s="264">
        <f>AVERAGE(BL50:BW50)</f>
        <v>116314</v>
      </c>
      <c r="BZ50" s="6977"/>
      <c r="CB50" s="169">
        <f t="shared" si="8"/>
        <v>-35843</v>
      </c>
      <c r="CC50" s="169">
        <f>BY50-BJ50</f>
        <v>-21966.166666666657</v>
      </c>
      <c r="CD50" s="303">
        <f>IFERROR(_xlfn.XLOOKUP($A$1,$2:$2,50:50)-_xlfn.XLOOKUP(EDATE($A$1,-12),$2:$2,50:50),"")</f>
        <v>-35843</v>
      </c>
      <c r="CE50" s="278">
        <f t="shared" si="62"/>
        <v>-3498</v>
      </c>
    </row>
    <row r="51" spans="1:83" x14ac:dyDescent="0.55000000000000004">
      <c r="A51" s="7085"/>
      <c r="B51" s="22" t="s">
        <v>46</v>
      </c>
      <c r="E51" s="139">
        <v>3459</v>
      </c>
      <c r="F51" s="140">
        <v>3444</v>
      </c>
      <c r="G51" s="140">
        <v>3792</v>
      </c>
      <c r="H51" s="140">
        <v>3944</v>
      </c>
      <c r="I51" s="140">
        <v>4007</v>
      </c>
      <c r="J51" s="140">
        <v>3854</v>
      </c>
      <c r="K51" s="140">
        <v>3318</v>
      </c>
      <c r="L51" s="140">
        <v>3808</v>
      </c>
      <c r="M51" s="140">
        <v>3491</v>
      </c>
      <c r="N51" s="140">
        <v>3945</v>
      </c>
      <c r="O51" s="140">
        <v>3453</v>
      </c>
      <c r="P51" s="140">
        <v>2878</v>
      </c>
      <c r="Q51" s="140">
        <f t="shared" ref="Q51:Q56" si="70">SUM(E51:P51)</f>
        <v>43393</v>
      </c>
      <c r="R51" s="140">
        <f t="shared" ref="R51:R56" si="71">Q51/12</f>
        <v>3616.0833333333335</v>
      </c>
      <c r="S51" s="139">
        <v>3229</v>
      </c>
      <c r="T51" s="140">
        <v>3967</v>
      </c>
      <c r="U51" s="140">
        <v>3887</v>
      </c>
      <c r="V51" s="140">
        <v>3601</v>
      </c>
      <c r="W51" s="140">
        <v>3818</v>
      </c>
      <c r="X51" s="140">
        <v>3653</v>
      </c>
      <c r="Y51" s="140">
        <v>3177</v>
      </c>
      <c r="Z51" s="140">
        <v>4158</v>
      </c>
      <c r="AA51" s="140">
        <v>3270</v>
      </c>
      <c r="AB51" s="140">
        <v>3855</v>
      </c>
      <c r="AC51" s="140">
        <v>3485</v>
      </c>
      <c r="AD51" s="140">
        <v>2773</v>
      </c>
      <c r="AE51" s="140">
        <f t="shared" ref="AE51:AE56" si="72">SUM(S51:AD51)</f>
        <v>42873</v>
      </c>
      <c r="AF51" s="140">
        <f t="shared" ref="AF51:AF56" si="73">AE51/12</f>
        <v>3572.75</v>
      </c>
      <c r="AG51" s="140"/>
      <c r="AH51" s="451">
        <v>3854</v>
      </c>
      <c r="AI51" s="140">
        <v>3103</v>
      </c>
      <c r="AJ51" s="140">
        <v>3794</v>
      </c>
      <c r="AK51" s="140">
        <v>3703</v>
      </c>
      <c r="AL51" s="140">
        <v>4011</v>
      </c>
      <c r="AM51" s="450">
        <v>3944</v>
      </c>
      <c r="AN51" s="450">
        <v>4327</v>
      </c>
      <c r="AO51" s="450">
        <v>3796</v>
      </c>
      <c r="AP51" s="450">
        <v>4147</v>
      </c>
      <c r="AQ51" s="450">
        <v>4130</v>
      </c>
      <c r="AR51" s="450">
        <v>8416</v>
      </c>
      <c r="AS51" s="140">
        <v>3635</v>
      </c>
      <c r="AT51" s="140">
        <f t="shared" ref="AT51:AT56" si="74">SUM(AH51:AS51)</f>
        <v>50860</v>
      </c>
      <c r="AU51" s="140">
        <f t="shared" si="52"/>
        <v>4238.333333333333</v>
      </c>
      <c r="AV51" s="140"/>
      <c r="AW51" s="139">
        <v>3388</v>
      </c>
      <c r="AX51" s="450">
        <v>4840</v>
      </c>
      <c r="AY51" s="450">
        <v>4374</v>
      </c>
      <c r="AZ51" s="450">
        <v>4830</v>
      </c>
      <c r="BA51" s="450">
        <v>8532</v>
      </c>
      <c r="BB51" s="450">
        <v>5784</v>
      </c>
      <c r="BC51" s="450">
        <v>6665</v>
      </c>
      <c r="BD51" s="450">
        <v>5417</v>
      </c>
      <c r="BE51" s="450">
        <v>5655</v>
      </c>
      <c r="BF51" s="450">
        <v>3747</v>
      </c>
      <c r="BG51" s="140">
        <v>3673</v>
      </c>
      <c r="BH51" s="450">
        <v>3490</v>
      </c>
      <c r="BI51" s="140">
        <f t="shared" ref="BI51:BI56" si="75">SUM(AW51:BH51)</f>
        <v>60395</v>
      </c>
      <c r="BJ51" s="140">
        <f t="shared" ref="BJ51:BJ56" si="76">BI51/12</f>
        <v>5032.916666666667</v>
      </c>
      <c r="BK51" s="140"/>
      <c r="BL51" s="139">
        <v>2777</v>
      </c>
      <c r="BM51" s="450">
        <v>2064</v>
      </c>
      <c r="BN51" s="450"/>
      <c r="BO51" s="450"/>
      <c r="BP51" s="450"/>
      <c r="BQ51" s="450"/>
      <c r="BR51" s="450"/>
      <c r="BS51" s="450"/>
      <c r="BT51" s="450"/>
      <c r="BU51" s="450"/>
      <c r="BV51" s="140"/>
      <c r="BW51" s="450"/>
      <c r="BX51" s="140">
        <f t="shared" ref="BX51:BX56" si="77">SUM(BL51:BW51)</f>
        <v>4841</v>
      </c>
      <c r="BY51" s="140">
        <f t="shared" ref="BY51:BY56" si="78">BX51/12</f>
        <v>403.41666666666669</v>
      </c>
      <c r="BZ51" s="6977"/>
      <c r="CB51" s="169">
        <f t="shared" si="8"/>
        <v>-2776</v>
      </c>
      <c r="CC51" s="169">
        <f>BY51-BJ51</f>
        <v>-4629.5</v>
      </c>
      <c r="CD51" s="169">
        <f>BI51-SUM(AH51:AR51)</f>
        <v>13170</v>
      </c>
      <c r="CE51" s="278">
        <f t="shared" si="62"/>
        <v>-713</v>
      </c>
    </row>
    <row r="52" spans="1:83" x14ac:dyDescent="0.55000000000000004">
      <c r="A52" s="7085"/>
      <c r="B52" t="s">
        <v>47</v>
      </c>
      <c r="E52" s="139">
        <f>2273+37+135</f>
        <v>2445</v>
      </c>
      <c r="F52" s="140">
        <f>2187+22+152</f>
        <v>2361</v>
      </c>
      <c r="G52" s="140">
        <f>2466+24+145</f>
        <v>2635</v>
      </c>
      <c r="H52" s="140">
        <f>2157+28+100</f>
        <v>2285</v>
      </c>
      <c r="I52" s="140">
        <f>2164+24+151</f>
        <v>2339</v>
      </c>
      <c r="J52" s="140">
        <f>1985+54+126</f>
        <v>2165</v>
      </c>
      <c r="K52" s="140">
        <f>1946+104+123</f>
        <v>2173</v>
      </c>
      <c r="L52" s="140">
        <f>2017+131+139</f>
        <v>2287</v>
      </c>
      <c r="M52" s="140">
        <f>1720+84+124</f>
        <v>1928</v>
      </c>
      <c r="N52" s="140">
        <f>1854+116+109</f>
        <v>2079</v>
      </c>
      <c r="O52" s="140">
        <f>1881+139+112</f>
        <v>2132</v>
      </c>
      <c r="P52" s="140">
        <f>1923+143+137</f>
        <v>2203</v>
      </c>
      <c r="Q52" s="140">
        <f t="shared" si="70"/>
        <v>27032</v>
      </c>
      <c r="R52" s="140">
        <f t="shared" si="71"/>
        <v>2252.6666666666665</v>
      </c>
      <c r="S52" s="139">
        <f>1893+106+124</f>
        <v>2123</v>
      </c>
      <c r="T52" s="140">
        <f>1947+130+110</f>
        <v>2187</v>
      </c>
      <c r="U52" s="140">
        <f>2172+90+109</f>
        <v>2371</v>
      </c>
      <c r="V52" s="140">
        <f>1703+106+140</f>
        <v>1949</v>
      </c>
      <c r="W52" s="140">
        <f>1747+108+131</f>
        <v>1986</v>
      </c>
      <c r="X52" s="140">
        <f>1932+102+149</f>
        <v>2183</v>
      </c>
      <c r="Y52" s="140">
        <f>1841+125+143</f>
        <v>2109</v>
      </c>
      <c r="Z52" s="140">
        <f>1999+146+569</f>
        <v>2714</v>
      </c>
      <c r="AA52" s="140">
        <f>1748+107+114</f>
        <v>1969</v>
      </c>
      <c r="AB52" s="140">
        <f>1739+150+152</f>
        <v>2041</v>
      </c>
      <c r="AC52" s="140">
        <f>1761+173+120</f>
        <v>2054</v>
      </c>
      <c r="AD52" s="140">
        <f>1617+142+129</f>
        <v>1888</v>
      </c>
      <c r="AE52" s="140">
        <f t="shared" si="72"/>
        <v>25574</v>
      </c>
      <c r="AF52" s="140">
        <f t="shared" si="73"/>
        <v>2131.1666666666665</v>
      </c>
      <c r="AG52" s="140"/>
      <c r="AH52" s="139">
        <f>1808+185+147</f>
        <v>2140</v>
      </c>
      <c r="AI52" s="140">
        <f>1839+148+128</f>
        <v>2115</v>
      </c>
      <c r="AJ52" s="140">
        <f>1990+188+150</f>
        <v>2328</v>
      </c>
      <c r="AK52" s="140">
        <f>1808+223+140</f>
        <v>2171</v>
      </c>
      <c r="AL52" s="140">
        <f>1722+240+162</f>
        <v>2124</v>
      </c>
      <c r="AM52" s="140">
        <f>1591+239+134</f>
        <v>1964</v>
      </c>
      <c r="AN52" s="140">
        <v>1900</v>
      </c>
      <c r="AO52" s="140">
        <v>1870</v>
      </c>
      <c r="AP52" s="140">
        <f>1375+213+117</f>
        <v>1705</v>
      </c>
      <c r="AQ52" s="140">
        <v>1673</v>
      </c>
      <c r="AR52" s="140">
        <v>1309</v>
      </c>
      <c r="AS52" s="140">
        <v>1235</v>
      </c>
      <c r="AT52" s="140">
        <f t="shared" si="74"/>
        <v>22534</v>
      </c>
      <c r="AU52" s="140">
        <f t="shared" si="52"/>
        <v>1877.8333333333333</v>
      </c>
      <c r="AV52" s="140"/>
      <c r="AW52" s="139">
        <v>1347</v>
      </c>
      <c r="AX52" s="450">
        <v>1740</v>
      </c>
      <c r="AY52" s="450">
        <v>1600</v>
      </c>
      <c r="AZ52" s="450">
        <v>1596</v>
      </c>
      <c r="BA52" s="450">
        <v>1369</v>
      </c>
      <c r="BB52" s="450">
        <v>1426</v>
      </c>
      <c r="BC52" s="450">
        <v>1486</v>
      </c>
      <c r="BD52" s="450">
        <v>1275</v>
      </c>
      <c r="BE52" s="450">
        <v>1347</v>
      </c>
      <c r="BF52" s="450">
        <v>1302</v>
      </c>
      <c r="BG52" s="140">
        <v>1135</v>
      </c>
      <c r="BH52" s="450">
        <v>1139</v>
      </c>
      <c r="BI52" s="140">
        <f t="shared" si="75"/>
        <v>16762</v>
      </c>
      <c r="BJ52" s="140">
        <f t="shared" si="76"/>
        <v>1396.8333333333333</v>
      </c>
      <c r="BK52" s="140"/>
      <c r="BL52" s="139">
        <v>1915</v>
      </c>
      <c r="BM52" s="450">
        <v>1126</v>
      </c>
      <c r="BN52" s="450"/>
      <c r="BO52" s="450"/>
      <c r="BP52" s="450"/>
      <c r="BQ52" s="450"/>
      <c r="BR52" s="450"/>
      <c r="BS52" s="450"/>
      <c r="BT52" s="450"/>
      <c r="BU52" s="450"/>
      <c r="BV52" s="140"/>
      <c r="BW52" s="450"/>
      <c r="BX52" s="140">
        <f t="shared" si="77"/>
        <v>3041</v>
      </c>
      <c r="BY52" s="140">
        <f t="shared" si="78"/>
        <v>253.41666666666666</v>
      </c>
      <c r="BZ52" s="6977"/>
      <c r="CB52" s="169">
        <f t="shared" si="8"/>
        <v>-614</v>
      </c>
      <c r="CC52" s="169">
        <f>BY52-BJ52</f>
        <v>-1143.4166666666665</v>
      </c>
      <c r="CD52" s="169">
        <f>BI52-SUM(AH52:AR52)</f>
        <v>-4537</v>
      </c>
      <c r="CE52" s="278">
        <f t="shared" si="62"/>
        <v>-789</v>
      </c>
    </row>
    <row r="53" spans="1:83" x14ac:dyDescent="0.55000000000000004">
      <c r="A53" s="7085"/>
      <c r="B53" s="180" t="s">
        <v>58</v>
      </c>
      <c r="E53" s="139">
        <v>135</v>
      </c>
      <c r="F53" s="140">
        <v>152</v>
      </c>
      <c r="G53" s="140">
        <v>145</v>
      </c>
      <c r="H53" s="140">
        <v>100</v>
      </c>
      <c r="I53" s="140">
        <v>151</v>
      </c>
      <c r="J53" s="140">
        <v>126</v>
      </c>
      <c r="K53" s="140">
        <v>123</v>
      </c>
      <c r="L53" s="140">
        <v>139</v>
      </c>
      <c r="M53" s="140">
        <v>124</v>
      </c>
      <c r="N53" s="140">
        <v>109</v>
      </c>
      <c r="O53" s="140">
        <v>112</v>
      </c>
      <c r="P53" s="140">
        <v>137</v>
      </c>
      <c r="Q53" s="140">
        <f t="shared" si="70"/>
        <v>1553</v>
      </c>
      <c r="R53" s="140">
        <f t="shared" si="71"/>
        <v>129.41666666666666</v>
      </c>
      <c r="S53" s="139">
        <v>124</v>
      </c>
      <c r="T53" s="140">
        <v>110</v>
      </c>
      <c r="U53" s="140">
        <v>109</v>
      </c>
      <c r="V53" s="140">
        <v>140</v>
      </c>
      <c r="W53" s="140">
        <v>131</v>
      </c>
      <c r="X53" s="140">
        <v>149</v>
      </c>
      <c r="Y53" s="140">
        <v>143</v>
      </c>
      <c r="Z53" s="140">
        <v>569</v>
      </c>
      <c r="AA53" s="140">
        <v>114</v>
      </c>
      <c r="AB53" s="140">
        <v>152</v>
      </c>
      <c r="AC53" s="140">
        <v>120</v>
      </c>
      <c r="AD53" s="140">
        <v>129</v>
      </c>
      <c r="AE53" s="140">
        <f t="shared" si="72"/>
        <v>1990</v>
      </c>
      <c r="AF53" s="140">
        <f t="shared" si="73"/>
        <v>165.83333333333334</v>
      </c>
      <c r="AG53" s="140"/>
      <c r="AH53" s="139">
        <v>147</v>
      </c>
      <c r="AI53" s="140">
        <v>128</v>
      </c>
      <c r="AJ53" s="140">
        <v>150</v>
      </c>
      <c r="AK53" s="140">
        <v>140</v>
      </c>
      <c r="AL53" s="140">
        <v>162</v>
      </c>
      <c r="AM53" s="140">
        <v>134</v>
      </c>
      <c r="AN53" s="140">
        <v>274</v>
      </c>
      <c r="AO53" s="140">
        <v>113</v>
      </c>
      <c r="AP53" s="140">
        <v>117</v>
      </c>
      <c r="AQ53" s="140">
        <v>128</v>
      </c>
      <c r="AR53" s="140">
        <v>129</v>
      </c>
      <c r="AS53" s="140">
        <v>100</v>
      </c>
      <c r="AT53" s="140">
        <f t="shared" si="74"/>
        <v>1722</v>
      </c>
      <c r="AU53" s="140">
        <f t="shared" si="52"/>
        <v>143.5</v>
      </c>
      <c r="AV53" s="140"/>
      <c r="AW53" s="139">
        <v>108</v>
      </c>
      <c r="AX53" s="450">
        <v>132</v>
      </c>
      <c r="AY53" s="450">
        <v>128</v>
      </c>
      <c r="AZ53" s="450">
        <v>148</v>
      </c>
      <c r="BA53" s="450">
        <v>143</v>
      </c>
      <c r="BB53" s="450">
        <v>116</v>
      </c>
      <c r="BC53" s="450">
        <v>115</v>
      </c>
      <c r="BD53" s="450">
        <v>101</v>
      </c>
      <c r="BE53" s="450">
        <v>114</v>
      </c>
      <c r="BF53" s="450">
        <v>94</v>
      </c>
      <c r="BG53" s="140">
        <v>66</v>
      </c>
      <c r="BH53" s="450">
        <v>77</v>
      </c>
      <c r="BI53" s="140">
        <f t="shared" si="75"/>
        <v>1342</v>
      </c>
      <c r="BJ53" s="140">
        <f t="shared" si="76"/>
        <v>111.83333333333333</v>
      </c>
      <c r="BK53" s="140"/>
      <c r="BL53" s="139">
        <v>92</v>
      </c>
      <c r="BM53" s="450">
        <v>81</v>
      </c>
      <c r="BN53" s="450"/>
      <c r="BO53" s="450"/>
      <c r="BP53" s="450"/>
      <c r="BQ53" s="450"/>
      <c r="BR53" s="450"/>
      <c r="BS53" s="450"/>
      <c r="BT53" s="450"/>
      <c r="BU53" s="450"/>
      <c r="BV53" s="140"/>
      <c r="BW53" s="450"/>
      <c r="BX53" s="140">
        <f t="shared" si="77"/>
        <v>173</v>
      </c>
      <c r="BY53" s="140">
        <f t="shared" si="78"/>
        <v>14.416666666666666</v>
      </c>
      <c r="BZ53" s="6977"/>
      <c r="CB53" s="169">
        <f t="shared" si="8"/>
        <v>-51</v>
      </c>
      <c r="CC53" s="169">
        <f>BY53-BJ53</f>
        <v>-97.416666666666657</v>
      </c>
      <c r="CD53" s="169">
        <f>BI53-SUM(AH53:AR53)</f>
        <v>-280</v>
      </c>
      <c r="CE53" s="278">
        <f t="shared" si="62"/>
        <v>-11</v>
      </c>
    </row>
    <row r="54" spans="1:83" x14ac:dyDescent="0.55000000000000004">
      <c r="A54" s="7085"/>
      <c r="B54" s="252" t="s">
        <v>85</v>
      </c>
      <c r="C54" s="252"/>
      <c r="D54" s="252"/>
      <c r="E54" s="137">
        <f t="shared" ref="E54:AD54" si="79">E51-E52</f>
        <v>1014</v>
      </c>
      <c r="F54" s="138">
        <f t="shared" si="79"/>
        <v>1083</v>
      </c>
      <c r="G54" s="138">
        <f t="shared" si="79"/>
        <v>1157</v>
      </c>
      <c r="H54" s="138">
        <f t="shared" si="79"/>
        <v>1659</v>
      </c>
      <c r="I54" s="138">
        <f t="shared" si="79"/>
        <v>1668</v>
      </c>
      <c r="J54" s="138">
        <f t="shared" si="79"/>
        <v>1689</v>
      </c>
      <c r="K54" s="138">
        <f t="shared" si="79"/>
        <v>1145</v>
      </c>
      <c r="L54" s="138">
        <f t="shared" si="79"/>
        <v>1521</v>
      </c>
      <c r="M54" s="138">
        <f t="shared" si="79"/>
        <v>1563</v>
      </c>
      <c r="N54" s="138">
        <f t="shared" si="79"/>
        <v>1866</v>
      </c>
      <c r="O54" s="138">
        <f t="shared" si="79"/>
        <v>1321</v>
      </c>
      <c r="P54" s="138">
        <f t="shared" si="79"/>
        <v>675</v>
      </c>
      <c r="Q54" s="138">
        <f t="shared" si="70"/>
        <v>16361</v>
      </c>
      <c r="R54" s="138">
        <f t="shared" si="71"/>
        <v>1363.4166666666667</v>
      </c>
      <c r="S54" s="137">
        <f t="shared" si="79"/>
        <v>1106</v>
      </c>
      <c r="T54" s="138">
        <f t="shared" si="79"/>
        <v>1780</v>
      </c>
      <c r="U54" s="138">
        <f t="shared" si="79"/>
        <v>1516</v>
      </c>
      <c r="V54" s="138">
        <f t="shared" si="79"/>
        <v>1652</v>
      </c>
      <c r="W54" s="138">
        <f t="shared" si="79"/>
        <v>1832</v>
      </c>
      <c r="X54" s="138">
        <f t="shared" si="79"/>
        <v>1470</v>
      </c>
      <c r="Y54" s="138">
        <f t="shared" si="79"/>
        <v>1068</v>
      </c>
      <c r="Z54" s="138">
        <f t="shared" si="79"/>
        <v>1444</v>
      </c>
      <c r="AA54" s="138">
        <f t="shared" si="79"/>
        <v>1301</v>
      </c>
      <c r="AB54" s="138">
        <f t="shared" si="79"/>
        <v>1814</v>
      </c>
      <c r="AC54" s="138">
        <f t="shared" si="79"/>
        <v>1431</v>
      </c>
      <c r="AD54" s="138">
        <f t="shared" si="79"/>
        <v>885</v>
      </c>
      <c r="AE54" s="138">
        <f t="shared" si="72"/>
        <v>17299</v>
      </c>
      <c r="AF54" s="138">
        <f t="shared" si="73"/>
        <v>1441.5833333333333</v>
      </c>
      <c r="AG54" s="138"/>
      <c r="AH54" s="137">
        <f t="shared" ref="AH54:AM54" si="80">AH51-AH52</f>
        <v>1714</v>
      </c>
      <c r="AI54" s="138">
        <f t="shared" si="80"/>
        <v>988</v>
      </c>
      <c r="AJ54" s="138">
        <f t="shared" si="80"/>
        <v>1466</v>
      </c>
      <c r="AK54" s="138">
        <f t="shared" si="80"/>
        <v>1532</v>
      </c>
      <c r="AL54" s="138">
        <f t="shared" si="80"/>
        <v>1887</v>
      </c>
      <c r="AM54" s="138">
        <f t="shared" si="80"/>
        <v>1980</v>
      </c>
      <c r="AN54" s="138">
        <v>2425</v>
      </c>
      <c r="AO54" s="138">
        <v>1923.9999999999995</v>
      </c>
      <c r="AP54" s="138">
        <f>AP51-AP52</f>
        <v>2442</v>
      </c>
      <c r="AQ54" s="138">
        <v>2457</v>
      </c>
      <c r="AR54" s="138">
        <v>7107</v>
      </c>
      <c r="AS54" s="138">
        <v>2400</v>
      </c>
      <c r="AT54" s="138">
        <f t="shared" si="74"/>
        <v>28322</v>
      </c>
      <c r="AU54" s="138">
        <f t="shared" si="52"/>
        <v>2360.1666666666665</v>
      </c>
      <c r="AV54" s="138"/>
      <c r="AW54" s="137">
        <v>2041</v>
      </c>
      <c r="AX54" s="452">
        <v>3100</v>
      </c>
      <c r="AY54" s="452">
        <v>2774</v>
      </c>
      <c r="AZ54" s="452">
        <v>3234</v>
      </c>
      <c r="BA54" s="452">
        <v>7163</v>
      </c>
      <c r="BB54" s="452">
        <v>4358</v>
      </c>
      <c r="BC54" s="452">
        <v>5179</v>
      </c>
      <c r="BD54" s="452">
        <v>4142</v>
      </c>
      <c r="BE54" s="452">
        <v>4308</v>
      </c>
      <c r="BF54" s="452">
        <v>2445</v>
      </c>
      <c r="BG54" s="138">
        <v>2538</v>
      </c>
      <c r="BH54" s="452">
        <f>BH51-BH52</f>
        <v>2351</v>
      </c>
      <c r="BI54" s="138">
        <f t="shared" si="75"/>
        <v>43633</v>
      </c>
      <c r="BJ54" s="138">
        <f t="shared" si="76"/>
        <v>3636.0833333333335</v>
      </c>
      <c r="BK54" s="138"/>
      <c r="BL54" s="452">
        <f t="shared" ref="BL54:BM54" si="81">BL51-BL52</f>
        <v>862</v>
      </c>
      <c r="BM54" s="452">
        <f t="shared" si="81"/>
        <v>938</v>
      </c>
      <c r="BN54" s="452"/>
      <c r="BO54" s="452"/>
      <c r="BP54" s="452"/>
      <c r="BQ54" s="452"/>
      <c r="BR54" s="452"/>
      <c r="BS54" s="452"/>
      <c r="BT54" s="452"/>
      <c r="BU54" s="452"/>
      <c r="BV54" s="138"/>
      <c r="BW54" s="452"/>
      <c r="BX54" s="138">
        <f t="shared" si="77"/>
        <v>1800</v>
      </c>
      <c r="BY54" s="138">
        <f t="shared" si="78"/>
        <v>150</v>
      </c>
      <c r="BZ54" s="6977"/>
      <c r="CB54" s="169">
        <f t="shared" si="8"/>
        <v>-2162</v>
      </c>
      <c r="CC54" s="169">
        <f>BY54-BJ54</f>
        <v>-3486.0833333333335</v>
      </c>
      <c r="CD54" s="169">
        <f>BI54-SUM(AH54:AR54)</f>
        <v>17711</v>
      </c>
      <c r="CE54" s="278">
        <f t="shared" si="62"/>
        <v>76</v>
      </c>
    </row>
    <row r="55" spans="1:83" x14ac:dyDescent="0.55000000000000004">
      <c r="A55" s="7085"/>
      <c r="B55" t="s">
        <v>49</v>
      </c>
      <c r="E55" s="139">
        <f>E54-E56</f>
        <v>3431</v>
      </c>
      <c r="F55" s="140">
        <f>F54-F56</f>
        <v>3243</v>
      </c>
      <c r="G55" s="140">
        <f>G54-G56</f>
        <v>3198</v>
      </c>
      <c r="H55" s="140">
        <f>H54-H56</f>
        <v>4038</v>
      </c>
      <c r="I55" s="140">
        <f>I54-I56</f>
        <v>4470</v>
      </c>
      <c r="J55" s="140">
        <f>J54-J56</f>
        <v>3830</v>
      </c>
      <c r="K55" s="140">
        <f>K54-K56</f>
        <v>3631</v>
      </c>
      <c r="L55" s="140">
        <f>L54-L56</f>
        <v>3329</v>
      </c>
      <c r="M55" s="140">
        <f>M54-M56</f>
        <v>3745</v>
      </c>
      <c r="N55" s="140">
        <f>N54-N56</f>
        <v>3355</v>
      </c>
      <c r="O55" s="140">
        <f>O54-O56</f>
        <v>4294</v>
      </c>
      <c r="P55" s="140">
        <f>P54-P56</f>
        <v>3779</v>
      </c>
      <c r="Q55" s="140">
        <f t="shared" si="70"/>
        <v>44343</v>
      </c>
      <c r="R55" s="140">
        <f t="shared" si="71"/>
        <v>3695.25</v>
      </c>
      <c r="S55" s="139">
        <f>S54-S56</f>
        <v>4661</v>
      </c>
      <c r="T55" s="140">
        <f>T54-T56</f>
        <v>3110</v>
      </c>
      <c r="U55" s="140">
        <f>U54-U56</f>
        <v>3894</v>
      </c>
      <c r="V55" s="140">
        <f>V54-V56</f>
        <v>3442</v>
      </c>
      <c r="W55" s="140">
        <f>W54-W56</f>
        <v>4279</v>
      </c>
      <c r="X55" s="140">
        <f>X54-X56</f>
        <v>4146</v>
      </c>
      <c r="Y55" s="140">
        <f>Y54-Y56</f>
        <v>4702</v>
      </c>
      <c r="Z55" s="140">
        <f>Z54-Z56</f>
        <v>4406</v>
      </c>
      <c r="AA55" s="140">
        <f>AA54-AA56</f>
        <v>3914</v>
      </c>
      <c r="AB55" s="140">
        <f>AB54-AB56</f>
        <v>3904</v>
      </c>
      <c r="AC55" s="140">
        <f>AC54-AC56</f>
        <v>3282</v>
      </c>
      <c r="AD55" s="140">
        <f>AD54-AD56</f>
        <v>3898</v>
      </c>
      <c r="AE55" s="140">
        <f t="shared" si="72"/>
        <v>47638</v>
      </c>
      <c r="AF55" s="140">
        <f t="shared" si="73"/>
        <v>3969.8333333333335</v>
      </c>
      <c r="AG55" s="140"/>
      <c r="AH55" s="139">
        <f>AH54-AH56</f>
        <v>3699</v>
      </c>
      <c r="AI55" s="140">
        <f>AI54-AI56</f>
        <v>3471</v>
      </c>
      <c r="AJ55" s="140">
        <f>AJ54-AJ56</f>
        <v>4009</v>
      </c>
      <c r="AK55" s="140">
        <f>AK54-AK56</f>
        <v>3197</v>
      </c>
      <c r="AL55" s="140">
        <f>AL54-AL56</f>
        <v>6836</v>
      </c>
      <c r="AM55" s="140">
        <f>AM54-AM56</f>
        <v>6865</v>
      </c>
      <c r="AN55" s="140">
        <v>6621</v>
      </c>
      <c r="AO55" s="140">
        <v>6519</v>
      </c>
      <c r="AP55" s="140">
        <f>AP54-AP56</f>
        <v>6868</v>
      </c>
      <c r="AQ55" s="140">
        <v>5725</v>
      </c>
      <c r="AR55" s="140">
        <v>10710</v>
      </c>
      <c r="AS55" s="140">
        <v>6668</v>
      </c>
      <c r="AT55" s="140">
        <f t="shared" si="74"/>
        <v>71188</v>
      </c>
      <c r="AU55" s="140">
        <f t="shared" si="52"/>
        <v>5932.333333333333</v>
      </c>
      <c r="AV55" s="140"/>
      <c r="AW55" s="139">
        <v>6146</v>
      </c>
      <c r="AX55" s="450">
        <v>6291</v>
      </c>
      <c r="AY55" s="450">
        <v>6210</v>
      </c>
      <c r="AZ55" s="450">
        <v>6006</v>
      </c>
      <c r="BA55" s="450">
        <v>8146</v>
      </c>
      <c r="BB55" s="450">
        <v>7311</v>
      </c>
      <c r="BC55" s="450">
        <v>6981</v>
      </c>
      <c r="BD55" s="450">
        <v>7424</v>
      </c>
      <c r="BE55" s="450">
        <v>7036</v>
      </c>
      <c r="BF55" s="450">
        <v>6196</v>
      </c>
      <c r="BG55" s="140">
        <v>6493</v>
      </c>
      <c r="BH55" s="450">
        <v>6981</v>
      </c>
      <c r="BI55" s="140">
        <f t="shared" si="75"/>
        <v>81221</v>
      </c>
      <c r="BJ55" s="140">
        <f t="shared" si="76"/>
        <v>6768.416666666667</v>
      </c>
      <c r="BK55" s="140"/>
      <c r="BL55" s="139">
        <v>3960</v>
      </c>
      <c r="BM55" s="450">
        <v>4436</v>
      </c>
      <c r="BN55" s="450"/>
      <c r="BO55" s="450"/>
      <c r="BP55" s="450"/>
      <c r="BQ55" s="450"/>
      <c r="BR55" s="450"/>
      <c r="BS55" s="450"/>
      <c r="BT55" s="450"/>
      <c r="BU55" s="450"/>
      <c r="BV55" s="140"/>
      <c r="BW55" s="450"/>
      <c r="BX55" s="140">
        <f t="shared" si="77"/>
        <v>8396</v>
      </c>
      <c r="BY55" s="140">
        <f t="shared" si="78"/>
        <v>699.66666666666663</v>
      </c>
      <c r="BZ55" s="6977"/>
      <c r="CB55" s="169">
        <f t="shared" si="8"/>
        <v>-1855</v>
      </c>
      <c r="CC55" s="169">
        <f>BY55-BJ55</f>
        <v>-6068.75</v>
      </c>
      <c r="CD55" s="169">
        <f>BI55-SUM(AH55:AR55)</f>
        <v>16701</v>
      </c>
      <c r="CE55" s="278">
        <f t="shared" si="62"/>
        <v>476</v>
      </c>
    </row>
    <row r="56" spans="1:83" ht="18" thickBot="1" x14ac:dyDescent="0.6">
      <c r="A56" s="7090"/>
      <c r="B56" s="12" t="s">
        <v>50</v>
      </c>
      <c r="C56" s="12"/>
      <c r="D56" s="12"/>
      <c r="E56" s="259">
        <f>E50-D50</f>
        <v>-2417</v>
      </c>
      <c r="F56" s="258">
        <f>F50-E50</f>
        <v>-2160</v>
      </c>
      <c r="G56" s="258">
        <f>G50-F50</f>
        <v>-2041</v>
      </c>
      <c r="H56" s="258">
        <f>H50-G50</f>
        <v>-2379</v>
      </c>
      <c r="I56" s="258">
        <f>I50-H50</f>
        <v>-2802</v>
      </c>
      <c r="J56" s="258">
        <f>J50-I50</f>
        <v>-2141</v>
      </c>
      <c r="K56" s="258">
        <f>K50-J50</f>
        <v>-2486</v>
      </c>
      <c r="L56" s="258">
        <f>L50-K50</f>
        <v>-1808</v>
      </c>
      <c r="M56" s="258">
        <f>M50-L50</f>
        <v>-2182</v>
      </c>
      <c r="N56" s="258">
        <f>N50-M50</f>
        <v>-1489</v>
      </c>
      <c r="O56" s="258">
        <f>O50-N50</f>
        <v>-2973</v>
      </c>
      <c r="P56" s="142">
        <f>P50-O50</f>
        <v>-3104</v>
      </c>
      <c r="Q56" s="142">
        <f t="shared" si="70"/>
        <v>-27982</v>
      </c>
      <c r="R56" s="142">
        <f t="shared" si="71"/>
        <v>-2331.8333333333335</v>
      </c>
      <c r="S56" s="141">
        <f>S50-P50</f>
        <v>-3555</v>
      </c>
      <c r="T56" s="142">
        <f>T50-S50</f>
        <v>-1330</v>
      </c>
      <c r="U56" s="258">
        <f>U50-T50</f>
        <v>-2378</v>
      </c>
      <c r="V56" s="258">
        <f>V50-U50</f>
        <v>-1790</v>
      </c>
      <c r="W56" s="258">
        <f>W50-V50</f>
        <v>-2447</v>
      </c>
      <c r="X56" s="258">
        <f>X50-W50</f>
        <v>-2676</v>
      </c>
      <c r="Y56" s="258">
        <f>Y50-X50</f>
        <v>-3634</v>
      </c>
      <c r="Z56" s="258">
        <f>Z50-Y50</f>
        <v>-2962</v>
      </c>
      <c r="AA56" s="258">
        <f>AA50-Z50</f>
        <v>-2613</v>
      </c>
      <c r="AB56" s="258">
        <f>AB50-AA50</f>
        <v>-2090</v>
      </c>
      <c r="AC56" s="258">
        <f>AC50-AB50</f>
        <v>-1851</v>
      </c>
      <c r="AD56" s="258">
        <f>AD50-AC50</f>
        <v>-3013</v>
      </c>
      <c r="AE56" s="142">
        <f t="shared" si="72"/>
        <v>-30339</v>
      </c>
      <c r="AF56" s="142">
        <f t="shared" si="73"/>
        <v>-2528.25</v>
      </c>
      <c r="AG56" s="142"/>
      <c r="AH56" s="259">
        <f>AH50-AD50</f>
        <v>-1985</v>
      </c>
      <c r="AI56" s="258">
        <f>AI50-AH50</f>
        <v>-2483</v>
      </c>
      <c r="AJ56" s="258">
        <f>AJ50-AI50</f>
        <v>-2543</v>
      </c>
      <c r="AK56" s="258">
        <f>AK50-AJ50</f>
        <v>-1665</v>
      </c>
      <c r="AL56" s="258">
        <f>AL50-AK50</f>
        <v>-4949</v>
      </c>
      <c r="AM56" s="258">
        <f>AM50-AL50</f>
        <v>-4885</v>
      </c>
      <c r="AN56" s="258">
        <v>-4196</v>
      </c>
      <c r="AO56" s="258">
        <v>-4595</v>
      </c>
      <c r="AP56" s="258">
        <f>AP50-AO50</f>
        <v>-4426</v>
      </c>
      <c r="AQ56" s="258">
        <v>-3268</v>
      </c>
      <c r="AR56" s="258">
        <v>-3603</v>
      </c>
      <c r="AS56" s="258">
        <v>-4268</v>
      </c>
      <c r="AT56" s="258">
        <f t="shared" si="74"/>
        <v>-42866</v>
      </c>
      <c r="AU56" s="142">
        <f t="shared" si="52"/>
        <v>-3572.1666666666665</v>
      </c>
      <c r="AV56" s="142"/>
      <c r="AW56" s="259">
        <v>-4105</v>
      </c>
      <c r="AX56" s="456">
        <v>-3191</v>
      </c>
      <c r="AY56" s="456">
        <v>-3436</v>
      </c>
      <c r="AZ56" s="456">
        <v>-2772</v>
      </c>
      <c r="BA56" s="456">
        <v>-983</v>
      </c>
      <c r="BB56" s="456">
        <v>-2953</v>
      </c>
      <c r="BC56" s="456">
        <v>-1802</v>
      </c>
      <c r="BD56" s="456">
        <v>-3282</v>
      </c>
      <c r="BE56" s="456">
        <v>-2728</v>
      </c>
      <c r="BF56" s="456">
        <v>-3751</v>
      </c>
      <c r="BG56" s="258">
        <v>-3955</v>
      </c>
      <c r="BH56" s="456">
        <v>-1802</v>
      </c>
      <c r="BI56" s="142">
        <f t="shared" si="75"/>
        <v>-34760</v>
      </c>
      <c r="BJ56" s="142">
        <f t="shared" si="76"/>
        <v>-2896.6666666666665</v>
      </c>
      <c r="BK56" s="142"/>
      <c r="BL56" s="259">
        <f>BL50-BH50</f>
        <v>-3098</v>
      </c>
      <c r="BM56" s="456">
        <f>BM50-BL50</f>
        <v>-3498</v>
      </c>
      <c r="BN56" s="456"/>
      <c r="BO56" s="456"/>
      <c r="BP56" s="456"/>
      <c r="BQ56" s="456"/>
      <c r="BR56" s="456"/>
      <c r="BS56" s="456"/>
      <c r="BT56" s="456"/>
      <c r="BU56" s="456"/>
      <c r="BV56" s="258"/>
      <c r="BW56" s="456"/>
      <c r="BX56" s="142">
        <f t="shared" si="77"/>
        <v>-6596</v>
      </c>
      <c r="BY56" s="142">
        <f t="shared" si="78"/>
        <v>-549.66666666666663</v>
      </c>
      <c r="BZ56" s="6977"/>
      <c r="CB56" s="169">
        <f t="shared" si="8"/>
        <v>-307</v>
      </c>
      <c r="CC56" s="169">
        <f>BY56-BJ56</f>
        <v>2347</v>
      </c>
      <c r="CD56" s="169">
        <f>BI56-SUM(AH56:AR56)</f>
        <v>3838</v>
      </c>
      <c r="CE56" s="278">
        <f t="shared" si="62"/>
        <v>-400</v>
      </c>
    </row>
    <row r="57" spans="1:83" x14ac:dyDescent="0.55000000000000004">
      <c r="A57" s="7084" t="s">
        <v>87</v>
      </c>
      <c r="B57" s="262" t="s">
        <v>43</v>
      </c>
      <c r="C57" s="263"/>
      <c r="D57" s="263">
        <v>193671</v>
      </c>
      <c r="E57" s="238">
        <v>192249</v>
      </c>
      <c r="F57" s="239">
        <v>190259</v>
      </c>
      <c r="G57" s="239">
        <v>187622</v>
      </c>
      <c r="H57" s="239">
        <v>186830</v>
      </c>
      <c r="I57" s="239">
        <v>185196</v>
      </c>
      <c r="J57" s="239">
        <v>183681</v>
      </c>
      <c r="K57" s="239">
        <v>181577</v>
      </c>
      <c r="L57" s="239">
        <v>180296</v>
      </c>
      <c r="M57" s="239">
        <v>178467</v>
      </c>
      <c r="N57" s="239">
        <v>177805</v>
      </c>
      <c r="O57" s="239">
        <v>176556</v>
      </c>
      <c r="P57" s="264">
        <v>173663</v>
      </c>
      <c r="Q57" s="264">
        <f>P57</f>
        <v>173663</v>
      </c>
      <c r="R57" s="265">
        <f>AVERAGE(E57:P57)</f>
        <v>182850.08333333334</v>
      </c>
      <c r="S57" s="266">
        <v>170602</v>
      </c>
      <c r="T57" s="267">
        <v>168810</v>
      </c>
      <c r="U57" s="239">
        <v>167005</v>
      </c>
      <c r="V57" s="239">
        <v>165898</v>
      </c>
      <c r="W57" s="239">
        <v>164888</v>
      </c>
      <c r="X57" s="239">
        <v>163664</v>
      </c>
      <c r="Y57" s="239">
        <v>161898</v>
      </c>
      <c r="Z57" s="239">
        <v>160830</v>
      </c>
      <c r="AA57" s="239">
        <v>159417</v>
      </c>
      <c r="AB57" s="239">
        <v>159295</v>
      </c>
      <c r="AC57" s="239">
        <v>158842</v>
      </c>
      <c r="AD57" s="239">
        <v>157765</v>
      </c>
      <c r="AE57" s="264">
        <f>AD57</f>
        <v>157765</v>
      </c>
      <c r="AF57" s="265">
        <f>AVERAGE(S57:AD57)</f>
        <v>163242.83333333334</v>
      </c>
      <c r="AG57" s="239"/>
      <c r="AH57" s="238">
        <v>157688</v>
      </c>
      <c r="AI57" s="239">
        <v>156596</v>
      </c>
      <c r="AJ57" s="239">
        <v>155170</v>
      </c>
      <c r="AK57" s="239">
        <v>153850</v>
      </c>
      <c r="AL57" s="239">
        <v>152654</v>
      </c>
      <c r="AM57" s="239">
        <v>151376</v>
      </c>
      <c r="AN57" s="239">
        <v>150223</v>
      </c>
      <c r="AO57" s="239">
        <v>148672</v>
      </c>
      <c r="AP57" s="239">
        <v>147534</v>
      </c>
      <c r="AQ57" s="424">
        <v>137962</v>
      </c>
      <c r="AR57" s="239">
        <v>136635</v>
      </c>
      <c r="AS57" s="239">
        <v>141966</v>
      </c>
      <c r="AT57" s="239">
        <f>AS57</f>
        <v>141966</v>
      </c>
      <c r="AU57" s="264">
        <f t="shared" si="52"/>
        <v>149193.83333333334</v>
      </c>
      <c r="AV57" s="239"/>
      <c r="AW57" s="449">
        <v>139631</v>
      </c>
      <c r="AX57" s="448">
        <v>138915</v>
      </c>
      <c r="AY57" s="448">
        <v>136836</v>
      </c>
      <c r="AZ57" s="448">
        <v>135724</v>
      </c>
      <c r="BA57" s="448">
        <v>136114</v>
      </c>
      <c r="BB57" s="448">
        <v>134766</v>
      </c>
      <c r="BC57" s="448">
        <v>134689</v>
      </c>
      <c r="BD57" s="448">
        <v>134153</v>
      </c>
      <c r="BE57" s="448">
        <v>133602</v>
      </c>
      <c r="BF57" s="552">
        <v>131944</v>
      </c>
      <c r="BG57" s="239">
        <v>129734</v>
      </c>
      <c r="BH57" s="448">
        <v>126881</v>
      </c>
      <c r="BI57" s="249">
        <f>INDEX($AW57:$BH57, 1, MATCH(0, $AW57:$BH57, -1))</f>
        <v>126881</v>
      </c>
      <c r="BJ57" s="264">
        <f>AVERAGE(AW57:BH57)</f>
        <v>134415.75</v>
      </c>
      <c r="BK57" s="239"/>
      <c r="BL57" s="449">
        <v>125622</v>
      </c>
      <c r="BM57" s="448">
        <v>123404</v>
      </c>
      <c r="BN57" s="448"/>
      <c r="BO57" s="448"/>
      <c r="BP57" s="448"/>
      <c r="BQ57" s="448"/>
      <c r="BR57" s="448"/>
      <c r="BS57" s="448"/>
      <c r="BT57" s="448"/>
      <c r="BU57" s="552"/>
      <c r="BV57" s="239"/>
      <c r="BW57" s="448"/>
      <c r="BX57" s="249">
        <f>INDEX($AW57:$BH57, 1, MATCH(0, $AW57:$BH57, -1))</f>
        <v>126881</v>
      </c>
      <c r="BY57" s="264">
        <f>AVERAGE(BL57:BW57)</f>
        <v>124513</v>
      </c>
      <c r="BZ57" s="6977"/>
      <c r="CB57" s="169">
        <f t="shared" si="8"/>
        <v>-15511</v>
      </c>
      <c r="CC57" s="169">
        <f>BY57-BJ57</f>
        <v>-9902.75</v>
      </c>
      <c r="CD57" s="303">
        <f>IFERROR(_xlfn.XLOOKUP($A$1,$2:$2,57:57)-_xlfn.XLOOKUP(EDATE($A$1,-12),$2:$2,57:57),"")</f>
        <v>-15511</v>
      </c>
      <c r="CE57" s="278">
        <f t="shared" si="62"/>
        <v>-2218</v>
      </c>
    </row>
    <row r="58" spans="1:83" x14ac:dyDescent="0.55000000000000004">
      <c r="A58" s="7085"/>
      <c r="B58" t="s">
        <v>46</v>
      </c>
      <c r="E58" s="139">
        <v>5376</v>
      </c>
      <c r="F58" s="140">
        <v>4496</v>
      </c>
      <c r="G58" s="140">
        <v>4850</v>
      </c>
      <c r="H58" s="140">
        <v>5060</v>
      </c>
      <c r="I58" s="140">
        <v>5180</v>
      </c>
      <c r="J58" s="140">
        <v>4750</v>
      </c>
      <c r="K58" s="140">
        <v>3796</v>
      </c>
      <c r="L58" s="140">
        <v>4665</v>
      </c>
      <c r="M58" s="140">
        <v>4302</v>
      </c>
      <c r="N58" s="140">
        <v>5573</v>
      </c>
      <c r="O58" s="140">
        <v>4421</v>
      </c>
      <c r="P58" s="140">
        <v>3670</v>
      </c>
      <c r="Q58" s="140">
        <f t="shared" ref="Q58:Q63" si="82">SUM(E58:P58)</f>
        <v>56139</v>
      </c>
      <c r="R58" s="140">
        <f t="shared" ref="R58:R63" si="83">Q58/12</f>
        <v>4678.25</v>
      </c>
      <c r="S58" s="139">
        <v>3739</v>
      </c>
      <c r="T58" s="140">
        <v>4464</v>
      </c>
      <c r="U58" s="140">
        <v>4117</v>
      </c>
      <c r="V58" s="140">
        <v>4098</v>
      </c>
      <c r="W58" s="140">
        <v>4699</v>
      </c>
      <c r="X58" s="140">
        <v>4378</v>
      </c>
      <c r="Y58" s="140">
        <v>3599</v>
      </c>
      <c r="Z58" s="140">
        <v>4928</v>
      </c>
      <c r="AA58" s="140">
        <v>3854</v>
      </c>
      <c r="AB58" s="140">
        <v>4623</v>
      </c>
      <c r="AC58" s="140">
        <v>4405</v>
      </c>
      <c r="AD58" s="140">
        <v>3091</v>
      </c>
      <c r="AE58" s="140">
        <f t="shared" ref="AE58:AE63" si="84">SUM(S58:AD58)</f>
        <v>49995</v>
      </c>
      <c r="AF58" s="140">
        <f t="shared" ref="AF58:AF63" si="85">AE58/12</f>
        <v>4166.25</v>
      </c>
      <c r="AG58" s="140"/>
      <c r="AH58" s="139">
        <v>4200</v>
      </c>
      <c r="AI58" s="140">
        <v>3400</v>
      </c>
      <c r="AJ58" s="140">
        <v>4105</v>
      </c>
      <c r="AK58" s="140">
        <v>4257</v>
      </c>
      <c r="AL58" s="140">
        <v>4806</v>
      </c>
      <c r="AM58" s="140">
        <v>3910</v>
      </c>
      <c r="AN58" s="140">
        <v>5160</v>
      </c>
      <c r="AO58" s="140">
        <v>4615</v>
      </c>
      <c r="AP58" s="140">
        <v>4637</v>
      </c>
      <c r="AQ58" s="140">
        <v>4355</v>
      </c>
      <c r="AR58" s="140">
        <v>4362</v>
      </c>
      <c r="AS58" s="140">
        <v>3856</v>
      </c>
      <c r="AT58" s="140">
        <f t="shared" ref="AT58:AT63" si="86">SUM(AH58:AS58)</f>
        <v>51663</v>
      </c>
      <c r="AU58" s="140">
        <f t="shared" si="52"/>
        <v>4305.25</v>
      </c>
      <c r="AV58" s="140"/>
      <c r="AW58" s="451">
        <v>3459</v>
      </c>
      <c r="AX58" s="450">
        <v>5357</v>
      </c>
      <c r="AY58" s="450">
        <v>4534</v>
      </c>
      <c r="AZ58" s="450">
        <v>5002</v>
      </c>
      <c r="BA58" s="450">
        <v>8782</v>
      </c>
      <c r="BB58" s="450">
        <v>5866</v>
      </c>
      <c r="BC58" s="450">
        <v>6867</v>
      </c>
      <c r="BD58" s="450">
        <v>5711</v>
      </c>
      <c r="BE58" s="450">
        <v>5684</v>
      </c>
      <c r="BF58" s="450">
        <v>3798</v>
      </c>
      <c r="BG58" s="140">
        <v>3808</v>
      </c>
      <c r="BH58" s="450">
        <v>3644</v>
      </c>
      <c r="BI58" s="140">
        <f t="shared" ref="BI58:BI63" si="87">SUM(AW58:BH58)</f>
        <v>62512</v>
      </c>
      <c r="BJ58" s="140">
        <f t="shared" ref="BJ58:BJ63" si="88">BI58/12</f>
        <v>5209.333333333333</v>
      </c>
      <c r="BK58" s="140"/>
      <c r="BL58" s="451">
        <v>3095</v>
      </c>
      <c r="BM58" s="450">
        <v>2579</v>
      </c>
      <c r="BN58" s="450"/>
      <c r="BO58" s="450"/>
      <c r="BP58" s="450"/>
      <c r="BQ58" s="450"/>
      <c r="BR58" s="450"/>
      <c r="BS58" s="450"/>
      <c r="BT58" s="450"/>
      <c r="BU58" s="450"/>
      <c r="BV58" s="140"/>
      <c r="BW58" s="450"/>
      <c r="BX58" s="140">
        <f t="shared" ref="BX58:BX63" si="89">SUM(BL58:BW58)</f>
        <v>5674</v>
      </c>
      <c r="BY58" s="140">
        <f t="shared" ref="BY58:BY63" si="90">BX58/12</f>
        <v>472.83333333333331</v>
      </c>
      <c r="BZ58" s="6977"/>
      <c r="CB58" s="169">
        <f t="shared" si="8"/>
        <v>-2778</v>
      </c>
      <c r="CC58" s="169">
        <f>BY58-BJ58</f>
        <v>-4736.5</v>
      </c>
      <c r="CD58" s="169">
        <f>BI58-SUM(AH58:AR58)</f>
        <v>14705</v>
      </c>
      <c r="CE58" s="278">
        <f t="shared" si="62"/>
        <v>-516</v>
      </c>
    </row>
    <row r="59" spans="1:83" x14ac:dyDescent="0.55000000000000004">
      <c r="A59" s="7085"/>
      <c r="B59" t="s">
        <v>47</v>
      </c>
      <c r="E59" s="139">
        <f>1654+22+109</f>
        <v>1785</v>
      </c>
      <c r="F59" s="140">
        <f>2031+10+105</f>
        <v>2146</v>
      </c>
      <c r="G59" s="140">
        <f>2459+16+152</f>
        <v>2627</v>
      </c>
      <c r="H59" s="140">
        <f>2204+18+54</f>
        <v>2276</v>
      </c>
      <c r="I59" s="140">
        <f>2041+16+111</f>
        <v>2168</v>
      </c>
      <c r="J59" s="140">
        <f>1787+27+90</f>
        <v>1904</v>
      </c>
      <c r="K59" s="140">
        <f>1614+56+108</f>
        <v>1778</v>
      </c>
      <c r="L59" s="140">
        <f>2009+84+103</f>
        <v>2196</v>
      </c>
      <c r="M59" s="140">
        <f>1897+61+162</f>
        <v>2120</v>
      </c>
      <c r="N59" s="140">
        <f>1790+78+90</f>
        <v>1958</v>
      </c>
      <c r="O59" s="140">
        <f>1971+98+103</f>
        <v>2172</v>
      </c>
      <c r="P59" s="140">
        <f>1779+82+100</f>
        <v>1961</v>
      </c>
      <c r="Q59" s="140">
        <f t="shared" si="82"/>
        <v>25091</v>
      </c>
      <c r="R59" s="140">
        <f t="shared" si="83"/>
        <v>2090.9166666666665</v>
      </c>
      <c r="S59" s="139">
        <f>1935+74+97</f>
        <v>2106</v>
      </c>
      <c r="T59" s="140">
        <f>1789+62+99</f>
        <v>1950</v>
      </c>
      <c r="U59" s="140">
        <f>1851+44+85</f>
        <v>1980</v>
      </c>
      <c r="V59" s="140">
        <f>1413+69+120</f>
        <v>1602</v>
      </c>
      <c r="W59" s="140">
        <f>1624+80+119</f>
        <v>1823</v>
      </c>
      <c r="X59" s="140">
        <f>1633+84+138</f>
        <v>1855</v>
      </c>
      <c r="Y59" s="140">
        <f>1604+72+120</f>
        <v>1796</v>
      </c>
      <c r="Z59" s="140">
        <f>1754+88+246</f>
        <v>2088</v>
      </c>
      <c r="AA59" s="140">
        <f>1458+81+94</f>
        <v>1633</v>
      </c>
      <c r="AB59" s="140">
        <f>1475+105+131</f>
        <v>1711</v>
      </c>
      <c r="AC59" s="140">
        <f>1301+91+189</f>
        <v>1581</v>
      </c>
      <c r="AD59" s="140">
        <f>1129+88+99</f>
        <v>1316</v>
      </c>
      <c r="AE59" s="140">
        <f t="shared" si="84"/>
        <v>21441</v>
      </c>
      <c r="AF59" s="140">
        <f t="shared" si="85"/>
        <v>1786.75</v>
      </c>
      <c r="AG59" s="140"/>
      <c r="AH59" s="139">
        <f>1413+117+123</f>
        <v>1653</v>
      </c>
      <c r="AI59" s="140">
        <f>1513+97+100</f>
        <v>1710</v>
      </c>
      <c r="AJ59" s="140">
        <f>1397+165+137</f>
        <v>1699</v>
      </c>
      <c r="AK59" s="140">
        <f>1436+182+147</f>
        <v>1765</v>
      </c>
      <c r="AL59" s="140">
        <f>1421+211+144</f>
        <v>1776</v>
      </c>
      <c r="AM59" s="140">
        <f>1565+206+92</f>
        <v>1863</v>
      </c>
      <c r="AN59" s="140">
        <v>1766</v>
      </c>
      <c r="AO59" s="140">
        <v>1672</v>
      </c>
      <c r="AP59" s="140">
        <f>1245+204+76</f>
        <v>1525</v>
      </c>
      <c r="AQ59" s="140">
        <v>1502</v>
      </c>
      <c r="AR59" s="140">
        <v>1369</v>
      </c>
      <c r="AS59" s="140">
        <v>1432</v>
      </c>
      <c r="AT59" s="140">
        <f t="shared" si="86"/>
        <v>19732</v>
      </c>
      <c r="AU59" s="140">
        <f t="shared" si="52"/>
        <v>1644.3333333333333</v>
      </c>
      <c r="AV59" s="140"/>
      <c r="AW59" s="451">
        <v>1498</v>
      </c>
      <c r="AX59" s="450">
        <v>1949</v>
      </c>
      <c r="AY59" s="450">
        <v>1994</v>
      </c>
      <c r="AZ59" s="450">
        <v>1963</v>
      </c>
      <c r="BA59" s="450">
        <v>1749</v>
      </c>
      <c r="BB59" s="450">
        <v>1804</v>
      </c>
      <c r="BC59" s="450">
        <v>1656</v>
      </c>
      <c r="BD59" s="450">
        <v>1473</v>
      </c>
      <c r="BE59" s="450">
        <v>1700</v>
      </c>
      <c r="BF59" s="450">
        <v>1728</v>
      </c>
      <c r="BG59" s="140">
        <v>1715</v>
      </c>
      <c r="BH59" s="450">
        <v>1565</v>
      </c>
      <c r="BI59" s="140">
        <f t="shared" si="87"/>
        <v>20794</v>
      </c>
      <c r="BJ59" s="140">
        <f t="shared" si="88"/>
        <v>1732.8333333333333</v>
      </c>
      <c r="BK59" s="140"/>
      <c r="BL59" s="451">
        <v>2326</v>
      </c>
      <c r="BM59" s="450">
        <v>2728</v>
      </c>
      <c r="BN59" s="450"/>
      <c r="BO59" s="450"/>
      <c r="BP59" s="450"/>
      <c r="BQ59" s="450"/>
      <c r="BR59" s="450"/>
      <c r="BS59" s="450"/>
      <c r="BT59" s="450"/>
      <c r="BU59" s="450"/>
      <c r="BV59" s="140"/>
      <c r="BW59" s="450"/>
      <c r="BX59" s="140">
        <f t="shared" si="89"/>
        <v>5054</v>
      </c>
      <c r="BY59" s="140">
        <f t="shared" si="90"/>
        <v>421.16666666666669</v>
      </c>
      <c r="BZ59" s="6977"/>
      <c r="CB59" s="169">
        <f t="shared" si="8"/>
        <v>779</v>
      </c>
      <c r="CC59" s="169">
        <f>BY59-BJ59</f>
        <v>-1311.6666666666665</v>
      </c>
      <c r="CD59" s="169">
        <f>BI59-SUM(AH59:AR59)</f>
        <v>2494</v>
      </c>
      <c r="CE59" s="278">
        <f t="shared" si="62"/>
        <v>402</v>
      </c>
    </row>
    <row r="60" spans="1:83" x14ac:dyDescent="0.55000000000000004">
      <c r="A60" s="7085"/>
      <c r="B60" s="180" t="s">
        <v>58</v>
      </c>
      <c r="E60" s="139">
        <v>109</v>
      </c>
      <c r="F60" s="140">
        <v>105</v>
      </c>
      <c r="G60" s="140">
        <v>152</v>
      </c>
      <c r="H60" s="140">
        <v>54</v>
      </c>
      <c r="I60" s="140">
        <v>111</v>
      </c>
      <c r="J60" s="140">
        <v>90</v>
      </c>
      <c r="K60" s="140">
        <v>108</v>
      </c>
      <c r="L60" s="140">
        <v>103</v>
      </c>
      <c r="M60" s="140">
        <v>162</v>
      </c>
      <c r="N60" s="140">
        <v>90</v>
      </c>
      <c r="O60" s="140">
        <v>103</v>
      </c>
      <c r="P60" s="140">
        <v>100</v>
      </c>
      <c r="Q60" s="140">
        <f t="shared" si="82"/>
        <v>1287</v>
      </c>
      <c r="R60" s="140">
        <f t="shared" si="83"/>
        <v>107.25</v>
      </c>
      <c r="S60" s="139">
        <v>97</v>
      </c>
      <c r="T60" s="140">
        <v>99</v>
      </c>
      <c r="U60" s="140">
        <v>85</v>
      </c>
      <c r="V60" s="140">
        <v>120</v>
      </c>
      <c r="W60" s="140">
        <v>119</v>
      </c>
      <c r="X60" s="140">
        <v>138</v>
      </c>
      <c r="Y60" s="140">
        <v>120</v>
      </c>
      <c r="Z60" s="140">
        <v>246</v>
      </c>
      <c r="AA60" s="140">
        <v>94</v>
      </c>
      <c r="AB60" s="140">
        <v>131</v>
      </c>
      <c r="AC60" s="140">
        <v>189</v>
      </c>
      <c r="AD60" s="140">
        <v>99</v>
      </c>
      <c r="AE60" s="140">
        <f t="shared" si="84"/>
        <v>1537</v>
      </c>
      <c r="AF60" s="140">
        <f t="shared" si="85"/>
        <v>128.08333333333334</v>
      </c>
      <c r="AG60" s="140"/>
      <c r="AH60" s="139">
        <v>123</v>
      </c>
      <c r="AI60" s="140">
        <v>100</v>
      </c>
      <c r="AJ60" s="140">
        <v>137</v>
      </c>
      <c r="AK60" s="140">
        <v>147</v>
      </c>
      <c r="AL60" s="140">
        <v>144</v>
      </c>
      <c r="AM60" s="140">
        <v>92</v>
      </c>
      <c r="AN60" s="140">
        <v>216</v>
      </c>
      <c r="AO60" s="140">
        <v>64</v>
      </c>
      <c r="AP60" s="140">
        <v>76</v>
      </c>
      <c r="AQ60" s="140">
        <v>69</v>
      </c>
      <c r="AR60" s="140">
        <v>71</v>
      </c>
      <c r="AS60" s="140">
        <v>75</v>
      </c>
      <c r="AT60" s="140">
        <f t="shared" si="86"/>
        <v>1314</v>
      </c>
      <c r="AU60" s="140">
        <f t="shared" si="52"/>
        <v>109.5</v>
      </c>
      <c r="AV60" s="140"/>
      <c r="AW60" s="451">
        <v>79</v>
      </c>
      <c r="AX60" s="450">
        <v>74</v>
      </c>
      <c r="AY60" s="450">
        <v>141</v>
      </c>
      <c r="AZ60" s="450">
        <v>123</v>
      </c>
      <c r="BA60" s="450">
        <v>165</v>
      </c>
      <c r="BB60" s="450">
        <v>93</v>
      </c>
      <c r="BC60" s="450">
        <v>80</v>
      </c>
      <c r="BD60" s="450">
        <v>49</v>
      </c>
      <c r="BE60" s="450">
        <v>57</v>
      </c>
      <c r="BF60" s="450">
        <v>64</v>
      </c>
      <c r="BG60" s="140">
        <v>42</v>
      </c>
      <c r="BH60" s="450">
        <v>45</v>
      </c>
      <c r="BI60" s="140">
        <f t="shared" si="87"/>
        <v>1012</v>
      </c>
      <c r="BJ60" s="140">
        <f t="shared" si="88"/>
        <v>84.333333333333329</v>
      </c>
      <c r="BK60" s="140"/>
      <c r="BL60" s="451">
        <v>72</v>
      </c>
      <c r="BM60" s="450">
        <v>76</v>
      </c>
      <c r="BN60" s="450"/>
      <c r="BO60" s="450"/>
      <c r="BP60" s="450"/>
      <c r="BQ60" s="450"/>
      <c r="BR60" s="450"/>
      <c r="BS60" s="450"/>
      <c r="BT60" s="450"/>
      <c r="BU60" s="450"/>
      <c r="BV60" s="140"/>
      <c r="BW60" s="450"/>
      <c r="BX60" s="140">
        <f t="shared" si="89"/>
        <v>148</v>
      </c>
      <c r="BY60" s="140">
        <f t="shared" si="90"/>
        <v>12.333333333333334</v>
      </c>
      <c r="BZ60" s="6977"/>
      <c r="CB60" s="169">
        <f t="shared" si="8"/>
        <v>2</v>
      </c>
      <c r="CC60" s="169">
        <f>BY60-BJ60</f>
        <v>-72</v>
      </c>
      <c r="CD60" s="169">
        <f>BI60-SUM(AH60:AR60)</f>
        <v>-227</v>
      </c>
      <c r="CE60" s="278">
        <f t="shared" si="62"/>
        <v>4</v>
      </c>
    </row>
    <row r="61" spans="1:83" x14ac:dyDescent="0.55000000000000004">
      <c r="A61" s="7085"/>
      <c r="B61" s="252" t="s">
        <v>85</v>
      </c>
      <c r="C61" s="252"/>
      <c r="D61" s="252"/>
      <c r="E61" s="137">
        <f t="shared" ref="E61:AD61" si="91">E58-E59</f>
        <v>3591</v>
      </c>
      <c r="F61" s="138">
        <f t="shared" si="91"/>
        <v>2350</v>
      </c>
      <c r="G61" s="138">
        <f t="shared" si="91"/>
        <v>2223</v>
      </c>
      <c r="H61" s="138">
        <f t="shared" si="91"/>
        <v>2784</v>
      </c>
      <c r="I61" s="138">
        <f t="shared" si="91"/>
        <v>3012</v>
      </c>
      <c r="J61" s="138">
        <f t="shared" si="91"/>
        <v>2846</v>
      </c>
      <c r="K61" s="138">
        <f t="shared" si="91"/>
        <v>2018</v>
      </c>
      <c r="L61" s="138">
        <f t="shared" si="91"/>
        <v>2469</v>
      </c>
      <c r="M61" s="138">
        <f t="shared" si="91"/>
        <v>2182</v>
      </c>
      <c r="N61" s="138">
        <f t="shared" si="91"/>
        <v>3615</v>
      </c>
      <c r="O61" s="138">
        <f t="shared" si="91"/>
        <v>2249</v>
      </c>
      <c r="P61" s="138">
        <f t="shared" si="91"/>
        <v>1709</v>
      </c>
      <c r="Q61" s="138">
        <f t="shared" si="82"/>
        <v>31048</v>
      </c>
      <c r="R61" s="138">
        <f t="shared" si="83"/>
        <v>2587.3333333333335</v>
      </c>
      <c r="S61" s="137">
        <f t="shared" si="91"/>
        <v>1633</v>
      </c>
      <c r="T61" s="138">
        <f t="shared" si="91"/>
        <v>2514</v>
      </c>
      <c r="U61" s="138">
        <f t="shared" si="91"/>
        <v>2137</v>
      </c>
      <c r="V61" s="138">
        <f t="shared" si="91"/>
        <v>2496</v>
      </c>
      <c r="W61" s="138">
        <f t="shared" si="91"/>
        <v>2876</v>
      </c>
      <c r="X61" s="138">
        <f t="shared" si="91"/>
        <v>2523</v>
      </c>
      <c r="Y61" s="138">
        <f t="shared" si="91"/>
        <v>1803</v>
      </c>
      <c r="Z61" s="138">
        <f t="shared" si="91"/>
        <v>2840</v>
      </c>
      <c r="AA61" s="138">
        <f t="shared" si="91"/>
        <v>2221</v>
      </c>
      <c r="AB61" s="138">
        <f t="shared" si="91"/>
        <v>2912</v>
      </c>
      <c r="AC61" s="138">
        <f t="shared" si="91"/>
        <v>2824</v>
      </c>
      <c r="AD61" s="138">
        <f t="shared" si="91"/>
        <v>1775</v>
      </c>
      <c r="AE61" s="138">
        <f t="shared" si="84"/>
        <v>28554</v>
      </c>
      <c r="AF61" s="138">
        <f t="shared" si="85"/>
        <v>2379.5</v>
      </c>
      <c r="AG61" s="138"/>
      <c r="AH61" s="137">
        <f t="shared" ref="AH61:AM61" si="92">AH58-AH59</f>
        <v>2547</v>
      </c>
      <c r="AI61" s="138">
        <f t="shared" si="92"/>
        <v>1690</v>
      </c>
      <c r="AJ61" s="138">
        <f t="shared" si="92"/>
        <v>2406</v>
      </c>
      <c r="AK61" s="138">
        <f t="shared" si="92"/>
        <v>2492</v>
      </c>
      <c r="AL61" s="138">
        <f t="shared" si="92"/>
        <v>3030</v>
      </c>
      <c r="AM61" s="138">
        <f t="shared" si="92"/>
        <v>2047</v>
      </c>
      <c r="AN61" s="138">
        <v>3394</v>
      </c>
      <c r="AO61" s="138">
        <v>2943</v>
      </c>
      <c r="AP61" s="138">
        <f>AP58-AP59</f>
        <v>3112</v>
      </c>
      <c r="AQ61" s="138">
        <v>2853</v>
      </c>
      <c r="AR61" s="138">
        <v>2993</v>
      </c>
      <c r="AS61" s="138">
        <v>2424</v>
      </c>
      <c r="AT61" s="138">
        <f t="shared" si="86"/>
        <v>31931</v>
      </c>
      <c r="AU61" s="138">
        <f t="shared" si="52"/>
        <v>2660.9166666666665</v>
      </c>
      <c r="AV61" s="138"/>
      <c r="AW61" s="453">
        <v>1953</v>
      </c>
      <c r="AX61" s="452">
        <v>3102</v>
      </c>
      <c r="AY61" s="452">
        <v>2540</v>
      </c>
      <c r="AZ61" s="452">
        <v>3039</v>
      </c>
      <c r="BA61" s="452">
        <v>7033</v>
      </c>
      <c r="BB61" s="452">
        <v>4062</v>
      </c>
      <c r="BC61" s="452">
        <v>5211</v>
      </c>
      <c r="BD61" s="452">
        <v>4238</v>
      </c>
      <c r="BE61" s="452">
        <v>3984</v>
      </c>
      <c r="BF61" s="452">
        <v>2070</v>
      </c>
      <c r="BG61" s="138">
        <v>2093</v>
      </c>
      <c r="BH61" s="452">
        <f>BH58-BH59</f>
        <v>2079</v>
      </c>
      <c r="BI61" s="138">
        <f t="shared" si="87"/>
        <v>41404</v>
      </c>
      <c r="BJ61" s="138">
        <f t="shared" si="88"/>
        <v>3450.3333333333335</v>
      </c>
      <c r="BK61" s="138"/>
      <c r="BL61" s="452">
        <f t="shared" ref="BL61:BM61" si="93">BL58-BL59</f>
        <v>769</v>
      </c>
      <c r="BM61" s="452">
        <f t="shared" si="93"/>
        <v>-149</v>
      </c>
      <c r="BN61" s="452"/>
      <c r="BO61" s="452"/>
      <c r="BP61" s="452"/>
      <c r="BQ61" s="452"/>
      <c r="BR61" s="452"/>
      <c r="BS61" s="452"/>
      <c r="BT61" s="452"/>
      <c r="BU61" s="452"/>
      <c r="BV61" s="138"/>
      <c r="BW61" s="452"/>
      <c r="BX61" s="138">
        <f t="shared" si="89"/>
        <v>620</v>
      </c>
      <c r="BY61" s="138">
        <f t="shared" si="90"/>
        <v>51.666666666666664</v>
      </c>
      <c r="BZ61" s="6977"/>
      <c r="CB61" s="169">
        <f t="shared" si="8"/>
        <v>-3251</v>
      </c>
      <c r="CC61" s="169">
        <f>BY61-BJ61</f>
        <v>-3398.666666666667</v>
      </c>
      <c r="CD61" s="169">
        <f>BI61-SUM(AH61:AR61)</f>
        <v>11897</v>
      </c>
      <c r="CE61" s="278">
        <f t="shared" si="62"/>
        <v>-918</v>
      </c>
    </row>
    <row r="62" spans="1:83" x14ac:dyDescent="0.55000000000000004">
      <c r="A62" s="7085"/>
      <c r="B62" t="s">
        <v>49</v>
      </c>
      <c r="E62" s="139">
        <f>E61-E63</f>
        <v>5013</v>
      </c>
      <c r="F62" s="140">
        <f>F61-F63</f>
        <v>4340</v>
      </c>
      <c r="G62" s="140">
        <f>G61-G63</f>
        <v>4860</v>
      </c>
      <c r="H62" s="140">
        <f>H61-H63</f>
        <v>3576</v>
      </c>
      <c r="I62" s="140">
        <f>I61-I63</f>
        <v>4646</v>
      </c>
      <c r="J62" s="140">
        <f>J61-J63</f>
        <v>4361</v>
      </c>
      <c r="K62" s="140">
        <f>K61-K63</f>
        <v>4122</v>
      </c>
      <c r="L62" s="140">
        <f>L61-L63</f>
        <v>3750</v>
      </c>
      <c r="M62" s="140">
        <f>M61-M63</f>
        <v>4011</v>
      </c>
      <c r="N62" s="140">
        <f>N61-N63</f>
        <v>4277</v>
      </c>
      <c r="O62" s="140">
        <f>O61-O63</f>
        <v>3498</v>
      </c>
      <c r="P62" s="140">
        <f>P61-P63</f>
        <v>4602</v>
      </c>
      <c r="Q62" s="140">
        <f t="shared" si="82"/>
        <v>51056</v>
      </c>
      <c r="R62" s="140">
        <f t="shared" si="83"/>
        <v>4254.666666666667</v>
      </c>
      <c r="S62" s="139">
        <f>S61-S63</f>
        <v>4694</v>
      </c>
      <c r="T62" s="140">
        <f>T61-T63</f>
        <v>4306</v>
      </c>
      <c r="U62" s="140">
        <f>U61-U63</f>
        <v>3942</v>
      </c>
      <c r="V62" s="140">
        <f>V61-V63</f>
        <v>3603</v>
      </c>
      <c r="W62" s="140">
        <f>W61-W63</f>
        <v>3886</v>
      </c>
      <c r="X62" s="140">
        <f>X61-X63</f>
        <v>3747</v>
      </c>
      <c r="Y62" s="140">
        <f>Y61-Y63</f>
        <v>3569</v>
      </c>
      <c r="Z62" s="140">
        <f>Z61-Z63</f>
        <v>3908</v>
      </c>
      <c r="AA62" s="140">
        <f>AA61-AA63</f>
        <v>3634</v>
      </c>
      <c r="AB62" s="140">
        <f>AB61-AB63</f>
        <v>3034</v>
      </c>
      <c r="AC62" s="140">
        <f>AC61-AC63</f>
        <v>3277</v>
      </c>
      <c r="AD62" s="140">
        <f>AD61-AD63</f>
        <v>2852</v>
      </c>
      <c r="AE62" s="140">
        <f t="shared" si="84"/>
        <v>44452</v>
      </c>
      <c r="AF62" s="140">
        <f t="shared" si="85"/>
        <v>3704.3333333333335</v>
      </c>
      <c r="AG62" s="140"/>
      <c r="AH62" s="139">
        <f>AH61-AH63</f>
        <v>2624</v>
      </c>
      <c r="AI62" s="140">
        <f>AI61-AI63</f>
        <v>2782</v>
      </c>
      <c r="AJ62" s="140">
        <f>AJ61-AJ63</f>
        <v>3832</v>
      </c>
      <c r="AK62" s="140">
        <f>AK61-AK63</f>
        <v>3812</v>
      </c>
      <c r="AL62" s="140">
        <f>AL61-AL63</f>
        <v>4226</v>
      </c>
      <c r="AM62" s="140">
        <f>AM61-AM63</f>
        <v>3325</v>
      </c>
      <c r="AN62" s="140">
        <v>4547</v>
      </c>
      <c r="AO62" s="140">
        <v>4494</v>
      </c>
      <c r="AP62" s="140">
        <f>AP61-AP63</f>
        <v>4250</v>
      </c>
      <c r="AQ62" s="140">
        <v>12318</v>
      </c>
      <c r="AR62" s="140">
        <v>4320</v>
      </c>
      <c r="AS62" s="140">
        <v>4469</v>
      </c>
      <c r="AT62" s="140">
        <f t="shared" si="86"/>
        <v>54999</v>
      </c>
      <c r="AU62" s="140">
        <f t="shared" si="52"/>
        <v>4583.25</v>
      </c>
      <c r="AV62" s="140"/>
      <c r="AW62" s="451">
        <v>4570</v>
      </c>
      <c r="AX62" s="450">
        <v>4265</v>
      </c>
      <c r="AY62" s="450">
        <v>4619</v>
      </c>
      <c r="AZ62" s="450">
        <v>4151</v>
      </c>
      <c r="BA62" s="450">
        <v>6643</v>
      </c>
      <c r="BB62" s="450">
        <v>5410</v>
      </c>
      <c r="BC62" s="450">
        <v>5288</v>
      </c>
      <c r="BD62" s="450">
        <v>4774</v>
      </c>
      <c r="BE62" s="450">
        <v>4535</v>
      </c>
      <c r="BF62" s="450">
        <v>3728</v>
      </c>
      <c r="BG62" s="140">
        <v>4303</v>
      </c>
      <c r="BH62" s="450">
        <v>4932</v>
      </c>
      <c r="BI62" s="140">
        <f t="shared" si="87"/>
        <v>57218</v>
      </c>
      <c r="BJ62" s="140">
        <f t="shared" si="88"/>
        <v>4768.166666666667</v>
      </c>
      <c r="BK62" s="140"/>
      <c r="BL62" s="451">
        <v>2028</v>
      </c>
      <c r="BM62" s="450">
        <v>2069</v>
      </c>
      <c r="BN62" s="450"/>
      <c r="BO62" s="450"/>
      <c r="BP62" s="450"/>
      <c r="BQ62" s="450"/>
      <c r="BR62" s="450"/>
      <c r="BS62" s="450"/>
      <c r="BT62" s="450"/>
      <c r="BU62" s="450"/>
      <c r="BV62" s="140"/>
      <c r="BW62" s="450"/>
      <c r="BX62" s="140">
        <f t="shared" si="89"/>
        <v>4097</v>
      </c>
      <c r="BY62" s="140">
        <f t="shared" si="90"/>
        <v>341.41666666666669</v>
      </c>
      <c r="BZ62" s="6977"/>
      <c r="CB62" s="169">
        <f t="shared" si="8"/>
        <v>-2196</v>
      </c>
      <c r="CC62" s="169">
        <f>BY62-BJ62</f>
        <v>-4426.75</v>
      </c>
      <c r="CD62" s="169">
        <f>BI62-SUM(AH62:AR62)</f>
        <v>6688</v>
      </c>
      <c r="CE62" s="278">
        <f t="shared" si="62"/>
        <v>41</v>
      </c>
    </row>
    <row r="63" spans="1:83" ht="18" thickBot="1" x14ac:dyDescent="0.6">
      <c r="A63" s="7086"/>
      <c r="B63" s="19" t="s">
        <v>50</v>
      </c>
      <c r="C63" s="9"/>
      <c r="D63" s="9"/>
      <c r="E63" s="260">
        <f>E57-D57</f>
        <v>-1422</v>
      </c>
      <c r="F63" s="261">
        <f>F57-E57</f>
        <v>-1990</v>
      </c>
      <c r="G63" s="261">
        <f t="shared" ref="G63:AC63" si="94">G57-F57</f>
        <v>-2637</v>
      </c>
      <c r="H63" s="261">
        <f t="shared" si="94"/>
        <v>-792</v>
      </c>
      <c r="I63" s="261">
        <f t="shared" si="94"/>
        <v>-1634</v>
      </c>
      <c r="J63" s="261">
        <f t="shared" si="94"/>
        <v>-1515</v>
      </c>
      <c r="K63" s="261">
        <f t="shared" si="94"/>
        <v>-2104</v>
      </c>
      <c r="L63" s="261">
        <f t="shared" si="94"/>
        <v>-1281</v>
      </c>
      <c r="M63" s="261">
        <f t="shared" si="94"/>
        <v>-1829</v>
      </c>
      <c r="N63" s="261">
        <f t="shared" si="94"/>
        <v>-662</v>
      </c>
      <c r="O63" s="261">
        <f>O57-N57</f>
        <v>-1249</v>
      </c>
      <c r="P63" s="261">
        <f>P57-O57</f>
        <v>-2893</v>
      </c>
      <c r="Q63" s="261">
        <f t="shared" si="82"/>
        <v>-20008</v>
      </c>
      <c r="R63" s="261">
        <f t="shared" si="83"/>
        <v>-1667.3333333333333</v>
      </c>
      <c r="S63" s="268">
        <f>S57-P57</f>
        <v>-3061</v>
      </c>
      <c r="T63" s="261">
        <f t="shared" si="94"/>
        <v>-1792</v>
      </c>
      <c r="U63" s="261">
        <f t="shared" si="94"/>
        <v>-1805</v>
      </c>
      <c r="V63" s="261">
        <f t="shared" si="94"/>
        <v>-1107</v>
      </c>
      <c r="W63" s="261">
        <f t="shared" si="94"/>
        <v>-1010</v>
      </c>
      <c r="X63" s="261">
        <f t="shared" si="94"/>
        <v>-1224</v>
      </c>
      <c r="Y63" s="261">
        <f t="shared" si="94"/>
        <v>-1766</v>
      </c>
      <c r="Z63" s="261">
        <f t="shared" si="94"/>
        <v>-1068</v>
      </c>
      <c r="AA63" s="261">
        <f t="shared" si="94"/>
        <v>-1413</v>
      </c>
      <c r="AB63" s="261">
        <f t="shared" si="94"/>
        <v>-122</v>
      </c>
      <c r="AC63" s="261">
        <f t="shared" si="94"/>
        <v>-453</v>
      </c>
      <c r="AD63" s="261">
        <f>AD57-AC57</f>
        <v>-1077</v>
      </c>
      <c r="AE63" s="261">
        <f t="shared" si="84"/>
        <v>-15898</v>
      </c>
      <c r="AF63" s="261">
        <f t="shared" si="85"/>
        <v>-1324.8333333333333</v>
      </c>
      <c r="AG63" s="261"/>
      <c r="AH63" s="260">
        <f>AH57-AD57</f>
        <v>-77</v>
      </c>
      <c r="AI63" s="261">
        <f>AI57-AH57</f>
        <v>-1092</v>
      </c>
      <c r="AJ63" s="261">
        <f>AJ57-AI57</f>
        <v>-1426</v>
      </c>
      <c r="AK63" s="261">
        <f>AK57-AJ57</f>
        <v>-1320</v>
      </c>
      <c r="AL63" s="261">
        <f>AL57-AK57</f>
        <v>-1196</v>
      </c>
      <c r="AM63" s="261">
        <f>AM57-AL57</f>
        <v>-1278</v>
      </c>
      <c r="AN63" s="261">
        <v>-1153</v>
      </c>
      <c r="AO63" s="261">
        <v>-1551</v>
      </c>
      <c r="AP63" s="261">
        <f>AP57-AO57</f>
        <v>-1138</v>
      </c>
      <c r="AQ63" s="261">
        <v>-9465</v>
      </c>
      <c r="AR63" s="261">
        <v>-1327</v>
      </c>
      <c r="AS63" s="261">
        <v>-2045</v>
      </c>
      <c r="AT63" s="261">
        <f t="shared" si="86"/>
        <v>-23068</v>
      </c>
      <c r="AU63" s="261">
        <f t="shared" si="52"/>
        <v>-1922.3333333333333</v>
      </c>
      <c r="AV63" s="261"/>
      <c r="AW63" s="462">
        <v>-2335</v>
      </c>
      <c r="AX63" s="461">
        <v>876</v>
      </c>
      <c r="AY63" s="461">
        <v>-2079</v>
      </c>
      <c r="AZ63" s="461">
        <v>-1112</v>
      </c>
      <c r="BA63" s="461">
        <v>390</v>
      </c>
      <c r="BB63" s="461">
        <v>-1348</v>
      </c>
      <c r="BC63" s="461">
        <v>-77</v>
      </c>
      <c r="BD63" s="461">
        <v>-536</v>
      </c>
      <c r="BE63" s="461">
        <v>-551</v>
      </c>
      <c r="BF63" s="461">
        <v>-1658</v>
      </c>
      <c r="BG63" s="261">
        <v>-2210</v>
      </c>
      <c r="BH63" s="461">
        <v>-2853</v>
      </c>
      <c r="BI63" s="261">
        <f t="shared" si="87"/>
        <v>-13493</v>
      </c>
      <c r="BJ63" s="261">
        <f t="shared" si="88"/>
        <v>-1124.4166666666667</v>
      </c>
      <c r="BK63" s="261"/>
      <c r="BL63" s="462">
        <f>BL57-BH57</f>
        <v>-1259</v>
      </c>
      <c r="BM63" s="461">
        <f>BM57-BL57</f>
        <v>-2218</v>
      </c>
      <c r="BN63" s="461"/>
      <c r="BO63" s="461"/>
      <c r="BP63" s="461"/>
      <c r="BQ63" s="461"/>
      <c r="BR63" s="461"/>
      <c r="BS63" s="461"/>
      <c r="BT63" s="461"/>
      <c r="BU63" s="461"/>
      <c r="BV63" s="261"/>
      <c r="BW63" s="461"/>
      <c r="BX63" s="261">
        <f t="shared" si="89"/>
        <v>-3477</v>
      </c>
      <c r="BY63" s="261">
        <f t="shared" si="90"/>
        <v>-289.75</v>
      </c>
      <c r="BZ63" s="6977"/>
      <c r="CB63" s="169">
        <f t="shared" si="8"/>
        <v>-3094</v>
      </c>
      <c r="CC63" s="169">
        <f>BY63-BJ63</f>
        <v>834.66666666666674</v>
      </c>
      <c r="CD63" s="169">
        <f>BI63-SUM(AH63:AR63)</f>
        <v>7530</v>
      </c>
      <c r="CE63" s="278">
        <f t="shared" si="62"/>
        <v>-959</v>
      </c>
    </row>
    <row r="64" spans="1:83" x14ac:dyDescent="0.55000000000000004">
      <c r="BZ64" s="6977"/>
      <c r="CB64" s="169"/>
      <c r="CC64" s="169"/>
      <c r="CD64" s="169"/>
      <c r="CE64" s="61"/>
    </row>
    <row r="65" spans="78:83" x14ac:dyDescent="0.55000000000000004">
      <c r="BZ65" s="6977"/>
      <c r="CB65" s="169"/>
      <c r="CC65" s="169"/>
      <c r="CD65" s="169"/>
      <c r="CE65" s="61"/>
    </row>
    <row r="66" spans="78:83" x14ac:dyDescent="0.55000000000000004">
      <c r="BZ66" s="6977"/>
      <c r="CB66" s="169"/>
      <c r="CC66" s="169"/>
      <c r="CD66" s="169"/>
    </row>
    <row r="67" spans="78:83" x14ac:dyDescent="0.55000000000000004">
      <c r="BZ67" s="6977"/>
      <c r="CB67" s="169"/>
      <c r="CC67" s="169"/>
      <c r="CD67" s="169"/>
    </row>
    <row r="68" spans="78:83" x14ac:dyDescent="0.55000000000000004">
      <c r="BZ68" s="6977"/>
      <c r="CB68" s="169"/>
      <c r="CC68" s="169"/>
      <c r="CD68" s="169"/>
    </row>
    <row r="69" spans="78:83" x14ac:dyDescent="0.55000000000000004">
      <c r="BZ69" s="6977"/>
      <c r="CB69" s="169"/>
      <c r="CC69" s="169"/>
      <c r="CD69" s="169"/>
      <c r="CE69" s="1"/>
    </row>
    <row r="70" spans="78:83" x14ac:dyDescent="0.55000000000000004">
      <c r="BZ70" s="6977"/>
      <c r="CB70" s="169"/>
      <c r="CC70" s="169"/>
      <c r="CD70" s="169"/>
    </row>
    <row r="71" spans="78:83" x14ac:dyDescent="0.55000000000000004">
      <c r="BZ71" s="6977"/>
      <c r="CB71" s="169"/>
      <c r="CC71" s="169"/>
      <c r="CD71" s="169"/>
      <c r="CE71" s="1"/>
    </row>
    <row r="72" spans="78:83" x14ac:dyDescent="0.55000000000000004">
      <c r="BZ72" s="6977"/>
      <c r="CB72" s="169"/>
      <c r="CC72" s="169"/>
      <c r="CD72" s="169"/>
    </row>
    <row r="73" spans="78:83" x14ac:dyDescent="0.55000000000000004">
      <c r="BZ73" s="6977"/>
      <c r="CB73" s="169"/>
      <c r="CC73" s="169"/>
      <c r="CD73" s="169"/>
      <c r="CE73" s="1"/>
    </row>
    <row r="74" spans="78:83" x14ac:dyDescent="0.55000000000000004">
      <c r="CB74" s="169"/>
      <c r="CC74" s="169"/>
      <c r="CD74" s="169"/>
    </row>
    <row r="75" spans="78:83" x14ac:dyDescent="0.55000000000000004">
      <c r="CB75" s="169"/>
      <c r="CC75" s="169"/>
      <c r="CD75" s="169"/>
      <c r="CE75" s="1"/>
    </row>
    <row r="76" spans="78:83" x14ac:dyDescent="0.55000000000000004">
      <c r="CB76" s="169"/>
      <c r="CC76" s="169"/>
      <c r="CD76" s="169"/>
    </row>
    <row r="77" spans="78:83" x14ac:dyDescent="0.55000000000000004">
      <c r="CB77" s="169"/>
      <c r="CC77" s="169"/>
      <c r="CD77" s="169"/>
      <c r="CE77" s="1"/>
    </row>
    <row r="78" spans="78:83" x14ac:dyDescent="0.55000000000000004">
      <c r="CB78" s="169"/>
      <c r="CC78" s="169"/>
      <c r="CD78" s="169"/>
    </row>
    <row r="79" spans="78:83" x14ac:dyDescent="0.55000000000000004">
      <c r="CB79" s="169"/>
      <c r="CC79" s="169"/>
      <c r="CD79" s="169"/>
      <c r="CE79" s="1"/>
    </row>
    <row r="80" spans="78:83" x14ac:dyDescent="0.55000000000000004">
      <c r="CB80" s="169"/>
      <c r="CC80" s="169"/>
      <c r="CD80" s="169"/>
    </row>
    <row r="81" spans="80:83" x14ac:dyDescent="0.55000000000000004">
      <c r="CB81" s="169"/>
      <c r="CC81" s="169"/>
      <c r="CD81" s="169"/>
      <c r="CE81" s="1"/>
    </row>
    <row r="82" spans="80:83" x14ac:dyDescent="0.55000000000000004">
      <c r="CB82" s="169"/>
      <c r="CC82" s="169"/>
      <c r="CD82" s="169"/>
    </row>
    <row r="83" spans="80:83" x14ac:dyDescent="0.55000000000000004">
      <c r="CB83" s="169"/>
      <c r="CC83" s="169"/>
      <c r="CD83" s="169"/>
      <c r="CE83" s="1"/>
    </row>
    <row r="84" spans="80:83" x14ac:dyDescent="0.55000000000000004">
      <c r="CB84" s="169"/>
      <c r="CC84" s="169"/>
      <c r="CD84" s="169"/>
    </row>
    <row r="85" spans="80:83" x14ac:dyDescent="0.55000000000000004">
      <c r="CB85" s="169"/>
      <c r="CC85" s="169"/>
      <c r="CD85" s="169"/>
      <c r="CE85" s="1"/>
    </row>
    <row r="86" spans="80:83" x14ac:dyDescent="0.55000000000000004">
      <c r="CB86" s="169"/>
      <c r="CC86" s="169"/>
      <c r="CD86" s="169"/>
    </row>
    <row r="87" spans="80:83" x14ac:dyDescent="0.55000000000000004">
      <c r="CB87" s="169"/>
      <c r="CC87" s="169"/>
      <c r="CD87" s="169"/>
      <c r="CE87" s="1"/>
    </row>
    <row r="88" spans="80:83" x14ac:dyDescent="0.55000000000000004">
      <c r="CB88" s="169"/>
      <c r="CC88" s="169"/>
      <c r="CD88" s="169"/>
    </row>
    <row r="89" spans="80:83" x14ac:dyDescent="0.55000000000000004">
      <c r="CB89" s="169"/>
      <c r="CC89" s="169"/>
      <c r="CD89" s="169"/>
      <c r="CE89" s="1"/>
    </row>
    <row r="90" spans="80:83" x14ac:dyDescent="0.55000000000000004">
      <c r="CB90" s="169"/>
      <c r="CC90" s="169"/>
      <c r="CD90" s="169"/>
    </row>
    <row r="91" spans="80:83" x14ac:dyDescent="0.55000000000000004">
      <c r="CB91" s="169"/>
      <c r="CC91" s="169"/>
      <c r="CD91" s="169"/>
      <c r="CE91" s="1"/>
    </row>
    <row r="92" spans="80:83" x14ac:dyDescent="0.55000000000000004">
      <c r="CB92" s="169"/>
      <c r="CC92" s="169"/>
      <c r="CD92" s="169"/>
    </row>
    <row r="93" spans="80:83" x14ac:dyDescent="0.55000000000000004">
      <c r="CB93" s="169"/>
      <c r="CC93" s="169"/>
      <c r="CD93" s="169"/>
      <c r="CE93" s="1"/>
    </row>
    <row r="94" spans="80:83" x14ac:dyDescent="0.55000000000000004">
      <c r="CB94" s="169"/>
      <c r="CC94" s="169"/>
      <c r="CD94" s="169"/>
    </row>
    <row r="95" spans="80:83" x14ac:dyDescent="0.55000000000000004">
      <c r="CB95" s="169"/>
      <c r="CC95" s="169"/>
      <c r="CD95" s="169"/>
      <c r="CE95" s="1"/>
    </row>
    <row r="96" spans="80:83" x14ac:dyDescent="0.55000000000000004">
      <c r="CB96" s="169"/>
      <c r="CC96" s="169"/>
      <c r="CD96" s="169"/>
    </row>
    <row r="97" spans="80:83" x14ac:dyDescent="0.55000000000000004">
      <c r="CB97" s="169"/>
      <c r="CC97" s="169"/>
      <c r="CD97" s="169"/>
      <c r="CE97" s="1"/>
    </row>
    <row r="98" spans="80:83" x14ac:dyDescent="0.55000000000000004">
      <c r="CB98" s="169"/>
      <c r="CC98" s="169"/>
      <c r="CD98" s="169"/>
    </row>
    <row r="99" spans="80:83" x14ac:dyDescent="0.55000000000000004">
      <c r="CB99" s="169"/>
      <c r="CC99" s="169"/>
      <c r="CD99" s="169"/>
      <c r="CE99" s="1"/>
    </row>
    <row r="100" spans="80:83" x14ac:dyDescent="0.55000000000000004">
      <c r="CB100" s="169"/>
      <c r="CC100" s="169"/>
      <c r="CD100" s="169"/>
    </row>
    <row r="101" spans="80:83" x14ac:dyDescent="0.55000000000000004">
      <c r="CB101" s="169"/>
      <c r="CC101" s="169"/>
      <c r="CD101" s="169"/>
      <c r="CE101" s="1"/>
    </row>
    <row r="102" spans="80:83" x14ac:dyDescent="0.55000000000000004">
      <c r="CB102" s="169"/>
      <c r="CC102" s="169"/>
      <c r="CD102" s="169"/>
    </row>
    <row r="103" spans="80:83" x14ac:dyDescent="0.55000000000000004">
      <c r="CB103" s="169"/>
      <c r="CC103" s="169"/>
      <c r="CD103" s="169"/>
      <c r="CE103" s="1"/>
    </row>
    <row r="104" spans="80:83" x14ac:dyDescent="0.55000000000000004">
      <c r="CB104" s="169"/>
      <c r="CC104" s="169"/>
      <c r="CD104" s="169"/>
    </row>
    <row r="105" spans="80:83" x14ac:dyDescent="0.55000000000000004">
      <c r="CB105" s="169"/>
      <c r="CC105" s="169"/>
      <c r="CD105" s="169"/>
      <c r="CE105" s="1"/>
    </row>
    <row r="106" spans="80:83" x14ac:dyDescent="0.55000000000000004">
      <c r="CB106" s="169"/>
      <c r="CC106" s="169"/>
      <c r="CD106" s="169"/>
    </row>
    <row r="107" spans="80:83" x14ac:dyDescent="0.55000000000000004">
      <c r="CB107" s="169"/>
      <c r="CC107" s="169"/>
      <c r="CD107" s="169"/>
      <c r="CE107" s="1"/>
    </row>
    <row r="108" spans="80:83" x14ac:dyDescent="0.55000000000000004">
      <c r="CB108" s="169"/>
      <c r="CC108" s="169"/>
      <c r="CD108" s="169"/>
    </row>
    <row r="109" spans="80:83" x14ac:dyDescent="0.55000000000000004">
      <c r="CB109" s="169"/>
      <c r="CC109" s="169"/>
      <c r="CD109" s="169"/>
      <c r="CE109" s="1"/>
    </row>
    <row r="110" spans="80:83" x14ac:dyDescent="0.55000000000000004">
      <c r="CB110" s="169"/>
      <c r="CC110" s="169"/>
      <c r="CD110" s="169"/>
    </row>
    <row r="111" spans="80:83" x14ac:dyDescent="0.55000000000000004">
      <c r="CB111" s="169"/>
      <c r="CC111" s="169"/>
      <c r="CD111" s="169"/>
      <c r="CE111" s="1"/>
    </row>
    <row r="112" spans="80:83" x14ac:dyDescent="0.55000000000000004">
      <c r="CB112" s="169"/>
      <c r="CC112" s="169"/>
      <c r="CD112" s="169"/>
    </row>
    <row r="113" spans="80:83" x14ac:dyDescent="0.55000000000000004">
      <c r="CB113" s="169"/>
      <c r="CC113" s="169"/>
      <c r="CD113" s="169"/>
      <c r="CE113" s="1"/>
    </row>
    <row r="114" spans="80:83" x14ac:dyDescent="0.55000000000000004">
      <c r="CB114" s="169"/>
      <c r="CC114" s="169"/>
      <c r="CD114" s="169"/>
    </row>
    <row r="115" spans="80:83" x14ac:dyDescent="0.55000000000000004">
      <c r="CB115" s="169"/>
      <c r="CC115" s="169"/>
      <c r="CD115" s="169"/>
      <c r="CE115" s="1"/>
    </row>
    <row r="116" spans="80:83" x14ac:dyDescent="0.55000000000000004">
      <c r="CB116" s="169"/>
      <c r="CC116" s="169"/>
      <c r="CD116" s="169"/>
    </row>
    <row r="117" spans="80:83" x14ac:dyDescent="0.55000000000000004">
      <c r="CB117" s="169"/>
      <c r="CC117" s="169"/>
      <c r="CD117" s="169"/>
      <c r="CE117" s="1"/>
    </row>
    <row r="118" spans="80:83" x14ac:dyDescent="0.55000000000000004">
      <c r="CB118" s="169"/>
      <c r="CC118" s="169"/>
      <c r="CD118" s="169"/>
    </row>
    <row r="119" spans="80:83" x14ac:dyDescent="0.55000000000000004">
      <c r="CB119" s="169"/>
      <c r="CC119" s="169"/>
      <c r="CD119" s="169"/>
      <c r="CE119" s="1"/>
    </row>
    <row r="120" spans="80:83" x14ac:dyDescent="0.55000000000000004">
      <c r="CB120" s="169"/>
      <c r="CC120" s="169"/>
      <c r="CD120" s="169"/>
    </row>
    <row r="121" spans="80:83" x14ac:dyDescent="0.55000000000000004">
      <c r="CB121" s="169"/>
      <c r="CC121" s="169"/>
      <c r="CD121" s="169"/>
      <c r="CE121" s="1"/>
    </row>
    <row r="122" spans="80:83" x14ac:dyDescent="0.55000000000000004">
      <c r="CB122" s="169"/>
      <c r="CC122" s="169"/>
      <c r="CD122" s="169"/>
    </row>
    <row r="123" spans="80:83" x14ac:dyDescent="0.55000000000000004">
      <c r="CB123" s="169"/>
      <c r="CC123" s="169"/>
      <c r="CD123" s="169"/>
      <c r="CE123" s="1"/>
    </row>
    <row r="124" spans="80:83" x14ac:dyDescent="0.55000000000000004">
      <c r="CB124" s="169"/>
      <c r="CC124" s="169"/>
      <c r="CD124" s="169"/>
    </row>
    <row r="125" spans="80:83" x14ac:dyDescent="0.55000000000000004">
      <c r="CB125" s="169"/>
      <c r="CC125" s="169"/>
      <c r="CD125" s="169"/>
      <c r="CE125" s="1"/>
    </row>
    <row r="126" spans="80:83" x14ac:dyDescent="0.55000000000000004">
      <c r="CB126" s="169"/>
      <c r="CC126" s="169"/>
      <c r="CD126" s="169"/>
    </row>
    <row r="127" spans="80:83" x14ac:dyDescent="0.55000000000000004">
      <c r="CB127" s="169"/>
      <c r="CC127" s="169"/>
      <c r="CD127" s="169"/>
      <c r="CE127" s="1"/>
    </row>
    <row r="128" spans="80:83" x14ac:dyDescent="0.55000000000000004">
      <c r="CB128" s="169"/>
      <c r="CC128" s="169"/>
      <c r="CD128" s="169"/>
    </row>
    <row r="129" spans="80:83" x14ac:dyDescent="0.55000000000000004">
      <c r="CB129" s="169"/>
      <c r="CC129" s="169"/>
      <c r="CD129" s="169"/>
      <c r="CE129" s="1"/>
    </row>
    <row r="130" spans="80:83" x14ac:dyDescent="0.55000000000000004">
      <c r="CB130" s="169"/>
      <c r="CC130" s="169"/>
      <c r="CD130" s="169"/>
    </row>
    <row r="131" spans="80:83" x14ac:dyDescent="0.55000000000000004">
      <c r="CB131" s="169"/>
      <c r="CC131" s="169"/>
      <c r="CD131" s="169"/>
      <c r="CE131" s="1"/>
    </row>
    <row r="132" spans="80:83" x14ac:dyDescent="0.55000000000000004">
      <c r="CB132" s="169"/>
      <c r="CC132" s="169"/>
      <c r="CD132" s="169"/>
    </row>
    <row r="133" spans="80:83" x14ac:dyDescent="0.55000000000000004">
      <c r="CB133" s="169"/>
      <c r="CC133" s="169"/>
      <c r="CD133" s="169"/>
      <c r="CE133" s="1"/>
    </row>
    <row r="134" spans="80:83" x14ac:dyDescent="0.55000000000000004">
      <c r="CB134" s="169"/>
      <c r="CC134" s="169"/>
      <c r="CD134" s="169"/>
    </row>
    <row r="135" spans="80:83" x14ac:dyDescent="0.55000000000000004">
      <c r="CB135" s="169"/>
      <c r="CC135" s="169"/>
      <c r="CD135" s="169"/>
      <c r="CE135" s="1"/>
    </row>
    <row r="136" spans="80:83" x14ac:dyDescent="0.55000000000000004">
      <c r="CB136" s="169"/>
      <c r="CC136" s="169"/>
      <c r="CD136" s="169"/>
    </row>
    <row r="137" spans="80:83" x14ac:dyDescent="0.55000000000000004">
      <c r="CB137" s="169"/>
      <c r="CC137" s="169"/>
      <c r="CD137" s="169"/>
      <c r="CE137" s="1"/>
    </row>
    <row r="138" spans="80:83" x14ac:dyDescent="0.55000000000000004">
      <c r="CB138" s="169"/>
      <c r="CC138" s="169"/>
      <c r="CD138" s="169"/>
    </row>
    <row r="139" spans="80:83" x14ac:dyDescent="0.55000000000000004">
      <c r="CB139" s="169"/>
      <c r="CC139" s="169"/>
      <c r="CD139" s="169"/>
      <c r="CE139" s="1"/>
    </row>
    <row r="140" spans="80:83" x14ac:dyDescent="0.55000000000000004">
      <c r="CB140" s="169"/>
      <c r="CC140" s="169"/>
      <c r="CD140" s="169"/>
    </row>
    <row r="141" spans="80:83" x14ac:dyDescent="0.55000000000000004">
      <c r="CB141" s="169"/>
      <c r="CC141" s="169"/>
      <c r="CD141" s="169"/>
      <c r="CE141" s="1"/>
    </row>
    <row r="142" spans="80:83" x14ac:dyDescent="0.55000000000000004">
      <c r="CB142" s="169"/>
      <c r="CC142" s="169"/>
      <c r="CD142" s="169"/>
    </row>
    <row r="143" spans="80:83" x14ac:dyDescent="0.55000000000000004">
      <c r="CB143" s="169"/>
      <c r="CC143" s="169"/>
      <c r="CD143" s="169"/>
      <c r="CE143" s="1"/>
    </row>
    <row r="144" spans="80:83" x14ac:dyDescent="0.55000000000000004">
      <c r="CB144" s="169"/>
      <c r="CC144" s="169"/>
      <c r="CD144" s="169"/>
    </row>
    <row r="145" spans="80:83" x14ac:dyDescent="0.55000000000000004">
      <c r="CB145" s="169"/>
      <c r="CC145" s="169"/>
      <c r="CD145" s="169"/>
      <c r="CE145" s="1"/>
    </row>
    <row r="146" spans="80:83" x14ac:dyDescent="0.55000000000000004">
      <c r="CB146" s="169"/>
      <c r="CC146" s="169"/>
      <c r="CD146" s="169"/>
    </row>
    <row r="147" spans="80:83" x14ac:dyDescent="0.55000000000000004">
      <c r="CB147" s="169"/>
      <c r="CC147" s="169"/>
      <c r="CD147" s="169"/>
      <c r="CE147" s="1"/>
    </row>
    <row r="148" spans="80:83" x14ac:dyDescent="0.55000000000000004">
      <c r="CB148" s="169"/>
      <c r="CC148" s="169"/>
      <c r="CD148" s="169"/>
    </row>
    <row r="149" spans="80:83" x14ac:dyDescent="0.55000000000000004">
      <c r="CB149" s="169"/>
      <c r="CC149" s="169"/>
      <c r="CD149" s="169"/>
      <c r="CE149" s="1"/>
    </row>
    <row r="150" spans="80:83" x14ac:dyDescent="0.55000000000000004">
      <c r="CB150" s="169"/>
      <c r="CC150" s="169"/>
      <c r="CD150" s="169"/>
    </row>
    <row r="151" spans="80:83" x14ac:dyDescent="0.55000000000000004">
      <c r="CB151" s="169"/>
      <c r="CC151" s="169"/>
      <c r="CD151" s="169"/>
      <c r="CE151" s="1"/>
    </row>
    <row r="152" spans="80:83" x14ac:dyDescent="0.55000000000000004">
      <c r="CB152" s="169"/>
      <c r="CC152" s="169"/>
      <c r="CD152" s="169"/>
    </row>
    <row r="153" spans="80:83" x14ac:dyDescent="0.55000000000000004">
      <c r="CB153" s="169"/>
      <c r="CC153" s="169"/>
      <c r="CD153" s="169"/>
      <c r="CE153" s="1"/>
    </row>
    <row r="154" spans="80:83" x14ac:dyDescent="0.55000000000000004">
      <c r="CB154" s="169"/>
      <c r="CC154" s="169"/>
      <c r="CD154" s="169"/>
    </row>
    <row r="155" spans="80:83" x14ac:dyDescent="0.55000000000000004">
      <c r="CB155" s="169"/>
      <c r="CC155" s="169"/>
      <c r="CD155" s="169"/>
      <c r="CE155" s="1"/>
    </row>
    <row r="156" spans="80:83" x14ac:dyDescent="0.55000000000000004">
      <c r="CB156" s="169"/>
      <c r="CC156" s="169"/>
      <c r="CD156" s="169"/>
    </row>
    <row r="157" spans="80:83" x14ac:dyDescent="0.55000000000000004">
      <c r="CB157" s="169"/>
      <c r="CC157" s="169"/>
      <c r="CD157" s="169"/>
      <c r="CE157" s="1"/>
    </row>
    <row r="158" spans="80:83" x14ac:dyDescent="0.55000000000000004">
      <c r="CB158" s="169"/>
      <c r="CC158" s="169"/>
      <c r="CD158" s="169"/>
    </row>
    <row r="159" spans="80:83" x14ac:dyDescent="0.55000000000000004">
      <c r="CB159" s="169"/>
      <c r="CC159" s="169"/>
      <c r="CD159" s="169"/>
      <c r="CE159" s="1"/>
    </row>
    <row r="160" spans="80:83" x14ac:dyDescent="0.55000000000000004">
      <c r="CB160" s="169"/>
      <c r="CC160" s="169"/>
      <c r="CD160" s="169"/>
    </row>
    <row r="161" spans="80:83" x14ac:dyDescent="0.55000000000000004">
      <c r="CB161" s="169"/>
      <c r="CC161" s="169"/>
      <c r="CD161" s="169"/>
      <c r="CE161" s="1"/>
    </row>
    <row r="162" spans="80:83" x14ac:dyDescent="0.55000000000000004">
      <c r="CB162" s="169"/>
      <c r="CC162" s="169"/>
      <c r="CD162" s="169"/>
    </row>
    <row r="163" spans="80:83" x14ac:dyDescent="0.55000000000000004">
      <c r="CB163" s="169"/>
      <c r="CC163" s="169"/>
      <c r="CD163" s="169"/>
      <c r="CE163" s="1"/>
    </row>
    <row r="164" spans="80:83" x14ac:dyDescent="0.55000000000000004">
      <c r="CB164" s="172"/>
      <c r="CC164" s="172"/>
      <c r="CD164" s="172"/>
    </row>
    <row r="165" spans="80:83" x14ac:dyDescent="0.55000000000000004">
      <c r="CB165" s="172"/>
      <c r="CC165" s="172"/>
      <c r="CD165" s="172"/>
    </row>
    <row r="166" spans="80:83" x14ac:dyDescent="0.55000000000000004">
      <c r="CB166" s="172"/>
      <c r="CC166" s="172"/>
      <c r="CD166" s="172"/>
    </row>
    <row r="167" spans="80:83" x14ac:dyDescent="0.55000000000000004">
      <c r="CB167" s="172"/>
      <c r="CC167" s="172"/>
      <c r="CD167" s="172"/>
    </row>
    <row r="168" spans="80:83" x14ac:dyDescent="0.55000000000000004">
      <c r="CB168" s="172"/>
      <c r="CC168" s="172"/>
      <c r="CD168" s="172"/>
    </row>
    <row r="169" spans="80:83" x14ac:dyDescent="0.55000000000000004">
      <c r="CB169" s="172"/>
      <c r="CC169" s="172"/>
      <c r="CD169" s="172"/>
    </row>
    <row r="170" spans="80:83" x14ac:dyDescent="0.55000000000000004">
      <c r="CB170" s="172"/>
      <c r="CC170" s="172"/>
      <c r="CD170" s="172"/>
    </row>
    <row r="171" spans="80:83" x14ac:dyDescent="0.55000000000000004">
      <c r="CB171" s="172"/>
      <c r="CC171" s="172"/>
      <c r="CD171" s="172"/>
    </row>
    <row r="172" spans="80:83" x14ac:dyDescent="0.55000000000000004">
      <c r="CB172" s="172"/>
      <c r="CC172" s="172"/>
      <c r="CD172" s="172"/>
    </row>
    <row r="173" spans="80:83" x14ac:dyDescent="0.55000000000000004">
      <c r="CB173" s="172"/>
      <c r="CC173" s="172"/>
      <c r="CD173" s="172"/>
    </row>
    <row r="174" spans="80:83" x14ac:dyDescent="0.55000000000000004">
      <c r="CB174" s="172"/>
      <c r="CC174" s="172"/>
      <c r="CD174" s="172"/>
      <c r="CE174" s="61"/>
    </row>
    <row r="175" spans="80:83" x14ac:dyDescent="0.55000000000000004">
      <c r="CB175" s="172"/>
      <c r="CC175" s="172"/>
      <c r="CD175" s="172"/>
      <c r="CE175" s="61"/>
    </row>
    <row r="176" spans="80:83" x14ac:dyDescent="0.55000000000000004">
      <c r="CB176" s="172"/>
      <c r="CC176" s="172"/>
      <c r="CD176" s="172"/>
      <c r="CE176" s="61"/>
    </row>
    <row r="177" spans="80:82" x14ac:dyDescent="0.55000000000000004">
      <c r="CB177" s="172"/>
      <c r="CC177" s="172"/>
      <c r="CD177" s="172"/>
    </row>
    <row r="178" spans="80:82" x14ac:dyDescent="0.55000000000000004">
      <c r="CB178" s="172"/>
      <c r="CC178" s="172"/>
      <c r="CD178" s="172"/>
    </row>
    <row r="179" spans="80:82" x14ac:dyDescent="0.55000000000000004">
      <c r="CB179" s="172"/>
      <c r="CC179" s="172"/>
      <c r="CD179" s="172"/>
    </row>
    <row r="180" spans="80:82" x14ac:dyDescent="0.55000000000000004">
      <c r="CB180" s="172"/>
      <c r="CC180" s="172"/>
      <c r="CD180" s="172"/>
    </row>
    <row r="181" spans="80:82" x14ac:dyDescent="0.55000000000000004">
      <c r="CB181" s="172"/>
      <c r="CC181" s="172"/>
      <c r="CD181" s="172"/>
    </row>
    <row r="182" spans="80:82" x14ac:dyDescent="0.55000000000000004">
      <c r="CB182" s="172"/>
      <c r="CC182" s="172"/>
      <c r="CD182" s="172"/>
    </row>
    <row r="183" spans="80:82" x14ac:dyDescent="0.55000000000000004">
      <c r="CB183" s="172"/>
      <c r="CC183" s="172"/>
      <c r="CD183" s="172"/>
    </row>
    <row r="184" spans="80:82" x14ac:dyDescent="0.55000000000000004">
      <c r="CB184" s="172"/>
      <c r="CC184" s="172"/>
      <c r="CD184" s="172"/>
    </row>
    <row r="185" spans="80:82" x14ac:dyDescent="0.55000000000000004">
      <c r="CB185" s="172"/>
      <c r="CC185" s="172"/>
      <c r="CD185" s="172"/>
    </row>
    <row r="186" spans="80:82" x14ac:dyDescent="0.55000000000000004">
      <c r="CB186" s="172"/>
      <c r="CC186" s="172"/>
      <c r="CD186" s="172"/>
    </row>
    <row r="187" spans="80:82" x14ac:dyDescent="0.55000000000000004">
      <c r="CB187" s="172"/>
      <c r="CC187" s="172"/>
      <c r="CD187" s="172"/>
    </row>
    <row r="188" spans="80:82" x14ac:dyDescent="0.55000000000000004">
      <c r="CB188" s="172"/>
      <c r="CC188" s="172"/>
      <c r="CD188" s="172"/>
    </row>
    <row r="189" spans="80:82" x14ac:dyDescent="0.55000000000000004">
      <c r="CB189" s="172"/>
      <c r="CC189" s="172"/>
      <c r="CD189" s="172"/>
    </row>
    <row r="190" spans="80:82" x14ac:dyDescent="0.55000000000000004">
      <c r="CB190" s="172"/>
      <c r="CC190" s="172"/>
      <c r="CD190" s="172"/>
    </row>
    <row r="191" spans="80:82" x14ac:dyDescent="0.55000000000000004">
      <c r="CB191" s="172"/>
      <c r="CC191" s="172"/>
      <c r="CD191" s="172"/>
    </row>
    <row r="192" spans="80:82" x14ac:dyDescent="0.55000000000000004">
      <c r="CB192" s="172"/>
      <c r="CC192" s="172"/>
      <c r="CD192" s="172"/>
    </row>
    <row r="193" spans="80:82" x14ac:dyDescent="0.55000000000000004">
      <c r="CB193" s="172"/>
      <c r="CC193" s="172"/>
      <c r="CD193" s="172"/>
    </row>
    <row r="194" spans="80:82" x14ac:dyDescent="0.55000000000000004">
      <c r="CB194" s="172"/>
      <c r="CC194" s="172"/>
      <c r="CD194" s="172"/>
    </row>
    <row r="195" spans="80:82" x14ac:dyDescent="0.55000000000000004">
      <c r="CB195" s="172"/>
      <c r="CC195" s="172"/>
      <c r="CD195" s="172"/>
    </row>
    <row r="196" spans="80:82" x14ac:dyDescent="0.55000000000000004">
      <c r="CB196" s="172"/>
      <c r="CC196" s="172"/>
      <c r="CD196" s="172"/>
    </row>
    <row r="197" spans="80:82" x14ac:dyDescent="0.55000000000000004">
      <c r="CB197" s="172"/>
      <c r="CC197" s="172"/>
      <c r="CD197" s="172"/>
    </row>
    <row r="198" spans="80:82" x14ac:dyDescent="0.55000000000000004">
      <c r="CB198" s="172"/>
      <c r="CC198" s="172"/>
      <c r="CD198" s="172"/>
    </row>
    <row r="199" spans="80:82" x14ac:dyDescent="0.55000000000000004">
      <c r="CB199" s="172"/>
      <c r="CC199" s="172"/>
      <c r="CD199" s="172"/>
    </row>
    <row r="200" spans="80:82" x14ac:dyDescent="0.55000000000000004">
      <c r="CB200" s="172"/>
      <c r="CC200" s="172"/>
      <c r="CD200" s="172"/>
    </row>
    <row r="201" spans="80:82" x14ac:dyDescent="0.55000000000000004">
      <c r="CB201" s="172"/>
      <c r="CC201" s="172"/>
      <c r="CD201" s="172"/>
    </row>
    <row r="202" spans="80:82" x14ac:dyDescent="0.55000000000000004">
      <c r="CB202" s="172"/>
      <c r="CC202" s="172"/>
      <c r="CD202" s="172"/>
    </row>
    <row r="203" spans="80:82" x14ac:dyDescent="0.55000000000000004">
      <c r="CB203" s="172"/>
      <c r="CC203" s="172"/>
      <c r="CD203" s="172"/>
    </row>
    <row r="204" spans="80:82" x14ac:dyDescent="0.55000000000000004">
      <c r="CB204" s="172"/>
      <c r="CC204" s="172"/>
      <c r="CD204" s="172"/>
    </row>
    <row r="205" spans="80:82" x14ac:dyDescent="0.55000000000000004">
      <c r="CB205" s="172"/>
      <c r="CC205" s="172"/>
      <c r="CD205" s="172"/>
    </row>
    <row r="206" spans="80:82" x14ac:dyDescent="0.55000000000000004">
      <c r="CB206" s="172"/>
      <c r="CC206" s="172"/>
      <c r="CD206" s="172"/>
    </row>
    <row r="207" spans="80:82" x14ac:dyDescent="0.55000000000000004">
      <c r="CB207" s="172"/>
      <c r="CC207" s="172"/>
      <c r="CD207" s="172"/>
    </row>
    <row r="208" spans="80:82" x14ac:dyDescent="0.55000000000000004">
      <c r="CB208" s="172"/>
      <c r="CC208" s="172"/>
      <c r="CD208" s="172"/>
    </row>
    <row r="209" spans="80:83" x14ac:dyDescent="0.55000000000000004">
      <c r="CB209" s="172"/>
      <c r="CC209" s="172"/>
      <c r="CD209" s="172"/>
    </row>
    <row r="210" spans="80:83" x14ac:dyDescent="0.55000000000000004">
      <c r="CB210" s="172"/>
      <c r="CC210" s="172"/>
      <c r="CD210" s="172"/>
    </row>
    <row r="211" spans="80:83" x14ac:dyDescent="0.55000000000000004">
      <c r="CB211" s="172"/>
      <c r="CC211" s="172"/>
      <c r="CD211" s="172"/>
    </row>
    <row r="212" spans="80:83" x14ac:dyDescent="0.55000000000000004">
      <c r="CB212" s="172"/>
      <c r="CC212" s="172"/>
      <c r="CD212" s="172"/>
    </row>
    <row r="213" spans="80:83" x14ac:dyDescent="0.55000000000000004">
      <c r="CB213" s="172"/>
      <c r="CC213" s="172"/>
      <c r="CD213" s="172"/>
    </row>
    <row r="214" spans="80:83" x14ac:dyDescent="0.55000000000000004">
      <c r="CB214" s="172"/>
      <c r="CC214" s="172"/>
      <c r="CD214" s="172"/>
    </row>
    <row r="215" spans="80:83" x14ac:dyDescent="0.55000000000000004">
      <c r="CB215" s="172"/>
      <c r="CC215" s="172"/>
      <c r="CD215" s="172"/>
    </row>
    <row r="216" spans="80:83" x14ac:dyDescent="0.55000000000000004">
      <c r="CB216" s="172"/>
      <c r="CC216" s="172"/>
      <c r="CD216" s="172"/>
    </row>
    <row r="217" spans="80:83" x14ac:dyDescent="0.55000000000000004">
      <c r="CB217" s="172"/>
      <c r="CC217" s="172"/>
      <c r="CD217" s="172"/>
    </row>
    <row r="218" spans="80:83" x14ac:dyDescent="0.55000000000000004">
      <c r="CB218" s="172"/>
      <c r="CC218" s="172"/>
      <c r="CD218" s="172"/>
    </row>
    <row r="219" spans="80:83" x14ac:dyDescent="0.55000000000000004">
      <c r="CB219" s="172"/>
      <c r="CC219" s="172"/>
      <c r="CD219" s="172"/>
    </row>
    <row r="220" spans="80:83" x14ac:dyDescent="0.55000000000000004">
      <c r="CB220" s="172"/>
      <c r="CC220" s="172"/>
      <c r="CD220" s="172"/>
    </row>
    <row r="221" spans="80:83" x14ac:dyDescent="0.55000000000000004">
      <c r="CB221" s="172"/>
      <c r="CC221" s="172"/>
      <c r="CD221" s="172"/>
      <c r="CE221" s="61"/>
    </row>
    <row r="222" spans="80:83" x14ac:dyDescent="0.55000000000000004">
      <c r="CB222" s="172"/>
      <c r="CC222" s="172"/>
      <c r="CD222" s="172"/>
      <c r="CE222" s="61"/>
    </row>
    <row r="223" spans="80:83" x14ac:dyDescent="0.55000000000000004">
      <c r="CB223" s="172"/>
      <c r="CC223" s="172"/>
      <c r="CD223" s="172"/>
      <c r="CE223" s="61"/>
    </row>
    <row r="224" spans="80:83" x14ac:dyDescent="0.55000000000000004">
      <c r="CB224" s="172"/>
      <c r="CC224" s="172"/>
      <c r="CD224" s="172"/>
    </row>
    <row r="225" spans="80:82" x14ac:dyDescent="0.55000000000000004">
      <c r="CB225" s="172"/>
      <c r="CC225" s="172"/>
      <c r="CD225" s="172"/>
    </row>
    <row r="226" spans="80:82" x14ac:dyDescent="0.55000000000000004">
      <c r="CB226" s="172"/>
      <c r="CC226" s="172"/>
      <c r="CD226" s="172"/>
    </row>
    <row r="227" spans="80:82" x14ac:dyDescent="0.55000000000000004">
      <c r="CB227" s="172"/>
      <c r="CC227" s="172"/>
      <c r="CD227" s="172"/>
    </row>
    <row r="228" spans="80:82" x14ac:dyDescent="0.55000000000000004">
      <c r="CB228" s="172"/>
      <c r="CC228" s="172"/>
      <c r="CD228" s="172"/>
    </row>
    <row r="229" spans="80:82" x14ac:dyDescent="0.55000000000000004">
      <c r="CB229" s="172"/>
      <c r="CC229" s="172"/>
      <c r="CD229" s="172"/>
    </row>
    <row r="230" spans="80:82" x14ac:dyDescent="0.55000000000000004">
      <c r="CB230" s="172"/>
      <c r="CC230" s="172"/>
      <c r="CD230" s="172"/>
    </row>
    <row r="231" spans="80:82" x14ac:dyDescent="0.55000000000000004">
      <c r="CB231" s="172"/>
      <c r="CC231" s="172"/>
      <c r="CD231" s="172"/>
    </row>
    <row r="232" spans="80:82" x14ac:dyDescent="0.55000000000000004">
      <c r="CB232" s="172"/>
      <c r="CC232" s="172"/>
      <c r="CD232" s="172"/>
    </row>
    <row r="233" spans="80:82" x14ac:dyDescent="0.55000000000000004">
      <c r="CB233" s="172"/>
      <c r="CC233" s="172"/>
      <c r="CD233" s="172"/>
    </row>
    <row r="234" spans="80:82" x14ac:dyDescent="0.55000000000000004">
      <c r="CB234" s="172"/>
      <c r="CC234" s="172"/>
      <c r="CD234" s="172"/>
    </row>
    <row r="235" spans="80:82" x14ac:dyDescent="0.55000000000000004">
      <c r="CB235" s="172"/>
      <c r="CC235" s="172"/>
      <c r="CD235" s="172"/>
    </row>
    <row r="236" spans="80:82" x14ac:dyDescent="0.55000000000000004">
      <c r="CB236" s="172"/>
      <c r="CC236" s="172"/>
      <c r="CD236" s="172"/>
    </row>
    <row r="237" spans="80:82" x14ac:dyDescent="0.55000000000000004">
      <c r="CB237" s="172"/>
      <c r="CC237" s="172"/>
      <c r="CD237" s="172"/>
    </row>
    <row r="238" spans="80:82" x14ac:dyDescent="0.55000000000000004">
      <c r="CB238" s="172"/>
      <c r="CC238" s="172"/>
      <c r="CD238" s="172"/>
    </row>
    <row r="239" spans="80:82" x14ac:dyDescent="0.55000000000000004">
      <c r="CB239" s="172"/>
      <c r="CC239" s="172"/>
      <c r="CD239" s="172"/>
    </row>
    <row r="240" spans="80:82" x14ac:dyDescent="0.55000000000000004">
      <c r="CB240" s="172"/>
      <c r="CC240" s="172"/>
      <c r="CD240" s="172"/>
    </row>
    <row r="241" spans="80:82" x14ac:dyDescent="0.55000000000000004">
      <c r="CB241" s="172"/>
      <c r="CC241" s="172"/>
      <c r="CD241" s="172"/>
    </row>
    <row r="242" spans="80:82" x14ac:dyDescent="0.55000000000000004">
      <c r="CB242" s="172"/>
      <c r="CC242" s="172"/>
      <c r="CD242" s="172"/>
    </row>
    <row r="243" spans="80:82" x14ac:dyDescent="0.55000000000000004">
      <c r="CB243" s="172"/>
      <c r="CC243" s="172"/>
      <c r="CD243" s="172"/>
    </row>
    <row r="244" spans="80:82" x14ac:dyDescent="0.55000000000000004">
      <c r="CB244" s="172"/>
      <c r="CC244" s="172"/>
      <c r="CD244" s="172"/>
    </row>
    <row r="245" spans="80:82" x14ac:dyDescent="0.55000000000000004">
      <c r="CB245" s="172"/>
      <c r="CC245" s="172"/>
      <c r="CD245" s="172"/>
    </row>
    <row r="246" spans="80:82" x14ac:dyDescent="0.55000000000000004">
      <c r="CB246" s="172"/>
      <c r="CC246" s="172"/>
      <c r="CD246" s="172"/>
    </row>
    <row r="247" spans="80:82" x14ac:dyDescent="0.55000000000000004">
      <c r="CB247" s="172"/>
      <c r="CC247" s="172"/>
      <c r="CD247" s="172"/>
    </row>
    <row r="248" spans="80:82" x14ac:dyDescent="0.55000000000000004">
      <c r="CB248" s="172"/>
      <c r="CC248" s="172"/>
      <c r="CD248" s="172"/>
    </row>
    <row r="249" spans="80:82" x14ac:dyDescent="0.55000000000000004">
      <c r="CB249" s="172"/>
      <c r="CC249" s="172"/>
      <c r="CD249" s="172"/>
    </row>
    <row r="250" spans="80:82" x14ac:dyDescent="0.55000000000000004">
      <c r="CB250" s="172"/>
      <c r="CC250" s="172"/>
      <c r="CD250" s="172"/>
    </row>
    <row r="251" spans="80:82" x14ac:dyDescent="0.55000000000000004">
      <c r="CB251" s="172"/>
      <c r="CC251" s="172"/>
      <c r="CD251" s="172"/>
    </row>
    <row r="252" spans="80:82" x14ac:dyDescent="0.55000000000000004">
      <c r="CB252" s="172"/>
      <c r="CC252" s="172"/>
      <c r="CD252" s="172"/>
    </row>
    <row r="253" spans="80:82" x14ac:dyDescent="0.55000000000000004">
      <c r="CB253" s="172"/>
      <c r="CC253" s="172"/>
      <c r="CD253" s="172"/>
    </row>
    <row r="254" spans="80:82" x14ac:dyDescent="0.55000000000000004">
      <c r="CB254" s="172"/>
      <c r="CC254" s="172"/>
      <c r="CD254" s="172"/>
    </row>
    <row r="255" spans="80:82" x14ac:dyDescent="0.55000000000000004">
      <c r="CB255" s="172"/>
      <c r="CC255" s="172"/>
      <c r="CD255" s="172"/>
    </row>
    <row r="256" spans="80:82" x14ac:dyDescent="0.55000000000000004">
      <c r="CB256" s="172"/>
      <c r="CC256" s="172"/>
      <c r="CD256" s="172"/>
    </row>
    <row r="257" spans="80:83" x14ac:dyDescent="0.55000000000000004">
      <c r="CB257" s="172"/>
      <c r="CC257" s="172"/>
      <c r="CD257" s="172"/>
    </row>
    <row r="258" spans="80:83" x14ac:dyDescent="0.55000000000000004">
      <c r="CB258" s="172"/>
      <c r="CC258" s="172"/>
      <c r="CD258" s="172"/>
    </row>
    <row r="259" spans="80:83" x14ac:dyDescent="0.55000000000000004">
      <c r="CB259" s="172"/>
      <c r="CC259" s="172"/>
      <c r="CD259" s="172"/>
    </row>
    <row r="260" spans="80:83" x14ac:dyDescent="0.55000000000000004">
      <c r="CB260" s="172"/>
      <c r="CC260" s="172"/>
      <c r="CD260" s="172"/>
    </row>
    <row r="261" spans="80:83" x14ac:dyDescent="0.55000000000000004">
      <c r="CB261" s="172"/>
      <c r="CC261" s="172"/>
      <c r="CD261" s="172"/>
    </row>
    <row r="262" spans="80:83" x14ac:dyDescent="0.55000000000000004">
      <c r="CB262" s="172"/>
      <c r="CC262" s="172"/>
      <c r="CD262" s="172"/>
    </row>
    <row r="263" spans="80:83" x14ac:dyDescent="0.55000000000000004">
      <c r="CB263" s="172"/>
      <c r="CC263" s="172"/>
      <c r="CD263" s="172"/>
    </row>
    <row r="264" spans="80:83" x14ac:dyDescent="0.55000000000000004">
      <c r="CB264" s="172"/>
      <c r="CC264" s="172"/>
      <c r="CD264" s="172"/>
    </row>
    <row r="265" spans="80:83" x14ac:dyDescent="0.55000000000000004">
      <c r="CB265" s="172"/>
      <c r="CC265" s="172"/>
      <c r="CD265" s="172"/>
    </row>
    <row r="266" spans="80:83" x14ac:dyDescent="0.55000000000000004">
      <c r="CB266" s="172"/>
      <c r="CC266" s="172"/>
      <c r="CD266" s="172"/>
    </row>
    <row r="267" spans="80:83" x14ac:dyDescent="0.55000000000000004">
      <c r="CB267" s="172"/>
      <c r="CC267" s="172"/>
      <c r="CD267" s="172"/>
    </row>
    <row r="268" spans="80:83" x14ac:dyDescent="0.55000000000000004">
      <c r="CB268" s="172"/>
      <c r="CC268" s="172"/>
      <c r="CD268" s="172"/>
      <c r="CE268" s="61"/>
    </row>
    <row r="269" spans="80:83" x14ac:dyDescent="0.55000000000000004">
      <c r="CB269" s="172"/>
      <c r="CC269" s="172"/>
      <c r="CD269" s="172"/>
      <c r="CE269" s="61"/>
    </row>
    <row r="270" spans="80:83" x14ac:dyDescent="0.55000000000000004">
      <c r="CB270" s="172"/>
      <c r="CC270" s="172"/>
      <c r="CD270" s="172"/>
      <c r="CE270" s="61"/>
    </row>
    <row r="271" spans="80:83" x14ac:dyDescent="0.55000000000000004">
      <c r="CB271" s="172"/>
      <c r="CC271" s="172"/>
      <c r="CD271" s="172"/>
    </row>
    <row r="272" spans="80:83" x14ac:dyDescent="0.55000000000000004">
      <c r="CB272" s="172"/>
      <c r="CC272" s="172"/>
      <c r="CD272" s="172"/>
    </row>
    <row r="273" spans="80:83" x14ac:dyDescent="0.55000000000000004">
      <c r="CB273" s="172"/>
      <c r="CC273" s="172"/>
      <c r="CD273" s="172"/>
    </row>
    <row r="274" spans="80:83" x14ac:dyDescent="0.55000000000000004">
      <c r="CE274" s="1"/>
    </row>
    <row r="275" spans="80:83" x14ac:dyDescent="0.55000000000000004">
      <c r="CB275" s="171"/>
      <c r="CC275" s="171"/>
      <c r="CD275" s="171"/>
    </row>
    <row r="276" spans="80:83" x14ac:dyDescent="0.55000000000000004">
      <c r="CB276" s="171"/>
      <c r="CC276" s="171"/>
      <c r="CD276" s="171"/>
    </row>
    <row r="277" spans="80:83" x14ac:dyDescent="0.55000000000000004">
      <c r="CB277" s="171"/>
      <c r="CC277" s="171"/>
      <c r="CD277" s="171"/>
    </row>
    <row r="278" spans="80:83" x14ac:dyDescent="0.55000000000000004">
      <c r="CB278" s="171"/>
      <c r="CC278" s="171"/>
      <c r="CD278" s="171"/>
    </row>
    <row r="279" spans="80:83" x14ac:dyDescent="0.55000000000000004">
      <c r="CB279" s="171"/>
      <c r="CC279" s="171"/>
      <c r="CD279" s="171"/>
    </row>
    <row r="280" spans="80:83" x14ac:dyDescent="0.55000000000000004">
      <c r="CB280" s="171"/>
      <c r="CC280" s="171"/>
      <c r="CD280" s="171"/>
    </row>
    <row r="281" spans="80:83" x14ac:dyDescent="0.55000000000000004">
      <c r="CB281" s="171"/>
      <c r="CC281" s="171"/>
      <c r="CD281" s="171"/>
    </row>
    <row r="282" spans="80:83" x14ac:dyDescent="0.55000000000000004">
      <c r="CB282" s="171"/>
      <c r="CC282" s="171"/>
      <c r="CD282" s="171"/>
    </row>
    <row r="283" spans="80:83" x14ac:dyDescent="0.55000000000000004">
      <c r="CB283" s="171"/>
      <c r="CC283" s="171"/>
      <c r="CD283" s="171"/>
    </row>
    <row r="284" spans="80:83" x14ac:dyDescent="0.55000000000000004">
      <c r="CB284" s="171"/>
      <c r="CC284" s="171"/>
      <c r="CD284" s="171"/>
    </row>
    <row r="285" spans="80:83" x14ac:dyDescent="0.55000000000000004">
      <c r="CB285" s="171"/>
      <c r="CC285" s="171"/>
      <c r="CD285" s="171"/>
    </row>
    <row r="286" spans="80:83" x14ac:dyDescent="0.55000000000000004">
      <c r="CB286" s="171"/>
      <c r="CC286" s="171"/>
      <c r="CD286" s="171"/>
    </row>
    <row r="287" spans="80:83" x14ac:dyDescent="0.55000000000000004">
      <c r="CB287" s="171"/>
      <c r="CC287" s="171"/>
      <c r="CD287" s="171"/>
    </row>
    <row r="288" spans="80:83" x14ac:dyDescent="0.55000000000000004">
      <c r="CB288" s="171"/>
      <c r="CC288" s="171"/>
      <c r="CD288" s="171"/>
    </row>
    <row r="289" spans="80:83" x14ac:dyDescent="0.55000000000000004">
      <c r="CB289" s="171"/>
      <c r="CC289" s="171"/>
      <c r="CD289" s="171"/>
    </row>
    <row r="290" spans="80:83" x14ac:dyDescent="0.55000000000000004">
      <c r="CB290" s="172"/>
      <c r="CC290" s="172"/>
      <c r="CD290" s="172"/>
    </row>
    <row r="291" spans="80:83" x14ac:dyDescent="0.55000000000000004">
      <c r="CB291" s="172"/>
      <c r="CC291" s="172"/>
      <c r="CD291" s="172"/>
    </row>
    <row r="292" spans="80:83" x14ac:dyDescent="0.55000000000000004">
      <c r="CB292" s="172"/>
      <c r="CC292" s="172"/>
      <c r="CD292" s="172"/>
    </row>
    <row r="293" spans="80:83" x14ac:dyDescent="0.55000000000000004">
      <c r="CB293" s="3"/>
      <c r="CC293" s="3"/>
      <c r="CD293" s="3"/>
      <c r="CE293" s="3"/>
    </row>
    <row r="294" spans="80:83" x14ac:dyDescent="0.55000000000000004">
      <c r="CB294" s="90"/>
      <c r="CC294" s="90"/>
      <c r="CD294" s="90"/>
      <c r="CE294" s="90"/>
    </row>
    <row r="295" spans="80:83" ht="18" thickBot="1" x14ac:dyDescent="0.6">
      <c r="CB295" s="94"/>
      <c r="CC295" s="94"/>
      <c r="CD295" s="94"/>
      <c r="CE295" s="94"/>
    </row>
    <row r="296" spans="80:83" x14ac:dyDescent="0.55000000000000004">
      <c r="CB296" s="168"/>
      <c r="CC296" s="168"/>
      <c r="CD296" s="168"/>
      <c r="CE296" s="168"/>
    </row>
    <row r="297" spans="80:83" x14ac:dyDescent="0.55000000000000004">
      <c r="CB297" s="169"/>
      <c r="CC297" s="171"/>
      <c r="CD297" s="169"/>
      <c r="CE297" s="171"/>
    </row>
    <row r="298" spans="80:83" x14ac:dyDescent="0.55000000000000004">
      <c r="CB298" s="169"/>
      <c r="CC298" s="171"/>
      <c r="CD298" s="169"/>
      <c r="CE298" s="171"/>
    </row>
    <row r="299" spans="80:83" x14ac:dyDescent="0.55000000000000004">
      <c r="CB299" s="169"/>
      <c r="CC299" s="171"/>
      <c r="CD299" s="169"/>
      <c r="CE299" s="171"/>
    </row>
    <row r="300" spans="80:83" x14ac:dyDescent="0.55000000000000004">
      <c r="CB300" s="169"/>
      <c r="CC300" s="171"/>
      <c r="CD300" s="169"/>
      <c r="CE300" s="171"/>
    </row>
    <row r="301" spans="80:83" x14ac:dyDescent="0.55000000000000004">
      <c r="CB301" s="169"/>
      <c r="CC301" s="171"/>
      <c r="CD301" s="169"/>
      <c r="CE301" s="171"/>
    </row>
    <row r="302" spans="80:83" x14ac:dyDescent="0.55000000000000004">
      <c r="CB302" s="169"/>
      <c r="CC302" s="171"/>
      <c r="CD302" s="169"/>
      <c r="CE302" s="171"/>
    </row>
    <row r="303" spans="80:83" x14ac:dyDescent="0.55000000000000004">
      <c r="CB303" s="169"/>
      <c r="CC303" s="171"/>
      <c r="CD303" s="169"/>
      <c r="CE303" s="171"/>
    </row>
    <row r="304" spans="80:83" x14ac:dyDescent="0.55000000000000004">
      <c r="CB304" s="169"/>
      <c r="CC304" s="171"/>
      <c r="CD304" s="169"/>
      <c r="CE304" s="171"/>
    </row>
    <row r="305" spans="80:83" x14ac:dyDescent="0.55000000000000004">
      <c r="CB305" s="169"/>
      <c r="CC305" s="171"/>
      <c r="CD305" s="169"/>
      <c r="CE305" s="171"/>
    </row>
    <row r="306" spans="80:83" x14ac:dyDescent="0.55000000000000004">
      <c r="CB306" s="169"/>
      <c r="CC306" s="171"/>
      <c r="CD306" s="169"/>
      <c r="CE306" s="171"/>
    </row>
    <row r="307" spans="80:83" x14ac:dyDescent="0.55000000000000004">
      <c r="CB307" s="169"/>
      <c r="CC307" s="171"/>
      <c r="CD307" s="169"/>
      <c r="CE307" s="171"/>
    </row>
    <row r="308" spans="80:83" x14ac:dyDescent="0.55000000000000004">
      <c r="CB308" s="169"/>
      <c r="CC308" s="171"/>
      <c r="CD308" s="169"/>
      <c r="CE308" s="171"/>
    </row>
    <row r="309" spans="80:83" x14ac:dyDescent="0.55000000000000004">
      <c r="CB309" s="169"/>
      <c r="CC309" s="171"/>
      <c r="CD309" s="169"/>
      <c r="CE309" s="171"/>
    </row>
    <row r="310" spans="80:83" x14ac:dyDescent="0.55000000000000004">
      <c r="CB310" s="169"/>
      <c r="CC310" s="171"/>
      <c r="CD310" s="169"/>
      <c r="CE310" s="171"/>
    </row>
    <row r="311" spans="80:83" x14ac:dyDescent="0.55000000000000004">
      <c r="CB311" s="169"/>
      <c r="CC311" s="171"/>
      <c r="CD311" s="169"/>
      <c r="CE311" s="171"/>
    </row>
    <row r="312" spans="80:83" x14ac:dyDescent="0.55000000000000004">
      <c r="CB312" s="169"/>
      <c r="CC312" s="171"/>
      <c r="CD312" s="169"/>
      <c r="CE312" s="171"/>
    </row>
    <row r="313" spans="80:83" x14ac:dyDescent="0.55000000000000004">
      <c r="CB313" s="169"/>
      <c r="CC313" s="171"/>
      <c r="CD313" s="169"/>
      <c r="CE313" s="171"/>
    </row>
    <row r="314" spans="80:83" x14ac:dyDescent="0.55000000000000004">
      <c r="CB314" s="169"/>
      <c r="CC314" s="171"/>
      <c r="CD314" s="169"/>
      <c r="CE314" s="171"/>
    </row>
    <row r="315" spans="80:83" x14ac:dyDescent="0.55000000000000004">
      <c r="CB315" s="169"/>
      <c r="CC315" s="171"/>
      <c r="CD315" s="169"/>
      <c r="CE315" s="171"/>
    </row>
    <row r="316" spans="80:83" x14ac:dyDescent="0.55000000000000004">
      <c r="CB316" s="169"/>
      <c r="CC316" s="171"/>
      <c r="CD316" s="169"/>
      <c r="CE316" s="171"/>
    </row>
    <row r="317" spans="80:83" x14ac:dyDescent="0.55000000000000004">
      <c r="CB317" s="169"/>
      <c r="CC317" s="171"/>
      <c r="CD317" s="169"/>
      <c r="CE317" s="171"/>
    </row>
    <row r="318" spans="80:83" x14ac:dyDescent="0.55000000000000004">
      <c r="CB318" s="169"/>
      <c r="CC318" s="171"/>
      <c r="CD318" s="169"/>
      <c r="CE318" s="171"/>
    </row>
    <row r="319" spans="80:83" x14ac:dyDescent="0.55000000000000004">
      <c r="CB319" s="169"/>
      <c r="CC319" s="171"/>
      <c r="CD319" s="169"/>
      <c r="CE319" s="171"/>
    </row>
    <row r="320" spans="80:83" x14ac:dyDescent="0.55000000000000004">
      <c r="CB320" s="169"/>
      <c r="CC320" s="171"/>
      <c r="CD320" s="169"/>
      <c r="CE320" s="171"/>
    </row>
    <row r="321" spans="80:83" x14ac:dyDescent="0.55000000000000004">
      <c r="CB321" s="169"/>
      <c r="CC321" s="171"/>
      <c r="CD321" s="169"/>
      <c r="CE321" s="171"/>
    </row>
    <row r="322" spans="80:83" x14ac:dyDescent="0.55000000000000004">
      <c r="CB322" s="169"/>
      <c r="CC322" s="171"/>
      <c r="CD322" s="169"/>
      <c r="CE322" s="171"/>
    </row>
    <row r="323" spans="80:83" x14ac:dyDescent="0.55000000000000004">
      <c r="CB323" s="169"/>
      <c r="CC323" s="171"/>
      <c r="CD323" s="169"/>
      <c r="CE323" s="171"/>
    </row>
    <row r="324" spans="80:83" x14ac:dyDescent="0.55000000000000004">
      <c r="CB324" s="169"/>
      <c r="CC324" s="171"/>
      <c r="CD324" s="169"/>
      <c r="CE324" s="171"/>
    </row>
    <row r="325" spans="80:83" x14ac:dyDescent="0.55000000000000004">
      <c r="CB325" s="169"/>
      <c r="CC325" s="171"/>
      <c r="CD325" s="169"/>
      <c r="CE325" s="171"/>
    </row>
    <row r="326" spans="80:83" x14ac:dyDescent="0.55000000000000004">
      <c r="CB326" s="169"/>
      <c r="CC326" s="171"/>
      <c r="CD326" s="169"/>
      <c r="CE326" s="171"/>
    </row>
    <row r="327" spans="80:83" x14ac:dyDescent="0.55000000000000004">
      <c r="CB327" s="169"/>
      <c r="CC327" s="171"/>
      <c r="CD327" s="169"/>
      <c r="CE327" s="171"/>
    </row>
    <row r="328" spans="80:83" x14ac:dyDescent="0.55000000000000004">
      <c r="CB328" s="169"/>
      <c r="CC328" s="171"/>
      <c r="CD328" s="169"/>
      <c r="CE328" s="171"/>
    </row>
    <row r="329" spans="80:83" x14ac:dyDescent="0.55000000000000004">
      <c r="CB329" s="169"/>
      <c r="CC329" s="171"/>
      <c r="CD329" s="169"/>
      <c r="CE329" s="171"/>
    </row>
    <row r="330" spans="80:83" x14ac:dyDescent="0.55000000000000004">
      <c r="CB330" s="169"/>
      <c r="CC330" s="171"/>
      <c r="CD330" s="169"/>
      <c r="CE330" s="171"/>
    </row>
    <row r="331" spans="80:83" x14ac:dyDescent="0.55000000000000004">
      <c r="CB331" s="169"/>
      <c r="CC331" s="171"/>
      <c r="CD331" s="169"/>
      <c r="CE331" s="171"/>
    </row>
    <row r="332" spans="80:83" x14ac:dyDescent="0.55000000000000004">
      <c r="CB332" s="169"/>
      <c r="CC332" s="171"/>
      <c r="CD332" s="169"/>
      <c r="CE332" s="171"/>
    </row>
    <row r="333" spans="80:83" x14ac:dyDescent="0.55000000000000004">
      <c r="CB333" s="169"/>
      <c r="CC333" s="171"/>
      <c r="CD333" s="169"/>
      <c r="CE333" s="171"/>
    </row>
    <row r="334" spans="80:83" x14ac:dyDescent="0.55000000000000004">
      <c r="CB334" s="169"/>
      <c r="CC334" s="171"/>
      <c r="CD334" s="169"/>
      <c r="CE334" s="171"/>
    </row>
    <row r="335" spans="80:83" x14ac:dyDescent="0.55000000000000004">
      <c r="CB335" s="169"/>
      <c r="CC335" s="171"/>
      <c r="CD335" s="169"/>
      <c r="CE335" s="171"/>
    </row>
    <row r="336" spans="80:83" x14ac:dyDescent="0.55000000000000004">
      <c r="CB336" s="169"/>
      <c r="CC336" s="171"/>
      <c r="CD336" s="169"/>
      <c r="CE336" s="171"/>
    </row>
    <row r="337" spans="80:83" x14ac:dyDescent="0.55000000000000004">
      <c r="CB337" s="169"/>
      <c r="CC337" s="171"/>
      <c r="CD337" s="169"/>
      <c r="CE337" s="171"/>
    </row>
    <row r="338" spans="80:83" x14ac:dyDescent="0.55000000000000004">
      <c r="CB338" s="169"/>
      <c r="CC338" s="171"/>
      <c r="CD338" s="169"/>
      <c r="CE338" s="171"/>
    </row>
    <row r="339" spans="80:83" x14ac:dyDescent="0.55000000000000004">
      <c r="CB339" s="169"/>
      <c r="CC339" s="171"/>
      <c r="CD339" s="169"/>
      <c r="CE339" s="171"/>
    </row>
    <row r="340" spans="80:83" x14ac:dyDescent="0.55000000000000004">
      <c r="CB340" s="169"/>
      <c r="CC340" s="171"/>
      <c r="CD340" s="169"/>
      <c r="CE340" s="171"/>
    </row>
    <row r="341" spans="80:83" x14ac:dyDescent="0.55000000000000004">
      <c r="CB341" s="169"/>
      <c r="CC341" s="171"/>
      <c r="CD341" s="169"/>
      <c r="CE341" s="171"/>
    </row>
    <row r="342" spans="80:83" x14ac:dyDescent="0.55000000000000004">
      <c r="CB342" s="169"/>
      <c r="CC342" s="171"/>
      <c r="CD342" s="169"/>
      <c r="CE342" s="171"/>
    </row>
    <row r="343" spans="80:83" x14ac:dyDescent="0.55000000000000004">
      <c r="CB343" s="169"/>
      <c r="CC343" s="171"/>
      <c r="CD343" s="169"/>
      <c r="CE343" s="171"/>
    </row>
    <row r="344" spans="80:83" x14ac:dyDescent="0.55000000000000004">
      <c r="CB344" s="169"/>
      <c r="CC344" s="171"/>
      <c r="CD344" s="169"/>
      <c r="CE344" s="171"/>
    </row>
    <row r="345" spans="80:83" x14ac:dyDescent="0.55000000000000004">
      <c r="CB345" s="169"/>
      <c r="CC345" s="171"/>
      <c r="CD345" s="169"/>
      <c r="CE345" s="171"/>
    </row>
    <row r="346" spans="80:83" x14ac:dyDescent="0.55000000000000004">
      <c r="CB346" s="169"/>
      <c r="CC346" s="171"/>
      <c r="CD346" s="169"/>
      <c r="CE346" s="171"/>
    </row>
    <row r="347" spans="80:83" x14ac:dyDescent="0.55000000000000004">
      <c r="CB347" s="169"/>
      <c r="CC347" s="171"/>
      <c r="CD347" s="169"/>
      <c r="CE347" s="171"/>
    </row>
    <row r="348" spans="80:83" x14ac:dyDescent="0.55000000000000004">
      <c r="CB348" s="169"/>
      <c r="CC348" s="171"/>
      <c r="CD348" s="169"/>
      <c r="CE348" s="171"/>
    </row>
    <row r="350" spans="80:83" x14ac:dyDescent="0.55000000000000004">
      <c r="CB350" s="169"/>
      <c r="CC350" s="171"/>
      <c r="CD350" s="169"/>
      <c r="CE350" s="171"/>
    </row>
    <row r="351" spans="80:83" x14ac:dyDescent="0.55000000000000004">
      <c r="CB351" s="169"/>
      <c r="CC351" s="171"/>
      <c r="CD351" s="169"/>
      <c r="CE351" s="171"/>
    </row>
    <row r="352" spans="80:83" x14ac:dyDescent="0.55000000000000004">
      <c r="CB352" s="169"/>
      <c r="CC352" s="171"/>
      <c r="CD352" s="169"/>
      <c r="CE352" s="171"/>
    </row>
    <row r="353" spans="80:83" x14ac:dyDescent="0.55000000000000004">
      <c r="CB353" s="169"/>
      <c r="CC353" s="171"/>
      <c r="CD353" s="169"/>
      <c r="CE353" s="171"/>
    </row>
    <row r="354" spans="80:83" x14ac:dyDescent="0.55000000000000004">
      <c r="CB354" s="169"/>
      <c r="CC354" s="171"/>
      <c r="CD354" s="169"/>
      <c r="CE354" s="171"/>
    </row>
    <row r="355" spans="80:83" x14ac:dyDescent="0.55000000000000004">
      <c r="CB355" s="169"/>
      <c r="CC355" s="171"/>
      <c r="CD355" s="169"/>
      <c r="CE355" s="171"/>
    </row>
  </sheetData>
  <mergeCells count="12">
    <mergeCell ref="A4:A12"/>
    <mergeCell ref="A13:A22"/>
    <mergeCell ref="A23:A32"/>
    <mergeCell ref="A34:A38"/>
    <mergeCell ref="E41:R41"/>
    <mergeCell ref="BL41:BY41"/>
    <mergeCell ref="AW41:BJ41"/>
    <mergeCell ref="A57:A63"/>
    <mergeCell ref="AH41:AU41"/>
    <mergeCell ref="S41:AF41"/>
    <mergeCell ref="A43:A49"/>
    <mergeCell ref="A50:A56"/>
  </mergeCells>
  <phoneticPr fontId="1" type="noConversion"/>
  <conditionalFormatting sqref="AS49:AT49">
    <cfRule type="containsBlanks" dxfId="14" priority="2">
      <formula>LEN(TRIM(AS49))=0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7" tint="0.79998168889431442"/>
    <pageSetUpPr fitToPage="1"/>
  </sheetPr>
  <dimension ref="A1:BH202"/>
  <sheetViews>
    <sheetView showGridLines="0" view="pageBreakPreview" zoomScale="55" zoomScaleNormal="100" zoomScaleSheetLayoutView="55" workbookViewId="0">
      <pane xSplit="3" ySplit="6" topLeftCell="D7" activePane="bottomRight" state="frozen"/>
      <selection activeCell="U52" sqref="U52"/>
      <selection pane="topRight" activeCell="U52" sqref="U52"/>
      <selection pane="bottomLeft" activeCell="U52" sqref="U52"/>
      <selection pane="bottomRight" activeCell="X11" sqref="X11"/>
    </sheetView>
  </sheetViews>
  <sheetFormatPr defaultColWidth="9.140625" defaultRowHeight="15" outlineLevelCol="1" x14ac:dyDescent="0.55000000000000004"/>
  <cols>
    <col min="1" max="1" width="15.5703125" style="559" customWidth="1"/>
    <col min="2" max="2" width="1.5703125" style="559" customWidth="1"/>
    <col min="3" max="3" width="15" style="559" customWidth="1"/>
    <col min="4" max="5" width="12.42578125" style="559" customWidth="1"/>
    <col min="6" max="6" width="11.42578125" style="559" customWidth="1"/>
    <col min="7" max="14" width="11.42578125" style="559" customWidth="1" outlineLevel="1"/>
    <col min="15" max="17" width="12.5" style="559" customWidth="1"/>
    <col min="18" max="18" width="10" style="559" customWidth="1"/>
    <col min="19" max="19" width="12.0703125" style="559" customWidth="1"/>
    <col min="20" max="20" width="11.640625" style="559" customWidth="1"/>
    <col min="21" max="22" width="10.640625" style="559" customWidth="1"/>
    <col min="23" max="23" width="11.85546875" style="559" customWidth="1"/>
    <col min="24" max="24" width="11.640625" style="559" customWidth="1"/>
    <col min="25" max="25" width="10.640625" style="559" customWidth="1"/>
    <col min="26" max="26" width="6.640625" style="2983" customWidth="1"/>
    <col min="27" max="27" width="6.640625" style="2984" customWidth="1"/>
    <col min="28" max="28" width="20.2109375" style="559" bestFit="1" customWidth="1"/>
    <col min="29" max="29" width="11.5" style="559" customWidth="1"/>
    <col min="30" max="30" width="9.140625" style="559"/>
    <col min="31" max="43" width="12.42578125" style="559" customWidth="1"/>
    <col min="44" max="45" width="12.42578125" style="559" hidden="1" customWidth="1"/>
    <col min="46" max="47" width="12.42578125" style="559" customWidth="1"/>
    <col min="48" max="16384" width="9.140625" style="559"/>
  </cols>
  <sheetData>
    <row r="1" spans="1:60" s="1300" customFormat="1" ht="16.3" x14ac:dyDescent="0.55000000000000004">
      <c r="D1" s="1300" t="s">
        <v>442</v>
      </c>
      <c r="E1" s="1300" t="s">
        <v>813</v>
      </c>
      <c r="F1" s="1856" t="s">
        <v>685</v>
      </c>
      <c r="G1" s="1856" t="s">
        <v>446</v>
      </c>
      <c r="H1" s="1856" t="s">
        <v>447</v>
      </c>
      <c r="I1" s="1856" t="s">
        <v>448</v>
      </c>
      <c r="J1" s="1856" t="s">
        <v>451</v>
      </c>
      <c r="K1" s="1856" t="s">
        <v>851</v>
      </c>
      <c r="L1" s="1856" t="s">
        <v>686</v>
      </c>
      <c r="M1" s="1856" t="s">
        <v>743</v>
      </c>
      <c r="N1" s="1856" t="s">
        <v>815</v>
      </c>
      <c r="O1" s="2979" t="s">
        <v>815</v>
      </c>
      <c r="P1" s="2979" t="s">
        <v>1234</v>
      </c>
      <c r="Q1" s="2979" t="s">
        <v>1011</v>
      </c>
      <c r="R1" s="1856" t="s">
        <v>1235</v>
      </c>
      <c r="S1" s="1856" t="s">
        <v>1234</v>
      </c>
      <c r="T1" s="1856" t="s">
        <v>1236</v>
      </c>
      <c r="U1" s="1856" t="s">
        <v>1237</v>
      </c>
      <c r="V1" s="1856" t="s">
        <v>1235</v>
      </c>
      <c r="W1" s="1856" t="s">
        <v>1237</v>
      </c>
      <c r="X1" s="1856" t="s">
        <v>1238</v>
      </c>
      <c r="Y1" s="1856" t="s">
        <v>1011</v>
      </c>
      <c r="Z1" s="1520" t="s">
        <v>453</v>
      </c>
      <c r="AA1" s="2980" t="s">
        <v>454</v>
      </c>
    </row>
    <row r="2" spans="1:60" ht="19.5" customHeight="1" thickBot="1" x14ac:dyDescent="0.6">
      <c r="C2" s="4476">
        <f>'0. 개요'!AE2</f>
        <v>46054</v>
      </c>
      <c r="D2" s="1859"/>
      <c r="E2" s="1859"/>
      <c r="F2" s="1856" t="s">
        <v>685</v>
      </c>
      <c r="G2" s="1856" t="s">
        <v>446</v>
      </c>
      <c r="H2" s="1856" t="s">
        <v>447</v>
      </c>
      <c r="I2" s="1856" t="s">
        <v>448</v>
      </c>
      <c r="J2" s="1856" t="s">
        <v>451</v>
      </c>
      <c r="K2" s="1856" t="s">
        <v>851</v>
      </c>
      <c r="L2" s="1856" t="s">
        <v>686</v>
      </c>
      <c r="M2" s="1856" t="s">
        <v>743</v>
      </c>
      <c r="N2" s="1856" t="s">
        <v>815</v>
      </c>
      <c r="O2" s="1855"/>
      <c r="R2" s="559" t="s">
        <v>1235</v>
      </c>
      <c r="S2" s="1856" t="s">
        <v>1234</v>
      </c>
      <c r="W2" s="1856" t="s">
        <v>1237</v>
      </c>
      <c r="Z2" s="2981"/>
      <c r="AA2" s="2982"/>
    </row>
    <row r="3" spans="1:60" s="561" customFormat="1" ht="60" customHeight="1" thickTop="1" thickBot="1" x14ac:dyDescent="0.6">
      <c r="A3" s="7061" t="s">
        <v>834</v>
      </c>
      <c r="B3" s="7061"/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7061"/>
      <c r="U3" s="7061"/>
      <c r="V3" s="7061"/>
      <c r="W3" s="7061"/>
      <c r="X3" s="7061"/>
      <c r="Y3" s="7094"/>
      <c r="Z3" s="3348"/>
      <c r="AD3" s="562"/>
      <c r="AF3" s="562"/>
      <c r="AG3" s="562"/>
      <c r="AH3" s="563"/>
      <c r="AJ3" s="562"/>
      <c r="AK3" s="563"/>
      <c r="BD3" s="3349"/>
      <c r="BE3" s="3349"/>
      <c r="BF3" s="3349"/>
      <c r="BG3" s="3349"/>
      <c r="BH3" s="3349"/>
    </row>
    <row r="4" spans="1:60" s="561" customFormat="1" ht="15.55" customHeight="1" thickTop="1" thickBot="1" x14ac:dyDescent="0.6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Z4" s="564"/>
      <c r="AD4" s="562"/>
      <c r="AF4" s="562"/>
      <c r="AG4" s="562"/>
      <c r="AH4" s="563"/>
      <c r="AJ4" s="562"/>
      <c r="AK4" s="563"/>
      <c r="BD4" s="566"/>
      <c r="BE4" s="566"/>
      <c r="BF4" s="566"/>
      <c r="BG4" s="566"/>
      <c r="BH4" s="566"/>
    </row>
    <row r="5" spans="1:60" ht="18" customHeight="1" thickBot="1" x14ac:dyDescent="0.6">
      <c r="B5" s="567"/>
      <c r="C5" s="567"/>
      <c r="D5" s="3350"/>
      <c r="E5" s="1152"/>
      <c r="F5" s="7062" t="s">
        <v>1050</v>
      </c>
      <c r="G5" s="7063"/>
      <c r="H5" s="7063"/>
      <c r="I5" s="7063"/>
      <c r="J5" s="7063"/>
      <c r="K5" s="7064"/>
      <c r="L5" s="1152"/>
      <c r="M5" s="7550"/>
      <c r="N5" s="7551"/>
      <c r="O5" s="7551"/>
      <c r="P5" s="7551"/>
      <c r="Q5" s="7551"/>
      <c r="R5" s="7551"/>
      <c r="S5" s="7551"/>
      <c r="T5" s="7071" t="str">
        <f>"연간누적실적(~"&amp;MONTH(C2)&amp;"월)"</f>
        <v>연간누적실적(~2월)</v>
      </c>
      <c r="U5" s="7072"/>
      <c r="V5" s="7072"/>
      <c r="W5" s="7072"/>
      <c r="X5" s="7072"/>
      <c r="Y5" s="7100"/>
    </row>
    <row r="6" spans="1:60" ht="16.75" thickBot="1" x14ac:dyDescent="0.6">
      <c r="A6" s="559" t="s">
        <v>153</v>
      </c>
      <c r="B6" s="567"/>
      <c r="C6" s="3351" t="s">
        <v>602</v>
      </c>
      <c r="D6" s="6978" t="s">
        <v>823</v>
      </c>
      <c r="E6" s="3352" t="s">
        <v>1123</v>
      </c>
      <c r="F6" s="849" t="str" cm="1">
        <f t="array" aca="1" ref="F6" ca="1">INDIRECT("'※ 수수료 기준_가입자'!"&amp;F$2&amp;$Z6, TRUE)</f>
        <v>'25.1월</v>
      </c>
      <c r="G6" s="558" t="str" cm="1">
        <f t="array" aca="1" ref="G6" ca="1">INDIRECT("'※ 수수료 기준_가입자'!"&amp;G$2&amp;$Z6, TRUE)</f>
        <v>'25.2월</v>
      </c>
      <c r="H6" s="558" t="str" cm="1">
        <f t="array" aca="1" ref="H6" ca="1">INDIRECT("'※ 수수료 기준_가입자'!"&amp;H$2&amp;$Z6, TRUE)</f>
        <v>'25.3월</v>
      </c>
      <c r="I6" s="558" t="str" cm="1">
        <f t="array" aca="1" ref="I6" ca="1">INDIRECT("'※ 수수료 기준_가입자'!"&amp;I$2&amp;$Z6, TRUE)</f>
        <v>'25.4월</v>
      </c>
      <c r="J6" s="558" t="str" cm="1">
        <f t="array" aca="1" ref="J6" ca="1">INDIRECT("'※ 수수료 기준_가입자'!"&amp;J$2&amp;$Z6, TRUE)</f>
        <v>'25.5월</v>
      </c>
      <c r="K6" s="558" t="str" cm="1">
        <f t="array" aca="1" ref="K6" ca="1">INDIRECT("'※ 수수료 기준_가입자'!"&amp;K$2&amp;$Z6, TRUE)</f>
        <v>'25.6월</v>
      </c>
      <c r="L6" s="847" t="s">
        <v>1206</v>
      </c>
      <c r="M6" s="558" t="str" cm="1">
        <f t="array" aca="1" ref="M6" ca="1">INDIRECT("'※ 수수료 기준_가입자'!"&amp;M$2&amp;$Z6, TRUE)</f>
        <v>'26.1월</v>
      </c>
      <c r="N6" s="558" t="str" cm="1">
        <f t="array" aca="1" ref="N6" ca="1">INDIRECT("'※ 수수료 기준_가입자'!"&amp;N$2&amp;$Z6, TRUE)</f>
        <v>'26.2월</v>
      </c>
      <c r="O6" s="2536" t="str">
        <f>MONTH(C2)&amp;"월 목표"</f>
        <v>2월 목표</v>
      </c>
      <c r="P6" s="1156" t="s">
        <v>8</v>
      </c>
      <c r="Q6" s="1156" t="s">
        <v>9</v>
      </c>
      <c r="R6" s="850" t="s">
        <v>130</v>
      </c>
      <c r="S6" s="1156" t="s">
        <v>443</v>
      </c>
      <c r="T6" s="852" t="s">
        <v>44</v>
      </c>
      <c r="U6" s="846" t="s">
        <v>8</v>
      </c>
      <c r="V6" s="846" t="s">
        <v>9</v>
      </c>
      <c r="W6" s="846" t="s">
        <v>569</v>
      </c>
      <c r="X6" s="853" t="s">
        <v>45</v>
      </c>
      <c r="Y6" s="854" t="s">
        <v>1012</v>
      </c>
      <c r="Z6" s="2988">
        <f>ROW('※ 수수료 기준_가입자'!Y3)</f>
        <v>3</v>
      </c>
    </row>
    <row r="7" spans="1:60" s="2771" customFormat="1" ht="20.05" customHeight="1" thickTop="1" x14ac:dyDescent="0.55000000000000004">
      <c r="A7" s="7101" t="s">
        <v>383</v>
      </c>
      <c r="B7" s="3353" t="s">
        <v>43</v>
      </c>
      <c r="C7" s="3353"/>
      <c r="D7" s="3354" cm="1">
        <f t="array" aca="1" ref="D7" ca="1">INDIRECT("'※ 수수료 기준_가입자'!"&amp;D$1&amp;$Z7, TRUE)</f>
        <v>1822479</v>
      </c>
      <c r="E7" s="3355" cm="1">
        <f t="array" aca="1" ref="E7" ca="1">INDIRECT("'※ 수수료 기준_가입자'!"&amp;E$1&amp;$Z7, TRUE)</f>
        <v>1647799</v>
      </c>
      <c r="F7" s="3356" cm="1">
        <f t="array" aca="1" ref="F7" ca="1">INDIRECT("'※ 수수료 기준_가입자'!"&amp;F$1&amp;$Z7, TRUE)</f>
        <v>1803580</v>
      </c>
      <c r="G7" s="3355" cm="1">
        <f t="array" aca="1" ref="G7" ca="1">INDIRECT("'※ 수수료 기준_가입자'!"&amp;G$1&amp;$Z7, TRUE)</f>
        <v>1790204</v>
      </c>
      <c r="H7" s="3355" cm="1">
        <f t="array" aca="1" ref="H7" ca="1">INDIRECT("'※ 수수료 기준_가입자'!"&amp;H$1&amp;$Z7, TRUE)</f>
        <v>1775190</v>
      </c>
      <c r="I7" s="3355" cm="1">
        <f t="array" aca="1" ref="I7" ca="1">INDIRECT("'※ 수수료 기준_가입자'!"&amp;I$1&amp;$Z7, TRUE)</f>
        <v>1765612</v>
      </c>
      <c r="J7" s="3355" cm="1">
        <f t="array" aca="1" ref="J7" ca="1">INDIRECT("'※ 수수료 기준_가입자'!"&amp;J$1&amp;$Z7, TRUE)</f>
        <v>1782731</v>
      </c>
      <c r="K7" s="3355" cm="1">
        <f t="array" aca="1" ref="K7" ca="1">INDIRECT("'※ 수수료 기준_가입자'!"&amp;K$1&amp;$Z7, TRUE)</f>
        <v>1768469</v>
      </c>
      <c r="L7" s="7552" cm="1">
        <f t="array" aca="1" ref="L7" ca="1">INDIRECT("'※ 수수료 기준_가입자'!"&amp;L$1&amp;$Z7, TRUE)</f>
        <v>1759997</v>
      </c>
      <c r="M7" s="3355" cm="1">
        <f t="array" aca="1" ref="M7" ca="1">INDIRECT("'※ 수수료 기준_가입자'!"&amp;M$1&amp;$Z7, TRUE)</f>
        <v>1614383</v>
      </c>
      <c r="N7" s="3355" cm="1">
        <f t="array" aca="1" ref="N7" ca="1">INDIRECT("'※ 수수료 기준_가입자'!"&amp;N$1&amp;$Z7, TRUE)</f>
        <v>1596245</v>
      </c>
      <c r="O7" s="3357"/>
      <c r="P7" s="3357"/>
      <c r="Q7" s="3357"/>
      <c r="R7" s="3358" cm="1">
        <f t="array" aca="1" ref="R7" ca="1">INDIRECT("'※ 수수료 기준_가입자'!"&amp;R$2&amp;$Z7, TRUE)</f>
        <v>-18138</v>
      </c>
      <c r="S7" s="3359" cm="1">
        <f t="array" aca="1" ref="S7" ca="1">INDIRECT("'※ 수수료 기준_가입자'!"&amp;S$2&amp;$Z7, TRUE)</f>
        <v>-193959</v>
      </c>
      <c r="T7" s="3360" cm="1">
        <f t="array" aca="1" ref="T7" ca="1">INDIRECT("'※ 수수료 기준_가입자'!"&amp;T$1&amp;$Z7, TRUE)</f>
        <v>1596245</v>
      </c>
      <c r="U7" s="3361"/>
      <c r="V7" s="3361"/>
      <c r="W7" s="3359" cm="1">
        <f t="array" aca="1" ref="W7" ca="1">INDIRECT("'※ 수수료 기준_가입자'!"&amp;W$1&amp;$Z7, TRUE)</f>
        <v>-193959</v>
      </c>
      <c r="X7" s="3362" cm="1">
        <f t="array" aca="1" ref="X7" ca="1">INDIRECT("'※ 수수료 기준_가입자'!"&amp;X$1&amp;$Z7, TRUE)</f>
        <v>1605314</v>
      </c>
      <c r="Y7" s="3363" cm="1">
        <f t="array" aca="1" ref="Y7" ca="1">INDIRECT("'※ 수수료 기준_가입자'!"&amp;Y$1&amp;$Z7, TRUE)</f>
        <v>-137345.5</v>
      </c>
      <c r="Z7" s="2988">
        <f>ROW('※ 수수료 기준_가입자'!Y4)</f>
        <v>4</v>
      </c>
      <c r="AA7" s="2984"/>
    </row>
    <row r="8" spans="1:60" s="2771" customFormat="1" ht="20.05" customHeight="1" x14ac:dyDescent="0.55000000000000004">
      <c r="A8" s="7102"/>
      <c r="B8" s="3084" t="s">
        <v>56</v>
      </c>
      <c r="C8" s="3084"/>
      <c r="D8" s="3364" cm="1">
        <f t="array" aca="1" ref="D8" ca="1">INDIRECT("'※ 수수료 기준_가입자'!"&amp;D$1&amp;$Z8, TRUE)</f>
        <v>618677</v>
      </c>
      <c r="E8" s="3365" cm="1">
        <f t="array" aca="1" ref="E8" ca="1">INDIRECT("'※ 수수료 기준_가입자'!"&amp;E$1&amp;$Z8, TRUE)</f>
        <v>788491</v>
      </c>
      <c r="F8" s="3366" cm="1">
        <f t="array" aca="1" ref="F8" ca="1">INDIRECT("'※ 수수료 기준_가입자'!"&amp;F$1&amp;$Z8, TRUE)</f>
        <v>38822</v>
      </c>
      <c r="G8" s="3365" cm="1">
        <f t="array" aca="1" ref="G8" ca="1">INDIRECT("'※ 수수료 기준_가입자'!"&amp;G$1&amp;$Z8, TRUE)</f>
        <v>74843</v>
      </c>
      <c r="H8" s="3365" cm="1">
        <f t="array" aca="1" ref="H8" ca="1">INDIRECT("'※ 수수료 기준_가입자'!"&amp;H$1&amp;$Z8, TRUE)</f>
        <v>50688</v>
      </c>
      <c r="I8" s="3365" cm="1">
        <f t="array" aca="1" ref="I8" ca="1">INDIRECT("'※ 수수료 기준_가입자'!"&amp;I$1&amp;$Z8, TRUE)</f>
        <v>64086</v>
      </c>
      <c r="J8" s="3365" cm="1">
        <f t="array" aca="1" ref="J8" ca="1">INDIRECT("'※ 수수료 기준_가입자'!"&amp;J$1&amp;$Z8, TRUE)</f>
        <v>98908</v>
      </c>
      <c r="K8" s="3365" cm="1">
        <f t="array" aca="1" ref="K8" ca="1">INDIRECT("'※ 수수료 기준_가입자'!"&amp;K$1&amp;$Z8, TRUE)</f>
        <v>63565</v>
      </c>
      <c r="L8" s="7553" cm="1">
        <f t="array" aca="1" ref="L8" ca="1">INDIRECT("'※ 수수료 기준_가입자'!"&amp;L$1&amp;$Z8, TRUE)</f>
        <v>95972</v>
      </c>
      <c r="M8" s="3365" cm="1">
        <f t="array" aca="1" ref="M8" ca="1">INDIRECT("'※ 수수료 기준_가입자'!"&amp;M$1&amp;$Z8, TRUE)</f>
        <v>41214</v>
      </c>
      <c r="N8" s="3365" cm="1">
        <f t="array" aca="1" ref="N8" ca="1">INDIRECT("'※ 수수료 기준_가입자'!"&amp;N$1&amp;$Z8, TRUE)</f>
        <v>25644</v>
      </c>
      <c r="O8" s="3367"/>
      <c r="P8" s="3367"/>
      <c r="Q8" s="3367"/>
      <c r="R8" s="3368" cm="1">
        <f t="array" aca="1" ref="R8" ca="1">INDIRECT("'※ 수수료 기준_가입자'!"&amp;R$2&amp;$Z8, TRUE)</f>
        <v>-15570</v>
      </c>
      <c r="S8" s="3369" cm="1">
        <f t="array" aca="1" ref="S8" ca="1">INDIRECT("'※ 수수료 기준_가입자'!"&amp;S$2&amp;$Z8, TRUE)</f>
        <v>-49199</v>
      </c>
      <c r="T8" s="3370" cm="1">
        <f t="array" aca="1" ref="T8" ca="1">INDIRECT("'※ 수수료 기준_가입자'!"&amp;T$1&amp;$Z8, TRUE)</f>
        <v>66858</v>
      </c>
      <c r="U8" s="3371"/>
      <c r="V8" s="3372"/>
      <c r="W8" s="3369" cm="1">
        <f t="array" aca="1" ref="W8" ca="1">INDIRECT("'※ 수수료 기준_가입자'!"&amp;W$1&amp;$Z8, TRUE)</f>
        <v>-46807</v>
      </c>
      <c r="X8" s="3373" cm="1">
        <f t="array" aca="1" ref="X8" ca="1">INDIRECT("'※ 수수료 기준_가입자'!"&amp;X$1&amp;$Z8, TRUE)</f>
        <v>33429</v>
      </c>
      <c r="Y8" s="3374" cm="1">
        <f t="array" aca="1" ref="Y8" ca="1">INDIRECT("'※ 수수료 기준_가입자'!"&amp;Y$1&amp;$Z8, TRUE)</f>
        <v>-32278.583333333328</v>
      </c>
      <c r="Z8" s="2988">
        <f>ROW('※ 수수료 기준_가입자'!Y5)</f>
        <v>5</v>
      </c>
      <c r="AA8" s="2984"/>
    </row>
    <row r="9" spans="1:60" ht="20.05" customHeight="1" x14ac:dyDescent="0.55000000000000004">
      <c r="A9" s="7102"/>
      <c r="B9" s="594"/>
      <c r="C9" s="594" t="s">
        <v>57</v>
      </c>
      <c r="D9" s="3375" cm="1">
        <f t="array" aca="1" ref="D9" ca="1">INDIRECT("'※ 수수료 기준_가입자'!"&amp;D$1&amp;$Z9, TRUE)</f>
        <v>225132</v>
      </c>
      <c r="E9" s="3376" cm="1">
        <f t="array" aca="1" ref="E9" ca="1">INDIRECT("'※ 수수료 기준_가입자'!"&amp;E$1&amp;$Z9, TRUE)</f>
        <v>355647</v>
      </c>
      <c r="F9" s="3377" cm="1">
        <f t="array" aca="1" ref="F9" ca="1">INDIRECT("'※ 수수료 기준_가입자'!"&amp;F$1&amp;$Z9, TRUE)</f>
        <v>17134</v>
      </c>
      <c r="G9" s="3376" cm="1">
        <f t="array" aca="1" ref="G9" ca="1">INDIRECT("'※ 수수료 기준_가입자'!"&amp;G$1&amp;$Z9, TRUE)</f>
        <v>24904</v>
      </c>
      <c r="H9" s="3376" cm="1">
        <f t="array" aca="1" ref="H9" ca="1">INDIRECT("'※ 수수료 기준_가입자'!"&amp;H$1&amp;$Z9, TRUE)</f>
        <v>21688</v>
      </c>
      <c r="I9" s="3376" cm="1">
        <f t="array" aca="1" ref="I9" ca="1">INDIRECT("'※ 수수료 기준_가입자'!"&amp;I$1&amp;$Z9, TRUE)</f>
        <v>34019</v>
      </c>
      <c r="J9" s="3376" cm="1">
        <f t="array" aca="1" ref="J9" ca="1">INDIRECT("'※ 수수료 기준_가입자'!"&amp;J$1&amp;$Z9, TRUE)</f>
        <v>68004</v>
      </c>
      <c r="K9" s="3376" cm="1">
        <f t="array" aca="1" ref="K9" ca="1">INDIRECT("'※ 수수료 기준_가입자'!"&amp;K$1&amp;$Z9, TRUE)</f>
        <v>33265</v>
      </c>
      <c r="L9" s="7554" cm="1">
        <f t="array" aca="1" ref="L9" ca="1">INDIRECT("'※ 수수료 기준_가입자'!"&amp;L$1&amp;$Z9, TRUE)</f>
        <v>49066</v>
      </c>
      <c r="M9" s="3376" cm="1">
        <f t="array" aca="1" ref="M9" ca="1">INDIRECT("'※ 수수료 기준_가입자'!"&amp;M$1&amp;$Z9, TRUE)</f>
        <v>13704</v>
      </c>
      <c r="N9" s="3376" cm="1">
        <f t="array" aca="1" ref="N9" ca="1">INDIRECT("'※ 수수료 기준_가입자'!"&amp;N$1&amp;$Z9, TRUE)</f>
        <v>9219</v>
      </c>
      <c r="O9" s="3367"/>
      <c r="P9" s="3367"/>
      <c r="Q9" s="3367"/>
      <c r="R9" s="3378" cm="1">
        <f t="array" aca="1" ref="R9" ca="1">INDIRECT("'※ 수수료 기준_가입자'!"&amp;R$2&amp;$Z9, TRUE)</f>
        <v>-4485</v>
      </c>
      <c r="S9" s="3379" cm="1">
        <f t="array" aca="1" ref="S9" ca="1">INDIRECT("'※ 수수료 기준_가입자'!"&amp;S$2&amp;$Z9, TRUE)</f>
        <v>-15685</v>
      </c>
      <c r="T9" s="3380" cm="1">
        <f t="array" aca="1" ref="T9" ca="1">INDIRECT("'※ 수수료 기준_가입자'!"&amp;T$1&amp;$Z9, TRUE)</f>
        <v>22923</v>
      </c>
      <c r="U9" s="3372"/>
      <c r="V9" s="3372"/>
      <c r="W9" s="3379" cm="1">
        <f t="array" aca="1" ref="W9" ca="1">INDIRECT("'※ 수수료 기준_가입자'!"&amp;W$1&amp;$Z9, TRUE)</f>
        <v>-19115</v>
      </c>
      <c r="X9" s="3381" cm="1">
        <f t="array" aca="1" ref="X9" ca="1">INDIRECT("'※ 수수료 기준_가입자'!"&amp;X$1&amp;$Z9, TRUE)</f>
        <v>11461.5</v>
      </c>
      <c r="Y9" s="3382" cm="1">
        <f t="array" aca="1" ref="Y9" ca="1">INDIRECT("'※ 수수료 기준_가입자'!"&amp;Y$1&amp;$Z9, TRUE)</f>
        <v>-18175.75</v>
      </c>
      <c r="Z9" s="2988">
        <f>ROW('※ 수수료 기준_가입자'!Y6)</f>
        <v>6</v>
      </c>
    </row>
    <row r="10" spans="1:60" ht="20.05" customHeight="1" x14ac:dyDescent="0.55000000000000004">
      <c r="A10" s="7102"/>
      <c r="B10" s="594"/>
      <c r="C10" s="594" t="s">
        <v>55</v>
      </c>
      <c r="D10" s="3383" cm="1">
        <f t="array" aca="1" ref="D10" ca="1">INDIRECT("'※ 수수료 기준_가입자'!"&amp;D$1&amp;$Z10, TRUE)</f>
        <v>357505</v>
      </c>
      <c r="E10" s="3376" cm="1">
        <f t="array" aca="1" ref="E10" ca="1">INDIRECT("'※ 수수료 기준_가입자'!"&amp;E$1&amp;$Z10, TRUE)</f>
        <v>365293</v>
      </c>
      <c r="F10" s="3377" cm="1">
        <f t="array" aca="1" ref="F10" ca="1">INDIRECT("'※ 수수료 기준_가입자'!"&amp;F$1&amp;$Z10, TRUE)</f>
        <v>21688</v>
      </c>
      <c r="G10" s="3376" cm="1">
        <f t="array" aca="1" ref="G10" ca="1">INDIRECT("'※ 수수료 기준_가입자'!"&amp;G$1&amp;$Z10, TRUE)</f>
        <v>49939</v>
      </c>
      <c r="H10" s="3376" cm="1">
        <f t="array" aca="1" ref="H10" ca="1">INDIRECT("'※ 수수료 기준_가입자'!"&amp;H$1&amp;$Z10, TRUE)</f>
        <v>29000</v>
      </c>
      <c r="I10" s="3376" cm="1">
        <f t="array" aca="1" ref="I10" ca="1">INDIRECT("'※ 수수료 기준_가입자'!"&amp;I$1&amp;$Z10, TRUE)</f>
        <v>30067</v>
      </c>
      <c r="J10" s="3376" cm="1">
        <f t="array" aca="1" ref="J10" ca="1">INDIRECT("'※ 수수료 기준_가입자'!"&amp;J$1&amp;$Z10, TRUE)</f>
        <v>30904</v>
      </c>
      <c r="K10" s="3376" cm="1">
        <f t="array" aca="1" ref="K10" ca="1">INDIRECT("'※ 수수료 기준_가입자'!"&amp;K$1&amp;$Z10, TRUE)</f>
        <v>30300</v>
      </c>
      <c r="L10" s="7554" cm="1">
        <f t="array" aca="1" ref="L10" ca="1">INDIRECT("'※ 수수료 기준_가입자'!"&amp;L$1&amp;$Z10, TRUE)</f>
        <v>46898</v>
      </c>
      <c r="M10" s="3376" cm="1">
        <f t="array" aca="1" ref="M10" ca="1">INDIRECT("'※ 수수료 기준_가입자'!"&amp;M$1&amp;$Z10, TRUE)</f>
        <v>27510</v>
      </c>
      <c r="N10" s="3376" cm="1">
        <f t="array" aca="1" ref="N10" ca="1">INDIRECT("'※ 수수료 기준_가입자'!"&amp;N$1&amp;$Z10, TRUE)</f>
        <v>16425</v>
      </c>
      <c r="O10" s="3367"/>
      <c r="P10" s="3367"/>
      <c r="Q10" s="3367"/>
      <c r="R10" s="3378" cm="1">
        <f t="array" aca="1" ref="R10" ca="1">INDIRECT("'※ 수수료 기준_가입자'!"&amp;R$2&amp;$Z10, TRUE)</f>
        <v>-11085</v>
      </c>
      <c r="S10" s="3379" cm="1">
        <f t="array" aca="1" ref="S10" ca="1">INDIRECT("'※ 수수료 기준_가입자'!"&amp;S$2&amp;$Z10, TRUE)</f>
        <v>-33514</v>
      </c>
      <c r="T10" s="3380" cm="1">
        <f t="array" aca="1" ref="T10" ca="1">INDIRECT("'※ 수수료 기준_가입자'!"&amp;T$1&amp;$Z10, TRUE)</f>
        <v>43935</v>
      </c>
      <c r="U10" s="3372"/>
      <c r="V10" s="3372"/>
      <c r="W10" s="3379" cm="1">
        <f t="array" aca="1" ref="W10" ca="1">INDIRECT("'※ 수수료 기준_가입자'!"&amp;W$1&amp;$Z10, TRUE)</f>
        <v>-27692</v>
      </c>
      <c r="X10" s="3381" cm="1">
        <f t="array" aca="1" ref="X10" ca="1">INDIRECT("'※ 수수료 기준_가입자'!"&amp;X$1&amp;$Z10, TRUE)</f>
        <v>21967.5</v>
      </c>
      <c r="Y10" s="3382" cm="1">
        <f t="array" aca="1" ref="Y10" ca="1">INDIRECT("'※ 수수료 기준_가입자'!"&amp;Y$1&amp;$Z10, TRUE)</f>
        <v>-8473.5833333333321</v>
      </c>
      <c r="Z10" s="2988">
        <f>ROW('※ 수수료 기준_가입자'!Y7)</f>
        <v>7</v>
      </c>
    </row>
    <row r="11" spans="1:60" ht="20.05" customHeight="1" x14ac:dyDescent="0.55000000000000004">
      <c r="A11" s="7102"/>
      <c r="B11" s="594" t="s">
        <v>47</v>
      </c>
      <c r="C11" s="594"/>
      <c r="D11" s="3384" cm="1">
        <f t="array" aca="1" ref="D11" ca="1">INDIRECT("'※ 수수료 기준_가입자'!"&amp;D$1&amp;$Z11, TRUE)</f>
        <v>206391</v>
      </c>
      <c r="E11" s="1102" cm="1">
        <f t="array" aca="1" ref="E11" ca="1">INDIRECT("'※ 수수료 기준_가입자'!"&amp;E$1&amp;$Z11, TRUE)</f>
        <v>210032</v>
      </c>
      <c r="F11" s="2968" cm="1">
        <f t="array" aca="1" ref="F11" ca="1">INDIRECT("'※ 수수료 기준_가입자'!"&amp;F$1&amp;$Z11, TRUE)</f>
        <v>14989</v>
      </c>
      <c r="G11" s="1102" cm="1">
        <f t="array" aca="1" ref="G11" ca="1">INDIRECT("'※ 수수료 기준_가입자'!"&amp;G$1&amp;$Z11, TRUE)</f>
        <v>18290</v>
      </c>
      <c r="H11" s="1102" cm="1">
        <f t="array" aca="1" ref="H11" ca="1">INDIRECT("'※ 수수료 기준_가입자'!"&amp;H$1&amp;$Z11, TRUE)</f>
        <v>16783</v>
      </c>
      <c r="I11" s="1102" cm="1">
        <f t="array" aca="1" ref="I11" ca="1">INDIRECT("'※ 수수료 기준_가입자'!"&amp;I$1&amp;$Z11, TRUE)</f>
        <v>16056</v>
      </c>
      <c r="J11" s="1102" cm="1">
        <f t="array" aca="1" ref="J11" ca="1">INDIRECT("'※ 수수료 기준_가입자'!"&amp;J$1&amp;$Z11, TRUE)</f>
        <v>13653</v>
      </c>
      <c r="K11" s="1102" cm="1">
        <f t="array" aca="1" ref="K11" ca="1">INDIRECT("'※ 수수료 기준_가입자'!"&amp;K$1&amp;$Z11, TRUE)</f>
        <v>15996</v>
      </c>
      <c r="L11" s="7555" cm="1">
        <f t="array" aca="1" ref="L11" ca="1">INDIRECT("'※ 수수료 기준_가입자'!"&amp;L$1&amp;$Z11, TRUE)</f>
        <v>23615</v>
      </c>
      <c r="M11" s="1102" cm="1">
        <f t="array" aca="1" ref="M11" ca="1">INDIRECT("'※ 수수료 기준_가입자'!"&amp;M$1&amp;$Z11, TRUE)</f>
        <v>38385</v>
      </c>
      <c r="N11" s="1102" cm="1">
        <f t="array" aca="1" ref="N11" ca="1">INDIRECT("'※ 수수료 기준_가입자'!"&amp;N$1&amp;$Z11, TRUE)</f>
        <v>12686</v>
      </c>
      <c r="O11" s="3385"/>
      <c r="P11" s="3385"/>
      <c r="Q11" s="3385"/>
      <c r="R11" s="3386" cm="1">
        <f t="array" aca="1" ref="R11" ca="1">INDIRECT("'※ 수수료 기준_가입자'!"&amp;R$2&amp;$Z11, TRUE)</f>
        <v>-25699</v>
      </c>
      <c r="S11" s="3387" cm="1">
        <f t="array" aca="1" ref="S11" ca="1">INDIRECT("'※ 수수료 기준_가입자'!"&amp;S$2&amp;$Z11, TRUE)</f>
        <v>-5604</v>
      </c>
      <c r="T11" s="3388" cm="1">
        <f t="array" aca="1" ref="T11" ca="1">INDIRECT("'※ 수수료 기준_가입자'!"&amp;T$1&amp;$Z11, TRUE)</f>
        <v>51071</v>
      </c>
      <c r="U11" s="3389"/>
      <c r="V11" s="3389"/>
      <c r="W11" s="3387" cm="1">
        <f t="array" aca="1" ref="W11" ca="1">INDIRECT("'※ 수수료 기준_가입자'!"&amp;W$1&amp;$Z11, TRUE)</f>
        <v>17792</v>
      </c>
      <c r="X11" s="3390" cm="1">
        <f t="array" aca="1" ref="X11" ca="1">INDIRECT("'※ 수수료 기준_가입자'!"&amp;X$1&amp;$Z11, TRUE)</f>
        <v>25535.5</v>
      </c>
      <c r="Y11" s="3391" cm="1">
        <f t="array" aca="1" ref="Y11" ca="1">INDIRECT("'※ 수수료 기준_가입자'!"&amp;Y$1&amp;$Z11, TRUE)</f>
        <v>8032.8333333333321</v>
      </c>
      <c r="Z11" s="2988">
        <f>ROW('※ 수수료 기준_가입자'!Y8)</f>
        <v>8</v>
      </c>
    </row>
    <row r="12" spans="1:60" ht="20.05" customHeight="1" x14ac:dyDescent="0.55000000000000004">
      <c r="A12" s="7102"/>
      <c r="B12" s="594" t="s">
        <v>58</v>
      </c>
      <c r="C12" s="594"/>
      <c r="D12" s="3384" cm="1">
        <f t="array" aca="1" ref="D12" ca="1">INDIRECT("'※ 수수료 기준_가입자'!"&amp;D$1&amp;$Z12, TRUE)</f>
        <v>18267</v>
      </c>
      <c r="E12" s="1102" cm="1">
        <f t="array" aca="1" ref="E12" ca="1">INDIRECT("'※ 수수료 기준_가입자'!"&amp;E$1&amp;$Z12, TRUE)</f>
        <v>19442</v>
      </c>
      <c r="F12" s="2968" cm="1">
        <f t="array" aca="1" ref="F12" ca="1">INDIRECT("'※ 수수료 기준_가입자'!"&amp;F$1&amp;$Z12, TRUE)</f>
        <v>1314</v>
      </c>
      <c r="G12" s="1102" cm="1">
        <f t="array" aca="1" ref="G12" ca="1">INDIRECT("'※ 수수료 기준_가입자'!"&amp;G$1&amp;$Z12, TRUE)</f>
        <v>1140</v>
      </c>
      <c r="H12" s="1102" cm="1">
        <f t="array" aca="1" ref="H12" ca="1">INDIRECT("'※ 수수료 기준_가입자'!"&amp;H$1&amp;$Z12, TRUE)</f>
        <v>1083</v>
      </c>
      <c r="I12" s="1102" cm="1">
        <f t="array" aca="1" ref="I12" ca="1">INDIRECT("'※ 수수료 기준_가입자'!"&amp;I$1&amp;$Z12, TRUE)</f>
        <v>5069</v>
      </c>
      <c r="J12" s="1102" cm="1">
        <f t="array" aca="1" ref="J12" ca="1">INDIRECT("'※ 수수료 기준_가입자'!"&amp;J$1&amp;$Z12, TRUE)</f>
        <v>1160</v>
      </c>
      <c r="K12" s="1102" cm="1">
        <f t="array" aca="1" ref="K12" ca="1">INDIRECT("'※ 수수료 기준_가입자'!"&amp;K$1&amp;$Z12, TRUE)</f>
        <v>2042</v>
      </c>
      <c r="L12" s="7555" cm="1">
        <f t="array" aca="1" ref="L12" ca="1">INDIRECT("'※ 수수료 기준_가입자'!"&amp;L$1&amp;$Z12, TRUE)</f>
        <v>1131</v>
      </c>
      <c r="M12" s="1102" cm="1">
        <f t="array" aca="1" ref="M12" ca="1">INDIRECT("'※ 수수료 기준_가입자'!"&amp;M$1&amp;$Z12, TRUE)</f>
        <v>2338</v>
      </c>
      <c r="N12" s="1102" cm="1">
        <f t="array" aca="1" ref="N12" ca="1">INDIRECT("'※ 수수료 기준_가입자'!"&amp;N$1&amp;$Z12, TRUE)</f>
        <v>836</v>
      </c>
      <c r="O12" s="3385"/>
      <c r="P12" s="3385"/>
      <c r="Q12" s="3385"/>
      <c r="R12" s="3386" cm="1">
        <f t="array" aca="1" ref="R12" ca="1">INDIRECT("'※ 수수료 기준_가입자'!"&amp;R$2&amp;$Z12, TRUE)</f>
        <v>-1502</v>
      </c>
      <c r="S12" s="3387" cm="1">
        <f t="array" aca="1" ref="S12" ca="1">INDIRECT("'※ 수수료 기준_가입자'!"&amp;S$2&amp;$Z12, TRUE)</f>
        <v>-304</v>
      </c>
      <c r="T12" s="3388" cm="1">
        <f t="array" aca="1" ref="T12" ca="1">INDIRECT("'※ 수수료 기준_가입자'!"&amp;T$1&amp;$Z12, TRUE)</f>
        <v>3174</v>
      </c>
      <c r="U12" s="3389"/>
      <c r="V12" s="3389"/>
      <c r="W12" s="3387" cm="1">
        <f t="array" aca="1" ref="W12" ca="1">INDIRECT("'※ 수수료 기준_가입자'!"&amp;W$1&amp;$Z12, TRUE)</f>
        <v>720</v>
      </c>
      <c r="X12" s="3390" cm="1">
        <f t="array" aca="1" ref="X12" ca="1">INDIRECT("'※ 수수료 기준_가입자'!"&amp;X$1&amp;$Z12, TRUE)</f>
        <v>1587</v>
      </c>
      <c r="Y12" s="3391" cm="1">
        <f t="array" aca="1" ref="Y12" ca="1">INDIRECT("'※ 수수료 기준_가입자'!"&amp;Y$1&amp;$Z12, TRUE)</f>
        <v>-33.166666666666742</v>
      </c>
      <c r="Z12" s="2988">
        <f>ROW('※ 수수료 기준_가입자'!Y9)</f>
        <v>9</v>
      </c>
    </row>
    <row r="13" spans="1:60" ht="20.05" customHeight="1" x14ac:dyDescent="0.55000000000000004">
      <c r="A13" s="7102"/>
      <c r="B13" s="594" t="s">
        <v>48</v>
      </c>
      <c r="C13" s="594"/>
      <c r="D13" s="3384" cm="1">
        <f t="array" aca="1" ref="D13" ca="1">INDIRECT("'※ 수수료 기준_가입자'!"&amp;D$1&amp;$Z13, TRUE)</f>
        <v>396941</v>
      </c>
      <c r="E13" s="1102" cm="1">
        <f t="array" aca="1" ref="E13" ca="1">INDIRECT("'※ 수수료 기준_가입자'!"&amp;E$1&amp;$Z13, TRUE)</f>
        <v>609904</v>
      </c>
      <c r="F13" s="2968" cm="1">
        <f t="array" aca="1" ref="F13" ca="1">INDIRECT("'※ 수수료 기준_가입자'!"&amp;F$1&amp;$Z13, TRUE)</f>
        <v>33452</v>
      </c>
      <c r="G13" s="1102" cm="1">
        <f t="array" aca="1" ref="G13" ca="1">INDIRECT("'※ 수수료 기준_가입자'!"&amp;G$1&amp;$Z13, TRUE)</f>
        <v>58703</v>
      </c>
      <c r="H13" s="1102" cm="1">
        <f t="array" aca="1" ref="H13" ca="1">INDIRECT("'※ 수수료 기준_가입자'!"&amp;H$1&amp;$Z13, TRUE)</f>
        <v>40861</v>
      </c>
      <c r="I13" s="1102" cm="1">
        <f t="array" aca="1" ref="I13" ca="1">INDIRECT("'※ 수수료 기준_가입자'!"&amp;I$1&amp;$Z13, TRUE)</f>
        <v>46142</v>
      </c>
      <c r="J13" s="1102" cm="1">
        <f t="array" aca="1" ref="J13" ca="1">INDIRECT("'※ 수수료 기준_가입자'!"&amp;J$1&amp;$Z13, TRUE)</f>
        <v>58250</v>
      </c>
      <c r="K13" s="1102" cm="1">
        <f t="array" aca="1" ref="K13" ca="1">INDIRECT("'※ 수수료 기준_가입자'!"&amp;K$1&amp;$Z13, TRUE)</f>
        <v>49360</v>
      </c>
      <c r="L13" s="7555" cm="1">
        <f t="array" aca="1" ref="L13" ca="1">INDIRECT("'※ 수수료 기준_가입자'!"&amp;L$1&amp;$Z13, TRUE)</f>
        <v>67006</v>
      </c>
      <c r="M13" s="1102" cm="1">
        <f t="array" aca="1" ref="M13" ca="1">INDIRECT("'※ 수수료 기준_가입자'!"&amp;M$1&amp;$Z13, TRUE)</f>
        <v>9545</v>
      </c>
      <c r="N13" s="1102" cm="1">
        <f t="array" aca="1" ref="N13" ca="1">INDIRECT("'※ 수수료 기준_가입자'!"&amp;N$1&amp;$Z13, TRUE)</f>
        <v>11566</v>
      </c>
      <c r="O13" s="3385"/>
      <c r="P13" s="3385"/>
      <c r="Q13" s="3385"/>
      <c r="R13" s="3386" cm="1">
        <f t="array" aca="1" ref="R13" ca="1">INDIRECT("'※ 수수료 기준_가입자'!"&amp;R$2&amp;$Z13, TRUE)</f>
        <v>2021</v>
      </c>
      <c r="S13" s="3387" cm="1">
        <f t="array" aca="1" ref="S13" ca="1">INDIRECT("'※ 수수료 기준_가입자'!"&amp;S$2&amp;$Z13, TRUE)</f>
        <v>-47137</v>
      </c>
      <c r="T13" s="3388" cm="1">
        <f t="array" aca="1" ref="T13" ca="1">INDIRECT("'※ 수수료 기준_가입자'!"&amp;T$1&amp;$Z13, TRUE)</f>
        <v>21111</v>
      </c>
      <c r="U13" s="3389"/>
      <c r="V13" s="3389"/>
      <c r="W13" s="3387" cm="1">
        <f t="array" aca="1" ref="W13" ca="1">INDIRECT("'※ 수수료 기준_가입자'!"&amp;W$1&amp;$Z13, TRUE)</f>
        <v>-71044</v>
      </c>
      <c r="X13" s="3390" cm="1">
        <f t="array" aca="1" ref="X13" ca="1">INDIRECT("'※ 수수료 기준_가입자'!"&amp;X$1&amp;$Z13, TRUE)</f>
        <v>10555.5</v>
      </c>
      <c r="Y13" s="3391" cm="1">
        <f t="array" aca="1" ref="Y13" ca="1">INDIRECT("'※ 수수료 기준_가입자'!"&amp;Y$1&amp;$Z13, TRUE)</f>
        <v>-40269.833333333336</v>
      </c>
      <c r="Z13" s="2988">
        <f>ROW('※ 수수료 기준_가입자'!Y10)</f>
        <v>10</v>
      </c>
    </row>
    <row r="14" spans="1:60" ht="20.05" customHeight="1" x14ac:dyDescent="0.55000000000000004">
      <c r="A14" s="7102"/>
      <c r="B14" s="594" t="s">
        <v>49</v>
      </c>
      <c r="C14" s="594"/>
      <c r="D14" s="3384" cm="1">
        <f t="array" aca="1" ref="D14" ca="1">INDIRECT("'※ 수수료 기준_가입자'!"&amp;D$1&amp;$Z14, TRUE)</f>
        <v>104174</v>
      </c>
      <c r="E14" s="1102" cm="1">
        <f t="array" aca="1" ref="E14" ca="1">INDIRECT("'※ 수수료 기준_가입자'!"&amp;E$1&amp;$Z14, TRUE)</f>
        <v>148741</v>
      </c>
      <c r="F14" s="2968" cm="1">
        <f t="array" aca="1" ref="F14" ca="1">INDIRECT("'※ 수수료 기준_가입자'!"&amp;F$1&amp;$Z14, TRUE)</f>
        <v>9088</v>
      </c>
      <c r="G14" s="1102" cm="1">
        <f t="array" aca="1" ref="G14" ca="1">INDIRECT("'※ 수수료 기준_가입자'!"&amp;G$1&amp;$Z14, TRUE)</f>
        <v>10466</v>
      </c>
      <c r="H14" s="1102" cm="1">
        <f t="array" aca="1" ref="H14" ca="1">INDIRECT("'※ 수수료 기준_가입자'!"&amp;H$1&amp;$Z14, TRUE)</f>
        <v>8058</v>
      </c>
      <c r="I14" s="1102" cm="1">
        <f t="array" aca="1" ref="I14" ca="1">INDIRECT("'※ 수수료 기준_가입자'!"&amp;I$1&amp;$Z14, TRUE)</f>
        <v>11496</v>
      </c>
      <c r="J14" s="1102" cm="1">
        <f t="array" aca="1" ref="J14" ca="1">INDIRECT("'※ 수수료 기준_가입자'!"&amp;J$1&amp;$Z14, TRUE)</f>
        <v>9856</v>
      </c>
      <c r="K14" s="1102" cm="1">
        <f t="array" aca="1" ref="K14" ca="1">INDIRECT("'※ 수수료 기준_가입자'!"&amp;K$1&amp;$Z14, TRUE)</f>
        <v>12471</v>
      </c>
      <c r="L14" s="7555" cm="1">
        <f t="array" aca="1" ref="L14" ca="1">INDIRECT("'※ 수수료 기준_가입자'!"&amp;L$1&amp;$Z14, TRUE)</f>
        <v>13823</v>
      </c>
      <c r="M14" s="1102" cm="1">
        <f t="array" aca="1" ref="M14" ca="1">INDIRECT("'※ 수수료 기준_가입자'!"&amp;M$1&amp;$Z14, TRUE)</f>
        <v>17411</v>
      </c>
      <c r="N14" s="1102" cm="1">
        <f t="array" aca="1" ref="N14" ca="1">INDIRECT("'※ 수수료 기준_가입자'!"&amp;N$1&amp;$Z14, TRUE)</f>
        <v>18450</v>
      </c>
      <c r="O14" s="3385"/>
      <c r="P14" s="3385"/>
      <c r="Q14" s="3385"/>
      <c r="R14" s="3386" cm="1">
        <f t="array" aca="1" ref="R14" ca="1">INDIRECT("'※ 수수료 기준_가입자'!"&amp;R$2&amp;$Z14, TRUE)</f>
        <v>1039</v>
      </c>
      <c r="S14" s="3387" cm="1">
        <f t="array" aca="1" ref="S14" ca="1">INDIRECT("'※ 수수료 기준_가입자'!"&amp;S$2&amp;$Z14, TRUE)</f>
        <v>7984</v>
      </c>
      <c r="T14" s="3388" cm="1">
        <f t="array" aca="1" ref="T14" ca="1">INDIRECT("'※ 수수료 기준_가입자'!"&amp;T$1&amp;$Z14, TRUE)</f>
        <v>35861</v>
      </c>
      <c r="U14" s="3389"/>
      <c r="V14" s="3389"/>
      <c r="W14" s="3387" cm="1">
        <f t="array" aca="1" ref="W14" ca="1">INDIRECT("'※ 수수료 기준_가입자'!"&amp;W$1&amp;$Z14, TRUE)</f>
        <v>16307</v>
      </c>
      <c r="X14" s="3390" cm="1">
        <f t="array" aca="1" ref="X14" ca="1">INDIRECT("'※ 수수료 기준_가입자'!"&amp;X$1&amp;$Z14, TRUE)</f>
        <v>17930.5</v>
      </c>
      <c r="Y14" s="3391" cm="1">
        <f t="array" aca="1" ref="Y14" ca="1">INDIRECT("'※ 수수료 기준_가입자'!"&amp;Y$1&amp;$Z14, TRUE)</f>
        <v>5535.4166666666661</v>
      </c>
      <c r="Z14" s="2988">
        <f>ROW('※ 수수료 기준_가입자'!Y11)</f>
        <v>11</v>
      </c>
    </row>
    <row r="15" spans="1:60" ht="20.05" hidden="1" customHeight="1" x14ac:dyDescent="0.55000000000000004">
      <c r="A15" s="7102"/>
      <c r="B15" s="823" t="s">
        <v>85</v>
      </c>
      <c r="C15" s="803"/>
      <c r="D15" s="3392">
        <f ca="1">D9-D11</f>
        <v>18741</v>
      </c>
      <c r="E15" s="3392">
        <f ca="1">E9-E11</f>
        <v>145615</v>
      </c>
      <c r="F15" s="3393">
        <f ca="1">F9-F11</f>
        <v>2145</v>
      </c>
      <c r="G15" s="3392">
        <f ca="1">G9-G11</f>
        <v>6614</v>
      </c>
      <c r="H15" s="3392">
        <f t="shared" ref="H15:N15" ca="1" si="0">H9-H11</f>
        <v>4905</v>
      </c>
      <c r="I15" s="3392">
        <f t="shared" ca="1" si="0"/>
        <v>17963</v>
      </c>
      <c r="J15" s="3392">
        <f t="shared" ca="1" si="0"/>
        <v>54351</v>
      </c>
      <c r="K15" s="3392">
        <f t="shared" ca="1" si="0"/>
        <v>17269</v>
      </c>
      <c r="L15" s="7556">
        <f t="shared" ca="1" si="0"/>
        <v>25451</v>
      </c>
      <c r="M15" s="3392">
        <f t="shared" ca="1" si="0"/>
        <v>-24681</v>
      </c>
      <c r="N15" s="3392">
        <f t="shared" ca="1" si="0"/>
        <v>-3467</v>
      </c>
      <c r="O15" s="3385"/>
      <c r="P15" s="3385"/>
      <c r="Q15" s="3385"/>
      <c r="R15" s="3600"/>
      <c r="S15" s="3600"/>
      <c r="T15" s="3394">
        <f ca="1">SUM(F15:O15)</f>
        <v>100550</v>
      </c>
      <c r="U15" s="3389"/>
      <c r="V15" s="3389"/>
      <c r="W15" s="3395">
        <f ca="1">T15-E15</f>
        <v>-45065</v>
      </c>
      <c r="X15" s="3392">
        <f ca="1">AVERAGE(F15:O15)</f>
        <v>11172.222222222223</v>
      </c>
      <c r="Y15" s="2936">
        <f ca="1">X15-E15/12</f>
        <v>-962.36111111111131</v>
      </c>
      <c r="Z15" s="3396"/>
    </row>
    <row r="16" spans="1:60" s="2771" customFormat="1" ht="19.75" customHeight="1" x14ac:dyDescent="0.55000000000000004">
      <c r="A16" s="7102"/>
      <c r="B16" s="1257" t="s">
        <v>50</v>
      </c>
      <c r="C16" s="1257"/>
      <c r="D16" s="3397" cm="1">
        <f t="array" aca="1" ref="D16" ca="1">INDIRECT("'※ 수수료 기준_가입자'!"&amp;D$1&amp;$Z16, TRUE)</f>
        <v>-88527</v>
      </c>
      <c r="E16" s="3398" cm="1">
        <f t="array" aca="1" ref="E16" ca="1">INDIRECT("'※ 수수료 기준_가입자'!"&amp;E$1&amp;$Z16, TRUE)</f>
        <v>-173758</v>
      </c>
      <c r="F16" s="3399" cm="1">
        <f t="array" aca="1" ref="F16" ca="1">INDIRECT("'※ 수수료 기준_가입자'!"&amp;F$1&amp;$Z16, TRUE)</f>
        <v>-18707</v>
      </c>
      <c r="G16" s="3398" cm="1">
        <f t="array" aca="1" ref="G16" ca="1">INDIRECT("'※ 수수료 기준_가입자'!"&amp;G$1&amp;$Z16, TRUE)</f>
        <v>-12616</v>
      </c>
      <c r="H16" s="3398" cm="1">
        <f t="array" aca="1" ref="H16" ca="1">INDIRECT("'※ 수수료 기준_가입자'!"&amp;H$1&amp;$Z16, TRUE)</f>
        <v>-15014</v>
      </c>
      <c r="I16" s="3398" cm="1">
        <f t="array" aca="1" ref="I16" ca="1">INDIRECT("'※ 수수료 기준_가입자'!"&amp;I$1&amp;$Z16, TRUE)</f>
        <v>-9608</v>
      </c>
      <c r="J16" s="3398" cm="1">
        <f t="array" aca="1" ref="J16" ca="1">INDIRECT("'※ 수수료 기준_가입자'!"&amp;J$1&amp;$Z16, TRUE)</f>
        <v>17119</v>
      </c>
      <c r="K16" s="3398" cm="1">
        <f t="array" aca="1" ref="K16" ca="1">INDIRECT("'※ 수수료 기준_가입자'!"&amp;K$1&amp;$Z16, TRUE)</f>
        <v>-14262</v>
      </c>
      <c r="L16" s="7557" cm="1">
        <f t="array" aca="1" ref="L16" ca="1">INDIRECT("'※ 수수료 기준_가입자'!"&amp;L$1&amp;$Z16, TRUE)</f>
        <v>-8472</v>
      </c>
      <c r="M16" s="3398" cm="1">
        <f t="array" aca="1" ref="M16" ca="1">INDIRECT("'※ 수수료 기준_가입자'!"&amp;M$1&amp;$Z16, TRUE)</f>
        <v>-33416</v>
      </c>
      <c r="N16" s="3398" cm="1">
        <f t="array" aca="1" ref="N16" ca="1">INDIRECT("'※ 수수료 기준_가입자'!"&amp;N$1&amp;$Z16, TRUE)</f>
        <v>-18138</v>
      </c>
      <c r="O16" s="3400"/>
      <c r="P16" s="3400"/>
      <c r="Q16" s="3400"/>
      <c r="R16" s="3401" cm="1">
        <f t="array" aca="1" ref="R16" ca="1">INDIRECT("'※ 수수료 기준_가입자'!"&amp;R$2&amp;$Z16, TRUE)</f>
        <v>15278</v>
      </c>
      <c r="S16" s="3402" cm="1">
        <f t="array" aca="1" ref="S16" ca="1">INDIRECT("'※ 수수료 기준_가입자'!"&amp;S$2&amp;$Z16, TRUE)</f>
        <v>-5522</v>
      </c>
      <c r="T16" s="3403" cm="1">
        <f t="array" aca="1" ref="T16" ca="1">INDIRECT("'※ 수수료 기준_가입자'!"&amp;T$1&amp;$Z16, TRUE)</f>
        <v>-51554</v>
      </c>
      <c r="U16" s="3389"/>
      <c r="V16" s="3389"/>
      <c r="W16" s="3402" cm="1">
        <f t="array" aca="1" ref="W16" ca="1">INDIRECT("'※ 수수료 기준_가입자'!"&amp;W$1&amp;$Z16, TRUE)</f>
        <v>-20231</v>
      </c>
      <c r="X16" s="3404" cm="1">
        <f t="array" aca="1" ref="X16" ca="1">INDIRECT("'※ 수수료 기준_가입자'!"&amp;X$1&amp;$Z16, TRUE)</f>
        <v>-25777</v>
      </c>
      <c r="Y16" s="3405" cm="1">
        <f t="array" aca="1" ref="Y16" ca="1">INDIRECT("'※ 수수료 기준_가입자'!"&amp;Y$1&amp;$Z16, TRUE)</f>
        <v>-11297.166666666666</v>
      </c>
      <c r="Z16" s="2988">
        <f>ROW('※ 수수료 기준_가입자'!Y12)</f>
        <v>12</v>
      </c>
      <c r="AA16" s="2984"/>
    </row>
    <row r="17" spans="1:27" s="2771" customFormat="1" ht="20.05" customHeight="1" x14ac:dyDescent="0.55000000000000004">
      <c r="A17" s="7095" t="s">
        <v>59</v>
      </c>
      <c r="B17" s="2908" t="s">
        <v>43</v>
      </c>
      <c r="C17" s="2908"/>
      <c r="D17" s="2910" cm="1">
        <f t="array" aca="1" ref="D17" ca="1">INDIRECT("'※ 수수료 기준_가입자'!"&amp;D$1&amp;$Z17, TRUE)</f>
        <v>1089991</v>
      </c>
      <c r="E17" s="2911" cm="1">
        <f t="array" aca="1" ref="E17" ca="1">INDIRECT("'※ 수수료 기준_가입자'!"&amp;E$1&amp;$Z17, TRUE)</f>
        <v>996312</v>
      </c>
      <c r="F17" s="3406" cm="1">
        <f t="array" aca="1" ref="F17" ca="1">INDIRECT("'※ 수수료 기준_가입자'!"&amp;F$1&amp;$Z17, TRUE)</f>
        <v>1081462</v>
      </c>
      <c r="G17" s="2911" cm="1">
        <f t="array" aca="1" ref="G17" ca="1">INDIRECT("'※ 수수료 기준_가입자'!"&amp;G$1&amp;$Z17, TRUE)</f>
        <v>1074041</v>
      </c>
      <c r="H17" s="2911" cm="1">
        <f t="array" aca="1" ref="H17" ca="1">INDIRECT("'※ 수수료 기준_가입자'!"&amp;H$1&amp;$Z17, TRUE)</f>
        <v>1069017</v>
      </c>
      <c r="I17" s="2911" cm="1">
        <f t="array" aca="1" ref="I17" ca="1">INDIRECT("'※ 수수료 기준_가입자'!"&amp;I$1&amp;$Z17, TRUE)</f>
        <v>1065195</v>
      </c>
      <c r="J17" s="2911" cm="1">
        <f t="array" aca="1" ref="J17" ca="1">INDIRECT("'※ 수수료 기준_가입자'!"&amp;J$1&amp;$Z17, TRUE)</f>
        <v>1073219</v>
      </c>
      <c r="K17" s="2911" cm="1">
        <f t="array" aca="1" ref="K17" ca="1">INDIRECT("'※ 수수료 기준_가입자'!"&amp;K$1&amp;$Z17, TRUE)</f>
        <v>1065938</v>
      </c>
      <c r="L17" s="7558" cm="1">
        <f t="array" aca="1" ref="L17" ca="1">INDIRECT("'※ 수수료 기준_가입자'!"&amp;L$1&amp;$Z17, TRUE)</f>
        <v>1059309</v>
      </c>
      <c r="M17" s="2911" cm="1">
        <f t="array" aca="1" ref="M17" ca="1">INDIRECT("'※ 수수료 기준_가입자'!"&amp;M$1&amp;$Z17, TRUE)</f>
        <v>975802</v>
      </c>
      <c r="N17" s="2911" cm="1">
        <f t="array" aca="1" ref="N17" ca="1">INDIRECT("'※ 수수료 기준_가입자'!"&amp;N$1&amp;$Z17, TRUE)</f>
        <v>965300</v>
      </c>
      <c r="O17" s="3407"/>
      <c r="P17" s="3407"/>
      <c r="Q17" s="3407"/>
      <c r="R17" s="3408" cm="1">
        <f t="array" aca="1" ref="R17" ca="1">INDIRECT("'※ 수수료 기준_가입자'!"&amp;R$2&amp;$Z17, TRUE)</f>
        <v>-10502</v>
      </c>
      <c r="S17" s="3409" cm="1">
        <f t="array" aca="1" ref="S17" ca="1">INDIRECT("'※ 수수료 기준_가입자'!"&amp;S$2&amp;$Z17, TRUE)</f>
        <v>-108741</v>
      </c>
      <c r="T17" s="3410" cm="1">
        <f t="array" aca="1" ref="T17" ca="1">INDIRECT("'※ 수수료 기준_가입자'!"&amp;T$1&amp;$Z17, TRUE)</f>
        <v>965300</v>
      </c>
      <c r="U17" s="3411"/>
      <c r="V17" s="3411"/>
      <c r="W17" s="3409" cm="1">
        <f t="array" aca="1" ref="W17" ca="1">INDIRECT("'※ 수수료 기준_가입자'!"&amp;W$1&amp;$Z17, TRUE)</f>
        <v>-108741</v>
      </c>
      <c r="X17" s="3412" cm="1">
        <f t="array" aca="1" ref="X17" ca="1">INDIRECT("'※ 수수료 기준_가입자'!"&amp;X$1&amp;$Z17, TRUE)</f>
        <v>970551</v>
      </c>
      <c r="Y17" s="3413" cm="1">
        <f t="array" aca="1" ref="Y17" ca="1">INDIRECT("'※ 수수료 기준_가입자'!"&amp;Y$1&amp;$Z17, TRUE)</f>
        <v>-79036.416666666744</v>
      </c>
      <c r="Z17" s="2988">
        <f>ROW('※ 수수료 기준_가입자'!Y13)</f>
        <v>13</v>
      </c>
      <c r="AA17" s="2984"/>
    </row>
    <row r="18" spans="1:27" s="2771" customFormat="1" ht="20.05" customHeight="1" x14ac:dyDescent="0.55000000000000004">
      <c r="A18" s="7096"/>
      <c r="B18" s="3084" t="s">
        <v>56</v>
      </c>
      <c r="C18" s="3084"/>
      <c r="D18" s="2887" cm="1">
        <f t="array" aca="1" ref="D18" ca="1">INDIRECT("'※ 수수료 기준_가입자'!"&amp;D$1&amp;$Z18, TRUE)</f>
        <v>258206</v>
      </c>
      <c r="E18" s="2888" cm="1">
        <f t="array" aca="1" ref="E18" ca="1">INDIRECT("'※ 수수료 기준_가입자'!"&amp;E$1&amp;$Z18, TRUE)</f>
        <v>276723</v>
      </c>
      <c r="F18" s="3414" cm="1">
        <f t="array" aca="1" ref="F18" ca="1">INDIRECT("'※ 수수료 기준_가입자'!"&amp;F$1&amp;$Z18, TRUE)</f>
        <v>13995</v>
      </c>
      <c r="G18" s="2888" cm="1">
        <f t="array" aca="1" ref="G18" ca="1">INDIRECT("'※ 수수료 기준_가입자'!"&amp;G$1&amp;$Z18, TRUE)</f>
        <v>28177</v>
      </c>
      <c r="H18" s="2888" cm="1">
        <f t="array" aca="1" ref="H18" ca="1">INDIRECT("'※ 수수료 기준_가입자'!"&amp;H$1&amp;$Z18, TRUE)</f>
        <v>20799</v>
      </c>
      <c r="I18" s="2888" cm="1">
        <f t="array" aca="1" ref="I18" ca="1">INDIRECT("'※ 수수료 기준_가입자'!"&amp;I$1&amp;$Z18, TRUE)</f>
        <v>25119</v>
      </c>
      <c r="J18" s="2888" cm="1">
        <f t="array" aca="1" ref="J18" ca="1">INDIRECT("'※ 수수료 기준_가입자'!"&amp;J$1&amp;$Z18, TRUE)</f>
        <v>32216</v>
      </c>
      <c r="K18" s="2888" cm="1">
        <f t="array" aca="1" ref="K18" ca="1">INDIRECT("'※ 수수료 기준_가입자'!"&amp;K$1&amp;$Z18, TRUE)</f>
        <v>20183</v>
      </c>
      <c r="L18" s="7559" cm="1">
        <f t="array" aca="1" ref="L18" ca="1">INDIRECT("'※ 수수료 기준_가입자'!"&amp;L$1&amp;$Z18, TRUE)</f>
        <v>34631</v>
      </c>
      <c r="M18" s="2888" cm="1">
        <f t="array" aca="1" ref="M18" ca="1">INDIRECT("'※ 수수료 기준_가입자'!"&amp;M$1&amp;$Z18, TRUE)</f>
        <v>23902</v>
      </c>
      <c r="N18" s="2888" cm="1">
        <f t="array" aca="1" ref="N18" ca="1">INDIRECT("'※ 수수료 기준_가입자'!"&amp;N$1&amp;$Z18, TRUE)</f>
        <v>15096</v>
      </c>
      <c r="O18" s="3385"/>
      <c r="P18" s="3385"/>
      <c r="Q18" s="3385"/>
      <c r="R18" s="3415" cm="1">
        <f t="array" aca="1" ref="R18" ca="1">INDIRECT("'※ 수수료 기준_가입자'!"&amp;R$2&amp;$Z18, TRUE)</f>
        <v>-8806</v>
      </c>
      <c r="S18" s="3416" cm="1">
        <f t="array" aca="1" ref="S18" ca="1">INDIRECT("'※ 수수료 기준_가입자'!"&amp;S$2&amp;$Z18, TRUE)</f>
        <v>-13081</v>
      </c>
      <c r="T18" s="3417" cm="1">
        <f t="array" aca="1" ref="T18" ca="1">INDIRECT("'※ 수수료 기준_가입자'!"&amp;T$1&amp;$Z18, TRUE)</f>
        <v>38998</v>
      </c>
      <c r="U18" s="3389"/>
      <c r="V18" s="3389"/>
      <c r="W18" s="3416" cm="1">
        <f t="array" aca="1" ref="W18" ca="1">INDIRECT("'※ 수수료 기준_가입자'!"&amp;W$1&amp;$Z18, TRUE)</f>
        <v>-3174</v>
      </c>
      <c r="X18" s="3418" cm="1">
        <f t="array" aca="1" ref="X18" ca="1">INDIRECT("'※ 수수료 기준_가입자'!"&amp;X$1&amp;$Z18, TRUE)</f>
        <v>19499</v>
      </c>
      <c r="Y18" s="3419" cm="1">
        <f t="array" aca="1" ref="Y18" ca="1">INDIRECT("'※ 수수료 기준_가입자'!"&amp;Y$1&amp;$Z18, TRUE)</f>
        <v>-3561.25</v>
      </c>
      <c r="Z18" s="2988">
        <f>ROW('※ 수수료 기준_가입자'!Y14)</f>
        <v>14</v>
      </c>
      <c r="AA18" s="2984"/>
    </row>
    <row r="19" spans="1:27" ht="20.05" hidden="1" customHeight="1" x14ac:dyDescent="0.55000000000000004">
      <c r="A19" s="7096"/>
      <c r="B19" s="594"/>
      <c r="C19" s="594" t="s">
        <v>57</v>
      </c>
      <c r="D19" s="2882"/>
      <c r="E19" s="1102"/>
      <c r="F19" s="2968"/>
      <c r="G19" s="1102"/>
      <c r="H19" s="1102"/>
      <c r="I19" s="1102"/>
      <c r="J19" s="1102"/>
      <c r="K19" s="1102"/>
      <c r="L19" s="7555"/>
      <c r="M19" s="1102"/>
      <c r="N19" s="1102"/>
      <c r="O19" s="3385"/>
      <c r="P19" s="3385"/>
      <c r="Q19" s="3385"/>
      <c r="R19" s="3386" cm="1">
        <f t="array" aca="1" ref="R19" ca="1">INDIRECT("'※ 수수료 기준_가입자'!"&amp;R$2&amp;$Z19, TRUE)</f>
        <v>-1907</v>
      </c>
      <c r="S19" s="3387" cm="1">
        <f t="array" aca="1" ref="S19" ca="1">INDIRECT("'※ 수수료 기준_가입자'!"&amp;S$2&amp;$Z19, TRUE)</f>
        <v>-1818</v>
      </c>
      <c r="T19" s="3388"/>
      <c r="U19" s="3389"/>
      <c r="V19" s="3389"/>
      <c r="W19" s="3387"/>
      <c r="X19" s="3390"/>
      <c r="Y19" s="3391"/>
      <c r="Z19" s="2988">
        <f>ROW('※ 수수료 기준_가입자'!Y15)</f>
        <v>15</v>
      </c>
    </row>
    <row r="20" spans="1:27" ht="20.05" hidden="1" customHeight="1" x14ac:dyDescent="0.55000000000000004">
      <c r="A20" s="7096"/>
      <c r="B20" s="594"/>
      <c r="C20" s="594" t="s">
        <v>55</v>
      </c>
      <c r="D20" s="2882"/>
      <c r="E20" s="1102"/>
      <c r="F20" s="2968"/>
      <c r="G20" s="1102"/>
      <c r="H20" s="1102"/>
      <c r="I20" s="1102"/>
      <c r="J20" s="1102"/>
      <c r="K20" s="1102"/>
      <c r="L20" s="7555"/>
      <c r="M20" s="1102"/>
      <c r="N20" s="1102"/>
      <c r="O20" s="3385"/>
      <c r="P20" s="3385"/>
      <c r="Q20" s="3385"/>
      <c r="R20" s="3386" cm="1">
        <f t="array" aca="1" ref="R20" ca="1">INDIRECT("'※ 수수료 기준_가입자'!"&amp;R$2&amp;$Z20, TRUE)</f>
        <v>-6899</v>
      </c>
      <c r="S20" s="3387" cm="1">
        <f t="array" aca="1" ref="S20" ca="1">INDIRECT("'※ 수수료 기준_가입자'!"&amp;S$2&amp;$Z20, TRUE)</f>
        <v>-11263</v>
      </c>
      <c r="T20" s="3388"/>
      <c r="U20" s="3389"/>
      <c r="V20" s="3389"/>
      <c r="W20" s="3387"/>
      <c r="X20" s="3390"/>
      <c r="Y20" s="3391"/>
      <c r="Z20" s="2988">
        <f>ROW('※ 수수료 기준_가입자'!Y16)</f>
        <v>16</v>
      </c>
    </row>
    <row r="21" spans="1:27" ht="20.05" customHeight="1" x14ac:dyDescent="0.55000000000000004">
      <c r="A21" s="7096"/>
      <c r="B21" s="594" t="s">
        <v>47</v>
      </c>
      <c r="C21" s="594"/>
      <c r="D21" s="2882" cm="1">
        <f t="array" aca="1" ref="D21" ca="1">INDIRECT("'※ 수수료 기준_가입자'!"&amp;D$1&amp;$Z21, TRUE)</f>
        <v>90667</v>
      </c>
      <c r="E21" s="1102" cm="1">
        <f t="array" aca="1" ref="E21" ca="1">INDIRECT("'※ 수수료 기준_가입자'!"&amp;E$1&amp;$Z21, TRUE)</f>
        <v>93271</v>
      </c>
      <c r="F21" s="2968" cm="1">
        <f t="array" aca="1" ref="F21" ca="1">INDIRECT("'※ 수수료 기준_가입자'!"&amp;F$1&amp;$Z21, TRUE)</f>
        <v>6584</v>
      </c>
      <c r="G21" s="1102" cm="1">
        <f t="array" aca="1" ref="G21" ca="1">INDIRECT("'※ 수수료 기준_가입자'!"&amp;G$1&amp;$Z21, TRUE)</f>
        <v>7926</v>
      </c>
      <c r="H21" s="1102" cm="1">
        <f t="array" aca="1" ref="H21" ca="1">INDIRECT("'※ 수수료 기준_가입자'!"&amp;H$1&amp;$Z21, TRUE)</f>
        <v>7665</v>
      </c>
      <c r="I21" s="1102" cm="1">
        <f t="array" aca="1" ref="I21" ca="1">INDIRECT("'※ 수수료 기준_가입자'!"&amp;I$1&amp;$Z21, TRUE)</f>
        <v>6992</v>
      </c>
      <c r="J21" s="1102" cm="1">
        <f t="array" aca="1" ref="J21" ca="1">INDIRECT("'※ 수수료 기준_가입자'!"&amp;J$1&amp;$Z21, TRUE)</f>
        <v>5878</v>
      </c>
      <c r="K21" s="1102" cm="1">
        <f t="array" aca="1" ref="K21" ca="1">INDIRECT("'※ 수수료 기준_가입자'!"&amp;K$1&amp;$Z21, TRUE)</f>
        <v>6308</v>
      </c>
      <c r="L21" s="7555" cm="1">
        <f t="array" aca="1" ref="L21" ca="1">INDIRECT("'※ 수수료 기준_가입자'!"&amp;L$1&amp;$Z21, TRUE)</f>
        <v>9055</v>
      </c>
      <c r="M21" s="1102" cm="1">
        <f t="array" aca="1" ref="M21" ca="1">INDIRECT("'※ 수수료 기준_가입자'!"&amp;M$1&amp;$Z21, TRUE)</f>
        <v>16678</v>
      </c>
      <c r="N21" s="1102" cm="1">
        <f t="array" aca="1" ref="N21" ca="1">INDIRECT("'※ 수수료 기준_가입자'!"&amp;N$1&amp;$Z21, TRUE)</f>
        <v>5454</v>
      </c>
      <c r="O21" s="3385"/>
      <c r="P21" s="3385"/>
      <c r="Q21" s="3385"/>
      <c r="R21" s="3386" cm="1">
        <f t="array" aca="1" ref="R21" ca="1">INDIRECT("'※ 수수료 기준_가입자'!"&amp;R$2&amp;$Z21, TRUE)</f>
        <v>-11224</v>
      </c>
      <c r="S21" s="3387" cm="1">
        <f t="array" aca="1" ref="S21" ca="1">INDIRECT("'※ 수수료 기준_가입자'!"&amp;S$2&amp;$Z21, TRUE)</f>
        <v>-2472</v>
      </c>
      <c r="T21" s="3388" cm="1">
        <f t="array" aca="1" ref="T21" ca="1">INDIRECT("'※ 수수료 기준_가입자'!"&amp;T$1&amp;$Z21, TRUE)</f>
        <v>22132</v>
      </c>
      <c r="U21" s="3389"/>
      <c r="V21" s="3389"/>
      <c r="W21" s="3387" cm="1">
        <f t="array" aca="1" ref="W21" ca="1">INDIRECT("'※ 수수료 기준_가입자'!"&amp;W$1&amp;$Z21, TRUE)</f>
        <v>7622</v>
      </c>
      <c r="X21" s="3390" cm="1">
        <f t="array" aca="1" ref="X21" ca="1">INDIRECT("'※ 수수료 기준_가입자'!"&amp;X$1&amp;$Z21, TRUE)</f>
        <v>11066</v>
      </c>
      <c r="Y21" s="3391" cm="1">
        <f t="array" aca="1" ref="Y21" ca="1">INDIRECT("'※ 수수료 기준_가입자'!"&amp;Y$1&amp;$Z21, TRUE)</f>
        <v>3293.416666666667</v>
      </c>
      <c r="Z21" s="2988">
        <f>ROW('※ 수수료 기준_가입자'!Y17)</f>
        <v>17</v>
      </c>
    </row>
    <row r="22" spans="1:27" ht="20.05" customHeight="1" x14ac:dyDescent="0.55000000000000004">
      <c r="A22" s="7096"/>
      <c r="B22" s="594" t="s">
        <v>58</v>
      </c>
      <c r="C22" s="594"/>
      <c r="D22" s="2882" cm="1">
        <f t="array" aca="1" ref="D22" ca="1">INDIRECT("'※ 수수료 기준_가입자'!"&amp;D$1&amp;$Z22, TRUE)</f>
        <v>9205</v>
      </c>
      <c r="E22" s="1102" cm="1">
        <f t="array" aca="1" ref="E22" ca="1">INDIRECT("'※ 수수료 기준_가입자'!"&amp;E$1&amp;$Z22, TRUE)</f>
        <v>10966</v>
      </c>
      <c r="F22" s="2968" cm="1">
        <f t="array" aca="1" ref="F22" ca="1">INDIRECT("'※ 수수료 기준_가입자'!"&amp;F$1&amp;$Z22, TRUE)</f>
        <v>497</v>
      </c>
      <c r="G22" s="1102" cm="1">
        <f t="array" aca="1" ref="G22" ca="1">INDIRECT("'※ 수수료 기준_가입자'!"&amp;G$1&amp;$Z22, TRUE)</f>
        <v>485</v>
      </c>
      <c r="H22" s="1102" cm="1">
        <f t="array" aca="1" ref="H22" ca="1">INDIRECT("'※ 수수료 기준_가입자'!"&amp;H$1&amp;$Z22, TRUE)</f>
        <v>456</v>
      </c>
      <c r="I22" s="1102" cm="1">
        <f t="array" aca="1" ref="I22" ca="1">INDIRECT("'※ 수수료 기준_가입자'!"&amp;I$1&amp;$Z22, TRUE)</f>
        <v>4399</v>
      </c>
      <c r="J22" s="1102" cm="1">
        <f t="array" aca="1" ref="J22" ca="1">INDIRECT("'※ 수수료 기준_가입자'!"&amp;J$1&amp;$Z22, TRUE)</f>
        <v>464</v>
      </c>
      <c r="K22" s="1102" cm="1">
        <f t="array" aca="1" ref="K22" ca="1">INDIRECT("'※ 수수료 기준_가입자'!"&amp;K$1&amp;$Z22, TRUE)</f>
        <v>902</v>
      </c>
      <c r="L22" s="7555" cm="1">
        <f t="array" aca="1" ref="L22" ca="1">INDIRECT("'※ 수수료 기준_가입자'!"&amp;L$1&amp;$Z22, TRUE)</f>
        <v>428</v>
      </c>
      <c r="M22" s="1102" cm="1">
        <f t="array" aca="1" ref="M22" ca="1">INDIRECT("'※ 수수료 기준_가입자'!"&amp;M$1&amp;$Z22, TRUE)</f>
        <v>1297</v>
      </c>
      <c r="N22" s="1102" cm="1">
        <f t="array" aca="1" ref="N22" ca="1">INDIRECT("'※ 수수료 기준_가입자'!"&amp;N$1&amp;$Z22, TRUE)</f>
        <v>362</v>
      </c>
      <c r="O22" s="3385"/>
      <c r="P22" s="3385"/>
      <c r="Q22" s="3385"/>
      <c r="R22" s="3386" cm="1">
        <f t="array" aca="1" ref="R22" ca="1">INDIRECT("'※ 수수료 기준_가입자'!"&amp;R$2&amp;$Z22, TRUE)</f>
        <v>-935</v>
      </c>
      <c r="S22" s="3387" cm="1">
        <f t="array" aca="1" ref="S22" ca="1">INDIRECT("'※ 수수료 기준_가입자'!"&amp;S$2&amp;$Z22, TRUE)</f>
        <v>-123</v>
      </c>
      <c r="T22" s="3388" cm="1">
        <f t="array" aca="1" ref="T22" ca="1">INDIRECT("'※ 수수료 기준_가입자'!"&amp;T$1&amp;$Z22, TRUE)</f>
        <v>1659</v>
      </c>
      <c r="U22" s="3389"/>
      <c r="V22" s="3389"/>
      <c r="W22" s="3387" cm="1">
        <f t="array" aca="1" ref="W22" ca="1">INDIRECT("'※ 수수료 기준_가입자'!"&amp;W$1&amp;$Z22, TRUE)</f>
        <v>677</v>
      </c>
      <c r="X22" s="3390" cm="1">
        <f t="array" aca="1" ref="X22" ca="1">INDIRECT("'※ 수수료 기준_가입자'!"&amp;X$1&amp;$Z22, TRUE)</f>
        <v>829.5</v>
      </c>
      <c r="Y22" s="3391" cm="1">
        <f t="array" aca="1" ref="Y22" ca="1">INDIRECT("'※ 수수료 기준_가입자'!"&amp;Y$1&amp;$Z22, TRUE)</f>
        <v>-84.333333333333371</v>
      </c>
      <c r="Z22" s="2988">
        <f>ROW('※ 수수료 기준_가입자'!Y18)</f>
        <v>18</v>
      </c>
    </row>
    <row r="23" spans="1:27" ht="20.05" customHeight="1" x14ac:dyDescent="0.55000000000000004">
      <c r="A23" s="7096"/>
      <c r="B23" s="594" t="s">
        <v>48</v>
      </c>
      <c r="C23" s="594"/>
      <c r="D23" s="2882" cm="1">
        <f t="array" aca="1" ref="D23" ca="1">INDIRECT("'※ 수수료 기준_가입자'!"&amp;D$1&amp;$Z23, TRUE)</f>
        <v>139933</v>
      </c>
      <c r="E23" s="1102" cm="1">
        <f t="array" aca="1" ref="E23" ca="1">INDIRECT("'※ 수수료 기준_가입자'!"&amp;E$1&amp;$Z23, TRUE)</f>
        <v>182208</v>
      </c>
      <c r="F23" s="2968" cm="1">
        <f t="array" aca="1" ref="F23" ca="1">INDIRECT("'※ 수수료 기준_가입자'!"&amp;F$1&amp;$Z23, TRUE)</f>
        <v>9985</v>
      </c>
      <c r="G23" s="1102" cm="1">
        <f t="array" aca="1" ref="G23" ca="1">INDIRECT("'※ 수수료 기준_가입자'!"&amp;G$1&amp;$Z23, TRUE)</f>
        <v>19763</v>
      </c>
      <c r="H23" s="1102" cm="1">
        <f t="array" aca="1" ref="H23" ca="1">INDIRECT("'※ 수수료 기준_가입자'!"&amp;H$1&amp;$Z23, TRUE)</f>
        <v>13475</v>
      </c>
      <c r="I23" s="1102" cm="1">
        <f t="array" aca="1" ref="I23" ca="1">INDIRECT("'※ 수수료 기준_가입자'!"&amp;I$1&amp;$Z23, TRUE)</f>
        <v>13572</v>
      </c>
      <c r="J23" s="1102" cm="1">
        <f t="array" aca="1" ref="J23" ca="1">INDIRECT("'※ 수수료 기준_가입자'!"&amp;J$1&amp;$Z23, TRUE)</f>
        <v>12473</v>
      </c>
      <c r="K23" s="1102" cm="1">
        <f t="array" aca="1" ref="K23" ca="1">INDIRECT("'※ 수수료 기준_가입자'!"&amp;K$1&amp;$Z23, TRUE)</f>
        <v>12539</v>
      </c>
      <c r="L23" s="7555" cm="1">
        <f t="array" aca="1" ref="L23" ca="1">INDIRECT("'※ 수수료 기준_가입자'!"&amp;L$1&amp;$Z23, TRUE)</f>
        <v>21830</v>
      </c>
      <c r="M23" s="1102" cm="1">
        <f t="array" aca="1" ref="M23" ca="1">INDIRECT("'※ 수수료 기준_가입자'!"&amp;M$1&amp;$Z23, TRUE)</f>
        <v>7467</v>
      </c>
      <c r="N23" s="1102" cm="1">
        <f t="array" aca="1" ref="N23" ca="1">INDIRECT("'※ 수수료 기준_가입자'!"&amp;N$1&amp;$Z23, TRUE)</f>
        <v>7262</v>
      </c>
      <c r="O23" s="3385"/>
      <c r="P23" s="3385"/>
      <c r="Q23" s="3385"/>
      <c r="R23" s="3386" cm="1">
        <f t="array" aca="1" ref="R23" ca="1">INDIRECT("'※ 수수료 기준_가입자'!"&amp;R$2&amp;$Z23, TRUE)</f>
        <v>-205</v>
      </c>
      <c r="S23" s="3387" cm="1">
        <f t="array" aca="1" ref="S23" ca="1">INDIRECT("'※ 수수료 기준_가입자'!"&amp;S$2&amp;$Z23, TRUE)</f>
        <v>-12501</v>
      </c>
      <c r="T23" s="3388" cm="1">
        <f t="array" aca="1" ref="T23" ca="1">INDIRECT("'※ 수수료 기준_가입자'!"&amp;T$1&amp;$Z23, TRUE)</f>
        <v>14729</v>
      </c>
      <c r="U23" s="3389"/>
      <c r="V23" s="3389"/>
      <c r="W23" s="3387" cm="1">
        <f t="array" aca="1" ref="W23" ca="1">INDIRECT("'※ 수수료 기준_가입자'!"&amp;W$1&amp;$Z23, TRUE)</f>
        <v>-15019</v>
      </c>
      <c r="X23" s="3390" cm="1">
        <f t="array" aca="1" ref="X23" ca="1">INDIRECT("'※ 수수료 기준_가입자'!"&amp;X$1&amp;$Z23, TRUE)</f>
        <v>7364.5</v>
      </c>
      <c r="Y23" s="3391" cm="1">
        <f t="array" aca="1" ref="Y23" ca="1">INDIRECT("'※ 수수료 기준_가입자'!"&amp;Y$1&amp;$Z23, TRUE)</f>
        <v>-7819.5</v>
      </c>
      <c r="Z23" s="2988">
        <f>ROW('※ 수수료 기준_가입자'!Y19)</f>
        <v>19</v>
      </c>
    </row>
    <row r="24" spans="1:27" ht="20.05" customHeight="1" x14ac:dyDescent="0.55000000000000004">
      <c r="A24" s="7096"/>
      <c r="B24" s="594" t="s">
        <v>49</v>
      </c>
      <c r="C24" s="594"/>
      <c r="D24" s="2882" cm="1">
        <f t="array" aca="1" ref="D24" ca="1">INDIRECT("'※ 수수료 기준_가입자'!"&amp;D$1&amp;$Z24, TRUE)</f>
        <v>67465</v>
      </c>
      <c r="E24" s="1102" cm="1">
        <f t="array" aca="1" ref="E24" ca="1">INDIRECT("'※ 수수료 기준_가입자'!"&amp;E$1&amp;$Z24, TRUE)</f>
        <v>100405</v>
      </c>
      <c r="F24" s="2968" cm="1">
        <f t="array" aca="1" ref="F24" ca="1">INDIRECT("'※ 수수료 기준_가입자'!"&amp;F$1&amp;$Z24, TRUE)</f>
        <v>5763</v>
      </c>
      <c r="G24" s="1102" cm="1">
        <f t="array" aca="1" ref="G24" ca="1">INDIRECT("'※ 수수료 기준_가입자'!"&amp;G$1&amp;$Z24, TRUE)</f>
        <v>7139</v>
      </c>
      <c r="H24" s="1102" cm="1">
        <f t="array" aca="1" ref="H24" ca="1">INDIRECT("'※ 수수료 기준_가입자'!"&amp;H$1&amp;$Z24, TRUE)</f>
        <v>4676</v>
      </c>
      <c r="I24" s="1102" cm="1">
        <f t="array" aca="1" ref="I24" ca="1">INDIRECT("'※ 수수료 기준_가입자'!"&amp;I$1&amp;$Z24, TRUE)</f>
        <v>8377</v>
      </c>
      <c r="J24" s="1102" cm="1">
        <f t="array" aca="1" ref="J24" ca="1">INDIRECT("'※ 수수료 기준_가입자'!"&amp;J$1&amp;$Z24, TRUE)</f>
        <v>5837</v>
      </c>
      <c r="K24" s="1102" cm="1">
        <f t="array" aca="1" ref="K24" ca="1">INDIRECT("'※ 수수료 기준_가입자'!"&amp;K$1&amp;$Z24, TRUE)</f>
        <v>8614</v>
      </c>
      <c r="L24" s="7555" cm="1">
        <f t="array" aca="1" ref="L24" ca="1">INDIRECT("'※ 수수료 기준_가입자'!"&amp;L$1&amp;$Z24, TRUE)</f>
        <v>10375</v>
      </c>
      <c r="M24" s="1102" cm="1">
        <f t="array" aca="1" ref="M24" ca="1">INDIRECT("'※ 수수료 기준_가입자'!"&amp;M$1&amp;$Z24, TRUE)</f>
        <v>10978</v>
      </c>
      <c r="N24" s="1102" cm="1">
        <f t="array" aca="1" ref="N24" ca="1">INDIRECT("'※ 수수료 기준_가입자'!"&amp;N$1&amp;$Z24, TRUE)</f>
        <v>11802</v>
      </c>
      <c r="O24" s="3385"/>
      <c r="P24" s="3385"/>
      <c r="Q24" s="3385"/>
      <c r="R24" s="3386" cm="1">
        <f t="array" aca="1" ref="R24" ca="1">INDIRECT("'※ 수수료 기준_가입자'!"&amp;R$2&amp;$Z24, TRUE)</f>
        <v>824</v>
      </c>
      <c r="S24" s="3387" cm="1">
        <f t="array" aca="1" ref="S24" ca="1">INDIRECT("'※ 수수료 기준_가입자'!"&amp;S$2&amp;$Z24, TRUE)</f>
        <v>4663</v>
      </c>
      <c r="T24" s="3388" cm="1">
        <f t="array" aca="1" ref="T24" ca="1">INDIRECT("'※ 수수료 기준_가입자'!"&amp;T$1&amp;$Z24, TRUE)</f>
        <v>22780</v>
      </c>
      <c r="U24" s="3389"/>
      <c r="V24" s="3389"/>
      <c r="W24" s="3387" cm="1">
        <f t="array" aca="1" ref="W24" ca="1">INDIRECT("'※ 수수료 기준_가입자'!"&amp;W$1&amp;$Z24, TRUE)</f>
        <v>9878</v>
      </c>
      <c r="X24" s="3390" cm="1">
        <f t="array" aca="1" ref="X24" ca="1">INDIRECT("'※ 수수료 기준_가입자'!"&amp;X$1&amp;$Z24, TRUE)</f>
        <v>11390</v>
      </c>
      <c r="Y24" s="3391" cm="1">
        <f t="array" aca="1" ref="Y24" ca="1">INDIRECT("'※ 수수료 기준_가입자'!"&amp;Y$1&amp;$Z24, TRUE)</f>
        <v>3022.9166666666661</v>
      </c>
      <c r="Z24" s="2988">
        <f>ROW('※ 수수료 기준_가입자'!Y20)</f>
        <v>20</v>
      </c>
    </row>
    <row r="25" spans="1:27" ht="20.05" customHeight="1" x14ac:dyDescent="0.55000000000000004">
      <c r="A25" s="7096"/>
      <c r="B25" s="886" t="s">
        <v>51</v>
      </c>
      <c r="C25" s="594"/>
      <c r="D25" s="2882" cm="1">
        <f t="array" aca="1" ref="D25" ca="1">INDIRECT("'※ 수수료 기준_가입자'!"&amp;D$1&amp;$Z25, TRUE)</f>
        <v>-591</v>
      </c>
      <c r="E25" s="1102" cm="1">
        <f t="array" aca="1" ref="E25" ca="1">INDIRECT("'※ 수수료 기준_가입자'!"&amp;E$1&amp;$Z25, TRUE)</f>
        <v>27</v>
      </c>
      <c r="F25" s="3420" cm="1">
        <f t="array" aca="1" ref="F25" ca="1">INDIRECT("'※ 수수료 기준_가입자'!"&amp;F$1&amp;$Z25, TRUE)</f>
        <v>0</v>
      </c>
      <c r="G25" s="2883" cm="1">
        <f t="array" aca="1" ref="G25" ca="1">INDIRECT("'※ 수수료 기준_가입자'!"&amp;G$1&amp;$Z25, TRUE)</f>
        <v>10</v>
      </c>
      <c r="H25" s="2883" cm="1">
        <f t="array" aca="1" ref="H25" ca="1">INDIRECT("'※ 수수료 기준_가입자'!"&amp;H$1&amp;$Z25, TRUE)</f>
        <v>7</v>
      </c>
      <c r="I25" s="2883" cm="1">
        <f t="array" aca="1" ref="I25" ca="1">INDIRECT("'※ 수수료 기준_가입자'!"&amp;I$1&amp;$Z25, TRUE)</f>
        <v>1</v>
      </c>
      <c r="J25" s="2883" cm="1">
        <f t="array" aca="1" ref="J25" ca="1">INDIRECT("'※ 수수료 기준_가입자'!"&amp;J$1&amp;$Z25, TRUE)</f>
        <v>4</v>
      </c>
      <c r="K25" s="2883" cm="1">
        <f t="array" aca="1" ref="K25" ca="1">INDIRECT("'※ 수수료 기준_가입자'!"&amp;K$1&amp;$Z25, TRUE)</f>
        <v>3</v>
      </c>
      <c r="L25" s="7560" cm="1">
        <f t="array" aca="1" ref="L25" ca="1">INDIRECT("'※ 수수료 기준_가입자'!"&amp;L$1&amp;$Z25, TRUE)</f>
        <v>0</v>
      </c>
      <c r="M25" s="2883" cm="1">
        <f t="array" aca="1" ref="M25" ca="1">INDIRECT("'※ 수수료 기준_가입자'!"&amp;M$1&amp;$Z25, TRUE)</f>
        <v>0</v>
      </c>
      <c r="N25" s="2883" cm="1">
        <f t="array" aca="1" ref="N25" ca="1">INDIRECT("'※ 수수료 기준_가입자'!"&amp;N$1&amp;$Z25, TRUE)</f>
        <v>0</v>
      </c>
      <c r="O25" s="3421"/>
      <c r="P25" s="3421"/>
      <c r="Q25" s="3421"/>
      <c r="R25" s="3386" cm="1">
        <f t="array" aca="1" ref="R25" ca="1">INDIRECT("'※ 수수료 기준_가입자'!"&amp;R$2&amp;$Z25, TRUE)</f>
        <v>0</v>
      </c>
      <c r="S25" s="3387" cm="1">
        <f t="array" aca="1" ref="S25" ca="1">INDIRECT("'※ 수수료 기준_가입자'!"&amp;S$2&amp;$Z25, TRUE)</f>
        <v>-10</v>
      </c>
      <c r="T25" s="3388" cm="1">
        <f t="array" aca="1" ref="T25" ca="1">INDIRECT("'※ 수수료 기준_가입자'!"&amp;T$1&amp;$Z25, TRUE)</f>
        <v>0</v>
      </c>
      <c r="U25" s="3389"/>
      <c r="V25" s="3389"/>
      <c r="W25" s="3387" cm="1">
        <f t="array" aca="1" ref="W25" ca="1">INDIRECT("'※ 수수료 기준_가입자'!"&amp;W$1&amp;$Z25, TRUE)</f>
        <v>-10</v>
      </c>
      <c r="X25" s="3390" cm="1">
        <f t="array" aca="1" ref="X25" ca="1">INDIRECT("'※ 수수료 기준_가입자'!"&amp;X$1&amp;$Z25, TRUE)</f>
        <v>0</v>
      </c>
      <c r="Y25" s="3391" cm="1">
        <f t="array" aca="1" ref="Y25" ca="1">INDIRECT("'※ 수수료 기준_가입자'!"&amp;Y$1&amp;$Z25, TRUE)</f>
        <v>-2.25</v>
      </c>
      <c r="Z25" s="2988">
        <f>ROW('※ 수수료 기준_가입자'!Y21)</f>
        <v>21</v>
      </c>
    </row>
    <row r="26" spans="1:27" s="2771" customFormat="1" ht="20.05" customHeight="1" x14ac:dyDescent="0.55000000000000004">
      <c r="A26" s="7103"/>
      <c r="B26" s="3032" t="s">
        <v>50</v>
      </c>
      <c r="C26" s="3032"/>
      <c r="D26" s="3422" cm="1">
        <f t="array" aca="1" ref="D26" ca="1">INDIRECT("'※ 수수료 기준_가입자'!"&amp;D$1&amp;$Z26, TRUE)</f>
        <v>-45264</v>
      </c>
      <c r="E26" s="3423" cm="1">
        <f t="array" aca="1" ref="E26" ca="1">INDIRECT("'※ 수수료 기준_가입자'!"&amp;E$1&amp;$Z26, TRUE)</f>
        <v>-92727</v>
      </c>
      <c r="F26" s="3424" cm="1">
        <f t="array" aca="1" ref="F26" ca="1">INDIRECT("'※ 수수료 기준_가입자'!"&amp;F$1&amp;$Z26, TRUE)</f>
        <v>-8337</v>
      </c>
      <c r="G26" s="3423" cm="1">
        <f t="array" aca="1" ref="G26" ca="1">INDIRECT("'※ 수수료 기준_가입자'!"&amp;G$1&amp;$Z26, TRUE)</f>
        <v>-6661</v>
      </c>
      <c r="H26" s="3423" cm="1">
        <f t="array" aca="1" ref="H26" ca="1">INDIRECT("'※ 수수료 기준_가입자'!"&amp;H$1&amp;$Z26, TRUE)</f>
        <v>-5024</v>
      </c>
      <c r="I26" s="3423" cm="1">
        <f t="array" aca="1" ref="I26" ca="1">INDIRECT("'※ 수수료 기준_가입자'!"&amp;I$1&amp;$Z26, TRUE)</f>
        <v>-3822</v>
      </c>
      <c r="J26" s="3423" cm="1">
        <f t="array" aca="1" ref="J26" ca="1">INDIRECT("'※ 수수료 기준_가입자'!"&amp;J$1&amp;$Z26, TRUE)</f>
        <v>8024</v>
      </c>
      <c r="K26" s="3423" cm="1">
        <f t="array" aca="1" ref="K26" ca="1">INDIRECT("'※ 수수료 기준_가입자'!"&amp;K$1&amp;$Z26, TRUE)</f>
        <v>-7281</v>
      </c>
      <c r="L26" s="7561" cm="1">
        <f t="array" aca="1" ref="L26" ca="1">INDIRECT("'※ 수수료 기준_가입자'!"&amp;L$1&amp;$Z26, TRUE)</f>
        <v>-6629</v>
      </c>
      <c r="M26" s="3423" cm="1">
        <f t="array" aca="1" ref="M26" ca="1">INDIRECT("'※ 수수료 기준_가입자'!"&amp;M$1&amp;$Z26, TRUE)</f>
        <v>-20510</v>
      </c>
      <c r="N26" s="3423" cm="1">
        <f t="array" aca="1" ref="N26" ca="1">INDIRECT("'※ 수수료 기준_가입자'!"&amp;N$1&amp;$Z26, TRUE)</f>
        <v>-10502</v>
      </c>
      <c r="O26" s="3425"/>
      <c r="P26" s="3425"/>
      <c r="Q26" s="3425"/>
      <c r="R26" s="3426" cm="1">
        <f t="array" aca="1" ref="R26" ca="1">INDIRECT("'※ 수수료 기준_가입자'!"&amp;R$2&amp;$Z26, TRUE)</f>
        <v>10008</v>
      </c>
      <c r="S26" s="3427" cm="1">
        <f t="array" aca="1" ref="S26" ca="1">INDIRECT("'※ 수수료 기준_가입자'!"&amp;S$2&amp;$Z26, TRUE)</f>
        <v>-3841</v>
      </c>
      <c r="T26" s="3428" cm="1">
        <f t="array" aca="1" ref="T26" ca="1">INDIRECT("'※ 수수료 기준_가입자'!"&amp;T$1&amp;$Z26, TRUE)</f>
        <v>-31012</v>
      </c>
      <c r="U26" s="3429"/>
      <c r="V26" s="3429"/>
      <c r="W26" s="3427" cm="1">
        <f t="array" aca="1" ref="W26" ca="1">INDIRECT("'※ 수수료 기준_가입자'!"&amp;W$1&amp;$Z26, TRUE)</f>
        <v>-16014</v>
      </c>
      <c r="X26" s="3430" cm="1">
        <f t="array" aca="1" ref="X26" ca="1">INDIRECT("'※ 수수료 기준_가입자'!"&amp;X$1&amp;$Z26, TRUE)</f>
        <v>-15506</v>
      </c>
      <c r="Y26" s="3431" cm="1">
        <f t="array" aca="1" ref="Y26" ca="1">INDIRECT("'※ 수수료 기준_가입자'!"&amp;Y$1&amp;$Z26, TRUE)</f>
        <v>-7778.75</v>
      </c>
      <c r="Z26" s="2988">
        <f>ROW('※ 수수료 기준_가입자'!Y22)</f>
        <v>22</v>
      </c>
      <c r="AA26" s="2984"/>
    </row>
    <row r="27" spans="1:27" s="2771" customFormat="1" ht="20.05" customHeight="1" x14ac:dyDescent="0.55000000000000004">
      <c r="A27" s="7095" t="s">
        <v>60</v>
      </c>
      <c r="B27" s="2908" t="s">
        <v>43</v>
      </c>
      <c r="C27" s="2908"/>
      <c r="D27" s="2910" cm="1">
        <f t="array" aca="1" ref="D27" ca="1">INDIRECT("'※ 수수료 기준_가입자'!"&amp;D$1&amp;$Z27, TRUE)</f>
        <v>732488</v>
      </c>
      <c r="E27" s="2911" cm="1">
        <f t="array" aca="1" ref="E27" ca="1">INDIRECT("'※ 수수료 기준_가입자'!"&amp;E$1&amp;$Z27, TRUE)</f>
        <v>651487</v>
      </c>
      <c r="F27" s="3406" cm="1">
        <f t="array" aca="1" ref="F27" ca="1">INDIRECT("'※ 수수료 기준_가입자'!"&amp;F$1&amp;$Z27, TRUE)</f>
        <v>722118</v>
      </c>
      <c r="G27" s="2911" cm="1">
        <f t="array" aca="1" ref="G27" ca="1">INDIRECT("'※ 수수료 기준_가입자'!"&amp;G$1&amp;$Z27, TRUE)</f>
        <v>716163</v>
      </c>
      <c r="H27" s="2911" cm="1">
        <f t="array" aca="1" ref="H27" ca="1">INDIRECT("'※ 수수료 기준_가입자'!"&amp;H$1&amp;$Z27, TRUE)</f>
        <v>706173</v>
      </c>
      <c r="I27" s="2911" cm="1">
        <f t="array" aca="1" ref="I27" ca="1">INDIRECT("'※ 수수료 기준_가입자'!"&amp;I$1&amp;$Z27, TRUE)</f>
        <v>700387</v>
      </c>
      <c r="J27" s="2911" cm="1">
        <f t="array" aca="1" ref="J27" ca="1">INDIRECT("'※ 수수료 기준_가입자'!"&amp;J$1&amp;$Z27, TRUE)</f>
        <v>709512</v>
      </c>
      <c r="K27" s="2911" cm="1">
        <f t="array" aca="1" ref="K27" ca="1">INDIRECT("'※ 수수료 기준_가입자'!"&amp;K$1&amp;$Z27, TRUE)</f>
        <v>702531</v>
      </c>
      <c r="L27" s="7558" cm="1">
        <f t="array" aca="1" ref="L27" ca="1">INDIRECT("'※ 수수료 기준_가입자'!"&amp;L$1&amp;$Z27, TRUE)</f>
        <v>700688</v>
      </c>
      <c r="M27" s="2911" cm="1">
        <f t="array" aca="1" ref="M27" ca="1">INDIRECT("'※ 수수료 기준_가입자'!"&amp;M$1&amp;$Z27, TRUE)</f>
        <v>638581</v>
      </c>
      <c r="N27" s="2911" cm="1">
        <f t="array" aca="1" ref="N27" ca="1">INDIRECT("'※ 수수료 기준_가입자'!"&amp;N$1&amp;$Z27, TRUE)</f>
        <v>630945</v>
      </c>
      <c r="O27" s="3407"/>
      <c r="P27" s="3407"/>
      <c r="Q27" s="3407"/>
      <c r="R27" s="3408" cm="1">
        <f t="array" aca="1" ref="R27" ca="1">INDIRECT("'※ 수수료 기준_가입자'!"&amp;R$2&amp;$Z27, TRUE)</f>
        <v>-7636</v>
      </c>
      <c r="S27" s="3409" cm="1">
        <f t="array" aca="1" ref="S27" ca="1">INDIRECT("'※ 수수료 기준_가입자'!"&amp;S$2&amp;$Z27, TRUE)</f>
        <v>-85218</v>
      </c>
      <c r="T27" s="3410" cm="1">
        <f t="array" aca="1" ref="T27" ca="1">INDIRECT("'※ 수수료 기준_가입자'!"&amp;T$1&amp;$Z27, TRUE)</f>
        <v>630945</v>
      </c>
      <c r="U27" s="3411"/>
      <c r="V27" s="3411"/>
      <c r="W27" s="3409" cm="1">
        <f t="array" aca="1" ref="W27" ca="1">INDIRECT("'※ 수수료 기준_가입자'!"&amp;W$1&amp;$Z27, TRUE)</f>
        <v>-85218</v>
      </c>
      <c r="X27" s="3412" cm="1">
        <f t="array" aca="1" ref="X27" ca="1">INDIRECT("'※ 수수료 기준_가입자'!"&amp;X$1&amp;$Z27, TRUE)</f>
        <v>634763</v>
      </c>
      <c r="Y27" s="3413" cm="1">
        <f t="array" aca="1" ref="Y27" ca="1">INDIRECT("'※ 수수료 기준_가입자'!"&amp;Y$1&amp;$Z27, TRUE)</f>
        <v>-58306.583333333372</v>
      </c>
      <c r="Z27" s="2988">
        <f>ROW('※ 수수료 기준_가입자'!Y23)</f>
        <v>23</v>
      </c>
      <c r="AA27" s="2984"/>
    </row>
    <row r="28" spans="1:27" s="2771" customFormat="1" ht="20.05" customHeight="1" x14ac:dyDescent="0.55000000000000004">
      <c r="A28" s="7096"/>
      <c r="B28" s="3084" t="s">
        <v>56</v>
      </c>
      <c r="C28" s="3084"/>
      <c r="D28" s="2887" cm="1">
        <f t="array" aca="1" ref="D28" ca="1">INDIRECT("'※ 수수료 기준_가입자'!"&amp;D$1&amp;$Z28, TRUE)</f>
        <v>360471</v>
      </c>
      <c r="E28" s="2888" cm="1">
        <f t="array" aca="1" ref="E28" ca="1">INDIRECT("'※ 수수료 기준_가입자'!"&amp;E$1&amp;$Z28, TRUE)</f>
        <v>511768</v>
      </c>
      <c r="F28" s="3414" cm="1">
        <f t="array" aca="1" ref="F28" ca="1">INDIRECT("'※ 수수료 기준_가입자'!"&amp;F$1&amp;$Z28, TRUE)</f>
        <v>24827</v>
      </c>
      <c r="G28" s="2888" cm="1">
        <f t="array" aca="1" ref="G28" ca="1">INDIRECT("'※ 수수료 기준_가입자'!"&amp;G$1&amp;$Z28, TRUE)</f>
        <v>46666</v>
      </c>
      <c r="H28" s="2888" cm="1">
        <f t="array" aca="1" ref="H28" ca="1">INDIRECT("'※ 수수료 기준_가입자'!"&amp;H$1&amp;$Z28, TRUE)</f>
        <v>29889</v>
      </c>
      <c r="I28" s="2888" cm="1">
        <f t="array" aca="1" ref="I28" ca="1">INDIRECT("'※ 수수료 기준_가입자'!"&amp;I$1&amp;$Z28, TRUE)</f>
        <v>38967</v>
      </c>
      <c r="J28" s="2888" cm="1">
        <f t="array" aca="1" ref="J28" ca="1">INDIRECT("'※ 수수료 기준_가입자'!"&amp;J$1&amp;$Z28, TRUE)</f>
        <v>66692</v>
      </c>
      <c r="K28" s="2888" cm="1">
        <f t="array" aca="1" ref="K28" ca="1">INDIRECT("'※ 수수료 기준_가입자'!"&amp;K$1&amp;$Z28, TRUE)</f>
        <v>43382</v>
      </c>
      <c r="L28" s="7559" cm="1">
        <f t="array" aca="1" ref="L28" ca="1">INDIRECT("'※ 수수료 기준_가입자'!"&amp;L$1&amp;$Z28, TRUE)</f>
        <v>61341</v>
      </c>
      <c r="M28" s="2888" cm="1">
        <f t="array" aca="1" ref="M28" ca="1">INDIRECT("'※ 수수료 기준_가입자'!"&amp;M$1&amp;$Z28, TRUE)</f>
        <v>17312</v>
      </c>
      <c r="N28" s="2888" cm="1">
        <f t="array" aca="1" ref="N28" ca="1">INDIRECT("'※ 수수료 기준_가입자'!"&amp;N$1&amp;$Z28, TRUE)</f>
        <v>10548</v>
      </c>
      <c r="O28" s="3385"/>
      <c r="P28" s="3385"/>
      <c r="Q28" s="3385"/>
      <c r="R28" s="3415" cm="1">
        <f t="array" aca="1" ref="R28" ca="1">INDIRECT("'※ 수수료 기준_가입자'!"&amp;R$2&amp;$Z28, TRUE)</f>
        <v>-6764</v>
      </c>
      <c r="S28" s="3416" cm="1">
        <f t="array" aca="1" ref="S28" ca="1">INDIRECT("'※ 수수료 기준_가입자'!"&amp;S$2&amp;$Z28, TRUE)</f>
        <v>-36118</v>
      </c>
      <c r="T28" s="3417" cm="1">
        <f t="array" aca="1" ref="T28" ca="1">INDIRECT("'※ 수수료 기준_가입자'!"&amp;T$1&amp;$Z28, TRUE)</f>
        <v>27860</v>
      </c>
      <c r="U28" s="3389"/>
      <c r="V28" s="3389"/>
      <c r="W28" s="3416" cm="1">
        <f t="array" aca="1" ref="W28" ca="1">INDIRECT("'※ 수수료 기준_가입자'!"&amp;W$1&amp;$Z28, TRUE)</f>
        <v>-43633</v>
      </c>
      <c r="X28" s="3418" cm="1">
        <f t="array" aca="1" ref="X28" ca="1">INDIRECT("'※ 수수료 기준_가입자'!"&amp;X$1&amp;$Z28, TRUE)</f>
        <v>13930</v>
      </c>
      <c r="Y28" s="3419" cm="1">
        <f t="array" aca="1" ref="Y28" ca="1">INDIRECT("'※ 수수료 기준_가입자'!"&amp;Y$1&amp;$Z28, TRUE)</f>
        <v>-28717.333333333336</v>
      </c>
      <c r="Z28" s="2988">
        <f>ROW('※ 수수료 기준_가입자'!Y24)</f>
        <v>24</v>
      </c>
      <c r="AA28" s="2984"/>
    </row>
    <row r="29" spans="1:27" ht="20.05" hidden="1" customHeight="1" x14ac:dyDescent="0.55000000000000004">
      <c r="A29" s="7096"/>
      <c r="B29" s="594"/>
      <c r="C29" s="594" t="s">
        <v>57</v>
      </c>
      <c r="D29" s="2882"/>
      <c r="E29" s="1102"/>
      <c r="F29" s="2968"/>
      <c r="G29" s="1102"/>
      <c r="H29" s="1102"/>
      <c r="I29" s="1102"/>
      <c r="J29" s="1102"/>
      <c r="K29" s="1102"/>
      <c r="L29" s="7555"/>
      <c r="M29" s="1102"/>
      <c r="N29" s="1102"/>
      <c r="O29" s="3385"/>
      <c r="P29" s="3385"/>
      <c r="Q29" s="3385"/>
      <c r="R29" s="3386" cm="1">
        <f t="array" aca="1" ref="R29" ca="1">INDIRECT("'※ 수수료 기준_가입자'!"&amp;R$2&amp;$Z29, TRUE)</f>
        <v>-2578</v>
      </c>
      <c r="S29" s="3387" cm="1">
        <f t="array" aca="1" ref="S29" ca="1">INDIRECT("'※ 수수료 기준_가입자'!"&amp;S$2&amp;$Z29, TRUE)</f>
        <v>-13867</v>
      </c>
      <c r="T29" s="3388"/>
      <c r="U29" s="3389"/>
      <c r="V29" s="3389"/>
      <c r="W29" s="3387"/>
      <c r="X29" s="3390"/>
      <c r="Y29" s="3391"/>
      <c r="Z29" s="2988">
        <f>ROW('※ 수수료 기준_가입자'!Y25)</f>
        <v>25</v>
      </c>
    </row>
    <row r="30" spans="1:27" ht="20.05" hidden="1" customHeight="1" x14ac:dyDescent="0.55000000000000004">
      <c r="A30" s="7096"/>
      <c r="B30" s="594"/>
      <c r="C30" s="594" t="s">
        <v>55</v>
      </c>
      <c r="D30" s="2882"/>
      <c r="E30" s="1102"/>
      <c r="F30" s="2968"/>
      <c r="G30" s="1102"/>
      <c r="H30" s="1102"/>
      <c r="I30" s="1102"/>
      <c r="J30" s="1102"/>
      <c r="K30" s="1102"/>
      <c r="L30" s="7555"/>
      <c r="M30" s="1102"/>
      <c r="N30" s="1102"/>
      <c r="O30" s="3385"/>
      <c r="P30" s="3385"/>
      <c r="Q30" s="3385"/>
      <c r="R30" s="3386" cm="1">
        <f t="array" aca="1" ref="R30" ca="1">INDIRECT("'※ 수수료 기준_가입자'!"&amp;R$2&amp;$Z30, TRUE)</f>
        <v>-4186</v>
      </c>
      <c r="S30" s="3387" cm="1">
        <f t="array" aca="1" ref="S30" ca="1">INDIRECT("'※ 수수료 기준_가입자'!"&amp;S$2&amp;$Z30, TRUE)</f>
        <v>-22251</v>
      </c>
      <c r="T30" s="3388"/>
      <c r="U30" s="3389"/>
      <c r="V30" s="3389"/>
      <c r="W30" s="3387"/>
      <c r="X30" s="3390"/>
      <c r="Y30" s="3391"/>
      <c r="Z30" s="2988">
        <f>ROW('※ 수수료 기준_가입자'!Y26)</f>
        <v>26</v>
      </c>
    </row>
    <row r="31" spans="1:27" ht="20.05" customHeight="1" x14ac:dyDescent="0.55000000000000004">
      <c r="A31" s="7096"/>
      <c r="B31" s="594" t="s">
        <v>47</v>
      </c>
      <c r="C31" s="594"/>
      <c r="D31" s="2882" cm="1">
        <f t="array" aca="1" ref="D31" ca="1">INDIRECT("'※ 수수료 기준_가입자'!"&amp;D$1&amp;$Z31, TRUE)</f>
        <v>115724</v>
      </c>
      <c r="E31" s="1102" cm="1">
        <f t="array" aca="1" ref="E31" ca="1">INDIRECT("'※ 수수료 기준_가입자'!"&amp;E$1&amp;$Z31, TRUE)</f>
        <v>116761</v>
      </c>
      <c r="F31" s="2968" cm="1">
        <f t="array" aca="1" ref="F31" ca="1">INDIRECT("'※ 수수료 기준_가입자'!"&amp;F$1&amp;$Z31, TRUE)</f>
        <v>8405</v>
      </c>
      <c r="G31" s="1102" cm="1">
        <f t="array" aca="1" ref="G31" ca="1">INDIRECT("'※ 수수료 기준_가입자'!"&amp;G$1&amp;$Z31, TRUE)</f>
        <v>10364</v>
      </c>
      <c r="H31" s="1102" cm="1">
        <f t="array" aca="1" ref="H31" ca="1">INDIRECT("'※ 수수료 기준_가입자'!"&amp;H$1&amp;$Z31, TRUE)</f>
        <v>9118</v>
      </c>
      <c r="I31" s="1102" cm="1">
        <f t="array" aca="1" ref="I31" ca="1">INDIRECT("'※ 수수료 기준_가입자'!"&amp;I$1&amp;$Z31, TRUE)</f>
        <v>9064</v>
      </c>
      <c r="J31" s="1102" cm="1">
        <f t="array" aca="1" ref="J31" ca="1">INDIRECT("'※ 수수료 기준_가입자'!"&amp;J$1&amp;$Z31, TRUE)</f>
        <v>7775</v>
      </c>
      <c r="K31" s="1102" cm="1">
        <f t="array" aca="1" ref="K31" ca="1">INDIRECT("'※ 수수료 기준_가입자'!"&amp;K$1&amp;$Z31, TRUE)</f>
        <v>9688</v>
      </c>
      <c r="L31" s="7555" cm="1">
        <f t="array" aca="1" ref="L31" ca="1">INDIRECT("'※ 수수료 기준_가입자'!"&amp;L$1&amp;$Z31, TRUE)</f>
        <v>14560</v>
      </c>
      <c r="M31" s="1102" cm="1">
        <f t="array" aca="1" ref="M31" ca="1">INDIRECT("'※ 수수료 기준_가입자'!"&amp;M$1&amp;$Z31, TRUE)</f>
        <v>21707</v>
      </c>
      <c r="N31" s="1102" cm="1">
        <f t="array" aca="1" ref="N31" ca="1">INDIRECT("'※ 수수료 기준_가입자'!"&amp;N$1&amp;$Z31, TRUE)</f>
        <v>7232</v>
      </c>
      <c r="O31" s="3385"/>
      <c r="P31" s="3385"/>
      <c r="Q31" s="3385"/>
      <c r="R31" s="3386" cm="1">
        <f t="array" aca="1" ref="R31" ca="1">INDIRECT("'※ 수수료 기준_가입자'!"&amp;R$2&amp;$Z31, TRUE)</f>
        <v>-14475</v>
      </c>
      <c r="S31" s="3387" cm="1">
        <f t="array" aca="1" ref="S31" ca="1">INDIRECT("'※ 수수료 기준_가입자'!"&amp;S$2&amp;$Z31, TRUE)</f>
        <v>-3132</v>
      </c>
      <c r="T31" s="3388" cm="1">
        <f t="array" aca="1" ref="T31" ca="1">INDIRECT("'※ 수수료 기준_가입자'!"&amp;T$1&amp;$Z31, TRUE)</f>
        <v>28939</v>
      </c>
      <c r="U31" s="3389"/>
      <c r="V31" s="3389"/>
      <c r="W31" s="3387" cm="1">
        <f t="array" aca="1" ref="W31" ca="1">INDIRECT("'※ 수수료 기준_가입자'!"&amp;W$1&amp;$Z31, TRUE)</f>
        <v>10170</v>
      </c>
      <c r="X31" s="3390" cm="1">
        <f t="array" aca="1" ref="X31" ca="1">INDIRECT("'※ 수수료 기준_가입자'!"&amp;X$1&amp;$Z31, TRUE)</f>
        <v>14469.5</v>
      </c>
      <c r="Y31" s="3391" cm="1">
        <f t="array" aca="1" ref="Y31" ca="1">INDIRECT("'※ 수수료 기준_가입자'!"&amp;Y$1&amp;$Z31, TRUE)</f>
        <v>4739.4166666666661</v>
      </c>
      <c r="Z31" s="2988">
        <f>ROW('※ 수수료 기준_가입자'!Y27)</f>
        <v>27</v>
      </c>
    </row>
    <row r="32" spans="1:27" ht="20.05" customHeight="1" x14ac:dyDescent="0.55000000000000004">
      <c r="A32" s="7096"/>
      <c r="B32" s="594" t="s">
        <v>58</v>
      </c>
      <c r="C32" s="594"/>
      <c r="D32" s="2882" cm="1">
        <f t="array" aca="1" ref="D32" ca="1">INDIRECT("'※ 수수료 기준_가입자'!"&amp;D$1&amp;$Z32, TRUE)</f>
        <v>9062</v>
      </c>
      <c r="E32" s="1102" cm="1">
        <f t="array" aca="1" ref="E32" ca="1">INDIRECT("'※ 수수료 기준_가입자'!"&amp;E$1&amp;$Z32, TRUE)</f>
        <v>8476</v>
      </c>
      <c r="F32" s="2968" cm="1">
        <f t="array" aca="1" ref="F32" ca="1">INDIRECT("'※ 수수료 기준_가입자'!"&amp;F$1&amp;$Z32, TRUE)</f>
        <v>817</v>
      </c>
      <c r="G32" s="1102" cm="1">
        <f t="array" aca="1" ref="G32" ca="1">INDIRECT("'※ 수수료 기준_가입자'!"&amp;G$1&amp;$Z32, TRUE)</f>
        <v>655</v>
      </c>
      <c r="H32" s="1102" cm="1">
        <f t="array" aca="1" ref="H32" ca="1">INDIRECT("'※ 수수료 기준_가입자'!"&amp;H$1&amp;$Z32, TRUE)</f>
        <v>627</v>
      </c>
      <c r="I32" s="1102" cm="1">
        <f t="array" aca="1" ref="I32" ca="1">INDIRECT("'※ 수수료 기준_가입자'!"&amp;I$1&amp;$Z32, TRUE)</f>
        <v>670</v>
      </c>
      <c r="J32" s="1102" cm="1">
        <f t="array" aca="1" ref="J32" ca="1">INDIRECT("'※ 수수료 기준_가입자'!"&amp;J$1&amp;$Z32, TRUE)</f>
        <v>696</v>
      </c>
      <c r="K32" s="1102" cm="1">
        <f t="array" aca="1" ref="K32" ca="1">INDIRECT("'※ 수수료 기준_가입자'!"&amp;K$1&amp;$Z32, TRUE)</f>
        <v>1140</v>
      </c>
      <c r="L32" s="7555" cm="1">
        <f t="array" aca="1" ref="L32" ca="1">INDIRECT("'※ 수수료 기준_가입자'!"&amp;L$1&amp;$Z32, TRUE)</f>
        <v>703</v>
      </c>
      <c r="M32" s="1102" cm="1">
        <f t="array" aca="1" ref="M32" ca="1">INDIRECT("'※ 수수료 기준_가입자'!"&amp;M$1&amp;$Z32, TRUE)</f>
        <v>1041</v>
      </c>
      <c r="N32" s="1102" cm="1">
        <f t="array" aca="1" ref="N32" ca="1">INDIRECT("'※ 수수료 기준_가입자'!"&amp;N$1&amp;$Z32, TRUE)</f>
        <v>474</v>
      </c>
      <c r="O32" s="3385"/>
      <c r="P32" s="3385"/>
      <c r="Q32" s="3385"/>
      <c r="R32" s="3386" cm="1">
        <f t="array" aca="1" ref="R32" ca="1">INDIRECT("'※ 수수료 기준_가입자'!"&amp;R$2&amp;$Z32, TRUE)</f>
        <v>-567</v>
      </c>
      <c r="S32" s="3387" cm="1">
        <f t="array" aca="1" ref="S32" ca="1">INDIRECT("'※ 수수료 기준_가입자'!"&amp;S$2&amp;$Z32, TRUE)</f>
        <v>-181</v>
      </c>
      <c r="T32" s="3388" cm="1">
        <f t="array" aca="1" ref="T32" ca="1">INDIRECT("'※ 수수료 기준_가입자'!"&amp;T$1&amp;$Z32, TRUE)</f>
        <v>1515</v>
      </c>
      <c r="U32" s="3389"/>
      <c r="V32" s="3389"/>
      <c r="W32" s="3387" cm="1">
        <f t="array" aca="1" ref="W32" ca="1">INDIRECT("'※ 수수료 기준_가입자'!"&amp;W$1&amp;$Z32, TRUE)</f>
        <v>43</v>
      </c>
      <c r="X32" s="3390" cm="1">
        <f t="array" aca="1" ref="X32" ca="1">INDIRECT("'※ 수수료 기준_가입자'!"&amp;X$1&amp;$Z32, TRUE)</f>
        <v>757.5</v>
      </c>
      <c r="Y32" s="3391" cm="1">
        <f t="array" aca="1" ref="Y32" ca="1">INDIRECT("'※ 수수료 기준_가입자'!"&amp;Y$1&amp;$Z32, TRUE)</f>
        <v>51.166666666666629</v>
      </c>
      <c r="Z32" s="2988">
        <f>ROW('※ 수수료 기준_가입자'!Y28)</f>
        <v>28</v>
      </c>
    </row>
    <row r="33" spans="1:27" ht="20.05" customHeight="1" x14ac:dyDescent="0.55000000000000004">
      <c r="A33" s="7096"/>
      <c r="B33" s="594" t="s">
        <v>48</v>
      </c>
      <c r="C33" s="594"/>
      <c r="D33" s="2882" cm="1">
        <f t="array" aca="1" ref="D33" ca="1">INDIRECT("'※ 수수료 기준_가입자'!"&amp;D$1&amp;$Z33, TRUE)</f>
        <v>257008</v>
      </c>
      <c r="E33" s="1102" cm="1">
        <f t="array" aca="1" ref="E33" ca="1">INDIRECT("'※ 수수료 기준_가입자'!"&amp;E$1&amp;$Z33, TRUE)</f>
        <v>427696</v>
      </c>
      <c r="F33" s="2968" cm="1">
        <f t="array" aca="1" ref="F33" ca="1">INDIRECT("'※ 수수료 기준_가입자'!"&amp;F$1&amp;$Z33, TRUE)</f>
        <v>23467</v>
      </c>
      <c r="G33" s="1102" cm="1">
        <f t="array" aca="1" ref="G33" ca="1">INDIRECT("'※ 수수료 기준_가입자'!"&amp;G$1&amp;$Z33, TRUE)</f>
        <v>38940</v>
      </c>
      <c r="H33" s="1102" cm="1">
        <f t="array" aca="1" ref="H33" ca="1">INDIRECT("'※ 수수료 기준_가입자'!"&amp;H$1&amp;$Z33, TRUE)</f>
        <v>27386</v>
      </c>
      <c r="I33" s="1102" cm="1">
        <f t="array" aca="1" ref="I33" ca="1">INDIRECT("'※ 수수료 기준_가입자'!"&amp;I$1&amp;$Z33, TRUE)</f>
        <v>32570</v>
      </c>
      <c r="J33" s="1102" cm="1">
        <f t="array" aca="1" ref="J33" ca="1">INDIRECT("'※ 수수료 기준_가입자'!"&amp;J$1&amp;$Z33, TRUE)</f>
        <v>45777</v>
      </c>
      <c r="K33" s="1102" cm="1">
        <f t="array" aca="1" ref="K33" ca="1">INDIRECT("'※ 수수료 기준_가입자'!"&amp;K$1&amp;$Z33, TRUE)</f>
        <v>36821</v>
      </c>
      <c r="L33" s="7555" cm="1">
        <f t="array" aca="1" ref="L33" ca="1">INDIRECT("'※ 수수료 기준_가입자'!"&amp;L$1&amp;$Z33, TRUE)</f>
        <v>45176</v>
      </c>
      <c r="M33" s="1102" cm="1">
        <f t="array" aca="1" ref="M33" ca="1">INDIRECT("'※ 수수료 기준_가입자'!"&amp;M$1&amp;$Z33, TRUE)</f>
        <v>2078</v>
      </c>
      <c r="N33" s="1102" cm="1">
        <f t="array" aca="1" ref="N33" ca="1">INDIRECT("'※ 수수료 기준_가입자'!"&amp;N$1&amp;$Z33, TRUE)</f>
        <v>4304</v>
      </c>
      <c r="O33" s="3385"/>
      <c r="P33" s="3385"/>
      <c r="Q33" s="3385"/>
      <c r="R33" s="3386" cm="1">
        <f t="array" aca="1" ref="R33" ca="1">INDIRECT("'※ 수수료 기준_가입자'!"&amp;R$2&amp;$Z33, TRUE)</f>
        <v>2226</v>
      </c>
      <c r="S33" s="3387" cm="1">
        <f t="array" aca="1" ref="S33" ca="1">INDIRECT("'※ 수수료 기준_가입자'!"&amp;S$2&amp;$Z33, TRUE)</f>
        <v>-34636</v>
      </c>
      <c r="T33" s="3388" cm="1">
        <f t="array" aca="1" ref="T33" ca="1">INDIRECT("'※ 수수료 기준_가입자'!"&amp;T$1&amp;$Z33, TRUE)</f>
        <v>6382</v>
      </c>
      <c r="U33" s="3389"/>
      <c r="V33" s="3389"/>
      <c r="W33" s="3387" cm="1">
        <f t="array" aca="1" ref="W33" ca="1">INDIRECT("'※ 수수료 기준_가입자'!"&amp;W$1&amp;$Z33, TRUE)</f>
        <v>-56025</v>
      </c>
      <c r="X33" s="3390" cm="1">
        <f t="array" aca="1" ref="X33" ca="1">INDIRECT("'※ 수수료 기준_가입자'!"&amp;X$1&amp;$Z33, TRUE)</f>
        <v>3191</v>
      </c>
      <c r="Y33" s="3391" cm="1">
        <f t="array" aca="1" ref="Y33" ca="1">INDIRECT("'※ 수수료 기준_가입자'!"&amp;Y$1&amp;$Z33, TRUE)</f>
        <v>-32450.333333333336</v>
      </c>
      <c r="Z33" s="2988">
        <f>ROW('※ 수수료 기준_가입자'!Y29)</f>
        <v>29</v>
      </c>
    </row>
    <row r="34" spans="1:27" ht="20.05" customHeight="1" x14ac:dyDescent="0.55000000000000004">
      <c r="A34" s="7096"/>
      <c r="B34" s="594" t="s">
        <v>49</v>
      </c>
      <c r="C34" s="594"/>
      <c r="D34" s="2882" cm="1">
        <f t="array" aca="1" ref="D34" ca="1">INDIRECT("'※ 수수료 기준_가입자'!"&amp;D$1&amp;$Z34, TRUE)</f>
        <v>36709</v>
      </c>
      <c r="E34" s="1102" cm="1">
        <f t="array" aca="1" ref="E34" ca="1">INDIRECT("'※ 수수료 기준_가입자'!"&amp;E$1&amp;$Z34, TRUE)</f>
        <v>48336</v>
      </c>
      <c r="F34" s="2968" cm="1">
        <f t="array" aca="1" ref="F34" ca="1">INDIRECT("'※ 수수료 기준_가입자'!"&amp;F$1&amp;$Z34, TRUE)</f>
        <v>3325</v>
      </c>
      <c r="G34" s="1102" cm="1">
        <f t="array" aca="1" ref="G34" ca="1">INDIRECT("'※ 수수료 기준_가입자'!"&amp;G$1&amp;$Z34, TRUE)</f>
        <v>3327</v>
      </c>
      <c r="H34" s="1102" cm="1">
        <f t="array" aca="1" ref="H34" ca="1">INDIRECT("'※ 수수료 기준_가입자'!"&amp;H$1&amp;$Z34, TRUE)</f>
        <v>3382</v>
      </c>
      <c r="I34" s="1102" cm="1">
        <f t="array" aca="1" ref="I34" ca="1">INDIRECT("'※ 수수료 기준_가입자'!"&amp;I$1&amp;$Z34, TRUE)</f>
        <v>3119</v>
      </c>
      <c r="J34" s="1102" cm="1">
        <f t="array" aca="1" ref="J34" ca="1">INDIRECT("'※ 수수료 기준_가입자'!"&amp;J$1&amp;$Z34, TRUE)</f>
        <v>4019</v>
      </c>
      <c r="K34" s="1102" cm="1">
        <f t="array" aca="1" ref="K34" ca="1">INDIRECT("'※ 수수료 기준_가입자'!"&amp;K$1&amp;$Z34, TRUE)</f>
        <v>3857</v>
      </c>
      <c r="L34" s="7555" cm="1">
        <f t="array" aca="1" ref="L34" ca="1">INDIRECT("'※ 수수료 기준_가입자'!"&amp;L$1&amp;$Z34, TRUE)</f>
        <v>3448</v>
      </c>
      <c r="M34" s="1102" cm="1">
        <f t="array" aca="1" ref="M34" ca="1">INDIRECT("'※ 수수료 기준_가입자'!"&amp;M$1&amp;$Z34, TRUE)</f>
        <v>6433</v>
      </c>
      <c r="N34" s="1102" cm="1">
        <f t="array" aca="1" ref="N34" ca="1">INDIRECT("'※ 수수료 기준_가입자'!"&amp;N$1&amp;$Z34, TRUE)</f>
        <v>6648</v>
      </c>
      <c r="O34" s="3385"/>
      <c r="P34" s="3385"/>
      <c r="Q34" s="3385"/>
      <c r="R34" s="3386" cm="1">
        <f t="array" aca="1" ref="R34" ca="1">INDIRECT("'※ 수수료 기준_가입자'!"&amp;R$2&amp;$Z34, TRUE)</f>
        <v>215</v>
      </c>
      <c r="S34" s="3387" cm="1">
        <f t="array" aca="1" ref="S34" ca="1">INDIRECT("'※ 수수료 기준_가입자'!"&amp;S$2&amp;$Z34, TRUE)</f>
        <v>3321</v>
      </c>
      <c r="T34" s="3388" cm="1">
        <f t="array" aca="1" ref="T34" ca="1">INDIRECT("'※ 수수료 기준_가입자'!"&amp;T$1&amp;$Z34, TRUE)</f>
        <v>13081</v>
      </c>
      <c r="U34" s="3389"/>
      <c r="V34" s="3389"/>
      <c r="W34" s="3387" cm="1">
        <f t="array" aca="1" ref="W34" ca="1">INDIRECT("'※ 수수료 기준_가입자'!"&amp;W$1&amp;$Z34, TRUE)</f>
        <v>6429</v>
      </c>
      <c r="X34" s="3390" cm="1">
        <f t="array" aca="1" ref="X34" ca="1">INDIRECT("'※ 수수료 기준_가입자'!"&amp;X$1&amp;$Z34, TRUE)</f>
        <v>6540.5</v>
      </c>
      <c r="Y34" s="3391" cm="1">
        <f t="array" aca="1" ref="Y34" ca="1">INDIRECT("'※ 수수료 기준_가입자'!"&amp;Y$1&amp;$Z34, TRUE)</f>
        <v>2512.5</v>
      </c>
      <c r="Z34" s="2988">
        <f>ROW('※ 수수료 기준_가입자'!Y30)</f>
        <v>30</v>
      </c>
    </row>
    <row r="35" spans="1:27" ht="20.05" customHeight="1" x14ac:dyDescent="0.55000000000000004">
      <c r="A35" s="7096"/>
      <c r="B35" s="886" t="s">
        <v>51</v>
      </c>
      <c r="C35" s="594"/>
      <c r="D35" s="2882" cm="1">
        <f t="array" aca="1" ref="D35" ca="1">INDIRECT("'※ 수수료 기준_가입자'!"&amp;D$1&amp;$Z35, TRUE)</f>
        <v>-5707</v>
      </c>
      <c r="E35" s="1102" cm="1">
        <f t="array" aca="1" ref="E35" ca="1">INDIRECT("'※ 수수료 기준_가입자'!"&amp;E$1&amp;$Z35, TRUE)</f>
        <v>-24</v>
      </c>
      <c r="F35" s="2968" cm="1">
        <f t="array" aca="1" ref="F35" ca="1">INDIRECT("'※ 수수료 기준_가입자'!"&amp;F$1&amp;$Z35, TRUE)</f>
        <v>0</v>
      </c>
      <c r="G35" s="1102" cm="1">
        <f t="array" aca="1" ref="G35" ca="1">INDIRECT("'※ 수수료 기준_가입자'!"&amp;G$1&amp;$Z35, TRUE)</f>
        <v>-10</v>
      </c>
      <c r="H35" s="1102" cm="1">
        <f t="array" aca="1" ref="H35" ca="1">INDIRECT("'※ 수수료 기준_가입자'!"&amp;H$1&amp;$Z35, TRUE)</f>
        <v>-7</v>
      </c>
      <c r="I35" s="1102" cm="1">
        <f t="array" aca="1" ref="I35" ca="1">INDIRECT("'※ 수수료 기준_가입자'!"&amp;I$1&amp;$Z35, TRUE)</f>
        <v>0</v>
      </c>
      <c r="J35" s="1102" cm="1">
        <f t="array" aca="1" ref="J35" ca="1">INDIRECT("'※ 수수료 기준_가입자'!"&amp;J$1&amp;$Z35, TRUE)</f>
        <v>-4</v>
      </c>
      <c r="K35" s="1102" cm="1">
        <f t="array" aca="1" ref="K35" ca="1">INDIRECT("'※ 수수료 기준_가입자'!"&amp;K$1&amp;$Z35, TRUE)</f>
        <v>-3</v>
      </c>
      <c r="L35" s="7555" cm="1">
        <f t="array" aca="1" ref="L35" ca="1">INDIRECT("'※ 수수료 기준_가입자'!"&amp;L$1&amp;$Z35, TRUE)</f>
        <v>0</v>
      </c>
      <c r="M35" s="1102" cm="1">
        <f t="array" aca="1" ref="M35" ca="1">INDIRECT("'※ 수수료 기준_가입자'!"&amp;M$1&amp;$Z35, TRUE)</f>
        <v>0</v>
      </c>
      <c r="N35" s="1102" cm="1">
        <f t="array" aca="1" ref="N35" ca="1">INDIRECT("'※ 수수료 기준_가입자'!"&amp;N$1&amp;$Z35, TRUE)</f>
        <v>0</v>
      </c>
      <c r="O35" s="3385"/>
      <c r="P35" s="3385"/>
      <c r="Q35" s="3385"/>
      <c r="R35" s="3386" cm="1">
        <f t="array" aca="1" ref="R35" ca="1">INDIRECT("'※ 수수료 기준_가입자'!"&amp;R$2&amp;$Z35, TRUE)</f>
        <v>0</v>
      </c>
      <c r="S35" s="3387" cm="1">
        <f t="array" aca="1" ref="S35" ca="1">INDIRECT("'※ 수수료 기준_가입자'!"&amp;S$2&amp;$Z35, TRUE)</f>
        <v>10</v>
      </c>
      <c r="T35" s="3388" cm="1">
        <f t="array" aca="1" ref="T35" ca="1">INDIRECT("'※ 수수료 기준_가입자'!"&amp;T$1&amp;$Z35, TRUE)</f>
        <v>0</v>
      </c>
      <c r="U35" s="3389"/>
      <c r="V35" s="3389"/>
      <c r="W35" s="3387" cm="1">
        <f t="array" aca="1" ref="W35" ca="1">INDIRECT("'※ 수수료 기준_가입자'!"&amp;W$1&amp;$Z35, TRUE)</f>
        <v>10</v>
      </c>
      <c r="X35" s="3390" cm="1">
        <f t="array" aca="1" ref="X35" ca="1">INDIRECT("'※ 수수료 기준_가입자'!"&amp;X$1&amp;$Z35, TRUE)</f>
        <v>0</v>
      </c>
      <c r="Y35" s="3391" cm="1">
        <f t="array" aca="1" ref="Y35" ca="1">INDIRECT("'※ 수수료 기준_가입자'!"&amp;Y$1&amp;$Z35, TRUE)</f>
        <v>2</v>
      </c>
      <c r="Z35" s="2988">
        <f>ROW('※ 수수료 기준_가입자'!Y31)</f>
        <v>31</v>
      </c>
    </row>
    <row r="36" spans="1:27" s="2771" customFormat="1" ht="20.05" customHeight="1" thickBot="1" x14ac:dyDescent="0.6">
      <c r="A36" s="7097"/>
      <c r="B36" s="3432" t="s">
        <v>50</v>
      </c>
      <c r="C36" s="3432"/>
      <c r="D36" s="3433" cm="1">
        <f t="array" aca="1" ref="D36" ca="1">INDIRECT("'※ 수수료 기준_가입자'!"&amp;D$1&amp;$Z36, TRUE)</f>
        <v>-43263</v>
      </c>
      <c r="E36" s="3434" cm="1">
        <f t="array" aca="1" ref="E36" ca="1">INDIRECT("'※ 수수료 기준_가입자'!"&amp;E$1&amp;$Z36, TRUE)</f>
        <v>-81001</v>
      </c>
      <c r="F36" s="3435" cm="1">
        <f t="array" aca="1" ref="F36" ca="1">INDIRECT("'※ 수수료 기준_가입자'!"&amp;F$1&amp;$Z36, TRUE)</f>
        <v>-10370</v>
      </c>
      <c r="G36" s="3434" cm="1">
        <f t="array" aca="1" ref="G36" ca="1">INDIRECT("'※ 수수료 기준_가입자'!"&amp;G$1&amp;$Z36, TRUE)</f>
        <v>-5955</v>
      </c>
      <c r="H36" s="3434" cm="1">
        <f t="array" aca="1" ref="H36" ca="1">INDIRECT("'※ 수수료 기준_가입자'!"&amp;H$1&amp;$Z36, TRUE)</f>
        <v>-9990</v>
      </c>
      <c r="I36" s="3434" cm="1">
        <f t="array" aca="1" ref="I36" ca="1">INDIRECT("'※ 수수료 기준_가입자'!"&amp;I$1&amp;$Z36, TRUE)</f>
        <v>-5786</v>
      </c>
      <c r="J36" s="3434" cm="1">
        <f t="array" aca="1" ref="J36" ca="1">INDIRECT("'※ 수수료 기준_가입자'!"&amp;J$1&amp;$Z36, TRUE)</f>
        <v>9125</v>
      </c>
      <c r="K36" s="3434" cm="1">
        <f t="array" aca="1" ref="K36" ca="1">INDIRECT("'※ 수수료 기준_가입자'!"&amp;K$1&amp;$Z36, TRUE)</f>
        <v>-6981</v>
      </c>
      <c r="L36" s="7562" cm="1">
        <f t="array" aca="1" ref="L36" ca="1">INDIRECT("'※ 수수료 기준_가입자'!"&amp;L$1&amp;$Z36, TRUE)</f>
        <v>-1843</v>
      </c>
      <c r="M36" s="3434" cm="1">
        <f t="array" aca="1" ref="M36" ca="1">INDIRECT("'※ 수수료 기준_가입자'!"&amp;M$1&amp;$Z36, TRUE)</f>
        <v>-12906</v>
      </c>
      <c r="N36" s="3434" cm="1">
        <f t="array" aca="1" ref="N36" ca="1">INDIRECT("'※ 수수료 기준_가입자'!"&amp;N$1&amp;$Z36, TRUE)</f>
        <v>-7636</v>
      </c>
      <c r="O36" s="3436"/>
      <c r="P36" s="3436"/>
      <c r="Q36" s="3436"/>
      <c r="R36" s="3437" cm="1">
        <f t="array" aca="1" ref="R36" ca="1">INDIRECT("'※ 수수료 기준_가입자'!"&amp;R$2&amp;$Z36, TRUE)</f>
        <v>5270</v>
      </c>
      <c r="S36" s="3438" cm="1">
        <f t="array" aca="1" ref="S36" ca="1">INDIRECT("'※ 수수료 기준_가입자'!"&amp;S$2&amp;$Z36, TRUE)</f>
        <v>-1681</v>
      </c>
      <c r="T36" s="3439" cm="1">
        <f t="array" aca="1" ref="T36" ca="1">INDIRECT("'※ 수수료 기준_가입자'!"&amp;T$1&amp;$Z36, TRUE)</f>
        <v>-20542</v>
      </c>
      <c r="U36" s="3440"/>
      <c r="V36" s="3440"/>
      <c r="W36" s="3438" cm="1">
        <f t="array" aca="1" ref="W36" ca="1">INDIRECT("'※ 수수료 기준_가입자'!"&amp;W$1&amp;$Z36, TRUE)</f>
        <v>-4217</v>
      </c>
      <c r="X36" s="3441" cm="1">
        <f t="array" aca="1" ref="X36" ca="1">INDIRECT("'※ 수수료 기준_가입자'!"&amp;X$1&amp;$Z36, TRUE)</f>
        <v>-10271</v>
      </c>
      <c r="Y36" s="3442" cm="1">
        <f t="array" aca="1" ref="Y36" ca="1">INDIRECT("'※ 수수료 기준_가입자'!"&amp;Y$1&amp;$Z36, TRUE)</f>
        <v>-3520.916666666667</v>
      </c>
      <c r="Z36" s="2988">
        <f>ROW('※ 수수료 기준_가입자'!Y32)</f>
        <v>32</v>
      </c>
      <c r="AA36" s="2984"/>
    </row>
    <row r="37" spans="1:27" s="3444" customFormat="1" ht="6" customHeight="1" thickTop="1" thickBot="1" x14ac:dyDescent="0.6">
      <c r="A37" s="3443"/>
      <c r="D37" s="1102"/>
      <c r="E37" s="3445"/>
      <c r="F37" s="2968"/>
      <c r="G37" s="1102"/>
      <c r="H37" s="1102"/>
      <c r="I37" s="1102"/>
      <c r="J37" s="1102"/>
      <c r="K37" s="1102"/>
      <c r="L37" s="7555"/>
      <c r="M37" s="1102"/>
      <c r="N37" s="1102"/>
      <c r="O37" s="1102"/>
      <c r="P37" s="1102"/>
      <c r="Q37" s="1102"/>
      <c r="R37" s="3387"/>
      <c r="S37" s="3387"/>
      <c r="T37" s="3388"/>
      <c r="U37" s="3446"/>
      <c r="V37" s="3446"/>
      <c r="W37" s="3447"/>
      <c r="X37" s="3448"/>
      <c r="Y37" s="3447"/>
      <c r="Z37" s="3449"/>
      <c r="AA37" s="3450"/>
    </row>
    <row r="38" spans="1:27" s="2771" customFormat="1" ht="20.05" customHeight="1" thickTop="1" x14ac:dyDescent="0.55000000000000004">
      <c r="A38" s="7106" t="s">
        <v>52</v>
      </c>
      <c r="B38" s="3353" t="s">
        <v>43</v>
      </c>
      <c r="C38" s="3353"/>
      <c r="D38" s="3354" cm="1">
        <f t="array" aca="1" ref="D38" ca="1">INDIRECT("'※ 수수료 기준_가입자'!"&amp;D$1&amp;$Z38, TRUE)</f>
        <v>4540847</v>
      </c>
      <c r="E38" s="3355" cm="1">
        <f t="array" aca="1" ref="E38" ca="1">INDIRECT("'※ 수수료 기준_가입자'!"&amp;E$1&amp;$Z38, TRUE)</f>
        <v>352210</v>
      </c>
      <c r="F38" s="3356" cm="1">
        <f t="array" aca="1" ref="F38" ca="1">INDIRECT("'※ 수수료 기준_가입자'!"&amp;F$1&amp;$Z38, TRUE)</f>
        <v>357535</v>
      </c>
      <c r="G38" s="3355" cm="1">
        <f t="array" aca="1" ref="G38" ca="1">INDIRECT("'※ 수수료 기준_가입자'!"&amp;G$1&amp;$Z38, TRUE)</f>
        <v>354197</v>
      </c>
      <c r="H38" s="3355" cm="1">
        <f t="array" aca="1" ref="H38" ca="1">INDIRECT("'※ 수수료 기준_가입자'!"&amp;H$1&amp;$Z38, TRUE)</f>
        <v>348912</v>
      </c>
      <c r="I38" s="3355" cm="1">
        <f t="array" aca="1" ref="I38" ca="1">INDIRECT("'※ 수수료 기준_가입자'!"&amp;I$1&amp;$Z38, TRUE)</f>
        <v>353944</v>
      </c>
      <c r="J38" s="3355" cm="1">
        <f t="array" aca="1" ref="J38" ca="1">INDIRECT("'※ 수수료 기준_가입자'!"&amp;J$1&amp;$Z38, TRUE)</f>
        <v>355534</v>
      </c>
      <c r="K38" s="3355" cm="1">
        <f t="array" aca="1" ref="K38" ca="1">INDIRECT("'※ 수수료 기준_가입자'!"&amp;K$1&amp;$Z38, TRUE)</f>
        <v>351173</v>
      </c>
      <c r="L38" s="7552" cm="1">
        <f t="array" aca="1" ref="L38" ca="1">INDIRECT("'※ 수수료 기준_가입자'!"&amp;L$1&amp;$Z38, TRUE)</f>
        <v>351748</v>
      </c>
      <c r="M38" s="3355" cm="1">
        <f t="array" aca="1" ref="M38" ca="1">INDIRECT("'※ 수수료 기준_가입자'!"&amp;M$1&amp;$Z38, TRUE)</f>
        <v>354082</v>
      </c>
      <c r="N38" s="3355" cm="1">
        <f t="array" aca="1" ref="N38" ca="1">INDIRECT("'※ 수수료 기준_가입자'!"&amp;N$1&amp;$Z38, TRUE)</f>
        <v>354139</v>
      </c>
      <c r="O38" s="3357"/>
      <c r="P38" s="3357"/>
      <c r="Q38" s="3357"/>
      <c r="R38" s="3358" cm="1">
        <f t="array" aca="1" ref="R38" ca="1">INDIRECT("'※ 수수료 기준_가입자'!"&amp;R$2&amp;$Z38, TRUE)</f>
        <v>57</v>
      </c>
      <c r="S38" s="3359" cm="1">
        <f t="array" aca="1" ref="S38" ca="1">INDIRECT("'※ 수수료 기준_가입자'!"&amp;S$2&amp;$Z38, TRUE)</f>
        <v>-58</v>
      </c>
      <c r="T38" s="3451" cm="1">
        <f t="array" aca="1" ref="T38" ca="1">INDIRECT("'※ 수수료 기준_가입자'!"&amp;T$1&amp;$Z38, TRUE)</f>
        <v>354139</v>
      </c>
      <c r="U38" s="3361"/>
      <c r="V38" s="3361"/>
      <c r="W38" s="3359" cm="1">
        <f t="array" aca="1" ref="W38" ca="1">INDIRECT("'※ 수수료 기준_가입자'!"&amp;W$1&amp;$Z38, TRUE)</f>
        <v>-58</v>
      </c>
      <c r="X38" s="3452" cm="1">
        <f t="array" aca="1" ref="X38" ca="1">INDIRECT("'※ 수수료 기준_가입자'!"&amp;X$1&amp;$Z38, TRUE)</f>
        <v>354110.5</v>
      </c>
      <c r="Y38" s="3363" cm="1">
        <f t="array" aca="1" ref="Y38" ca="1">INDIRECT("'※ 수수료 기준_가입자'!"&amp;Y$1&amp;$Z38, TRUE)</f>
        <v>1213.8333333333139</v>
      </c>
      <c r="Z38" s="2988">
        <f>ROW('※ 수수료 기준_가입자'!Y34)</f>
        <v>34</v>
      </c>
      <c r="AA38" s="2984"/>
    </row>
    <row r="39" spans="1:27" ht="20.05" customHeight="1" x14ac:dyDescent="0.55000000000000004">
      <c r="A39" s="7107"/>
      <c r="B39" s="594" t="s">
        <v>46</v>
      </c>
      <c r="C39" s="594"/>
      <c r="D39" s="2882" cm="1">
        <f t="array" aca="1" ref="D39" ca="1">INDIRECT("'※ 수수료 기준_가입자'!"&amp;D$1&amp;$Z39, TRUE)</f>
        <v>63772</v>
      </c>
      <c r="E39" s="1102" cm="1">
        <f t="array" aca="1" ref="E39" ca="1">INDIRECT("'※ 수수료 기준_가입자'!"&amp;E$1&amp;$Z39, TRUE)</f>
        <v>72551</v>
      </c>
      <c r="F39" s="2968" cm="1">
        <f t="array" aca="1" ref="F39" ca="1">INDIRECT("'※ 수수료 기준_가입자'!"&amp;F$1&amp;$Z39, TRUE)</f>
        <v>5549</v>
      </c>
      <c r="G39" s="1102" cm="1">
        <f t="array" aca="1" ref="G39" ca="1">INDIRECT("'※ 수수료 기준_가입자'!"&amp;G$1&amp;$Z39, TRUE)</f>
        <v>3086</v>
      </c>
      <c r="H39" s="1102" cm="1">
        <f t="array" aca="1" ref="H39" ca="1">INDIRECT("'※ 수수료 기준_가입자'!"&amp;H$1&amp;$Z39, TRUE)</f>
        <v>2916</v>
      </c>
      <c r="I39" s="1102" cm="1">
        <f t="array" aca="1" ref="I39" ca="1">INDIRECT("'※ 수수료 기준_가입자'!"&amp;I$1&amp;$Z39, TRUE)</f>
        <v>11432</v>
      </c>
      <c r="J39" s="1102" cm="1">
        <f t="array" aca="1" ref="J39" ca="1">INDIRECT("'※ 수수료 기준_가입자'!"&amp;J$1&amp;$Z39, TRUE)</f>
        <v>7680</v>
      </c>
      <c r="K39" s="1102" cm="1">
        <f t="array" aca="1" ref="K39" ca="1">INDIRECT("'※ 수수료 기준_가입자'!"&amp;K$1&amp;$Z39, TRUE)</f>
        <v>7724</v>
      </c>
      <c r="L39" s="7555" cm="1">
        <f t="array" aca="1" ref="L39" ca="1">INDIRECT("'※ 수수료 기준_가입자'!"&amp;L$1&amp;$Z39, TRUE)</f>
        <v>6988</v>
      </c>
      <c r="M39" s="1102" cm="1">
        <f t="array" aca="1" ref="M39" ca="1">INDIRECT("'※ 수수료 기준_가입자'!"&amp;M$1&amp;$Z39, TRUE)</f>
        <v>8992</v>
      </c>
      <c r="N39" s="1102" cm="1">
        <f t="array" aca="1" ref="N39" ca="1">INDIRECT("'※ 수수료 기준_가입자'!"&amp;N$1&amp;$Z39, TRUE)</f>
        <v>2957</v>
      </c>
      <c r="O39" s="3385"/>
      <c r="P39" s="3385"/>
      <c r="Q39" s="3385"/>
      <c r="R39" s="3386" cm="1">
        <f t="array" aca="1" ref="R39" ca="1">INDIRECT("'※ 수수료 기준_가입자'!"&amp;R$2&amp;$Z39, TRUE)</f>
        <v>-6035</v>
      </c>
      <c r="S39" s="3387" cm="1">
        <f t="array" aca="1" ref="S39" ca="1">INDIRECT("'※ 수수료 기준_가입자'!"&amp;S$2&amp;$Z39, TRUE)</f>
        <v>-129</v>
      </c>
      <c r="T39" s="3388" cm="1">
        <f t="array" aca="1" ref="T39" ca="1">INDIRECT("'※ 수수료 기준_가입자'!"&amp;T$1&amp;$Z39, TRUE)</f>
        <v>11949</v>
      </c>
      <c r="U39" s="3389"/>
      <c r="V39" s="3389"/>
      <c r="W39" s="3387" cm="1">
        <f t="array" aca="1" ref="W39" ca="1">INDIRECT("'※ 수수료 기준_가입자'!"&amp;W$1&amp;$Z39, TRUE)</f>
        <v>3314</v>
      </c>
      <c r="X39" s="3390" cm="1">
        <f t="array" aca="1" ref="X39" ca="1">INDIRECT("'※ 수수료 기준_가입자'!"&amp;X$1&amp;$Z39, TRUE)</f>
        <v>5974.5</v>
      </c>
      <c r="Y39" s="3391" cm="1">
        <f t="array" aca="1" ref="Y39" ca="1">INDIRECT("'※ 수수료 기준_가입자'!"&amp;Y$1&amp;$Z39, TRUE)</f>
        <v>-71.41666666666697</v>
      </c>
      <c r="Z39" s="2988">
        <f>ROW('※ 수수료 기준_가입자'!Y35)</f>
        <v>35</v>
      </c>
    </row>
    <row r="40" spans="1:27" ht="20.05" customHeight="1" x14ac:dyDescent="0.55000000000000004">
      <c r="A40" s="7107"/>
      <c r="B40" s="594" t="s">
        <v>47</v>
      </c>
      <c r="C40" s="594"/>
      <c r="D40" s="2882" cm="1">
        <f t="array" aca="1" ref="D40" ca="1">INDIRECT("'※ 수수료 기준_가입자'!"&amp;D$1&amp;$Z40, TRUE)</f>
        <v>56500</v>
      </c>
      <c r="E40" s="1102" cm="1">
        <f t="array" aca="1" ref="E40" ca="1">INDIRECT("'※ 수수료 기준_가입자'!"&amp;E$1&amp;$Z40, TRUE)</f>
        <v>39087</v>
      </c>
      <c r="F40" s="2968" cm="1">
        <f t="array" aca="1" ref="F40" ca="1">INDIRECT("'※ 수수료 기준_가입자'!"&amp;F$1&amp;$Z40, TRUE)</f>
        <v>2104</v>
      </c>
      <c r="G40" s="1102" cm="1">
        <f t="array" aca="1" ref="G40" ca="1">INDIRECT("'※ 수수료 기준_가입자'!"&amp;G$1&amp;$Z40, TRUE)</f>
        <v>3509</v>
      </c>
      <c r="H40" s="1102" cm="1">
        <f t="array" aca="1" ref="H40" ca="1">INDIRECT("'※ 수수료 기준_가입자'!"&amp;H$1&amp;$Z40, TRUE)</f>
        <v>5605</v>
      </c>
      <c r="I40" s="1102" cm="1">
        <f t="array" aca="1" ref="I40" ca="1">INDIRECT("'※ 수수료 기준_가입자'!"&amp;I$1&amp;$Z40, TRUE)</f>
        <v>3976</v>
      </c>
      <c r="J40" s="1102" cm="1">
        <f t="array" aca="1" ref="J40" ca="1">INDIRECT("'※ 수수료 기준_가입자'!"&amp;J$1&amp;$Z40, TRUE)</f>
        <v>2630</v>
      </c>
      <c r="K40" s="1102" cm="1">
        <f t="array" aca="1" ref="K40" ca="1">INDIRECT("'※ 수수료 기준_가입자'!"&amp;K$1&amp;$Z40, TRUE)</f>
        <v>8919</v>
      </c>
      <c r="L40" s="7555" cm="1">
        <f t="array" aca="1" ref="L40" ca="1">INDIRECT("'※ 수수료 기준_가입자'!"&amp;L$1&amp;$Z40, TRUE)</f>
        <v>1746</v>
      </c>
      <c r="M40" s="1102" cm="1">
        <f t="array" aca="1" ref="M40" ca="1">INDIRECT("'※ 수수료 기준_가입자'!"&amp;M$1&amp;$Z40, TRUE)</f>
        <v>4501</v>
      </c>
      <c r="N40" s="1102" cm="1">
        <f t="array" aca="1" ref="N40" ca="1">INDIRECT("'※ 수수료 기준_가입자'!"&amp;N$1&amp;$Z40, TRUE)</f>
        <v>1010</v>
      </c>
      <c r="O40" s="3385"/>
      <c r="P40" s="3385"/>
      <c r="Q40" s="3385"/>
      <c r="R40" s="3386" cm="1">
        <f t="array" aca="1" ref="R40" ca="1">INDIRECT("'※ 수수료 기준_가입자'!"&amp;R$2&amp;$Z40, TRUE)</f>
        <v>-3491</v>
      </c>
      <c r="S40" s="3387" cm="1">
        <f t="array" aca="1" ref="S40" ca="1">INDIRECT("'※ 수수료 기준_가입자'!"&amp;S$2&amp;$Z40, TRUE)</f>
        <v>-2499</v>
      </c>
      <c r="T40" s="3388" cm="1">
        <f t="array" aca="1" ref="T40" ca="1">INDIRECT("'※ 수수료 기준_가입자'!"&amp;T$1&amp;$Z40, TRUE)</f>
        <v>5511</v>
      </c>
      <c r="U40" s="3389"/>
      <c r="V40" s="3389"/>
      <c r="W40" s="3387" cm="1">
        <f t="array" aca="1" ref="W40" ca="1">INDIRECT("'※ 수수료 기준_가입자'!"&amp;W$1&amp;$Z40, TRUE)</f>
        <v>-102</v>
      </c>
      <c r="X40" s="3390" cm="1">
        <f t="array" aca="1" ref="X40" ca="1">INDIRECT("'※ 수수료 기준_가입자'!"&amp;X$1&amp;$Z40, TRUE)</f>
        <v>2755.5</v>
      </c>
      <c r="Y40" s="3391" cm="1">
        <f t="array" aca="1" ref="Y40" ca="1">INDIRECT("'※ 수수료 기준_가입자'!"&amp;Y$1&amp;$Z40, TRUE)</f>
        <v>-501.75</v>
      </c>
      <c r="Z40" s="2988">
        <f>ROW('※ 수수료 기준_가입자'!Y36)</f>
        <v>36</v>
      </c>
    </row>
    <row r="41" spans="1:27" ht="20.05" customHeight="1" x14ac:dyDescent="0.55000000000000004">
      <c r="A41" s="7107"/>
      <c r="B41" s="594" t="s">
        <v>49</v>
      </c>
      <c r="C41" s="594"/>
      <c r="D41" s="2882" cm="1">
        <f t="array" aca="1" ref="D41" ca="1">INDIRECT("'※ 수수료 기준_가입자'!"&amp;D$1&amp;$Z41, TRUE)</f>
        <v>72154</v>
      </c>
      <c r="E41" s="1102" cm="1">
        <f t="array" aca="1" ref="E41" ca="1">INDIRECT("'※ 수수료 기준_가입자'!"&amp;E$1&amp;$Z41, TRUE)</f>
        <v>39927</v>
      </c>
      <c r="F41" s="2968" cm="1">
        <f t="array" aca="1" ref="F41" ca="1">INDIRECT("'※ 수수료 기준_가입자'!"&amp;F$1&amp;$Z41, TRUE)</f>
        <v>4624</v>
      </c>
      <c r="G41" s="1102" cm="1">
        <f t="array" aca="1" ref="G41" ca="1">INDIRECT("'※ 수수료 기준_가입자'!"&amp;G$1&amp;$Z41, TRUE)</f>
        <v>2915</v>
      </c>
      <c r="H41" s="1102" cm="1">
        <f t="array" aca="1" ref="H41" ca="1">INDIRECT("'※ 수수료 기준_가입자'!"&amp;H$1&amp;$Z41, TRUE)</f>
        <v>2596</v>
      </c>
      <c r="I41" s="1102" cm="1">
        <f t="array" aca="1" ref="I41" ca="1">INDIRECT("'※ 수수료 기준_가입자'!"&amp;I$1&amp;$Z41, TRUE)</f>
        <v>2424</v>
      </c>
      <c r="J41" s="1102" cm="1">
        <f t="array" aca="1" ref="J41" ca="1">INDIRECT("'※ 수수료 기준_가입자'!"&amp;J$1&amp;$Z41, TRUE)</f>
        <v>3460</v>
      </c>
      <c r="K41" s="1102" cm="1">
        <f t="array" aca="1" ref="K41" ca="1">INDIRECT("'※ 수수료 기준_가입자'!"&amp;K$1&amp;$Z41, TRUE)</f>
        <v>3166</v>
      </c>
      <c r="L41" s="7555" cm="1">
        <f t="array" aca="1" ref="L41" ca="1">INDIRECT("'※ 수수료 기준_가입자'!"&amp;L$1&amp;$Z41, TRUE)</f>
        <v>4626</v>
      </c>
      <c r="M41" s="1102" cm="1">
        <f t="array" aca="1" ref="M41" ca="1">INDIRECT("'※ 수수료 기준_가입자'!"&amp;M$1&amp;$Z41, TRUE)</f>
        <v>2621</v>
      </c>
      <c r="N41" s="1102" cm="1">
        <f t="array" aca="1" ref="N41" ca="1">INDIRECT("'※ 수수료 기준_가입자'!"&amp;N$1&amp;$Z41, TRUE)</f>
        <v>2120</v>
      </c>
      <c r="O41" s="3385"/>
      <c r="P41" s="3385"/>
      <c r="Q41" s="3385"/>
      <c r="R41" s="3386" cm="1">
        <f t="array" aca="1" ref="R41" ca="1">INDIRECT("'※ 수수료 기준_가입자'!"&amp;R$2&amp;$Z41, TRUE)</f>
        <v>-501</v>
      </c>
      <c r="S41" s="3387" cm="1">
        <f t="array" aca="1" ref="S41" ca="1">INDIRECT("'※ 수수료 기준_가입자'!"&amp;S$2&amp;$Z41, TRUE)</f>
        <v>-795</v>
      </c>
      <c r="T41" s="3388" cm="1">
        <f t="array" aca="1" ref="T41" ca="1">INDIRECT("'※ 수수료 기준_가입자'!"&amp;T$1&amp;$Z41, TRUE)</f>
        <v>4741</v>
      </c>
      <c r="U41" s="3389"/>
      <c r="V41" s="3389"/>
      <c r="W41" s="3387" cm="1">
        <f t="array" aca="1" ref="W41" ca="1">INDIRECT("'※ 수수료 기준_가입자'!"&amp;W$1&amp;$Z41, TRUE)</f>
        <v>-2798</v>
      </c>
      <c r="X41" s="3390" cm="1">
        <f t="array" aca="1" ref="X41" ca="1">INDIRECT("'※ 수수료 기준_가입자'!"&amp;X$1&amp;$Z41, TRUE)</f>
        <v>2370.5</v>
      </c>
      <c r="Y41" s="3391" cm="1">
        <f t="array" aca="1" ref="Y41" ca="1">INDIRECT("'※ 수수료 기준_가입자'!"&amp;Y$1&amp;$Z41, TRUE)</f>
        <v>-956.75</v>
      </c>
      <c r="Z41" s="2988">
        <f>ROW('※ 수수료 기준_가입자'!Y37)</f>
        <v>37</v>
      </c>
    </row>
    <row r="42" spans="1:27" s="2771" customFormat="1" ht="20.05" customHeight="1" thickBot="1" x14ac:dyDescent="0.6">
      <c r="A42" s="7108"/>
      <c r="B42" s="3432" t="s">
        <v>50</v>
      </c>
      <c r="C42" s="3432"/>
      <c r="D42" s="3433" cm="1">
        <f t="array" aca="1" ref="D42" ca="1">INDIRECT("'※ 수수료 기준_가입자'!"&amp;D$1&amp;$Z42, TRUE)</f>
        <v>-61581</v>
      </c>
      <c r="E42" s="3434" cm="1">
        <f t="array" aca="1" ref="E42" ca="1">INDIRECT("'※ 수수료 기준_가입자'!"&amp;E$1&amp;$Z42, TRUE)</f>
        <v>-6463</v>
      </c>
      <c r="F42" s="3435" cm="1">
        <f t="array" aca="1" ref="F42" ca="1">INDIRECT("'※ 수수료 기준_가입자'!"&amp;F$1&amp;$Z42, TRUE)</f>
        <v>-1179</v>
      </c>
      <c r="G42" s="3434" cm="1">
        <f t="array" aca="1" ref="G42" ca="1">INDIRECT("'※ 수수료 기준_가입자'!"&amp;G$1&amp;$Z42, TRUE)</f>
        <v>-3338</v>
      </c>
      <c r="H42" s="3434" cm="1">
        <f t="array" aca="1" ref="H42" ca="1">INDIRECT("'※ 수수료 기준_가입자'!"&amp;H$1&amp;$Z42, TRUE)</f>
        <v>-5285</v>
      </c>
      <c r="I42" s="3434" cm="1">
        <f t="array" aca="1" ref="I42" ca="1">INDIRECT("'※ 수수료 기준_가입자'!"&amp;I$1&amp;$Z42, TRUE)</f>
        <v>5032</v>
      </c>
      <c r="J42" s="3434" cm="1">
        <f t="array" aca="1" ref="J42" ca="1">INDIRECT("'※ 수수료 기준_가입자'!"&amp;J$1&amp;$Z42, TRUE)</f>
        <v>1590</v>
      </c>
      <c r="K42" s="3434" cm="1">
        <f t="array" aca="1" ref="K42" ca="1">INDIRECT("'※ 수수료 기준_가입자'!"&amp;K$1&amp;$Z42, TRUE)</f>
        <v>-4361</v>
      </c>
      <c r="L42" s="7562" cm="1">
        <f t="array" aca="1" ref="L42" ca="1">INDIRECT("'※ 수수료 기준_가입자'!"&amp;L$1&amp;$Z42, TRUE)</f>
        <v>616</v>
      </c>
      <c r="M42" s="3434" cm="1">
        <f t="array" aca="1" ref="M42" ca="1">INDIRECT("'※ 수수료 기준_가입자'!"&amp;M$1&amp;$Z42, TRUE)</f>
        <v>1872</v>
      </c>
      <c r="N42" s="3434" cm="1">
        <f t="array" aca="1" ref="N42" ca="1">INDIRECT("'※ 수수료 기준_가입자'!"&amp;N$1&amp;$Z42, TRUE)</f>
        <v>57</v>
      </c>
      <c r="O42" s="3436"/>
      <c r="P42" s="3436"/>
      <c r="Q42" s="3436"/>
      <c r="R42" s="3437" cm="1">
        <f t="array" aca="1" ref="R42" ca="1">INDIRECT("'※ 수수료 기준_가입자'!"&amp;R$2&amp;$Z42, TRUE)</f>
        <v>-1815</v>
      </c>
      <c r="S42" s="3438" cm="1">
        <f t="array" aca="1" ref="S42" ca="1">INDIRECT("'※ 수수료 기준_가입자'!"&amp;S$2&amp;$Z42, TRUE)</f>
        <v>3395</v>
      </c>
      <c r="T42" s="3439" cm="1">
        <f t="array" aca="1" ref="T42" ca="1">INDIRECT("'※ 수수료 기준_가입자'!"&amp;T$1&amp;$Z42, TRUE)</f>
        <v>1929</v>
      </c>
      <c r="U42" s="3440"/>
      <c r="V42" s="3440"/>
      <c r="W42" s="3438" cm="1">
        <f t="array" aca="1" ref="W42" ca="1">INDIRECT("'※ 수수료 기준_가입자'!"&amp;W$1&amp;$Z42, TRUE)</f>
        <v>6446</v>
      </c>
      <c r="X42" s="3441" cm="1">
        <f t="array" aca="1" ref="X42" ca="1">INDIRECT("'※ 수수료 기준_가입자'!"&amp;X$1&amp;$Z42, TRUE)</f>
        <v>964.5</v>
      </c>
      <c r="Y42" s="3442" cm="1">
        <f t="array" aca="1" ref="Y42" ca="1">INDIRECT("'※ 수수료 기준_가입자'!"&amp;Y$1&amp;$Z42, TRUE)</f>
        <v>1503.0833333333335</v>
      </c>
      <c r="Z42" s="2988">
        <f>ROW('※ 수수료 기준_가입자'!Y38)</f>
        <v>38</v>
      </c>
      <c r="AA42" s="2984"/>
    </row>
    <row r="43" spans="1:27" ht="6" customHeight="1" thickTop="1" thickBot="1" x14ac:dyDescent="0.6">
      <c r="A43" s="2771"/>
      <c r="D43" s="594"/>
      <c r="F43" s="3453"/>
      <c r="G43" s="594"/>
      <c r="H43" s="594"/>
      <c r="I43" s="594"/>
      <c r="J43" s="594"/>
      <c r="K43" s="594"/>
      <c r="L43" s="1054"/>
      <c r="M43" s="594"/>
      <c r="N43" s="594"/>
      <c r="O43" s="594"/>
      <c r="P43" s="594"/>
      <c r="Q43" s="594"/>
      <c r="R43" s="594"/>
      <c r="S43" s="594"/>
      <c r="T43" s="3454"/>
    </row>
    <row r="44" spans="1:27" s="2771" customFormat="1" ht="18" customHeight="1" thickTop="1" x14ac:dyDescent="0.55000000000000004">
      <c r="A44" s="7109" t="s">
        <v>1006</v>
      </c>
      <c r="B44" s="3455" t="s">
        <v>62</v>
      </c>
      <c r="C44" s="3455"/>
      <c r="D44" s="3456" cm="1">
        <f t="array" aca="1" ref="D44" ca="1">INDIRECT("'※ 영기팀 작성_가입자'!"&amp;D$1&amp;$Z44, TRUE)</f>
        <v>618678</v>
      </c>
      <c r="E44" s="3457" cm="1">
        <f t="array" aca="1" ref="E44" ca="1">INDIRECT("'※ 영기팀 작성_가입자'!"&amp;E$1&amp;$Z44, TRUE)</f>
        <v>788291</v>
      </c>
      <c r="F44" s="3458" cm="1">
        <f t="array" aca="1" ref="F44" ca="1">INDIRECT("'※ 영기팀 작성_가입자'!"&amp;F$1&amp;$Z44, TRUE)</f>
        <v>38822</v>
      </c>
      <c r="G44" s="3457" cm="1">
        <f t="array" aca="1" ref="G44" ca="1">INDIRECT("'※ 영기팀 작성_가입자'!"&amp;G$1&amp;$Z44, TRUE)</f>
        <v>74843</v>
      </c>
      <c r="H44" s="3457" cm="1">
        <f t="array" aca="1" ref="H44" ca="1">INDIRECT("'※ 영기팀 작성_가입자'!"&amp;H$1&amp;$Z44, TRUE)</f>
        <v>50688</v>
      </c>
      <c r="I44" s="3457" cm="1">
        <f t="array" aca="1" ref="I44" ca="1">INDIRECT("'※ 영기팀 작성_가입자'!"&amp;I$1&amp;$Z44, TRUE)</f>
        <v>64086</v>
      </c>
      <c r="J44" s="3457" cm="1">
        <f t="array" aca="1" ref="J44" ca="1">INDIRECT("'※ 영기팀 작성_가입자'!"&amp;J$1&amp;$Z44, TRUE)</f>
        <v>98908</v>
      </c>
      <c r="K44" s="3457" cm="1">
        <f t="array" aca="1" ref="K44" ca="1">INDIRECT("'※ 영기팀 작성_가입자'!"&amp;K$1&amp;$Z44, TRUE)</f>
        <v>63565</v>
      </c>
      <c r="L44" s="7563" cm="1">
        <f t="array" aca="1" ref="L44" ca="1">INDIRECT("'※ 영기팀 작성_가입자'!"&amp;L$1&amp;$Z44, TRUE)</f>
        <v>95964</v>
      </c>
      <c r="M44" s="3457" cm="1">
        <f t="array" aca="1" ref="M44" ca="1">INDIRECT("'※ 영기팀 작성_가입자'!"&amp;M$1&amp;$Z44, TRUE)</f>
        <v>78863</v>
      </c>
      <c r="N44" s="3457" cm="1">
        <f t="array" aca="1" ref="N44" ca="1">INDIRECT("'※ 영기팀 작성_가입자'!"&amp;N$1&amp;$Z44, TRUE)</f>
        <v>43031</v>
      </c>
      <c r="O44" s="3459" cm="1">
        <f t="array" aca="1" ref="O44" ca="1">INDIRECT("'※ 영기팀 작성_가입자'!"&amp;O$1&amp;$AA44, TRUE)</f>
        <v>67500</v>
      </c>
      <c r="P44" s="3459" cm="1">
        <f t="array" aca="1" ref="P44" ca="1">INDIRECT("'※ 영기팀 작성_가입자'!"&amp;P$1&amp;$AA44, TRUE)</f>
        <v>-24469</v>
      </c>
      <c r="Q44" s="3460" cm="1">
        <f t="array" aca="1" ref="Q44" ca="1">INDIRECT("'※ 영기팀 작성_가입자'!"&amp;Q$1&amp;$AA44, TRUE)</f>
        <v>0.63749629629629634</v>
      </c>
      <c r="R44" s="3461" cm="1">
        <f t="array" aca="1" ref="R44" ca="1">INDIRECT("'※ 영기팀 작성_가입자'!"&amp;R$1&amp;$Z44, TRUE)</f>
        <v>-35832</v>
      </c>
      <c r="S44" s="3459" cm="1">
        <f t="array" aca="1" ref="S44" ca="1">INDIRECT("'※ 영기팀 작성_가입자'!"&amp;S$1&amp;$Z44, TRUE)</f>
        <v>-31812</v>
      </c>
      <c r="T44" s="3462" cm="1">
        <f t="array" aca="1" ref="T44" ca="1">INDIRECT("'※ 영기팀 작성_가입자'!"&amp;T$1&amp;$Z44, TRUE)</f>
        <v>121894</v>
      </c>
      <c r="U44" s="3459" cm="1">
        <f t="array" aca="1" ref="U44" ca="1">INDIRECT("'※ 영기팀 작성_가입자'!"&amp;U$1&amp;$AA44, TRUE)</f>
        <v>-18106</v>
      </c>
      <c r="V44" s="3460" cm="1">
        <f t="array" aca="1" ref="V44" ca="1">INDIRECT("'※ 영기팀 작성_가입자'!"&amp;V$1&amp;$AA44, TRUE)</f>
        <v>0.87067142857142854</v>
      </c>
      <c r="W44" s="3459" cm="1">
        <f t="array" aca="1" ref="W44" ca="1">INDIRECT("'※ 영기팀 작성_가입자'!"&amp;W$2&amp;$Z44, TRUE)</f>
        <v>8229</v>
      </c>
      <c r="X44" s="3463" cm="1">
        <f t="array" aca="1" ref="X44" ca="1">INDIRECT("'※ 영기팀 작성_가입자'!"&amp;X$1&amp;$Z44, TRUE)</f>
        <v>60947</v>
      </c>
      <c r="Y44" s="3464" cm="1">
        <f t="array" aca="1" ref="Y44" ca="1">INDIRECT("'※ 영기팀 작성_가입자'!"&amp;Y$1&amp;$Z44, TRUE)</f>
        <v>14134.416666666672</v>
      </c>
      <c r="Z44" s="2988">
        <f>ROW('※ 영기팀 작성_가입자'!AW10)</f>
        <v>10</v>
      </c>
      <c r="AA44" s="2984">
        <f>ROW('※ 영기팀 작성_가입자'!AW289)</f>
        <v>289</v>
      </c>
    </row>
    <row r="45" spans="1:27" ht="18" customHeight="1" x14ac:dyDescent="0.55000000000000004">
      <c r="A45" s="7110"/>
      <c r="B45" s="594" t="s">
        <v>46</v>
      </c>
      <c r="C45" s="594"/>
      <c r="D45" s="2882" cm="1">
        <f t="array" aca="1" ref="D45" ca="1">INDIRECT("'※ 영기팀 작성_가입자'!"&amp;D$1&amp;$Z45, TRUE)</f>
        <v>237150</v>
      </c>
      <c r="E45" s="1102" cm="1">
        <f t="array" aca="1" ref="E45" ca="1">INDIRECT("'※ 영기팀 작성_가입자'!"&amp;E$1&amp;$Z45, TRUE)</f>
        <v>355536</v>
      </c>
      <c r="F45" s="2968" cm="1">
        <f t="array" aca="1" ref="F45" ca="1">INDIRECT("'※ 영기팀 작성_가입자'!"&amp;F$1&amp;$Z45, TRUE)</f>
        <v>17134</v>
      </c>
      <c r="G45" s="1102" cm="1">
        <f t="array" aca="1" ref="G45" ca="1">INDIRECT("'※ 영기팀 작성_가입자'!"&amp;G$1&amp;$Z45, TRUE)</f>
        <v>24904</v>
      </c>
      <c r="H45" s="1102" cm="1">
        <f t="array" aca="1" ref="H45" ca="1">INDIRECT("'※ 영기팀 작성_가입자'!"&amp;H$1&amp;$Z45, TRUE)</f>
        <v>21688</v>
      </c>
      <c r="I45" s="1102" cm="1">
        <f t="array" aca="1" ref="I45" ca="1">INDIRECT("'※ 영기팀 작성_가입자'!"&amp;I$1&amp;$Z45, TRUE)</f>
        <v>34019</v>
      </c>
      <c r="J45" s="1102" cm="1">
        <f t="array" aca="1" ref="J45" ca="1">INDIRECT("'※ 영기팀 작성_가입자'!"&amp;J$1&amp;$Z45, TRUE)</f>
        <v>68004</v>
      </c>
      <c r="K45" s="1102" cm="1">
        <f t="array" aca="1" ref="K45" ca="1">INDIRECT("'※ 영기팀 작성_가입자'!"&amp;K$1&amp;$Z45, TRUE)</f>
        <v>33265</v>
      </c>
      <c r="L45" s="7555" cm="1">
        <f t="array" aca="1" ref="L45" ca="1">INDIRECT("'※ 영기팀 작성_가입자'!"&amp;L$1&amp;$Z45, TRUE)</f>
        <v>49067</v>
      </c>
      <c r="M45" s="1102" cm="1">
        <f t="array" aca="1" ref="M45" ca="1">INDIRECT("'※ 영기팀 작성_가입자'!"&amp;M$1&amp;$Z45, TRUE)</f>
        <v>32219</v>
      </c>
      <c r="N45" s="1102" cm="1">
        <f t="array" aca="1" ref="N45" ca="1">INDIRECT("'※ 영기팀 작성_가입자'!"&amp;N$1&amp;$Z45, TRUE)</f>
        <v>19335</v>
      </c>
      <c r="O45" s="3465" cm="1">
        <f t="array" aca="1" ref="O45" ca="1">INDIRECT("'※ 영기팀 작성_가입자'!"&amp;O$1&amp;$AA45, TRUE)</f>
        <v>23800</v>
      </c>
      <c r="P45" s="3465" cm="1">
        <f t="array" aca="1" ref="P45" ca="1">INDIRECT("'※ 영기팀 작성_가입자'!"&amp;P$1&amp;$AA45, TRUE)</f>
        <v>-4465</v>
      </c>
      <c r="Q45" s="3466" cm="1">
        <f t="array" aca="1" ref="Q45" ca="1">INDIRECT("'※ 영기팀 작성_가입자'!"&amp;Q$1&amp;$AA45, TRUE)</f>
        <v>0.81239495798319328</v>
      </c>
      <c r="R45" s="3467" cm="1">
        <f t="array" aca="1" ref="R45" ca="1">INDIRECT("'※ 영기팀 작성_가입자'!"&amp;R$1&amp;$Z45, TRUE)</f>
        <v>-12884</v>
      </c>
      <c r="S45" s="3465" cm="1">
        <f t="array" aca="1" ref="S45" ca="1">INDIRECT("'※ 영기팀 작성_가입자'!"&amp;S$1&amp;$Z45, TRUE)</f>
        <v>-5569</v>
      </c>
      <c r="T45" s="3468" cm="1">
        <f t="array" aca="1" ref="T45" ca="1">INDIRECT("'※ 영기팀 작성_가입자'!"&amp;T$1&amp;$Z45, TRUE)</f>
        <v>51554</v>
      </c>
      <c r="U45" s="3465" cm="1">
        <f t="array" aca="1" ref="U45" ca="1">INDIRECT("'※ 영기팀 작성_가입자'!"&amp;U$1&amp;$AA45, TRUE)</f>
        <v>2254</v>
      </c>
      <c r="V45" s="3466" cm="1">
        <f t="array" aca="1" ref="V45" ca="1">INDIRECT("'※ 영기팀 작성_가입자'!"&amp;V$1&amp;$AA45, TRUE)</f>
        <v>1.0457200811359026</v>
      </c>
      <c r="W45" s="3465" cm="1">
        <f t="array" aca="1" ref="W45" ca="1">INDIRECT("'※ 영기팀 작성_가입자'!"&amp;W$2&amp;$Z45, TRUE)</f>
        <v>9516</v>
      </c>
      <c r="X45" s="3469" cm="1">
        <f t="array" aca="1" ref="X45" ca="1">INDIRECT("'※ 영기팀 작성_가입자'!"&amp;X$1&amp;$Z45, TRUE)</f>
        <v>25777</v>
      </c>
      <c r="Y45" s="3470" cm="1">
        <f t="array" aca="1" ref="Y45" ca="1">INDIRECT("'※ 영기팀 작성_가입자'!"&amp;Y$1&amp;$Z45, TRUE)</f>
        <v>9865.5</v>
      </c>
      <c r="Z45" s="2988">
        <f>ROW('※ 영기팀 작성_가입자'!AW11)</f>
        <v>11</v>
      </c>
      <c r="AA45" s="2984">
        <f>ROW('※ 영기팀 작성_가입자'!AI290)</f>
        <v>290</v>
      </c>
    </row>
    <row r="46" spans="1:27" s="615" customFormat="1" ht="18" customHeight="1" x14ac:dyDescent="0.55000000000000004">
      <c r="A46" s="7110"/>
      <c r="B46" s="3249" t="s">
        <v>458</v>
      </c>
      <c r="C46" s="1586"/>
      <c r="D46" s="3471">
        <f ca="1">D45/D44</f>
        <v>0.38331733147129848</v>
      </c>
      <c r="E46" s="3472">
        <f ca="1">E45/E44</f>
        <v>0.45102125991543734</v>
      </c>
      <c r="F46" s="3473">
        <f t="shared" ref="F46:K46" ca="1" si="1">F45/F44</f>
        <v>0.44134768945443303</v>
      </c>
      <c r="G46" s="3472">
        <f t="shared" ca="1" si="1"/>
        <v>0.3327498897692503</v>
      </c>
      <c r="H46" s="3472">
        <f t="shared" ca="1" si="1"/>
        <v>0.42787247474747475</v>
      </c>
      <c r="I46" s="3472">
        <f t="shared" ca="1" si="1"/>
        <v>0.5308335673938146</v>
      </c>
      <c r="J46" s="3472">
        <f t="shared" ca="1" si="1"/>
        <v>0.68754802442674001</v>
      </c>
      <c r="K46" s="3472">
        <f t="shared" ca="1" si="1"/>
        <v>0.52332258318256908</v>
      </c>
      <c r="L46" s="7564">
        <f t="shared" ref="L46:M46" ca="1" si="2">L45/L44</f>
        <v>0.51130632320453506</v>
      </c>
      <c r="M46" s="3472">
        <f t="shared" ca="1" si="2"/>
        <v>0.40854393061384936</v>
      </c>
      <c r="N46" s="3472">
        <f t="shared" ref="N46" ca="1" si="3">N45/N44</f>
        <v>0.44932722920685086</v>
      </c>
      <c r="O46" s="3474"/>
      <c r="P46" s="3474"/>
      <c r="Q46" s="3475"/>
      <c r="R46" s="3476" cm="1">
        <f t="array" aca="1" ref="R46" ca="1">INDIRECT("'※ 영기팀 작성_가입자'!"&amp;R$1&amp;$Z46, TRUE)</f>
        <v>1.8315949518610597E-2</v>
      </c>
      <c r="S46" s="3477" cm="1">
        <f t="array" aca="1" ref="S46" ca="1">INDIRECT("'※ 영기팀 작성_가입자'!"&amp;S$1&amp;$Z46, TRUE)</f>
        <v>8.8325202072486342E-2</v>
      </c>
      <c r="T46" s="3478">
        <f ca="1">T45/T44</f>
        <v>0.42294124403169969</v>
      </c>
      <c r="U46" s="3474"/>
      <c r="V46" s="3475"/>
      <c r="W46" s="3479" cm="1">
        <f t="array" aca="1" ref="W46" ca="1">INDIRECT("'※ 영기팀 작성_가입자'!"&amp;W$2&amp;$Z46, TRUE)</f>
        <v>6.2380439016392786E-2</v>
      </c>
      <c r="X46" s="3480" cm="1">
        <f t="array" aca="1" ref="X46" ca="1">INDIRECT("'※ 영기팀 작성_가입자'!"&amp;X$1&amp;$Z46, TRUE)</f>
        <v>0.34012944595080258</v>
      </c>
      <c r="Y46" s="3481" cm="1">
        <f t="array" aca="1" ref="Y46" ca="1">INDIRECT("'※ 영기팀 작성_가입자'!"&amp;Y$1&amp;$Z46, TRUE)</f>
        <v>0.30353343045853731</v>
      </c>
      <c r="Z46" s="2988">
        <f>ROW('※ 영기팀 작성_가입자'!AH54)</f>
        <v>54</v>
      </c>
      <c r="AA46" s="2984">
        <f>ROW('※ 영기팀 작성_가입자'!AI291)</f>
        <v>291</v>
      </c>
    </row>
    <row r="47" spans="1:27" ht="18" customHeight="1" x14ac:dyDescent="0.55000000000000004">
      <c r="A47" s="7110"/>
      <c r="B47" s="681"/>
      <c r="C47" s="787" t="s">
        <v>53</v>
      </c>
      <c r="D47" s="3482" cm="1">
        <f t="array" aca="1" ref="D47" ca="1">INDIRECT("'※ 영기팀 작성_가입자'!"&amp;D$1&amp;$Z47, TRUE)</f>
        <v>122145</v>
      </c>
      <c r="E47" s="3483" cm="1">
        <f t="array" aca="1" ref="E47" ca="1">INDIRECT("'※ 영기팀 작성_가입자'!"&amp;E$1&amp;$Z47, TRUE)</f>
        <v>167149</v>
      </c>
      <c r="F47" s="3484" cm="1">
        <f t="array" aca="1" ref="F47" ca="1">INDIRECT("'※ 영기팀 작성_가입자'!"&amp;F$1&amp;$Z47, TRUE)</f>
        <v>8212</v>
      </c>
      <c r="G47" s="3483" cm="1">
        <f t="array" aca="1" ref="G47" ca="1">INDIRECT("'※ 영기팀 작성_가입자'!"&amp;G$1&amp;$Z47, TRUE)</f>
        <v>11573</v>
      </c>
      <c r="H47" s="3483" cm="1">
        <f t="array" aca="1" ref="H47" ca="1">INDIRECT("'※ 영기팀 작성_가입자'!"&amp;H$1&amp;$Z47, TRUE)</f>
        <v>8545</v>
      </c>
      <c r="I47" s="3483" cm="1">
        <f t="array" aca="1" ref="I47" ca="1">INDIRECT("'※ 영기팀 작성_가입자'!"&amp;I$1&amp;$Z47, TRUE)</f>
        <v>13772.000000000002</v>
      </c>
      <c r="J47" s="3483" cm="1">
        <f t="array" aca="1" ref="J47" ca="1">INDIRECT("'※ 영기팀 작성_가입자'!"&amp;J$1&amp;$Z47, TRUE)</f>
        <v>28547</v>
      </c>
      <c r="K47" s="3483" cm="1">
        <f t="array" aca="1" ref="K47" ca="1">INDIRECT("'※ 영기팀 작성_가입자'!"&amp;K$1&amp;$Z47, TRUE)</f>
        <v>17777</v>
      </c>
      <c r="L47" s="7565" cm="1">
        <f t="array" aca="1" ref="L47" ca="1">INDIRECT("'※ 영기팀 작성_가입자'!"&amp;L$1&amp;$Z47, TRUE)</f>
        <v>19237</v>
      </c>
      <c r="M47" s="3483" cm="1">
        <f t="array" aca="1" ref="M47" ca="1">INDIRECT("'※ 영기팀 작성_가입자'!"&amp;M$1&amp;$Z47, TRUE)</f>
        <v>17919</v>
      </c>
      <c r="N47" s="3483" cm="1">
        <f t="array" aca="1" ref="N47" ca="1">INDIRECT("'※ 영기팀 작성_가입자'!"&amp;N$1&amp;$Z47, TRUE)</f>
        <v>8753</v>
      </c>
      <c r="O47" s="3485"/>
      <c r="P47" s="3485"/>
      <c r="Q47" s="3486"/>
      <c r="R47" s="3487" cm="1">
        <f t="array" aca="1" ref="R47" ca="1">INDIRECT("'※ 영기팀 작성_가입자'!"&amp;R$1&amp;$Z47, TRUE)</f>
        <v>-9166</v>
      </c>
      <c r="S47" s="3488" cm="1">
        <f t="array" aca="1" ref="S47" ca="1">INDIRECT("'※ 영기팀 작성_가입자'!"&amp;S$1&amp;$Z47, TRUE)</f>
        <v>-2820</v>
      </c>
      <c r="T47" s="3489" cm="1">
        <f t="array" aca="1" ref="T47" ca="1">INDIRECT("'※ 영기팀 작성_가입자'!"&amp;T$1&amp;$Z47, TRUE)</f>
        <v>26672</v>
      </c>
      <c r="U47" s="3485"/>
      <c r="V47" s="3486"/>
      <c r="W47" s="3490" cm="1">
        <f t="array" aca="1" ref="W47" ca="1">INDIRECT("'※ 영기팀 작성_가입자'!"&amp;W$2&amp;$Z47, TRUE)</f>
        <v>6887</v>
      </c>
      <c r="X47" s="3491" cm="1">
        <f t="array" aca="1" ref="X47" ca="1">INDIRECT("'※ 영기팀 작성_가입자'!"&amp;X$1&amp;$Z47, TRUE)</f>
        <v>13336</v>
      </c>
      <c r="Y47" s="3492" cm="1">
        <f t="array" aca="1" ref="Y47" ca="1">INDIRECT("'※ 영기팀 작성_가입자'!"&amp;Y$1&amp;$Z47, TRUE)</f>
        <v>3750.3333333333339</v>
      </c>
      <c r="Z47" s="2988">
        <f>ROW('※ 영기팀 작성_가입자'!AH56)</f>
        <v>56</v>
      </c>
      <c r="AA47" s="2984">
        <f>ROW('※ 영기팀 작성_가입자'!AI292)</f>
        <v>292</v>
      </c>
    </row>
    <row r="48" spans="1:27" s="615" customFormat="1" ht="18" customHeight="1" x14ac:dyDescent="0.55000000000000004">
      <c r="A48" s="7110"/>
      <c r="B48" s="1586"/>
      <c r="C48" s="3493" t="s">
        <v>63</v>
      </c>
      <c r="D48" s="3494">
        <f ca="1">D47/D44</f>
        <v>0.19742903416639998</v>
      </c>
      <c r="E48" s="3495">
        <f ca="1">E47/E44</f>
        <v>0.21203971629766166</v>
      </c>
      <c r="F48" s="3496">
        <f t="shared" ref="F48:K48" ca="1" si="4">F47/F44</f>
        <v>0.21152954510329194</v>
      </c>
      <c r="G48" s="3495">
        <f ca="1">G47/G44</f>
        <v>0.15463035955266358</v>
      </c>
      <c r="H48" s="3495">
        <f t="shared" ca="1" si="4"/>
        <v>0.16858033459595959</v>
      </c>
      <c r="I48" s="3495">
        <f t="shared" ca="1" si="4"/>
        <v>0.21489872983178857</v>
      </c>
      <c r="J48" s="3495">
        <f t="shared" ca="1" si="4"/>
        <v>0.28862174950459013</v>
      </c>
      <c r="K48" s="3495">
        <f t="shared" ca="1" si="4"/>
        <v>0.2796664831275073</v>
      </c>
      <c r="L48" s="7566">
        <f t="shared" ref="L48:M48" ca="1" si="5">L47/L44</f>
        <v>0.20046058938768704</v>
      </c>
      <c r="M48" s="3495">
        <f t="shared" ca="1" si="5"/>
        <v>0.22721681904061475</v>
      </c>
      <c r="N48" s="3495">
        <f t="shared" ref="N48" ca="1" si="6">N47/N44</f>
        <v>0.20341149403918105</v>
      </c>
      <c r="O48" s="3474"/>
      <c r="P48" s="3474"/>
      <c r="Q48" s="3475"/>
      <c r="R48" s="3497" cm="1">
        <f t="array" aca="1" ref="R48" ca="1">INDIRECT("'※ 영기팀 작성_가입자'!"&amp;R$1&amp;$Z48, TRUE)</f>
        <v>-1.6662676425513973E-2</v>
      </c>
      <c r="S48" s="3498" cm="1">
        <f t="array" aca="1" ref="S48" ca="1">INDIRECT("'※ 영기팀 작성_가입자'!"&amp;S$1&amp;$Z48, TRUE)</f>
        <v>6.9088149198352433E-2</v>
      </c>
      <c r="T48" s="3499">
        <f ca="1">T47/T44</f>
        <v>0.21881306709107914</v>
      </c>
      <c r="U48" s="3474"/>
      <c r="V48" s="3475"/>
      <c r="W48" s="3500" cm="1">
        <f t="array" aca="1" ref="W48" ca="1">INDIRECT("'※ 영기팀 작성_가입자'!"&amp;W$2&amp;$Z48, TRUE)</f>
        <v>8.2606716919920165E-2</v>
      </c>
      <c r="X48" s="3501" cm="1">
        <f t="array" aca="1" ref="X48" ca="1">INDIRECT("'※ 영기팀 작성_가입자'!"&amp;X$1&amp;$Z48, TRUE)</f>
        <v>0.2486861175740443</v>
      </c>
      <c r="Y48" s="3502" cm="1">
        <f t="array" aca="1" ref="Y48" ca="1">INDIRECT("'※ 영기팀 작성_가입자'!"&amp;Y$1&amp;$Z48, TRUE)</f>
        <v>0.24023500476005447</v>
      </c>
      <c r="Z48" s="2988">
        <f>ROW('※ 영기팀 작성_가입자'!AH57)</f>
        <v>57</v>
      </c>
      <c r="AA48" s="2984">
        <f>ROW('※ 영기팀 작성_가입자'!AI294)</f>
        <v>294</v>
      </c>
    </row>
    <row r="49" spans="1:29" ht="18" customHeight="1" x14ac:dyDescent="0.55000000000000004">
      <c r="A49" s="7110"/>
      <c r="B49" s="681"/>
      <c r="C49" s="3163" t="s">
        <v>54</v>
      </c>
      <c r="D49" s="2921" cm="1">
        <f t="array" aca="1" ref="D49" ca="1">INDIRECT("'※ 영기팀 작성_가입자'!"&amp;D$1&amp;$Z49, TRUE)</f>
        <v>45852</v>
      </c>
      <c r="E49" s="2922" cm="1">
        <f t="array" aca="1" ref="E49" ca="1">INDIRECT("'※ 영기팀 작성_가입자'!"&amp;E$1&amp;$Z49, TRUE)</f>
        <v>43020</v>
      </c>
      <c r="F49" s="3503" cm="1">
        <f t="array" aca="1" ref="F49" ca="1">INDIRECT("'※ 영기팀 작성_가입자'!"&amp;F$1&amp;$Z49, TRUE)</f>
        <v>3825</v>
      </c>
      <c r="G49" s="2922" cm="1">
        <f t="array" aca="1" ref="G49" ca="1">INDIRECT("'※ 영기팀 작성_가입자'!"&amp;G$1&amp;$Z49, TRUE)</f>
        <v>6061</v>
      </c>
      <c r="H49" s="2922" cm="1">
        <f t="array" aca="1" ref="H49" ca="1">INDIRECT("'※ 영기팀 작성_가입자'!"&amp;H$1&amp;$Z49, TRUE)</f>
        <v>5497</v>
      </c>
      <c r="I49" s="2922" cm="1">
        <f t="array" aca="1" ref="I49" ca="1">INDIRECT("'※ 영기팀 작성_가입자'!"&amp;I$1&amp;$Z49, TRUE)</f>
        <v>2941</v>
      </c>
      <c r="J49" s="2922" cm="1">
        <f t="array" aca="1" ref="J49" ca="1">INDIRECT("'※ 영기팀 작성_가입자'!"&amp;J$1&amp;$Z49, TRUE)</f>
        <v>3793.9999999999995</v>
      </c>
      <c r="K49" s="2922" cm="1">
        <f t="array" aca="1" ref="K49" ca="1">INDIRECT("'※ 영기팀 작성_가입자'!"&amp;K$1&amp;$Z49, TRUE)</f>
        <v>3140</v>
      </c>
      <c r="L49" s="7567" cm="1">
        <f t="array" aca="1" ref="L49" ca="1">INDIRECT("'※ 영기팀 작성_가입자'!"&amp;L$1&amp;$Z49, TRUE)</f>
        <v>2673</v>
      </c>
      <c r="M49" s="2922" cm="1">
        <f t="array" aca="1" ref="M49" ca="1">INDIRECT("'※ 영기팀 작성_가입자'!"&amp;M$1&amp;$Z49, TRUE)</f>
        <v>5156</v>
      </c>
      <c r="N49" s="2922" cm="1">
        <f t="array" aca="1" ref="N49" ca="1">INDIRECT("'※ 영기팀 작성_가입자'!"&amp;N$1&amp;$Z49, TRUE)</f>
        <v>3967</v>
      </c>
      <c r="O49" s="3485"/>
      <c r="P49" s="3485"/>
      <c r="Q49" s="3486"/>
      <c r="R49" s="3504" cm="1">
        <f t="array" aca="1" ref="R49" ca="1">INDIRECT("'※ 영기팀 작성_가입자'!"&amp;R$1&amp;$Z49, TRUE)</f>
        <v>-1189</v>
      </c>
      <c r="S49" s="3505" cm="1">
        <f t="array" aca="1" ref="S49" ca="1">INDIRECT("'※ 영기팀 작성_가입자'!"&amp;S$1&amp;$Z49, TRUE)</f>
        <v>-2094</v>
      </c>
      <c r="T49" s="3506" cm="1">
        <f t="array" aca="1" ref="T49" ca="1">INDIRECT("'※ 영기팀 작성_가입자'!"&amp;T$1&amp;$Z49, TRUE)</f>
        <v>9123</v>
      </c>
      <c r="U49" s="3485"/>
      <c r="V49" s="3486"/>
      <c r="W49" s="3465" cm="1">
        <f t="array" aca="1" ref="W49" ca="1">INDIRECT("'※ 영기팀 작성_가입자'!"&amp;W$2&amp;$Z49, TRUE)</f>
        <v>-763</v>
      </c>
      <c r="X49" s="3469" cm="1">
        <f t="array" aca="1" ref="X49" ca="1">INDIRECT("'※ 영기팀 작성_가입자'!"&amp;X$1&amp;$Z49, TRUE)</f>
        <v>4561.5</v>
      </c>
      <c r="Y49" s="3470" cm="1">
        <f t="array" aca="1" ref="Y49" ca="1">INDIRECT("'※ 영기팀 작성_가입자'!"&amp;Y$1&amp;$Z49, TRUE)</f>
        <v>-236</v>
      </c>
      <c r="Z49" s="2988">
        <f>ROW('※ 영기팀 작성_가입자'!AH55)</f>
        <v>55</v>
      </c>
      <c r="AA49" s="2984">
        <f>ROW('※ 영기팀 작성_가입자'!AI295)</f>
        <v>295</v>
      </c>
    </row>
    <row r="50" spans="1:29" ht="18" customHeight="1" x14ac:dyDescent="0.55000000000000004">
      <c r="A50" s="7110"/>
      <c r="B50" s="3507" t="s">
        <v>55</v>
      </c>
      <c r="C50" s="3151"/>
      <c r="D50" s="3508" cm="1">
        <f t="array" aca="1" ref="D50" ca="1">INDIRECT("'※ 영기팀 작성_가입자'!"&amp;D$1&amp;$Z50, TRUE)</f>
        <v>381528</v>
      </c>
      <c r="E50" s="3509" cm="1">
        <f t="array" aca="1" ref="E50" ca="1">INDIRECT("'※ 영기팀 작성_가입자'!"&amp;E$1&amp;$Z50, TRUE)</f>
        <v>432755</v>
      </c>
      <c r="F50" s="3510" cm="1">
        <f t="array" aca="1" ref="F50" ca="1">INDIRECT("'※ 영기팀 작성_가입자'!"&amp;F$1&amp;$Z50, TRUE)</f>
        <v>21688</v>
      </c>
      <c r="G50" s="3509" cm="1">
        <f t="array" aca="1" ref="G50" ca="1">INDIRECT("'※ 영기팀 작성_가입자'!"&amp;G$1&amp;$Z50, TRUE)</f>
        <v>49939</v>
      </c>
      <c r="H50" s="3509" cm="1">
        <f t="array" aca="1" ref="H50" ca="1">INDIRECT("'※ 영기팀 작성_가입자'!"&amp;H$1&amp;$Z50, TRUE)</f>
        <v>29000</v>
      </c>
      <c r="I50" s="3509" cm="1">
        <f t="array" aca="1" ref="I50" ca="1">INDIRECT("'※ 영기팀 작성_가입자'!"&amp;I$1&amp;$Z50, TRUE)</f>
        <v>30067</v>
      </c>
      <c r="J50" s="3509" cm="1">
        <f t="array" aca="1" ref="J50" ca="1">INDIRECT("'※ 영기팀 작성_가입자'!"&amp;J$1&amp;$Z50, TRUE)</f>
        <v>30904</v>
      </c>
      <c r="K50" s="3509" cm="1">
        <f t="array" aca="1" ref="K50" ca="1">INDIRECT("'※ 영기팀 작성_가입자'!"&amp;K$1&amp;$Z50, TRUE)</f>
        <v>30300</v>
      </c>
      <c r="L50" s="7568" cm="1">
        <f t="array" aca="1" ref="L50" ca="1">INDIRECT("'※ 영기팀 작성_가입자'!"&amp;L$1&amp;$Z50, TRUE)</f>
        <v>46897</v>
      </c>
      <c r="M50" s="3509" cm="1">
        <f t="array" aca="1" ref="M50" ca="1">INDIRECT("'※ 영기팀 작성_가입자'!"&amp;M$1&amp;$Z50, TRUE)</f>
        <v>46644</v>
      </c>
      <c r="N50" s="3509" cm="1">
        <f t="array" aca="1" ref="N50" ca="1">INDIRECT("'※ 영기팀 작성_가입자'!"&amp;N$1&amp;$Z50, TRUE)</f>
        <v>23696</v>
      </c>
      <c r="O50" s="3511" cm="1">
        <f t="array" aca="1" ref="O50" ca="1">INDIRECT("'※ 영기팀 작성_가입자'!"&amp;O$1&amp;$AA50, TRUE)</f>
        <v>43700</v>
      </c>
      <c r="P50" s="3511" cm="1">
        <f t="array" aca="1" ref="P50" ca="1">INDIRECT("'※ 영기팀 작성_가입자'!"&amp;P$1&amp;$AA50, TRUE)</f>
        <v>-20004</v>
      </c>
      <c r="Q50" s="3512" cm="1">
        <f t="array" aca="1" ref="Q50" ca="1">INDIRECT("'※ 영기팀 작성_가입자'!"&amp;Q$1&amp;$AA50, TRUE)</f>
        <v>0.54224256292906181</v>
      </c>
      <c r="R50" s="3513" cm="1">
        <f t="array" aca="1" ref="R50" ca="1">INDIRECT("'※ 영기팀 작성_가입자'!"&amp;R$1&amp;$Z50, TRUE)</f>
        <v>-22948</v>
      </c>
      <c r="S50" s="3511" cm="1">
        <f t="array" aca="1" ref="S50" ca="1">INDIRECT("'※ 영기팀 작성_가입자'!"&amp;S$1&amp;$Z50, TRUE)</f>
        <v>-26243</v>
      </c>
      <c r="T50" s="3514" cm="1">
        <f t="array" aca="1" ref="T50" ca="1">INDIRECT("'※ 영기팀 작성_가입자'!"&amp;T$1&amp;$Z50, TRUE)</f>
        <v>70340</v>
      </c>
      <c r="U50" s="3511" cm="1">
        <f t="array" aca="1" ref="U50" ca="1">INDIRECT("'※ 영기팀 작성_가입자'!"&amp;U$1&amp;$AA50, TRUE)</f>
        <v>-20360</v>
      </c>
      <c r="V50" s="3512" cm="1">
        <f t="array" aca="1" ref="V50" ca="1">INDIRECT("'※ 영기팀 작성_가입자'!"&amp;V$1&amp;$AA50, TRUE)</f>
        <v>0.77552370452039687</v>
      </c>
      <c r="W50" s="3515" cm="1">
        <f t="array" aca="1" ref="W50" ca="1">INDIRECT("'※ 영기팀 작성_가입자'!"&amp;W$2&amp;$Z50, TRUE)</f>
        <v>-1287</v>
      </c>
      <c r="X50" s="3516" cm="1">
        <f t="array" aca="1" ref="X50" ca="1">INDIRECT("'※ 영기팀 작성_가입자'!"&amp;X$1&amp;$Z50, TRUE)</f>
        <v>35170</v>
      </c>
      <c r="Y50" s="3517" cm="1">
        <f t="array" aca="1" ref="Y50" ca="1">INDIRECT("'※ 영기팀 작성_가입자'!"&amp;Y$1&amp;$Z50, TRUE)</f>
        <v>4268.9166666666642</v>
      </c>
      <c r="Z50" s="2988">
        <f>ROW('※ 영기팀 작성_가입자'!AH12)</f>
        <v>12</v>
      </c>
      <c r="AA50" s="2984">
        <f>ROW('※ 영기팀 작성_가입자'!AI291)</f>
        <v>291</v>
      </c>
    </row>
    <row r="51" spans="1:29" ht="18" customHeight="1" x14ac:dyDescent="0.55000000000000004">
      <c r="A51" s="7110"/>
      <c r="B51" s="673" t="s">
        <v>64</v>
      </c>
      <c r="C51" s="681"/>
      <c r="D51" s="2921" cm="1">
        <f t="array" aca="1" ref="D51" ca="1">INDIRECT("'※ 영기팀 작성_가입자'!"&amp;D$1&amp;$Z51, TRUE)</f>
        <v>203866</v>
      </c>
      <c r="E51" s="2922" cm="1">
        <f t="array" aca="1" ref="E51" ca="1">INDIRECT("'※ 영기팀 작성_가입자'!"&amp;E$1&amp;$Z51, TRUE)</f>
        <v>235383</v>
      </c>
      <c r="F51" s="3503" cm="1">
        <f t="array" aca="1" ref="F51" ca="1">INDIRECT("'※ 영기팀 작성_가입자'!"&amp;F$1&amp;$Z51, TRUE)</f>
        <v>11930</v>
      </c>
      <c r="G51" s="2922" cm="1">
        <f t="array" aca="1" ref="G51" ca="1">INDIRECT("'※ 영기팀 작성_가입자'!"&amp;G$1&amp;$Z51, TRUE)</f>
        <v>25000</v>
      </c>
      <c r="H51" s="2922" cm="1">
        <f t="array" aca="1" ref="H51" ca="1">INDIRECT("'※ 영기팀 작성_가입자'!"&amp;H$1&amp;$Z51, TRUE)</f>
        <v>17145</v>
      </c>
      <c r="I51" s="2922" cm="1">
        <f t="array" aca="1" ref="I51" ca="1">INDIRECT("'※ 영기팀 작성_가입자'!"&amp;I$1&amp;$Z51, TRUE)</f>
        <v>22354</v>
      </c>
      <c r="J51" s="2922" cm="1">
        <f t="array" aca="1" ref="J51" ca="1">INDIRECT("'※ 영기팀 작성_가입자'!"&amp;J$1&amp;$Z51, TRUE)</f>
        <v>29195</v>
      </c>
      <c r="K51" s="2922" cm="1">
        <f t="array" aca="1" ref="K51" ca="1">INDIRECT("'※ 영기팀 작성_가입자'!"&amp;K$1&amp;$Z51, TRUE)</f>
        <v>18050</v>
      </c>
      <c r="L51" s="7567" cm="1">
        <f t="array" aca="1" ref="L51" ca="1">INDIRECT("'※ 영기팀 작성_가입자'!"&amp;L$1&amp;$Z51, TRUE)</f>
        <v>29155</v>
      </c>
      <c r="M51" s="2922" cm="1">
        <f t="array" aca="1" ref="M51" ca="1">INDIRECT("'※ 영기팀 작성_가입자'!"&amp;M$1&amp;$Z51, TRUE)</f>
        <v>19716</v>
      </c>
      <c r="N51" s="2922" cm="1">
        <f t="array" aca="1" ref="N51" ca="1">INDIRECT("'※ 영기팀 작성_가입자'!"&amp;N$1&amp;$Z51, TRUE)</f>
        <v>12024</v>
      </c>
      <c r="O51" s="3505" cm="1">
        <f t="array" aca="1" ref="O51" ca="1">INDIRECT("'※ 영기팀 작성_가입자'!"&amp;O$1&amp;$AA51, TRUE)</f>
        <v>17000</v>
      </c>
      <c r="P51" s="3505" cm="1">
        <f t="array" aca="1" ref="P51" ca="1">INDIRECT("'※ 영기팀 작성_가입자'!"&amp;P$1&amp;$AA51, TRUE)</f>
        <v>-4976</v>
      </c>
      <c r="Q51" s="3518" cm="1">
        <f t="array" aca="1" ref="Q51" ca="1">INDIRECT("'※ 영기팀 작성_가입자'!"&amp;Q$1&amp;$AA51, TRUE)</f>
        <v>0.70729411764705885</v>
      </c>
      <c r="R51" s="3504" cm="1">
        <f t="array" aca="1" ref="R51" ca="1">INDIRECT("'※ 영기팀 작성_가입자'!"&amp;R$1&amp;$Z51, TRUE)</f>
        <v>-7692</v>
      </c>
      <c r="S51" s="3505" cm="1">
        <f t="array" aca="1" ref="S51" ca="1">INDIRECT("'※ 영기팀 작성_가입자'!"&amp;S$1&amp;$Z51, TRUE)</f>
        <v>-12976</v>
      </c>
      <c r="T51" s="3506" cm="1">
        <f t="array" aca="1" ref="T51" ca="1">INDIRECT("'※ 영기팀 작성_가입자'!"&amp;T$1&amp;$Z51, TRUE)</f>
        <v>31740</v>
      </c>
      <c r="U51" s="3505" cm="1">
        <f t="array" aca="1" ref="U51" ca="1">INDIRECT("'※ 영기팀 작성_가입자'!"&amp;U$1&amp;$AA51, TRUE)</f>
        <v>-5260</v>
      </c>
      <c r="V51" s="3518" cm="1">
        <f t="array" aca="1" ref="V51" ca="1">INDIRECT("'※ 영기팀 작성_가입자'!"&amp;V$1&amp;$AA51, TRUE)</f>
        <v>0.18497297297297297</v>
      </c>
      <c r="W51" s="3465" cm="1">
        <f t="array" aca="1" ref="W51" ca="1">INDIRECT("'※ 영기팀 작성_가입자'!"&amp;W$2&amp;$Z51, TRUE)</f>
        <v>-5190</v>
      </c>
      <c r="X51" s="3469" cm="1">
        <f t="array" aca="1" ref="X51" ca="1">INDIRECT("'※ 영기팀 작성_가입자'!"&amp;X$1&amp;$Z51, TRUE)</f>
        <v>15870</v>
      </c>
      <c r="Y51" s="3470" cm="1">
        <f t="array" aca="1" ref="Y51" ca="1">INDIRECT("'※ 영기팀 작성_가입자'!"&amp;Y$1&amp;$Z51, TRUE)</f>
        <v>2626.4166666666679</v>
      </c>
      <c r="Z51" s="2988">
        <f>ROW('※ 영기팀 작성_가입자'!AH13)</f>
        <v>13</v>
      </c>
      <c r="AA51" s="2984">
        <f>ROW('※ 영기팀 작성_가입자'!AI292)</f>
        <v>292</v>
      </c>
    </row>
    <row r="52" spans="1:29" ht="18" customHeight="1" x14ac:dyDescent="0.55000000000000004">
      <c r="A52" s="7110"/>
      <c r="B52" s="681" t="s">
        <v>20</v>
      </c>
      <c r="C52" s="681"/>
      <c r="D52" s="2921" cm="1">
        <f t="array" aca="1" ref="D52" ca="1">INDIRECT("'※ 영기팀 작성_가입자'!"&amp;D$1&amp;$Z52, TRUE)</f>
        <v>240483</v>
      </c>
      <c r="E52" s="2922" cm="1">
        <f t="array" aca="1" ref="E52" ca="1">INDIRECT("'※ 영기팀 작성_가입자'!"&amp;E$1&amp;$Z52, TRUE)</f>
        <v>309973</v>
      </c>
      <c r="F52" s="3503" cm="1">
        <f t="array" aca="1" ref="F52" ca="1">INDIRECT("'※ 영기팀 작성_가입자'!"&amp;F$1&amp;$Z52, TRUE)</f>
        <v>17239</v>
      </c>
      <c r="G52" s="2922" cm="1">
        <f t="array" aca="1" ref="G52" ca="1">INDIRECT("'※ 영기팀 작성_가입자'!"&amp;G$1&amp;$Z52, TRUE)</f>
        <v>25984</v>
      </c>
      <c r="H52" s="2922" cm="1">
        <f t="array" aca="1" ref="H52" ca="1">INDIRECT("'※ 영기팀 작성_가입자'!"&amp;H$1&amp;$Z52, TRUE)</f>
        <v>19298</v>
      </c>
      <c r="I52" s="2922" cm="1">
        <f t="array" aca="1" ref="I52" ca="1">INDIRECT("'※ 영기팀 작성_가입자'!"&amp;I$1&amp;$Z52, TRUE)</f>
        <v>24280</v>
      </c>
      <c r="J52" s="2922" cm="1">
        <f t="array" aca="1" ref="J52" ca="1">INDIRECT("'※ 영기팀 작성_가입자'!"&amp;J$1&amp;$Z52, TRUE)</f>
        <v>36457</v>
      </c>
      <c r="K52" s="2922" cm="1">
        <f t="array" aca="1" ref="K52" ca="1">INDIRECT("'※ 영기팀 작성_가입자'!"&amp;K$1&amp;$Z52, TRUE)</f>
        <v>28356</v>
      </c>
      <c r="L52" s="7567" cm="1">
        <f t="array" aca="1" ref="L52" ca="1">INDIRECT("'※ 영기팀 작성_가입자'!"&amp;L$1&amp;$Z52, TRUE)</f>
        <v>32832</v>
      </c>
      <c r="M52" s="2922" cm="1">
        <f t="array" aca="1" ref="M52" ca="1">INDIRECT("'※ 영기팀 작성_가입자'!"&amp;M$1&amp;$Z52, TRUE)</f>
        <v>37649</v>
      </c>
      <c r="N52" s="2922" cm="1">
        <f t="array" aca="1" ref="N52" ca="1">INDIRECT("'※ 영기팀 작성_가입자'!"&amp;N$1&amp;$Z52, TRUE)</f>
        <v>17387</v>
      </c>
      <c r="O52" s="3505" cm="1">
        <f t="array" aca="1" ref="O52" ca="1">INDIRECT("'※ 영기팀 작성_가입자'!"&amp;O$1&amp;$AA52, TRUE)</f>
        <v>25000</v>
      </c>
      <c r="P52" s="3505" cm="1">
        <f t="array" aca="1" ref="P52" ca="1">INDIRECT("'※ 영기팀 작성_가입자'!"&amp;P$1&amp;$AA52, TRUE)</f>
        <v>-7613</v>
      </c>
      <c r="Q52" s="3518" cm="1">
        <f t="array" aca="1" ref="Q52" ca="1">INDIRECT("'※ 영기팀 작성_가입자'!"&amp;Q$1&amp;$AA52, TRUE)</f>
        <v>0.69547999999999999</v>
      </c>
      <c r="R52" s="3504" cm="1">
        <f t="array" aca="1" ref="R52" ca="1">INDIRECT("'※ 영기팀 작성_가입자'!"&amp;R$1&amp;$Z52, TRUE)</f>
        <v>-20262</v>
      </c>
      <c r="S52" s="3505" cm="1">
        <f t="array" aca="1" ref="S52" ca="1">INDIRECT("'※ 영기팀 작성_가입자'!"&amp;S$1&amp;$Z52, TRUE)</f>
        <v>-8597</v>
      </c>
      <c r="T52" s="3506" cm="1">
        <f t="array" aca="1" ref="T52" ca="1">INDIRECT("'※ 영기팀 작성_가입자'!"&amp;T$1&amp;$Z52, TRUE)</f>
        <v>55036</v>
      </c>
      <c r="U52" s="3505" cm="1">
        <f t="array" aca="1" ref="U52" ca="1">INDIRECT("'※ 영기팀 작성_가입자'!"&amp;U$1&amp;$AA52, TRUE)</f>
        <v>3036</v>
      </c>
      <c r="V52" s="3518" cm="1">
        <f t="array" aca="1" ref="V52" ca="1">INDIRECT("'※ 영기팀 작성_가입자'!"&amp;V$1&amp;$AA52, TRUE)</f>
        <v>0</v>
      </c>
      <c r="W52" s="3465" cm="1">
        <f t="array" aca="1" ref="W52" ca="1">INDIRECT("'※ 영기팀 작성_가입자'!"&amp;W$2&amp;$Z52, TRUE)</f>
        <v>11813</v>
      </c>
      <c r="X52" s="3469" cm="1">
        <f t="array" aca="1" ref="X52" ca="1">INDIRECT("'※ 영기팀 작성_가입자'!"&amp;X$1&amp;$Z52, TRUE)</f>
        <v>27518</v>
      </c>
      <c r="Y52" s="3470" cm="1">
        <f t="array" aca="1" ref="Y52" ca="1">INDIRECT("'※ 영기팀 작성_가입자'!"&amp;Y$1&amp;$Z52, TRUE)</f>
        <v>5790.8333333333321</v>
      </c>
      <c r="Z52" s="2988">
        <f>ROW('※ 영기팀 작성_가입자'!AH15)</f>
        <v>15</v>
      </c>
      <c r="AA52" s="2984">
        <f>ROW('※ 영기팀 작성_가입자'!AI294)</f>
        <v>294</v>
      </c>
    </row>
    <row r="53" spans="1:29" ht="18" customHeight="1" x14ac:dyDescent="0.55000000000000004">
      <c r="A53" s="7110"/>
      <c r="B53" s="673" t="s">
        <v>875</v>
      </c>
      <c r="C53" s="681"/>
      <c r="D53" s="2921" cm="1">
        <f t="array" aca="1" ref="D53" ca="1">INDIRECT("'※ 영기팀 작성_가입자'!"&amp;D$1&amp;$Z53, TRUE)</f>
        <v>138022</v>
      </c>
      <c r="E53" s="2922" cm="1">
        <f t="array" aca="1" ref="E53" ca="1">INDIRECT("'※ 영기팀 작성_가입자'!"&amp;E$1&amp;$Z53, TRUE)</f>
        <v>201786</v>
      </c>
      <c r="F53" s="3503" cm="1">
        <f t="array" aca="1" ref="F53" ca="1">INDIRECT("'※ 영기팀 작성_가입자'!"&amp;F$1&amp;$Z53, TRUE)</f>
        <v>7587</v>
      </c>
      <c r="G53" s="2922" cm="1">
        <f t="array" aca="1" ref="G53" ca="1">INDIRECT("'※ 영기팀 작성_가입자'!"&amp;G$1&amp;$Z53, TRUE)</f>
        <v>20682</v>
      </c>
      <c r="H53" s="2922" cm="1">
        <f t="array" aca="1" ref="H53" ca="1">INDIRECT("'※ 영기팀 작성_가입자'!"&amp;H$1&amp;$Z53, TRUE)</f>
        <v>10591</v>
      </c>
      <c r="I53" s="2922" cm="1">
        <f t="array" aca="1" ref="I53" ca="1">INDIRECT("'※ 영기팀 작성_가입자'!"&amp;I$1&amp;$Z53, TRUE)</f>
        <v>14687</v>
      </c>
      <c r="J53" s="2922" cm="1">
        <f t="array" aca="1" ref="J53" ca="1">INDIRECT("'※ 영기팀 작성_가입자'!"&amp;J$1&amp;$Z53, TRUE)</f>
        <v>30235</v>
      </c>
      <c r="K53" s="2922" cm="1">
        <f t="array" aca="1" ref="K53" ca="1">INDIRECT("'※ 영기팀 작성_가입자'!"&amp;K$1&amp;$Z53, TRUE)</f>
        <v>15026</v>
      </c>
      <c r="L53" s="7567" cm="1">
        <f t="array" aca="1" ref="L53" ca="1">INDIRECT("'※ 영기팀 작성_가입자'!"&amp;L$1&amp;$Z53, TRUE)</f>
        <v>28501</v>
      </c>
      <c r="M53" s="2922" cm="1">
        <f t="array" aca="1" ref="M53" ca="1">INDIRECT("'※ 영기팀 작성_가입자'!"&amp;M$1&amp;$Z53, TRUE)</f>
        <v>17312</v>
      </c>
      <c r="N53" s="2922" cm="1">
        <f t="array" aca="1" ref="N53" ca="1">INDIRECT("'※ 영기팀 작성_가입자'!"&amp;N$1&amp;$Z53, TRUE)</f>
        <v>10548</v>
      </c>
      <c r="O53" s="3505" cm="1">
        <f t="array" aca="1" ref="O53" ca="1">INDIRECT("'※ 영기팀 작성_가입자'!"&amp;O$1&amp;$AA53, TRUE)</f>
        <v>20000</v>
      </c>
      <c r="P53" s="3505" cm="1">
        <f t="array" aca="1" ref="P53" ca="1">INDIRECT("'※ 영기팀 작성_가입자'!"&amp;P$1&amp;$AA53, TRUE)</f>
        <v>-9452</v>
      </c>
      <c r="Q53" s="3518" cm="1">
        <f t="array" aca="1" ref="Q53" ca="1">INDIRECT("'※ 영기팀 작성_가입자'!"&amp;Q$1&amp;$AA53, TRUE)</f>
        <v>0.52739999999999998</v>
      </c>
      <c r="R53" s="3504" cm="1">
        <f t="array" aca="1" ref="R53" ca="1">INDIRECT("'※ 영기팀 작성_가입자'!"&amp;R$1&amp;$Z53, TRUE)</f>
        <v>-6764</v>
      </c>
      <c r="S53" s="3505" cm="1">
        <f t="array" aca="1" ref="S53" ca="1">INDIRECT("'※ 영기팀 작성_가입자'!"&amp;S$1&amp;$Z53, TRUE)</f>
        <v>-10134</v>
      </c>
      <c r="T53" s="3506" cm="1">
        <f t="array" aca="1" ref="T53" ca="1">INDIRECT("'※ 영기팀 작성_가입자'!"&amp;T$1&amp;$Z53, TRUE)</f>
        <v>27860</v>
      </c>
      <c r="U53" s="3505" cm="1">
        <f t="array" aca="1" ref="U53" ca="1">INDIRECT("'※ 영기팀 작성_가입자'!"&amp;U$1&amp;$AA53, TRUE)</f>
        <v>-12140</v>
      </c>
      <c r="V53" s="3518" cm="1">
        <f t="array" aca="1" ref="V53" ca="1">INDIRECT("'※ 영기팀 작성_가입자'!"&amp;V$1&amp;$AA53, TRUE)</f>
        <v>0.137625</v>
      </c>
      <c r="W53" s="3465" cm="1">
        <f t="array" aca="1" ref="W53" ca="1">INDIRECT("'※ 영기팀 작성_가입자'!"&amp;W$2&amp;$Z53, TRUE)</f>
        <v>-409</v>
      </c>
      <c r="X53" s="3469" cm="1">
        <f t="array" aca="1" ref="X53" ca="1">INDIRECT("'※ 영기팀 작성_가입자'!"&amp;X$1&amp;$Z53, TRUE)</f>
        <v>13930</v>
      </c>
      <c r="Y53" s="3470" cm="1">
        <f t="array" aca="1" ref="Y53" ca="1">INDIRECT("'※ 영기팀 작성_가입자'!"&amp;Y$1&amp;$Z53, TRUE)</f>
        <v>5313.6666666666661</v>
      </c>
      <c r="Z53" s="2988">
        <f>ROW('※ 영기팀 작성_가입자'!AH16)</f>
        <v>16</v>
      </c>
      <c r="AA53" s="2984">
        <f>ROW('※ 영기팀 작성_가입자'!AI295)</f>
        <v>295</v>
      </c>
      <c r="AB53" s="2860"/>
    </row>
    <row r="54" spans="1:29" ht="18" customHeight="1" x14ac:dyDescent="0.55000000000000004">
      <c r="A54" s="7110"/>
      <c r="B54" s="673" t="s">
        <v>939</v>
      </c>
      <c r="C54" s="3163"/>
      <c r="D54" s="2921" cm="1">
        <f t="array" aca="1" ref="D54" ca="1">INDIRECT("'※ 영기팀 작성_가입자'!"&amp;D$1&amp;$Z54, TRUE)</f>
        <v>0</v>
      </c>
      <c r="E54" s="2922" cm="1">
        <f t="array" aca="1" ref="E54" ca="1">INDIRECT("'※ 영기팀 작성_가입자'!"&amp;E$1&amp;$Z54, TRUE)</f>
        <v>208023</v>
      </c>
      <c r="F54" s="3503" cm="1">
        <f t="array" aca="1" ref="F54" ca="1">INDIRECT("'※ 영기팀 작성_가입자'!"&amp;F$1&amp;$Z54, TRUE)</f>
        <v>14589</v>
      </c>
      <c r="G54" s="2922" cm="1">
        <f t="array" aca="1" ref="G54" ca="1">INDIRECT("'※ 영기팀 작성_가입자'!"&amp;G$1&amp;$Z54, TRUE)</f>
        <v>17940</v>
      </c>
      <c r="H54" s="2922" cm="1">
        <f t="array" aca="1" ref="H54" ca="1">INDIRECT("'※ 영기팀 작성_가입자'!"&amp;H$1&amp;$Z54, TRUE)</f>
        <v>16165</v>
      </c>
      <c r="I54" s="2922" cm="1">
        <f t="array" aca="1" ref="I54" ca="1">INDIRECT("'※ 영기팀 작성_가입자'!"&amp;I$1&amp;$Z54, TRUE)</f>
        <v>15881</v>
      </c>
      <c r="J54" s="2922" cm="1">
        <f t="array" aca="1" ref="J54" ca="1">INDIRECT("'※ 영기팀 작성_가입자'!"&amp;J$1&amp;$Z54, TRUE)</f>
        <v>13698</v>
      </c>
      <c r="K54" s="2922" cm="1">
        <f t="array" aca="1" ref="K54" ca="1">INDIRECT("'※ 영기팀 작성_가입자'!"&amp;K$1&amp;$Z54, TRUE)</f>
        <v>17181</v>
      </c>
      <c r="L54" s="7567" cm="1">
        <f t="array" aca="1" ref="L54" ca="1">INDIRECT("'※ 영기팀 작성_가입자'!"&amp;L$1&amp;$Z54, TRUE)</f>
        <v>24621</v>
      </c>
      <c r="M54" s="2922" cm="1">
        <f t="array" aca="1" ref="M54" ca="1">INDIRECT("'※ 영기팀 작성_가입자'!"&amp;M$1&amp;$Z54, TRUE)</f>
        <v>9400</v>
      </c>
      <c r="N54" s="2922" cm="1">
        <f t="array" aca="1" ref="N54" ca="1">INDIRECT("'※ 영기팀 작성_가입자'!"&amp;N$1&amp;$Z54, TRUE)</f>
        <v>13948</v>
      </c>
      <c r="O54" s="3505" cm="1">
        <f t="array" aca="1" ref="O54" ca="1">INDIRECT("'※ 영기팀 작성_가입자'!"&amp;O$1&amp;$AA54, TRUE)</f>
        <v>320</v>
      </c>
      <c r="P54" s="3505" cm="1">
        <f t="array" aca="1" ref="P54" ca="1">INDIRECT("'※ 영기팀 작성_가입자'!"&amp;P$1&amp;$AA54, TRUE)</f>
        <v>-38</v>
      </c>
      <c r="Q54" s="3518" cm="1">
        <f t="array" aca="1" ref="Q54" ca="1">INDIRECT("'※ 영기팀 작성_가입자'!"&amp;Q$1&amp;$AA54, TRUE)</f>
        <v>0.88124999999999998</v>
      </c>
      <c r="R54" s="3504" cm="1">
        <f t="array" aca="1" ref="R54" ca="1">INDIRECT("'※ 영기팀 작성_가입자'!"&amp;R$1&amp;$Z54, TRUE)</f>
        <v>4548</v>
      </c>
      <c r="S54" s="3505" cm="1">
        <f t="array" aca="1" ref="S54" ca="1">INDIRECT("'※ 영기팀 작성_가입자'!"&amp;S$1&amp;$Z54, TRUE)</f>
        <v>-3992</v>
      </c>
      <c r="T54" s="3506" cm="1">
        <f t="array" aca="1" ref="T54" ca="1">INDIRECT("'※ 영기팀 작성_가입자'!"&amp;T$1&amp;$Z54, TRUE)</f>
        <v>0</v>
      </c>
      <c r="U54" s="3505" cm="1">
        <f t="array" aca="1" ref="U54" ca="1">INDIRECT("'※ 영기팀 작성_가입자'!"&amp;U$1&amp;$AA54, TRUE)</f>
        <v>-54</v>
      </c>
      <c r="V54" s="3518" cm="1">
        <f t="array" aca="1" ref="V54" ca="1">INDIRECT("'※ 영기팀 작성_가입자'!"&amp;V$1&amp;$AA54, TRUE)</f>
        <v>0.92116788321167886</v>
      </c>
      <c r="W54" s="3465" cm="1">
        <f t="array" aca="1" ref="W54" ca="1">INDIRECT("'※ 영기팀 작성_가입자'!"&amp;W$2&amp;$Z54, TRUE)</f>
        <v>-9181</v>
      </c>
      <c r="X54" s="3469" cm="1">
        <f t="array" aca="1" ref="X54" ca="1">INDIRECT("'※ 영기팀 작성_가입자'!"&amp;X$1&amp;$Z54, TRUE)</f>
        <v>11674</v>
      </c>
      <c r="Y54" s="3470" cm="1">
        <f t="array" aca="1" ref="Y54" ca="1">INDIRECT("'※ 영기팀 작성_가입자'!"&amp;Y$1&amp;$Z54, TRUE)</f>
        <v>17335.25</v>
      </c>
      <c r="Z54" s="2988">
        <v>8</v>
      </c>
      <c r="AA54" s="2984">
        <v>363</v>
      </c>
    </row>
    <row r="55" spans="1:29" ht="18" customHeight="1" x14ac:dyDescent="0.55000000000000004">
      <c r="A55" s="7110"/>
      <c r="B55" s="673" t="s">
        <v>22</v>
      </c>
      <c r="C55" s="3163"/>
      <c r="D55" s="2921" cm="1">
        <f t="array" aca="1" ref="D55" ca="1">INDIRECT("'※ 영기팀 작성_가입자'!"&amp;D$1&amp;$Z55, TRUE)</f>
        <v>33166</v>
      </c>
      <c r="E55" s="2922" cm="1">
        <f t="array" aca="1" ref="E55" ca="1">INDIRECT("'※ 영기팀 작성_가입자'!"&amp;E$1&amp;$Z55, TRUE)</f>
        <v>37849</v>
      </c>
      <c r="F55" s="3503" cm="1">
        <f t="array" aca="1" ref="F55" ca="1">INDIRECT("'※ 영기팀 작성_가입자'!"&amp;F$1&amp;$Z55, TRUE)</f>
        <v>1912</v>
      </c>
      <c r="G55" s="2922" cm="1">
        <f t="array" aca="1" ref="G55" ca="1">INDIRECT("'※ 영기팀 작성_가입자'!"&amp;G$1&amp;$Z55, TRUE)</f>
        <v>2778</v>
      </c>
      <c r="H55" s="2922" cm="1">
        <f t="array" aca="1" ref="H55" ca="1">INDIRECT("'※ 영기팀 작성_가입자'!"&amp;H$1&amp;$Z55, TRUE)</f>
        <v>3485</v>
      </c>
      <c r="I55" s="2922" cm="1">
        <f t="array" aca="1" ref="I55" ca="1">INDIRECT("'※ 영기팀 작성_가입자'!"&amp;I$1&amp;$Z55, TRUE)</f>
        <v>2478</v>
      </c>
      <c r="J55" s="2922" cm="1">
        <f t="array" aca="1" ref="J55" ca="1">INDIRECT("'※ 영기팀 작성_가입자'!"&amp;J$1&amp;$Z55, TRUE)</f>
        <v>2591</v>
      </c>
      <c r="K55" s="2922" cm="1">
        <f t="array" aca="1" ref="K55" ca="1">INDIRECT("'※ 영기팀 작성_가입자'!"&amp;K$1&amp;$Z55, TRUE)</f>
        <v>1942.0000000000002</v>
      </c>
      <c r="L55" s="7567" cm="1">
        <f t="array" aca="1" ref="L55" ca="1">INDIRECT("'※ 영기팀 작성_가입자'!"&amp;L$1&amp;$Z55, TRUE)</f>
        <v>4860</v>
      </c>
      <c r="M55" s="2922" cm="1">
        <f t="array" aca="1" ref="M55" ca="1">INDIRECT("'※ 영기팀 작성_가입자'!"&amp;M$1&amp;$Z55, TRUE)</f>
        <v>3919</v>
      </c>
      <c r="N55" s="2922" cm="1">
        <f t="array" aca="1" ref="N55" ca="1">INDIRECT("'※ 영기팀 작성_가입자'!"&amp;N$1&amp;$Z55, TRUE)</f>
        <v>2925.0000000000005</v>
      </c>
      <c r="O55" s="3505" cm="1">
        <f t="array" aca="1" ref="O55" ca="1">INDIRECT("'※ 영기팀 작성_가입자'!"&amp;O$1&amp;$AA55, TRUE)</f>
        <v>5000</v>
      </c>
      <c r="P55" s="3505" cm="1">
        <f t="array" aca="1" ref="P55" ca="1">INDIRECT("'※ 영기팀 작성_가입자'!"&amp;P$1&amp;$AA55, TRUE)</f>
        <v>-2074.9999999999995</v>
      </c>
      <c r="Q55" s="3518" cm="1">
        <f t="array" aca="1" ref="Q55" ca="1">INDIRECT("'※ 영기팀 작성_가입자'!"&amp;Q$1&amp;$AA55, TRUE)</f>
        <v>0.58500000000000008</v>
      </c>
      <c r="R55" s="3504" cm="1">
        <f t="array" aca="1" ref="R55" ca="1">INDIRECT("'※ 영기팀 작성_가입자'!"&amp;R$1&amp;$Z55, TRUE)</f>
        <v>-993.99999999999955</v>
      </c>
      <c r="S55" s="3505" cm="1">
        <f t="array" aca="1" ref="S55" ca="1">INDIRECT("'※ 영기팀 작성_가입자'!"&amp;S$1&amp;$Z55, TRUE)</f>
        <v>147.00000000000045</v>
      </c>
      <c r="T55" s="3506" cm="1">
        <f t="array" aca="1" ref="T55" ca="1">INDIRECT("'※ 영기팀 작성_가입자'!"&amp;T$1&amp;$Z55, TRUE)</f>
        <v>6844</v>
      </c>
      <c r="U55" s="3505" cm="1">
        <f t="array" aca="1" ref="U55" ca="1">INDIRECT("'※ 영기팀 작성_가입자'!"&amp;U$1&amp;$AA55, TRUE)</f>
        <v>-3156</v>
      </c>
      <c r="V55" s="3518" cm="1">
        <f t="array" aca="1" ref="V55" ca="1">INDIRECT("'※ 영기팀 작성_가입자'!"&amp;V$1&amp;$AA55, TRUE)</f>
        <v>0.67700000000000005</v>
      </c>
      <c r="W55" s="3465" cm="1">
        <f t="array" aca="1" ref="W55" ca="1">INDIRECT("'※ 영기팀 작성_가입자'!"&amp;W$2&amp;$Z55, TRUE)</f>
        <v>2154</v>
      </c>
      <c r="X55" s="3469" cm="1">
        <f t="array" aca="1" ref="X55" ca="1">INDIRECT("'※ 영기팀 작성_가입자'!"&amp;X$1&amp;$Z55, TRUE)</f>
        <v>3422</v>
      </c>
      <c r="Y55" s="3470" cm="1">
        <f t="array" aca="1" ref="Y55" ca="1">INDIRECT("'※ 영기팀 작성_가입자'!"&amp;Y$1&amp;$Z55, TRUE)</f>
        <v>390.25</v>
      </c>
      <c r="Z55" s="2988">
        <f>ROW('※ 영기팀 작성_가입자'!AH17)</f>
        <v>17</v>
      </c>
      <c r="AA55" s="2984">
        <f>ROW('※ 영기팀 작성_가입자'!AI296)</f>
        <v>296</v>
      </c>
    </row>
    <row r="56" spans="1:29" ht="18" customHeight="1" thickBot="1" x14ac:dyDescent="0.6">
      <c r="A56" s="7111"/>
      <c r="B56" s="3519" t="s">
        <v>66</v>
      </c>
      <c r="C56" s="3519"/>
      <c r="D56" s="3520" cm="1">
        <f t="array" aca="1" ref="D56" ca="1">INDIRECT("'※ 영기팀 작성_가입자'!"&amp;D$1&amp;$Z56, TRUE)</f>
        <v>145.99999999999272</v>
      </c>
      <c r="E56" s="3521" cm="1">
        <f t="array" aca="1" ref="E56" ca="1">INDIRECT("'※ 영기팀 작성_가입자'!"&amp;E$1&amp;$Z56, TRUE)</f>
        <v>0</v>
      </c>
      <c r="F56" s="3522" cm="1">
        <f t="array" aca="1" ref="F56" ca="1">INDIRECT("'※ 영기팀 작성_가입자'!"&amp;F$1&amp;$Z56, TRUE)</f>
        <v>0</v>
      </c>
      <c r="G56" s="3521" cm="1">
        <f t="array" aca="1" ref="G56" ca="1">INDIRECT("'※ 영기팀 작성_가입자'!"&amp;G$1&amp;$Z56, TRUE)</f>
        <v>0</v>
      </c>
      <c r="H56" s="3521" cm="1">
        <f t="array" aca="1" ref="H56" ca="1">INDIRECT("'※ 영기팀 작성_가입자'!"&amp;H$1&amp;$Z56, TRUE)</f>
        <v>0</v>
      </c>
      <c r="I56" s="3521" cm="1">
        <f t="array" aca="1" ref="I56" ca="1">INDIRECT("'※ 영기팀 작성_가입자'!"&amp;I$1&amp;$Z56, TRUE)</f>
        <v>0</v>
      </c>
      <c r="J56" s="3521" cm="1">
        <f t="array" aca="1" ref="J56" ca="1">INDIRECT("'※ 영기팀 작성_가입자'!"&amp;J$1&amp;$Z56, TRUE)</f>
        <v>0</v>
      </c>
      <c r="K56" s="3521" cm="1">
        <f t="array" aca="1" ref="K56" ca="1">INDIRECT("'※ 영기팀 작성_가입자'!"&amp;K$1&amp;$Z56, TRUE)</f>
        <v>0</v>
      </c>
      <c r="L56" s="7569" cm="1">
        <f t="array" aca="1" ref="L56" ca="1">INDIRECT("'※ 영기팀 작성_가입자'!"&amp;L$1&amp;$Z56, TRUE)</f>
        <v>0</v>
      </c>
      <c r="M56" s="3521" cm="1">
        <f t="array" aca="1" ref="M56" ca="1">INDIRECT("'※ 영기팀 작성_가입자'!"&amp;M$1&amp;$Z56, TRUE)</f>
        <v>0</v>
      </c>
      <c r="N56" s="3521" cm="1">
        <f t="array" aca="1" ref="N56" ca="1">INDIRECT("'※ 영기팀 작성_가입자'!"&amp;N$1&amp;$Z56, TRUE)</f>
        <v>0</v>
      </c>
      <c r="O56" s="3521" cm="1">
        <f t="array" aca="1" ref="O56" ca="1">INDIRECT("'※ 영기팀 작성_가입자'!"&amp;O$1&amp;$AA56, TRUE)</f>
        <v>0</v>
      </c>
      <c r="P56" s="3521" cm="1">
        <f t="array" aca="1" ref="P56" ca="1">INDIRECT("'※ 영기팀 작성_가입자'!"&amp;P$1&amp;$AA56, TRUE)</f>
        <v>0</v>
      </c>
      <c r="Q56" s="3521">
        <v>0</v>
      </c>
      <c r="R56" s="3523" cm="1">
        <f t="array" aca="1" ref="R56" ca="1">INDIRECT("'※ 영기팀 작성_가입자'!"&amp;R$1&amp;$Z56, TRUE)</f>
        <v>0</v>
      </c>
      <c r="S56" s="3524" cm="1">
        <f t="array" aca="1" ref="S56" ca="1">INDIRECT("'※ 영기팀 작성_가입자'!"&amp;S$1&amp;$Z56, TRUE)</f>
        <v>0</v>
      </c>
      <c r="T56" s="3525" cm="1">
        <f t="array" aca="1" ref="T56" ca="1">INDIRECT("'※ 영기팀 작성_가입자'!"&amp;T$1&amp;$Z56, TRUE)</f>
        <v>0</v>
      </c>
      <c r="U56" s="3524" cm="1">
        <f t="array" aca="1" ref="U56" ca="1">INDIRECT("'※ 영기팀 작성_가입자'!"&amp;U$1&amp;$AA56, TRUE)</f>
        <v>0</v>
      </c>
      <c r="V56" s="3521">
        <v>0</v>
      </c>
      <c r="W56" s="3526" cm="1">
        <f t="array" aca="1" ref="W56" ca="1">INDIRECT("'※ 영기팀 작성_가입자'!"&amp;W$2&amp;$Z56, TRUE)</f>
        <v>0</v>
      </c>
      <c r="X56" s="3527" cm="1">
        <f t="array" aca="1" ref="X56" ca="1">INDIRECT("'※ 영기팀 작성_가입자'!"&amp;X$1&amp;$Z56, TRUE)</f>
        <v>0</v>
      </c>
      <c r="Y56" s="3528" cm="1">
        <f t="array" aca="1" ref="Y56" ca="1">INDIRECT("'※ 영기팀 작성_가입자'!"&amp;Y$1&amp;$Z56, TRUE)</f>
        <v>-12.16666666666606</v>
      </c>
      <c r="Z56" s="2988">
        <f>ROW('※ 영기팀 작성_가입자'!AH18)</f>
        <v>18</v>
      </c>
      <c r="AA56" s="2984">
        <f>ROW('※ 영기팀 작성_가입자'!AI297)</f>
        <v>297</v>
      </c>
    </row>
    <row r="57" spans="1:29" ht="6" customHeight="1" thickTop="1" thickBot="1" x14ac:dyDescent="0.6">
      <c r="A57" s="2771"/>
      <c r="B57" s="698"/>
      <c r="C57" s="698"/>
      <c r="D57" s="681"/>
      <c r="E57" s="698"/>
      <c r="F57" s="3529"/>
      <c r="G57" s="681"/>
      <c r="H57" s="681"/>
      <c r="I57" s="681"/>
      <c r="J57" s="681"/>
      <c r="K57" s="681"/>
      <c r="L57" s="7570"/>
      <c r="M57" s="681"/>
      <c r="N57" s="681"/>
      <c r="O57" s="681"/>
      <c r="P57" s="681"/>
      <c r="Q57" s="681"/>
      <c r="R57" s="681"/>
      <c r="S57" s="681"/>
      <c r="T57" s="698"/>
      <c r="U57" s="698"/>
      <c r="V57" s="698"/>
      <c r="Z57" s="2988"/>
      <c r="AC57" s="905">
        <f>T57/4</f>
        <v>0</v>
      </c>
    </row>
    <row r="58" spans="1:29" s="2771" customFormat="1" ht="18" customHeight="1" thickTop="1" x14ac:dyDescent="0.55000000000000004">
      <c r="A58" s="7112" t="s">
        <v>93</v>
      </c>
      <c r="B58" s="3530" t="s">
        <v>62</v>
      </c>
      <c r="C58" s="3530"/>
      <c r="D58" s="3531">
        <f ca="1">SUM(D59:D63)</f>
        <v>203867</v>
      </c>
      <c r="E58" s="3531">
        <f ca="1">SUM(E59:E63)</f>
        <v>235383</v>
      </c>
      <c r="F58" s="3532">
        <f ca="1">SUM(F59:F63)</f>
        <v>11930</v>
      </c>
      <c r="G58" s="3531">
        <f t="shared" ref="G58:P58" ca="1" si="7">SUM(G59:G63)</f>
        <v>25000</v>
      </c>
      <c r="H58" s="3531">
        <f t="shared" ca="1" si="7"/>
        <v>17145</v>
      </c>
      <c r="I58" s="3531">
        <f t="shared" ca="1" si="7"/>
        <v>22354</v>
      </c>
      <c r="J58" s="3531">
        <f t="shared" ca="1" si="7"/>
        <v>29195</v>
      </c>
      <c r="K58" s="3531">
        <f t="shared" ca="1" si="7"/>
        <v>18050</v>
      </c>
      <c r="L58" s="7571">
        <f t="shared" ref="L58:M58" ca="1" si="8">SUM(L59:L63)</f>
        <v>29155</v>
      </c>
      <c r="M58" s="3531">
        <f t="shared" ca="1" si="8"/>
        <v>19716</v>
      </c>
      <c r="N58" s="3531">
        <f t="shared" ref="N58" ca="1" si="9">SUM(N59:N63)</f>
        <v>12024</v>
      </c>
      <c r="O58" s="3533">
        <f ca="1">SUM(O59:O63)</f>
        <v>17000</v>
      </c>
      <c r="P58" s="3533">
        <f t="shared" ca="1" si="7"/>
        <v>-4976</v>
      </c>
      <c r="Q58" s="3534" cm="1">
        <f t="array" aca="1" ref="Q58" ca="1">INDIRECT("'※ 영기팀 작성_가입자'!"&amp;Q$1&amp;$AA58, TRUE)</f>
        <v>0.70729411764705885</v>
      </c>
      <c r="R58" s="3535">
        <f ca="1">SUM(R59:R63)</f>
        <v>-7692</v>
      </c>
      <c r="S58" s="3536">
        <f ca="1">SUM(S59:S63)</f>
        <v>-12976</v>
      </c>
      <c r="T58" s="3537">
        <f ca="1">SUM(T59:T63)</f>
        <v>31740</v>
      </c>
      <c r="U58" s="3536">
        <f ca="1">SUM(U59:U63)</f>
        <v>-5260</v>
      </c>
      <c r="V58" s="3534" cm="1">
        <f t="array" aca="1" ref="V58" ca="1">INDIRECT("'※ 영기팀 작성_가입자'!"&amp;V$1&amp;$AA58, TRUE)</f>
        <v>0.18497297297297297</v>
      </c>
      <c r="W58" s="3538">
        <f ca="1">SUM(W59:W63)</f>
        <v>-5190</v>
      </c>
      <c r="X58" s="3539">
        <f ca="1">SUM(X59:X63)</f>
        <v>15870</v>
      </c>
      <c r="Y58" s="3540">
        <f ca="1">SUM(Y59:Y63)</f>
        <v>2626.3333333333339</v>
      </c>
      <c r="Z58" s="2988">
        <v>7</v>
      </c>
      <c r="AA58" s="2984">
        <f>ROW('※ 영기팀 작성_가입자'!AI292)</f>
        <v>292</v>
      </c>
      <c r="AC58" s="3541"/>
    </row>
    <row r="59" spans="1:29" ht="18" customHeight="1" x14ac:dyDescent="0.55000000000000004">
      <c r="A59" s="7113"/>
      <c r="B59" s="3542" t="s">
        <v>76</v>
      </c>
      <c r="C59" s="3542"/>
      <c r="D59" s="3543" cm="1">
        <f t="array" aca="1" ref="D59" ca="1">INDIRECT("'※ 영기팀 작성_가입자'!"&amp;D$1&amp;$Z59, TRUE)</f>
        <v>33909</v>
      </c>
      <c r="E59" s="3543" cm="1">
        <f t="array" aca="1" ref="E59" ca="1">INDIRECT("'※ 영기팀 작성_가입자'!"&amp;E$1&amp;$Z59, TRUE)</f>
        <v>40823</v>
      </c>
      <c r="F59" s="3544" cm="1">
        <f t="array" aca="1" ref="F59" ca="1">INDIRECT("'※ 영기팀 작성_가입자'!"&amp;F$1&amp;$Z59, TRUE)</f>
        <v>2089</v>
      </c>
      <c r="G59" s="3543" cm="1">
        <f t="array" aca="1" ref="G59" ca="1">INDIRECT("'※ 영기팀 작성_가입자'!"&amp;G$1&amp;$Z59, TRUE)</f>
        <v>4165</v>
      </c>
      <c r="H59" s="3543" cm="1">
        <f t="array" aca="1" ref="H59" ca="1">INDIRECT("'※ 영기팀 작성_가입자'!"&amp;H$1&amp;$Z59, TRUE)</f>
        <v>2805</v>
      </c>
      <c r="I59" s="3543" cm="1">
        <f t="array" aca="1" ref="I59" ca="1">INDIRECT("'※ 영기팀 작성_가입자'!"&amp;I$1&amp;$Z59, TRUE)</f>
        <v>3989</v>
      </c>
      <c r="J59" s="3543" cm="1">
        <f t="array" aca="1" ref="J59" ca="1">INDIRECT("'※ 영기팀 작성_가입자'!"&amp;J$1&amp;$Z59, TRUE)</f>
        <v>5308</v>
      </c>
      <c r="K59" s="3543" cm="1">
        <f t="array" aca="1" ref="K59" ca="1">INDIRECT("'※ 영기팀 작성_가입자'!"&amp;K$1&amp;$Z59, TRUE)</f>
        <v>3176</v>
      </c>
      <c r="L59" s="7572" cm="1">
        <f t="array" aca="1" ref="L59" ca="1">INDIRECT("'※ 영기팀 작성_가입자'!"&amp;L$1&amp;$Z59, TRUE)</f>
        <v>5057</v>
      </c>
      <c r="M59" s="3543" cm="1">
        <f t="array" aca="1" ref="M59" ca="1">INDIRECT("'※ 영기팀 작성_가입자'!"&amp;M$1&amp;$Z59, TRUE)</f>
        <v>3448</v>
      </c>
      <c r="N59" s="3543" cm="1">
        <f t="array" aca="1" ref="N59" ca="1">INDIRECT("'※ 영기팀 작성_가입자'!"&amp;N$1&amp;$Z59, TRUE)</f>
        <v>2057</v>
      </c>
      <c r="O59" s="3545" cm="1">
        <f t="array" aca="1" ref="O59" ca="1">INDIRECT("'※ 영기팀 작성_가입자'!"&amp;O$1&amp;$AA59, TRUE)</f>
        <v>2908</v>
      </c>
      <c r="P59" s="3545" cm="1">
        <f t="array" aca="1" ref="P59" ca="1">INDIRECT("'※ 영기팀 작성_가입자'!"&amp;P$1&amp;$AA59, TRUE)</f>
        <v>-851</v>
      </c>
      <c r="Q59" s="3546" cm="1">
        <f t="array" aca="1" ref="Q59" ca="1">INDIRECT("'※ 영기팀 작성_가입자'!"&amp;Q$1&amp;$AA59, TRUE)</f>
        <v>0.70735900962861076</v>
      </c>
      <c r="R59" s="3547" cm="1">
        <f t="array" aca="1" ref="R59" ca="1">INDIRECT("'※ 영기팀 작성_가입자'!"&amp;R$1&amp;$Z59, TRUE)</f>
        <v>-1391</v>
      </c>
      <c r="S59" s="3548" cm="1">
        <f t="array" aca="1" ref="S59" ca="1">INDIRECT("'※ 영기팀 작성_가입자'!"&amp;S$1&amp;$Z59, TRUE)</f>
        <v>-2108</v>
      </c>
      <c r="T59" s="3549" cm="1">
        <f t="array" aca="1" ref="T59" ca="1">INDIRECT("'※ 영기팀 작성_가입자'!"&amp;T$1&amp;$Z59, TRUE)</f>
        <v>5505</v>
      </c>
      <c r="U59" s="3548" cm="1">
        <f t="array" aca="1" ref="U59" ca="1">INDIRECT("'※ 영기팀 작성_가입자'!"&amp;U$1&amp;$AA59, TRUE)</f>
        <v>-823</v>
      </c>
      <c r="V59" s="3546" cm="1">
        <f t="array" aca="1" ref="V59" ca="1">INDIRECT("'※ 영기팀 작성_가입자'!"&amp;V$1&amp;$AA59, TRUE)</f>
        <v>1.0088495575221239</v>
      </c>
      <c r="W59" s="3548" cm="1">
        <f t="array" aca="1" ref="W59" ca="1">INDIRECT("'※ 영기팀 작성_가입자'!"&amp;W$2&amp;$Z59, TRUE)</f>
        <v>-749</v>
      </c>
      <c r="X59" s="3550" cm="1">
        <f t="array" aca="1" ref="X59" ca="1">INDIRECT("'※ 영기팀 작성_가입자'!"&amp;X$1&amp;$Z59, TRUE)</f>
        <v>2752.5</v>
      </c>
      <c r="Y59" s="3551" cm="1">
        <f t="array" aca="1" ref="Y59" ca="1">INDIRECT("'※ 영기팀 작성_가입자'!"&amp;Y$1&amp;$Z59, TRUE)</f>
        <v>576.16666666666652</v>
      </c>
      <c r="Z59" s="2988">
        <f>ROW('※ 영기팀 작성_가입자'!AH19)</f>
        <v>19</v>
      </c>
      <c r="AA59" s="2984">
        <f>ROW('※ 영기팀 작성_가입자'!AI298)</f>
        <v>298</v>
      </c>
      <c r="AC59" s="905"/>
    </row>
    <row r="60" spans="1:29" ht="18" customHeight="1" x14ac:dyDescent="0.55000000000000004">
      <c r="A60" s="7113"/>
      <c r="B60" s="3542" t="s">
        <v>77</v>
      </c>
      <c r="C60" s="3542"/>
      <c r="D60" s="3543" cm="1">
        <f t="array" aca="1" ref="D60" ca="1">INDIRECT("'※ 영기팀 작성_가입자'!"&amp;D$1&amp;$Z60, TRUE)</f>
        <v>33883</v>
      </c>
      <c r="E60" s="3543" cm="1">
        <f t="array" aca="1" ref="E60" ca="1">INDIRECT("'※ 영기팀 작성_가입자'!"&amp;E$1&amp;$Z60, TRUE)</f>
        <v>41766</v>
      </c>
      <c r="F60" s="3544" cm="1">
        <f t="array" aca="1" ref="F60" ca="1">INDIRECT("'※ 영기팀 작성_가입자'!"&amp;F$1&amp;$Z60, TRUE)</f>
        <v>2105</v>
      </c>
      <c r="G60" s="3543" cm="1">
        <f t="array" aca="1" ref="G60" ca="1">INDIRECT("'※ 영기팀 작성_가입자'!"&amp;G$1&amp;$Z60, TRUE)</f>
        <v>4146</v>
      </c>
      <c r="H60" s="3543" cm="1">
        <f t="array" aca="1" ref="H60" ca="1">INDIRECT("'※ 영기팀 작성_가입자'!"&amp;H$1&amp;$Z60, TRUE)</f>
        <v>2905</v>
      </c>
      <c r="I60" s="3543" cm="1">
        <f t="array" aca="1" ref="I60" ca="1">INDIRECT("'※ 영기팀 작성_가입자'!"&amp;I$1&amp;$Z60, TRUE)</f>
        <v>4278</v>
      </c>
      <c r="J60" s="3543" cm="1">
        <f t="array" aca="1" ref="J60" ca="1">INDIRECT("'※ 영기팀 작성_가입자'!"&amp;J$1&amp;$Z60, TRUE)</f>
        <v>5653</v>
      </c>
      <c r="K60" s="3543" cm="1">
        <f t="array" aca="1" ref="K60" ca="1">INDIRECT("'※ 영기팀 작성_가입자'!"&amp;K$1&amp;$Z60, TRUE)</f>
        <v>3230</v>
      </c>
      <c r="L60" s="7572" cm="1">
        <f t="array" aca="1" ref="L60" ca="1">INDIRECT("'※ 영기팀 작성_가입자'!"&amp;L$1&amp;$Z60, TRUE)</f>
        <v>4995</v>
      </c>
      <c r="M60" s="3543" cm="1">
        <f t="array" aca="1" ref="M60" ca="1">INDIRECT("'※ 영기팀 작성_가입자'!"&amp;M$1&amp;$Z60, TRUE)</f>
        <v>3397</v>
      </c>
      <c r="N60" s="3543" cm="1">
        <f t="array" aca="1" ref="N60" ca="1">INDIRECT("'※ 영기팀 작성_가입자'!"&amp;N$1&amp;$Z60, TRUE)</f>
        <v>2095</v>
      </c>
      <c r="O60" s="3545" cm="1">
        <f t="array" aca="1" ref="O60" ca="1">INDIRECT("'※ 영기팀 작성_가입자'!"&amp;O$1&amp;$AA60, TRUE)</f>
        <v>2944</v>
      </c>
      <c r="P60" s="3545" cm="1">
        <f t="array" aca="1" ref="P60" ca="1">INDIRECT("'※ 영기팀 작성_가입자'!"&amp;P$1&amp;$AA60, TRUE)</f>
        <v>-849</v>
      </c>
      <c r="Q60" s="3546" cm="1">
        <f t="array" aca="1" ref="Q60" ca="1">INDIRECT("'※ 영기팀 작성_가입자'!"&amp;Q$1&amp;$AA60, TRUE)</f>
        <v>0.71161684782608692</v>
      </c>
      <c r="R60" s="3547" cm="1">
        <f t="array" aca="1" ref="R60" ca="1">INDIRECT("'※ 영기팀 작성_가입자'!"&amp;R$1&amp;$Z60, TRUE)</f>
        <v>-1302</v>
      </c>
      <c r="S60" s="3548" cm="1">
        <f t="array" aca="1" ref="S60" ca="1">INDIRECT("'※ 영기팀 작성_가입자'!"&amp;S$1&amp;$Z60, TRUE)</f>
        <v>-2051</v>
      </c>
      <c r="T60" s="3549" cm="1">
        <f t="array" aca="1" ref="T60" ca="1">INDIRECT("'※ 영기팀 작성_가입자'!"&amp;T$1&amp;$Z60, TRUE)</f>
        <v>5492</v>
      </c>
      <c r="U60" s="3548" cm="1">
        <f t="array" aca="1" ref="U60" ca="1">INDIRECT("'※ 영기팀 작성_가입자'!"&amp;U$1&amp;$AA60, TRUE)</f>
        <v>-916</v>
      </c>
      <c r="V60" s="3546" cm="1">
        <f t="array" aca="1" ref="V60" ca="1">INDIRECT("'※ 영기팀 작성_가입자'!"&amp;V$1&amp;$AA60, TRUE)</f>
        <v>0.42540574282147314</v>
      </c>
      <c r="W60" s="3548" cm="1">
        <f t="array" aca="1" ref="W60" ca="1">INDIRECT("'※ 영기팀 작성_가입자'!"&amp;W$2&amp;$Z60, TRUE)</f>
        <v>-759</v>
      </c>
      <c r="X60" s="3550" cm="1">
        <f t="array" aca="1" ref="X60" ca="1">INDIRECT("'※ 영기팀 작성_가입자'!"&amp;X$1&amp;$Z60, TRUE)</f>
        <v>2746</v>
      </c>
      <c r="Y60" s="3551" cm="1">
        <f t="array" aca="1" ref="Y60" ca="1">INDIRECT("'※ 영기팀 작성_가입자'!"&amp;Y$1&amp;$Z60, TRUE)</f>
        <v>656.91666666666652</v>
      </c>
      <c r="Z60" s="2988">
        <f>ROW('※ 영기팀 작성_가입자'!AH20)</f>
        <v>20</v>
      </c>
      <c r="AA60" s="2984">
        <f>ROW('※ 영기팀 작성_가입자'!AI299)</f>
        <v>299</v>
      </c>
    </row>
    <row r="61" spans="1:29" ht="18" customHeight="1" x14ac:dyDescent="0.55000000000000004">
      <c r="A61" s="7113"/>
      <c r="B61" s="3542" t="s">
        <v>78</v>
      </c>
      <c r="C61" s="3542"/>
      <c r="D61" s="3543" cm="1">
        <f t="array" aca="1" ref="D61" ca="1">INDIRECT("'※ 영기팀 작성_가입자'!"&amp;D$1&amp;$Z61, TRUE)</f>
        <v>44920</v>
      </c>
      <c r="E61" s="3543" cm="1">
        <f t="array" aca="1" ref="E61" ca="1">INDIRECT("'※ 영기팀 작성_가입자'!"&amp;E$1&amp;$Z61, TRUE)</f>
        <v>51410</v>
      </c>
      <c r="F61" s="3544" cm="1">
        <f t="array" aca="1" ref="F61" ca="1">INDIRECT("'※ 영기팀 작성_가입자'!"&amp;F$1&amp;$Z61, TRUE)</f>
        <v>2733</v>
      </c>
      <c r="G61" s="3543" cm="1">
        <f t="array" aca="1" ref="G61" ca="1">INDIRECT("'※ 영기팀 작성_가입자'!"&amp;G$1&amp;$Z61, TRUE)</f>
        <v>5529</v>
      </c>
      <c r="H61" s="3543" cm="1">
        <f t="array" aca="1" ref="H61" ca="1">INDIRECT("'※ 영기팀 작성_가입자'!"&amp;H$1&amp;$Z61, TRUE)</f>
        <v>3698</v>
      </c>
      <c r="I61" s="3543" cm="1">
        <f t="array" aca="1" ref="I61" ca="1">INDIRECT("'※ 영기팀 작성_가입자'!"&amp;I$1&amp;$Z61, TRUE)</f>
        <v>4718</v>
      </c>
      <c r="J61" s="3543" cm="1">
        <f t="array" aca="1" ref="J61" ca="1">INDIRECT("'※ 영기팀 작성_가입자'!"&amp;J$1&amp;$Z61, TRUE)</f>
        <v>6330</v>
      </c>
      <c r="K61" s="3543" cm="1">
        <f t="array" aca="1" ref="K61" ca="1">INDIRECT("'※ 영기팀 작성_가입자'!"&amp;K$1&amp;$Z61, TRUE)</f>
        <v>4130</v>
      </c>
      <c r="L61" s="7572" cm="1">
        <f t="array" aca="1" ref="L61" ca="1">INDIRECT("'※ 영기팀 작성_가입자'!"&amp;L$1&amp;$Z61, TRUE)</f>
        <v>6251</v>
      </c>
      <c r="M61" s="3543" cm="1">
        <f t="array" aca="1" ref="M61" ca="1">INDIRECT("'※ 영기팀 작성_가입자'!"&amp;M$1&amp;$Z61, TRUE)</f>
        <v>4176</v>
      </c>
      <c r="N61" s="3543" cm="1">
        <f t="array" aca="1" ref="N61" ca="1">INDIRECT("'※ 영기팀 작성_가입자'!"&amp;N$1&amp;$Z61, TRUE)</f>
        <v>2593.9999999999995</v>
      </c>
      <c r="O61" s="3545" cm="1">
        <f t="array" aca="1" ref="O61" ca="1">INDIRECT("'※ 영기팀 작성_가입자'!"&amp;O$1&amp;$AA61, TRUE)</f>
        <v>3718</v>
      </c>
      <c r="P61" s="3545" cm="1">
        <f t="array" aca="1" ref="P61" ca="1">INDIRECT("'※ 영기팀 작성_가입자'!"&amp;P$1&amp;$AA61, TRUE)</f>
        <v>-1124.0000000000005</v>
      </c>
      <c r="Q61" s="3546" cm="1">
        <f t="array" aca="1" ref="Q61" ca="1">INDIRECT("'※ 영기팀 작성_가입자'!"&amp;Q$1&amp;$AA61, TRUE)</f>
        <v>0.69768692845615909</v>
      </c>
      <c r="R61" s="3547" cm="1">
        <f t="array" aca="1" ref="R61" ca="1">INDIRECT("'※ 영기팀 작성_가입자'!"&amp;R$1&amp;$Z61, TRUE)</f>
        <v>-1582.0000000000005</v>
      </c>
      <c r="S61" s="3548" cm="1">
        <f t="array" aca="1" ref="S61" ca="1">INDIRECT("'※ 영기팀 작성_가입자'!"&amp;S$1&amp;$Z61, TRUE)</f>
        <v>-2935.0000000000005</v>
      </c>
      <c r="T61" s="3549" cm="1">
        <f t="array" aca="1" ref="T61" ca="1">INDIRECT("'※ 영기팀 작성_가입자'!"&amp;T$1&amp;$Z61, TRUE)</f>
        <v>6770</v>
      </c>
      <c r="U61" s="3548" cm="1">
        <f t="array" aca="1" ref="U61" ca="1">INDIRECT("'※ 영기팀 작성_가입자'!"&amp;U$1&amp;$AA61, TRUE)</f>
        <v>-1322</v>
      </c>
      <c r="V61" s="3546" cm="1">
        <f t="array" aca="1" ref="V61" ca="1">INDIRECT("'※ 영기팀 작성_가입자'!"&amp;V$1&amp;$AA61, TRUE)</f>
        <v>0.34342560553633217</v>
      </c>
      <c r="W61" s="3548" cm="1">
        <f t="array" aca="1" ref="W61" ca="1">INDIRECT("'※ 영기팀 작성_가입자'!"&amp;W$2&amp;$Z61, TRUE)</f>
        <v>-1492</v>
      </c>
      <c r="X61" s="3550" cm="1">
        <f t="array" aca="1" ref="X61" ca="1">INDIRECT("'※ 영기팀 작성_가입자'!"&amp;X$1&amp;$Z61, TRUE)</f>
        <v>3385</v>
      </c>
      <c r="Y61" s="3551" cm="1">
        <f t="array" aca="1" ref="Y61" ca="1">INDIRECT("'※ 영기팀 작성_가입자'!"&amp;Y$1&amp;$Z61, TRUE)</f>
        <v>540.83333333333348</v>
      </c>
      <c r="Z61" s="2988">
        <f>ROW('※ 영기팀 작성_가입자'!AH21)</f>
        <v>21</v>
      </c>
      <c r="AA61" s="2984">
        <f>ROW('※ 영기팀 작성_가입자'!AI300)</f>
        <v>300</v>
      </c>
    </row>
    <row r="62" spans="1:29" ht="18" customHeight="1" x14ac:dyDescent="0.55000000000000004">
      <c r="A62" s="7113"/>
      <c r="B62" s="3542" t="s">
        <v>406</v>
      </c>
      <c r="C62" s="3552"/>
      <c r="D62" s="3543" cm="1">
        <f t="array" aca="1" ref="D62" ca="1">INDIRECT("'※ 영기팀 작성_가입자'!"&amp;D$1&amp;$Z62, TRUE)</f>
        <v>51040</v>
      </c>
      <c r="E62" s="3543" cm="1">
        <f t="array" aca="1" ref="E62" ca="1">INDIRECT("'※ 영기팀 작성_가입자'!"&amp;E$1&amp;$Z62, TRUE)</f>
        <v>57041</v>
      </c>
      <c r="F62" s="3544" cm="1">
        <f t="array" aca="1" ref="F62" ca="1">INDIRECT("'※ 영기팀 작성_가입자'!"&amp;F$1&amp;$Z62, TRUE)</f>
        <v>2642</v>
      </c>
      <c r="G62" s="3543" cm="1">
        <f t="array" aca="1" ref="G62" ca="1">INDIRECT("'※ 영기팀 작성_가입자'!"&amp;G$1&amp;$Z62, TRUE)</f>
        <v>6334</v>
      </c>
      <c r="H62" s="3543" cm="1">
        <f t="array" aca="1" ref="H62" ca="1">INDIRECT("'※ 영기팀 작성_가입자'!"&amp;H$1&amp;$Z62, TRUE)</f>
        <v>4349</v>
      </c>
      <c r="I62" s="3543" cm="1">
        <f t="array" aca="1" ref="I62" ca="1">INDIRECT("'※ 영기팀 작성_가입자'!"&amp;I$1&amp;$Z62, TRUE)</f>
        <v>5391</v>
      </c>
      <c r="J62" s="3543" cm="1">
        <f t="array" aca="1" ref="J62" ca="1">INDIRECT("'※ 영기팀 작성_가입자'!"&amp;J$1&amp;$Z62, TRUE)</f>
        <v>6581</v>
      </c>
      <c r="K62" s="3543" cm="1">
        <f t="array" aca="1" ref="K62" ca="1">INDIRECT("'※ 영기팀 작성_가입자'!"&amp;K$1&amp;$Z62, TRUE)</f>
        <v>4348</v>
      </c>
      <c r="L62" s="7572" cm="1">
        <f t="array" aca="1" ref="L62" ca="1">INDIRECT("'※ 영기팀 작성_가입자'!"&amp;L$1&amp;$Z62, TRUE)</f>
        <v>7327</v>
      </c>
      <c r="M62" s="3543" cm="1">
        <f t="array" aca="1" ref="M62" ca="1">INDIRECT("'※ 영기팀 작성_가입자'!"&amp;M$1&amp;$Z62, TRUE)</f>
        <v>4756</v>
      </c>
      <c r="N62" s="3543" cm="1">
        <f t="array" aca="1" ref="N62" ca="1">INDIRECT("'※ 영기팀 작성_가입자'!"&amp;N$1&amp;$Z62, TRUE)</f>
        <v>2833</v>
      </c>
      <c r="O62" s="3545" cm="1">
        <f t="array" aca="1" ref="O62" ca="1">INDIRECT("'※ 영기팀 작성_가입자'!"&amp;O$1&amp;$AA62, TRUE)</f>
        <v>4167</v>
      </c>
      <c r="P62" s="3545" cm="1">
        <f t="array" aca="1" ref="P62" ca="1">INDIRECT("'※ 영기팀 작성_가입자'!"&amp;P$1&amp;$AA62, TRUE)</f>
        <v>-1334</v>
      </c>
      <c r="Q62" s="3546" cm="1">
        <f t="array" aca="1" ref="Q62" ca="1">INDIRECT("'※ 영기팀 작성_가입자'!"&amp;Q$1&amp;$AA62, TRUE)</f>
        <v>0.67986561075113994</v>
      </c>
      <c r="R62" s="3547" cm="1">
        <f t="array" aca="1" ref="R62" ca="1">INDIRECT("'※ 영기팀 작성_가입자'!"&amp;R$1&amp;$Z62, TRUE)</f>
        <v>-1923</v>
      </c>
      <c r="S62" s="3548" cm="1">
        <f t="array" aca="1" ref="S62" ca="1">INDIRECT("'※ 영기팀 작성_가입자'!"&amp;S$1&amp;$Z62, TRUE)</f>
        <v>-3501</v>
      </c>
      <c r="T62" s="3549" cm="1">
        <f t="array" aca="1" ref="T62" ca="1">INDIRECT("'※ 영기팀 작성_가입자'!"&amp;T$1&amp;$Z62, TRUE)</f>
        <v>7589</v>
      </c>
      <c r="U62" s="3548" cm="1">
        <f t="array" aca="1" ref="U62" ca="1">INDIRECT("'※ 영기팀 작성_가입자'!"&amp;U$1&amp;$AA62, TRUE)</f>
        <v>-1481</v>
      </c>
      <c r="V62" s="3546" cm="1">
        <f t="array" aca="1" ref="V62" ca="1">INDIRECT("'※ 영기팀 작성_가입자'!"&amp;V$1&amp;$AA62, TRUE)</f>
        <v>0.26615214994487318</v>
      </c>
      <c r="W62" s="3548" cm="1">
        <f t="array" aca="1" ref="W62" ca="1">INDIRECT("'※ 영기팀 작성_가입자'!"&amp;W$2&amp;$Z62, TRUE)</f>
        <v>-1387</v>
      </c>
      <c r="X62" s="3550" cm="1">
        <f t="array" aca="1" ref="X62" ca="1">INDIRECT("'※ 영기팀 작성_가입자'!"&amp;X$1&amp;$Z62, TRUE)</f>
        <v>3794.5</v>
      </c>
      <c r="Y62" s="3551" cm="1">
        <f t="array" aca="1" ref="Y62" ca="1">INDIRECT("'※ 영기팀 작성_가입자'!"&amp;Y$1&amp;$Z62, TRUE)</f>
        <v>500.08333333333394</v>
      </c>
      <c r="Z62" s="2988">
        <f>ROW('※ 영기팀 작성_가입자'!AH22)</f>
        <v>22</v>
      </c>
      <c r="AA62" s="2984">
        <f>ROW('※ 영기팀 작성_가입자'!AI301)</f>
        <v>301</v>
      </c>
    </row>
    <row r="63" spans="1:29" ht="18" customHeight="1" x14ac:dyDescent="0.55000000000000004">
      <c r="A63" s="7113"/>
      <c r="B63" s="3554" t="s">
        <v>79</v>
      </c>
      <c r="C63" s="3555"/>
      <c r="D63" s="3556" cm="1">
        <f t="array" aca="1" ref="D63" ca="1">INDIRECT("'※ 영기팀 작성_가입자'!"&amp;D$1&amp;$Z63, TRUE)</f>
        <v>40115</v>
      </c>
      <c r="E63" s="3556" cm="1">
        <f t="array" aca="1" ref="E63" ca="1">INDIRECT("'※ 영기팀 작성_가입자'!"&amp;E$1&amp;$Z63, TRUE)</f>
        <v>44343</v>
      </c>
      <c r="F63" s="3557" cm="1">
        <f t="array" aca="1" ref="F63" ca="1">INDIRECT("'※ 영기팀 작성_가입자'!"&amp;F$1&amp;$Z63, TRUE)</f>
        <v>2361</v>
      </c>
      <c r="G63" s="3556" cm="1">
        <f t="array" aca="1" ref="G63" ca="1">INDIRECT("'※ 영기팀 작성_가입자'!"&amp;G$1&amp;$Z63, TRUE)</f>
        <v>4826</v>
      </c>
      <c r="H63" s="3556" cm="1">
        <f t="array" aca="1" ref="H63" ca="1">INDIRECT("'※ 영기팀 작성_가입자'!"&amp;H$1&amp;$Z63, TRUE)</f>
        <v>3388</v>
      </c>
      <c r="I63" s="3556" cm="1">
        <f t="array" aca="1" ref="I63" ca="1">INDIRECT("'※ 영기팀 작성_가입자'!"&amp;I$1&amp;$Z63, TRUE)</f>
        <v>3978</v>
      </c>
      <c r="J63" s="3556" cm="1">
        <f t="array" aca="1" ref="J63" ca="1">INDIRECT("'※ 영기팀 작성_가입자'!"&amp;J$1&amp;$Z63, TRUE)</f>
        <v>5323</v>
      </c>
      <c r="K63" s="3556" cm="1">
        <f t="array" aca="1" ref="K63" ca="1">INDIRECT("'※ 영기팀 작성_가입자'!"&amp;K$1&amp;$Z63, TRUE)</f>
        <v>3166</v>
      </c>
      <c r="L63" s="7573" cm="1">
        <f t="array" aca="1" ref="L63" ca="1">INDIRECT("'※ 영기팀 작성_가입자'!"&amp;L$1&amp;$Z63, TRUE)</f>
        <v>5525</v>
      </c>
      <c r="M63" s="3556" cm="1">
        <f t="array" aca="1" ref="M63" ca="1">INDIRECT("'※ 영기팀 작성_가입자'!"&amp;M$1&amp;$Z63, TRUE)</f>
        <v>3939</v>
      </c>
      <c r="N63" s="3556" cm="1">
        <f t="array" aca="1" ref="N63" ca="1">INDIRECT("'※ 영기팀 작성_가입자'!"&amp;N$1&amp;$Z63, TRUE)</f>
        <v>2445</v>
      </c>
      <c r="O63" s="3558" cm="1">
        <f t="array" aca="1" ref="O63" ca="1">INDIRECT("'※ 영기팀 작성_가입자'!"&amp;O$1&amp;$AA63, TRUE)</f>
        <v>3263</v>
      </c>
      <c r="P63" s="3558" cm="1">
        <f t="array" aca="1" ref="P63" ca="1">INDIRECT("'※ 영기팀 작성_가입자'!"&amp;P$1&amp;$AA63, TRUE)</f>
        <v>-818</v>
      </c>
      <c r="Q63" s="3559" cm="1">
        <f t="array" aca="1" ref="Q63" ca="1">INDIRECT("'※ 영기팀 작성_가입자'!"&amp;Q$1&amp;$AA63, TRUE)</f>
        <v>0.74931045050566958</v>
      </c>
      <c r="R63" s="3560" cm="1">
        <f t="array" aca="1" ref="R63" ca="1">INDIRECT("'※ 영기팀 작성_가입자'!"&amp;R$1&amp;$Z63, TRUE)</f>
        <v>-1494</v>
      </c>
      <c r="S63" s="3561" cm="1">
        <f t="array" aca="1" ref="S63" ca="1">INDIRECT("'※ 영기팀 작성_가입자'!"&amp;S$1&amp;$Z63, TRUE)</f>
        <v>-2381</v>
      </c>
      <c r="T63" s="3562" cm="1">
        <f t="array" aca="1" ref="T63" ca="1">INDIRECT("'※ 영기팀 작성_가입자'!"&amp;T$1&amp;$Z63, TRUE)</f>
        <v>6384</v>
      </c>
      <c r="U63" s="3561" cm="1">
        <f t="array" aca="1" ref="U63" ca="1">INDIRECT("'※ 영기팀 작성_가입자'!"&amp;U$1&amp;$AA63, TRUE)</f>
        <v>-718</v>
      </c>
      <c r="V63" s="3559" cm="1">
        <f t="array" aca="1" ref="V63" ca="1">INDIRECT("'※ 영기팀 작성_가입자'!"&amp;V$1&amp;$AA63, TRUE)</f>
        <v>0.43339904252323291</v>
      </c>
      <c r="W63" s="3561" cm="1">
        <f t="array" aca="1" ref="W63" ca="1">INDIRECT("'※ 영기팀 작성_가입자'!"&amp;W$2&amp;$Z63, TRUE)</f>
        <v>-803</v>
      </c>
      <c r="X63" s="3563" cm="1">
        <f t="array" aca="1" ref="X63" ca="1">INDIRECT("'※ 영기팀 작성_가입자'!"&amp;X$1&amp;$Z63, TRUE)</f>
        <v>3192</v>
      </c>
      <c r="Y63" s="3564" cm="1">
        <f t="array" aca="1" ref="Y63" ca="1">INDIRECT("'※ 영기팀 작성_가입자'!"&amp;Y$1&amp;$Z63, TRUE)</f>
        <v>352.33333333333348</v>
      </c>
      <c r="Z63" s="2988">
        <f>ROW('※ 영기팀 작성_가입자'!AH23)</f>
        <v>23</v>
      </c>
      <c r="AA63" s="2984">
        <f>ROW('※ 영기팀 작성_가입자'!AI302)</f>
        <v>302</v>
      </c>
    </row>
    <row r="64" spans="1:29" ht="18" customHeight="1" x14ac:dyDescent="0.55000000000000004">
      <c r="A64" s="7113"/>
      <c r="B64" s="673" t="s">
        <v>67</v>
      </c>
      <c r="C64" s="681"/>
      <c r="D64" s="2922" cm="1">
        <f t="array" aca="1" ref="D64" ca="1">INDIRECT("'※ 영기팀 작성_가입자'!"&amp;D$1&amp;$Z64, TRUE)</f>
        <v>16544</v>
      </c>
      <c r="E64" s="2922" cm="1">
        <f t="array" aca="1" ref="E64" ca="1">INDIRECT("'※ 영기팀 작성_가입자'!"&amp;E$1&amp;$Z64, TRUE)</f>
        <v>20387</v>
      </c>
      <c r="F64" s="3503" cm="1">
        <f t="array" aca="1" ref="F64" ca="1">INDIRECT("'※ 영기팀 작성_가입자'!"&amp;F$1&amp;$Z64, TRUE)</f>
        <v>1028</v>
      </c>
      <c r="G64" s="2922" cm="1">
        <f t="array" aca="1" ref="G64" ca="1">INDIRECT("'※ 영기팀 작성_가입자'!"&amp;G$1&amp;$Z64, TRUE)</f>
        <v>1990</v>
      </c>
      <c r="H64" s="2922" cm="1">
        <f t="array" aca="1" ref="H64" ca="1">INDIRECT("'※ 영기팀 작성_가입자'!"&amp;H$1&amp;$Z64, TRUE)</f>
        <v>1362</v>
      </c>
      <c r="I64" s="2922" cm="1">
        <f t="array" aca="1" ref="I64" ca="1">INDIRECT("'※ 영기팀 작성_가입자'!"&amp;I$1&amp;$Z64, TRUE)</f>
        <v>2089</v>
      </c>
      <c r="J64" s="2922" cm="1">
        <f t="array" aca="1" ref="J64" ca="1">INDIRECT("'※ 영기팀 작성_가입자'!"&amp;J$1&amp;$Z64, TRUE)</f>
        <v>2723</v>
      </c>
      <c r="K64" s="2922" cm="1">
        <f t="array" aca="1" ref="K64" ca="1">INDIRECT("'※ 영기팀 작성_가입자'!"&amp;K$1&amp;$Z64, TRUE)</f>
        <v>1650</v>
      </c>
      <c r="L64" s="7567" cm="1">
        <f t="array" aca="1" ref="L64" ca="1">INDIRECT("'※ 영기팀 작성_가입자'!"&amp;L$1&amp;$Z64, TRUE)</f>
        <v>2507</v>
      </c>
      <c r="M64" s="2922" cm="1">
        <f t="array" aca="1" ref="M64" ca="1">INDIRECT("'※ 영기팀 작성_가입자'!"&amp;M$1&amp;$Z64, TRUE)</f>
        <v>1727</v>
      </c>
      <c r="N64" s="2922" cm="1">
        <f t="array" aca="1" ref="N64" ca="1">INDIRECT("'※ 영기팀 작성_가입자'!"&amp;N$1&amp;$Z64, TRUE)</f>
        <v>999</v>
      </c>
      <c r="O64" s="3505" cm="1">
        <f t="array" aca="1" ref="O64" ca="1">INDIRECT("'※ 영기팀 작성_가입자'!"&amp;O$1&amp;$AA64, TRUE)</f>
        <v>1445</v>
      </c>
      <c r="P64" s="3505" cm="1">
        <f t="array" aca="1" ref="P64" ca="1">INDIRECT("'※ 영기팀 작성_가입자'!"&amp;P$1&amp;$AA64, TRUE)</f>
        <v>-446</v>
      </c>
      <c r="Q64" s="3565" cm="1">
        <f t="array" aca="1" ref="Q64" ca="1">INDIRECT("'※ 영기팀 작성_가입자'!"&amp;Q$1&amp;$AA64, TRUE)</f>
        <v>0.69134948096885818</v>
      </c>
      <c r="R64" s="3566" cm="1">
        <f t="array" aca="1" ref="R64" ca="1">INDIRECT("'※ 영기팀 작성_가입자'!"&amp;R$1&amp;$Z64, TRUE)</f>
        <v>-728</v>
      </c>
      <c r="S64" s="3567" cm="1">
        <f t="array" aca="1" ref="S64" ca="1">INDIRECT("'※ 영기팀 작성_가입자'!"&amp;S$1&amp;$Z64, TRUE)</f>
        <v>-991</v>
      </c>
      <c r="T64" s="3506" cm="1">
        <f t="array" aca="1" ref="T64" ca="1">INDIRECT("'※ 영기팀 작성_가입자'!"&amp;T$1&amp;$Z64, TRUE)</f>
        <v>2726</v>
      </c>
      <c r="U64" s="3567" cm="1">
        <f t="array" aca="1" ref="U64" ca="1">INDIRECT("'※ 영기팀 작성_가입자'!"&amp;U$1&amp;$AA64, TRUE)</f>
        <v>-418</v>
      </c>
      <c r="V64" s="3565" cm="1">
        <f t="array" aca="1" ref="V64" ca="1">INDIRECT("'※ 영기팀 작성_가입자'!"&amp;V$1&amp;$AA64, TRUE)</f>
        <v>1.309796437659033</v>
      </c>
      <c r="W64" s="3568" cm="1">
        <f t="array" aca="1" ref="W64" ca="1">INDIRECT("'※ 영기팀 작성_가입자'!"&amp;W$2&amp;$Z64, TRUE)</f>
        <v>-292</v>
      </c>
      <c r="X64" s="3469" cm="1">
        <f t="array" aca="1" ref="X64" ca="1">INDIRECT("'※ 영기팀 작성_가입자'!"&amp;X$1&amp;$Z64, TRUE)</f>
        <v>1363</v>
      </c>
      <c r="Y64" s="3569" cm="1">
        <f t="array" aca="1" ref="Y64" ca="1">INDIRECT("'※ 영기팀 작성_가입자'!"&amp;Y$1&amp;$Z64, TRUE)</f>
        <v>320.25</v>
      </c>
      <c r="Z64" s="2988">
        <f>ROW('※ 영기팀 작성_가입자'!AH24)</f>
        <v>24</v>
      </c>
      <c r="AA64" s="2984">
        <f>ROW('※ 영기팀 작성_가입자'!AI303)</f>
        <v>303</v>
      </c>
    </row>
    <row r="65" spans="1:31" ht="18" customHeight="1" x14ac:dyDescent="0.55000000000000004">
      <c r="A65" s="7113"/>
      <c r="B65" s="681" t="s">
        <v>70</v>
      </c>
      <c r="C65" s="681"/>
      <c r="D65" s="2922" cm="1">
        <f t="array" aca="1" ref="D65" ca="1">INDIRECT("'※ 영기팀 작성_가입자'!"&amp;D$1&amp;$Z65, TRUE)</f>
        <v>17365</v>
      </c>
      <c r="E65" s="2922" cm="1">
        <f t="array" aca="1" ref="E65" ca="1">INDIRECT("'※ 영기팀 작성_가입자'!"&amp;E$1&amp;$Z65, TRUE)</f>
        <v>20436</v>
      </c>
      <c r="F65" s="3503" cm="1">
        <f t="array" aca="1" ref="F65" ca="1">INDIRECT("'※ 영기팀 작성_가입자'!"&amp;F$1&amp;$Z65, TRUE)</f>
        <v>1061</v>
      </c>
      <c r="G65" s="2922" cm="1">
        <f t="array" aca="1" ref="G65" ca="1">INDIRECT("'※ 영기팀 작성_가입자'!"&amp;G$1&amp;$Z65, TRUE)</f>
        <v>2175</v>
      </c>
      <c r="H65" s="2922" cm="1">
        <f t="array" aca="1" ref="H65" ca="1">INDIRECT("'※ 영기팀 작성_가입자'!"&amp;H$1&amp;$Z65, TRUE)</f>
        <v>1443</v>
      </c>
      <c r="I65" s="2922" cm="1">
        <f t="array" aca="1" ref="I65" ca="1">INDIRECT("'※ 영기팀 작성_가입자'!"&amp;I$1&amp;$Z65, TRUE)</f>
        <v>1900</v>
      </c>
      <c r="J65" s="2922" cm="1">
        <f t="array" aca="1" ref="J65" ca="1">INDIRECT("'※ 영기팀 작성_가입자'!"&amp;J$1&amp;$Z65, TRUE)</f>
        <v>2585</v>
      </c>
      <c r="K65" s="2922" cm="1">
        <f t="array" aca="1" ref="K65" ca="1">INDIRECT("'※ 영기팀 작성_가입자'!"&amp;K$1&amp;$Z65, TRUE)</f>
        <v>1526</v>
      </c>
      <c r="L65" s="7567" cm="1">
        <f t="array" aca="1" ref="L65" ca="1">INDIRECT("'※ 영기팀 작성_가입자'!"&amp;L$1&amp;$Z65, TRUE)</f>
        <v>2550</v>
      </c>
      <c r="M65" s="2922" cm="1">
        <f t="array" aca="1" ref="M65" ca="1">INDIRECT("'※ 영기팀 작성_가입자'!"&amp;M$1&amp;$Z65, TRUE)</f>
        <v>1721</v>
      </c>
      <c r="N65" s="2922" cm="1">
        <f t="array" aca="1" ref="N65" ca="1">INDIRECT("'※ 영기팀 작성_가입자'!"&amp;N$1&amp;$Z65, TRUE)</f>
        <v>1058</v>
      </c>
      <c r="O65" s="3505" cm="1">
        <f t="array" aca="1" ref="O65" ca="1">INDIRECT("'※ 영기팀 작성_가입자'!"&amp;O$1&amp;$AA65, TRUE)</f>
        <v>1463</v>
      </c>
      <c r="P65" s="3505" cm="1">
        <f t="array" aca="1" ref="P65" ca="1">INDIRECT("'※ 영기팀 작성_가입자'!"&amp;P$1&amp;$AA65, TRUE)</f>
        <v>-405</v>
      </c>
      <c r="Q65" s="3565" cm="1">
        <f t="array" aca="1" ref="Q65" ca="1">INDIRECT("'※ 영기팀 작성_가입자'!"&amp;Q$1&amp;$AA65, TRUE)</f>
        <v>0.72317156527682847</v>
      </c>
      <c r="R65" s="3566" cm="1">
        <f t="array" aca="1" ref="R65" ca="1">INDIRECT("'※ 영기팀 작성_가입자'!"&amp;R$1&amp;$Z65, TRUE)</f>
        <v>-663</v>
      </c>
      <c r="S65" s="3567" cm="1">
        <f t="array" aca="1" ref="S65" ca="1">INDIRECT("'※ 영기팀 작성_가입자'!"&amp;S$1&amp;$Z65, TRUE)</f>
        <v>-1117</v>
      </c>
      <c r="T65" s="3506" cm="1">
        <f t="array" aca="1" ref="T65" ca="1">INDIRECT("'※ 영기팀 작성_가입자'!"&amp;T$1&amp;$Z65, TRUE)</f>
        <v>2779</v>
      </c>
      <c r="U65" s="3567" cm="1">
        <f t="array" aca="1" ref="U65" ca="1">INDIRECT("'※ 영기팀 작성_가입자'!"&amp;U$1&amp;$AA65, TRUE)</f>
        <v>-405</v>
      </c>
      <c r="V65" s="3565" cm="1">
        <f t="array" aca="1" ref="V65" ca="1">INDIRECT("'※ 영기팀 작성_가입자'!"&amp;V$1&amp;$AA65, TRUE)</f>
        <v>0.83291457286432158</v>
      </c>
      <c r="W65" s="3568" cm="1">
        <f t="array" aca="1" ref="W65" ca="1">INDIRECT("'※ 영기팀 작성_가입자'!"&amp;W$2&amp;$Z65, TRUE)</f>
        <v>-457</v>
      </c>
      <c r="X65" s="3469" cm="1">
        <f t="array" aca="1" ref="X65" ca="1">INDIRECT("'※ 영기팀 작성_가입자'!"&amp;X$1&amp;$Z65, TRUE)</f>
        <v>1389.5</v>
      </c>
      <c r="Y65" s="3569" cm="1">
        <f t="array" aca="1" ref="Y65" ca="1">INDIRECT("'※ 영기팀 작성_가입자'!"&amp;Y$1&amp;$Z65, TRUE)</f>
        <v>255.91666666666674</v>
      </c>
      <c r="Z65" s="2988">
        <f>ROW('※ 영기팀 작성_가입자'!AH25)</f>
        <v>25</v>
      </c>
      <c r="AA65" s="2984">
        <f>ROW('※ 영기팀 작성_가입자'!AI304)</f>
        <v>304</v>
      </c>
    </row>
    <row r="66" spans="1:31" ht="18" customHeight="1" x14ac:dyDescent="0.55000000000000004">
      <c r="A66" s="7113"/>
      <c r="B66" s="673" t="s">
        <v>68</v>
      </c>
      <c r="C66" s="681"/>
      <c r="D66" s="2922" cm="1">
        <f t="array" aca="1" ref="D66" ca="1">INDIRECT("'※ 영기팀 작성_가입자'!"&amp;D$1&amp;$Z66, TRUE)</f>
        <v>15365</v>
      </c>
      <c r="E66" s="2922" cm="1">
        <f t="array" aca="1" ref="E66" ca="1">INDIRECT("'※ 영기팀 작성_가입자'!"&amp;E$1&amp;$Z66, TRUE)</f>
        <v>19023</v>
      </c>
      <c r="F66" s="3503" cm="1">
        <f t="array" aca="1" ref="F66" ca="1">INDIRECT("'※ 영기팀 작성_가입자'!"&amp;F$1&amp;$Z66, TRUE)</f>
        <v>919.99999999999989</v>
      </c>
      <c r="G66" s="2922" cm="1">
        <f t="array" aca="1" ref="G66" ca="1">INDIRECT("'※ 영기팀 작성_가입자'!"&amp;G$1&amp;$Z66, TRUE)</f>
        <v>1762</v>
      </c>
      <c r="H66" s="2922" cm="1">
        <f t="array" aca="1" ref="H66" ca="1">INDIRECT("'※ 영기팀 작성_가입자'!"&amp;H$1&amp;$Z66, TRUE)</f>
        <v>1260</v>
      </c>
      <c r="I66" s="2922" cm="1">
        <f t="array" aca="1" ref="I66" ca="1">INDIRECT("'※ 영기팀 작성_가입자'!"&amp;I$1&amp;$Z66, TRUE)</f>
        <v>2083</v>
      </c>
      <c r="J66" s="2922" cm="1">
        <f t="array" aca="1" ref="J66" ca="1">INDIRECT("'※ 영기팀 작성_가입자'!"&amp;J$1&amp;$Z66, TRUE)</f>
        <v>2690</v>
      </c>
      <c r="K66" s="2922" cm="1">
        <f t="array" aca="1" ref="K66" ca="1">INDIRECT("'※ 영기팀 작성_가입자'!"&amp;K$1&amp;$Z66, TRUE)</f>
        <v>1466</v>
      </c>
      <c r="L66" s="7567" cm="1">
        <f t="array" aca="1" ref="L66" ca="1">INDIRECT("'※ 영기팀 작성_가입자'!"&amp;L$1&amp;$Z66, TRUE)</f>
        <v>2308</v>
      </c>
      <c r="M66" s="2922" cm="1">
        <f t="array" aca="1" ref="M66" ca="1">INDIRECT("'※ 영기팀 작성_가입자'!"&amp;M$1&amp;$Z66, TRUE)</f>
        <v>1501</v>
      </c>
      <c r="N66" s="2922" cm="1">
        <f t="array" aca="1" ref="N66" ca="1">INDIRECT("'※ 영기팀 작성_가입자'!"&amp;N$1&amp;$Z66, TRUE)</f>
        <v>913</v>
      </c>
      <c r="O66" s="3505" cm="1">
        <f t="array" aca="1" ref="O66" ca="1">INDIRECT("'※ 영기팀 작성_가입자'!"&amp;O$1&amp;$AA66, TRUE)</f>
        <v>1337</v>
      </c>
      <c r="P66" s="3505" cm="1">
        <f t="array" aca="1" ref="P66" ca="1">INDIRECT("'※ 영기팀 작성_가입자'!"&amp;P$1&amp;$AA66, TRUE)</f>
        <v>-424</v>
      </c>
      <c r="Q66" s="3565" cm="1">
        <f t="array" aca="1" ref="Q66" ca="1">INDIRECT("'※ 영기팀 작성_가입자'!"&amp;Q$1&amp;$AA66, TRUE)</f>
        <v>0.68287210172026924</v>
      </c>
      <c r="R66" s="3566" cm="1">
        <f t="array" aca="1" ref="R66" ca="1">INDIRECT("'※ 영기팀 작성_가입자'!"&amp;R$1&amp;$Z66, TRUE)</f>
        <v>-588</v>
      </c>
      <c r="S66" s="3567" cm="1">
        <f t="array" aca="1" ref="S66" ca="1">INDIRECT("'※ 영기팀 작성_가입자'!"&amp;S$1&amp;$Z66, TRUE)</f>
        <v>-849</v>
      </c>
      <c r="T66" s="3506" cm="1">
        <f t="array" aca="1" ref="T66" ca="1">INDIRECT("'※ 영기팀 작성_가입자'!"&amp;T$1&amp;$Z66, TRUE)</f>
        <v>2414</v>
      </c>
      <c r="U66" s="3567" cm="1">
        <f t="array" aca="1" ref="U66" ca="1">INDIRECT("'※ 영기팀 작성_가입자'!"&amp;U$1&amp;$AA66, TRUE)</f>
        <v>-496</v>
      </c>
      <c r="V66" s="3565" cm="1">
        <f t="array" aca="1" ref="V66" ca="1">INDIRECT("'※ 영기팀 작성_가입자'!"&amp;V$1&amp;$AA66, TRUE)</f>
        <v>1.3237113402061855</v>
      </c>
      <c r="W66" s="3568" cm="1">
        <f t="array" aca="1" ref="W66" ca="1">INDIRECT("'※ 영기팀 작성_가입자'!"&amp;W$2&amp;$Z66, TRUE)</f>
        <v>-268</v>
      </c>
      <c r="X66" s="3469" cm="1">
        <f t="array" aca="1" ref="X66" ca="1">INDIRECT("'※ 영기팀 작성_가입자'!"&amp;X$1&amp;$Z66, TRUE)</f>
        <v>1207</v>
      </c>
      <c r="Y66" s="3569" cm="1">
        <f t="array" aca="1" ref="Y66" ca="1">INDIRECT("'※ 영기팀 작성_가입자'!"&amp;Y$1&amp;$Z66, TRUE)</f>
        <v>304.83333333333326</v>
      </c>
      <c r="Z66" s="2988">
        <f>ROW('※ 영기팀 작성_가입자'!AH26)</f>
        <v>26</v>
      </c>
      <c r="AA66" s="2984">
        <f>ROW('※ 영기팀 작성_가입자'!AI305)</f>
        <v>305</v>
      </c>
    </row>
    <row r="67" spans="1:31" ht="18" customHeight="1" x14ac:dyDescent="0.55000000000000004">
      <c r="A67" s="7113"/>
      <c r="B67" s="673" t="s">
        <v>143</v>
      </c>
      <c r="C67" s="681"/>
      <c r="D67" s="2922" cm="1">
        <f t="array" aca="1" ref="D67" ca="1">INDIRECT("'※ 영기팀 작성_가입자'!"&amp;D$1&amp;$Z67, TRUE)</f>
        <v>18518</v>
      </c>
      <c r="E67" s="2922" cm="1">
        <f t="array" aca="1" ref="E67" ca="1">INDIRECT("'※ 영기팀 작성_가입자'!"&amp;E$1&amp;$Z67, TRUE)</f>
        <v>22743</v>
      </c>
      <c r="F67" s="3503" cm="1">
        <f t="array" aca="1" ref="F67" ca="1">INDIRECT("'※ 영기팀 작성_가입자'!"&amp;F$1&amp;$Z67, TRUE)</f>
        <v>1185</v>
      </c>
      <c r="G67" s="2922" cm="1">
        <f t="array" aca="1" ref="G67" ca="1">INDIRECT("'※ 영기팀 작성_가입자'!"&amp;G$1&amp;$Z67, TRUE)</f>
        <v>2384</v>
      </c>
      <c r="H67" s="2922" cm="1">
        <f t="array" aca="1" ref="H67" ca="1">INDIRECT("'※ 영기팀 작성_가입자'!"&amp;H$1&amp;$Z67, TRUE)</f>
        <v>1645</v>
      </c>
      <c r="I67" s="2922" cm="1">
        <f t="array" aca="1" ref="I67" ca="1">INDIRECT("'※ 영기팀 작성_가입자'!"&amp;I$1&amp;$Z67, TRUE)</f>
        <v>2195</v>
      </c>
      <c r="J67" s="2922" cm="1">
        <f t="array" aca="1" ref="J67" ca="1">INDIRECT("'※ 영기팀 작성_가입자'!"&amp;J$1&amp;$Z67, TRUE)</f>
        <v>2963</v>
      </c>
      <c r="K67" s="2922" cm="1">
        <f t="array" aca="1" ref="K67" ca="1">INDIRECT("'※ 영기팀 작성_가입자'!"&amp;K$1&amp;$Z67, TRUE)</f>
        <v>1764</v>
      </c>
      <c r="L67" s="7567" cm="1">
        <f t="array" aca="1" ref="L67" ca="1">INDIRECT("'※ 영기팀 작성_가입자'!"&amp;L$1&amp;$Z67, TRUE)</f>
        <v>2687</v>
      </c>
      <c r="M67" s="2922" cm="1">
        <f t="array" aca="1" ref="M67" ca="1">INDIRECT("'※ 영기팀 작성_가입자'!"&amp;M$1&amp;$Z67, TRUE)</f>
        <v>1896</v>
      </c>
      <c r="N67" s="2922" cm="1">
        <f t="array" aca="1" ref="N67" ca="1">INDIRECT("'※ 영기팀 작성_가입자'!"&amp;N$1&amp;$Z67, TRUE)</f>
        <v>1182</v>
      </c>
      <c r="O67" s="3505" cm="1">
        <f t="array" aca="1" ref="O67" ca="1">INDIRECT("'※ 영기팀 작성_가입자'!"&amp;O$1&amp;$AA67, TRUE)</f>
        <v>1607</v>
      </c>
      <c r="P67" s="3505" cm="1">
        <f t="array" aca="1" ref="P67" ca="1">INDIRECT("'※ 영기팀 작성_가입자'!"&amp;P$1&amp;$AA67, TRUE)</f>
        <v>-425</v>
      </c>
      <c r="Q67" s="3565" cm="1">
        <f t="array" aca="1" ref="Q67" ca="1">INDIRECT("'※ 영기팀 작성_가입자'!"&amp;Q$1&amp;$AA67, TRUE)</f>
        <v>0.73553204729309274</v>
      </c>
      <c r="R67" s="3566" cm="1">
        <f t="array" aca="1" ref="R67" ca="1">INDIRECT("'※ 영기팀 작성_가입자'!"&amp;R$1&amp;$Z67, TRUE)</f>
        <v>-714</v>
      </c>
      <c r="S67" s="3567" cm="1">
        <f t="array" aca="1" ref="S67" ca="1">INDIRECT("'※ 영기팀 작성_가입자'!"&amp;S$1&amp;$Z67, TRUE)</f>
        <v>-1202</v>
      </c>
      <c r="T67" s="3506" cm="1">
        <f t="array" aca="1" ref="T67" ca="1">INDIRECT("'※ 영기팀 작성_가입자'!"&amp;T$1&amp;$Z67, TRUE)</f>
        <v>3078</v>
      </c>
      <c r="U67" s="3567" cm="1">
        <f t="array" aca="1" ref="U67" ca="1">INDIRECT("'※ 영기팀 작성_가입자'!"&amp;U$1&amp;$AA67, TRUE)</f>
        <v>-420</v>
      </c>
      <c r="V67" s="3565" cm="1">
        <f t="array" aca="1" ref="V67" ca="1">INDIRECT("'※ 영기팀 작성_가입자'!"&amp;V$1&amp;$AA67, TRUE)</f>
        <v>1.0683247570040022</v>
      </c>
      <c r="W67" s="3568" cm="1">
        <f t="array" aca="1" ref="W67" ca="1">INDIRECT("'※ 영기팀 작성_가입자'!"&amp;W$2&amp;$Z67, TRUE)</f>
        <v>-491</v>
      </c>
      <c r="X67" s="3469" cm="1">
        <f t="array" aca="1" ref="X67" ca="1">INDIRECT("'※ 영기팀 작성_가입자'!"&amp;X$1&amp;$Z67, TRUE)</f>
        <v>1539</v>
      </c>
      <c r="Y67" s="3569" cm="1">
        <f t="array" aca="1" ref="Y67" ca="1">INDIRECT("'※ 영기팀 작성_가입자'!"&amp;Y$1&amp;$Z67, TRUE)</f>
        <v>352.08333333333326</v>
      </c>
      <c r="Z67" s="2988">
        <f>ROW('※ 영기팀 작성_가입자'!AH27)</f>
        <v>27</v>
      </c>
      <c r="AA67" s="2984">
        <f>ROW('※ 영기팀 작성_가입자'!AI306)</f>
        <v>306</v>
      </c>
    </row>
    <row r="68" spans="1:31" ht="18" customHeight="1" x14ac:dyDescent="0.55000000000000004">
      <c r="A68" s="7113"/>
      <c r="B68" s="673" t="s">
        <v>69</v>
      </c>
      <c r="C68" s="3163"/>
      <c r="D68" s="2922" cm="1">
        <f t="array" aca="1" ref="D68" ca="1">INDIRECT("'※ 영기팀 작성_가입자'!"&amp;D$1&amp;$Z68, TRUE)</f>
        <v>27149</v>
      </c>
      <c r="E68" s="2922" cm="1">
        <f t="array" aca="1" ref="E68" ca="1">INDIRECT("'※ 영기팀 작성_가입자'!"&amp;E$1&amp;$Z68, TRUE)</f>
        <v>31287</v>
      </c>
      <c r="F68" s="3503" cm="1">
        <f t="array" aca="1" ref="F68" ca="1">INDIRECT("'※ 영기팀 작성_가입자'!"&amp;F$1&amp;$Z68, TRUE)</f>
        <v>1642.0000000000002</v>
      </c>
      <c r="G68" s="2922" cm="1">
        <f t="array" aca="1" ref="G68" ca="1">INDIRECT("'※ 영기팀 작성_가입자'!"&amp;G$1&amp;$Z68, TRUE)</f>
        <v>3346</v>
      </c>
      <c r="H68" s="2922" cm="1">
        <f t="array" aca="1" ref="H68" ca="1">INDIRECT("'※ 영기팀 작성_가입자'!"&amp;H$1&amp;$Z68, TRUE)</f>
        <v>2240</v>
      </c>
      <c r="I68" s="2922" cm="1">
        <f t="array" aca="1" ref="I68" ca="1">INDIRECT("'※ 영기팀 작성_가입자'!"&amp;I$1&amp;$Z68, TRUE)</f>
        <v>2862</v>
      </c>
      <c r="J68" s="2922" cm="1">
        <f t="array" aca="1" ref="J68" ca="1">INDIRECT("'※ 영기팀 작성_가입자'!"&amp;J$1&amp;$Z68, TRUE)</f>
        <v>3923</v>
      </c>
      <c r="K68" s="2922" cm="1">
        <f t="array" aca="1" ref="K68" ca="1">INDIRECT("'※ 영기팀 작성_가입자'!"&amp;K$1&amp;$Z68, TRUE)</f>
        <v>2446</v>
      </c>
      <c r="L68" s="7567" cm="1">
        <f t="array" aca="1" ref="L68" ca="1">INDIRECT("'※ 영기팀 작성_가입자'!"&amp;L$1&amp;$Z68, TRUE)</f>
        <v>3765.0000000000005</v>
      </c>
      <c r="M68" s="2922" cm="1">
        <f t="array" aca="1" ref="M68" ca="1">INDIRECT("'※ 영기팀 작성_가입자'!"&amp;M$1&amp;$Z68, TRUE)</f>
        <v>2484</v>
      </c>
      <c r="N68" s="2922" cm="1">
        <f t="array" aca="1" ref="N68" ca="1">INDIRECT("'※ 영기팀 작성_가입자'!"&amp;N$1&amp;$Z68, TRUE)</f>
        <v>1633.9999999999998</v>
      </c>
      <c r="O68" s="3505" cm="1">
        <f t="array" aca="1" ref="O68" ca="1">INDIRECT("'※ 영기팀 작성_가입자'!"&amp;O$1&amp;$AA68, TRUE)</f>
        <v>2266</v>
      </c>
      <c r="P68" s="3505" cm="1">
        <f t="array" aca="1" ref="P68" ca="1">INDIRECT("'※ 영기팀 작성_가입자'!"&amp;P$1&amp;$AA68, TRUE)</f>
        <v>-632.00000000000023</v>
      </c>
      <c r="Q68" s="3565" cm="1">
        <f t="array" aca="1" ref="Q68" ca="1">INDIRECT("'※ 영기팀 작성_가입자'!"&amp;Q$1&amp;$AA68, TRUE)</f>
        <v>0.72109443954104135</v>
      </c>
      <c r="R68" s="3566" cm="1">
        <f t="array" aca="1" ref="R68" ca="1">INDIRECT("'※ 영기팀 작성_가입자'!"&amp;R$1&amp;$Z68, TRUE)</f>
        <v>-850.00000000000023</v>
      </c>
      <c r="S68" s="3567" cm="1">
        <f t="array" aca="1" ref="S68" ca="1">INDIRECT("'※ 영기팀 작성_가입자'!"&amp;S$1&amp;$Z68, TRUE)</f>
        <v>-1712.0000000000002</v>
      </c>
      <c r="T68" s="3506" cm="1">
        <f t="array" aca="1" ref="T68" ca="1">INDIRECT("'※ 영기팀 작성_가입자'!"&amp;T$1&amp;$Z68, TRUE)</f>
        <v>4118</v>
      </c>
      <c r="U68" s="3567" cm="1">
        <f t="array" aca="1" ref="U68" ca="1">INDIRECT("'※ 영기팀 작성_가입자'!"&amp;U$1&amp;$AA68, TRUE)</f>
        <v>-814</v>
      </c>
      <c r="V68" s="3565" cm="1">
        <f t="array" aca="1" ref="V68" ca="1">INDIRECT("'※ 영기팀 작성_가입자'!"&amp;V$1&amp;$AA68, TRUE)</f>
        <v>0.61901865369018649</v>
      </c>
      <c r="W68" s="3568" cm="1">
        <f t="array" aca="1" ref="W68" ca="1">INDIRECT("'※ 영기팀 작성_가입자'!"&amp;W$2&amp;$Z68, TRUE)</f>
        <v>-870</v>
      </c>
      <c r="X68" s="3469" cm="1">
        <f t="array" aca="1" ref="X68" ca="1">INDIRECT("'※ 영기팀 작성_가입자'!"&amp;X$1&amp;$Z68, TRUE)</f>
        <v>2059</v>
      </c>
      <c r="Y68" s="3569" cm="1">
        <f t="array" aca="1" ref="Y68" ca="1">INDIRECT("'※ 영기팀 작성_가입자'!"&amp;Y$1&amp;$Z68, TRUE)</f>
        <v>344.83333333333348</v>
      </c>
      <c r="Z68" s="2988">
        <f>ROW('※ 영기팀 작성_가입자'!AH28)</f>
        <v>28</v>
      </c>
      <c r="AA68" s="2984">
        <f>ROW('※ 영기팀 작성_가입자'!AI307)</f>
        <v>307</v>
      </c>
    </row>
    <row r="69" spans="1:31" ht="18" customHeight="1" x14ac:dyDescent="0.55000000000000004">
      <c r="A69" s="7113"/>
      <c r="B69" s="673" t="s">
        <v>71</v>
      </c>
      <c r="C69" s="3163"/>
      <c r="D69" s="2922" cm="1">
        <f t="array" aca="1" ref="D69" ca="1">INDIRECT("'※ 영기팀 작성_가입자'!"&amp;D$1&amp;$Z69, TRUE)</f>
        <v>17771</v>
      </c>
      <c r="E69" s="2922" cm="1">
        <f t="array" aca="1" ref="E69" ca="1">INDIRECT("'※ 영기팀 작성_가입자'!"&amp;E$1&amp;$Z69, TRUE)</f>
        <v>20123</v>
      </c>
      <c r="F69" s="3503" cm="1">
        <f t="array" aca="1" ref="F69" ca="1">INDIRECT("'※ 영기팀 작성_가입자'!"&amp;F$1&amp;$Z69, TRUE)</f>
        <v>1091</v>
      </c>
      <c r="G69" s="2922" cm="1">
        <f t="array" aca="1" ref="G69" ca="1">INDIRECT("'※ 영기팀 작성_가입자'!"&amp;G$1&amp;$Z69, TRUE)</f>
        <v>2183</v>
      </c>
      <c r="H69" s="2922" cm="1">
        <f t="array" aca="1" ref="H69" ca="1">INDIRECT("'※ 영기팀 작성_가입자'!"&amp;H$1&amp;$Z69, TRUE)</f>
        <v>1458</v>
      </c>
      <c r="I69" s="2922" cm="1">
        <f t="array" aca="1" ref="I69" ca="1">INDIRECT("'※ 영기팀 작성_가입자'!"&amp;I$1&amp;$Z69, TRUE)</f>
        <v>1856</v>
      </c>
      <c r="J69" s="2922" cm="1">
        <f t="array" aca="1" ref="J69" ca="1">INDIRECT("'※ 영기팀 작성_가입자'!"&amp;J$1&amp;$Z69, TRUE)</f>
        <v>2407</v>
      </c>
      <c r="K69" s="2922" cm="1">
        <f t="array" aca="1" ref="K69" ca="1">INDIRECT("'※ 영기팀 작성_가입자'!"&amp;K$1&amp;$Z69, TRUE)</f>
        <v>1684</v>
      </c>
      <c r="L69" s="7567" cm="1">
        <f t="array" aca="1" ref="L69" ca="1">INDIRECT("'※ 영기팀 작성_가입자'!"&amp;L$1&amp;$Z69, TRUE)</f>
        <v>2486</v>
      </c>
      <c r="M69" s="2922" cm="1">
        <f t="array" aca="1" ref="M69" ca="1">INDIRECT("'※ 영기팀 작성_가입자'!"&amp;M$1&amp;$Z69, TRUE)</f>
        <v>1692</v>
      </c>
      <c r="N69" s="2922" cm="1">
        <f t="array" aca="1" ref="N69" ca="1">INDIRECT("'※ 영기팀 작성_가입자'!"&amp;N$1&amp;$Z69, TRUE)</f>
        <v>959.99999999999989</v>
      </c>
      <c r="O69" s="3505" cm="1">
        <f t="array" aca="1" ref="O69" ca="1">INDIRECT("'※ 영기팀 작성_가입자'!"&amp;O$1&amp;$AA69, TRUE)</f>
        <v>1452</v>
      </c>
      <c r="P69" s="3505" cm="1">
        <f t="array" aca="1" ref="P69" ca="1">INDIRECT("'※ 영기팀 작성_가입자'!"&amp;P$1&amp;$AA69, TRUE)</f>
        <v>-492.00000000000011</v>
      </c>
      <c r="Q69" s="3565" cm="1">
        <f t="array" aca="1" ref="Q69" ca="1">INDIRECT("'※ 영기팀 작성_가입자'!"&amp;Q$1&amp;$AA69, TRUE)</f>
        <v>0.66115702479338834</v>
      </c>
      <c r="R69" s="3566" cm="1">
        <f t="array" aca="1" ref="R69" ca="1">INDIRECT("'※ 영기팀 작성_가입자'!"&amp;R$1&amp;$Z69, TRUE)</f>
        <v>-732.00000000000011</v>
      </c>
      <c r="S69" s="3567" cm="1">
        <f t="array" aca="1" ref="S69" ca="1">INDIRECT("'※ 영기팀 작성_가입자'!"&amp;S$1&amp;$Z69, TRUE)</f>
        <v>-1223</v>
      </c>
      <c r="T69" s="3506" cm="1">
        <f t="array" aca="1" ref="T69" ca="1">INDIRECT("'※ 영기팀 작성_가입자'!"&amp;T$1&amp;$Z69, TRUE)</f>
        <v>2652</v>
      </c>
      <c r="U69" s="3567" cm="1">
        <f t="array" aca="1" ref="U69" ca="1">INDIRECT("'※ 영기팀 작성_가입자'!"&amp;U$1&amp;$AA69, TRUE)</f>
        <v>-508</v>
      </c>
      <c r="V69" s="3565" cm="1">
        <f t="array" aca="1" ref="V69" ca="1">INDIRECT("'※ 영기팀 작성_가입자'!"&amp;V$1&amp;$AA69, TRUE)</f>
        <v>1.054113924050633</v>
      </c>
      <c r="W69" s="3568" cm="1">
        <f t="array" aca="1" ref="W69" ca="1">INDIRECT("'※ 영기팀 작성_가입자'!"&amp;W$2&amp;$Z69, TRUE)</f>
        <v>-622</v>
      </c>
      <c r="X69" s="3469" cm="1">
        <f t="array" aca="1" ref="X69" ca="1">INDIRECT("'※ 영기팀 작성_가입자'!"&amp;X$1&amp;$Z69, TRUE)</f>
        <v>1326</v>
      </c>
      <c r="Y69" s="3569" cm="1">
        <f t="array" aca="1" ref="Y69" ca="1">INDIRECT("'※ 영기팀 작성_가입자'!"&amp;Y$1&amp;$Z69, TRUE)</f>
        <v>196</v>
      </c>
      <c r="Z69" s="2988">
        <f>ROW('※ 영기팀 작성_가입자'!AH29)</f>
        <v>29</v>
      </c>
      <c r="AA69" s="2984">
        <f>ROW('※ 영기팀 작성_가입자'!AI308)</f>
        <v>308</v>
      </c>
    </row>
    <row r="70" spans="1:31" ht="18" customHeight="1" x14ac:dyDescent="0.55000000000000004">
      <c r="A70" s="7113"/>
      <c r="B70" s="673" t="s">
        <v>72</v>
      </c>
      <c r="C70" s="3163"/>
      <c r="D70" s="2922" cm="1">
        <f t="array" aca="1" ref="D70" ca="1">INDIRECT("'※ 영기팀 작성_가입자'!"&amp;D$1&amp;$Z70, TRUE)</f>
        <v>26905</v>
      </c>
      <c r="E70" s="2922" cm="1">
        <f t="array" aca="1" ref="E70" ca="1">INDIRECT("'※ 영기팀 작성_가입자'!"&amp;E$1&amp;$Z70, TRUE)</f>
        <v>29567</v>
      </c>
      <c r="F70" s="3503" cm="1">
        <f t="array" aca="1" ref="F70" ca="1">INDIRECT("'※ 영기팀 작성_가입자'!"&amp;F$1&amp;$Z70, TRUE)</f>
        <v>1287</v>
      </c>
      <c r="G70" s="2922" cm="1">
        <f t="array" aca="1" ref="G70" ca="1">INDIRECT("'※ 영기팀 작성_가입자'!"&amp;G$1&amp;$Z70, TRUE)</f>
        <v>3356</v>
      </c>
      <c r="H70" s="2922" cm="1">
        <f t="array" aca="1" ref="H70" ca="1">INDIRECT("'※ 영기팀 작성_가입자'!"&amp;H$1&amp;$Z70, TRUE)</f>
        <v>2250</v>
      </c>
      <c r="I70" s="2922" cm="1">
        <f t="array" aca="1" ref="I70" ca="1">INDIRECT("'※ 영기팀 작성_가입자'!"&amp;I$1&amp;$Z70, TRUE)</f>
        <v>2776</v>
      </c>
      <c r="J70" s="2922" cm="1">
        <f t="array" aca="1" ref="J70" ca="1">INDIRECT("'※ 영기팀 작성_가입자'!"&amp;J$1&amp;$Z70, TRUE)</f>
        <v>3456</v>
      </c>
      <c r="K70" s="2922" cm="1">
        <f t="array" aca="1" ref="K70" ca="1">INDIRECT("'※ 영기팀 작성_가입자'!"&amp;K$1&amp;$Z70, TRUE)</f>
        <v>2262</v>
      </c>
      <c r="L70" s="7567" cm="1">
        <f t="array" aca="1" ref="L70" ca="1">INDIRECT("'※ 영기팀 작성_가입자'!"&amp;L$1&amp;$Z70, TRUE)</f>
        <v>3965</v>
      </c>
      <c r="M70" s="2922" cm="1">
        <f t="array" aca="1" ref="M70" ca="1">INDIRECT("'※ 영기팀 작성_가입자'!"&amp;M$1&amp;$Z70, TRUE)</f>
        <v>2374</v>
      </c>
      <c r="N70" s="2922" cm="1">
        <f t="array" aca="1" ref="N70" ca="1">INDIRECT("'※ 영기팀 작성_가입자'!"&amp;N$1&amp;$Z70, TRUE)</f>
        <v>1478</v>
      </c>
      <c r="O70" s="3505" cm="1">
        <f t="array" aca="1" ref="O70" ca="1">INDIRECT("'※ 영기팀 작성_가입자'!"&amp;O$1&amp;$AA70, TRUE)</f>
        <v>2181</v>
      </c>
      <c r="P70" s="3505" cm="1">
        <f t="array" aca="1" ref="P70" ca="1">INDIRECT("'※ 영기팀 작성_가입자'!"&amp;P$1&amp;$AA70, TRUE)</f>
        <v>-703</v>
      </c>
      <c r="Q70" s="3565" cm="1">
        <f t="array" aca="1" ref="Q70" ca="1">INDIRECT("'※ 영기팀 작성_가입자'!"&amp;Q$1&amp;$AA70, TRUE)</f>
        <v>0.67767079321412194</v>
      </c>
      <c r="R70" s="3566" cm="1">
        <f t="array" aca="1" ref="R70" ca="1">INDIRECT("'※ 영기팀 작성_가입자'!"&amp;R$1&amp;$Z70, TRUE)</f>
        <v>-896</v>
      </c>
      <c r="S70" s="3567" cm="1">
        <f t="array" aca="1" ref="S70" ca="1">INDIRECT("'※ 영기팀 작성_가입자'!"&amp;S$1&amp;$Z70, TRUE)</f>
        <v>-1878</v>
      </c>
      <c r="T70" s="3506" cm="1">
        <f t="array" aca="1" ref="T70" ca="1">INDIRECT("'※ 영기팀 작성_가입자'!"&amp;T$1&amp;$Z70, TRUE)</f>
        <v>3852</v>
      </c>
      <c r="U70" s="3567" cm="1">
        <f t="array" aca="1" ref="U70" ca="1">INDIRECT("'※ 영기팀 작성_가입자'!"&amp;U$1&amp;$AA70, TRUE)</f>
        <v>-896</v>
      </c>
      <c r="V70" s="3565" cm="1">
        <f t="array" aca="1" ref="V70" ca="1">INDIRECT("'※ 영기팀 작성_가입자'!"&amp;V$1&amp;$AA70, TRUE)</f>
        <v>2.6958719460825609E-2</v>
      </c>
      <c r="W70" s="3568" cm="1">
        <f t="array" aca="1" ref="W70" ca="1">INDIRECT("'※ 영기팀 작성_가입자'!"&amp;W$2&amp;$Z70, TRUE)</f>
        <v>-791</v>
      </c>
      <c r="X70" s="3469" cm="1">
        <f t="array" aca="1" ref="X70" ca="1">INDIRECT("'※ 영기팀 작성_가입자'!"&amp;X$1&amp;$Z70, TRUE)</f>
        <v>1926</v>
      </c>
      <c r="Y70" s="3569" cm="1">
        <f t="array" aca="1" ref="Y70" ca="1">INDIRECT("'※ 영기팀 작성_가입자'!"&amp;Y$1&amp;$Z70, TRUE)</f>
        <v>221.83333333333303</v>
      </c>
      <c r="Z70" s="2988">
        <f>ROW('※ 영기팀 작성_가입자'!AH30)</f>
        <v>30</v>
      </c>
      <c r="AA70" s="2984">
        <f>ROW('※ 영기팀 작성_가입자'!AI309)</f>
        <v>309</v>
      </c>
    </row>
    <row r="71" spans="1:31" ht="18" customHeight="1" x14ac:dyDescent="0.55000000000000004">
      <c r="A71" s="7113"/>
      <c r="B71" s="673" t="s">
        <v>73</v>
      </c>
      <c r="C71" s="3163"/>
      <c r="D71" s="2922" cm="1">
        <f t="array" aca="1" ref="D71" ca="1">INDIRECT("'※ 영기팀 작성_가입자'!"&amp;D$1&amp;$Z71, TRUE)</f>
        <v>24135</v>
      </c>
      <c r="E71" s="2922" cm="1">
        <f t="array" aca="1" ref="E71" ca="1">INDIRECT("'※ 영기팀 작성_가입자'!"&amp;E$1&amp;$Z71, TRUE)</f>
        <v>27474</v>
      </c>
      <c r="F71" s="3503" cm="1">
        <f t="array" aca="1" ref="F71" ca="1">INDIRECT("'※ 영기팀 작성_가입자'!"&amp;F$1&amp;$Z71, TRUE)</f>
        <v>1355</v>
      </c>
      <c r="G71" s="2922" cm="1">
        <f t="array" aca="1" ref="G71" ca="1">INDIRECT("'※ 영기팀 작성_가입자'!"&amp;G$1&amp;$Z71, TRUE)</f>
        <v>2978</v>
      </c>
      <c r="H71" s="2922" cm="1">
        <f t="array" aca="1" ref="H71" ca="1">INDIRECT("'※ 영기팀 작성_가입자'!"&amp;H$1&amp;$Z71, TRUE)</f>
        <v>2099</v>
      </c>
      <c r="I71" s="2922" cm="1">
        <f t="array" aca="1" ref="I71" ca="1">INDIRECT("'※ 영기팀 작성_가입자'!"&amp;I$1&amp;$Z71, TRUE)</f>
        <v>2615</v>
      </c>
      <c r="J71" s="2922" cm="1">
        <f t="array" aca="1" ref="J71" ca="1">INDIRECT("'※ 영기팀 작성_가입자'!"&amp;J$1&amp;$Z71, TRUE)</f>
        <v>3125</v>
      </c>
      <c r="K71" s="2922" cm="1">
        <f t="array" aca="1" ref="K71" ca="1">INDIRECT("'※ 영기팀 작성_가입자'!"&amp;K$1&amp;$Z71, TRUE)</f>
        <v>2086</v>
      </c>
      <c r="L71" s="7567" cm="1">
        <f t="array" aca="1" ref="L71" ca="1">INDIRECT("'※ 영기팀 작성_가입자'!"&amp;L$1&amp;$Z71, TRUE)</f>
        <v>3362</v>
      </c>
      <c r="M71" s="2922" cm="1">
        <f t="array" aca="1" ref="M71" ca="1">INDIRECT("'※ 영기팀 작성_가입자'!"&amp;M$1&amp;$Z71, TRUE)</f>
        <v>2382</v>
      </c>
      <c r="N71" s="2922" cm="1">
        <f t="array" aca="1" ref="N71" ca="1">INDIRECT("'※ 영기팀 작성_가입자'!"&amp;N$1&amp;$Z71, TRUE)</f>
        <v>1355</v>
      </c>
      <c r="O71" s="3505" cm="1">
        <f t="array" aca="1" ref="O71" ca="1">INDIRECT("'※ 영기팀 작성_가입자'!"&amp;O$1&amp;$AA71, TRUE)</f>
        <v>1986</v>
      </c>
      <c r="P71" s="3505" cm="1">
        <f t="array" aca="1" ref="P71" ca="1">INDIRECT("'※ 영기팀 작성_가입자'!"&amp;P$1&amp;$AA71, TRUE)</f>
        <v>-631</v>
      </c>
      <c r="Q71" s="3565" cm="1">
        <f t="array" aca="1" ref="Q71" ca="1">INDIRECT("'※ 영기팀 작성_가입자'!"&amp;Q$1&amp;$AA71, TRUE)</f>
        <v>0.68227593152064447</v>
      </c>
      <c r="R71" s="3566" cm="1">
        <f t="array" aca="1" ref="R71" ca="1">INDIRECT("'※ 영기팀 작성_가입자'!"&amp;R$1&amp;$Z71, TRUE)</f>
        <v>-1027</v>
      </c>
      <c r="S71" s="3567" cm="1">
        <f t="array" aca="1" ref="S71" ca="1">INDIRECT("'※ 영기팀 작성_가입자'!"&amp;S$1&amp;$Z71, TRUE)</f>
        <v>-1623</v>
      </c>
      <c r="T71" s="3506" cm="1">
        <f t="array" aca="1" ref="T71" ca="1">INDIRECT("'※ 영기팀 작성_가입자'!"&amp;T$1&amp;$Z71, TRUE)</f>
        <v>3737</v>
      </c>
      <c r="U71" s="3567" cm="1">
        <f t="array" aca="1" ref="U71" ca="1">INDIRECT("'※ 영기팀 작성_가입자'!"&amp;U$1&amp;$AA71, TRUE)</f>
        <v>-585</v>
      </c>
      <c r="V71" s="3565" cm="1">
        <f t="array" aca="1" ref="V71" ca="1">INDIRECT("'※ 영기팀 작성_가입자'!"&amp;V$1&amp;$AA71, TRUE)</f>
        <v>6.7098565478944929E-3</v>
      </c>
      <c r="W71" s="3568" cm="1">
        <f t="array" aca="1" ref="W71" ca="1">INDIRECT("'※ 영기팀 작성_가입자'!"&amp;W$2&amp;$Z71, TRUE)</f>
        <v>-596</v>
      </c>
      <c r="X71" s="3469" cm="1">
        <f t="array" aca="1" ref="X71" ca="1">INDIRECT("'※ 영기팀 작성_가입자'!"&amp;X$1&amp;$Z71, TRUE)</f>
        <v>1868.5</v>
      </c>
      <c r="Y71" s="3569" cm="1">
        <f t="array" aca="1" ref="Y71" ca="1">INDIRECT("'※ 영기팀 작성_가입자'!"&amp;Y$1&amp;$Z71, TRUE)</f>
        <v>278.25</v>
      </c>
      <c r="Z71" s="2988">
        <f>ROW('※ 영기팀 작성_가입자'!AH31)</f>
        <v>31</v>
      </c>
      <c r="AA71" s="2984">
        <f>ROW('※ 영기팀 작성_가입자'!AI310)</f>
        <v>310</v>
      </c>
    </row>
    <row r="72" spans="1:31" ht="18" customHeight="1" x14ac:dyDescent="0.55000000000000004">
      <c r="A72" s="7113"/>
      <c r="B72" s="673" t="s">
        <v>74</v>
      </c>
      <c r="C72" s="3163"/>
      <c r="D72" s="2922" cm="1">
        <f t="array" aca="1" ref="D72" ca="1">INDIRECT("'※ 영기팀 작성_가입자'!"&amp;D$1&amp;$Z72, TRUE)</f>
        <v>20002</v>
      </c>
      <c r="E72" s="2922" cm="1">
        <f t="array" aca="1" ref="E72" ca="1">INDIRECT("'※ 영기팀 작성_가입자'!"&amp;E$1&amp;$Z72, TRUE)</f>
        <v>22728</v>
      </c>
      <c r="F72" s="3503" cm="1">
        <f t="array" aca="1" ref="F72" ca="1">INDIRECT("'※ 영기팀 작성_가입자'!"&amp;F$1&amp;$Z72, TRUE)</f>
        <v>1216</v>
      </c>
      <c r="G72" s="2922" cm="1">
        <f t="array" aca="1" ref="G72" ca="1">INDIRECT("'※ 영기팀 작성_가입자'!"&amp;G$1&amp;$Z72, TRUE)</f>
        <v>2407</v>
      </c>
      <c r="H72" s="2922" cm="1">
        <f t="array" aca="1" ref="H72" ca="1">INDIRECT("'※ 영기팀 작성_가입자'!"&amp;H$1&amp;$Z72, TRUE)</f>
        <v>1678</v>
      </c>
      <c r="I72" s="2922" cm="1">
        <f t="array" aca="1" ref="I72" ca="1">INDIRECT("'※ 영기팀 작성_가입자'!"&amp;I$1&amp;$Z72, TRUE)</f>
        <v>2134</v>
      </c>
      <c r="J72" s="2922" cm="1">
        <f t="array" aca="1" ref="J72" ca="1">INDIRECT("'※ 영기팀 작성_가입자'!"&amp;J$1&amp;$Z72, TRUE)</f>
        <v>2813</v>
      </c>
      <c r="K72" s="2922" cm="1">
        <f t="array" aca="1" ref="K72" ca="1">INDIRECT("'※ 영기팀 작성_가입자'!"&amp;K$1&amp;$Z72, TRUE)</f>
        <v>1598</v>
      </c>
      <c r="L72" s="7567" cm="1">
        <f t="array" aca="1" ref="L72" ca="1">INDIRECT("'※ 영기팀 작성_가입자'!"&amp;L$1&amp;$Z72, TRUE)</f>
        <v>2915</v>
      </c>
      <c r="M72" s="2922" cm="1">
        <f t="array" aca="1" ref="M72" ca="1">INDIRECT("'※ 영기팀 작성_가입자'!"&amp;M$1&amp;$Z72, TRUE)</f>
        <v>1884.0000000000002</v>
      </c>
      <c r="N72" s="2922" cm="1">
        <f t="array" aca="1" ref="N72" ca="1">INDIRECT("'※ 영기팀 작성_가입자'!"&amp;N$1&amp;$Z72, TRUE)</f>
        <v>1169</v>
      </c>
      <c r="O72" s="3505" cm="1">
        <f t="array" aca="1" ref="O72" ca="1">INDIRECT("'※ 영기팀 작성_가입자'!"&amp;O$1&amp;$AA72, TRUE)</f>
        <v>1658</v>
      </c>
      <c r="P72" s="3505" cm="1">
        <f t="array" aca="1" ref="P72" ca="1">INDIRECT("'※ 영기팀 작성_가입자'!"&amp;P$1&amp;$AA72, TRUE)</f>
        <v>-489</v>
      </c>
      <c r="Q72" s="3565" cm="1">
        <f t="array" aca="1" ref="Q72" ca="1">INDIRECT("'※ 영기팀 작성_가입자'!"&amp;Q$1&amp;$AA72, TRUE)</f>
        <v>0.70506634499396859</v>
      </c>
      <c r="R72" s="3566" cm="1">
        <f t="array" aca="1" ref="R72" ca="1">INDIRECT("'※ 영기팀 작성_가입자'!"&amp;R$1&amp;$Z72, TRUE)</f>
        <v>-715.00000000000023</v>
      </c>
      <c r="S72" s="3567" cm="1">
        <f t="array" aca="1" ref="S72" ca="1">INDIRECT("'※ 영기팀 작성_가입자'!"&amp;S$1&amp;$Z72, TRUE)</f>
        <v>-1238</v>
      </c>
      <c r="T72" s="3506" cm="1">
        <f t="array" aca="1" ref="T72" ca="1">INDIRECT("'※ 영기팀 작성_가입자'!"&amp;T$1&amp;$Z72, TRUE)</f>
        <v>3053</v>
      </c>
      <c r="U72" s="3567" cm="1">
        <f t="array" aca="1" ref="U72" ca="1">INDIRECT("'※ 영기팀 작성_가입자'!"&amp;U$1&amp;$AA72, TRUE)</f>
        <v>-555</v>
      </c>
      <c r="V72" s="3565" cm="1">
        <f t="array" aca="1" ref="V72" ca="1">INDIRECT("'※ 영기팀 작성_가입자'!"&amp;V$1&amp;$AA72, TRUE)</f>
        <v>1.3580931263858093E-2</v>
      </c>
      <c r="W72" s="3568" cm="1">
        <f t="array" aca="1" ref="W72" ca="1">INDIRECT("'※ 영기팀 작성_가입자'!"&amp;W$2&amp;$Z72, TRUE)</f>
        <v>-570</v>
      </c>
      <c r="X72" s="3469" cm="1">
        <f t="array" aca="1" ref="X72" ca="1">INDIRECT("'※ 영기팀 작성_가입자'!"&amp;X$1&amp;$Z72, TRUE)</f>
        <v>1526.5</v>
      </c>
      <c r="Y72" s="3569" cm="1">
        <f t="array" aca="1" ref="Y72" ca="1">INDIRECT("'※ 영기팀 작성_가입자'!"&amp;Y$1&amp;$Z72, TRUE)</f>
        <v>227.16666666666674</v>
      </c>
      <c r="Z72" s="2988">
        <f>ROW('※ 영기팀 작성_가입자'!AH32)</f>
        <v>32</v>
      </c>
      <c r="AA72" s="2984">
        <f>ROW('※ 영기팀 작성_가입자'!AI311)</f>
        <v>311</v>
      </c>
    </row>
    <row r="73" spans="1:31" ht="18" customHeight="1" x14ac:dyDescent="0.55000000000000004">
      <c r="A73" s="7114"/>
      <c r="B73" s="3151" t="s">
        <v>75</v>
      </c>
      <c r="C73" s="3151"/>
      <c r="D73" s="3509" cm="1">
        <f t="array" aca="1" ref="D73" ca="1">INDIRECT("'※ 영기팀 작성_가입자'!"&amp;D$1&amp;$Z73, TRUE)</f>
        <v>20113</v>
      </c>
      <c r="E73" s="3509" cm="1">
        <f t="array" aca="1" ref="E73" ca="1">INDIRECT("'※ 영기팀 작성_가입자'!"&amp;E$1&amp;$Z73, TRUE)</f>
        <v>21615</v>
      </c>
      <c r="F73" s="3510" cm="1">
        <f t="array" aca="1" ref="F73" ca="1">INDIRECT("'※ 영기팀 작성_가입자'!"&amp;F$1&amp;$Z73, TRUE)</f>
        <v>1145</v>
      </c>
      <c r="G73" s="3509" cm="1">
        <f t="array" aca="1" ref="G73" ca="1">INDIRECT("'※ 영기팀 작성_가입자'!"&amp;G$1&amp;$Z73, TRUE)</f>
        <v>2419</v>
      </c>
      <c r="H73" s="3509" cm="1">
        <f t="array" aca="1" ref="H73" ca="1">INDIRECT("'※ 영기팀 작성_가입자'!"&amp;H$1&amp;$Z73, TRUE)</f>
        <v>1710</v>
      </c>
      <c r="I73" s="3509" cm="1">
        <f t="array" aca="1" ref="I73" ca="1">INDIRECT("'※ 영기팀 작성_가입자'!"&amp;I$1&amp;$Z73, TRUE)</f>
        <v>1844</v>
      </c>
      <c r="J73" s="3509" cm="1">
        <f t="array" aca="1" ref="J73" ca="1">INDIRECT("'※ 영기팀 작성_가입자'!"&amp;J$1&amp;$Z73, TRUE)</f>
        <v>2510</v>
      </c>
      <c r="K73" s="3509" cm="1">
        <f t="array" aca="1" ref="K73" ca="1">INDIRECT("'※ 영기팀 작성_가입자'!"&amp;K$1&amp;$Z73, TRUE)</f>
        <v>1568</v>
      </c>
      <c r="L73" s="7568" cm="1">
        <f t="array" aca="1" ref="L73" ca="1">INDIRECT("'※ 영기팀 작성_가입자'!"&amp;L$1&amp;$Z73, TRUE)</f>
        <v>2610</v>
      </c>
      <c r="M73" s="3509" cm="1">
        <f t="array" aca="1" ref="M73" ca="1">INDIRECT("'※ 영기팀 작성_가입자'!"&amp;M$1&amp;$Z73, TRUE)</f>
        <v>2055</v>
      </c>
      <c r="N73" s="3509" cm="1">
        <f t="array" aca="1" ref="N73" ca="1">INDIRECT("'※ 영기팀 작성_가입자'!"&amp;N$1&amp;$Z73, TRUE)</f>
        <v>1276</v>
      </c>
      <c r="O73" s="3511" cm="1">
        <f t="array" aca="1" ref="O73" ca="1">INDIRECT("'※ 영기팀 작성_가입자'!"&amp;O$1&amp;$AA73, TRUE)</f>
        <v>1605</v>
      </c>
      <c r="P73" s="3511" cm="1">
        <f t="array" aca="1" ref="P73" ca="1">INDIRECT("'※ 영기팀 작성_가입자'!"&amp;P$1&amp;$AA73, TRUE)</f>
        <v>-329</v>
      </c>
      <c r="Q73" s="3570" cm="1">
        <f t="array" aca="1" ref="Q73" ca="1">INDIRECT("'※ 영기팀 작성_가입자'!"&amp;Q$1&amp;$AA73, TRUE)</f>
        <v>0.79501557632398756</v>
      </c>
      <c r="R73" s="3571" cm="1">
        <f t="array" aca="1" ref="R73" ca="1">INDIRECT("'※ 영기팀 작성_가입자'!"&amp;R$1&amp;$Z73, TRUE)</f>
        <v>-779</v>
      </c>
      <c r="S73" s="3572" cm="1">
        <f t="array" aca="1" ref="S73" ca="1">INDIRECT("'※ 영기팀 작성_가입자'!"&amp;S$1&amp;$Z73, TRUE)</f>
        <v>-1143</v>
      </c>
      <c r="T73" s="3514" cm="1">
        <f t="array" aca="1" ref="T73" ca="1">INDIRECT("'※ 영기팀 작성_가입자'!"&amp;T$1&amp;$Z73, TRUE)</f>
        <v>3331</v>
      </c>
      <c r="U73" s="3572" cm="1">
        <f t="array" aca="1" ref="U73" ca="1">INDIRECT("'※ 영기팀 작성_가입자'!"&amp;U$1&amp;$AA73, TRUE)</f>
        <v>-163</v>
      </c>
      <c r="V73" s="3570" cm="1">
        <f t="array" aca="1" ref="V73" ca="1">INDIRECT("'※ 영기팀 작성_가입자'!"&amp;V$1&amp;$AA73, TRUE)</f>
        <v>1.9175729822552948E-2</v>
      </c>
      <c r="W73" s="3573" cm="1">
        <f t="array" aca="1" ref="W73" ca="1">INDIRECT("'※ 영기팀 작성_가입자'!"&amp;W$2&amp;$Z73, TRUE)</f>
        <v>-233</v>
      </c>
      <c r="X73" s="3516" cm="1">
        <f t="array" aca="1" ref="X73" ca="1">INDIRECT("'※ 영기팀 작성_가입자'!"&amp;X$1&amp;$Z73, TRUE)</f>
        <v>1665.5</v>
      </c>
      <c r="Y73" s="3574" cm="1">
        <f t="array" aca="1" ref="Y73" ca="1">INDIRECT("'※ 영기팀 작성_가입자'!"&amp;Y$1&amp;$Z73, TRUE)</f>
        <v>125.16666666666674</v>
      </c>
      <c r="Z73" s="2988">
        <f>ROW('※ 영기팀 작성_가입자'!AH33)</f>
        <v>33</v>
      </c>
      <c r="AA73" s="2984">
        <f>ROW('※ 영기팀 작성_가입자'!AI312)</f>
        <v>312</v>
      </c>
    </row>
    <row r="74" spans="1:31" ht="4" customHeight="1" x14ac:dyDescent="0.55000000000000004">
      <c r="A74" s="3575"/>
      <c r="B74" s="681"/>
      <c r="C74" s="681"/>
      <c r="D74" s="3308"/>
      <c r="E74" s="3308"/>
      <c r="F74" s="3576"/>
      <c r="G74" s="3308"/>
      <c r="H74" s="3308"/>
      <c r="I74" s="3308"/>
      <c r="J74" s="3308"/>
      <c r="K74" s="3308"/>
      <c r="L74" s="7574"/>
      <c r="M74" s="3308"/>
      <c r="N74" s="3308"/>
      <c r="O74" s="3577"/>
      <c r="P74" s="3577"/>
      <c r="Q74" s="3578"/>
      <c r="R74" s="3579"/>
      <c r="S74" s="3579"/>
      <c r="T74" s="3580"/>
      <c r="U74" s="3579"/>
      <c r="V74" s="3578"/>
      <c r="W74" s="3581"/>
      <c r="X74" s="2774"/>
      <c r="Y74" s="3582"/>
      <c r="Z74" s="2988"/>
      <c r="AA74" s="2984">
        <f>ROW('※ 영기팀 작성_가입자'!AI313)</f>
        <v>313</v>
      </c>
    </row>
    <row r="75" spans="1:31" s="2771" customFormat="1" ht="18" customHeight="1" x14ac:dyDescent="0.55000000000000004">
      <c r="A75" s="7115" t="s">
        <v>80</v>
      </c>
      <c r="B75" s="3583" t="s">
        <v>62</v>
      </c>
      <c r="C75" s="3583"/>
      <c r="D75" s="3584">
        <f t="shared" ref="D75" ca="1" si="10">SUM(D76:D80)</f>
        <v>240483</v>
      </c>
      <c r="E75" s="3584">
        <f t="shared" ref="E75:P75" ca="1" si="11">SUM(E76:E80)</f>
        <v>309973</v>
      </c>
      <c r="F75" s="3585">
        <f t="shared" ca="1" si="11"/>
        <v>17239</v>
      </c>
      <c r="G75" s="3584">
        <f t="shared" ca="1" si="11"/>
        <v>25984</v>
      </c>
      <c r="H75" s="3584">
        <f t="shared" ca="1" si="11"/>
        <v>19298</v>
      </c>
      <c r="I75" s="3584">
        <f t="shared" ca="1" si="11"/>
        <v>24280</v>
      </c>
      <c r="J75" s="3584">
        <f t="shared" ca="1" si="11"/>
        <v>36457</v>
      </c>
      <c r="K75" s="3584">
        <f t="shared" ca="1" si="11"/>
        <v>28356</v>
      </c>
      <c r="L75" s="7575">
        <f t="shared" ref="L75:M75" ca="1" si="12">SUM(L76:L80)</f>
        <v>32832</v>
      </c>
      <c r="M75" s="3584">
        <f t="shared" ca="1" si="12"/>
        <v>37649</v>
      </c>
      <c r="N75" s="3584">
        <f t="shared" ref="N75" ca="1" si="13">SUM(N76:N80)</f>
        <v>17387</v>
      </c>
      <c r="O75" s="3586">
        <f t="shared" ca="1" si="11"/>
        <v>25000</v>
      </c>
      <c r="P75" s="3586">
        <f t="shared" ca="1" si="11"/>
        <v>-7613</v>
      </c>
      <c r="Q75" s="3587" cm="1">
        <f t="array" aca="1" ref="Q75" ca="1">INDIRECT("'※ 영기팀 작성_가입자'!"&amp;Q$1&amp;$AA75, TRUE)</f>
        <v>0.18965517241379309</v>
      </c>
      <c r="R75" s="3588">
        <f ca="1">SUM(R76:R80)</f>
        <v>-20262</v>
      </c>
      <c r="S75" s="3589">
        <f ca="1">SUM(S76:S80)</f>
        <v>-8597</v>
      </c>
      <c r="T75" s="3590">
        <f ca="1">SUM(T76:T80)</f>
        <v>55036</v>
      </c>
      <c r="U75" s="3589">
        <f ca="1">SUM(U76:U80)</f>
        <v>3035.9999999999982</v>
      </c>
      <c r="V75" s="3587" cm="1">
        <f t="array" aca="1" ref="V75" ca="1">INDIRECT("'※ 영기팀 작성_가입자'!"&amp;V$1&amp;$AA75, TRUE)</f>
        <v>0.25</v>
      </c>
      <c r="W75" s="3591" cm="1">
        <f t="array" aca="1" ref="W75" ca="1">INDIRECT("'※ 영기팀 작성_가입자'!"&amp;W$2&amp;$Z75, TRUE)</f>
        <v>-9181</v>
      </c>
      <c r="X75" s="3592">
        <f ca="1">SUM(X76:X80)</f>
        <v>27518</v>
      </c>
      <c r="Y75" s="3593">
        <f ca="1">SUM(Y76:Y80)</f>
        <v>5790.8333333333358</v>
      </c>
      <c r="Z75" s="2988">
        <v>8</v>
      </c>
      <c r="AA75" s="2984">
        <f>ROW('※ 영기팀 작성_가입자'!AI314)</f>
        <v>314</v>
      </c>
    </row>
    <row r="76" spans="1:31" ht="18" customHeight="1" x14ac:dyDescent="0.55000000000000004">
      <c r="A76" s="7113"/>
      <c r="B76" s="3542" t="s">
        <v>76</v>
      </c>
      <c r="C76" s="3542"/>
      <c r="D76" s="3543" cm="1">
        <f t="array" aca="1" ref="D76" ca="1">INDIRECT("'※ 영기팀 작성_가입자'!"&amp;D$1&amp;$Z76, TRUE)</f>
        <v>47351</v>
      </c>
      <c r="E76" s="3543" cm="1">
        <f t="array" aca="1" ref="E76" ca="1">INDIRECT("'※ 영기팀 작성_가입자'!"&amp;E$1&amp;$Z76, TRUE)</f>
        <v>53541</v>
      </c>
      <c r="F76" s="3544" cm="1">
        <f t="array" aca="1" ref="F76" ca="1">INDIRECT("'※ 영기팀 작성_가입자'!"&amp;F$1&amp;$Z76, TRUE)</f>
        <v>2917</v>
      </c>
      <c r="G76" s="3543" cm="1">
        <f t="array" aca="1" ref="G76" ca="1">INDIRECT("'※ 영기팀 작성_가입자'!"&amp;G$1&amp;$Z76, TRUE)</f>
        <v>4684</v>
      </c>
      <c r="H76" s="3543" cm="1">
        <f t="array" aca="1" ref="H76" ca="1">INDIRECT("'※ 영기팀 작성_가입자'!"&amp;H$1&amp;$Z76, TRUE)</f>
        <v>3395</v>
      </c>
      <c r="I76" s="3543" cm="1">
        <f t="array" aca="1" ref="I76" ca="1">INDIRECT("'※ 영기팀 작성_가입자'!"&amp;I$1&amp;$Z76, TRUE)</f>
        <v>4120</v>
      </c>
      <c r="J76" s="3543" cm="1">
        <f t="array" aca="1" ref="J76" ca="1">INDIRECT("'※ 영기팀 작성_가입자'!"&amp;J$1&amp;$Z76, TRUE)</f>
        <v>6813</v>
      </c>
      <c r="K76" s="3543" cm="1">
        <f t="array" aca="1" ref="K76" ca="1">INDIRECT("'※ 영기팀 작성_가입자'!"&amp;K$1&amp;$Z76, TRUE)</f>
        <v>4524</v>
      </c>
      <c r="L76" s="7572" cm="1">
        <f t="array" aca="1" ref="L76" ca="1">INDIRECT("'※ 영기팀 작성_가입자'!"&amp;L$1&amp;$Z76, TRUE)</f>
        <v>5455</v>
      </c>
      <c r="M76" s="3543" cm="1">
        <f t="array" aca="1" ref="M76" ca="1">INDIRECT("'※ 영기팀 작성_가입자'!"&amp;M$1&amp;$Z76, TRUE)</f>
        <v>7432.9999999999991</v>
      </c>
      <c r="N76" s="3543" cm="1">
        <f t="array" aca="1" ref="N76" ca="1">INDIRECT("'※ 영기팀 작성_가입자'!"&amp;N$1&amp;$Z76, TRUE)</f>
        <v>3421.9999999999995</v>
      </c>
      <c r="O76" s="3545" cm="1">
        <f t="array" aca="1" ref="O76" ca="1">INDIRECT("'※ 영기팀 작성_가입자'!"&amp;O$1&amp;$AA76, TRUE)</f>
        <v>4721</v>
      </c>
      <c r="P76" s="3545" cm="1">
        <f t="array" aca="1" ref="P76" ca="1">INDIRECT("'※ 영기팀 작성_가입자'!"&amp;P$1&amp;$AA76, TRUE)</f>
        <v>-1299.0000000000005</v>
      </c>
      <c r="Q76" s="3546" cm="1">
        <f t="array" aca="1" ref="Q76" ca="1">INDIRECT("'※ 영기팀 작성_가입자'!"&amp;Q$1&amp;$AA76, TRUE)</f>
        <v>0.72484643084092348</v>
      </c>
      <c r="R76" s="3547" cm="1">
        <f t="array" aca="1" ref="R76" ca="1">INDIRECT("'※ 영기팀 작성_가입자'!"&amp;R$1&amp;$Z76, TRUE)</f>
        <v>-4010.9999999999995</v>
      </c>
      <c r="S76" s="3548" cm="1">
        <f t="array" aca="1" ref="S76" ca="1">INDIRECT("'※ 영기팀 작성_가입자'!"&amp;S$1&amp;$Z76, TRUE)</f>
        <v>-1262.0000000000005</v>
      </c>
      <c r="T76" s="3549" cm="1">
        <f t="array" aca="1" ref="T76" ca="1">INDIRECT("'※ 영기팀 작성_가입자'!"&amp;T$1&amp;$Z76, TRUE)</f>
        <v>10854.999999999998</v>
      </c>
      <c r="U76" s="3548" cm="1">
        <f t="array" aca="1" ref="U76" ca="1">INDIRECT("'※ 영기팀 작성_가입자'!"&amp;U$1&amp;$AA76, TRUE)</f>
        <v>1202.9999999999982</v>
      </c>
      <c r="V76" s="3546" cm="1">
        <f t="array" aca="1" ref="V76" ca="1">INDIRECT("'※ 영기팀 작성_가입자'!"&amp;V$1&amp;$AA76, TRUE)</f>
        <v>1.1246373808537089</v>
      </c>
      <c r="W76" s="3594" cm="1">
        <f t="array" aca="1" ref="W76" ca="1">INDIRECT("'※ 영기팀 작성_가입자'!"&amp;W$2&amp;$Z76, TRUE)</f>
        <v>3253.9999999999982</v>
      </c>
      <c r="X76" s="3595" cm="1">
        <f t="array" aca="1" ref="X76" ca="1">INDIRECT("'※ 영기팀 작성_가입자'!"&amp;X$1&amp;$Z76, TRUE)</f>
        <v>5427.4999999999991</v>
      </c>
      <c r="Y76" s="3596" cm="1">
        <f t="array" aca="1" ref="Y76" ca="1">INDIRECT("'※ 영기팀 작성_가입자'!"&amp;Y$1&amp;$Z76, TRUE)</f>
        <v>515.83333333333348</v>
      </c>
      <c r="Z76" s="2988">
        <f>ROW('※ 영기팀 작성_가입자'!AH39)</f>
        <v>39</v>
      </c>
      <c r="AA76" s="2984">
        <f>ROW('※ 영기팀 작성_가입자'!AI318)</f>
        <v>318</v>
      </c>
      <c r="AD76" s="555"/>
      <c r="AE76" s="555"/>
    </row>
    <row r="77" spans="1:31" ht="18" customHeight="1" x14ac:dyDescent="0.55000000000000004">
      <c r="A77" s="7113"/>
      <c r="B77" s="3542" t="s">
        <v>77</v>
      </c>
      <c r="C77" s="3542"/>
      <c r="D77" s="3543" cm="1">
        <f t="array" aca="1" ref="D77" ca="1">INDIRECT("'※ 영기팀 작성_가입자'!"&amp;D$1&amp;$Z77, TRUE)</f>
        <v>33062</v>
      </c>
      <c r="E77" s="3543" cm="1">
        <f t="array" aca="1" ref="E77" ca="1">INDIRECT("'※ 영기팀 작성_가입자'!"&amp;E$1&amp;$Z77, TRUE)</f>
        <v>38245</v>
      </c>
      <c r="F77" s="3544" cm="1">
        <f t="array" aca="1" ref="F77" ca="1">INDIRECT("'※ 영기팀 작성_가입자'!"&amp;F$1&amp;$Z77, TRUE)</f>
        <v>1978</v>
      </c>
      <c r="G77" s="3543" cm="1">
        <f t="array" aca="1" ref="G77" ca="1">INDIRECT("'※ 영기팀 작성_가입자'!"&amp;G$1&amp;$Z77, TRUE)</f>
        <v>3382</v>
      </c>
      <c r="H77" s="3543" cm="1">
        <f t="array" aca="1" ref="H77" ca="1">INDIRECT("'※ 영기팀 작성_가입자'!"&amp;H$1&amp;$Z77, TRUE)</f>
        <v>2285</v>
      </c>
      <c r="I77" s="3543" cm="1">
        <f t="array" aca="1" ref="I77" ca="1">INDIRECT("'※ 영기팀 작성_가입자'!"&amp;I$1&amp;$Z77, TRUE)</f>
        <v>2628</v>
      </c>
      <c r="J77" s="3543" cm="1">
        <f t="array" aca="1" ref="J77" ca="1">INDIRECT("'※ 영기팀 작성_가입자'!"&amp;J$1&amp;$Z77, TRUE)</f>
        <v>4532</v>
      </c>
      <c r="K77" s="3543" cm="1">
        <f t="array" aca="1" ref="K77" ca="1">INDIRECT("'※ 영기팀 작성_가입자'!"&amp;K$1&amp;$Z77, TRUE)</f>
        <v>3187</v>
      </c>
      <c r="L77" s="7572" cm="1">
        <f t="array" aca="1" ref="L77" ca="1">INDIRECT("'※ 영기팀 작성_가입자'!"&amp;L$1&amp;$Z77, TRUE)</f>
        <v>3574.0000000000005</v>
      </c>
      <c r="M77" s="3543" cm="1">
        <f t="array" aca="1" ref="M77" ca="1">INDIRECT("'※ 영기팀 작성_가입자'!"&amp;M$1&amp;$Z77, TRUE)</f>
        <v>4774</v>
      </c>
      <c r="N77" s="3543" cm="1">
        <f t="array" aca="1" ref="N77" ca="1">INDIRECT("'※ 영기팀 작성_가입자'!"&amp;N$1&amp;$Z77, TRUE)</f>
        <v>2259</v>
      </c>
      <c r="O77" s="3545" cm="1">
        <f t="array" aca="1" ref="O77" ca="1">INDIRECT("'※ 영기팀 작성_가입자'!"&amp;O$1&amp;$AA77, TRUE)</f>
        <v>3284</v>
      </c>
      <c r="P77" s="3545" cm="1">
        <f t="array" aca="1" ref="P77" ca="1">INDIRECT("'※ 영기팀 작성_가입자'!"&amp;P$1&amp;$AA77, TRUE)</f>
        <v>-1025</v>
      </c>
      <c r="Q77" s="3546" cm="1">
        <f t="array" aca="1" ref="Q77" ca="1">INDIRECT("'※ 영기팀 작성_가입자'!"&amp;Q$1&amp;$AA77, TRUE)</f>
        <v>0.68788063337393424</v>
      </c>
      <c r="R77" s="3547" cm="1">
        <f t="array" aca="1" ref="R77" ca="1">INDIRECT("'※ 영기팀 작성_가입자'!"&amp;R$1&amp;$Z77, TRUE)</f>
        <v>-2515</v>
      </c>
      <c r="S77" s="3548" cm="1">
        <f t="array" aca="1" ref="S77" ca="1">INDIRECT("'※ 영기팀 작성_가입자'!"&amp;S$1&amp;$Z77, TRUE)</f>
        <v>-1123</v>
      </c>
      <c r="T77" s="3549" cm="1">
        <f t="array" aca="1" ref="T77" ca="1">INDIRECT("'※ 영기팀 작성_가입자'!"&amp;T$1&amp;$Z77, TRUE)</f>
        <v>7033</v>
      </c>
      <c r="U77" s="3548" cm="1">
        <f t="array" aca="1" ref="U77" ca="1">INDIRECT("'※ 영기팀 작성_가입자'!"&amp;U$1&amp;$AA77, TRUE)</f>
        <v>284</v>
      </c>
      <c r="V77" s="3546" cm="1">
        <f t="array" aca="1" ref="V77" ca="1">INDIRECT("'※ 영기팀 작성_가입자'!"&amp;V$1&amp;$AA77, TRUE)</f>
        <v>1.0420803081938066</v>
      </c>
      <c r="W77" s="3594" cm="1">
        <f t="array" aca="1" ref="W77" ca="1">INDIRECT("'※ 영기팀 작성_가입자'!"&amp;W$2&amp;$Z77, TRUE)</f>
        <v>1673</v>
      </c>
      <c r="X77" s="3595" cm="1">
        <f t="array" aca="1" ref="X77" ca="1">INDIRECT("'※ 영기팀 작성_가입자'!"&amp;X$1&amp;$Z77, TRUE)</f>
        <v>3516.5</v>
      </c>
      <c r="Y77" s="3596" cm="1">
        <f t="array" aca="1" ref="Y77" ca="1">INDIRECT("'※ 영기팀 작성_가입자'!"&amp;Y$1&amp;$Z77, TRUE)</f>
        <v>431.91666666666697</v>
      </c>
      <c r="Z77" s="2988">
        <f>ROW('※ 영기팀 작성_가입자'!AH40)</f>
        <v>40</v>
      </c>
      <c r="AA77" s="2984">
        <f>ROW('※ 영기팀 작성_가입자'!AI319)</f>
        <v>319</v>
      </c>
    </row>
    <row r="78" spans="1:31" ht="18" customHeight="1" x14ac:dyDescent="0.55000000000000004">
      <c r="A78" s="7113"/>
      <c r="B78" s="3542" t="s">
        <v>78</v>
      </c>
      <c r="C78" s="3542"/>
      <c r="D78" s="3543" cm="1">
        <f t="array" aca="1" ref="D78" ca="1">INDIRECT("'※ 영기팀 작성_가입자'!"&amp;D$1&amp;$Z78, TRUE)</f>
        <v>32901</v>
      </c>
      <c r="E78" s="3543" cm="1">
        <f t="array" aca="1" ref="E78" ca="1">INDIRECT("'※ 영기팀 작성_가입자'!"&amp;E$1&amp;$Z78, TRUE)</f>
        <v>40878</v>
      </c>
      <c r="F78" s="3544" cm="1">
        <f t="array" aca="1" ref="F78" ca="1">INDIRECT("'※ 영기팀 작성_가입자'!"&amp;F$1&amp;$Z78, TRUE)</f>
        <v>2136</v>
      </c>
      <c r="G78" s="3543" cm="1">
        <f t="array" aca="1" ref="G78" ca="1">INDIRECT("'※ 영기팀 작성_가입자'!"&amp;G$1&amp;$Z78, TRUE)</f>
        <v>3316</v>
      </c>
      <c r="H78" s="3543" cm="1">
        <f t="array" aca="1" ref="H78" ca="1">INDIRECT("'※ 영기팀 작성_가입자'!"&amp;H$1&amp;$Z78, TRUE)</f>
        <v>2740</v>
      </c>
      <c r="I78" s="3543" cm="1">
        <f t="array" aca="1" ref="I78" ca="1">INDIRECT("'※ 영기팀 작성_가입자'!"&amp;I$1&amp;$Z78, TRUE)</f>
        <v>3072</v>
      </c>
      <c r="J78" s="3543" cm="1">
        <f t="array" aca="1" ref="J78" ca="1">INDIRECT("'※ 영기팀 작성_가입자'!"&amp;J$1&amp;$Z78, TRUE)</f>
        <v>4850</v>
      </c>
      <c r="K78" s="3543" cm="1">
        <f t="array" aca="1" ref="K78" ca="1">INDIRECT("'※ 영기팀 작성_가입자'!"&amp;K$1&amp;$Z78, TRUE)</f>
        <v>3477.0000000000005</v>
      </c>
      <c r="L78" s="7572" cm="1">
        <f t="array" aca="1" ref="L78" ca="1">INDIRECT("'※ 영기팀 작성_가입자'!"&amp;L$1&amp;$Z78, TRUE)</f>
        <v>4177</v>
      </c>
      <c r="M78" s="3543" cm="1">
        <f t="array" aca="1" ref="M78" ca="1">INDIRECT("'※ 영기팀 작성_가입자'!"&amp;M$1&amp;$Z78, TRUE)</f>
        <v>5494</v>
      </c>
      <c r="N78" s="3543" cm="1">
        <f t="array" aca="1" ref="N78" ca="1">INDIRECT("'※ 영기팀 작성_가입자'!"&amp;N$1&amp;$Z78, TRUE)</f>
        <v>2383</v>
      </c>
      <c r="O78" s="3545" cm="1">
        <f t="array" aca="1" ref="O78" ca="1">INDIRECT("'※ 영기팀 작성_가입자'!"&amp;O$1&amp;$AA78, TRUE)</f>
        <v>3305</v>
      </c>
      <c r="P78" s="3545" cm="1">
        <f t="array" aca="1" ref="P78" ca="1">INDIRECT("'※ 영기팀 작성_가입자'!"&amp;P$1&amp;$AA78, TRUE)</f>
        <v>-922</v>
      </c>
      <c r="Q78" s="3546" cm="1">
        <f t="array" aca="1" ref="Q78" ca="1">INDIRECT("'※ 영기팀 작성_가입자'!"&amp;Q$1&amp;$AA78, TRUE)</f>
        <v>0.72102874432677766</v>
      </c>
      <c r="R78" s="3547" cm="1">
        <f t="array" aca="1" ref="R78" ca="1">INDIRECT("'※ 영기팀 작성_가입자'!"&amp;R$1&amp;$Z78, TRUE)</f>
        <v>-3111</v>
      </c>
      <c r="S78" s="3548" cm="1">
        <f t="array" aca="1" ref="S78" ca="1">INDIRECT("'※ 영기팀 작성_가입자'!"&amp;S$1&amp;$Z78, TRUE)</f>
        <v>-933</v>
      </c>
      <c r="T78" s="3549" cm="1">
        <f t="array" aca="1" ref="T78" ca="1">INDIRECT("'※ 영기팀 작성_가입자'!"&amp;T$1&amp;$Z78, TRUE)</f>
        <v>7877</v>
      </c>
      <c r="U78" s="3548" cm="1">
        <f t="array" aca="1" ref="U78" ca="1">INDIRECT("'※ 영기팀 작성_가입자'!"&amp;U$1&amp;$AA78, TRUE)</f>
        <v>968</v>
      </c>
      <c r="V78" s="3546" cm="1">
        <f t="array" aca="1" ref="V78" ca="1">INDIRECT("'※ 영기팀 작성_가입자'!"&amp;V$1&amp;$AA78, TRUE)</f>
        <v>1.1401071066724562</v>
      </c>
      <c r="W78" s="3594" cm="1">
        <f t="array" aca="1" ref="W78" ca="1">INDIRECT("'※ 영기팀 작성_가입자'!"&amp;W$2&amp;$Z78, TRUE)</f>
        <v>2425</v>
      </c>
      <c r="X78" s="3595" cm="1">
        <f t="array" aca="1" ref="X78" ca="1">INDIRECT("'※ 영기팀 작성_가입자'!"&amp;X$1&amp;$Z78, TRUE)</f>
        <v>3938.5</v>
      </c>
      <c r="Y78" s="3596" cm="1">
        <f t="array" aca="1" ref="Y78" ca="1">INDIRECT("'※ 영기팀 작성_가입자'!"&amp;Y$1&amp;$Z78, TRUE)</f>
        <v>664.75</v>
      </c>
      <c r="Z78" s="2988">
        <f>ROW('※ 영기팀 작성_가입자'!AH41)</f>
        <v>41</v>
      </c>
      <c r="AA78" s="2984">
        <f>ROW('※ 영기팀 작성_가입자'!AI320)</f>
        <v>320</v>
      </c>
    </row>
    <row r="79" spans="1:31" ht="18" customHeight="1" x14ac:dyDescent="0.55000000000000004">
      <c r="A79" s="7113"/>
      <c r="B79" s="3542" t="s">
        <v>406</v>
      </c>
      <c r="C79" s="3542"/>
      <c r="D79" s="3543" cm="1">
        <f t="array" aca="1" ref="D79" ca="1">INDIRECT("'※ 영기팀 작성_가입자'!"&amp;D$1&amp;$Z79, TRUE)</f>
        <v>63487</v>
      </c>
      <c r="E79" s="3543" cm="1">
        <f t="array" aca="1" ref="E79" ca="1">INDIRECT("'※ 영기팀 작성_가입자'!"&amp;E$1&amp;$Z79, TRUE)</f>
        <v>103009</v>
      </c>
      <c r="F79" s="3544" cm="1">
        <f t="array" aca="1" ref="F79" ca="1">INDIRECT("'※ 영기팀 작성_가입자'!"&amp;F$1&amp;$Z79, TRUE)</f>
        <v>5453</v>
      </c>
      <c r="G79" s="3543" cm="1">
        <f t="array" aca="1" ref="G79" ca="1">INDIRECT("'※ 영기팀 작성_가입자'!"&amp;G$1&amp;$Z79, TRUE)</f>
        <v>8121</v>
      </c>
      <c r="H79" s="3543" cm="1">
        <f t="array" aca="1" ref="H79" ca="1">INDIRECT("'※ 영기팀 작성_가입자'!"&amp;H$1&amp;$Z79, TRUE)</f>
        <v>5823</v>
      </c>
      <c r="I79" s="3543" cm="1">
        <f t="array" aca="1" ref="I79" ca="1">INDIRECT("'※ 영기팀 작성_가입자'!"&amp;I$1&amp;$Z79, TRUE)</f>
        <v>8295</v>
      </c>
      <c r="J79" s="3543" cm="1">
        <f t="array" aca="1" ref="J79" ca="1">INDIRECT("'※ 영기팀 작성_가입자'!"&amp;J$1&amp;$Z79, TRUE)</f>
        <v>11803</v>
      </c>
      <c r="K79" s="3543" cm="1">
        <f t="array" aca="1" ref="K79" ca="1">INDIRECT("'※ 영기팀 작성_가입자'!"&amp;K$1&amp;$Z79, TRUE)</f>
        <v>10340</v>
      </c>
      <c r="L79" s="7572" cm="1">
        <f t="array" aca="1" ref="L79" ca="1">INDIRECT("'※ 영기팀 작성_가입자'!"&amp;L$1&amp;$Z79, TRUE)</f>
        <v>11364</v>
      </c>
      <c r="M79" s="3543" cm="1">
        <f t="array" aca="1" ref="M79" ca="1">INDIRECT("'※ 영기팀 작성_가입자'!"&amp;M$1&amp;$Z79, TRUE)</f>
        <v>11767</v>
      </c>
      <c r="N79" s="3543" cm="1">
        <f t="array" aca="1" ref="N79" ca="1">INDIRECT("'※ 영기팀 작성_가입자'!"&amp;N$1&amp;$Z79, TRUE)</f>
        <v>5583</v>
      </c>
      <c r="O79" s="3545" cm="1">
        <f t="array" aca="1" ref="O79" ca="1">INDIRECT("'※ 영기팀 작성_가입자'!"&amp;O$1&amp;$AA79, TRUE)</f>
        <v>7103</v>
      </c>
      <c r="P79" s="3545" cm="1">
        <f t="array" aca="1" ref="P79" ca="1">INDIRECT("'※ 영기팀 작성_가입자'!"&amp;P$1&amp;$AA79, TRUE)</f>
        <v>-1520</v>
      </c>
      <c r="Q79" s="3546" cm="1">
        <f t="array" aca="1" ref="Q79" ca="1">INDIRECT("'※ 영기팀 작성_가입자'!"&amp;Q$1&amp;$AA79, TRUE)</f>
        <v>0.78600591299450939</v>
      </c>
      <c r="R79" s="3547" cm="1">
        <f t="array" aca="1" ref="R79" ca="1">INDIRECT("'※ 영기팀 작성_가입자'!"&amp;R$1&amp;$Z79, TRUE)</f>
        <v>-6184</v>
      </c>
      <c r="S79" s="3548" cm="1">
        <f t="array" aca="1" ref="S79" ca="1">INDIRECT("'※ 영기팀 작성_가입자'!"&amp;S$1&amp;$Z79, TRUE)</f>
        <v>-2538</v>
      </c>
      <c r="T79" s="3549" cm="1">
        <f t="array" aca="1" ref="T79" ca="1">INDIRECT("'※ 영기팀 작성_가입자'!"&amp;T$1&amp;$Z79, TRUE)</f>
        <v>17350</v>
      </c>
      <c r="U79" s="3548" cm="1">
        <f t="array" aca="1" ref="U79" ca="1">INDIRECT("'※ 영기팀 작성_가입자'!"&amp;U$1&amp;$AA79, TRUE)</f>
        <v>2119</v>
      </c>
      <c r="V79" s="3546" cm="1">
        <f t="array" aca="1" ref="V79" ca="1">INDIRECT("'※ 영기팀 작성_가입자'!"&amp;V$1&amp;$AA79, TRUE)</f>
        <v>1.139124154684525</v>
      </c>
      <c r="W79" s="3594" cm="1">
        <f t="array" aca="1" ref="W79" ca="1">INDIRECT("'※ 영기팀 작성_가입자'!"&amp;W$2&amp;$Z79, TRUE)</f>
        <v>3776</v>
      </c>
      <c r="X79" s="3595" cm="1">
        <f t="array" aca="1" ref="X79" ca="1">INDIRECT("'※ 영기팀 작성_가입자'!"&amp;X$1&amp;$Z79, TRUE)</f>
        <v>8675</v>
      </c>
      <c r="Y79" s="3596" cm="1">
        <f t="array" aca="1" ref="Y79" ca="1">INDIRECT("'※ 영기팀 작성_가입자'!"&amp;Y$1&amp;$Z79, TRUE)</f>
        <v>3293.5000000000009</v>
      </c>
      <c r="Z79" s="2988">
        <f>ROW('※ 영기팀 작성_가입자'!AH42)</f>
        <v>42</v>
      </c>
      <c r="AA79" s="2984">
        <f>ROW('※ 영기팀 작성_가입자'!AI321)</f>
        <v>321</v>
      </c>
    </row>
    <row r="80" spans="1:31" ht="18" customHeight="1" x14ac:dyDescent="0.55000000000000004">
      <c r="A80" s="7113"/>
      <c r="B80" s="3554" t="s">
        <v>79</v>
      </c>
      <c r="C80" s="3555"/>
      <c r="D80" s="3556" cm="1">
        <f t="array" aca="1" ref="D80" ca="1">INDIRECT("'※ 영기팀 작성_가입자'!"&amp;D$1&amp;$Z80, TRUE)</f>
        <v>63682</v>
      </c>
      <c r="E80" s="3556" cm="1">
        <f t="array" aca="1" ref="E80" ca="1">INDIRECT("'※ 영기팀 작성_가입자'!"&amp;E$1&amp;$Z80, TRUE)</f>
        <v>74300</v>
      </c>
      <c r="F80" s="3557" cm="1">
        <f t="array" aca="1" ref="F80" ca="1">INDIRECT("'※ 영기팀 작성_가입자'!"&amp;F$1&amp;$Z80, TRUE)</f>
        <v>4755</v>
      </c>
      <c r="G80" s="3556" cm="1">
        <f t="array" aca="1" ref="G80" ca="1">INDIRECT("'※ 영기팀 작성_가입자'!"&amp;G$1&amp;$Z80, TRUE)</f>
        <v>6481</v>
      </c>
      <c r="H80" s="3556" cm="1">
        <f t="array" aca="1" ref="H80" ca="1">INDIRECT("'※ 영기팀 작성_가입자'!"&amp;H$1&amp;$Z80, TRUE)</f>
        <v>5055</v>
      </c>
      <c r="I80" s="3556" cm="1">
        <f t="array" aca="1" ref="I80" ca="1">INDIRECT("'※ 영기팀 작성_가입자'!"&amp;I$1&amp;$Z80, TRUE)</f>
        <v>6165</v>
      </c>
      <c r="J80" s="3556" cm="1">
        <f t="array" aca="1" ref="J80" ca="1">INDIRECT("'※ 영기팀 작성_가입자'!"&amp;J$1&amp;$Z80, TRUE)</f>
        <v>8459</v>
      </c>
      <c r="K80" s="3556" cm="1">
        <f t="array" aca="1" ref="K80" ca="1">INDIRECT("'※ 영기팀 작성_가입자'!"&amp;K$1&amp;$Z80, TRUE)</f>
        <v>6828</v>
      </c>
      <c r="L80" s="7573" cm="1">
        <f t="array" aca="1" ref="L80" ca="1">INDIRECT("'※ 영기팀 작성_가입자'!"&amp;L$1&amp;$Z80, TRUE)</f>
        <v>8262</v>
      </c>
      <c r="M80" s="3556" cm="1">
        <f t="array" aca="1" ref="M80" ca="1">INDIRECT("'※ 영기팀 작성_가입자'!"&amp;M$1&amp;$Z80, TRUE)</f>
        <v>8181</v>
      </c>
      <c r="N80" s="3556" cm="1">
        <f t="array" aca="1" ref="N80" ca="1">INDIRECT("'※ 영기팀 작성_가입자'!"&amp;N$1&amp;$Z80, TRUE)</f>
        <v>3740</v>
      </c>
      <c r="O80" s="3558" cm="1">
        <f t="array" aca="1" ref="O80" ca="1">INDIRECT("'※ 영기팀 작성_가입자'!"&amp;O$1&amp;$AA80, TRUE)</f>
        <v>6587</v>
      </c>
      <c r="P80" s="3558" cm="1">
        <f t="array" aca="1" ref="P80" ca="1">INDIRECT("'※ 영기팀 작성_가입자'!"&amp;P$1&amp;$AA80, TRUE)</f>
        <v>-2847</v>
      </c>
      <c r="Q80" s="3559" cm="1">
        <f t="array" aca="1" ref="Q80" ca="1">INDIRECT("'※ 영기팀 작성_가입자'!"&amp;Q$1&amp;$AA80, TRUE)</f>
        <v>0.56778503112190681</v>
      </c>
      <c r="R80" s="3560" cm="1">
        <f t="array" aca="1" ref="R80" ca="1">INDIRECT("'※ 영기팀 작성_가입자'!"&amp;R$1&amp;$Z80, TRUE)</f>
        <v>-4441</v>
      </c>
      <c r="S80" s="3561" cm="1">
        <f t="array" aca="1" ref="S80" ca="1">INDIRECT("'※ 영기팀 작성_가입자'!"&amp;S$1&amp;$Z80, TRUE)</f>
        <v>-2741</v>
      </c>
      <c r="T80" s="3562" cm="1">
        <f t="array" aca="1" ref="T80" ca="1">INDIRECT("'※ 영기팀 작성_가입자'!"&amp;T$1&amp;$Z80, TRUE)</f>
        <v>11921</v>
      </c>
      <c r="U80" s="3561" cm="1">
        <f t="array" aca="1" ref="U80" ca="1">INDIRECT("'※ 영기팀 작성_가입자'!"&amp;U$1&amp;$AA80, TRUE)</f>
        <v>-1538</v>
      </c>
      <c r="V80" s="3559" cm="1">
        <f t="array" aca="1" ref="V80" ca="1">INDIRECT("'※ 영기팀 작성_가입자'!"&amp;V$1&amp;$AA80, TRUE)</f>
        <v>0.88572702281001559</v>
      </c>
      <c r="W80" s="3597" cm="1">
        <f t="array" aca="1" ref="W80" ca="1">INDIRECT("'※ 영기팀 작성_가입자'!"&amp;W$2&amp;$Z80, TRUE)</f>
        <v>685</v>
      </c>
      <c r="X80" s="3598" cm="1">
        <f t="array" aca="1" ref="X80" ca="1">INDIRECT("'※ 영기팀 작성_가입자'!"&amp;X$1&amp;$Z80, TRUE)</f>
        <v>5960.5</v>
      </c>
      <c r="Y80" s="3599" cm="1">
        <f t="array" aca="1" ref="Y80" ca="1">INDIRECT("'※ 영기팀 작성_가입자'!"&amp;Y$1&amp;$Z80, TRUE)</f>
        <v>884.83333333333394</v>
      </c>
      <c r="Z80" s="2988">
        <f>ROW('※ 영기팀 작성_가입자'!AH43)</f>
        <v>43</v>
      </c>
      <c r="AA80" s="2984">
        <f>ROW('※ 영기팀 작성_가입자'!AI322)</f>
        <v>322</v>
      </c>
    </row>
    <row r="81" spans="1:28" ht="18" customHeight="1" x14ac:dyDescent="0.55000000000000004">
      <c r="A81" s="7113"/>
      <c r="B81" s="673" t="s">
        <v>67</v>
      </c>
      <c r="C81" s="681"/>
      <c r="D81" s="2922" cm="1">
        <f t="array" aca="1" ref="D81" ca="1">INDIRECT("'※ 영기팀 작성_가입자'!"&amp;D$1&amp;$Z81, TRUE)</f>
        <v>33149</v>
      </c>
      <c r="E81" s="2922" cm="1">
        <f t="array" aca="1" ref="E81" ca="1">INDIRECT("'※ 영기팀 작성_가입자'!"&amp;E$1&amp;$Z81, TRUE)</f>
        <v>45461</v>
      </c>
      <c r="F81" s="3503" cm="1">
        <f t="array" aca="1" ref="F81" ca="1">INDIRECT("'※ 영기팀 작성_가입자'!"&amp;F$1&amp;$Z81, TRUE)</f>
        <v>2099</v>
      </c>
      <c r="G81" s="2922" cm="1">
        <f t="array" aca="1" ref="G81" ca="1">INDIRECT("'※ 영기팀 작성_가입자'!"&amp;G$1&amp;$Z81, TRUE)</f>
        <v>3289</v>
      </c>
      <c r="H81" s="2922" cm="1">
        <f t="array" aca="1" ref="H81" ca="1">INDIRECT("'※ 영기팀 작성_가입자'!"&amp;H$1&amp;$Z81, TRUE)</f>
        <v>2330</v>
      </c>
      <c r="I81" s="2922" cm="1">
        <f t="array" aca="1" ref="I81" ca="1">INDIRECT("'※ 영기팀 작성_가입자'!"&amp;I$1&amp;$Z81, TRUE)</f>
        <v>2883</v>
      </c>
      <c r="J81" s="2922" cm="1">
        <f t="array" aca="1" ref="J81" ca="1">INDIRECT("'※ 영기팀 작성_가입자'!"&amp;J$1&amp;$Z81, TRUE)</f>
        <v>4678</v>
      </c>
      <c r="K81" s="2922" cm="1">
        <f t="array" aca="1" ref="K81" ca="1">INDIRECT("'※ 영기팀 작성_가입자'!"&amp;K$1&amp;$Z81, TRUE)</f>
        <v>3094</v>
      </c>
      <c r="L81" s="7567" cm="1">
        <f t="array" aca="1" ref="L81" ca="1">INDIRECT("'※ 영기팀 작성_가입자'!"&amp;L$1&amp;$Z81, TRUE)</f>
        <v>5455</v>
      </c>
      <c r="M81" s="2922" cm="1">
        <f t="array" aca="1" ref="M81" ca="1">INDIRECT("'※ 영기팀 작성_가입자'!"&amp;M$1&amp;$Z81, TRUE)</f>
        <v>7432.9999999999991</v>
      </c>
      <c r="N81" s="2922" cm="1">
        <f t="array" aca="1" ref="N81" ca="1">INDIRECT("'※ 영기팀 작성_가입자'!"&amp;N$1&amp;$Z81, TRUE)</f>
        <v>3421.9999999999995</v>
      </c>
      <c r="O81" s="3505" cm="1">
        <f t="array" aca="1" ref="O81" ca="1">INDIRECT("'※ 영기팀 작성_가입자'!"&amp;O$1&amp;$AA81, TRUE)</f>
        <v>4721</v>
      </c>
      <c r="P81" s="3505" cm="1">
        <f t="array" aca="1" ref="P81" ca="1">INDIRECT("'※ 영기팀 작성_가입자'!"&amp;P$1&amp;$AA81, TRUE)</f>
        <v>-1299.0000000000005</v>
      </c>
      <c r="Q81" s="3565" cm="1">
        <f t="array" aca="1" ref="Q81" ca="1">INDIRECT("'※ 영기팀 작성_가입자'!"&amp;Q$1&amp;$AA81, TRUE)</f>
        <v>0.72484643084092348</v>
      </c>
      <c r="R81" s="3566" cm="1">
        <f t="array" aca="1" ref="R81" ca="1">INDIRECT("'※ 영기팀 작성_가입자'!"&amp;R$1&amp;$Z81, TRUE)</f>
        <v>-4010.9999999999995</v>
      </c>
      <c r="S81" s="3567" cm="1">
        <f t="array" aca="1" ref="S81" ca="1">INDIRECT("'※ 영기팀 작성_가입자'!"&amp;S$1&amp;$Z81, TRUE)</f>
        <v>132.99999999999955</v>
      </c>
      <c r="T81" s="3506" cm="1">
        <f t="array" aca="1" ref="T81" ca="1">INDIRECT("'※ 영기팀 작성_가입자'!"&amp;T$1&amp;$Z81, TRUE)</f>
        <v>10854.999999999998</v>
      </c>
      <c r="U81" s="3567" cm="1">
        <f t="array" aca="1" ref="U81" ca="1">INDIRECT("'※ 영기팀 작성_가입자'!"&amp;U$1&amp;$AA81, TRUE)</f>
        <v>1202.9999999999982</v>
      </c>
      <c r="V81" s="3565" cm="1">
        <f t="array" aca="1" ref="V81" ca="1">INDIRECT("'※ 영기팀 작성_가입자'!"&amp;V$1&amp;$AA81, TRUE)</f>
        <v>1.1246373808537089</v>
      </c>
      <c r="W81" s="3568" cm="1">
        <f t="array" aca="1" ref="W81" ca="1">INDIRECT("'※ 영기팀 작성_가입자'!"&amp;W$2&amp;$Z81, TRUE)</f>
        <v>5466.9999999999982</v>
      </c>
      <c r="X81" s="3469" cm="1">
        <f t="array" aca="1" ref="X81" ca="1">INDIRECT("'※ 영기팀 작성_가입자'!"&amp;X$1&amp;$Z81, TRUE)</f>
        <v>5427.4999999999991</v>
      </c>
      <c r="Y81" s="3569" cm="1">
        <f t="array" aca="1" ref="Y81" ca="1">INDIRECT("'※ 영기팀 작성_가입자'!"&amp;Y$1&amp;$Z81, TRUE)</f>
        <v>1026</v>
      </c>
      <c r="Z81" s="2988">
        <f>ROW('※ 영기팀 작성_가입자'!AH44)</f>
        <v>44</v>
      </c>
      <c r="AA81" s="2984">
        <f>ROW('※ 영기팀 작성_가입자'!AI323)</f>
        <v>323</v>
      </c>
    </row>
    <row r="82" spans="1:28" ht="18" customHeight="1" x14ac:dyDescent="0.55000000000000004">
      <c r="A82" s="7113"/>
      <c r="B82" s="673" t="s">
        <v>68</v>
      </c>
      <c r="C82" s="681"/>
      <c r="D82" s="2922" cm="1">
        <f t="array" aca="1" ref="D82" ca="1">INDIRECT("'※ 영기팀 작성_가입자'!"&amp;D$1&amp;$Z82, TRUE)</f>
        <v>33062</v>
      </c>
      <c r="E82" s="2922" cm="1">
        <f t="array" aca="1" ref="E82" ca="1">INDIRECT("'※ 영기팀 작성_가입자'!"&amp;E$1&amp;$Z82, TRUE)</f>
        <v>38245</v>
      </c>
      <c r="F82" s="3503" cm="1">
        <f t="array" aca="1" ref="F82" ca="1">INDIRECT("'※ 영기팀 작성_가입자'!"&amp;F$1&amp;$Z82, TRUE)</f>
        <v>1978</v>
      </c>
      <c r="G82" s="2922" cm="1">
        <f t="array" aca="1" ref="G82" ca="1">INDIRECT("'※ 영기팀 작성_가입자'!"&amp;G$1&amp;$Z82, TRUE)</f>
        <v>3382</v>
      </c>
      <c r="H82" s="2922" cm="1">
        <f t="array" aca="1" ref="H82" ca="1">INDIRECT("'※ 영기팀 작성_가입자'!"&amp;H$1&amp;$Z82, TRUE)</f>
        <v>2285</v>
      </c>
      <c r="I82" s="2922" cm="1">
        <f t="array" aca="1" ref="I82" ca="1">INDIRECT("'※ 영기팀 작성_가입자'!"&amp;I$1&amp;$Z82, TRUE)</f>
        <v>2628</v>
      </c>
      <c r="J82" s="2922" cm="1">
        <f t="array" aca="1" ref="J82" ca="1">INDIRECT("'※ 영기팀 작성_가입자'!"&amp;J$1&amp;$Z82, TRUE)</f>
        <v>4532</v>
      </c>
      <c r="K82" s="2922" cm="1">
        <f t="array" aca="1" ref="K82" ca="1">INDIRECT("'※ 영기팀 작성_가입자'!"&amp;K$1&amp;$Z82, TRUE)</f>
        <v>3187</v>
      </c>
      <c r="L82" s="7567" cm="1">
        <f t="array" aca="1" ref="L82" ca="1">INDIRECT("'※ 영기팀 작성_가입자'!"&amp;L$1&amp;$Z82, TRUE)</f>
        <v>3574.0000000000005</v>
      </c>
      <c r="M82" s="2922" cm="1">
        <f t="array" aca="1" ref="M82" ca="1">INDIRECT("'※ 영기팀 작성_가입자'!"&amp;M$1&amp;$Z82, TRUE)</f>
        <v>4774</v>
      </c>
      <c r="N82" s="2922" cm="1">
        <f t="array" aca="1" ref="N82" ca="1">INDIRECT("'※ 영기팀 작성_가입자'!"&amp;N$1&amp;$Z82, TRUE)</f>
        <v>2259</v>
      </c>
      <c r="O82" s="3505" cm="1">
        <f t="array" aca="1" ref="O82" ca="1">INDIRECT("'※ 영기팀 작성_가입자'!"&amp;O$1&amp;$AA82, TRUE)</f>
        <v>3284</v>
      </c>
      <c r="P82" s="3505" cm="1">
        <f t="array" aca="1" ref="P82" ca="1">INDIRECT("'※ 영기팀 작성_가입자'!"&amp;P$1&amp;$AA82, TRUE)</f>
        <v>-1025</v>
      </c>
      <c r="Q82" s="3565" cm="1">
        <f t="array" aca="1" ref="Q82" ca="1">INDIRECT("'※ 영기팀 작성_가입자'!"&amp;Q$1&amp;$AA82, TRUE)</f>
        <v>0.68788063337393424</v>
      </c>
      <c r="R82" s="3566" cm="1">
        <f t="array" aca="1" ref="R82" ca="1">INDIRECT("'※ 영기팀 작성_가입자'!"&amp;R$1&amp;$Z82, TRUE)</f>
        <v>-2515</v>
      </c>
      <c r="S82" s="3567" cm="1">
        <f t="array" aca="1" ref="S82" ca="1">INDIRECT("'※ 영기팀 작성_가입자'!"&amp;S$1&amp;$Z82, TRUE)</f>
        <v>-1123</v>
      </c>
      <c r="T82" s="3506" cm="1">
        <f t="array" aca="1" ref="T82" ca="1">INDIRECT("'※ 영기팀 작성_가입자'!"&amp;T$1&amp;$Z82, TRUE)</f>
        <v>7033</v>
      </c>
      <c r="U82" s="3567" cm="1">
        <f t="array" aca="1" ref="U82" ca="1">INDIRECT("'※ 영기팀 작성_가입자'!"&amp;U$1&amp;$AA82, TRUE)</f>
        <v>284</v>
      </c>
      <c r="V82" s="3565" cm="1">
        <f t="array" aca="1" ref="V82" ca="1">INDIRECT("'※ 영기팀 작성_가입자'!"&amp;V$1&amp;$AA82, TRUE)</f>
        <v>1.0420803081938066</v>
      </c>
      <c r="W82" s="3568" cm="1">
        <f t="array" aca="1" ref="W82" ca="1">INDIRECT("'※ 영기팀 작성_가입자'!"&amp;W$2&amp;$Z82, TRUE)</f>
        <v>1673</v>
      </c>
      <c r="X82" s="3469" cm="1">
        <f t="array" aca="1" ref="X82" ca="1">INDIRECT("'※ 영기팀 작성_가입자'!"&amp;X$1&amp;$Z82, TRUE)</f>
        <v>3516.5</v>
      </c>
      <c r="Y82" s="3569" cm="1">
        <f t="array" aca="1" ref="Y82" ca="1">INDIRECT("'※ 영기팀 작성_가입자'!"&amp;Y$1&amp;$Z82, TRUE)</f>
        <v>431.91666666666697</v>
      </c>
      <c r="Z82" s="2988">
        <f>ROW('※ 영기팀 작성_가입자'!AH45)</f>
        <v>45</v>
      </c>
      <c r="AA82" s="2984">
        <f>ROW('※ 영기팀 작성_가입자'!AI324)</f>
        <v>324</v>
      </c>
    </row>
    <row r="83" spans="1:28" ht="18" customHeight="1" x14ac:dyDescent="0.55000000000000004">
      <c r="A83" s="7113"/>
      <c r="B83" s="673" t="s">
        <v>69</v>
      </c>
      <c r="C83" s="3163"/>
      <c r="D83" s="2922" cm="1">
        <f t="array" aca="1" ref="D83" ca="1">INDIRECT("'※ 영기팀 작성_가입자'!"&amp;D$1&amp;$Z83, TRUE)</f>
        <v>32901</v>
      </c>
      <c r="E83" s="2922" cm="1">
        <f t="array" aca="1" ref="E83" ca="1">INDIRECT("'※ 영기팀 작성_가입자'!"&amp;E$1&amp;$Z83, TRUE)</f>
        <v>40878</v>
      </c>
      <c r="F83" s="3503" cm="1">
        <f t="array" aca="1" ref="F83" ca="1">INDIRECT("'※ 영기팀 작성_가입자'!"&amp;F$1&amp;$Z83, TRUE)</f>
        <v>2136</v>
      </c>
      <c r="G83" s="2922" cm="1">
        <f t="array" aca="1" ref="G83" ca="1">INDIRECT("'※ 영기팀 작성_가입자'!"&amp;G$1&amp;$Z83, TRUE)</f>
        <v>3316</v>
      </c>
      <c r="H83" s="2922" cm="1">
        <f t="array" aca="1" ref="H83" ca="1">INDIRECT("'※ 영기팀 작성_가입자'!"&amp;H$1&amp;$Z83, TRUE)</f>
        <v>2740</v>
      </c>
      <c r="I83" s="2922" cm="1">
        <f t="array" aca="1" ref="I83" ca="1">INDIRECT("'※ 영기팀 작성_가입자'!"&amp;I$1&amp;$Z83, TRUE)</f>
        <v>3072</v>
      </c>
      <c r="J83" s="2922" cm="1">
        <f t="array" aca="1" ref="J83" ca="1">INDIRECT("'※ 영기팀 작성_가입자'!"&amp;J$1&amp;$Z83, TRUE)</f>
        <v>4850</v>
      </c>
      <c r="K83" s="2922" cm="1">
        <f t="array" aca="1" ref="K83" ca="1">INDIRECT("'※ 영기팀 작성_가입자'!"&amp;K$1&amp;$Z83, TRUE)</f>
        <v>3477.0000000000005</v>
      </c>
      <c r="L83" s="7567" cm="1">
        <f t="array" aca="1" ref="L83" ca="1">INDIRECT("'※ 영기팀 작성_가입자'!"&amp;L$1&amp;$Z83, TRUE)</f>
        <v>4177</v>
      </c>
      <c r="M83" s="2922" cm="1">
        <f t="array" aca="1" ref="M83" ca="1">INDIRECT("'※ 영기팀 작성_가입자'!"&amp;M$1&amp;$Z83, TRUE)</f>
        <v>5494</v>
      </c>
      <c r="N83" s="2922" cm="1">
        <f t="array" aca="1" ref="N83" ca="1">INDIRECT("'※ 영기팀 작성_가입자'!"&amp;N$1&amp;$Z83, TRUE)</f>
        <v>2383</v>
      </c>
      <c r="O83" s="3505" cm="1">
        <f t="array" aca="1" ref="O83" ca="1">INDIRECT("'※ 영기팀 작성_가입자'!"&amp;O$1&amp;$AA83, TRUE)</f>
        <v>3305</v>
      </c>
      <c r="P83" s="3505" cm="1">
        <f t="array" aca="1" ref="P83" ca="1">INDIRECT("'※ 영기팀 작성_가입자'!"&amp;P$1&amp;$AA83, TRUE)</f>
        <v>-922</v>
      </c>
      <c r="Q83" s="3565" cm="1">
        <f t="array" aca="1" ref="Q83" ca="1">INDIRECT("'※ 영기팀 작성_가입자'!"&amp;Q$1&amp;$AA83, TRUE)</f>
        <v>0.72102874432677766</v>
      </c>
      <c r="R83" s="3566" cm="1">
        <f t="array" aca="1" ref="R83" ca="1">INDIRECT("'※ 영기팀 작성_가입자'!"&amp;R$1&amp;$Z83, TRUE)</f>
        <v>-3111</v>
      </c>
      <c r="S83" s="3567" cm="1">
        <f t="array" aca="1" ref="S83" ca="1">INDIRECT("'※ 영기팀 작성_가입자'!"&amp;S$1&amp;$Z83, TRUE)</f>
        <v>-933</v>
      </c>
      <c r="T83" s="3506" cm="1">
        <f t="array" aca="1" ref="T83" ca="1">INDIRECT("'※ 영기팀 작성_가입자'!"&amp;T$1&amp;$Z83, TRUE)</f>
        <v>7877</v>
      </c>
      <c r="U83" s="3567" cm="1">
        <f t="array" aca="1" ref="U83" ca="1">INDIRECT("'※ 영기팀 작성_가입자'!"&amp;U$1&amp;$AA83, TRUE)</f>
        <v>968</v>
      </c>
      <c r="V83" s="3565" cm="1">
        <f t="array" aca="1" ref="V83" ca="1">INDIRECT("'※ 영기팀 작성_가입자'!"&amp;V$1&amp;$AA83, TRUE)</f>
        <v>1.1401071066724562</v>
      </c>
      <c r="W83" s="3568" cm="1">
        <f t="array" aca="1" ref="W83" ca="1">INDIRECT("'※ 영기팀 작성_가입자'!"&amp;W$2&amp;$Z83, TRUE)</f>
        <v>2425</v>
      </c>
      <c r="X83" s="3469" cm="1">
        <f t="array" aca="1" ref="X83" ca="1">INDIRECT("'※ 영기팀 작성_가입자'!"&amp;X$1&amp;$Z83, TRUE)</f>
        <v>3938.5</v>
      </c>
      <c r="Y83" s="3569" cm="1">
        <f t="array" aca="1" ref="Y83" ca="1">INDIRECT("'※ 영기팀 작성_가입자'!"&amp;Y$1&amp;$Z83, TRUE)</f>
        <v>664.75</v>
      </c>
      <c r="Z83" s="2988">
        <f>ROW('※ 영기팀 작성_가입자'!AH46)</f>
        <v>46</v>
      </c>
      <c r="AA83" s="2984">
        <f>ROW('※ 영기팀 작성_가입자'!AI325)</f>
        <v>325</v>
      </c>
    </row>
    <row r="84" spans="1:28" ht="18" customHeight="1" x14ac:dyDescent="0.55000000000000004">
      <c r="A84" s="7113"/>
      <c r="B84" s="673" t="s">
        <v>72</v>
      </c>
      <c r="C84" s="3163"/>
      <c r="D84" s="2922" cm="1">
        <f t="array" aca="1" ref="D84" ca="1">INDIRECT("'※ 영기팀 작성_가입자'!"&amp;D$1&amp;$Z84, TRUE)</f>
        <v>38832</v>
      </c>
      <c r="E84" s="2922" cm="1">
        <f t="array" aca="1" ref="E84" ca="1">INDIRECT("'※ 영기팀 작성_가입자'!"&amp;E$1&amp;$Z84, TRUE)</f>
        <v>65172</v>
      </c>
      <c r="F84" s="3503" cm="1">
        <f t="array" aca="1" ref="F84" ca="1">INDIRECT("'※ 영기팀 작성_가입자'!"&amp;F$1&amp;$Z84, TRUE)</f>
        <v>3445.0000000000005</v>
      </c>
      <c r="G84" s="2922" cm="1">
        <f t="array" aca="1" ref="G84" ca="1">INDIRECT("'※ 영기팀 작성_가입자'!"&amp;G$1&amp;$Z84, TRUE)</f>
        <v>5091</v>
      </c>
      <c r="H84" s="2922" cm="1">
        <f t="array" aca="1" ref="H84" ca="1">INDIRECT("'※ 영기팀 작성_가입자'!"&amp;H$1&amp;$Z84, TRUE)</f>
        <v>3742</v>
      </c>
      <c r="I84" s="2922" cm="1">
        <f t="array" aca="1" ref="I84" ca="1">INDIRECT("'※ 영기팀 작성_가입자'!"&amp;I$1&amp;$Z84, TRUE)</f>
        <v>5422</v>
      </c>
      <c r="J84" s="2922" cm="1">
        <f t="array" aca="1" ref="J84" ca="1">INDIRECT("'※ 영기팀 작성_가입자'!"&amp;J$1&amp;$Z84, TRUE)</f>
        <v>7616.9999999999991</v>
      </c>
      <c r="K84" s="2922" cm="1">
        <f t="array" aca="1" ref="K84" ca="1">INDIRECT("'※ 영기팀 작성_가입자'!"&amp;K$1&amp;$Z84, TRUE)</f>
        <v>6801.0000000000009</v>
      </c>
      <c r="L84" s="7567" cm="1">
        <f t="array" aca="1" ref="L84" ca="1">INDIRECT("'※ 영기팀 작성_가입자'!"&amp;L$1&amp;$Z84, TRUE)</f>
        <v>7570</v>
      </c>
      <c r="M84" s="2922" cm="1">
        <f t="array" aca="1" ref="M84" ca="1">INDIRECT("'※ 영기팀 작성_가입자'!"&amp;M$1&amp;$Z84, TRUE)</f>
        <v>6852</v>
      </c>
      <c r="N84" s="2922" cm="1">
        <f t="array" aca="1" ref="N84" ca="1">INDIRECT("'※ 영기팀 작성_가입자'!"&amp;N$1&amp;$Z84, TRUE)</f>
        <v>3487.9999999999995</v>
      </c>
      <c r="O84" s="3505" cm="1">
        <f t="array" aca="1" ref="O84" ca="1">INDIRECT("'※ 영기팀 작성_가입자'!"&amp;O$1&amp;$AA84, TRUE)</f>
        <v>4324</v>
      </c>
      <c r="P84" s="3505" cm="1">
        <f t="array" aca="1" ref="P84" ca="1">INDIRECT("'※ 영기팀 작성_가입자'!"&amp;P$1&amp;$AA84, TRUE)</f>
        <v>-836.00000000000045</v>
      </c>
      <c r="Q84" s="3565" cm="1">
        <f t="array" aca="1" ref="Q84" ca="1">INDIRECT("'※ 영기팀 작성_가입자'!"&amp;Q$1&amp;$AA84, TRUE)</f>
        <v>0.80666049953746521</v>
      </c>
      <c r="R84" s="3566" cm="1">
        <f t="array" aca="1" ref="R84" ca="1">INDIRECT("'※ 영기팀 작성_가입자'!"&amp;R$1&amp;$Z84, TRUE)</f>
        <v>-3364.0000000000005</v>
      </c>
      <c r="S84" s="3567" cm="1">
        <f t="array" aca="1" ref="S84" ca="1">INDIRECT("'※ 영기팀 작성_가입자'!"&amp;S$1&amp;$Z84, TRUE)</f>
        <v>-1603.0000000000005</v>
      </c>
      <c r="T84" s="3506" cm="1">
        <f t="array" aca="1" ref="T84" ca="1">INDIRECT("'※ 영기팀 작성_가입자'!"&amp;T$1&amp;$Z84, TRUE)</f>
        <v>10340</v>
      </c>
      <c r="U84" s="3567" cm="1">
        <f t="array" aca="1" ref="U84" ca="1">INDIRECT("'※ 영기팀 작성_가입자'!"&amp;U$1&amp;$AA84, TRUE)</f>
        <v>899</v>
      </c>
      <c r="V84" s="3565" cm="1">
        <f t="array" aca="1" ref="V84" ca="1">INDIRECT("'※ 영기팀 작성_가입자'!"&amp;V$1&amp;$AA84, TRUE)</f>
        <v>1.0952229636691029</v>
      </c>
      <c r="W84" s="3568" cm="1">
        <f t="array" aca="1" ref="W84" ca="1">INDIRECT("'※ 영기팀 작성_가입자'!"&amp;W$2&amp;$Z84, TRUE)</f>
        <v>1804</v>
      </c>
      <c r="X84" s="3469" cm="1">
        <f t="array" aca="1" ref="X84" ca="1">INDIRECT("'※ 영기팀 작성_가입자'!"&amp;X$1&amp;$Z84, TRUE)</f>
        <v>5170</v>
      </c>
      <c r="Y84" s="3569" cm="1">
        <f t="array" aca="1" ref="Y84" ca="1">INDIRECT("'※ 영기팀 작성_가입자'!"&amp;Y$1&amp;$Z84, TRUE)</f>
        <v>2195</v>
      </c>
      <c r="Z84" s="2988">
        <f>ROW('※ 영기팀 작성_가입자'!AH47)</f>
        <v>47</v>
      </c>
      <c r="AA84" s="2984">
        <f>ROW('※ 영기팀 작성_가입자'!AI326)</f>
        <v>326</v>
      </c>
    </row>
    <row r="85" spans="1:28" ht="18" customHeight="1" x14ac:dyDescent="0.55000000000000004">
      <c r="A85" s="7113"/>
      <c r="B85" s="673" t="s">
        <v>73</v>
      </c>
      <c r="C85" s="3163"/>
      <c r="D85" s="2922" cm="1">
        <f t="array" aca="1" ref="D85" ca="1">INDIRECT("'※ 영기팀 작성_가입자'!"&amp;D$1&amp;$Z85, TRUE)</f>
        <v>24655</v>
      </c>
      <c r="E85" s="2922" cm="1">
        <f t="array" aca="1" ref="E85" ca="1">INDIRECT("'※ 영기팀 작성_가입자'!"&amp;E$1&amp;$Z85, TRUE)</f>
        <v>37837</v>
      </c>
      <c r="F85" s="3503" cm="1">
        <f t="array" aca="1" ref="F85" ca="1">INDIRECT("'※ 영기팀 작성_가입자'!"&amp;F$1&amp;$Z85, TRUE)</f>
        <v>2007.9999999999998</v>
      </c>
      <c r="G85" s="2922" cm="1">
        <f t="array" aca="1" ref="G85" ca="1">INDIRECT("'※ 영기팀 작성_가입자'!"&amp;G$1&amp;$Z85, TRUE)</f>
        <v>3030</v>
      </c>
      <c r="H85" s="2922" cm="1">
        <f t="array" aca="1" ref="H85" ca="1">INDIRECT("'※ 영기팀 작성_가입자'!"&amp;H$1&amp;$Z85, TRUE)</f>
        <v>2081</v>
      </c>
      <c r="I85" s="2922" cm="1">
        <f t="array" aca="1" ref="I85" ca="1">INDIRECT("'※ 영기팀 작성_가입자'!"&amp;I$1&amp;$Z85, TRUE)</f>
        <v>2873</v>
      </c>
      <c r="J85" s="2922" cm="1">
        <f t="array" aca="1" ref="J85" ca="1">INDIRECT("'※ 영기팀 작성_가입자'!"&amp;J$1&amp;$Z85, TRUE)</f>
        <v>4186</v>
      </c>
      <c r="K85" s="2922" cm="1">
        <f t="array" aca="1" ref="K85" ca="1">INDIRECT("'※ 영기팀 작성_가입자'!"&amp;K$1&amp;$Z85, TRUE)</f>
        <v>3539</v>
      </c>
      <c r="L85" s="7567" cm="1">
        <f t="array" aca="1" ref="L85" ca="1">INDIRECT("'※ 영기팀 작성_가입자'!"&amp;L$1&amp;$Z85, TRUE)</f>
        <v>3793.9999999999995</v>
      </c>
      <c r="M85" s="2922" cm="1">
        <f t="array" aca="1" ref="M85" ca="1">INDIRECT("'※ 영기팀 작성_가입자'!"&amp;M$1&amp;$Z85, TRUE)</f>
        <v>4915</v>
      </c>
      <c r="N85" s="2922" cm="1">
        <f t="array" aca="1" ref="N85" ca="1">INDIRECT("'※ 영기팀 작성_가입자'!"&amp;N$1&amp;$Z85, TRUE)</f>
        <v>2095</v>
      </c>
      <c r="O85" s="3505" cm="1">
        <f t="array" aca="1" ref="O85" ca="1">INDIRECT("'※ 영기팀 작성_가입자'!"&amp;O$1&amp;$AA85, TRUE)</f>
        <v>2779</v>
      </c>
      <c r="P85" s="3505" cm="1">
        <f t="array" aca="1" ref="P85" ca="1">INDIRECT("'※ 영기팀 작성_가입자'!"&amp;P$1&amp;$AA85, TRUE)</f>
        <v>-684</v>
      </c>
      <c r="Q85" s="3565" cm="1">
        <f t="array" aca="1" ref="Q85" ca="1">INDIRECT("'※ 영기팀 작성_가입자'!"&amp;Q$1&amp;$AA85, TRUE)</f>
        <v>0.75386829794890253</v>
      </c>
      <c r="R85" s="3566" cm="1">
        <f t="array" aca="1" ref="R85" ca="1">INDIRECT("'※ 영기팀 작성_가입자'!"&amp;R$1&amp;$Z85, TRUE)</f>
        <v>-2820</v>
      </c>
      <c r="S85" s="3567" cm="1">
        <f t="array" aca="1" ref="S85" ca="1">INDIRECT("'※ 영기팀 작성_가입자'!"&amp;S$1&amp;$Z85, TRUE)</f>
        <v>-935</v>
      </c>
      <c r="T85" s="3506" cm="1">
        <f t="array" aca="1" ref="T85" ca="1">INDIRECT("'※ 영기팀 작성_가입자'!"&amp;T$1&amp;$Z85, TRUE)</f>
        <v>7010</v>
      </c>
      <c r="U85" s="3567" cm="1">
        <f t="array" aca="1" ref="U85" ca="1">INDIRECT("'※ 영기팀 작성_가입자'!"&amp;U$1&amp;$AA85, TRUE)</f>
        <v>1220</v>
      </c>
      <c r="V85" s="3565" cm="1">
        <f t="array" aca="1" ref="V85" ca="1">INDIRECT("'※ 영기팀 작성_가입자'!"&amp;V$1&amp;$AA85, TRUE)</f>
        <v>1.2107081174438687</v>
      </c>
      <c r="W85" s="3568" cm="1">
        <f t="array" aca="1" ref="W85" ca="1">INDIRECT("'※ 영기팀 작성_가입자'!"&amp;W$2&amp;$Z85, TRUE)</f>
        <v>1972</v>
      </c>
      <c r="X85" s="3469" cm="1">
        <f t="array" aca="1" ref="X85" ca="1">INDIRECT("'※ 영기팀 작성_가입자'!"&amp;X$1&amp;$Z85, TRUE)</f>
        <v>3505</v>
      </c>
      <c r="Y85" s="3569" cm="1">
        <f t="array" aca="1" ref="Y85" ca="1">INDIRECT("'※ 영기팀 작성_가입자'!"&amp;Y$1&amp;$Z85, TRUE)</f>
        <v>1098.5</v>
      </c>
      <c r="Z85" s="2988">
        <f>ROW('※ 영기팀 작성_가입자'!AH48)</f>
        <v>48</v>
      </c>
      <c r="AA85" s="2984">
        <f>ROW('※ 영기팀 작성_가입자'!AI327)</f>
        <v>327</v>
      </c>
    </row>
    <row r="86" spans="1:28" ht="18" customHeight="1" x14ac:dyDescent="0.55000000000000004">
      <c r="A86" s="7113"/>
      <c r="B86" s="673" t="s">
        <v>74</v>
      </c>
      <c r="C86" s="3163"/>
      <c r="D86" s="2922" cm="1">
        <f t="array" aca="1" ref="D86" ca="1">INDIRECT("'※ 영기팀 작성_가입자'!"&amp;D$1&amp;$Z86, TRUE)</f>
        <v>38286</v>
      </c>
      <c r="E86" s="2922" cm="1">
        <f t="array" aca="1" ref="E86" ca="1">INDIRECT("'※ 영기팀 작성_가입자'!"&amp;E$1&amp;$Z86, TRUE)</f>
        <v>45951</v>
      </c>
      <c r="F86" s="3503" cm="1">
        <f t="array" aca="1" ref="F86" ca="1">INDIRECT("'※ 영기팀 작성_가입자'!"&amp;F$1&amp;$Z86, TRUE)</f>
        <v>2805</v>
      </c>
      <c r="G86" s="2922" cm="1">
        <f t="array" aca="1" ref="G86" ca="1">INDIRECT("'※ 영기팀 작성_가입자'!"&amp;G$1&amp;$Z86, TRUE)</f>
        <v>3873</v>
      </c>
      <c r="H86" s="2922" cm="1">
        <f t="array" aca="1" ref="H86" ca="1">INDIRECT("'※ 영기팀 작성_가입자'!"&amp;H$1&amp;$Z86, TRUE)</f>
        <v>3142</v>
      </c>
      <c r="I86" s="2922" cm="1">
        <f t="array" aca="1" ref="I86" ca="1">INDIRECT("'※ 영기팀 작성_가입자'!"&amp;I$1&amp;$Z86, TRUE)</f>
        <v>3744</v>
      </c>
      <c r="J86" s="2922" cm="1">
        <f t="array" aca="1" ref="J86" ca="1">INDIRECT("'※ 영기팀 작성_가입자'!"&amp;J$1&amp;$Z86, TRUE)</f>
        <v>5440</v>
      </c>
      <c r="K86" s="2922" cm="1">
        <f t="array" aca="1" ref="K86" ca="1">INDIRECT("'※ 영기팀 작성_가입자'!"&amp;K$1&amp;$Z86, TRUE)</f>
        <v>4495</v>
      </c>
      <c r="L86" s="7567" cm="1">
        <f t="array" aca="1" ref="L86" ca="1">INDIRECT("'※ 영기팀 작성_가입자'!"&amp;L$1&amp;$Z86, TRUE)</f>
        <v>5186</v>
      </c>
      <c r="M86" s="2922" cm="1">
        <f t="array" aca="1" ref="M86" ca="1">INDIRECT("'※ 영기팀 작성_가입자'!"&amp;M$1&amp;$Z86, TRUE)</f>
        <v>4972</v>
      </c>
      <c r="N86" s="2922" cm="1">
        <f t="array" aca="1" ref="N86" ca="1">INDIRECT("'※ 영기팀 작성_가입자'!"&amp;N$1&amp;$Z86, TRUE)</f>
        <v>2302</v>
      </c>
      <c r="O86" s="3505" cm="1">
        <f t="array" aca="1" ref="O86" ca="1">INDIRECT("'※ 영기팀 작성_가입자'!"&amp;O$1&amp;$AA86, TRUE)</f>
        <v>3928</v>
      </c>
      <c r="P86" s="3505" cm="1">
        <f t="array" aca="1" ref="P86" ca="1">INDIRECT("'※ 영기팀 작성_가입자'!"&amp;P$1&amp;$AA86, TRUE)</f>
        <v>-1626</v>
      </c>
      <c r="Q86" s="3565" cm="1">
        <f t="array" aca="1" ref="Q86" ca="1">INDIRECT("'※ 영기팀 작성_가입자'!"&amp;Q$1&amp;$AA86, TRUE)</f>
        <v>0.58604887983706722</v>
      </c>
      <c r="R86" s="3566" cm="1">
        <f t="array" aca="1" ref="R86" ca="1">INDIRECT("'※ 영기팀 작성_가입자'!"&amp;R$1&amp;$Z86, TRUE)</f>
        <v>-2670</v>
      </c>
      <c r="S86" s="3567" cm="1">
        <f t="array" aca="1" ref="S86" ca="1">INDIRECT("'※ 영기팀 작성_가입자'!"&amp;S$1&amp;$Z86, TRUE)</f>
        <v>-1571</v>
      </c>
      <c r="T86" s="3506" cm="1">
        <f t="array" aca="1" ref="T86" ca="1">INDIRECT("'※ 영기팀 작성_가입자'!"&amp;T$1&amp;$Z86, TRUE)</f>
        <v>7274</v>
      </c>
      <c r="U86" s="3567" cm="1">
        <f t="array" aca="1" ref="U86" ca="1">INDIRECT("'※ 영기팀 작성_가입자'!"&amp;U$1&amp;$AA86, TRUE)</f>
        <v>-829</v>
      </c>
      <c r="V86" s="3565" cm="1">
        <f t="array" aca="1" ref="V86" ca="1">INDIRECT("'※ 영기팀 작성_가입자'!"&amp;V$1&amp;$AA86, TRUE)</f>
        <v>0.89769221276070588</v>
      </c>
      <c r="W86" s="3568" cm="1">
        <f t="array" aca="1" ref="W86" ca="1">INDIRECT("'※ 영기팀 작성_가입자'!"&amp;W$2&amp;$Z86, TRUE)</f>
        <v>596</v>
      </c>
      <c r="X86" s="3469" cm="1">
        <f t="array" aca="1" ref="X86" ca="1">INDIRECT("'※ 영기팀 작성_가입자'!"&amp;X$1&amp;$Z86, TRUE)</f>
        <v>3637</v>
      </c>
      <c r="Y86" s="3569" cm="1">
        <f t="array" aca="1" ref="Y86" ca="1">INDIRECT("'※ 영기팀 작성_가입자'!"&amp;Y$1&amp;$Z86, TRUE)</f>
        <v>638.75</v>
      </c>
      <c r="Z86" s="2988">
        <f>ROW('※ 영기팀 작성_가입자'!AH49)</f>
        <v>49</v>
      </c>
      <c r="AA86" s="2984">
        <f>ROW('※ 영기팀 작성_가입자'!AI328)</f>
        <v>328</v>
      </c>
    </row>
    <row r="87" spans="1:28" ht="18" customHeight="1" thickBot="1" x14ac:dyDescent="0.6">
      <c r="A87" s="7116"/>
      <c r="B87" s="3519" t="s">
        <v>75</v>
      </c>
      <c r="C87" s="3519"/>
      <c r="D87" s="3521" cm="1">
        <f t="array" aca="1" ref="D87" ca="1">INDIRECT("'※ 영기팀 작성_가입자'!"&amp;D$1&amp;$Z87, TRUE)</f>
        <v>25396</v>
      </c>
      <c r="E87" s="3521" cm="1">
        <f t="array" aca="1" ref="E87" ca="1">INDIRECT("'※ 영기팀 작성_가입자'!"&amp;E$1&amp;$Z87, TRUE)</f>
        <v>28349</v>
      </c>
      <c r="F87" s="3522" cm="1">
        <f t="array" aca="1" ref="F87" ca="1">INDIRECT("'※ 영기팀 작성_가입자'!"&amp;F$1&amp;$Z87, TRUE)</f>
        <v>1950</v>
      </c>
      <c r="G87" s="3521" cm="1">
        <f t="array" aca="1" ref="G87" ca="1">INDIRECT("'※ 영기팀 작성_가입자'!"&amp;G$1&amp;$Z87, TRUE)</f>
        <v>2608</v>
      </c>
      <c r="H87" s="3521" cm="1">
        <f t="array" aca="1" ref="H87" ca="1">INDIRECT("'※ 영기팀 작성_가입자'!"&amp;H$1&amp;$Z87, TRUE)</f>
        <v>1913</v>
      </c>
      <c r="I87" s="3521" cm="1">
        <f t="array" aca="1" ref="I87" ca="1">INDIRECT("'※ 영기팀 작성_가입자'!"&amp;I$1&amp;$Z87, TRUE)</f>
        <v>2421</v>
      </c>
      <c r="J87" s="3521" cm="1">
        <f t="array" aca="1" ref="J87" ca="1">INDIRECT("'※ 영기팀 작성_가입자'!"&amp;J$1&amp;$Z87, TRUE)</f>
        <v>3019</v>
      </c>
      <c r="K87" s="3521" cm="1">
        <f t="array" aca="1" ref="K87" ca="1">INDIRECT("'※ 영기팀 작성_가입자'!"&amp;K$1&amp;$Z87, TRUE)</f>
        <v>2333</v>
      </c>
      <c r="L87" s="7569" cm="1">
        <f t="array" aca="1" ref="L87" ca="1">INDIRECT("'※ 영기팀 작성_가입자'!"&amp;L$1&amp;$Z87, TRUE)</f>
        <v>3076</v>
      </c>
      <c r="M87" s="3521" cm="1">
        <f t="array" aca="1" ref="M87" ca="1">INDIRECT("'※ 영기팀 작성_가입자'!"&amp;M$1&amp;$Z87, TRUE)</f>
        <v>3209</v>
      </c>
      <c r="N87" s="3521" cm="1">
        <f t="array" aca="1" ref="N87" ca="1">INDIRECT("'※ 영기팀 작성_가입자'!"&amp;N$1&amp;$Z87, TRUE)</f>
        <v>1438</v>
      </c>
      <c r="O87" s="3524" cm="1">
        <f t="array" aca="1" ref="O87" ca="1">INDIRECT("'※ 영기팀 작성_가입자'!"&amp;O$1&amp;$AA87, TRUE)</f>
        <v>2659</v>
      </c>
      <c r="P87" s="3524" cm="1">
        <f t="array" aca="1" ref="P87" ca="1">INDIRECT("'※ 영기팀 작성_가입자'!"&amp;P$1&amp;$AA87, TRUE)</f>
        <v>-1221</v>
      </c>
      <c r="Q87" s="3601" cm="1">
        <f t="array" aca="1" ref="Q87" ca="1">INDIRECT("'※ 영기팀 작성_가입자'!"&amp;Q$1&amp;$AA87, TRUE)</f>
        <v>0.5408048138397894</v>
      </c>
      <c r="R87" s="3602" cm="1">
        <f t="array" aca="1" ref="R87" ca="1">INDIRECT("'※ 영기팀 작성_가입자'!"&amp;R$1&amp;$Z87, TRUE)</f>
        <v>-1771</v>
      </c>
      <c r="S87" s="3603" cm="1">
        <f t="array" aca="1" ref="S87" ca="1">INDIRECT("'※ 영기팀 작성_가입자'!"&amp;S$1&amp;$Z87, TRUE)</f>
        <v>-1170</v>
      </c>
      <c r="T87" s="3604" cm="1">
        <f t="array" aca="1" ref="T87" ca="1">INDIRECT("'※ 영기팀 작성_가입자'!"&amp;T$1&amp;$Z87, TRUE)</f>
        <v>4647</v>
      </c>
      <c r="U87" s="3603" cm="1">
        <f t="array" aca="1" ref="U87" ca="1">INDIRECT("'※ 영기팀 작성_가입자'!"&amp;U$1&amp;$AA87, TRUE)</f>
        <v>-709</v>
      </c>
      <c r="V87" s="3601" cm="1">
        <f t="array" aca="1" ref="V87" ca="1">INDIRECT("'※ 영기팀 작성_가입자'!"&amp;V$1&amp;$AA87, TRUE)</f>
        <v>0.86762509335324867</v>
      </c>
      <c r="W87" s="3605" cm="1">
        <f t="array" aca="1" ref="W87" ca="1">INDIRECT("'※ 영기팀 작성_가입자'!"&amp;W$2&amp;$Z87, TRUE)</f>
        <v>89</v>
      </c>
      <c r="X87" s="3527" cm="1">
        <f t="array" aca="1" ref="X87" ca="1">INDIRECT("'※ 영기팀 작성_가입자'!"&amp;X$1&amp;$Z87, TRUE)</f>
        <v>2323.5</v>
      </c>
      <c r="Y87" s="3606" cm="1">
        <f t="array" aca="1" ref="Y87" ca="1">INDIRECT("'※ 영기팀 작성_가입자'!"&amp;Y$1&amp;$Z87, TRUE)</f>
        <v>246.08333333333303</v>
      </c>
      <c r="Z87" s="2988">
        <f>ROW('※ 영기팀 작성_가입자'!AH50)</f>
        <v>50</v>
      </c>
      <c r="AA87" s="2984">
        <f>ROW('※ 영기팀 작성_가입자'!AI329)</f>
        <v>329</v>
      </c>
    </row>
    <row r="88" spans="1:28" ht="7.3" customHeight="1" thickTop="1" thickBot="1" x14ac:dyDescent="0.6">
      <c r="A88" s="3607"/>
      <c r="B88" s="3608"/>
      <c r="C88" s="3608"/>
      <c r="D88" s="3608"/>
      <c r="E88" s="3608"/>
      <c r="F88" s="3609"/>
      <c r="G88" s="3608"/>
      <c r="H88" s="3608"/>
      <c r="I88" s="3608"/>
      <c r="J88" s="3608"/>
      <c r="K88" s="3608"/>
      <c r="L88" s="7576"/>
      <c r="M88" s="3608"/>
      <c r="N88" s="3608"/>
      <c r="O88" s="3608"/>
      <c r="P88" s="3608"/>
      <c r="Q88" s="3608"/>
      <c r="R88" s="3608"/>
      <c r="S88" s="3608"/>
      <c r="T88" s="3610"/>
      <c r="U88" s="3608"/>
      <c r="V88" s="3608"/>
      <c r="W88" s="3611"/>
      <c r="X88" s="3611"/>
      <c r="Y88" s="3611"/>
    </row>
    <row r="89" spans="1:28" s="2771" customFormat="1" ht="18" hidden="1" customHeight="1" thickTop="1" thickBot="1" x14ac:dyDescent="0.6">
      <c r="A89" s="7104" t="s">
        <v>81</v>
      </c>
      <c r="B89" s="2106" t="s">
        <v>82</v>
      </c>
      <c r="C89" s="2106"/>
      <c r="D89" s="3612" cm="1">
        <f t="array" aca="1" ref="D89" ca="1">INDIRECT("'※ 영기팀 작성_가입자'!"&amp;D$1&amp;$Z89, TRUE)</f>
        <v>59387.464053920827</v>
      </c>
      <c r="E89" s="3613" cm="1">
        <f t="array" aca="1" ref="E89" ca="1">INDIRECT("'※ 영기팀 작성_가입자'!"&amp;E$1&amp;$Z89, TRUE)</f>
        <v>61001.716507402853</v>
      </c>
      <c r="F89" s="3614" cm="1">
        <f t="array" aca="1" ref="F89" ca="1">INDIRECT("'※ 영기팀 작성_가입자'!"&amp;F$1&amp;$Z89, TRUE)</f>
        <v>58207.926233766244</v>
      </c>
      <c r="G89" s="3613" cm="1">
        <f t="array" aca="1" ref="G89" ca="1">INDIRECT("'※ 영기팀 작성_가입자'!"&amp;G$1&amp;$Z89, TRUE)</f>
        <v>63258.986313234047</v>
      </c>
      <c r="H89" s="3613" cm="1">
        <f t="array" aca="1" ref="H89" ca="1">INDIRECT("'※ 영기팀 작성_가입자'!"&amp;H$1&amp;$Z89, TRUE)</f>
        <v>58651.542771001077</v>
      </c>
      <c r="I89" s="3613" cm="1">
        <f t="array" aca="1" ref="I89" ca="1">INDIRECT("'※ 영기팀 작성_가입자'!"&amp;I$1&amp;$Z89, TRUE)</f>
        <v>57854.61525310429</v>
      </c>
      <c r="J89" s="3613" cm="1">
        <f t="array" aca="1" ref="J89" ca="1">INDIRECT("'※ 영기팀 작성_가입자'!"&amp;J$1&amp;$Z89, TRUE)</f>
        <v>53350.99735128574</v>
      </c>
      <c r="K89" s="3613" cm="1">
        <f t="array" aca="1" ref="K89" ca="1">INDIRECT("'※ 영기팀 작성_가입자'!"&amp;K$1&amp;$Z89, TRUE)</f>
        <v>58044.210804309514</v>
      </c>
      <c r="L89" s="7577" cm="1">
        <f t="array" aca="1" ref="L89" ca="1">INDIRECT("'※ 영기팀 작성_가입자'!"&amp;L$1&amp;$Z89, TRUE)</f>
        <v>58725.850233619822</v>
      </c>
      <c r="M89" s="3613" cm="1">
        <f t="array" aca="1" ref="M89" ca="1">INDIRECT("'※ 영기팀 작성_가입자'!"&amp;M$1&amp;$Z89, TRUE)</f>
        <v>56727.408050622871</v>
      </c>
      <c r="N89" s="3613" cm="1">
        <f t="array" aca="1" ref="N89" ca="1">INDIRECT("'※ 영기팀 작성_가입자'!"&amp;N$1&amp;$Z89, TRUE)</f>
        <v>55755.66664181104</v>
      </c>
      <c r="O89" s="3615">
        <f t="shared" ref="O89:O94" si="14">AB89</f>
        <v>0</v>
      </c>
      <c r="P89" s="3615" cm="1">
        <f t="array" aca="1" ref="P89" ca="1">INDIRECT("'※ 영기팀 작성_가입자'!"&amp;P$1&amp;$AA89, TRUE)</f>
        <v>-54</v>
      </c>
      <c r="Q89" s="3616" t="e">
        <f ca="1">G89/AB89</f>
        <v>#DIV/0!</v>
      </c>
      <c r="R89" s="3617" cm="1">
        <f t="array" aca="1" ref="R89" ca="1">INDIRECT("'※ 영기팀 작성_가입자'!"&amp;R$1&amp;$Z89, TRUE)</f>
        <v>-971.74140881183121</v>
      </c>
      <c r="S89" s="3615" cm="1">
        <f t="array" aca="1" ref="S89" ca="1">INDIRECT("'※ 영기팀 작성_가입자'!"&amp;S$1&amp;$Z89, TRUE)</f>
        <v>-7503.3196714230071</v>
      </c>
      <c r="T89" s="3618" cm="1">
        <f t="array" aca="1" ref="T89" ca="1">INDIRECT("'※ 영기팀 작성_가입자'!"&amp;T$1&amp;$Z89, TRUE)</f>
        <v>56241.537346216952</v>
      </c>
      <c r="U89" s="3615">
        <f t="shared" ref="U89:U94" ca="1" si="15">T89-AB89</f>
        <v>56241.537346216952</v>
      </c>
      <c r="V89" s="3616" t="e">
        <f t="shared" ref="V89:V94" ca="1" si="16">T89/AB89</f>
        <v>#DIV/0!</v>
      </c>
      <c r="W89" s="3619" cm="1">
        <f t="array" aca="1" ref="W89" ca="1">INDIRECT("'※ 영기팀 작성_가입자'!"&amp;W$2&amp;$Z89, TRUE)</f>
        <v>-8983.8378545663873</v>
      </c>
      <c r="X89" s="3620" cm="1">
        <f t="array" aca="1" ref="X89" ca="1">INDIRECT("'※ 영기팀 작성_가입자'!"&amp;X$1&amp;$Z89, TRUE)</f>
        <v>56241.537346216952</v>
      </c>
      <c r="Y89" s="3621" cm="1">
        <f t="array" aca="1" ref="Y89" ca="1">INDIRECT("'※ 영기팀 작성_가입자'!"&amp;Y$1&amp;$Z89, TRUE)</f>
        <v>1614.2524534820259</v>
      </c>
      <c r="Z89" s="2988">
        <f>ROW('※ 영기팀 작성_가입자'!AH66)</f>
        <v>66</v>
      </c>
      <c r="AA89" s="2984">
        <v>358</v>
      </c>
      <c r="AB89" s="3541"/>
    </row>
    <row r="90" spans="1:28" ht="18" customHeight="1" x14ac:dyDescent="0.55000000000000004">
      <c r="A90" s="7098"/>
      <c r="B90" s="681" t="s">
        <v>19</v>
      </c>
      <c r="C90" s="681"/>
      <c r="D90" s="2921" cm="1">
        <f t="array" aca="1" ref="D90" ca="1">INDIRECT("'※ 영기팀 작성_가입자'!"&amp;D$1&amp;$Z90, TRUE)</f>
        <v>65660.580007053752</v>
      </c>
      <c r="E90" s="2922" cm="1">
        <f t="array" aca="1" ref="E90" ca="1">INDIRECT("'※ 영기팀 작성_가입자'!"&amp;E$1&amp;$Z90, TRUE)</f>
        <v>61880.362026156188</v>
      </c>
      <c r="F90" s="3503" cm="1">
        <f t="array" aca="1" ref="F90" ca="1">INDIRECT("'※ 영기팀 작성_가입자'!"&amp;F$1&amp;$Z90, TRUE)</f>
        <v>57827.123598105281</v>
      </c>
      <c r="G90" s="2922" cm="1">
        <f t="array" aca="1" ref="G90" ca="1">INDIRECT("'※ 영기팀 작성_가입자'!"&amp;G$1&amp;$Z90, TRUE)</f>
        <v>69717.108301485103</v>
      </c>
      <c r="H90" s="2922" cm="1">
        <f t="array" aca="1" ref="H90" ca="1">INDIRECT("'※ 영기팀 작성_가입자'!"&amp;H$1&amp;$Z90, TRUE)</f>
        <v>58937.93814809632</v>
      </c>
      <c r="I90" s="2922" cm="1">
        <f t="array" aca="1" ref="I90" ca="1">INDIRECT("'※ 영기팀 작성_가입자'!"&amp;I$1&amp;$Z90, TRUE)</f>
        <v>56596.837679055418</v>
      </c>
      <c r="J90" s="2922" cm="1">
        <f t="array" aca="1" ref="J90" ca="1">INDIRECT("'※ 영기팀 작성_가입자'!"&amp;J$1&amp;$Z90, TRUE)</f>
        <v>54712.572661462065</v>
      </c>
      <c r="K90" s="2922" cm="1">
        <f t="array" aca="1" ref="K90" ca="1">INDIRECT("'※ 영기팀 작성_가입자'!"&amp;K$1&amp;$Z90, TRUE)</f>
        <v>57041.760307832934</v>
      </c>
      <c r="L90" s="7567" cm="1">
        <f t="array" aca="1" ref="L90" ca="1">INDIRECT("'※ 영기팀 작성_가입자'!"&amp;L$1&amp;$Z90, TRUE)</f>
        <v>67885.451937892212</v>
      </c>
      <c r="M90" s="2922" cm="1">
        <f t="array" aca="1" ref="M90" ca="1">INDIRECT("'※ 영기팀 작성_가입자'!"&amp;M$1&amp;$Z90, TRUE)</f>
        <v>54209.776866088636</v>
      </c>
      <c r="N90" s="2922" cm="1">
        <f t="array" aca="1" ref="N90" ca="1">INDIRECT("'※ 영기팀 작성_가입자'!"&amp;N$1&amp;$Z90, TRUE)</f>
        <v>54130.095164407481</v>
      </c>
      <c r="O90" s="3567">
        <f t="shared" si="14"/>
        <v>72000</v>
      </c>
      <c r="P90" s="3567">
        <f ca="1">F90-O90</f>
        <v>-14172.876401894719</v>
      </c>
      <c r="Q90" s="3565">
        <f ca="1">G90/AB90</f>
        <v>0.96829317085395972</v>
      </c>
      <c r="R90" s="3566" cm="1">
        <f t="array" aca="1" ref="R90" ca="1">INDIRECT("'※ 영기팀 작성_가입자'!"&amp;R$1&amp;$Z90, TRUE)</f>
        <v>-79.681701681154664</v>
      </c>
      <c r="S90" s="3567" cm="1">
        <f t="array" aca="1" ref="S90" ca="1">INDIRECT("'※ 영기팀 작성_가입자'!"&amp;S$1&amp;$Z90, TRUE)</f>
        <v>-15587.013137077622</v>
      </c>
      <c r="T90" s="3506" cm="1">
        <f t="array" aca="1" ref="T90" ca="1">INDIRECT("'※ 영기팀 작성_가입자'!"&amp;T$1&amp;$Z90, TRUE)</f>
        <v>54169.936015248059</v>
      </c>
      <c r="U90" s="3567">
        <f t="shared" ca="1" si="15"/>
        <v>-17830.063984751941</v>
      </c>
      <c r="V90" s="3565">
        <f ca="1">T90/AB90</f>
        <v>0.7523602224340008</v>
      </c>
      <c r="W90" s="3568" cm="1">
        <f t="array" aca="1" ref="W90" ca="1">INDIRECT("'※ 영기팀 작성_가입자'!"&amp;W$2&amp;$Z90, TRUE)</f>
        <v>-19204.35986909426</v>
      </c>
      <c r="X90" s="3469" cm="1">
        <f t="array" aca="1" ref="X90" ca="1">INDIRECT("'※ 영기팀 작성_가입자'!"&amp;X$1&amp;$Z90, TRUE)</f>
        <v>54169.936015248059</v>
      </c>
      <c r="Y90" s="3622" cm="1">
        <f t="array" aca="1" ref="Y90" ca="1">INDIRECT("'※ 영기팀 작성_가입자'!"&amp;Y$1&amp;$Z90, TRUE)</f>
        <v>-3780.2179808975634</v>
      </c>
      <c r="Z90" s="2988">
        <f>ROW('※ 영기팀 작성_가입자'!AH67)</f>
        <v>67</v>
      </c>
      <c r="AA90" s="2984">
        <v>454</v>
      </c>
      <c r="AB90" s="905">
        <v>72000</v>
      </c>
    </row>
    <row r="91" spans="1:28" ht="18" customHeight="1" x14ac:dyDescent="0.55000000000000004">
      <c r="A91" s="7098"/>
      <c r="B91" s="673" t="s">
        <v>20</v>
      </c>
      <c r="C91" s="3163"/>
      <c r="D91" s="2921" cm="1">
        <f t="array" aca="1" ref="D91" ca="1">INDIRECT("'※ 영기팀 작성_가입자'!"&amp;D$1&amp;$Z91, TRUE)</f>
        <v>64140.569459482707</v>
      </c>
      <c r="E91" s="2922" cm="1">
        <f t="array" aca="1" ref="E91" ca="1">INDIRECT("'※ 영기팀 작성_가입자'!"&amp;E$1&amp;$Z91, TRUE)</f>
        <v>72852.479457208319</v>
      </c>
      <c r="F91" s="3503" cm="1">
        <f t="array" aca="1" ref="F91" ca="1">INDIRECT("'※ 영기팀 작성_가입자'!"&amp;F$1&amp;$Z91, TRUE)</f>
        <v>68742.97391260638</v>
      </c>
      <c r="G91" s="2922" cm="1">
        <f t="array" aca="1" ref="G91" ca="1">INDIRECT("'※ 영기팀 작성_가입자'!"&amp;G$1&amp;$Z91, TRUE)</f>
        <v>73668.401063153346</v>
      </c>
      <c r="H91" s="2922" cm="1">
        <f t="array" aca="1" ref="H91" ca="1">INDIRECT("'※ 영기팀 작성_가입자'!"&amp;H$1&amp;$Z91, TRUE)</f>
        <v>71520.370640616675</v>
      </c>
      <c r="I91" s="2922" cm="1">
        <f t="array" aca="1" ref="I91" ca="1">INDIRECT("'※ 영기팀 작성_가입자'!"&amp;I$1&amp;$Z91, TRUE)</f>
        <v>70197.087476298242</v>
      </c>
      <c r="J91" s="2922" cm="1">
        <f t="array" aca="1" ref="J91" ca="1">INDIRECT("'※ 영기팀 작성_가입자'!"&amp;J$1&amp;$Z91, TRUE)</f>
        <v>63150.605977560663</v>
      </c>
      <c r="K91" s="2922" cm="1">
        <f t="array" aca="1" ref="K91" ca="1">INDIRECT("'※ 영기팀 작성_가입자'!"&amp;K$1&amp;$Z91, TRUE)</f>
        <v>68005.091417013391</v>
      </c>
      <c r="L91" s="7567" cm="1">
        <f t="array" aca="1" ref="L91" ca="1">INDIRECT("'※ 영기팀 작성_가입자'!"&amp;L$1&amp;$Z91, TRUE)</f>
        <v>65837.548701830747</v>
      </c>
      <c r="M91" s="2922" cm="1">
        <f t="array" aca="1" ref="M91" ca="1">INDIRECT("'※ 영기팀 작성_가입자'!"&amp;M$1&amp;$Z91, TRUE)</f>
        <v>56819.893261044061</v>
      </c>
      <c r="N91" s="2922" cm="1">
        <f t="array" aca="1" ref="N91" ca="1">INDIRECT("'※ 영기팀 작성_가입자'!"&amp;N$1&amp;$Z91, TRUE)</f>
        <v>65239.487072126991</v>
      </c>
      <c r="O91" s="3567">
        <f t="shared" si="14"/>
        <v>70000</v>
      </c>
      <c r="P91" s="3567">
        <f ca="1">F91-O91</f>
        <v>-1257.0260873936204</v>
      </c>
      <c r="Q91" s="3565">
        <f ca="1">G91/AB91</f>
        <v>1.0524057294736193</v>
      </c>
      <c r="R91" s="3566" cm="1">
        <f t="array" aca="1" ref="R91" ca="1">INDIRECT("'※ 영기팀 작성_가입자'!"&amp;R$1&amp;$Z91, TRUE)</f>
        <v>8419.5938110829302</v>
      </c>
      <c r="S91" s="3567" cm="1">
        <f t="array" aca="1" ref="S91" ca="1">INDIRECT("'※ 영기팀 작성_가입자'!"&amp;S$1&amp;$Z91, TRUE)</f>
        <v>-8428.9139910263548</v>
      </c>
      <c r="T91" s="3506" cm="1">
        <f t="array" aca="1" ref="T91" ca="1">INDIRECT("'※ 영기팀 작성_가입자'!"&amp;T$1&amp;$Z91, TRUE)</f>
        <v>61029.690166585526</v>
      </c>
      <c r="U91" s="3567">
        <f t="shared" ca="1" si="15"/>
        <v>-8970.3098334144743</v>
      </c>
      <c r="V91" s="3565">
        <f t="shared" ca="1" si="16"/>
        <v>0.87185271666550757</v>
      </c>
      <c r="W91" s="3568" cm="1">
        <f t="array" aca="1" ref="W91" ca="1">INDIRECT("'※ 영기팀 작성_가입자'!"&amp;W$2&amp;$Z91, TRUE)</f>
        <v>-20351.994642588659</v>
      </c>
      <c r="X91" s="3469" cm="1">
        <f t="array" aca="1" ref="X91" ca="1">INDIRECT("'※ 영기팀 작성_가입자'!"&amp;X$1&amp;$Z91, TRUE)</f>
        <v>61029.690166585526</v>
      </c>
      <c r="Y91" s="3622" cm="1">
        <f t="array" aca="1" ref="Y91" ca="1">INDIRECT("'※ 영기팀 작성_가입자'!"&amp;Y$1&amp;$Z91, TRUE)</f>
        <v>8711.9099977256119</v>
      </c>
      <c r="Z91" s="2988">
        <f>ROW('※ 영기팀 작성_가입자'!AH69)</f>
        <v>69</v>
      </c>
      <c r="AA91" s="2984">
        <v>456</v>
      </c>
      <c r="AB91" s="905">
        <v>70000</v>
      </c>
    </row>
    <row r="92" spans="1:28" ht="18" customHeight="1" x14ac:dyDescent="0.55000000000000004">
      <c r="A92" s="7098"/>
      <c r="B92" s="673" t="s">
        <v>875</v>
      </c>
      <c r="C92" s="3163"/>
      <c r="D92" s="2921" cm="1">
        <f t="array" aca="1" ref="D92" ca="1">INDIRECT("'※ 영기팀 작성_가입자'!"&amp;D$1&amp;$Z92, TRUE)</f>
        <v>48403.004232179868</v>
      </c>
      <c r="E92" s="2922" cm="1">
        <f t="array" aca="1" ref="E92" ca="1">INDIRECT("'※ 영기팀 작성_가입자'!"&amp;E$1&amp;$Z92, TRUE)</f>
        <v>46458.40808699323</v>
      </c>
      <c r="F92" s="3503" cm="1">
        <f t="array" aca="1" ref="F92" ca="1">INDIRECT("'※ 영기팀 작성_가입자'!"&amp;F$1&amp;$Z92, TRUE)</f>
        <v>42397.211865989048</v>
      </c>
      <c r="G92" s="2922" cm="1">
        <f t="array" aca="1" ref="G92" ca="1">INDIRECT("'※ 영기팀 작성_가입자'!"&amp;G$1&amp;$Z92, TRUE)</f>
        <v>44956.946769228671</v>
      </c>
      <c r="H92" s="2922" cm="1">
        <f t="array" aca="1" ref="H92" ca="1">INDIRECT("'※ 영기팀 작성_가입자'!"&amp;H$1&amp;$Z92, TRUE)</f>
        <v>44565.967351892046</v>
      </c>
      <c r="I92" s="2922" cm="1">
        <f t="array" aca="1" ref="I92" ca="1">INDIRECT("'※ 영기팀 작성_가입자'!"&amp;I$1&amp;$Z92, TRUE)</f>
        <v>44272.646028308955</v>
      </c>
      <c r="J92" s="2922" cm="1">
        <f t="array" aca="1" ref="J92" ca="1">INDIRECT("'※ 영기팀 작성_가입자'!"&amp;J$1&amp;$Z92, TRUE)</f>
        <v>41797.00053873111</v>
      </c>
      <c r="K92" s="2922" cm="1">
        <f t="array" aca="1" ref="K92" ca="1">INDIRECT("'※ 영기팀 작성_가입자'!"&amp;K$1&amp;$Z92, TRUE)</f>
        <v>42815.510791010049</v>
      </c>
      <c r="L92" s="7567" cm="1">
        <f t="array" aca="1" ref="L92" ca="1">INDIRECT("'※ 영기팀 작성_가입자'!"&amp;L$1&amp;$Z92, TRUE)</f>
        <v>46158.557923705368</v>
      </c>
      <c r="M92" s="2922" cm="1">
        <f t="array" aca="1" ref="M92" ca="1">INDIRECT("'※ 영기팀 작성_가입자'!"&amp;M$1&amp;$Z92, TRUE)</f>
        <v>59488.754484042365</v>
      </c>
      <c r="N92" s="2922" cm="1">
        <f t="array" aca="1" ref="N92" ca="1">INDIRECT("'※ 영기팀 작성_가입자'!"&amp;N$1&amp;$Z92, TRUE)</f>
        <v>49541.917615158331</v>
      </c>
      <c r="O92" s="3567">
        <f t="shared" si="14"/>
        <v>55000</v>
      </c>
      <c r="P92" s="3567">
        <f ca="1">F92-O92</f>
        <v>-12602.788134010952</v>
      </c>
      <c r="Q92" s="3565">
        <f ca="1">G92/AB92</f>
        <v>0.81739903216779397</v>
      </c>
      <c r="R92" s="3566" cm="1">
        <f t="array" aca="1" ref="R92" ca="1">INDIRECT("'※ 영기팀 작성_가입자'!"&amp;R$1&amp;$Z92, TRUE)</f>
        <v>-9946.8368688840346</v>
      </c>
      <c r="S92" s="3567" cm="1">
        <f t="array" aca="1" ref="S92" ca="1">INDIRECT("'※ 영기팀 작성_가입자'!"&amp;S$1&amp;$Z92, TRUE)</f>
        <v>4584.9708459296598</v>
      </c>
      <c r="T92" s="3506" cm="1">
        <f t="array" aca="1" ref="T92" ca="1">INDIRECT("'※ 영기팀 작성_가입자'!"&amp;T$1&amp;$Z92, TRUE)</f>
        <v>54515.336049600344</v>
      </c>
      <c r="U92" s="3567">
        <f t="shared" ca="1" si="15"/>
        <v>-484.66395039965573</v>
      </c>
      <c r="V92" s="3565">
        <f t="shared" ca="1" si="16"/>
        <v>0.9911879281745517</v>
      </c>
      <c r="W92" s="3568" cm="1">
        <f t="array" aca="1" ref="W92" ca="1">INDIRECT("'※ 영기팀 작성_가입자'!"&amp;W$2&amp;$Z92, TRUE)</f>
        <v>21676.513463982963</v>
      </c>
      <c r="X92" s="3469" cm="1">
        <f t="array" aca="1" ref="X92" ca="1">INDIRECT("'※ 영기팀 작성_가입자'!"&amp;X$1&amp;$Z92, TRUE)</f>
        <v>54515.336049600344</v>
      </c>
      <c r="Y92" s="3622" cm="1">
        <f t="array" aca="1" ref="Y92" ca="1">INDIRECT("'※ 영기팀 작성_가입자'!"&amp;Y$1&amp;$Z92, TRUE)</f>
        <v>-1944.5961451866388</v>
      </c>
      <c r="Z92" s="2988">
        <f>ROW('※ 영기팀 작성_가입자'!AH70)</f>
        <v>70</v>
      </c>
      <c r="AA92" s="2984">
        <v>457</v>
      </c>
      <c r="AB92" s="905">
        <v>55000</v>
      </c>
    </row>
    <row r="93" spans="1:28" ht="18" customHeight="1" x14ac:dyDescent="0.55000000000000004">
      <c r="A93" s="7098"/>
      <c r="B93" s="673" t="s">
        <v>939</v>
      </c>
      <c r="C93" s="3163"/>
      <c r="D93" s="2921" cm="1">
        <f t="array" aca="1" ref="D93" ca="1">INDIRECT("'※ 영기팀 작성_가입자'!"&amp;D$1&amp;$Z93, TRUE)</f>
        <v>47461.849772379675</v>
      </c>
      <c r="E93" s="2922" cm="1">
        <f t="array" aca="1" ref="E93" ca="1">INDIRECT("'※ 영기팀 작성_가입자'!"&amp;E$1&amp;$Z93, TRUE)</f>
        <v>47401.331345587772</v>
      </c>
      <c r="F93" s="3503" cm="1">
        <f t="array" aca="1" ref="F93" ca="1">INDIRECT("'※ 영기팀 작성_가입자'!"&amp;F$1&amp;$Z93, TRUE)</f>
        <v>39379.459189857764</v>
      </c>
      <c r="G93" s="2922" cm="1">
        <f t="array" aca="1" ref="G93" ca="1">INDIRECT("'※ 영기팀 작성_가입자'!"&amp;G$1&amp;$Z93, TRUE)</f>
        <v>58738.425671321143</v>
      </c>
      <c r="H93" s="2922" cm="1">
        <f t="array" aca="1" ref="H93" ca="1">INDIRECT("'※ 영기팀 작성_가입자'!"&amp;H$1&amp;$Z93, TRUE)</f>
        <v>40933.665130177527</v>
      </c>
      <c r="I93" s="2922" cm="1">
        <f t="array" aca="1" ref="I93" ca="1">INDIRECT("'※ 영기팀 작성_가입자'!"&amp;I$1&amp;$Z93, TRUE)</f>
        <v>45735.117899305551</v>
      </c>
      <c r="J93" s="2922" cm="1">
        <f t="array" aca="1" ref="J93" ca="1">INDIRECT("'※ 영기팀 작성_가입자'!"&amp;J$1&amp;$Z93, TRUE)</f>
        <v>44543.387909302321</v>
      </c>
      <c r="K93" s="2922" cm="1">
        <f t="array" aca="1" ref="K93" ca="1">INDIRECT("'※ 영기팀 작성_가입자'!"&amp;K$1&amp;$Z93, TRUE)</f>
        <v>42789.085251308898</v>
      </c>
      <c r="L93" s="7567" cm="1">
        <f t="array" aca="1" ref="L93" ca="1">INDIRECT("'※ 영기팀 작성_가입자'!"&amp;L$1&amp;$Z93, TRUE)</f>
        <v>50391.31568831169</v>
      </c>
      <c r="M93" s="2922" cm="1">
        <f t="array" aca="1" ref="M93" ca="1">INDIRECT("'※ 영기팀 작성_가입자'!"&amp;M$1&amp;$Z93, TRUE)</f>
        <v>50610.046040892194</v>
      </c>
      <c r="N93" s="2922" cm="1">
        <f t="array" aca="1" ref="N93" ca="1">INDIRECT("'※ 영기팀 작성_가입자'!"&amp;N$1&amp;$Z93, TRUE)</f>
        <v>41604.173571428568</v>
      </c>
      <c r="O93" s="3567">
        <f t="shared" si="14"/>
        <v>55000</v>
      </c>
      <c r="P93" s="3567">
        <f ca="1">F93-O93</f>
        <v>-15620.540810142236</v>
      </c>
      <c r="Q93" s="3565">
        <f ca="1">G93/AB93</f>
        <v>1.0679713758422027</v>
      </c>
      <c r="R93" s="3566" cm="1">
        <f t="array" aca="1" ref="R93" ca="1">INDIRECT("'※ 영기팀 작성_가입자'!"&amp;R$1&amp;$Z93, TRUE)</f>
        <v>-9005.8724694636257</v>
      </c>
      <c r="S93" s="3567" cm="1">
        <f t="array" aca="1" ref="S93" ca="1">INDIRECT("'※ 영기팀 작성_가입자'!"&amp;S$1&amp;$Z93, TRUE)</f>
        <v>-17134.252099892576</v>
      </c>
      <c r="T93" s="3506" cm="1">
        <f t="array" aca="1" ref="T93" ca="1">INDIRECT("'※ 영기팀 작성_가입자'!"&amp;T$1&amp;$Z93, TRUE)</f>
        <v>46107.109806160384</v>
      </c>
      <c r="U93" s="3567">
        <f t="shared" ca="1" si="15"/>
        <v>-8892.8901938396157</v>
      </c>
      <c r="V93" s="3565">
        <f t="shared" ca="1" si="16"/>
        <v>0.83831108738473425</v>
      </c>
      <c r="W93" s="3568" cm="1">
        <f t="array" aca="1" ref="W93" ca="1">INDIRECT("'※ 영기팀 작성_가입자'!"&amp;W$2&amp;$Z93, TRUE)</f>
        <v>-5903.6652488581312</v>
      </c>
      <c r="X93" s="3469" cm="1">
        <f t="array" aca="1" ref="X93" ca="1">INDIRECT("'※ 영기팀 작성_가입자'!"&amp;X$1&amp;$Z93, TRUE)</f>
        <v>46107.109806160384</v>
      </c>
      <c r="Y93" s="3622" cm="1">
        <f t="array" aca="1" ref="Y93" ca="1">INDIRECT("'※ 영기팀 작성_가입자'!"&amp;Y$1&amp;$Z93, TRUE)</f>
        <v>-60.518426791903039</v>
      </c>
      <c r="Z93" s="2988">
        <v>68</v>
      </c>
      <c r="AA93" s="2984">
        <v>455</v>
      </c>
      <c r="AB93" s="905">
        <v>55000</v>
      </c>
    </row>
    <row r="94" spans="1:28" ht="18" customHeight="1" thickBot="1" x14ac:dyDescent="0.6">
      <c r="A94" s="7105"/>
      <c r="B94" s="3623" t="s">
        <v>22</v>
      </c>
      <c r="C94" s="3623"/>
      <c r="D94" s="3624" cm="1">
        <f t="array" aca="1" ref="D94" ca="1">INDIRECT("'※ 영기팀 작성_가입자'!"&amp;D$1&amp;$Z94, TRUE)</f>
        <v>31599.061096313995</v>
      </c>
      <c r="E94" s="3625" cm="1">
        <f t="array" aca="1" ref="E94" ca="1">INDIRECT("'※ 영기팀 작성_가입자'!"&amp;E$1&amp;$Z94, TRUE)</f>
        <v>33461.522508707021</v>
      </c>
      <c r="F94" s="3626" cm="1">
        <f t="array" aca="1" ref="F94" ca="1">INDIRECT("'※ 영기팀 작성_가입자'!"&amp;F$1&amp;$Z94, TRUE)</f>
        <v>29887.383549149909</v>
      </c>
      <c r="G94" s="3625" cm="1">
        <f t="array" aca="1" ref="G94" ca="1">INDIRECT("'※ 영기팀 작성_가입자'!"&amp;G$1&amp;$Z94, TRUE)</f>
        <v>44720.083948027037</v>
      </c>
      <c r="H94" s="3625" cm="1">
        <f t="array" aca="1" ref="H94" ca="1">INDIRECT("'※ 영기팀 작성_가입자'!"&amp;H$1&amp;$Z94, TRUE)</f>
        <v>30297.991646299492</v>
      </c>
      <c r="I94" s="3625" cm="1">
        <f t="array" aca="1" ref="I94" ca="1">INDIRECT("'※ 영기팀 작성_가입자'!"&amp;I$1&amp;$Z94, TRUE)</f>
        <v>30209.415554479416</v>
      </c>
      <c r="J94" s="3625" cm="1">
        <f t="array" aca="1" ref="J94" ca="1">INDIRECT("'※ 영기팀 작성_가입자'!"&amp;J$1&amp;$Z94, TRUE)</f>
        <v>36457.082010420687</v>
      </c>
      <c r="K94" s="3625" cm="1">
        <f t="array" aca="1" ref="K94" ca="1">INDIRECT("'※ 영기팀 작성_가입자'!"&amp;K$1&amp;$Z94, TRUE)</f>
        <v>41353.788707668558</v>
      </c>
      <c r="L94" s="7578" cm="1">
        <f t="array" aca="1" ref="L94" ca="1">INDIRECT("'※ 영기팀 작성_가입자'!"&amp;L$1&amp;$Z94, TRUE)</f>
        <v>30543.227446296289</v>
      </c>
      <c r="M94" s="3625" cm="1">
        <f t="array" aca="1" ref="M94" ca="1">INDIRECT("'※ 영기팀 작성_가입자'!"&amp;M$1&amp;$Z94, TRUE)</f>
        <v>50359.987680193968</v>
      </c>
      <c r="N94" s="3625" cm="1">
        <f t="array" aca="1" ref="N94" ca="1">INDIRECT("'※ 영기팀 작성_가입자'!"&amp;N$1&amp;$Z94, TRUE)</f>
        <v>31331.931854017101</v>
      </c>
      <c r="O94" s="3627">
        <f t="shared" si="14"/>
        <v>35000</v>
      </c>
      <c r="P94" s="3627">
        <f ca="1">F94-O94</f>
        <v>-5112.6164508500915</v>
      </c>
      <c r="Q94" s="3628">
        <f ca="1">G94/AB94</f>
        <v>1.2777166842293439</v>
      </c>
      <c r="R94" s="3629" cm="1">
        <f t="array" aca="1" ref="R94" ca="1">INDIRECT("'※ 영기팀 작성_가입자'!"&amp;R$1&amp;$Z94, TRUE)</f>
        <v>-19028.055826176867</v>
      </c>
      <c r="S94" s="3627" cm="1">
        <f t="array" aca="1" ref="S94" ca="1">INDIRECT("'※ 영기팀 작성_가입자'!"&amp;S$1&amp;$Z94, TRUE)</f>
        <v>-13388.152094009936</v>
      </c>
      <c r="T94" s="3525" cm="1">
        <f t="array" aca="1" ref="T94" ca="1">INDIRECT("'※ 영기팀 작성_가입자'!"&amp;T$1&amp;$Z94, TRUE)</f>
        <v>40845.959767105538</v>
      </c>
      <c r="U94" s="3627">
        <f t="shared" ca="1" si="15"/>
        <v>5845.959767105538</v>
      </c>
      <c r="V94" s="3628">
        <f t="shared" ca="1" si="16"/>
        <v>1.1670274219173011</v>
      </c>
      <c r="W94" s="3630" cm="1">
        <f t="array" aca="1" ref="W94" ca="1">INDIRECT("'※ 영기팀 작성_가입자'!"&amp;W$2&amp;$Z94, TRUE)</f>
        <v>7084.4520370341343</v>
      </c>
      <c r="X94" s="3631" cm="1">
        <f t="array" aca="1" ref="X94" ca="1">INDIRECT("'※ 영기팀 작성_가입자'!"&amp;X$1&amp;$Z94, TRUE)</f>
        <v>40845.959767105538</v>
      </c>
      <c r="Y94" s="3632" cm="1">
        <f t="array" aca="1" ref="Y94" ca="1">INDIRECT("'※ 영기팀 작성_가입자'!"&amp;Y$1&amp;$Z94, TRUE)</f>
        <v>1862.461412393026</v>
      </c>
      <c r="Z94" s="2988">
        <f>ROW('※ 영기팀 작성_가입자'!AH71)</f>
        <v>71</v>
      </c>
      <c r="AA94" s="2984">
        <v>458</v>
      </c>
      <c r="AB94" s="905">
        <v>35000</v>
      </c>
    </row>
    <row r="95" spans="1:28" s="2771" customFormat="1" ht="18" hidden="1" customHeight="1" thickBot="1" x14ac:dyDescent="0.6">
      <c r="A95" s="7098" t="s">
        <v>96</v>
      </c>
      <c r="B95" s="1453" t="s">
        <v>127</v>
      </c>
      <c r="C95" s="1453"/>
      <c r="D95" s="3633" cm="1">
        <f t="array" aca="1" ref="D95" ca="1">INDIRECT("'※ 영기팀 작성_가입자'!"&amp;D$1&amp;$Z95, TRUE)</f>
        <v>1.022415893079917</v>
      </c>
      <c r="E95" s="3634" t="e" cm="1">
        <f t="array" aca="1" ref="E95" ca="1">INDIRECT("'※ 영기팀 작성_가입자'!"&amp;E$1&amp;$Z95, TRUE)</f>
        <v>#DIV/0!</v>
      </c>
      <c r="F95" s="3634" cm="1">
        <f t="array" aca="1" ref="F95" ca="1">INDIRECT("'※ 영기팀 작성_가입자'!"&amp;F$1&amp;$Z95, TRUE)</f>
        <v>0</v>
      </c>
      <c r="G95" s="3634" cm="1">
        <f t="array" aca="1" ref="G95" ca="1">INDIRECT("'※ 영기팀 작성_가입자'!"&amp;G$1&amp;$Z95, TRUE)</f>
        <v>0</v>
      </c>
      <c r="H95" s="3634" cm="1">
        <f t="array" aca="1" ref="H95" ca="1">INDIRECT("'※ 영기팀 작성_가입자'!"&amp;H$1&amp;$Z95, TRUE)</f>
        <v>0</v>
      </c>
      <c r="I95" s="3634" cm="1">
        <f t="array" aca="1" ref="I95" ca="1">INDIRECT("'※ 영기팀 작성_가입자'!"&amp;I$1&amp;$Z95, TRUE)</f>
        <v>0</v>
      </c>
      <c r="J95" s="3634" cm="1">
        <f t="array" aca="1" ref="J95" ca="1">INDIRECT("'※ 영기팀 작성_가입자'!"&amp;J$1&amp;$Z95, TRUE)</f>
        <v>0</v>
      </c>
      <c r="K95" s="3634" cm="1">
        <f t="array" aca="1" ref="K95" ca="1">INDIRECT("'※ 영기팀 작성_가입자'!"&amp;K$1&amp;$Z95, TRUE)</f>
        <v>0</v>
      </c>
      <c r="L95" s="3634"/>
      <c r="M95" s="3634"/>
      <c r="N95" s="3634"/>
      <c r="O95" s="3635"/>
      <c r="P95" s="3635">
        <f ca="1">F95-O95</f>
        <v>0</v>
      </c>
      <c r="Q95" s="3636"/>
      <c r="R95" s="3637">
        <f ca="1">I95-H95</f>
        <v>0</v>
      </c>
      <c r="S95" s="3638" cm="1">
        <f t="array" aca="1" ref="S95" ca="1">INDIRECT("'※ 영기팀 작성_가입자'!"&amp;S$1&amp;$Z95, TRUE)</f>
        <v>0</v>
      </c>
      <c r="T95" s="3639" t="e" cm="1">
        <f t="array" aca="1" ref="T95" ca="1">INDIRECT("'※ 영기팀 작성_가입자'!"&amp;T$1&amp;$Z95, TRUE)</f>
        <v>#DIV/0!</v>
      </c>
      <c r="U95" s="3635"/>
      <c r="V95" s="3640"/>
      <c r="W95" s="3641" t="e" cm="1">
        <f t="array" aca="1" ref="W95" ca="1">INDIRECT("'※ 영기팀 작성_가입자'!"&amp;W$1&amp;$Z95, TRUE)</f>
        <v>#DIV/0!</v>
      </c>
      <c r="X95" s="3642" t="e" cm="1">
        <f t="array" aca="1" ref="X95" ca="1">INDIRECT("'※ 영기팀 작성_가입자'!"&amp;X$1&amp;$Z95, TRUE)</f>
        <v>#DIV/0!</v>
      </c>
      <c r="Y95" s="3643" cm="1">
        <f t="array" aca="1" ref="Y95" ca="1">INDIRECT("'※ 영기팀 작성_가입자'!"&amp;Y$1&amp;$Z95, TRUE)</f>
        <v>-1.022415893079917</v>
      </c>
      <c r="Z95" s="2988">
        <f>ROW('※ 영기팀 작성_가입자'!AH82)</f>
        <v>82</v>
      </c>
      <c r="AA95" s="2984">
        <v>459</v>
      </c>
      <c r="AB95" s="2771">
        <v>1.1519999999999999</v>
      </c>
    </row>
    <row r="96" spans="1:28" ht="18" hidden="1" customHeight="1" x14ac:dyDescent="0.55000000000000004">
      <c r="A96" s="7098"/>
      <c r="B96" s="673" t="s">
        <v>417</v>
      </c>
      <c r="C96" s="681"/>
      <c r="D96" s="3644" cm="1">
        <f t="array" aca="1" ref="D96" ca="1">INDIRECT("'※ 영기팀 작성_가입자'!"&amp;D$1&amp;$Z96, TRUE)</f>
        <v>29370443323.516014</v>
      </c>
      <c r="E96" s="3645" cm="1">
        <f t="array" aca="1" ref="E96" ca="1">INDIRECT("'※ 영기팀 작성_가입자'!"&amp;E$1&amp;$Z96, TRUE)</f>
        <v>0</v>
      </c>
      <c r="F96" s="3645" cm="1">
        <f t="array" aca="1" ref="F96" ca="1">INDIRECT("'※ 영기팀 작성_가입자'!"&amp;F$1&amp;$Z96, TRUE)</f>
        <v>0</v>
      </c>
      <c r="G96" s="3645" cm="1">
        <f t="array" aca="1" ref="G96" ca="1">INDIRECT("'※ 영기팀 작성_가입자'!"&amp;G$1&amp;$Z96, TRUE)</f>
        <v>0</v>
      </c>
      <c r="H96" s="3645" cm="1">
        <f t="array" aca="1" ref="H96" ca="1">INDIRECT("'※ 영기팀 작성_가입자'!"&amp;H$1&amp;$Z96, TRUE)</f>
        <v>0</v>
      </c>
      <c r="I96" s="3645" cm="1">
        <f t="array" aca="1" ref="I96" ca="1">INDIRECT("'※ 영기팀 작성_가입자'!"&amp;I$1&amp;$Z96, TRUE)</f>
        <v>0</v>
      </c>
      <c r="J96" s="3645" cm="1">
        <f t="array" aca="1" ref="J96" ca="1">INDIRECT("'※ 영기팀 작성_가입자'!"&amp;J$1&amp;$Z96, TRUE)</f>
        <v>0</v>
      </c>
      <c r="K96" s="3645" cm="1">
        <f t="array" aca="1" ref="K96" ca="1">INDIRECT("'※ 영기팀 작성_가입자'!"&amp;K$1&amp;$Z96, TRUE)</f>
        <v>0</v>
      </c>
      <c r="L96" s="3645"/>
      <c r="M96" s="3645"/>
      <c r="N96" s="3645"/>
      <c r="O96" s="3646"/>
      <c r="P96" s="3646">
        <f ca="1">F96-O96</f>
        <v>0</v>
      </c>
      <c r="Q96" s="3646"/>
      <c r="R96" s="3647">
        <f ca="1">I96-H96</f>
        <v>0</v>
      </c>
      <c r="S96" s="3648" cm="1">
        <f t="array" aca="1" ref="S96" ca="1">INDIRECT("'※ 영기팀 작성_가입자'!"&amp;S$1&amp;$Z96, TRUE)</f>
        <v>0</v>
      </c>
      <c r="T96" s="3649" cm="1">
        <f t="array" aca="1" ref="T96" ca="1">INDIRECT("'※ 영기팀 작성_가입자'!"&amp;T$1&amp;$Z96, TRUE)</f>
        <v>0</v>
      </c>
      <c r="U96" s="3650"/>
      <c r="V96" s="3646"/>
      <c r="W96" s="3651" cm="1">
        <f t="array" aca="1" ref="W96" ca="1">INDIRECT("'※ 영기팀 작성_가입자'!"&amp;W$1&amp;$Z96, TRUE)</f>
        <v>-29370443323.516014</v>
      </c>
      <c r="X96" s="3652" cm="1">
        <f t="array" aca="1" ref="X96" ca="1">INDIRECT("'※ 영기팀 작성_가입자'!"&amp;X$1&amp;$Z96, TRUE)</f>
        <v>0</v>
      </c>
      <c r="Y96" s="3653" cm="1">
        <f t="array" aca="1" ref="Y96" ca="1">INDIRECT("'※ 영기팀 작성_가입자'!"&amp;Y$1&amp;$Z96, TRUE)</f>
        <v>-2447536943.6263347</v>
      </c>
      <c r="Z96" s="2988">
        <f>ROW('※ 영기팀 작성_가입자'!AH83)</f>
        <v>83</v>
      </c>
      <c r="AA96" s="2984">
        <v>460</v>
      </c>
    </row>
    <row r="97" spans="1:28" ht="18" hidden="1" customHeight="1" x14ac:dyDescent="0.55000000000000004">
      <c r="A97" s="7099"/>
      <c r="B97" s="3654" t="s">
        <v>418</v>
      </c>
      <c r="C97" s="3654"/>
      <c r="D97" s="3655" cm="1">
        <f t="array" aca="1" ref="D97" ca="1">INDIRECT("'※ 영기팀 작성_가입자'!"&amp;D$1&amp;$Z97, TRUE)</f>
        <v>28726512882.189987</v>
      </c>
      <c r="E97" s="3656" cm="1">
        <f t="array" aca="1" ref="E97" ca="1">INDIRECT("'※ 영기팀 작성_가입자'!"&amp;E$1&amp;$Z97, TRUE)</f>
        <v>0</v>
      </c>
      <c r="F97" s="3656" cm="1">
        <f t="array" aca="1" ref="F97" ca="1">INDIRECT("'※ 영기팀 작성_가입자'!"&amp;F$1&amp;$Z97, TRUE)</f>
        <v>0</v>
      </c>
      <c r="G97" s="3656" cm="1">
        <f t="array" aca="1" ref="G97" ca="1">INDIRECT("'※ 영기팀 작성_가입자'!"&amp;G$1&amp;$Z97, TRUE)</f>
        <v>0</v>
      </c>
      <c r="H97" s="3656" cm="1">
        <f t="array" aca="1" ref="H97" ca="1">INDIRECT("'※ 영기팀 작성_가입자'!"&amp;H$1&amp;$Z97, TRUE)</f>
        <v>0</v>
      </c>
      <c r="I97" s="3656" cm="1">
        <f t="array" aca="1" ref="I97" ca="1">INDIRECT("'※ 영기팀 작성_가입자'!"&amp;I$1&amp;$Z97, TRUE)</f>
        <v>0</v>
      </c>
      <c r="J97" s="3656" cm="1">
        <f t="array" aca="1" ref="J97" ca="1">INDIRECT("'※ 영기팀 작성_가입자'!"&amp;J$1&amp;$Z97, TRUE)</f>
        <v>0</v>
      </c>
      <c r="K97" s="3656" cm="1">
        <f t="array" aca="1" ref="K97" ca="1">INDIRECT("'※ 영기팀 작성_가입자'!"&amp;K$1&amp;$Z97, TRUE)</f>
        <v>0</v>
      </c>
      <c r="L97" s="3656"/>
      <c r="M97" s="3656"/>
      <c r="N97" s="3656"/>
      <c r="O97" s="3657"/>
      <c r="P97" s="3657">
        <f ca="1">F97-O97</f>
        <v>0</v>
      </c>
      <c r="Q97" s="3657"/>
      <c r="R97" s="3658">
        <f ca="1">I97-H97</f>
        <v>0</v>
      </c>
      <c r="S97" s="3659" cm="1">
        <f t="array" aca="1" ref="S97" ca="1">INDIRECT("'※ 영기팀 작성_가입자'!"&amp;S$1&amp;$Z97, TRUE)</f>
        <v>0</v>
      </c>
      <c r="T97" s="3660" cm="1">
        <f t="array" aca="1" ref="T97" ca="1">INDIRECT("'※ 영기팀 작성_가입자'!"&amp;T$1&amp;$Z97, TRUE)</f>
        <v>0</v>
      </c>
      <c r="U97" s="3661"/>
      <c r="V97" s="3657"/>
      <c r="W97" s="3662" cm="1">
        <f t="array" aca="1" ref="W97" ca="1">INDIRECT("'※ 영기팀 작성_가입자'!"&amp;W$1&amp;$Z97, TRUE)</f>
        <v>-28726512882.189987</v>
      </c>
      <c r="X97" s="3663" cm="1">
        <f t="array" aca="1" ref="X97" ca="1">INDIRECT("'※ 영기팀 작성_가입자'!"&amp;X$1&amp;$Z97, TRUE)</f>
        <v>0</v>
      </c>
      <c r="Y97" s="3664" cm="1">
        <f t="array" aca="1" ref="Y97" ca="1">INDIRECT("'※ 영기팀 작성_가입자'!"&amp;Y$1&amp;$Z97, TRUE)</f>
        <v>-2393876073.5158324</v>
      </c>
      <c r="Z97" s="2988">
        <f>ROW('※ 영기팀 작성_가입자'!AH84)</f>
        <v>84</v>
      </c>
      <c r="AA97" s="2984">
        <v>461</v>
      </c>
    </row>
    <row r="98" spans="1:28" x14ac:dyDescent="0.55000000000000004">
      <c r="B98" s="698"/>
      <c r="C98" s="698"/>
      <c r="D98" s="698"/>
      <c r="E98" s="698"/>
      <c r="F98" s="698"/>
      <c r="G98" s="698"/>
      <c r="H98" s="698"/>
      <c r="I98" s="698"/>
      <c r="J98" s="698"/>
      <c r="K98" s="698"/>
      <c r="L98" s="698"/>
      <c r="M98" s="698"/>
      <c r="N98" s="698"/>
      <c r="O98" s="698"/>
      <c r="P98" s="698"/>
      <c r="Q98" s="698"/>
      <c r="R98" s="698"/>
      <c r="S98" s="698"/>
      <c r="T98" s="698"/>
      <c r="U98" s="698"/>
      <c r="V98" s="698"/>
      <c r="AB98" s="2978" t="e">
        <f ca="1">T95/AB95</f>
        <v>#DIV/0!</v>
      </c>
    </row>
    <row r="99" spans="1:28" x14ac:dyDescent="0.55000000000000004">
      <c r="B99" s="698"/>
      <c r="C99" s="698"/>
      <c r="D99" s="698"/>
      <c r="E99" s="698"/>
      <c r="F99" s="698"/>
      <c r="G99" s="698"/>
      <c r="H99" s="698"/>
      <c r="I99" s="698"/>
      <c r="J99" s="698"/>
      <c r="K99" s="698"/>
      <c r="L99" s="698"/>
      <c r="M99" s="698"/>
      <c r="N99" s="698"/>
      <c r="O99" s="698"/>
      <c r="P99" s="698"/>
      <c r="Q99" s="698"/>
      <c r="R99" s="698"/>
      <c r="S99" s="698"/>
      <c r="T99" s="698">
        <v>1.1000000000000001</v>
      </c>
      <c r="U99" s="698"/>
      <c r="V99" s="698"/>
    </row>
    <row r="100" spans="1:28" x14ac:dyDescent="0.55000000000000004"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698"/>
      <c r="O100" s="698"/>
      <c r="P100" s="698"/>
      <c r="Q100" s="698"/>
      <c r="R100" s="698"/>
      <c r="S100" s="698"/>
      <c r="T100" s="698"/>
      <c r="U100" s="698"/>
      <c r="V100" s="698"/>
      <c r="AB100" s="2978" t="e">
        <f ca="1">T95-AB95</f>
        <v>#DIV/0!</v>
      </c>
    </row>
    <row r="101" spans="1:28" x14ac:dyDescent="0.55000000000000004">
      <c r="B101" s="698"/>
      <c r="C101" s="698"/>
      <c r="D101" s="698"/>
      <c r="E101" s="698"/>
      <c r="F101" s="698"/>
      <c r="G101" s="698"/>
      <c r="H101" s="698"/>
      <c r="I101" s="698"/>
      <c r="J101" s="698"/>
      <c r="K101" s="698"/>
      <c r="L101" s="698"/>
      <c r="M101" s="698"/>
      <c r="N101" s="698"/>
      <c r="O101" s="698"/>
      <c r="P101" s="698"/>
      <c r="Q101" s="698"/>
      <c r="R101" s="698"/>
      <c r="S101" s="698"/>
      <c r="T101" s="698"/>
      <c r="U101" s="698"/>
      <c r="V101" s="698"/>
    </row>
    <row r="102" spans="1:28" x14ac:dyDescent="0.55000000000000004">
      <c r="B102" s="698"/>
      <c r="C102" s="698"/>
      <c r="D102" s="698"/>
      <c r="E102" s="698"/>
      <c r="F102" s="698"/>
      <c r="G102" s="698"/>
      <c r="H102" s="698"/>
      <c r="I102" s="698"/>
      <c r="J102" s="698"/>
      <c r="K102" s="698"/>
      <c r="L102" s="698"/>
      <c r="M102" s="698"/>
      <c r="N102" s="698"/>
      <c r="O102" s="698"/>
      <c r="P102" s="698"/>
      <c r="Q102" s="698"/>
      <c r="R102" s="698"/>
      <c r="S102" s="698"/>
      <c r="T102" s="698">
        <v>1.01</v>
      </c>
      <c r="U102" s="698"/>
      <c r="V102" s="698"/>
    </row>
    <row r="103" spans="1:28" x14ac:dyDescent="0.55000000000000004">
      <c r="B103" s="698"/>
      <c r="C103" s="698"/>
      <c r="D103" s="698"/>
      <c r="E103" s="698"/>
      <c r="F103" s="698"/>
      <c r="G103" s="698"/>
      <c r="H103" s="698"/>
      <c r="I103" s="698"/>
      <c r="J103" s="698"/>
      <c r="K103" s="698"/>
      <c r="L103" s="698"/>
      <c r="M103" s="698"/>
      <c r="N103" s="698"/>
      <c r="O103" s="698"/>
      <c r="P103" s="698"/>
      <c r="Q103" s="698"/>
      <c r="R103" s="698"/>
      <c r="S103" s="698"/>
      <c r="T103" s="698">
        <v>1.04</v>
      </c>
      <c r="U103" s="698"/>
      <c r="V103" s="698"/>
    </row>
    <row r="104" spans="1:28" x14ac:dyDescent="0.55000000000000004">
      <c r="B104" s="698"/>
      <c r="C104" s="698"/>
      <c r="D104" s="698"/>
      <c r="E104" s="698"/>
      <c r="F104" s="698"/>
      <c r="G104" s="698"/>
      <c r="H104" s="698"/>
      <c r="I104" s="698"/>
      <c r="J104" s="698"/>
      <c r="K104" s="698"/>
      <c r="L104" s="698"/>
      <c r="M104" s="698"/>
      <c r="N104" s="698"/>
      <c r="O104" s="698"/>
      <c r="P104" s="698"/>
      <c r="Q104" s="698"/>
      <c r="R104" s="698"/>
      <c r="S104" s="698"/>
      <c r="T104" s="698">
        <f>T102-T103</f>
        <v>-3.0000000000000027E-2</v>
      </c>
      <c r="U104" s="698"/>
      <c r="V104" s="698"/>
    </row>
    <row r="105" spans="1:28" x14ac:dyDescent="0.55000000000000004">
      <c r="B105" s="698"/>
      <c r="C105" s="698"/>
      <c r="D105" s="698"/>
      <c r="E105" s="698"/>
      <c r="F105" s="698"/>
      <c r="G105" s="698"/>
      <c r="H105" s="698"/>
      <c r="I105" s="698"/>
      <c r="J105" s="698"/>
      <c r="K105" s="698"/>
      <c r="L105" s="698"/>
      <c r="M105" s="698"/>
      <c r="N105" s="698"/>
      <c r="O105" s="698"/>
      <c r="P105" s="698"/>
      <c r="Q105" s="698"/>
      <c r="R105" s="698"/>
      <c r="S105" s="698"/>
      <c r="T105" s="3665">
        <f>T104/T102</f>
        <v>-2.9702970297029729E-2</v>
      </c>
      <c r="U105" s="698"/>
      <c r="V105" s="698"/>
    </row>
    <row r="106" spans="1:28" x14ac:dyDescent="0.55000000000000004">
      <c r="B106" s="698"/>
      <c r="C106" s="698"/>
      <c r="D106" s="698"/>
      <c r="E106" s="698"/>
      <c r="F106" s="698"/>
      <c r="G106" s="698"/>
      <c r="H106" s="698"/>
      <c r="I106" s="698"/>
      <c r="J106" s="698"/>
      <c r="K106" s="698"/>
      <c r="L106" s="698"/>
      <c r="M106" s="698"/>
      <c r="N106" s="698"/>
      <c r="O106" s="698"/>
      <c r="P106" s="698"/>
      <c r="Q106" s="698"/>
      <c r="R106" s="698"/>
      <c r="S106" s="698"/>
      <c r="T106" s="698"/>
      <c r="U106" s="698"/>
      <c r="V106" s="698"/>
    </row>
    <row r="107" spans="1:28" x14ac:dyDescent="0.55000000000000004">
      <c r="B107" s="698"/>
      <c r="C107" s="698"/>
      <c r="D107" s="698"/>
      <c r="E107" s="698"/>
      <c r="F107" s="698"/>
      <c r="G107" s="698"/>
      <c r="H107" s="698"/>
      <c r="I107" s="698"/>
      <c r="J107" s="698"/>
      <c r="K107" s="698"/>
      <c r="L107" s="698"/>
      <c r="M107" s="698"/>
      <c r="N107" s="698"/>
      <c r="O107" s="698"/>
      <c r="P107" s="698"/>
      <c r="Q107" s="698"/>
      <c r="R107" s="698"/>
      <c r="S107" s="698"/>
      <c r="T107" s="698"/>
      <c r="U107" s="698"/>
      <c r="V107" s="698"/>
    </row>
    <row r="108" spans="1:28" x14ac:dyDescent="0.55000000000000004">
      <c r="B108" s="698"/>
      <c r="C108" s="698"/>
      <c r="D108" s="698"/>
      <c r="E108" s="698"/>
      <c r="F108" s="698"/>
      <c r="G108" s="698"/>
      <c r="H108" s="698"/>
      <c r="I108" s="698"/>
      <c r="J108" s="698"/>
      <c r="K108" s="698"/>
      <c r="L108" s="698"/>
      <c r="M108" s="698"/>
      <c r="N108" s="698"/>
      <c r="O108" s="698"/>
      <c r="P108" s="698"/>
      <c r="Q108" s="698"/>
      <c r="R108" s="698"/>
      <c r="S108" s="698"/>
      <c r="T108" s="698"/>
      <c r="U108" s="698"/>
      <c r="V108" s="698"/>
    </row>
    <row r="109" spans="1:28" x14ac:dyDescent="0.55000000000000004">
      <c r="B109" s="698"/>
      <c r="C109" s="698"/>
      <c r="D109" s="698"/>
      <c r="E109" s="698"/>
      <c r="F109" s="698"/>
      <c r="G109" s="698"/>
      <c r="H109" s="698"/>
      <c r="I109" s="698"/>
      <c r="J109" s="698"/>
      <c r="K109" s="698"/>
      <c r="L109" s="698"/>
      <c r="M109" s="698"/>
      <c r="N109" s="698"/>
      <c r="O109" s="698"/>
      <c r="P109" s="698"/>
      <c r="Q109" s="698"/>
      <c r="R109" s="698"/>
      <c r="S109" s="698"/>
      <c r="T109" s="698"/>
      <c r="U109" s="698"/>
      <c r="V109" s="698"/>
    </row>
    <row r="110" spans="1:28" x14ac:dyDescent="0.55000000000000004">
      <c r="B110" s="698"/>
      <c r="C110" s="698"/>
      <c r="D110" s="698"/>
      <c r="E110" s="698"/>
      <c r="F110" s="698"/>
      <c r="G110" s="698"/>
      <c r="H110" s="698"/>
      <c r="I110" s="698"/>
      <c r="J110" s="698"/>
      <c r="K110" s="698"/>
      <c r="L110" s="698"/>
      <c r="M110" s="698"/>
      <c r="N110" s="698"/>
      <c r="O110" s="698"/>
      <c r="P110" s="698"/>
      <c r="Q110" s="698"/>
      <c r="R110" s="698"/>
      <c r="S110" s="698"/>
      <c r="T110" s="698"/>
      <c r="U110" s="698"/>
      <c r="V110" s="698"/>
    </row>
    <row r="111" spans="1:28" ht="15.45" thickBot="1" x14ac:dyDescent="0.6">
      <c r="B111" s="698"/>
      <c r="C111" s="698"/>
      <c r="D111" s="698"/>
      <c r="E111" s="698"/>
      <c r="F111" s="2093"/>
      <c r="G111" s="2093"/>
      <c r="H111" s="2093"/>
      <c r="I111" s="2093"/>
      <c r="J111" s="2093"/>
      <c r="K111" s="2093"/>
      <c r="L111" s="2093"/>
      <c r="M111" s="2093"/>
      <c r="N111" s="2093"/>
      <c r="O111" s="2093"/>
      <c r="P111" s="698"/>
      <c r="Q111" s="698"/>
      <c r="R111" s="698"/>
      <c r="S111" s="698"/>
      <c r="T111" s="698"/>
      <c r="U111" s="698"/>
      <c r="V111" s="698"/>
    </row>
    <row r="112" spans="1:28" x14ac:dyDescent="0.55000000000000004">
      <c r="B112" s="698"/>
      <c r="C112" s="698"/>
      <c r="D112" s="698"/>
      <c r="E112" s="698"/>
      <c r="F112" s="3666"/>
      <c r="G112" s="2960"/>
      <c r="H112" s="2960"/>
      <c r="I112" s="2960"/>
      <c r="J112" s="2960"/>
      <c r="K112" s="2960"/>
      <c r="L112" s="2960"/>
      <c r="M112" s="2960"/>
      <c r="N112" s="2960"/>
      <c r="O112" s="2960"/>
      <c r="P112" s="698"/>
      <c r="Q112" s="698"/>
      <c r="R112" s="698"/>
      <c r="S112" s="698"/>
      <c r="T112" s="698"/>
      <c r="U112" s="698"/>
      <c r="V112" s="698"/>
    </row>
    <row r="113" spans="2:22" x14ac:dyDescent="0.55000000000000004">
      <c r="B113" s="698"/>
      <c r="C113" s="698"/>
      <c r="D113" s="698"/>
      <c r="E113" s="698"/>
      <c r="F113" s="3667"/>
      <c r="G113" s="3667"/>
      <c r="H113" s="3667"/>
      <c r="I113" s="3667"/>
      <c r="J113" s="3667"/>
      <c r="K113" s="3667"/>
      <c r="L113" s="3667"/>
      <c r="M113" s="3667"/>
      <c r="N113" s="3667"/>
      <c r="O113" s="3667"/>
      <c r="P113" s="698"/>
      <c r="Q113" s="698"/>
      <c r="R113" s="698"/>
      <c r="S113" s="698"/>
      <c r="T113" s="698"/>
      <c r="U113" s="698"/>
      <c r="V113" s="698"/>
    </row>
    <row r="114" spans="2:22" x14ac:dyDescent="0.55000000000000004">
      <c r="B114" s="698"/>
      <c r="C114" s="698"/>
      <c r="D114" s="698"/>
      <c r="E114" s="698"/>
      <c r="F114" s="3668"/>
      <c r="G114" s="3668"/>
      <c r="H114" s="3668"/>
      <c r="I114" s="3668"/>
      <c r="J114" s="3668"/>
      <c r="K114" s="3668"/>
      <c r="L114" s="3668"/>
      <c r="M114" s="3668"/>
      <c r="N114" s="3668"/>
      <c r="O114" s="3668"/>
      <c r="P114" s="698"/>
      <c r="Q114" s="698"/>
      <c r="R114" s="698"/>
      <c r="S114" s="698"/>
      <c r="T114" s="698"/>
      <c r="U114" s="698"/>
      <c r="V114" s="698"/>
    </row>
    <row r="115" spans="2:22" x14ac:dyDescent="0.55000000000000004">
      <c r="B115" s="698"/>
      <c r="C115" s="698"/>
      <c r="D115" s="698"/>
      <c r="E115" s="698"/>
      <c r="F115" s="3668"/>
      <c r="G115" s="3668"/>
      <c r="H115" s="3668"/>
      <c r="I115" s="3668"/>
      <c r="J115" s="3668"/>
      <c r="K115" s="3668"/>
      <c r="L115" s="3668"/>
      <c r="M115" s="3668"/>
      <c r="N115" s="3668"/>
      <c r="O115" s="3668"/>
      <c r="P115" s="698"/>
      <c r="Q115" s="698"/>
      <c r="R115" s="698"/>
      <c r="S115" s="698"/>
      <c r="T115" s="698"/>
      <c r="U115" s="698"/>
      <c r="V115" s="698"/>
    </row>
    <row r="116" spans="2:22" x14ac:dyDescent="0.55000000000000004">
      <c r="B116" s="698"/>
      <c r="C116" s="698"/>
      <c r="D116" s="698"/>
      <c r="E116" s="698"/>
      <c r="F116" s="2922"/>
      <c r="G116" s="2922"/>
      <c r="H116" s="2922"/>
      <c r="I116" s="2922"/>
      <c r="J116" s="2922"/>
      <c r="K116" s="2922"/>
      <c r="L116" s="2922"/>
      <c r="M116" s="2922"/>
      <c r="N116" s="2922"/>
      <c r="O116" s="2922"/>
      <c r="P116" s="698"/>
      <c r="Q116" s="698"/>
      <c r="R116" s="698"/>
      <c r="S116" s="698"/>
      <c r="T116" s="698"/>
      <c r="U116" s="698"/>
      <c r="V116" s="698"/>
    </row>
    <row r="117" spans="2:22" x14ac:dyDescent="0.55000000000000004">
      <c r="F117" s="1102"/>
      <c r="G117" s="1102"/>
      <c r="H117" s="1102"/>
      <c r="I117" s="1102"/>
      <c r="J117" s="1102"/>
      <c r="K117" s="1102"/>
      <c r="L117" s="1102"/>
      <c r="M117" s="1102"/>
      <c r="N117" s="1102"/>
      <c r="O117" s="1102"/>
    </row>
    <row r="118" spans="2:22" x14ac:dyDescent="0.55000000000000004">
      <c r="F118" s="1102"/>
      <c r="G118" s="1102"/>
      <c r="H118" s="1102"/>
      <c r="I118" s="1102"/>
      <c r="J118" s="1102"/>
      <c r="K118" s="1102"/>
      <c r="L118" s="1102"/>
      <c r="M118" s="1102"/>
      <c r="N118" s="1102"/>
      <c r="O118" s="1102"/>
    </row>
    <row r="119" spans="2:22" x14ac:dyDescent="0.55000000000000004">
      <c r="F119" s="1102"/>
      <c r="G119" s="1102"/>
      <c r="H119" s="1102"/>
      <c r="I119" s="1102"/>
      <c r="J119" s="1102"/>
      <c r="K119" s="1102"/>
      <c r="L119" s="1102"/>
      <c r="M119" s="1102"/>
      <c r="N119" s="1102"/>
      <c r="O119" s="1102"/>
    </row>
    <row r="120" spans="2:22" x14ac:dyDescent="0.55000000000000004">
      <c r="F120" s="3398"/>
      <c r="G120" s="3398"/>
      <c r="H120" s="3398"/>
      <c r="I120" s="3398"/>
      <c r="J120" s="3398"/>
      <c r="K120" s="3398"/>
      <c r="L120" s="3398"/>
      <c r="M120" s="3398"/>
      <c r="N120" s="3398"/>
      <c r="O120" s="3398"/>
    </row>
    <row r="121" spans="2:22" x14ac:dyDescent="0.55000000000000004">
      <c r="F121" s="2911"/>
      <c r="G121" s="2961"/>
      <c r="H121" s="2961"/>
      <c r="I121" s="2961"/>
      <c r="J121" s="2961"/>
      <c r="K121" s="2961"/>
      <c r="L121" s="2961"/>
      <c r="M121" s="2961"/>
      <c r="N121" s="2961"/>
      <c r="O121" s="2961"/>
    </row>
    <row r="122" spans="2:22" x14ac:dyDescent="0.55000000000000004">
      <c r="F122" s="2888"/>
      <c r="G122" s="2888"/>
      <c r="H122" s="2888"/>
      <c r="I122" s="2888"/>
      <c r="J122" s="2888"/>
      <c r="K122" s="2888"/>
      <c r="L122" s="2888"/>
      <c r="M122" s="2888"/>
      <c r="N122" s="2888"/>
      <c r="O122" s="2888"/>
    </row>
    <row r="123" spans="2:22" x14ac:dyDescent="0.55000000000000004">
      <c r="F123" s="1102"/>
      <c r="G123" s="1102"/>
      <c r="H123" s="1102"/>
      <c r="I123" s="1102"/>
      <c r="J123" s="1102"/>
      <c r="K123" s="1102"/>
      <c r="L123" s="1102"/>
      <c r="M123" s="1102"/>
      <c r="N123" s="1102"/>
      <c r="O123" s="1102"/>
    </row>
    <row r="124" spans="2:22" x14ac:dyDescent="0.55000000000000004">
      <c r="F124" s="1102"/>
      <c r="G124" s="1102"/>
      <c r="H124" s="1102"/>
      <c r="I124" s="1102"/>
      <c r="J124" s="1102"/>
      <c r="K124" s="1102"/>
      <c r="L124" s="1102"/>
      <c r="M124" s="1102"/>
      <c r="N124" s="1102"/>
      <c r="O124" s="1102"/>
    </row>
    <row r="125" spans="2:22" x14ac:dyDescent="0.55000000000000004">
      <c r="F125" s="1102"/>
      <c r="G125" s="1102"/>
      <c r="H125" s="1102"/>
      <c r="I125" s="1102"/>
      <c r="J125" s="1102"/>
      <c r="K125" s="1102"/>
      <c r="L125" s="1102"/>
      <c r="M125" s="1102"/>
      <c r="N125" s="1102"/>
      <c r="O125" s="1102"/>
    </row>
    <row r="126" spans="2:22" x14ac:dyDescent="0.55000000000000004">
      <c r="F126" s="1102"/>
      <c r="G126" s="1102"/>
      <c r="H126" s="1102"/>
      <c r="I126" s="1102"/>
      <c r="J126" s="1102"/>
      <c r="K126" s="1102"/>
      <c r="L126" s="1102"/>
      <c r="M126" s="1102"/>
      <c r="N126" s="1102"/>
      <c r="O126" s="1102"/>
    </row>
    <row r="127" spans="2:22" x14ac:dyDescent="0.55000000000000004">
      <c r="F127" s="1102"/>
      <c r="G127" s="1102"/>
      <c r="H127" s="1102"/>
      <c r="I127" s="1102"/>
      <c r="J127" s="1102"/>
      <c r="K127" s="1102"/>
      <c r="L127" s="1102"/>
      <c r="M127" s="1102"/>
      <c r="N127" s="1102"/>
      <c r="O127" s="1102"/>
    </row>
    <row r="128" spans="2:22" x14ac:dyDescent="0.55000000000000004">
      <c r="F128" s="1102"/>
      <c r="G128" s="1102"/>
      <c r="H128" s="1102"/>
      <c r="I128" s="1102"/>
      <c r="J128" s="1102"/>
      <c r="K128" s="1102"/>
      <c r="L128" s="1102"/>
      <c r="M128" s="1102"/>
      <c r="N128" s="1102"/>
      <c r="O128" s="1102"/>
    </row>
    <row r="129" spans="6:15" x14ac:dyDescent="0.55000000000000004">
      <c r="F129" s="2883"/>
      <c r="G129" s="2883"/>
      <c r="H129" s="2883"/>
      <c r="I129" s="2883"/>
      <c r="J129" s="2883"/>
      <c r="K129" s="2883"/>
      <c r="L129" s="2883"/>
      <c r="M129" s="2883"/>
      <c r="N129" s="2883"/>
      <c r="O129" s="2883"/>
    </row>
    <row r="130" spans="6:15" x14ac:dyDescent="0.55000000000000004">
      <c r="F130" s="3423"/>
      <c r="G130" s="3398"/>
      <c r="H130" s="3398"/>
      <c r="I130" s="3398"/>
      <c r="J130" s="3398"/>
      <c r="K130" s="3398"/>
      <c r="L130" s="3398"/>
      <c r="M130" s="3398"/>
      <c r="N130" s="3398"/>
      <c r="O130" s="3398"/>
    </row>
    <row r="131" spans="6:15" x14ac:dyDescent="0.55000000000000004">
      <c r="F131" s="2911"/>
      <c r="G131" s="2961"/>
      <c r="H131" s="2961"/>
      <c r="I131" s="2961"/>
      <c r="J131" s="2961"/>
      <c r="K131" s="2961"/>
      <c r="L131" s="2961"/>
      <c r="M131" s="2961"/>
      <c r="N131" s="2961"/>
      <c r="O131" s="2961"/>
    </row>
    <row r="132" spans="6:15" x14ac:dyDescent="0.55000000000000004">
      <c r="F132" s="2888"/>
      <c r="G132" s="2888"/>
      <c r="H132" s="2888"/>
      <c r="I132" s="2888"/>
      <c r="J132" s="2888"/>
      <c r="K132" s="2888"/>
      <c r="L132" s="2888"/>
      <c r="M132" s="2888"/>
      <c r="N132" s="2888"/>
      <c r="O132" s="2888"/>
    </row>
    <row r="133" spans="6:15" x14ac:dyDescent="0.55000000000000004">
      <c r="F133" s="1102"/>
      <c r="G133" s="1102"/>
      <c r="H133" s="1102"/>
      <c r="I133" s="1102"/>
      <c r="J133" s="1102"/>
      <c r="K133" s="1102"/>
      <c r="L133" s="1102"/>
      <c r="M133" s="1102"/>
      <c r="N133" s="1102"/>
      <c r="O133" s="1102"/>
    </row>
    <row r="134" spans="6:15" x14ac:dyDescent="0.55000000000000004">
      <c r="F134" s="1102"/>
      <c r="G134" s="1102"/>
      <c r="H134" s="1102"/>
      <c r="I134" s="1102"/>
      <c r="J134" s="1102"/>
      <c r="K134" s="1102"/>
      <c r="L134" s="1102"/>
      <c r="M134" s="1102"/>
      <c r="N134" s="1102"/>
      <c r="O134" s="1102"/>
    </row>
    <row r="135" spans="6:15" x14ac:dyDescent="0.55000000000000004">
      <c r="F135" s="1102"/>
      <c r="G135" s="1102"/>
      <c r="H135" s="1102"/>
      <c r="I135" s="1102"/>
      <c r="J135" s="1102"/>
      <c r="K135" s="1102"/>
      <c r="L135" s="1102"/>
      <c r="M135" s="1102"/>
      <c r="N135" s="1102"/>
      <c r="O135" s="1102"/>
    </row>
    <row r="136" spans="6:15" x14ac:dyDescent="0.55000000000000004">
      <c r="F136" s="1102"/>
      <c r="G136" s="1102"/>
      <c r="H136" s="1102"/>
      <c r="I136" s="1102"/>
      <c r="J136" s="1102"/>
      <c r="K136" s="1102"/>
      <c r="L136" s="1102"/>
      <c r="M136" s="1102"/>
      <c r="N136" s="1102"/>
      <c r="O136" s="1102"/>
    </row>
    <row r="137" spans="6:15" x14ac:dyDescent="0.55000000000000004">
      <c r="F137" s="1102"/>
      <c r="G137" s="1102"/>
      <c r="H137" s="1102"/>
      <c r="I137" s="1102"/>
      <c r="J137" s="1102"/>
      <c r="K137" s="1102"/>
      <c r="L137" s="1102"/>
      <c r="M137" s="1102"/>
      <c r="N137" s="1102"/>
      <c r="O137" s="1102"/>
    </row>
    <row r="138" spans="6:15" x14ac:dyDescent="0.55000000000000004">
      <c r="F138" s="1102"/>
      <c r="G138" s="1102"/>
      <c r="H138" s="1102"/>
      <c r="I138" s="1102"/>
      <c r="J138" s="1102"/>
      <c r="K138" s="1102"/>
      <c r="L138" s="1102"/>
      <c r="M138" s="1102"/>
      <c r="N138" s="1102"/>
      <c r="O138" s="1102"/>
    </row>
    <row r="139" spans="6:15" x14ac:dyDescent="0.55000000000000004">
      <c r="F139" s="1102"/>
      <c r="G139" s="1102"/>
      <c r="H139" s="1102"/>
      <c r="I139" s="1102"/>
      <c r="J139" s="1102"/>
      <c r="K139" s="1102"/>
      <c r="L139" s="1102"/>
      <c r="M139" s="1102"/>
      <c r="N139" s="1102"/>
      <c r="O139" s="1102"/>
    </row>
    <row r="140" spans="6:15" x14ac:dyDescent="0.55000000000000004">
      <c r="F140" s="3423"/>
      <c r="G140" s="3398"/>
      <c r="H140" s="3398"/>
      <c r="I140" s="3398"/>
      <c r="J140" s="3398"/>
      <c r="K140" s="3398"/>
      <c r="L140" s="3398"/>
      <c r="M140" s="3398"/>
      <c r="N140" s="3398"/>
      <c r="O140" s="3398"/>
    </row>
    <row r="141" spans="6:15" x14ac:dyDescent="0.55000000000000004">
      <c r="F141" s="1102"/>
      <c r="G141" s="1102"/>
      <c r="H141" s="1102"/>
      <c r="I141" s="1102"/>
      <c r="J141" s="1102"/>
      <c r="K141" s="1102"/>
      <c r="L141" s="1102"/>
      <c r="M141" s="1102"/>
      <c r="N141" s="1102"/>
      <c r="O141" s="1102"/>
    </row>
    <row r="142" spans="6:15" x14ac:dyDescent="0.55000000000000004">
      <c r="F142" s="2911"/>
      <c r="G142" s="2961"/>
      <c r="H142" s="2961"/>
      <c r="I142" s="2961"/>
      <c r="J142" s="2961"/>
      <c r="K142" s="2961"/>
      <c r="L142" s="2961"/>
      <c r="M142" s="2961"/>
      <c r="N142" s="2961"/>
      <c r="O142" s="2961"/>
    </row>
    <row r="143" spans="6:15" x14ac:dyDescent="0.55000000000000004">
      <c r="F143" s="1102"/>
      <c r="G143" s="1102"/>
      <c r="H143" s="1102"/>
      <c r="I143" s="1102"/>
      <c r="J143" s="1102"/>
      <c r="K143" s="1102"/>
      <c r="L143" s="1102"/>
      <c r="M143" s="1102"/>
      <c r="N143" s="1102"/>
      <c r="O143" s="1102"/>
    </row>
    <row r="144" spans="6:15" x14ac:dyDescent="0.55000000000000004">
      <c r="F144" s="1102"/>
      <c r="G144" s="1102"/>
      <c r="H144" s="1102"/>
      <c r="I144" s="1102"/>
      <c r="J144" s="1102"/>
      <c r="K144" s="1102"/>
      <c r="L144" s="1102"/>
      <c r="M144" s="1102"/>
      <c r="N144" s="1102"/>
      <c r="O144" s="1102"/>
    </row>
    <row r="145" spans="6:16" x14ac:dyDescent="0.55000000000000004">
      <c r="F145" s="1102"/>
      <c r="G145" s="1102"/>
      <c r="H145" s="1102"/>
      <c r="I145" s="1102"/>
      <c r="J145" s="1102"/>
      <c r="K145" s="1102"/>
      <c r="L145" s="1102"/>
      <c r="M145" s="1102"/>
      <c r="N145" s="1102"/>
      <c r="O145" s="1102"/>
      <c r="P145" s="1102"/>
    </row>
    <row r="146" spans="6:16" ht="15.45" thickBot="1" x14ac:dyDescent="0.6">
      <c r="F146" s="3669"/>
      <c r="G146" s="3398"/>
      <c r="H146" s="3398"/>
      <c r="I146" s="3398"/>
      <c r="J146" s="3398"/>
      <c r="K146" s="3398"/>
      <c r="L146" s="3398"/>
      <c r="M146" s="3398"/>
      <c r="N146" s="3398"/>
      <c r="O146" s="3398"/>
    </row>
    <row r="147" spans="6:16" ht="15.45" thickBot="1" x14ac:dyDescent="0.6"/>
    <row r="148" spans="6:16" x14ac:dyDescent="0.55000000000000004">
      <c r="F148" s="3670"/>
      <c r="G148" s="3671"/>
      <c r="H148" s="3671"/>
      <c r="I148" s="3671"/>
      <c r="J148" s="3671"/>
      <c r="K148" s="3671"/>
      <c r="L148" s="3671"/>
      <c r="M148" s="3671"/>
      <c r="N148" s="3671"/>
      <c r="O148" s="3671"/>
    </row>
    <row r="149" spans="6:16" x14ac:dyDescent="0.55000000000000004">
      <c r="F149" s="1102"/>
      <c r="G149" s="1102"/>
      <c r="H149" s="1102"/>
      <c r="I149" s="1102"/>
      <c r="J149" s="1102"/>
      <c r="K149" s="1102"/>
      <c r="L149" s="1102"/>
      <c r="M149" s="1102"/>
      <c r="N149" s="1102"/>
      <c r="O149" s="1102"/>
    </row>
    <row r="150" spans="6:16" x14ac:dyDescent="0.55000000000000004">
      <c r="F150" s="3672"/>
      <c r="G150" s="3672"/>
      <c r="H150" s="3672"/>
      <c r="I150" s="3672"/>
      <c r="J150" s="3672"/>
      <c r="K150" s="3672"/>
      <c r="L150" s="3672"/>
      <c r="M150" s="3672"/>
      <c r="N150" s="3672"/>
      <c r="O150" s="3672"/>
    </row>
    <row r="151" spans="6:16" x14ac:dyDescent="0.55000000000000004">
      <c r="F151" s="3673"/>
      <c r="G151" s="3673"/>
      <c r="H151" s="3673"/>
      <c r="I151" s="3673"/>
      <c r="J151" s="3673"/>
      <c r="K151" s="3673"/>
      <c r="L151" s="3673"/>
      <c r="M151" s="3673"/>
      <c r="N151" s="3673"/>
      <c r="O151" s="3673"/>
    </row>
    <row r="152" spans="6:16" x14ac:dyDescent="0.55000000000000004">
      <c r="F152" s="3674"/>
      <c r="G152" s="3674"/>
      <c r="H152" s="3674"/>
      <c r="I152" s="3674"/>
      <c r="J152" s="3674"/>
      <c r="K152" s="3674"/>
      <c r="L152" s="3674"/>
      <c r="M152" s="3674"/>
      <c r="N152" s="3674"/>
      <c r="O152" s="3674"/>
    </row>
    <row r="153" spans="6:16" x14ac:dyDescent="0.55000000000000004">
      <c r="F153" s="1102"/>
      <c r="G153" s="1102"/>
      <c r="H153" s="1102"/>
      <c r="I153" s="1102"/>
      <c r="J153" s="1102"/>
      <c r="K153" s="1102"/>
      <c r="L153" s="1102"/>
      <c r="M153" s="1102"/>
      <c r="N153" s="1102"/>
      <c r="O153" s="1102"/>
    </row>
    <row r="154" spans="6:16" x14ac:dyDescent="0.55000000000000004">
      <c r="F154" s="3675"/>
      <c r="G154" s="1102"/>
      <c r="H154" s="1102"/>
      <c r="I154" s="1102"/>
      <c r="J154" s="1102"/>
      <c r="K154" s="1102"/>
      <c r="L154" s="1102"/>
      <c r="M154" s="1102"/>
      <c r="N154" s="1102"/>
      <c r="O154" s="1102"/>
    </row>
    <row r="155" spans="6:16" x14ac:dyDescent="0.55000000000000004">
      <c r="F155" s="1102"/>
      <c r="G155" s="1102"/>
      <c r="H155" s="1102"/>
      <c r="I155" s="1102"/>
      <c r="J155" s="1102"/>
      <c r="K155" s="1102"/>
      <c r="L155" s="1102"/>
      <c r="M155" s="1102"/>
      <c r="N155" s="1102"/>
      <c r="O155" s="1102"/>
    </row>
    <row r="156" spans="6:16" x14ac:dyDescent="0.55000000000000004">
      <c r="F156" s="1102"/>
      <c r="G156" s="1102"/>
      <c r="H156" s="1102"/>
      <c r="I156" s="1102"/>
      <c r="J156" s="1102"/>
      <c r="K156" s="1102"/>
      <c r="L156" s="1102"/>
      <c r="M156" s="1102"/>
      <c r="N156" s="1102"/>
      <c r="O156" s="1102"/>
    </row>
    <row r="157" spans="6:16" x14ac:dyDescent="0.55000000000000004">
      <c r="F157" s="1102"/>
      <c r="G157" s="1102"/>
      <c r="H157" s="1102"/>
      <c r="I157" s="1102"/>
      <c r="J157" s="1102"/>
      <c r="K157" s="1102"/>
      <c r="L157" s="1102"/>
      <c r="M157" s="1102"/>
      <c r="N157" s="1102"/>
      <c r="O157" s="1102"/>
    </row>
    <row r="158" spans="6:16" x14ac:dyDescent="0.55000000000000004">
      <c r="F158" s="1102"/>
      <c r="G158" s="1102"/>
      <c r="H158" s="1102"/>
      <c r="I158" s="1102"/>
      <c r="J158" s="1102"/>
      <c r="K158" s="1102"/>
      <c r="L158" s="1102"/>
      <c r="M158" s="1102"/>
      <c r="N158" s="1102"/>
      <c r="O158" s="1102"/>
    </row>
    <row r="159" spans="6:16" x14ac:dyDescent="0.55000000000000004">
      <c r="F159" s="1102"/>
      <c r="G159" s="1102"/>
      <c r="H159" s="1102"/>
      <c r="I159" s="1102"/>
      <c r="J159" s="1102"/>
      <c r="K159" s="1102"/>
      <c r="L159" s="1102"/>
      <c r="M159" s="1102"/>
      <c r="N159" s="1102"/>
      <c r="O159" s="1102"/>
    </row>
    <row r="160" spans="6:16" x14ac:dyDescent="0.55000000000000004">
      <c r="F160" s="3675"/>
      <c r="G160" s="1102"/>
      <c r="H160" s="1102"/>
      <c r="I160" s="1102"/>
      <c r="J160" s="1102"/>
      <c r="K160" s="1102"/>
      <c r="L160" s="1102"/>
      <c r="M160" s="1102"/>
      <c r="N160" s="1102"/>
      <c r="O160" s="1102"/>
    </row>
    <row r="162" spans="6:15" x14ac:dyDescent="0.55000000000000004">
      <c r="F162" s="3676"/>
      <c r="G162" s="3671"/>
      <c r="H162" s="3671"/>
      <c r="I162" s="3671"/>
      <c r="J162" s="3671"/>
      <c r="K162" s="3671"/>
      <c r="L162" s="3671"/>
      <c r="M162" s="3671"/>
      <c r="N162" s="3671"/>
      <c r="O162" s="3671"/>
    </row>
    <row r="163" spans="6:15" x14ac:dyDescent="0.55000000000000004">
      <c r="F163" s="3677"/>
      <c r="G163" s="3677"/>
      <c r="H163" s="3677"/>
      <c r="I163" s="3677"/>
      <c r="J163" s="3677"/>
      <c r="K163" s="3677"/>
      <c r="L163" s="3677"/>
      <c r="M163" s="3677"/>
      <c r="N163" s="3677"/>
      <c r="O163" s="3677"/>
    </row>
    <row r="164" spans="6:15" x14ac:dyDescent="0.55000000000000004">
      <c r="F164" s="3677"/>
      <c r="G164" s="3677"/>
      <c r="H164" s="3677"/>
      <c r="I164" s="3677"/>
      <c r="J164" s="3677"/>
      <c r="K164" s="3677"/>
      <c r="L164" s="3677"/>
      <c r="M164" s="3677"/>
      <c r="N164" s="3677"/>
      <c r="O164" s="3677"/>
    </row>
    <row r="165" spans="6:15" x14ac:dyDescent="0.55000000000000004">
      <c r="F165" s="3677"/>
      <c r="G165" s="3677"/>
      <c r="H165" s="3677"/>
      <c r="I165" s="3677"/>
      <c r="J165" s="3677"/>
      <c r="K165" s="3677"/>
      <c r="L165" s="3677"/>
      <c r="M165" s="3677"/>
      <c r="N165" s="3677"/>
      <c r="O165" s="3677"/>
    </row>
    <row r="166" spans="6:15" x14ac:dyDescent="0.55000000000000004">
      <c r="F166" s="3677"/>
      <c r="G166" s="3677"/>
      <c r="H166" s="3677"/>
      <c r="I166" s="3677"/>
      <c r="J166" s="3677"/>
      <c r="K166" s="3677"/>
      <c r="L166" s="3677"/>
      <c r="M166" s="3677"/>
      <c r="N166" s="3677"/>
      <c r="O166" s="3677"/>
    </row>
    <row r="167" spans="6:15" x14ac:dyDescent="0.55000000000000004">
      <c r="F167" s="3678"/>
      <c r="G167" s="3677"/>
      <c r="H167" s="3677"/>
      <c r="I167" s="3677"/>
      <c r="J167" s="3677"/>
      <c r="K167" s="3677"/>
      <c r="L167" s="3677"/>
      <c r="M167" s="3677"/>
      <c r="N167" s="3677"/>
      <c r="O167" s="3677"/>
    </row>
    <row r="168" spans="6:15" x14ac:dyDescent="0.55000000000000004">
      <c r="F168" s="1102"/>
      <c r="G168" s="1102"/>
      <c r="H168" s="1102"/>
      <c r="I168" s="1102"/>
      <c r="J168" s="1102"/>
      <c r="K168" s="1102"/>
      <c r="L168" s="1102"/>
      <c r="M168" s="1102"/>
      <c r="N168" s="1102"/>
      <c r="O168" s="1102"/>
    </row>
    <row r="169" spans="6:15" x14ac:dyDescent="0.55000000000000004">
      <c r="F169" s="1102"/>
      <c r="G169" s="1102"/>
      <c r="H169" s="1102"/>
      <c r="I169" s="1102"/>
      <c r="J169" s="1102"/>
      <c r="K169" s="1102"/>
      <c r="L169" s="1102"/>
      <c r="M169" s="1102"/>
      <c r="N169" s="1102"/>
      <c r="O169" s="1102"/>
    </row>
    <row r="170" spans="6:15" x14ac:dyDescent="0.55000000000000004">
      <c r="F170" s="1102"/>
      <c r="G170" s="1102"/>
      <c r="H170" s="1102"/>
      <c r="I170" s="1102"/>
      <c r="J170" s="1102"/>
      <c r="K170" s="1102"/>
      <c r="L170" s="1102"/>
      <c r="M170" s="1102"/>
      <c r="N170" s="1102"/>
      <c r="O170" s="1102"/>
    </row>
    <row r="171" spans="6:15" x14ac:dyDescent="0.55000000000000004">
      <c r="F171" s="1102"/>
      <c r="G171" s="1102"/>
      <c r="H171" s="1102"/>
      <c r="I171" s="1102"/>
      <c r="J171" s="1102"/>
      <c r="K171" s="1102"/>
      <c r="L171" s="1102"/>
      <c r="M171" s="1102"/>
      <c r="N171" s="1102"/>
      <c r="O171" s="1102"/>
    </row>
    <row r="172" spans="6:15" x14ac:dyDescent="0.55000000000000004">
      <c r="F172" s="1102"/>
      <c r="G172" s="1102"/>
      <c r="H172" s="1102"/>
      <c r="I172" s="1102"/>
      <c r="J172" s="1102"/>
      <c r="K172" s="1102"/>
      <c r="L172" s="1102"/>
      <c r="M172" s="1102"/>
      <c r="N172" s="1102"/>
      <c r="O172" s="1102"/>
    </row>
    <row r="173" spans="6:15" x14ac:dyDescent="0.55000000000000004">
      <c r="F173" s="1102"/>
      <c r="G173" s="1102"/>
      <c r="H173" s="1102"/>
      <c r="I173" s="1102"/>
      <c r="J173" s="1102"/>
      <c r="K173" s="1102"/>
      <c r="L173" s="1102"/>
      <c r="M173" s="1102"/>
      <c r="N173" s="1102"/>
      <c r="O173" s="1102"/>
    </row>
    <row r="174" spans="6:15" x14ac:dyDescent="0.55000000000000004">
      <c r="F174" s="1102"/>
      <c r="G174" s="1102"/>
      <c r="H174" s="1102"/>
      <c r="I174" s="1102"/>
      <c r="J174" s="1102"/>
      <c r="K174" s="1102"/>
      <c r="L174" s="1102"/>
      <c r="M174" s="1102"/>
      <c r="N174" s="1102"/>
      <c r="O174" s="1102"/>
    </row>
    <row r="175" spans="6:15" x14ac:dyDescent="0.55000000000000004">
      <c r="F175" s="1102"/>
      <c r="G175" s="1102"/>
      <c r="H175" s="1102"/>
      <c r="I175" s="1102"/>
      <c r="J175" s="1102"/>
      <c r="K175" s="1102"/>
      <c r="L175" s="1102"/>
      <c r="M175" s="1102"/>
      <c r="N175" s="1102"/>
      <c r="O175" s="1102"/>
    </row>
    <row r="176" spans="6:15" x14ac:dyDescent="0.55000000000000004">
      <c r="F176" s="1102"/>
      <c r="G176" s="1102"/>
      <c r="H176" s="1102"/>
      <c r="I176" s="1102"/>
      <c r="J176" s="1102"/>
      <c r="K176" s="1102"/>
      <c r="L176" s="1102"/>
      <c r="M176" s="1102"/>
      <c r="N176" s="1102"/>
      <c r="O176" s="1102"/>
    </row>
    <row r="177" spans="6:15" x14ac:dyDescent="0.55000000000000004">
      <c r="F177" s="3675"/>
      <c r="G177" s="1102"/>
      <c r="H177" s="1102"/>
      <c r="I177" s="1102"/>
      <c r="J177" s="1102"/>
      <c r="K177" s="1102"/>
      <c r="L177" s="1102"/>
      <c r="M177" s="1102"/>
      <c r="N177" s="1102"/>
      <c r="O177" s="1102"/>
    </row>
    <row r="178" spans="6:15" x14ac:dyDescent="0.55000000000000004">
      <c r="F178" s="905"/>
      <c r="G178" s="905"/>
      <c r="H178" s="905"/>
      <c r="I178" s="905"/>
      <c r="J178" s="905"/>
      <c r="K178" s="905"/>
      <c r="L178" s="905"/>
      <c r="M178" s="905"/>
      <c r="N178" s="905"/>
      <c r="O178" s="905"/>
    </row>
    <row r="179" spans="6:15" x14ac:dyDescent="0.55000000000000004">
      <c r="F179" s="3676"/>
      <c r="G179" s="3671"/>
      <c r="H179" s="3671"/>
      <c r="I179" s="3671"/>
      <c r="J179" s="3671"/>
      <c r="K179" s="3671"/>
      <c r="L179" s="3671"/>
      <c r="M179" s="3671"/>
      <c r="N179" s="3671"/>
      <c r="O179" s="3671"/>
    </row>
    <row r="180" spans="6:15" x14ac:dyDescent="0.55000000000000004">
      <c r="F180" s="3677"/>
      <c r="G180" s="3677"/>
      <c r="H180" s="3677"/>
      <c r="I180" s="3677"/>
      <c r="J180" s="3677"/>
      <c r="K180" s="3677"/>
      <c r="L180" s="3677"/>
      <c r="M180" s="3677"/>
      <c r="N180" s="3677"/>
      <c r="O180" s="3677"/>
    </row>
    <row r="181" spans="6:15" x14ac:dyDescent="0.55000000000000004">
      <c r="F181" s="3677"/>
      <c r="G181" s="3677"/>
      <c r="H181" s="3677"/>
      <c r="I181" s="3677"/>
      <c r="J181" s="3677"/>
      <c r="K181" s="3677"/>
      <c r="L181" s="3677"/>
      <c r="M181" s="3677"/>
      <c r="N181" s="3677"/>
      <c r="O181" s="3677"/>
    </row>
    <row r="182" spans="6:15" x14ac:dyDescent="0.55000000000000004">
      <c r="F182" s="3677"/>
      <c r="G182" s="3677"/>
      <c r="H182" s="3677"/>
      <c r="I182" s="3677"/>
      <c r="J182" s="3677"/>
      <c r="K182" s="3677"/>
      <c r="L182" s="3677"/>
      <c r="M182" s="3677"/>
      <c r="N182" s="3677"/>
      <c r="O182" s="3677"/>
    </row>
    <row r="183" spans="6:15" x14ac:dyDescent="0.55000000000000004">
      <c r="F183" s="3677"/>
      <c r="G183" s="3677"/>
      <c r="H183" s="3677"/>
      <c r="I183" s="3677"/>
      <c r="J183" s="3677"/>
      <c r="K183" s="3677"/>
      <c r="L183" s="3677"/>
      <c r="M183" s="3677"/>
      <c r="N183" s="3677"/>
      <c r="O183" s="3677"/>
    </row>
    <row r="184" spans="6:15" x14ac:dyDescent="0.55000000000000004">
      <c r="F184" s="3678"/>
      <c r="G184" s="3677"/>
      <c r="H184" s="3677"/>
      <c r="I184" s="3677"/>
      <c r="J184" s="3677"/>
      <c r="K184" s="3677"/>
      <c r="L184" s="3677"/>
      <c r="M184" s="3677"/>
      <c r="N184" s="3677"/>
      <c r="O184" s="3677"/>
    </row>
    <row r="185" spans="6:15" x14ac:dyDescent="0.55000000000000004">
      <c r="F185" s="1102"/>
      <c r="G185" s="1102"/>
      <c r="H185" s="1102"/>
      <c r="I185" s="1102"/>
      <c r="J185" s="1102"/>
      <c r="K185" s="1102"/>
      <c r="L185" s="1102"/>
      <c r="M185" s="1102"/>
      <c r="N185" s="1102"/>
      <c r="O185" s="1102"/>
    </row>
    <row r="186" spans="6:15" x14ac:dyDescent="0.55000000000000004">
      <c r="F186" s="1102"/>
      <c r="G186" s="1102"/>
      <c r="H186" s="1102"/>
      <c r="I186" s="1102"/>
      <c r="J186" s="1102"/>
      <c r="K186" s="1102"/>
      <c r="L186" s="1102"/>
      <c r="M186" s="1102"/>
      <c r="N186" s="1102"/>
      <c r="O186" s="1102"/>
    </row>
    <row r="187" spans="6:15" x14ac:dyDescent="0.55000000000000004">
      <c r="F187" s="1102"/>
      <c r="G187" s="1102"/>
      <c r="H187" s="1102"/>
      <c r="I187" s="1102"/>
      <c r="J187" s="1102"/>
      <c r="K187" s="1102"/>
      <c r="L187" s="1102"/>
      <c r="M187" s="1102"/>
      <c r="N187" s="1102"/>
      <c r="O187" s="1102"/>
    </row>
    <row r="188" spans="6:15" x14ac:dyDescent="0.55000000000000004">
      <c r="F188" s="1102"/>
      <c r="G188" s="1102"/>
      <c r="H188" s="1102"/>
      <c r="I188" s="1102"/>
      <c r="J188" s="1102"/>
      <c r="K188" s="1102"/>
      <c r="L188" s="1102"/>
      <c r="M188" s="1102"/>
      <c r="N188" s="1102"/>
      <c r="O188" s="1102"/>
    </row>
    <row r="189" spans="6:15" x14ac:dyDescent="0.55000000000000004">
      <c r="F189" s="1102"/>
      <c r="G189" s="1102"/>
      <c r="H189" s="1102"/>
      <c r="I189" s="1102"/>
      <c r="J189" s="1102"/>
      <c r="K189" s="1102"/>
      <c r="L189" s="1102"/>
      <c r="M189" s="1102"/>
      <c r="N189" s="1102"/>
      <c r="O189" s="1102"/>
    </row>
    <row r="190" spans="6:15" x14ac:dyDescent="0.55000000000000004">
      <c r="F190" s="1102"/>
      <c r="G190" s="1102"/>
      <c r="H190" s="1102"/>
      <c r="I190" s="1102"/>
      <c r="J190" s="1102"/>
      <c r="K190" s="1102"/>
      <c r="L190" s="1102"/>
      <c r="M190" s="1102"/>
      <c r="N190" s="1102"/>
      <c r="O190" s="1102"/>
    </row>
    <row r="191" spans="6:15" x14ac:dyDescent="0.55000000000000004">
      <c r="F191" s="1102"/>
      <c r="G191" s="1102"/>
      <c r="H191" s="1102"/>
      <c r="I191" s="1102"/>
      <c r="J191" s="1102"/>
      <c r="K191" s="1102"/>
      <c r="L191" s="1102"/>
      <c r="M191" s="1102"/>
      <c r="N191" s="1102"/>
      <c r="O191" s="1102"/>
    </row>
    <row r="192" spans="6:15" ht="15.45" thickBot="1" x14ac:dyDescent="0.6">
      <c r="F192" s="3679"/>
      <c r="G192" s="1102"/>
      <c r="H192" s="1102"/>
      <c r="I192" s="1102"/>
      <c r="J192" s="1102"/>
      <c r="K192" s="1102"/>
      <c r="L192" s="1102"/>
      <c r="M192" s="1102"/>
      <c r="N192" s="1102"/>
      <c r="O192" s="1102"/>
    </row>
    <row r="193" spans="6:15" ht="15.45" thickBot="1" x14ac:dyDescent="0.6"/>
    <row r="194" spans="6:15" x14ac:dyDescent="0.55000000000000004">
      <c r="F194" s="3680"/>
      <c r="G194" s="2888"/>
      <c r="H194" s="2888"/>
      <c r="I194" s="2888"/>
      <c r="J194" s="2888"/>
      <c r="K194" s="2888"/>
      <c r="L194" s="2888"/>
      <c r="M194" s="2888"/>
      <c r="N194" s="2888"/>
      <c r="O194" s="2888"/>
    </row>
    <row r="195" spans="6:15" x14ac:dyDescent="0.55000000000000004">
      <c r="F195" s="1102"/>
      <c r="G195" s="1102"/>
      <c r="H195" s="1102"/>
      <c r="I195" s="1102"/>
      <c r="J195" s="1102"/>
      <c r="K195" s="1102"/>
      <c r="L195" s="1102"/>
      <c r="M195" s="1102"/>
      <c r="N195" s="1102"/>
      <c r="O195" s="1102"/>
    </row>
    <row r="196" spans="6:15" x14ac:dyDescent="0.55000000000000004">
      <c r="F196" s="1102"/>
      <c r="G196" s="1102"/>
      <c r="H196" s="1102"/>
      <c r="I196" s="1102"/>
      <c r="J196" s="1102"/>
      <c r="K196" s="1102"/>
      <c r="L196" s="1102"/>
      <c r="M196" s="1102"/>
      <c r="N196" s="1102"/>
      <c r="O196" s="1102"/>
    </row>
    <row r="197" spans="6:15" x14ac:dyDescent="0.55000000000000004">
      <c r="F197" s="1102"/>
      <c r="G197" s="1102"/>
      <c r="H197" s="1102"/>
      <c r="I197" s="1102"/>
      <c r="J197" s="1102"/>
      <c r="K197" s="1102"/>
      <c r="L197" s="1102"/>
      <c r="M197" s="1102"/>
      <c r="N197" s="1102"/>
      <c r="O197" s="1102"/>
    </row>
    <row r="198" spans="6:15" x14ac:dyDescent="0.55000000000000004">
      <c r="F198" s="1102"/>
      <c r="G198" s="1102"/>
      <c r="H198" s="1102"/>
      <c r="I198" s="1102"/>
      <c r="J198" s="1102"/>
      <c r="K198" s="1102"/>
      <c r="L198" s="1102"/>
      <c r="M198" s="1102"/>
      <c r="N198" s="1102"/>
      <c r="O198" s="1102"/>
    </row>
    <row r="199" spans="6:15" x14ac:dyDescent="0.55000000000000004">
      <c r="F199" s="1102"/>
      <c r="G199" s="1102"/>
      <c r="H199" s="1102"/>
      <c r="I199" s="1102"/>
      <c r="J199" s="1102"/>
      <c r="K199" s="1102"/>
      <c r="L199" s="1102"/>
      <c r="M199" s="1102"/>
      <c r="N199" s="1102"/>
      <c r="O199" s="1102"/>
    </row>
    <row r="200" spans="6:15" x14ac:dyDescent="0.55000000000000004">
      <c r="F200" s="3681"/>
      <c r="G200" s="3682"/>
      <c r="H200" s="3682"/>
      <c r="I200" s="3682"/>
      <c r="J200" s="3682"/>
      <c r="K200" s="3682"/>
      <c r="L200" s="3682"/>
      <c r="M200" s="3682"/>
      <c r="N200" s="3682"/>
      <c r="O200" s="3682"/>
    </row>
    <row r="201" spans="6:15" x14ac:dyDescent="0.55000000000000004">
      <c r="F201" s="3683"/>
      <c r="G201" s="3683"/>
      <c r="H201" s="3683"/>
      <c r="I201" s="3683"/>
      <c r="J201" s="3683"/>
      <c r="K201" s="3683"/>
      <c r="L201" s="3683"/>
      <c r="M201" s="3683"/>
      <c r="N201" s="3683"/>
      <c r="O201" s="3683"/>
    </row>
    <row r="202" spans="6:15" ht="15.45" thickBot="1" x14ac:dyDescent="0.6">
      <c r="F202" s="3684"/>
      <c r="G202" s="3683"/>
      <c r="H202" s="3683"/>
      <c r="I202" s="3683"/>
      <c r="J202" s="3683"/>
      <c r="K202" s="3683"/>
      <c r="L202" s="3683"/>
      <c r="M202" s="3683"/>
      <c r="N202" s="3683"/>
      <c r="O202" s="3683"/>
    </row>
  </sheetData>
  <mergeCells count="12">
    <mergeCell ref="A3:Y3"/>
    <mergeCell ref="A27:A36"/>
    <mergeCell ref="A95:A97"/>
    <mergeCell ref="T5:Y5"/>
    <mergeCell ref="A7:A16"/>
    <mergeCell ref="A17:A26"/>
    <mergeCell ref="A89:A94"/>
    <mergeCell ref="A38:A42"/>
    <mergeCell ref="A44:A56"/>
    <mergeCell ref="A58:A73"/>
    <mergeCell ref="A75:A87"/>
    <mergeCell ref="F5:K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6" fitToHeight="0" orientation="landscape" r:id="rId1"/>
  <headerFooter scaleWithDoc="0">
    <oddFooter>&amp;R&amp;"-,기울임꼴"&amp;8&amp;P &amp; 페이지</oddFooter>
  </headerFooter>
  <rowBreaks count="1" manualBreakCount="1">
    <brk id="57" max="22" man="1"/>
  </rowBreaks>
  <colBreaks count="1" manualBreakCount="1">
    <brk id="14" max="1048575" man="1"/>
  </colBreaks>
  <ignoredErrors>
    <ignoredError sqref="X49:Y49 S49:T49 T4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A39-C81C-4F48-8A28-26A1B3961B2A}">
  <sheetPr codeName="Sheet24">
    <tabColor theme="7" tint="0.79998168889431442"/>
    <pageSetUpPr fitToPage="1"/>
  </sheetPr>
  <dimension ref="A1:CI397"/>
  <sheetViews>
    <sheetView showGridLines="0" view="pageBreakPreview" zoomScale="40" zoomScaleNormal="55" zoomScaleSheetLayoutView="40" workbookViewId="0">
      <pane xSplit="5" ySplit="1" topLeftCell="F50" activePane="bottomRight" state="frozen"/>
      <selection activeCell="W2" sqref="W2"/>
      <selection pane="topRight" activeCell="W2" sqref="W2"/>
      <selection pane="bottomLeft" activeCell="W2" sqref="W2"/>
      <selection pane="bottomRight" activeCell="CP15" sqref="CP15"/>
    </sheetView>
  </sheetViews>
  <sheetFormatPr defaultColWidth="9.140625" defaultRowHeight="15" outlineLevelCol="1" x14ac:dyDescent="0.55000000000000004"/>
  <cols>
    <col min="1" max="1" width="17.42578125" style="559" customWidth="1"/>
    <col min="2" max="2" width="1.5703125" style="559" customWidth="1"/>
    <col min="3" max="3" width="13.35546875" style="559" customWidth="1"/>
    <col min="4" max="4" width="8.2109375" style="559" customWidth="1"/>
    <col min="5" max="5" width="12.42578125" style="559" hidden="1" customWidth="1"/>
    <col min="6" max="17" width="10.35546875" style="559" hidden="1" customWidth="1" outlineLevel="1"/>
    <col min="18" max="18" width="10.35546875" style="559" hidden="1" customWidth="1" collapsed="1"/>
    <col min="19" max="19" width="10.35546875" style="559" hidden="1" customWidth="1"/>
    <col min="20" max="31" width="10.35546875" style="905" hidden="1" customWidth="1" outlineLevel="1"/>
    <col min="32" max="32" width="13.42578125" style="2844" hidden="1" customWidth="1" collapsed="1"/>
    <col min="33" max="33" width="13.42578125" style="2844" hidden="1" customWidth="1"/>
    <col min="34" max="34" width="3.42578125" style="590" hidden="1" customWidth="1"/>
    <col min="35" max="46" width="16.0703125" style="590" hidden="1" customWidth="1" outlineLevel="1"/>
    <col min="47" max="47" width="16.0703125" style="590" customWidth="1" collapsed="1"/>
    <col min="48" max="48" width="16.0703125" style="590" customWidth="1"/>
    <col min="49" max="54" width="16.0703125" style="590" customWidth="1" outlineLevel="1"/>
    <col min="55" max="60" width="16.0703125" style="590" hidden="1" customWidth="1" outlineLevel="1"/>
    <col min="61" max="62" width="16.0703125" style="590" customWidth="1"/>
    <col min="63" max="64" width="16.0703125" style="590" customWidth="1" outlineLevel="1"/>
    <col min="65" max="74" width="16.0703125" style="590" hidden="1" customWidth="1" outlineLevel="1"/>
    <col min="75" max="76" width="16.0703125" style="590" customWidth="1"/>
    <col min="77" max="77" width="0" style="559" hidden="1" customWidth="1"/>
    <col min="78" max="80" width="14.42578125" style="559" hidden="1" customWidth="1"/>
    <col min="81" max="81" width="16.92578125" style="559" hidden="1" customWidth="1"/>
    <col min="82" max="82" width="0" style="559" hidden="1" customWidth="1"/>
    <col min="83" max="83" width="14.7109375" style="559" hidden="1" customWidth="1"/>
    <col min="84" max="88" width="0" style="559" hidden="1" customWidth="1"/>
    <col min="89" max="16384" width="9.140625" style="559"/>
  </cols>
  <sheetData>
    <row r="1" spans="1:87" x14ac:dyDescent="0.55000000000000004">
      <c r="A1" s="4515">
        <f>'0. 개요'!AE2</f>
        <v>46054</v>
      </c>
      <c r="T1" s="2843">
        <v>1.0009999999999999</v>
      </c>
      <c r="U1" s="2843">
        <v>2.0009999999999999</v>
      </c>
      <c r="V1" s="2843">
        <v>3.0009999999999999</v>
      </c>
      <c r="W1" s="2843" t="s">
        <v>1237</v>
      </c>
      <c r="X1" s="2843" t="s">
        <v>1238</v>
      </c>
      <c r="Y1" s="2843" t="s">
        <v>1011</v>
      </c>
      <c r="Z1" s="2843">
        <v>7.0010000000000003</v>
      </c>
      <c r="AA1" s="2843">
        <v>8.0009999999999994</v>
      </c>
      <c r="AB1" s="2843">
        <v>9.0009999999999994</v>
      </c>
      <c r="AC1" s="2843">
        <v>10.000999999999999</v>
      </c>
      <c r="AD1" s="2843">
        <v>11.000999999999999</v>
      </c>
      <c r="AE1" s="2843">
        <v>12.000999999999999</v>
      </c>
      <c r="AI1" s="603">
        <v>1.0009999999999999</v>
      </c>
      <c r="AJ1" s="603">
        <v>2.0009999999999999</v>
      </c>
      <c r="AK1" s="603">
        <v>3.0009999999999999</v>
      </c>
      <c r="AL1" s="603">
        <v>4.0010000000000003</v>
      </c>
      <c r="AM1" s="603">
        <v>5.0010000000000003</v>
      </c>
      <c r="AN1" s="603">
        <v>6.0010000000000003</v>
      </c>
      <c r="AO1" s="603">
        <v>7.0010000000000003</v>
      </c>
      <c r="AP1" s="603">
        <v>8.0009999999999994</v>
      </c>
      <c r="AQ1" s="603">
        <v>9.0009999999999994</v>
      </c>
      <c r="AR1" s="603">
        <v>10.000999999999999</v>
      </c>
      <c r="AS1" s="603">
        <v>11.000999999999999</v>
      </c>
      <c r="AT1" s="603">
        <v>12.000999999999999</v>
      </c>
      <c r="AW1" s="603">
        <v>1.0009999999999999</v>
      </c>
      <c r="AX1" s="603">
        <v>2.0009999999999999</v>
      </c>
      <c r="AY1" s="603">
        <v>3.0009999999999999</v>
      </c>
      <c r="AZ1" s="603">
        <v>4.0010000000000003</v>
      </c>
      <c r="BA1" s="603">
        <v>5.0010000000000003</v>
      </c>
      <c r="BB1" s="603">
        <v>6.0010000000000003</v>
      </c>
      <c r="BC1" s="603">
        <v>7.0010000000000003</v>
      </c>
      <c r="BD1" s="603">
        <v>8.0009999999999994</v>
      </c>
      <c r="BE1" s="603">
        <v>9.0009999999999994</v>
      </c>
      <c r="BF1" s="603">
        <v>10.000999999999999</v>
      </c>
      <c r="BG1" s="603">
        <v>11.000999999999999</v>
      </c>
      <c r="BH1" s="603">
        <v>12.000999999999999</v>
      </c>
      <c r="BK1" s="603">
        <v>1.0009999999999999</v>
      </c>
      <c r="BL1" s="603">
        <v>2.0009999999999999</v>
      </c>
      <c r="BM1" s="603">
        <v>3.0009999999999999</v>
      </c>
      <c r="BN1" s="603">
        <v>4.0010000000000003</v>
      </c>
      <c r="BO1" s="603">
        <v>5.0010000000000003</v>
      </c>
      <c r="BP1" s="603">
        <v>6.0010000000000003</v>
      </c>
      <c r="BQ1" s="603">
        <v>7.0010000000000003</v>
      </c>
      <c r="BR1" s="603">
        <v>8.0009999999999994</v>
      </c>
      <c r="BS1" s="603">
        <v>9.0009999999999994</v>
      </c>
      <c r="BT1" s="603">
        <v>10.000999999999999</v>
      </c>
      <c r="BU1" s="603">
        <v>11.000999999999999</v>
      </c>
      <c r="BV1" s="603">
        <v>12.000999999999999</v>
      </c>
      <c r="CB1" s="2845" t="s">
        <v>452</v>
      </c>
    </row>
    <row r="2" spans="1:87" ht="24.9" customHeight="1" x14ac:dyDescent="0.55000000000000004">
      <c r="A2" s="4364"/>
      <c r="B2" s="4364"/>
      <c r="C2" s="4365"/>
      <c r="D2" s="4365"/>
      <c r="E2" s="4365"/>
      <c r="F2" s="4365"/>
      <c r="G2" s="4365"/>
      <c r="H2" s="4365"/>
      <c r="I2" s="4365"/>
      <c r="J2" s="4365"/>
      <c r="K2" s="4365"/>
      <c r="L2" s="4365"/>
      <c r="M2" s="4365"/>
      <c r="N2" s="4365"/>
      <c r="O2" s="4365"/>
      <c r="P2" s="4365"/>
      <c r="Q2" s="4365"/>
      <c r="R2" s="4365"/>
      <c r="S2" s="4365"/>
      <c r="T2" s="4366"/>
      <c r="U2" s="4366"/>
      <c r="V2" s="4366"/>
      <c r="W2" s="4366"/>
      <c r="X2" s="4366"/>
      <c r="Y2" s="4366"/>
      <c r="Z2" s="4366"/>
      <c r="AA2" s="4366"/>
      <c r="AB2" s="4366"/>
      <c r="AC2" s="4366"/>
      <c r="AD2" s="4366"/>
      <c r="AE2" s="4366"/>
      <c r="AF2" s="4367"/>
      <c r="AG2" s="4367"/>
      <c r="AH2" s="4368"/>
      <c r="AI2" s="4368"/>
      <c r="AJ2" s="4368"/>
      <c r="AK2" s="4368"/>
      <c r="AL2" s="4368"/>
      <c r="AM2" s="4368"/>
      <c r="AN2" s="4368"/>
      <c r="AO2" s="4368"/>
      <c r="AP2" s="4368"/>
      <c r="AQ2" s="4368"/>
      <c r="AR2" s="4368"/>
      <c r="AS2" s="4368"/>
      <c r="AT2" s="4368"/>
      <c r="AU2" s="4368"/>
      <c r="AV2" s="4368"/>
      <c r="AW2" s="4369"/>
      <c r="AX2" s="4369"/>
      <c r="AY2" s="4369"/>
      <c r="AZ2" s="4369"/>
      <c r="BA2" s="4369"/>
      <c r="BB2" s="4369"/>
      <c r="BC2" s="4368"/>
      <c r="BD2" s="4368"/>
      <c r="BE2" s="4368"/>
      <c r="BF2" s="4368"/>
      <c r="BG2" s="4368"/>
      <c r="BH2" s="4368"/>
      <c r="BI2" s="4368"/>
      <c r="BJ2" s="4368"/>
      <c r="BK2" s="4369"/>
      <c r="BL2" s="4369"/>
      <c r="BM2" s="4369"/>
      <c r="BN2" s="4369"/>
      <c r="BO2" s="4369"/>
      <c r="BP2" s="4369"/>
      <c r="BQ2" s="4368"/>
      <c r="BR2" s="4368"/>
      <c r="BS2" s="4368"/>
      <c r="BT2" s="4368"/>
      <c r="BU2" s="4368"/>
      <c r="BV2" s="4368"/>
      <c r="BW2" s="4368"/>
      <c r="BX2" s="4368"/>
      <c r="BZ2" s="561"/>
      <c r="CA2" s="561"/>
      <c r="CB2" s="561"/>
    </row>
    <row r="3" spans="1:87" ht="60" customHeight="1" thickBot="1" x14ac:dyDescent="0.6">
      <c r="A3" s="7579" t="s">
        <v>837</v>
      </c>
      <c r="B3" s="7579"/>
      <c r="C3" s="7579"/>
      <c r="D3" s="7579"/>
      <c r="E3" s="7579"/>
      <c r="F3" s="7579"/>
      <c r="G3" s="7579"/>
      <c r="H3" s="7579"/>
      <c r="I3" s="7579"/>
      <c r="J3" s="7579"/>
      <c r="K3" s="7579"/>
      <c r="L3" s="7579"/>
      <c r="M3" s="7579"/>
      <c r="N3" s="7579"/>
      <c r="O3" s="7579"/>
      <c r="P3" s="7579"/>
      <c r="Q3" s="7579"/>
      <c r="R3" s="7579"/>
      <c r="S3" s="7579"/>
      <c r="T3" s="7579"/>
      <c r="U3" s="7579"/>
      <c r="V3" s="7579"/>
      <c r="W3" s="7579"/>
      <c r="X3" s="7579"/>
      <c r="Y3" s="7579"/>
      <c r="Z3" s="7579"/>
      <c r="AA3" s="7579"/>
      <c r="AB3" s="7579"/>
      <c r="AC3" s="7579"/>
      <c r="AD3" s="7579"/>
      <c r="AE3" s="7579"/>
      <c r="AF3" s="7579"/>
      <c r="AG3" s="7579"/>
      <c r="AH3" s="7579"/>
      <c r="AI3" s="7579"/>
      <c r="AJ3" s="7579"/>
      <c r="AK3" s="7579"/>
      <c r="AL3" s="7579"/>
      <c r="AM3" s="7579"/>
      <c r="AN3" s="7579"/>
      <c r="AO3" s="7579"/>
      <c r="AP3" s="7579"/>
      <c r="AQ3" s="7579"/>
      <c r="AR3" s="7579"/>
      <c r="AS3" s="7579"/>
      <c r="AT3" s="7579"/>
      <c r="AU3" s="7579"/>
      <c r="AV3" s="7579"/>
      <c r="AW3" s="7579"/>
      <c r="AX3" s="7579"/>
      <c r="AY3" s="7579"/>
      <c r="AZ3" s="7579"/>
      <c r="BA3" s="7579"/>
      <c r="BB3" s="7579"/>
      <c r="BC3" s="7579"/>
      <c r="BD3" s="7579"/>
      <c r="BE3" s="7579"/>
      <c r="BF3" s="7579"/>
      <c r="BG3" s="7579"/>
      <c r="BH3" s="7579"/>
      <c r="BI3" s="7579"/>
      <c r="BJ3" s="7579"/>
      <c r="BK3" s="7579"/>
      <c r="BL3" s="7579"/>
      <c r="BM3" s="7579"/>
      <c r="BN3" s="7579"/>
      <c r="BO3" s="7579"/>
      <c r="BP3" s="7579"/>
      <c r="BQ3" s="7579"/>
      <c r="BR3" s="7579"/>
      <c r="BS3" s="7579"/>
      <c r="BT3" s="7579"/>
      <c r="BU3" s="7579"/>
      <c r="BV3" s="7579"/>
      <c r="BW3" s="7579"/>
      <c r="BX3" s="7579"/>
      <c r="BZ3" s="2846"/>
      <c r="CA3" s="2846"/>
      <c r="CB3" s="2846"/>
    </row>
    <row r="4" spans="1:87" s="2846" customFormat="1" ht="15.55" customHeight="1" thickTop="1" x14ac:dyDescent="0.55000000000000004">
      <c r="A4" s="2847"/>
      <c r="B4" s="2847"/>
      <c r="C4" s="2847"/>
      <c r="D4" s="2847"/>
      <c r="E4" s="2847"/>
      <c r="F4" s="2847"/>
      <c r="G4" s="2847"/>
      <c r="H4" s="2847"/>
      <c r="I4" s="2847"/>
      <c r="J4" s="2847"/>
      <c r="K4" s="2847"/>
      <c r="L4" s="2847"/>
      <c r="M4" s="2847"/>
      <c r="N4" s="2847"/>
      <c r="O4" s="2847"/>
      <c r="P4" s="2847"/>
      <c r="Q4" s="2847"/>
      <c r="R4" s="2847"/>
      <c r="S4" s="2847"/>
      <c r="T4" s="2848"/>
      <c r="U4" s="2848"/>
      <c r="V4" s="2848"/>
      <c r="W4" s="2848"/>
      <c r="X4" s="2848"/>
      <c r="Y4" s="2848"/>
      <c r="Z4" s="2848"/>
      <c r="AA4" s="2848"/>
      <c r="AB4" s="2849"/>
      <c r="AC4" s="2849"/>
      <c r="AD4" s="2849"/>
      <c r="AE4" s="2849"/>
      <c r="AF4" s="2850"/>
      <c r="AG4" s="2850"/>
      <c r="AH4" s="2851"/>
      <c r="AI4" s="2852" t="e">
        <f>#REF!-AI55</f>
        <v>#REF!</v>
      </c>
      <c r="AJ4" s="2852" t="e">
        <f>#REF!-AJ55</f>
        <v>#REF!</v>
      </c>
      <c r="AK4" s="2852" t="e">
        <f>#REF!-AK55</f>
        <v>#REF!</v>
      </c>
      <c r="AL4" s="2852" t="e">
        <f>#REF!-AL55</f>
        <v>#REF!</v>
      </c>
      <c r="AM4" s="2852" t="e">
        <f>#REF!-AM55</f>
        <v>#REF!</v>
      </c>
      <c r="AN4" s="2852" t="e">
        <f>#REF!-AN55</f>
        <v>#REF!</v>
      </c>
      <c r="AO4" s="2852" t="e">
        <f>#REF!-AO55</f>
        <v>#REF!</v>
      </c>
      <c r="AP4" s="2852" t="e">
        <f>#REF!-AP55</f>
        <v>#REF!</v>
      </c>
      <c r="AQ4" s="2852" t="e">
        <f>#REF!-AQ55</f>
        <v>#REF!</v>
      </c>
      <c r="AR4" s="2852" t="e">
        <f>#REF!-AR55</f>
        <v>#REF!</v>
      </c>
      <c r="AS4" s="2852" t="e">
        <f>#REF!-AS55</f>
        <v>#REF!</v>
      </c>
      <c r="AT4" s="2851"/>
      <c r="AU4" s="2851"/>
      <c r="AV4" s="2851"/>
      <c r="AW4" s="2852" t="e">
        <f>#REF!-AW55</f>
        <v>#REF!</v>
      </c>
      <c r="AX4" s="2852" t="e">
        <f>#REF!-AX55</f>
        <v>#REF!</v>
      </c>
      <c r="AY4" s="2852" t="e">
        <f>#REF!-AY55</f>
        <v>#REF!</v>
      </c>
      <c r="AZ4" s="2853"/>
      <c r="BA4" s="2852" t="e">
        <f>#REF!-BA55</f>
        <v>#REF!</v>
      </c>
      <c r="BB4" s="2852" t="e">
        <f>#REF!-BB55</f>
        <v>#REF!</v>
      </c>
      <c r="BC4" s="2852" t="e">
        <f>#REF!-BC55</f>
        <v>#REF!</v>
      </c>
      <c r="BD4" s="2852" t="e">
        <f>#REF!-BD55</f>
        <v>#REF!</v>
      </c>
      <c r="BE4" s="2852" t="e">
        <f>#REF!-BE55</f>
        <v>#REF!</v>
      </c>
      <c r="BF4" s="2852" t="e">
        <f>#REF!-BF55</f>
        <v>#REF!</v>
      </c>
      <c r="BG4" s="2852" t="e">
        <f>#REF!-BG55</f>
        <v>#REF!</v>
      </c>
      <c r="BH4" s="2852" t="e">
        <f>#REF!-BH55</f>
        <v>#REF!</v>
      </c>
      <c r="BI4" s="2851"/>
      <c r="BJ4" s="2851"/>
      <c r="BK4" s="2852" t="e">
        <f>#REF!-BK55</f>
        <v>#REF!</v>
      </c>
      <c r="BL4" s="2852" t="e">
        <f>#REF!-BL55</f>
        <v>#REF!</v>
      </c>
      <c r="BM4" s="2852" t="e">
        <f>#REF!-BM55</f>
        <v>#REF!</v>
      </c>
      <c r="BN4" s="2852"/>
      <c r="BO4" s="2852" t="e">
        <f>#REF!-BO55</f>
        <v>#REF!</v>
      </c>
      <c r="BP4" s="2852" t="e">
        <f>#REF!-BP55</f>
        <v>#REF!</v>
      </c>
      <c r="BQ4" s="2852" t="e">
        <f>#REF!-BQ55</f>
        <v>#REF!</v>
      </c>
      <c r="BR4" s="2852" t="e">
        <f>#REF!-BR55</f>
        <v>#REF!</v>
      </c>
      <c r="BS4" s="2852" t="e">
        <f>#REF!-BS55</f>
        <v>#REF!</v>
      </c>
      <c r="BT4" s="2852" t="e">
        <f>#REF!-BT55</f>
        <v>#REF!</v>
      </c>
      <c r="BU4" s="2852" t="e">
        <f>#REF!-BU55</f>
        <v>#REF!</v>
      </c>
      <c r="BV4" s="2851"/>
      <c r="BW4" s="2851"/>
      <c r="BX4" s="2851"/>
      <c r="CE4" s="2854"/>
      <c r="CF4" s="2854"/>
      <c r="CG4" s="2854"/>
      <c r="CH4" s="2854"/>
      <c r="CI4" s="2854"/>
    </row>
    <row r="5" spans="1:87" s="2846" customFormat="1" ht="15.55" customHeight="1" x14ac:dyDescent="0.55000000000000004">
      <c r="A5" s="2847"/>
      <c r="B5" s="2847"/>
      <c r="C5" s="2847"/>
      <c r="D5" s="2847"/>
      <c r="E5" s="2847"/>
      <c r="F5" s="2847"/>
      <c r="G5" s="2847"/>
      <c r="H5" s="2847"/>
      <c r="I5" s="2847"/>
      <c r="J5" s="2847"/>
      <c r="K5" s="2847"/>
      <c r="L5" s="2847"/>
      <c r="M5" s="2847"/>
      <c r="N5" s="2847"/>
      <c r="O5" s="2847"/>
      <c r="P5" s="2847"/>
      <c r="Q5" s="2847"/>
      <c r="R5" s="2847"/>
      <c r="S5" s="2847"/>
      <c r="T5" s="2848"/>
      <c r="U5" s="2848"/>
      <c r="V5" s="2848"/>
      <c r="W5" s="2848"/>
      <c r="X5" s="2848"/>
      <c r="Y5" s="2848"/>
      <c r="Z5" s="2848"/>
      <c r="AA5" s="2848"/>
      <c r="AB5" s="2849"/>
      <c r="AC5" s="2849"/>
      <c r="AD5" s="2849"/>
      <c r="AE5" s="2849"/>
      <c r="AF5" s="2850"/>
      <c r="AG5" s="2850"/>
      <c r="AH5" s="2851"/>
      <c r="AI5" s="2852">
        <f t="shared" ref="AI5:AS5" si="0">AI16-AI17-AI19</f>
        <v>-826</v>
      </c>
      <c r="AJ5" s="2852">
        <f t="shared" si="0"/>
        <v>-1955</v>
      </c>
      <c r="AK5" s="2852">
        <f t="shared" si="0"/>
        <v>-2025</v>
      </c>
      <c r="AL5" s="2852">
        <f t="shared" si="0"/>
        <v>-1216</v>
      </c>
      <c r="AM5" s="2852">
        <f t="shared" si="0"/>
        <v>-4455</v>
      </c>
      <c r="AN5" s="2852">
        <f t="shared" si="0"/>
        <v>-4399</v>
      </c>
      <c r="AO5" s="2852">
        <f t="shared" si="0"/>
        <v>-3665</v>
      </c>
      <c r="AP5" s="2852">
        <f t="shared" si="0"/>
        <v>-4078</v>
      </c>
      <c r="AQ5" s="2852">
        <f t="shared" si="0"/>
        <v>-3949</v>
      </c>
      <c r="AR5" s="2852">
        <f t="shared" si="0"/>
        <v>-4263</v>
      </c>
      <c r="AS5" s="2852">
        <f t="shared" si="0"/>
        <v>-3603</v>
      </c>
      <c r="AT5" s="2851"/>
      <c r="AU5" s="2851"/>
      <c r="AV5" s="2851"/>
      <c r="AW5" s="2853"/>
      <c r="AX5" s="2853"/>
      <c r="AY5" s="2853"/>
      <c r="AZ5" s="2853"/>
      <c r="BA5" s="2853"/>
      <c r="BB5" s="2853"/>
      <c r="BC5" s="2852">
        <f t="shared" ref="BC5:BH5" si="1">BC16-BC17-BC19</f>
        <v>-1802</v>
      </c>
      <c r="BD5" s="2852">
        <f t="shared" si="1"/>
        <v>-3352</v>
      </c>
      <c r="BE5" s="2852">
        <f t="shared" si="1"/>
        <v>-2803</v>
      </c>
      <c r="BF5" s="2852">
        <f t="shared" si="1"/>
        <v>-3751</v>
      </c>
      <c r="BG5" s="2852">
        <f t="shared" si="1"/>
        <v>-3955</v>
      </c>
      <c r="BH5" s="2852">
        <f t="shared" si="1"/>
        <v>-3585</v>
      </c>
      <c r="BI5" s="2851"/>
      <c r="BJ5" s="2851"/>
      <c r="BK5" s="2852">
        <f>BK16-BK17-BK19</f>
        <v>-3098</v>
      </c>
      <c r="BL5" s="2852">
        <f>BL16-BL17-BL19</f>
        <v>-3498</v>
      </c>
      <c r="BM5" s="2852"/>
      <c r="BN5" s="2852"/>
      <c r="BO5" s="2853"/>
      <c r="BP5" s="2853"/>
      <c r="BQ5" s="2852">
        <f>BQ16-BQ17-BQ19</f>
        <v>0</v>
      </c>
      <c r="BR5" s="2852">
        <f>BR16-BR17-BR19</f>
        <v>0</v>
      </c>
      <c r="BS5" s="2852">
        <f>BS16-BS17-BS19</f>
        <v>0</v>
      </c>
      <c r="BT5" s="2852">
        <f>BT16-BT17-BT19</f>
        <v>0</v>
      </c>
      <c r="BU5" s="2852">
        <f>BU16-BU17-BU19</f>
        <v>0</v>
      </c>
      <c r="BV5" s="2851"/>
      <c r="BW5" s="2851"/>
      <c r="BX5" s="2851"/>
      <c r="BZ5" s="559"/>
      <c r="CA5" s="559"/>
      <c r="CB5" s="559"/>
      <c r="CE5" s="2854"/>
      <c r="CF5" s="2854"/>
      <c r="CG5" s="2854"/>
      <c r="CH5" s="2854"/>
      <c r="CI5" s="2854"/>
    </row>
    <row r="6" spans="1:87" s="2846" customFormat="1" ht="15.55" customHeight="1" thickBot="1" x14ac:dyDescent="0.6">
      <c r="A6" s="2847"/>
      <c r="B6" s="2847"/>
      <c r="C6" s="2847"/>
      <c r="D6" s="2847"/>
      <c r="E6" s="2847"/>
      <c r="F6" s="2847"/>
      <c r="G6" s="2847"/>
      <c r="H6" s="2847"/>
      <c r="I6" s="2847"/>
      <c r="J6" s="2847"/>
      <c r="K6" s="2847"/>
      <c r="L6" s="2847"/>
      <c r="M6" s="2847"/>
      <c r="N6" s="2847"/>
      <c r="O6" s="2847"/>
      <c r="P6" s="2847"/>
      <c r="Q6" s="2847"/>
      <c r="R6" s="2847"/>
      <c r="S6" s="2847"/>
      <c r="T6" s="2848"/>
      <c r="U6" s="2848"/>
      <c r="V6" s="2848"/>
      <c r="W6" s="2848"/>
      <c r="X6" s="2848"/>
      <c r="Y6" s="2848"/>
      <c r="Z6" s="2848"/>
      <c r="AA6" s="2848"/>
      <c r="AB6" s="2849"/>
      <c r="AC6" s="2849"/>
      <c r="AD6" s="2849"/>
      <c r="AE6" s="2849"/>
      <c r="AF6" s="2850"/>
      <c r="AG6" s="2850"/>
      <c r="AH6" s="2851"/>
      <c r="AI6" s="2852" t="e">
        <f>#REF!-AI13</f>
        <v>#REF!</v>
      </c>
      <c r="AJ6" s="2852" t="e">
        <f>#REF!-AJ13</f>
        <v>#REF!</v>
      </c>
      <c r="AK6" s="2852" t="e">
        <f>#REF!-AK13</f>
        <v>#REF!</v>
      </c>
      <c r="AL6" s="2852" t="e">
        <f>#REF!-AL13</f>
        <v>#REF!</v>
      </c>
      <c r="AM6" s="2852" t="e">
        <f>#REF!-AM13</f>
        <v>#REF!</v>
      </c>
      <c r="AN6" s="2852" t="e">
        <f>#REF!-AN13</f>
        <v>#REF!</v>
      </c>
      <c r="AO6" s="2852" t="e">
        <f>#REF!-AO13</f>
        <v>#REF!</v>
      </c>
      <c r="AP6" s="2852" t="e">
        <f>#REF!-AP13</f>
        <v>#REF!</v>
      </c>
      <c r="AQ6" s="2852" t="e">
        <f>#REF!-AQ13</f>
        <v>#REF!</v>
      </c>
      <c r="AR6" s="2852" t="e">
        <f>#REF!-AR13</f>
        <v>#REF!</v>
      </c>
      <c r="AS6" s="2852" t="e">
        <f>#REF!-AS13</f>
        <v>#REF!</v>
      </c>
      <c r="AT6" s="2851"/>
      <c r="AU6" s="2851"/>
      <c r="AV6" s="2851"/>
      <c r="AW6" s="2853"/>
      <c r="AX6" s="2853"/>
      <c r="AY6" s="2853"/>
      <c r="AZ6" s="2853"/>
      <c r="BA6" s="2853"/>
      <c r="BB6" s="2853"/>
      <c r="BC6" s="2852" t="e">
        <f>#REF!-BC13</f>
        <v>#REF!</v>
      </c>
      <c r="BD6" s="2852"/>
      <c r="BE6" s="2852" t="e">
        <f>#REF!-BE13</f>
        <v>#REF!</v>
      </c>
      <c r="BF6" s="2852" t="e">
        <f>#REF!-BF13</f>
        <v>#REF!</v>
      </c>
      <c r="BG6" s="2852" t="e">
        <f>#REF!-BG13</f>
        <v>#REF!</v>
      </c>
      <c r="BH6" s="2852" t="e">
        <f>#REF!-BH13</f>
        <v>#REF!</v>
      </c>
      <c r="BI6" s="2851"/>
      <c r="BJ6" s="2851"/>
      <c r="BK6" s="2852" t="e">
        <f>#REF!-BK13</f>
        <v>#REF!</v>
      </c>
      <c r="BL6" s="2852" t="e">
        <f>#REF!-BL13</f>
        <v>#REF!</v>
      </c>
      <c r="BM6" s="2852"/>
      <c r="BN6" s="2852"/>
      <c r="BO6" s="2853"/>
      <c r="BP6" s="2853"/>
      <c r="BQ6" s="2852" t="e">
        <f>#REF!-BQ13</f>
        <v>#REF!</v>
      </c>
      <c r="BR6" s="2853"/>
      <c r="BS6" s="2852" t="e">
        <f>#REF!-BS13</f>
        <v>#REF!</v>
      </c>
      <c r="BT6" s="2852" t="e">
        <f>#REF!-BT13</f>
        <v>#REF!</v>
      </c>
      <c r="BU6" s="2852" t="e">
        <f>#REF!-BU13</f>
        <v>#REF!</v>
      </c>
      <c r="BV6" s="2851"/>
      <c r="BW6" s="2851"/>
      <c r="BX6" s="2851"/>
      <c r="BZ6" s="2855"/>
      <c r="CA6" s="2855"/>
      <c r="CB6" s="2856"/>
      <c r="CE6" s="2854"/>
      <c r="CF6" s="2854"/>
      <c r="CG6" s="2854"/>
      <c r="CH6" s="2854"/>
      <c r="CI6" s="2854"/>
    </row>
    <row r="7" spans="1:87" ht="16.3" x14ac:dyDescent="0.45">
      <c r="A7" s="2857" t="s">
        <v>831</v>
      </c>
      <c r="C7" s="567"/>
      <c r="D7" s="2858"/>
      <c r="E7" s="567"/>
      <c r="F7" s="7082" t="s">
        <v>1</v>
      </c>
      <c r="G7" s="7083"/>
      <c r="H7" s="7083"/>
      <c r="I7" s="7083"/>
      <c r="J7" s="7083"/>
      <c r="K7" s="7083"/>
      <c r="L7" s="7083"/>
      <c r="M7" s="7083"/>
      <c r="N7" s="7083"/>
      <c r="O7" s="7083"/>
      <c r="P7" s="7083"/>
      <c r="Q7" s="7083"/>
      <c r="R7" s="7083"/>
      <c r="S7" s="7083"/>
      <c r="T7" s="7123" t="s">
        <v>1009</v>
      </c>
      <c r="U7" s="7124"/>
      <c r="V7" s="7124"/>
      <c r="W7" s="7124"/>
      <c r="X7" s="7124"/>
      <c r="Y7" s="7124"/>
      <c r="Z7" s="7124"/>
      <c r="AA7" s="7124"/>
      <c r="AB7" s="7124"/>
      <c r="AC7" s="7124"/>
      <c r="AD7" s="7124"/>
      <c r="AE7" s="7124"/>
      <c r="AF7" s="7124"/>
      <c r="AG7" s="7124"/>
      <c r="AH7" s="2859"/>
      <c r="AI7" s="7125" t="s">
        <v>1051</v>
      </c>
      <c r="AJ7" s="7126"/>
      <c r="AK7" s="7126"/>
      <c r="AL7" s="7126"/>
      <c r="AM7" s="7126"/>
      <c r="AN7" s="7126"/>
      <c r="AO7" s="7126"/>
      <c r="AP7" s="7126"/>
      <c r="AQ7" s="7126"/>
      <c r="AR7" s="7126"/>
      <c r="AS7" s="7126"/>
      <c r="AT7" s="7126"/>
      <c r="AU7" s="7126"/>
      <c r="AV7" s="7127"/>
      <c r="AW7" s="7117" t="s">
        <v>1050</v>
      </c>
      <c r="AX7" s="7083"/>
      <c r="AY7" s="7083"/>
      <c r="AZ7" s="7083"/>
      <c r="BA7" s="7083"/>
      <c r="BB7" s="7083"/>
      <c r="BC7" s="7083"/>
      <c r="BD7" s="7083"/>
      <c r="BE7" s="7083"/>
      <c r="BF7" s="7083"/>
      <c r="BG7" s="7083"/>
      <c r="BH7" s="7083"/>
      <c r="BI7" s="7083"/>
      <c r="BJ7" s="7118"/>
      <c r="BK7" s="7117" t="s">
        <v>1196</v>
      </c>
      <c r="BL7" s="7083"/>
      <c r="BM7" s="7083"/>
      <c r="BN7" s="7083"/>
      <c r="BO7" s="7083"/>
      <c r="BP7" s="7083"/>
      <c r="BQ7" s="7083"/>
      <c r="BR7" s="7083"/>
      <c r="BS7" s="7083"/>
      <c r="BT7" s="7083"/>
      <c r="BU7" s="7083"/>
      <c r="BV7" s="7083"/>
      <c r="BW7" s="7083"/>
      <c r="BX7" s="7118"/>
      <c r="BZ7" s="2860"/>
      <c r="CA7" s="2860"/>
      <c r="CB7" s="2861"/>
    </row>
    <row r="8" spans="1:87" ht="16.75" thickBot="1" x14ac:dyDescent="0.6">
      <c r="A8" s="559" t="s">
        <v>832</v>
      </c>
      <c r="C8" s="567"/>
      <c r="D8" s="2862"/>
      <c r="E8" s="570" t="s">
        <v>477</v>
      </c>
      <c r="F8" s="2863" t="s">
        <v>363</v>
      </c>
      <c r="G8" s="2864" t="s">
        <v>364</v>
      </c>
      <c r="H8" s="2864" t="s">
        <v>365</v>
      </c>
      <c r="I8" s="2864" t="s">
        <v>366</v>
      </c>
      <c r="J8" s="2864" t="s">
        <v>367</v>
      </c>
      <c r="K8" s="2864" t="s">
        <v>368</v>
      </c>
      <c r="L8" s="2864" t="s">
        <v>369</v>
      </c>
      <c r="M8" s="2864" t="s">
        <v>370</v>
      </c>
      <c r="N8" s="2864" t="s">
        <v>371</v>
      </c>
      <c r="O8" s="2864" t="s">
        <v>372</v>
      </c>
      <c r="P8" s="2864" t="s">
        <v>373</v>
      </c>
      <c r="Q8" s="2864" t="s">
        <v>374</v>
      </c>
      <c r="R8" s="2864" t="s">
        <v>504</v>
      </c>
      <c r="S8" s="2864" t="s">
        <v>505</v>
      </c>
      <c r="T8" s="2865" t="s">
        <v>351</v>
      </c>
      <c r="U8" s="2866" t="s">
        <v>352</v>
      </c>
      <c r="V8" s="2866" t="s">
        <v>353</v>
      </c>
      <c r="W8" s="2866" t="s">
        <v>354</v>
      </c>
      <c r="X8" s="2866" t="s">
        <v>355</v>
      </c>
      <c r="Y8" s="2866" t="s">
        <v>356</v>
      </c>
      <c r="Z8" s="2866" t="s">
        <v>357</v>
      </c>
      <c r="AA8" s="2866" t="s">
        <v>358</v>
      </c>
      <c r="AB8" s="2866" t="s">
        <v>359</v>
      </c>
      <c r="AC8" s="2866" t="s">
        <v>360</v>
      </c>
      <c r="AD8" s="2866" t="s">
        <v>361</v>
      </c>
      <c r="AE8" s="2866" t="s">
        <v>362</v>
      </c>
      <c r="AF8" s="2867" t="s">
        <v>508</v>
      </c>
      <c r="AG8" s="2867" t="s">
        <v>509</v>
      </c>
      <c r="AH8" s="2868"/>
      <c r="AI8" s="2869" t="s">
        <v>502</v>
      </c>
      <c r="AJ8" s="2868" t="s">
        <v>3</v>
      </c>
      <c r="AK8" s="2868" t="s">
        <v>503</v>
      </c>
      <c r="AL8" s="2868" t="s">
        <v>341</v>
      </c>
      <c r="AM8" s="2868" t="s">
        <v>342</v>
      </c>
      <c r="AN8" s="2868" t="s">
        <v>343</v>
      </c>
      <c r="AO8" s="2868" t="s">
        <v>344</v>
      </c>
      <c r="AP8" s="2868" t="s">
        <v>345</v>
      </c>
      <c r="AQ8" s="2868" t="s">
        <v>346</v>
      </c>
      <c r="AR8" s="2868" t="s">
        <v>347</v>
      </c>
      <c r="AS8" s="2868" t="s">
        <v>348</v>
      </c>
      <c r="AT8" s="2870" t="s">
        <v>349</v>
      </c>
      <c r="AU8" s="2868" t="s">
        <v>506</v>
      </c>
      <c r="AV8" s="2871" t="s">
        <v>507</v>
      </c>
      <c r="AW8" s="2872" t="s">
        <v>941</v>
      </c>
      <c r="AX8" s="2864" t="s">
        <v>942</v>
      </c>
      <c r="AY8" s="558" t="s">
        <v>944</v>
      </c>
      <c r="AZ8" s="2864" t="s">
        <v>945</v>
      </c>
      <c r="BA8" s="558" t="s">
        <v>946</v>
      </c>
      <c r="BB8" s="558" t="s">
        <v>947</v>
      </c>
      <c r="BC8" s="558" t="s">
        <v>948</v>
      </c>
      <c r="BD8" s="558" t="s">
        <v>949</v>
      </c>
      <c r="BE8" s="558" t="s">
        <v>950</v>
      </c>
      <c r="BF8" s="558" t="s">
        <v>951</v>
      </c>
      <c r="BG8" s="558" t="s">
        <v>952</v>
      </c>
      <c r="BH8" s="558" t="s">
        <v>953</v>
      </c>
      <c r="BI8" s="558" t="s">
        <v>954</v>
      </c>
      <c r="BJ8" s="3292" t="s">
        <v>955</v>
      </c>
      <c r="BK8" s="2872" t="s">
        <v>1122</v>
      </c>
      <c r="BL8" s="2864" t="s">
        <v>1072</v>
      </c>
      <c r="BM8" s="558" t="s">
        <v>1073</v>
      </c>
      <c r="BN8" s="2864" t="s">
        <v>1074</v>
      </c>
      <c r="BO8" s="558" t="s">
        <v>1075</v>
      </c>
      <c r="BP8" s="558" t="s">
        <v>1076</v>
      </c>
      <c r="BQ8" s="558" t="s">
        <v>1077</v>
      </c>
      <c r="BR8" s="558" t="s">
        <v>1078</v>
      </c>
      <c r="BS8" s="558" t="s">
        <v>1079</v>
      </c>
      <c r="BT8" s="558" t="s">
        <v>1080</v>
      </c>
      <c r="BU8" s="558" t="s">
        <v>1081</v>
      </c>
      <c r="BV8" s="2873" t="s">
        <v>1082</v>
      </c>
      <c r="BW8" s="1156" t="s">
        <v>1197</v>
      </c>
      <c r="BX8" s="2781" t="s">
        <v>1198</v>
      </c>
      <c r="BZ8" s="2855" t="s">
        <v>444</v>
      </c>
      <c r="CA8" s="2855" t="s">
        <v>445</v>
      </c>
      <c r="CB8" s="2856" t="s">
        <v>450</v>
      </c>
      <c r="CC8" s="559" t="s">
        <v>1053</v>
      </c>
    </row>
    <row r="9" spans="1:87" ht="17.05" customHeight="1" x14ac:dyDescent="0.55000000000000004">
      <c r="A9" s="7128" t="s">
        <v>84</v>
      </c>
      <c r="B9" s="7129"/>
      <c r="C9" s="2874" t="s">
        <v>43</v>
      </c>
      <c r="D9" s="2875"/>
      <c r="E9" s="2876"/>
      <c r="F9" s="2876"/>
      <c r="G9" s="2877"/>
      <c r="H9" s="2877"/>
      <c r="I9" s="2877"/>
      <c r="J9" s="2877"/>
      <c r="K9" s="2877"/>
      <c r="L9" s="2877"/>
      <c r="M9" s="2877"/>
      <c r="N9" s="2877"/>
      <c r="O9" s="2877"/>
      <c r="P9" s="2877"/>
      <c r="Q9" s="2877"/>
      <c r="R9" s="2877"/>
      <c r="S9" s="2877"/>
      <c r="T9" s="2876">
        <v>384176</v>
      </c>
      <c r="U9" s="2877">
        <v>382853</v>
      </c>
      <c r="V9" s="2877">
        <v>380397</v>
      </c>
      <c r="W9" s="2877">
        <v>378798</v>
      </c>
      <c r="X9" s="2877">
        <v>376441</v>
      </c>
      <c r="Y9" s="2877">
        <v>373238</v>
      </c>
      <c r="Z9" s="2877">
        <v>368493</v>
      </c>
      <c r="AA9" s="2877">
        <v>365069</v>
      </c>
      <c r="AB9" s="2877">
        <v>361577</v>
      </c>
      <c r="AC9" s="2877">
        <v>359974</v>
      </c>
      <c r="AD9" s="2877">
        <v>358286</v>
      </c>
      <c r="AE9" s="2877">
        <v>354810</v>
      </c>
      <c r="AF9" s="2878">
        <v>354810</v>
      </c>
      <c r="AG9" s="2878">
        <v>370342.66666666663</v>
      </c>
      <c r="AH9" s="2878" t="s">
        <v>866</v>
      </c>
      <c r="AI9" s="2879">
        <v>353254</v>
      </c>
      <c r="AJ9" s="2878">
        <v>350207</v>
      </c>
      <c r="AK9" s="2878">
        <v>346755</v>
      </c>
      <c r="AL9" s="2878">
        <v>344219</v>
      </c>
      <c r="AM9" s="2878">
        <v>338568</v>
      </c>
      <c r="AN9" s="2878">
        <v>332892</v>
      </c>
      <c r="AO9" s="2878">
        <v>328074</v>
      </c>
      <c r="AP9" s="2878">
        <v>322444</v>
      </c>
      <c r="AQ9" s="2878">
        <v>317358</v>
      </c>
      <c r="AR9" s="2878">
        <v>311310</v>
      </c>
      <c r="AS9" s="2878">
        <v>305983</v>
      </c>
      <c r="AT9" s="2878">
        <v>299670</v>
      </c>
      <c r="AU9" s="2878">
        <v>299670</v>
      </c>
      <c r="AV9" s="2880">
        <v>329227.83333333331</v>
      </c>
      <c r="AW9" s="2876">
        <v>293230</v>
      </c>
      <c r="AX9" s="2878">
        <v>289323</v>
      </c>
      <c r="AY9" s="2878">
        <v>283808</v>
      </c>
      <c r="AZ9" s="2878">
        <v>279924</v>
      </c>
      <c r="BA9" s="2878">
        <v>279331</v>
      </c>
      <c r="BB9" s="2878">
        <v>275030</v>
      </c>
      <c r="BC9" s="2878">
        <v>273151</v>
      </c>
      <c r="BD9" s="2878">
        <v>269333</v>
      </c>
      <c r="BE9" s="2878">
        <v>266054</v>
      </c>
      <c r="BF9" s="2878">
        <v>260645</v>
      </c>
      <c r="BG9" s="2878">
        <v>254480</v>
      </c>
      <c r="BH9" s="2878">
        <f t="shared" ref="BH9:BH14" si="2">BH15+BH51</f>
        <v>248042</v>
      </c>
      <c r="BI9" s="2878">
        <f>AW9</f>
        <v>293230</v>
      </c>
      <c r="BJ9" s="2880">
        <f>AVERAGE(AW9:BH9)</f>
        <v>272695.91666666669</v>
      </c>
      <c r="BK9" s="2878">
        <f t="shared" ref="BK9:BL9" si="3">BK15+BK51</f>
        <v>243685</v>
      </c>
      <c r="BL9" s="2878">
        <f t="shared" si="3"/>
        <v>237969</v>
      </c>
      <c r="BM9" s="2878"/>
      <c r="BN9" s="2878"/>
      <c r="BO9" s="2878"/>
      <c r="BP9" s="2878"/>
      <c r="BQ9" s="2878"/>
      <c r="BR9" s="2878"/>
      <c r="BS9" s="2878"/>
      <c r="BT9" s="2878"/>
      <c r="BU9" s="2878"/>
      <c r="BV9" s="2878"/>
      <c r="BW9" s="2878">
        <f>BK9</f>
        <v>243685</v>
      </c>
      <c r="BX9" s="2880">
        <f>AVERAGE(BK9:BV9)</f>
        <v>240827</v>
      </c>
      <c r="BZ9" s="2860" t="e">
        <f t="shared" ref="BZ9:BZ40" si="4">HLOOKUP($A$1,$AW$1:$BH$383,ROW(),0)-HLOOKUP($A$1,$AI$1:$AT$383,ROW(),0)</f>
        <v>#N/A</v>
      </c>
      <c r="CA9" s="2860">
        <f>BJ9-AV9</f>
        <v>-56531.916666666628</v>
      </c>
      <c r="CB9" s="2881" t="e">
        <f t="shared" ref="CB9:CB14" si="5">HLOOKUP($A$1,$AW$1:$BH$383,ROW(),0)-SUM(AI9:AJ9)</f>
        <v>#N/A</v>
      </c>
      <c r="CC9" s="590">
        <f>BH9-AT9</f>
        <v>-51628</v>
      </c>
      <c r="CE9" s="590">
        <v>248042</v>
      </c>
      <c r="CF9" s="590">
        <v>-51628</v>
      </c>
    </row>
    <row r="10" spans="1:87" x14ac:dyDescent="0.55000000000000004">
      <c r="A10" s="7130"/>
      <c r="B10" s="7131"/>
      <c r="C10" s="2771" t="s">
        <v>46</v>
      </c>
      <c r="F10" s="2882"/>
      <c r="G10" s="1102"/>
      <c r="H10" s="1102"/>
      <c r="I10" s="1102"/>
      <c r="J10" s="1102"/>
      <c r="K10" s="1102"/>
      <c r="L10" s="1102"/>
      <c r="M10" s="1102"/>
      <c r="N10" s="1102"/>
      <c r="O10" s="1102"/>
      <c r="P10" s="1102"/>
      <c r="Q10" s="1102"/>
      <c r="R10" s="1102"/>
      <c r="S10" s="1102"/>
      <c r="T10" s="2882">
        <v>6192</v>
      </c>
      <c r="U10" s="1102">
        <v>7365</v>
      </c>
      <c r="V10" s="1102">
        <v>6994</v>
      </c>
      <c r="W10" s="1102">
        <v>6792</v>
      </c>
      <c r="X10" s="1102">
        <v>7180</v>
      </c>
      <c r="Y10" s="1102">
        <v>6760</v>
      </c>
      <c r="Z10" s="1102">
        <v>5860</v>
      </c>
      <c r="AA10" s="1102">
        <v>7873</v>
      </c>
      <c r="AB10" s="1102">
        <v>6014</v>
      </c>
      <c r="AC10" s="1102">
        <v>6726</v>
      </c>
      <c r="AD10" s="1102">
        <v>6591</v>
      </c>
      <c r="AE10" s="1102">
        <v>4971</v>
      </c>
      <c r="AF10" s="2883">
        <v>79318</v>
      </c>
      <c r="AG10" s="2883">
        <v>6609.8333333333339</v>
      </c>
      <c r="AH10" s="2883"/>
      <c r="AI10" s="2884">
        <v>7661</v>
      </c>
      <c r="AJ10" s="2883">
        <v>6253</v>
      </c>
      <c r="AK10" s="2883">
        <v>7526</v>
      </c>
      <c r="AL10" s="2883">
        <v>7448</v>
      </c>
      <c r="AM10" s="2883">
        <v>8240</v>
      </c>
      <c r="AN10" s="2883">
        <v>7823</v>
      </c>
      <c r="AO10" s="2883">
        <v>8787</v>
      </c>
      <c r="AP10" s="2883">
        <v>8057</v>
      </c>
      <c r="AQ10" s="2883">
        <v>8190</v>
      </c>
      <c r="AR10" s="2883">
        <v>8485</v>
      </c>
      <c r="AS10" s="2883">
        <v>8211</v>
      </c>
      <c r="AT10" s="1102">
        <v>7491</v>
      </c>
      <c r="AU10" s="2883">
        <v>94172</v>
      </c>
      <c r="AV10" s="2885">
        <v>7847.666666666667</v>
      </c>
      <c r="AW10" s="2882">
        <v>6847</v>
      </c>
      <c r="AX10" s="2883">
        <v>10197</v>
      </c>
      <c r="AY10" s="2883">
        <v>8908</v>
      </c>
      <c r="AZ10" s="2883">
        <v>9833</v>
      </c>
      <c r="BA10" s="2883">
        <v>17350</v>
      </c>
      <c r="BB10" s="2883">
        <v>11644</v>
      </c>
      <c r="BC10" s="2883">
        <v>13532</v>
      </c>
      <c r="BD10" s="2883">
        <v>11058</v>
      </c>
      <c r="BE10" s="2883">
        <v>11264</v>
      </c>
      <c r="BF10" s="2883">
        <v>7545</v>
      </c>
      <c r="BG10" s="2883">
        <v>7481</v>
      </c>
      <c r="BH10" s="2883">
        <f t="shared" si="2"/>
        <v>7134</v>
      </c>
      <c r="BI10" s="2883">
        <f t="shared" ref="BI10:BI14" si="6">SUM(AW10:BH10)</f>
        <v>122793</v>
      </c>
      <c r="BJ10" s="2885">
        <f t="shared" ref="BJ10:BJ63" si="7">AVERAGE(AW10:BH10)</f>
        <v>10232.75</v>
      </c>
      <c r="BK10" s="2883">
        <f t="shared" ref="BK10:BL10" si="8">BK16+BK52</f>
        <v>5872</v>
      </c>
      <c r="BL10" s="2883">
        <f t="shared" si="8"/>
        <v>4643</v>
      </c>
      <c r="BM10" s="2883"/>
      <c r="BN10" s="2883"/>
      <c r="BO10" s="2883"/>
      <c r="BP10" s="2883"/>
      <c r="BQ10" s="2883"/>
      <c r="BR10" s="2883"/>
      <c r="BS10" s="2883"/>
      <c r="BT10" s="2883"/>
      <c r="BU10" s="2883"/>
      <c r="BV10" s="2883"/>
      <c r="BW10" s="2883">
        <f t="shared" ref="BW10:BW14" si="9">SUM(BK10:BV10)</f>
        <v>10515</v>
      </c>
      <c r="BX10" s="2885">
        <f t="shared" ref="BX10:BX38" si="10">AVERAGE(BK10:BV10)</f>
        <v>5257.5</v>
      </c>
      <c r="BZ10" s="2860" t="e">
        <f t="shared" si="4"/>
        <v>#N/A</v>
      </c>
      <c r="CA10" s="2860">
        <f t="shared" ref="CA10:CA67" si="11">BJ10-AV10</f>
        <v>2385.083333333333</v>
      </c>
      <c r="CB10" s="2881" t="e">
        <f t="shared" si="5"/>
        <v>#N/A</v>
      </c>
      <c r="CE10" s="2860">
        <v>-6438</v>
      </c>
      <c r="CF10" s="2860">
        <v>2933</v>
      </c>
    </row>
    <row r="11" spans="1:87" x14ac:dyDescent="0.55000000000000004">
      <c r="A11" s="7130"/>
      <c r="B11" s="7131"/>
      <c r="C11" s="559" t="s">
        <v>47</v>
      </c>
      <c r="F11" s="2882"/>
      <c r="G11" s="1102"/>
      <c r="H11" s="1102"/>
      <c r="I11" s="1102"/>
      <c r="J11" s="1102"/>
      <c r="K11" s="1102"/>
      <c r="L11" s="1102"/>
      <c r="M11" s="1102"/>
      <c r="N11" s="1102"/>
      <c r="O11" s="1102"/>
      <c r="P11" s="1102"/>
      <c r="Q11" s="1102"/>
      <c r="R11" s="1102"/>
      <c r="S11" s="1102"/>
      <c r="T11" s="2882">
        <v>3803</v>
      </c>
      <c r="U11" s="1102">
        <v>3720</v>
      </c>
      <c r="V11" s="1102">
        <v>3883</v>
      </c>
      <c r="W11" s="1102">
        <v>3260</v>
      </c>
      <c r="X11" s="1102">
        <v>3635</v>
      </c>
      <c r="Y11" s="1102">
        <v>3882</v>
      </c>
      <c r="Z11" s="1102">
        <v>3763</v>
      </c>
      <c r="AA11" s="1102">
        <v>4655</v>
      </c>
      <c r="AB11" s="1102">
        <v>3503</v>
      </c>
      <c r="AC11" s="1102">
        <v>3643</v>
      </c>
      <c r="AD11" s="1102">
        <v>3532</v>
      </c>
      <c r="AE11" s="1102">
        <v>3128</v>
      </c>
      <c r="AF11" s="2883">
        <v>44407</v>
      </c>
      <c r="AG11" s="2883">
        <v>3700.5833333333335</v>
      </c>
      <c r="AH11" s="2883"/>
      <c r="AI11" s="2884">
        <v>3722</v>
      </c>
      <c r="AJ11" s="2883">
        <v>3753</v>
      </c>
      <c r="AK11" s="2883">
        <v>3956</v>
      </c>
      <c r="AL11" s="2883">
        <v>3881</v>
      </c>
      <c r="AM11" s="2883">
        <v>3840</v>
      </c>
      <c r="AN11" s="2883">
        <v>3783</v>
      </c>
      <c r="AO11" s="2883">
        <v>3891</v>
      </c>
      <c r="AP11" s="2883">
        <v>3509</v>
      </c>
      <c r="AQ11" s="2883">
        <v>3200</v>
      </c>
      <c r="AR11" s="2883">
        <v>3341</v>
      </c>
      <c r="AS11" s="2883">
        <v>3100</v>
      </c>
      <c r="AT11" s="1102">
        <v>2667</v>
      </c>
      <c r="AU11" s="2883">
        <v>42643</v>
      </c>
      <c r="AV11" s="2885">
        <v>3553.5833333333335</v>
      </c>
      <c r="AW11" s="2882">
        <v>2845</v>
      </c>
      <c r="AX11" s="2883">
        <v>3689</v>
      </c>
      <c r="AY11" s="2883">
        <v>3594</v>
      </c>
      <c r="AZ11" s="2883">
        <v>3559</v>
      </c>
      <c r="BA11" s="2883">
        <v>3118</v>
      </c>
      <c r="BB11" s="2883">
        <v>3230</v>
      </c>
      <c r="BC11" s="2883">
        <v>3142</v>
      </c>
      <c r="BD11" s="2883">
        <v>2748</v>
      </c>
      <c r="BE11" s="2883">
        <v>3047</v>
      </c>
      <c r="BF11" s="2883">
        <v>3030</v>
      </c>
      <c r="BG11" s="2883">
        <v>2850</v>
      </c>
      <c r="BH11" s="2883">
        <f t="shared" si="2"/>
        <v>2704</v>
      </c>
      <c r="BI11" s="2883">
        <f t="shared" si="6"/>
        <v>37556</v>
      </c>
      <c r="BJ11" s="2885">
        <f t="shared" si="7"/>
        <v>3129.6666666666665</v>
      </c>
      <c r="BK11" s="2883">
        <f t="shared" ref="BK11:BL11" si="12">BK17+BK53</f>
        <v>4241</v>
      </c>
      <c r="BL11" s="2883">
        <f t="shared" si="12"/>
        <v>3854</v>
      </c>
      <c r="BM11" s="2883"/>
      <c r="BN11" s="2883"/>
      <c r="BO11" s="2883"/>
      <c r="BP11" s="2883"/>
      <c r="BQ11" s="2883"/>
      <c r="BR11" s="2883"/>
      <c r="BS11" s="2883"/>
      <c r="BT11" s="2883"/>
      <c r="BU11" s="2883"/>
      <c r="BV11" s="2883"/>
      <c r="BW11" s="2883">
        <f t="shared" si="9"/>
        <v>8095</v>
      </c>
      <c r="BX11" s="2885">
        <f t="shared" si="10"/>
        <v>4047.5</v>
      </c>
      <c r="BZ11" s="2860" t="e">
        <f t="shared" si="4"/>
        <v>#N/A</v>
      </c>
      <c r="CA11" s="2860">
        <f t="shared" si="11"/>
        <v>-423.91666666666697</v>
      </c>
      <c r="CB11" s="2881" t="e">
        <f t="shared" si="5"/>
        <v>#N/A</v>
      </c>
      <c r="CE11" s="2860">
        <v>121161</v>
      </c>
      <c r="CF11" s="590">
        <v>-36543</v>
      </c>
    </row>
    <row r="12" spans="1:87" x14ac:dyDescent="0.55000000000000004">
      <c r="A12" s="7130"/>
      <c r="B12" s="7131"/>
      <c r="C12" s="615" t="s">
        <v>58</v>
      </c>
      <c r="F12" s="2882"/>
      <c r="G12" s="1102"/>
      <c r="H12" s="1102"/>
      <c r="I12" s="1102"/>
      <c r="J12" s="1102"/>
      <c r="K12" s="1102"/>
      <c r="L12" s="1102"/>
      <c r="M12" s="1102"/>
      <c r="N12" s="1102"/>
      <c r="O12" s="1102"/>
      <c r="P12" s="1102"/>
      <c r="Q12" s="1102"/>
      <c r="R12" s="1102"/>
      <c r="S12" s="1102"/>
      <c r="T12" s="2882">
        <v>217</v>
      </c>
      <c r="U12" s="1102">
        <v>195</v>
      </c>
      <c r="V12" s="1102">
        <v>191</v>
      </c>
      <c r="W12" s="1102">
        <v>259</v>
      </c>
      <c r="X12" s="1102">
        <v>246</v>
      </c>
      <c r="Y12" s="1102">
        <v>282</v>
      </c>
      <c r="Z12" s="1102">
        <v>262</v>
      </c>
      <c r="AA12" s="1102">
        <v>797</v>
      </c>
      <c r="AB12" s="1102">
        <v>206</v>
      </c>
      <c r="AC12" s="1102">
        <v>276</v>
      </c>
      <c r="AD12" s="1102">
        <v>309</v>
      </c>
      <c r="AE12" s="1102">
        <v>226</v>
      </c>
      <c r="AF12" s="2883">
        <v>3466</v>
      </c>
      <c r="AG12" s="2883">
        <v>288.83333333333337</v>
      </c>
      <c r="AH12" s="2883"/>
      <c r="AI12" s="2884">
        <v>268</v>
      </c>
      <c r="AJ12" s="2883">
        <v>222</v>
      </c>
      <c r="AK12" s="2883">
        <v>286</v>
      </c>
      <c r="AL12" s="2883">
        <v>284</v>
      </c>
      <c r="AM12" s="2883">
        <v>303</v>
      </c>
      <c r="AN12" s="2883">
        <v>226</v>
      </c>
      <c r="AO12" s="2883">
        <v>258</v>
      </c>
      <c r="AP12" s="2883">
        <v>176</v>
      </c>
      <c r="AQ12" s="2883">
        <v>193</v>
      </c>
      <c r="AR12" s="2883">
        <v>197</v>
      </c>
      <c r="AS12" s="2883">
        <v>205</v>
      </c>
      <c r="AT12" s="1102">
        <v>175</v>
      </c>
      <c r="AU12" s="2883">
        <v>2793</v>
      </c>
      <c r="AV12" s="2885">
        <v>232.75</v>
      </c>
      <c r="AW12" s="2882">
        <v>187</v>
      </c>
      <c r="AX12" s="2883">
        <v>206</v>
      </c>
      <c r="AY12" s="2883">
        <v>269</v>
      </c>
      <c r="AZ12" s="2883">
        <v>271</v>
      </c>
      <c r="BA12" s="2883">
        <v>308</v>
      </c>
      <c r="BB12" s="2883">
        <v>209</v>
      </c>
      <c r="BC12" s="2883">
        <v>195</v>
      </c>
      <c r="BD12" s="2883">
        <v>150</v>
      </c>
      <c r="BE12" s="2883">
        <v>171</v>
      </c>
      <c r="BF12" s="2883">
        <v>158</v>
      </c>
      <c r="BG12" s="2883">
        <v>108</v>
      </c>
      <c r="BH12" s="2883">
        <f t="shared" si="2"/>
        <v>122</v>
      </c>
      <c r="BI12" s="2883">
        <f t="shared" si="6"/>
        <v>2354</v>
      </c>
      <c r="BJ12" s="2885">
        <f t="shared" si="7"/>
        <v>196.16666666666666</v>
      </c>
      <c r="BK12" s="2883">
        <f t="shared" ref="BK12:BL12" si="13">BK18+BK54</f>
        <v>164</v>
      </c>
      <c r="BL12" s="2883">
        <f t="shared" si="13"/>
        <v>157</v>
      </c>
      <c r="BM12" s="2883"/>
      <c r="BN12" s="2883"/>
      <c r="BO12" s="2883"/>
      <c r="BP12" s="2883"/>
      <c r="BQ12" s="2883"/>
      <c r="BR12" s="2883"/>
      <c r="BS12" s="2883"/>
      <c r="BT12" s="2883"/>
      <c r="BU12" s="2883"/>
      <c r="BV12" s="2883"/>
      <c r="BW12" s="2883">
        <f t="shared" si="9"/>
        <v>321</v>
      </c>
      <c r="BX12" s="2885">
        <f t="shared" si="10"/>
        <v>160.5</v>
      </c>
      <c r="BZ12" s="2860" t="e">
        <f t="shared" si="4"/>
        <v>#N/A</v>
      </c>
      <c r="CA12" s="2860">
        <f t="shared" si="11"/>
        <v>-36.583333333333343</v>
      </c>
      <c r="CB12" s="2881" t="e">
        <f t="shared" si="5"/>
        <v>#N/A</v>
      </c>
      <c r="CE12" s="2860">
        <v>-3585</v>
      </c>
      <c r="CF12" s="2860">
        <v>2927</v>
      </c>
    </row>
    <row r="13" spans="1:87" x14ac:dyDescent="0.55000000000000004">
      <c r="A13" s="7130"/>
      <c r="B13" s="7131"/>
      <c r="C13" s="559" t="s">
        <v>49</v>
      </c>
      <c r="F13" s="2882"/>
      <c r="G13" s="1102"/>
      <c r="H13" s="1102"/>
      <c r="I13" s="1102"/>
      <c r="J13" s="1102"/>
      <c r="K13" s="1102"/>
      <c r="L13" s="1102"/>
      <c r="M13" s="1102"/>
      <c r="N13" s="1102"/>
      <c r="O13" s="1102"/>
      <c r="P13" s="1102"/>
      <c r="Q13" s="1102"/>
      <c r="R13" s="1102"/>
      <c r="S13" s="1102"/>
      <c r="T13" s="2882">
        <v>6696</v>
      </c>
      <c r="U13" s="1102">
        <v>4968</v>
      </c>
      <c r="V13" s="1102">
        <v>5567</v>
      </c>
      <c r="W13" s="1102">
        <v>5131</v>
      </c>
      <c r="X13" s="1102">
        <v>5902</v>
      </c>
      <c r="Y13" s="1102">
        <v>6081</v>
      </c>
      <c r="Z13" s="1102">
        <v>6842</v>
      </c>
      <c r="AA13" s="1102">
        <v>6642</v>
      </c>
      <c r="AB13" s="1102">
        <v>6003</v>
      </c>
      <c r="AC13" s="1102">
        <v>4686</v>
      </c>
      <c r="AD13" s="1102">
        <v>4747</v>
      </c>
      <c r="AE13" s="1102">
        <v>5319</v>
      </c>
      <c r="AF13" s="2883">
        <v>55692</v>
      </c>
      <c r="AG13" s="2883">
        <v>-616.16666666666788</v>
      </c>
      <c r="AH13" s="2883"/>
      <c r="AI13" s="2884">
        <v>4916</v>
      </c>
      <c r="AJ13" s="2883">
        <v>5547</v>
      </c>
      <c r="AK13" s="2883">
        <v>7022</v>
      </c>
      <c r="AL13" s="2883">
        <v>6103</v>
      </c>
      <c r="AM13" s="2883">
        <v>10051</v>
      </c>
      <c r="AN13" s="2883">
        <v>9716</v>
      </c>
      <c r="AO13" s="2883">
        <v>9714</v>
      </c>
      <c r="AP13" s="2883">
        <v>10178</v>
      </c>
      <c r="AQ13" s="2883">
        <v>10076</v>
      </c>
      <c r="AR13" s="2883">
        <v>11192</v>
      </c>
      <c r="AS13" s="2883">
        <v>10438</v>
      </c>
      <c r="AT13" s="1102">
        <v>11137</v>
      </c>
      <c r="AU13" s="2883">
        <v>106090</v>
      </c>
      <c r="AV13" s="2885">
        <v>8840.8333333333339</v>
      </c>
      <c r="AW13" s="2882">
        <v>10716</v>
      </c>
      <c r="AX13" s="2883">
        <v>10556</v>
      </c>
      <c r="AY13" s="2883">
        <v>10829</v>
      </c>
      <c r="AZ13" s="2883">
        <v>10158</v>
      </c>
      <c r="BA13" s="2883">
        <v>14825</v>
      </c>
      <c r="BB13" s="2883">
        <v>12641</v>
      </c>
      <c r="BC13" s="2883">
        <v>12269</v>
      </c>
      <c r="BD13" s="2883">
        <v>12198</v>
      </c>
      <c r="BE13" s="2883">
        <v>11571</v>
      </c>
      <c r="BF13" s="2883">
        <v>9924</v>
      </c>
      <c r="BG13" s="2883">
        <v>10796</v>
      </c>
      <c r="BH13" s="2883">
        <f t="shared" si="2"/>
        <v>10868</v>
      </c>
      <c r="BI13" s="2883">
        <f t="shared" si="6"/>
        <v>137351</v>
      </c>
      <c r="BJ13" s="2885">
        <f t="shared" si="7"/>
        <v>11445.916666666666</v>
      </c>
      <c r="BK13" s="2883">
        <f t="shared" ref="BK13:BL13" si="14">BK19+BK55</f>
        <v>5988</v>
      </c>
      <c r="BL13" s="2883">
        <f t="shared" si="14"/>
        <v>6505</v>
      </c>
      <c r="BM13" s="2883"/>
      <c r="BN13" s="2883"/>
      <c r="BO13" s="2883"/>
      <c r="BP13" s="2883"/>
      <c r="BQ13" s="2883"/>
      <c r="BR13" s="2883"/>
      <c r="BS13" s="2883"/>
      <c r="BT13" s="2883"/>
      <c r="BU13" s="2883"/>
      <c r="BV13" s="2883"/>
      <c r="BW13" s="2883">
        <f t="shared" si="9"/>
        <v>12493</v>
      </c>
      <c r="BX13" s="2885">
        <f t="shared" si="10"/>
        <v>6246.5</v>
      </c>
      <c r="BZ13" s="2860" t="e">
        <f t="shared" si="4"/>
        <v>#N/A</v>
      </c>
      <c r="CA13" s="2860">
        <f t="shared" si="11"/>
        <v>2605.0833333333321</v>
      </c>
      <c r="CB13" s="2881" t="e">
        <f t="shared" si="5"/>
        <v>#N/A</v>
      </c>
      <c r="CE13" s="2860">
        <v>-2853</v>
      </c>
      <c r="CF13" s="2860">
        <v>2729</v>
      </c>
    </row>
    <row r="14" spans="1:87" ht="15.45" thickBot="1" x14ac:dyDescent="0.6">
      <c r="A14" s="7132"/>
      <c r="B14" s="7133"/>
      <c r="C14" s="2892" t="s">
        <v>50</v>
      </c>
      <c r="D14" s="2893"/>
      <c r="E14" s="2893"/>
      <c r="F14" s="2894"/>
      <c r="G14" s="2895"/>
      <c r="H14" s="2895"/>
      <c r="I14" s="2895"/>
      <c r="J14" s="2895"/>
      <c r="K14" s="2895"/>
      <c r="L14" s="2895"/>
      <c r="M14" s="2895"/>
      <c r="N14" s="2895"/>
      <c r="O14" s="2895"/>
      <c r="P14" s="2895"/>
      <c r="Q14" s="2895"/>
      <c r="R14" s="2895"/>
      <c r="S14" s="2895"/>
      <c r="T14" s="2894">
        <v>-4307</v>
      </c>
      <c r="U14" s="2895">
        <v>-1323</v>
      </c>
      <c r="V14" s="2895">
        <v>-2456</v>
      </c>
      <c r="W14" s="2895">
        <v>-1599</v>
      </c>
      <c r="X14" s="2895">
        <v>-2357</v>
      </c>
      <c r="Y14" s="2895">
        <v>-3203</v>
      </c>
      <c r="Z14" s="2895">
        <v>-4745</v>
      </c>
      <c r="AA14" s="2895">
        <v>-3424</v>
      </c>
      <c r="AB14" s="2895">
        <v>-3492</v>
      </c>
      <c r="AC14" s="2895">
        <v>-1603</v>
      </c>
      <c r="AD14" s="2895">
        <v>-1688</v>
      </c>
      <c r="AE14" s="2895">
        <v>-3476</v>
      </c>
      <c r="AF14" s="2896">
        <v>-20781</v>
      </c>
      <c r="AG14" s="2896">
        <v>3525.4166666666674</v>
      </c>
      <c r="AH14" s="2896"/>
      <c r="AI14" s="2897">
        <v>-903</v>
      </c>
      <c r="AJ14" s="2896">
        <v>-3047</v>
      </c>
      <c r="AK14" s="2896">
        <v>-3452</v>
      </c>
      <c r="AL14" s="2896">
        <v>-2536</v>
      </c>
      <c r="AM14" s="2896">
        <v>-5651</v>
      </c>
      <c r="AN14" s="2896">
        <v>-5676</v>
      </c>
      <c r="AO14" s="2896">
        <v>-4818</v>
      </c>
      <c r="AP14" s="2896">
        <v>-5630</v>
      </c>
      <c r="AQ14" s="2896">
        <v>-5086</v>
      </c>
      <c r="AR14" s="2896">
        <v>-6048</v>
      </c>
      <c r="AS14" s="2896">
        <v>-5327</v>
      </c>
      <c r="AT14" s="2895">
        <v>-6313</v>
      </c>
      <c r="AU14" s="2896">
        <v>-54487</v>
      </c>
      <c r="AV14" s="2898">
        <v>-4540.583333333333</v>
      </c>
      <c r="AW14" s="2894">
        <v>-6440</v>
      </c>
      <c r="AX14" s="2896">
        <v>-3907</v>
      </c>
      <c r="AY14" s="2896">
        <v>-5515</v>
      </c>
      <c r="AZ14" s="2896">
        <v>-3884</v>
      </c>
      <c r="BA14" s="2896">
        <v>-593</v>
      </c>
      <c r="BB14" s="2899">
        <v>-4227</v>
      </c>
      <c r="BC14" s="2899">
        <v>-1879</v>
      </c>
      <c r="BD14" s="2899">
        <v>-3818</v>
      </c>
      <c r="BE14" s="2899">
        <v>-3279</v>
      </c>
      <c r="BF14" s="2899">
        <v>-5409</v>
      </c>
      <c r="BG14" s="2899">
        <v>-6165</v>
      </c>
      <c r="BH14" s="2899">
        <f t="shared" si="2"/>
        <v>-6438</v>
      </c>
      <c r="BI14" s="2896">
        <f t="shared" si="6"/>
        <v>-51554</v>
      </c>
      <c r="BJ14" s="2898">
        <f t="shared" si="7"/>
        <v>-4296.166666666667</v>
      </c>
      <c r="BK14" s="2899">
        <f t="shared" ref="BK14:BL14" si="15">BK20+BK56</f>
        <v>-4357</v>
      </c>
      <c r="BL14" s="2899">
        <f t="shared" si="15"/>
        <v>-5716</v>
      </c>
      <c r="BM14" s="2896"/>
      <c r="BN14" s="2896"/>
      <c r="BO14" s="2896"/>
      <c r="BP14" s="2899"/>
      <c r="BQ14" s="2899"/>
      <c r="BR14" s="2899"/>
      <c r="BS14" s="2899"/>
      <c r="BT14" s="2899"/>
      <c r="BU14" s="2899"/>
      <c r="BV14" s="2899"/>
      <c r="BW14" s="2896">
        <f t="shared" si="9"/>
        <v>-10073</v>
      </c>
      <c r="BX14" s="2898">
        <f t="shared" si="10"/>
        <v>-5036.5</v>
      </c>
      <c r="BZ14" s="2860" t="e">
        <f t="shared" si="4"/>
        <v>#N/A</v>
      </c>
      <c r="CA14" s="2860">
        <f>BJ14-AV14</f>
        <v>244.41666666666606</v>
      </c>
      <c r="CB14" s="2881" t="e">
        <f t="shared" si="5"/>
        <v>#N/A</v>
      </c>
      <c r="CC14" s="2860">
        <f>SUM(AW14:BH14)-SUM(AI14:AT14)</f>
        <v>2933</v>
      </c>
    </row>
    <row r="15" spans="1:87" x14ac:dyDescent="0.55000000000000004">
      <c r="A15" s="7119" t="s">
        <v>86</v>
      </c>
      <c r="B15" s="7120"/>
      <c r="C15" s="2874" t="s">
        <v>43</v>
      </c>
      <c r="D15" s="2875"/>
      <c r="E15" s="2875">
        <v>232028</v>
      </c>
      <c r="F15" s="2876">
        <v>229888</v>
      </c>
      <c r="G15" s="2877">
        <v>229888</v>
      </c>
      <c r="H15" s="2877">
        <v>229019</v>
      </c>
      <c r="I15" s="2877">
        <v>228052</v>
      </c>
      <c r="J15" s="2877">
        <v>226722</v>
      </c>
      <c r="K15" s="2877">
        <v>225806</v>
      </c>
      <c r="L15" s="2877">
        <v>224579</v>
      </c>
      <c r="M15" s="2877">
        <v>223700</v>
      </c>
      <c r="N15" s="2877">
        <v>222726</v>
      </c>
      <c r="O15" s="2877">
        <v>222247</v>
      </c>
      <c r="P15" s="2877">
        <v>220407</v>
      </c>
      <c r="Q15" s="2877">
        <v>218489</v>
      </c>
      <c r="R15" s="2877">
        <v>218489</v>
      </c>
      <c r="S15" s="2877">
        <v>225126.91666666666</v>
      </c>
      <c r="T15" s="2877">
        <v>216135</v>
      </c>
      <c r="U15" s="2877">
        <v>215831</v>
      </c>
      <c r="V15" s="2877">
        <v>214462</v>
      </c>
      <c r="W15" s="2877">
        <v>213383</v>
      </c>
      <c r="X15" s="2877">
        <v>211669</v>
      </c>
      <c r="Y15" s="2877">
        <v>209589</v>
      </c>
      <c r="Z15" s="2877">
        <v>206609</v>
      </c>
      <c r="AA15" s="2877">
        <v>204253</v>
      </c>
      <c r="AB15" s="2877">
        <v>202174</v>
      </c>
      <c r="AC15" s="2877">
        <v>200693</v>
      </c>
      <c r="AD15" s="2877">
        <v>199458</v>
      </c>
      <c r="AE15" s="2877">
        <v>197059</v>
      </c>
      <c r="AF15" s="2878">
        <v>197059</v>
      </c>
      <c r="AG15" s="2878">
        <v>207609.58333333331</v>
      </c>
      <c r="AH15" s="2878"/>
      <c r="AI15" s="2900">
        <v>195580</v>
      </c>
      <c r="AJ15" s="2878">
        <v>193625</v>
      </c>
      <c r="AK15" s="2878">
        <v>191600</v>
      </c>
      <c r="AL15" s="2878">
        <v>190384</v>
      </c>
      <c r="AM15" s="2878">
        <v>185929</v>
      </c>
      <c r="AN15" s="2878">
        <v>181530</v>
      </c>
      <c r="AO15" s="2878">
        <v>177865</v>
      </c>
      <c r="AP15" s="2878">
        <v>173787</v>
      </c>
      <c r="AQ15" s="2878">
        <v>169838</v>
      </c>
      <c r="AR15" s="2878">
        <v>165575</v>
      </c>
      <c r="AS15" s="2878">
        <v>161972</v>
      </c>
      <c r="AT15" s="2877">
        <v>157704</v>
      </c>
      <c r="AU15" s="2878">
        <v>157704</v>
      </c>
      <c r="AV15" s="2880">
        <v>178782.41666666666</v>
      </c>
      <c r="AW15" s="2901">
        <v>153599</v>
      </c>
      <c r="AX15" s="2878">
        <v>150408</v>
      </c>
      <c r="AY15" s="2878">
        <v>146972</v>
      </c>
      <c r="AZ15" s="2878">
        <v>144200</v>
      </c>
      <c r="BA15" s="2878">
        <v>143217</v>
      </c>
      <c r="BB15" s="2878">
        <v>140264</v>
      </c>
      <c r="BC15" s="2878">
        <v>138462</v>
      </c>
      <c r="BD15" s="2878">
        <v>135180</v>
      </c>
      <c r="BE15" s="2878">
        <v>132452</v>
      </c>
      <c r="BF15" s="2878">
        <v>128701</v>
      </c>
      <c r="BG15" s="2878">
        <v>124746</v>
      </c>
      <c r="BH15" s="2878">
        <f>BH21+BH27+BH33+BH39+BH45</f>
        <v>121161</v>
      </c>
      <c r="BI15" s="2878">
        <f>AW15</f>
        <v>153599</v>
      </c>
      <c r="BJ15" s="2880">
        <f t="shared" si="7"/>
        <v>138280.16666666666</v>
      </c>
      <c r="BK15" s="2901">
        <v>118063</v>
      </c>
      <c r="BL15" s="2878">
        <v>114565</v>
      </c>
      <c r="BM15" s="2878"/>
      <c r="BN15" s="2878"/>
      <c r="BO15" s="2878"/>
      <c r="BP15" s="2878"/>
      <c r="BQ15" s="2878"/>
      <c r="BR15" s="2878"/>
      <c r="BS15" s="2878"/>
      <c r="BT15" s="2878"/>
      <c r="BU15" s="2878"/>
      <c r="BV15" s="2878"/>
      <c r="BW15" s="2878">
        <f>BK15</f>
        <v>118063</v>
      </c>
      <c r="BX15" s="2880">
        <f t="shared" si="10"/>
        <v>116314</v>
      </c>
      <c r="BZ15" s="2860" t="e">
        <f t="shared" si="4"/>
        <v>#N/A</v>
      </c>
      <c r="CA15" s="2860">
        <f t="shared" si="11"/>
        <v>-40502.25</v>
      </c>
      <c r="CB15" s="2861">
        <f>AX15-AJ15</f>
        <v>-43217</v>
      </c>
      <c r="CC15" s="590">
        <f>BH15-AT15</f>
        <v>-36543</v>
      </c>
    </row>
    <row r="16" spans="1:87" ht="18" customHeight="1" x14ac:dyDescent="0.55000000000000004">
      <c r="A16" s="7121"/>
      <c r="B16" s="7122"/>
      <c r="C16" s="2771" t="s">
        <v>46</v>
      </c>
      <c r="F16" s="2882"/>
      <c r="G16" s="1102"/>
      <c r="H16" s="1102"/>
      <c r="I16" s="1102"/>
      <c r="J16" s="1102"/>
      <c r="K16" s="1102"/>
      <c r="L16" s="1102"/>
      <c r="M16" s="1102"/>
      <c r="N16" s="1102"/>
      <c r="O16" s="1102"/>
      <c r="P16" s="1102"/>
      <c r="Q16" s="1102"/>
      <c r="R16" s="1102"/>
      <c r="S16" s="1102"/>
      <c r="T16" s="2882">
        <v>2954</v>
      </c>
      <c r="U16" s="1102">
        <v>3612</v>
      </c>
      <c r="V16" s="1102">
        <v>3606</v>
      </c>
      <c r="W16" s="1102">
        <v>3357</v>
      </c>
      <c r="X16" s="1102">
        <v>3570</v>
      </c>
      <c r="Y16" s="1102">
        <v>3411</v>
      </c>
      <c r="Z16" s="1102">
        <v>2964</v>
      </c>
      <c r="AA16" s="1102">
        <v>3917</v>
      </c>
      <c r="AB16" s="1102">
        <v>3062</v>
      </c>
      <c r="AC16" s="1102">
        <v>3218</v>
      </c>
      <c r="AD16" s="1102">
        <v>3120</v>
      </c>
      <c r="AE16" s="1102">
        <v>2566</v>
      </c>
      <c r="AF16" s="2883">
        <v>39357</v>
      </c>
      <c r="AG16" s="2883">
        <v>3279.7500000000005</v>
      </c>
      <c r="AH16" s="2883"/>
      <c r="AI16" s="2902">
        <v>3854</v>
      </c>
      <c r="AJ16" s="2883">
        <v>3105</v>
      </c>
      <c r="AK16" s="2883">
        <v>3796</v>
      </c>
      <c r="AL16" s="2883">
        <v>3706</v>
      </c>
      <c r="AM16" s="2883">
        <v>4012</v>
      </c>
      <c r="AN16" s="2883">
        <v>3944</v>
      </c>
      <c r="AO16" s="2883">
        <v>4327</v>
      </c>
      <c r="AP16" s="2883">
        <v>3796</v>
      </c>
      <c r="AQ16" s="2883">
        <v>4147</v>
      </c>
      <c r="AR16" s="2883">
        <v>4130</v>
      </c>
      <c r="AS16" s="2883">
        <v>3849</v>
      </c>
      <c r="AT16" s="1102">
        <v>3635</v>
      </c>
      <c r="AU16" s="2883">
        <v>46301</v>
      </c>
      <c r="AV16" s="2885">
        <v>3858.4166666666665</v>
      </c>
      <c r="AW16" s="2882">
        <v>3388</v>
      </c>
      <c r="AX16" s="2883">
        <v>4840</v>
      </c>
      <c r="AY16" s="2883">
        <v>4374</v>
      </c>
      <c r="AZ16" s="2883">
        <v>4830</v>
      </c>
      <c r="BA16" s="2883">
        <v>8532</v>
      </c>
      <c r="BB16" s="2883">
        <v>5781</v>
      </c>
      <c r="BC16" s="2883">
        <v>6665</v>
      </c>
      <c r="BD16" s="2883">
        <v>5347</v>
      </c>
      <c r="BE16" s="2883">
        <v>5580</v>
      </c>
      <c r="BF16" s="2883">
        <v>3747</v>
      </c>
      <c r="BG16" s="2883">
        <v>3673</v>
      </c>
      <c r="BH16" s="2883">
        <f>BH22+BH28+BH34+BH46+BH40</f>
        <v>3490</v>
      </c>
      <c r="BI16" s="2883">
        <f t="shared" ref="BI16:BI20" si="16">SUM(AW16:BH16)</f>
        <v>60247</v>
      </c>
      <c r="BJ16" s="2885">
        <f t="shared" si="7"/>
        <v>5020.583333333333</v>
      </c>
      <c r="BK16" s="2882">
        <v>2777</v>
      </c>
      <c r="BL16" s="2883">
        <v>2064</v>
      </c>
      <c r="BM16" s="2883"/>
      <c r="BN16" s="2883"/>
      <c r="BO16" s="2883"/>
      <c r="BP16" s="2883"/>
      <c r="BQ16" s="2883"/>
      <c r="BR16" s="2883"/>
      <c r="BS16" s="2883"/>
      <c r="BT16" s="2883"/>
      <c r="BU16" s="2883"/>
      <c r="BV16" s="2883"/>
      <c r="BW16" s="2883">
        <f t="shared" ref="BW16:BW20" si="17">SUM(BK16:BV16)</f>
        <v>4841</v>
      </c>
      <c r="BX16" s="2885">
        <f t="shared" si="10"/>
        <v>2420.5</v>
      </c>
      <c r="BZ16" s="2860" t="e">
        <f t="shared" si="4"/>
        <v>#N/A</v>
      </c>
      <c r="CA16" s="2860">
        <f t="shared" si="11"/>
        <v>1162.1666666666665</v>
      </c>
      <c r="CB16" s="2881" t="e">
        <f t="shared" ref="CB16:CB22" si="18">HLOOKUP($A$1,$AW$1:$BH$383,ROW(),0)-SUM(AI16:AJ16)</f>
        <v>#N/A</v>
      </c>
    </row>
    <row r="17" spans="1:81" ht="18" customHeight="1" x14ac:dyDescent="0.55000000000000004">
      <c r="A17" s="7121"/>
      <c r="B17" s="7122"/>
      <c r="C17" s="559" t="s">
        <v>47</v>
      </c>
      <c r="E17" s="559">
        <v>2650</v>
      </c>
      <c r="F17" s="2882">
        <v>2016</v>
      </c>
      <c r="G17" s="1102">
        <v>2016</v>
      </c>
      <c r="H17" s="1102">
        <v>2280</v>
      </c>
      <c r="I17" s="1102">
        <v>1976</v>
      </c>
      <c r="J17" s="1102">
        <v>1999</v>
      </c>
      <c r="K17" s="1102">
        <v>1848</v>
      </c>
      <c r="L17" s="1102">
        <v>1867</v>
      </c>
      <c r="M17" s="1102">
        <v>2002</v>
      </c>
      <c r="N17" s="1102">
        <v>1691</v>
      </c>
      <c r="O17" s="1102">
        <v>1811</v>
      </c>
      <c r="P17" s="1102">
        <v>1845</v>
      </c>
      <c r="Q17" s="1102">
        <v>1886</v>
      </c>
      <c r="R17" s="1102">
        <v>23237</v>
      </c>
      <c r="S17" s="1102">
        <v>1936.4166666666667</v>
      </c>
      <c r="T17" s="2882">
        <v>1851</v>
      </c>
      <c r="U17" s="1102">
        <v>1913</v>
      </c>
      <c r="V17" s="1102">
        <v>2073</v>
      </c>
      <c r="W17" s="1102">
        <v>1749</v>
      </c>
      <c r="X17" s="1102">
        <v>1829</v>
      </c>
      <c r="Y17" s="1102">
        <v>2029</v>
      </c>
      <c r="Z17" s="1102">
        <v>1967</v>
      </c>
      <c r="AA17" s="1102">
        <v>2567</v>
      </c>
      <c r="AB17" s="1102">
        <v>1870</v>
      </c>
      <c r="AC17" s="1102">
        <v>1932</v>
      </c>
      <c r="AD17" s="1102">
        <v>1951</v>
      </c>
      <c r="AE17" s="1102">
        <v>1812</v>
      </c>
      <c r="AF17" s="2903">
        <v>23543</v>
      </c>
      <c r="AG17" s="2903">
        <v>1961.9166666666667</v>
      </c>
      <c r="AH17" s="2883"/>
      <c r="AI17" s="2902">
        <v>2069</v>
      </c>
      <c r="AJ17" s="2883">
        <v>2043</v>
      </c>
      <c r="AK17" s="2883">
        <v>2257</v>
      </c>
      <c r="AL17" s="2883">
        <v>2116</v>
      </c>
      <c r="AM17" s="2883">
        <v>2064</v>
      </c>
      <c r="AN17" s="2883">
        <v>1920</v>
      </c>
      <c r="AO17" s="2883">
        <v>2027</v>
      </c>
      <c r="AP17" s="2883">
        <v>1837</v>
      </c>
      <c r="AQ17" s="2883">
        <v>1675</v>
      </c>
      <c r="AR17" s="2883">
        <v>1673</v>
      </c>
      <c r="AS17" s="2883">
        <v>1552</v>
      </c>
      <c r="AT17" s="1102">
        <v>1472</v>
      </c>
      <c r="AU17" s="2883">
        <v>22705</v>
      </c>
      <c r="AV17" s="2885">
        <v>1892.0833333333333</v>
      </c>
      <c r="AW17" s="2882">
        <v>1347</v>
      </c>
      <c r="AX17" s="2883">
        <v>1740</v>
      </c>
      <c r="AY17" s="2883">
        <v>1600</v>
      </c>
      <c r="AZ17" s="2883">
        <v>1596</v>
      </c>
      <c r="BA17" s="2883">
        <v>1369</v>
      </c>
      <c r="BB17" s="2883">
        <v>1426</v>
      </c>
      <c r="BC17" s="2883">
        <v>1486</v>
      </c>
      <c r="BD17" s="2883">
        <v>1275</v>
      </c>
      <c r="BE17" s="2883">
        <v>1347</v>
      </c>
      <c r="BF17" s="2883">
        <v>1302</v>
      </c>
      <c r="BG17" s="2883">
        <v>1135</v>
      </c>
      <c r="BH17" s="2883">
        <f t="shared" ref="BH17:BH19" si="19">BH23+BH29+BH35+BH47+BH41</f>
        <v>1139</v>
      </c>
      <c r="BI17" s="2883">
        <f t="shared" si="16"/>
        <v>16762</v>
      </c>
      <c r="BJ17" s="2885">
        <f t="shared" si="7"/>
        <v>1396.8333333333333</v>
      </c>
      <c r="BK17" s="2882">
        <v>1915</v>
      </c>
      <c r="BL17" s="2883">
        <v>1126</v>
      </c>
      <c r="BM17" s="2883"/>
      <c r="BN17" s="2883"/>
      <c r="BO17" s="2883"/>
      <c r="BP17" s="2883"/>
      <c r="BQ17" s="2883"/>
      <c r="BR17" s="2883"/>
      <c r="BS17" s="2883"/>
      <c r="BT17" s="2883"/>
      <c r="BU17" s="2883"/>
      <c r="BV17" s="2883"/>
      <c r="BW17" s="2883">
        <f t="shared" si="17"/>
        <v>3041</v>
      </c>
      <c r="BX17" s="2885">
        <f t="shared" si="10"/>
        <v>1520.5</v>
      </c>
      <c r="BZ17" s="2860" t="e">
        <f t="shared" si="4"/>
        <v>#N/A</v>
      </c>
      <c r="CA17" s="2860">
        <f t="shared" si="11"/>
        <v>-495.25</v>
      </c>
      <c r="CB17" s="2881" t="e">
        <f t="shared" si="18"/>
        <v>#N/A</v>
      </c>
    </row>
    <row r="18" spans="1:81" ht="18" customHeight="1" x14ac:dyDescent="0.55000000000000004">
      <c r="A18" s="7121"/>
      <c r="B18" s="7122"/>
      <c r="C18" s="615" t="s">
        <v>58</v>
      </c>
      <c r="E18" s="559">
        <v>511</v>
      </c>
      <c r="F18" s="2882">
        <v>138</v>
      </c>
      <c r="G18" s="1102">
        <v>138</v>
      </c>
      <c r="H18" s="1102">
        <v>136</v>
      </c>
      <c r="I18" s="1102">
        <v>94</v>
      </c>
      <c r="J18" s="1102">
        <v>148</v>
      </c>
      <c r="K18" s="1102">
        <v>120</v>
      </c>
      <c r="L18" s="1102">
        <v>119</v>
      </c>
      <c r="M18" s="1102">
        <v>135</v>
      </c>
      <c r="N18" s="1102">
        <v>119</v>
      </c>
      <c r="O18" s="1102">
        <v>102</v>
      </c>
      <c r="P18" s="1102">
        <v>106</v>
      </c>
      <c r="Q18" s="1102">
        <v>132</v>
      </c>
      <c r="R18" s="1102">
        <v>1487</v>
      </c>
      <c r="S18" s="1102">
        <v>123.91666666666667</v>
      </c>
      <c r="T18" s="2882">
        <v>121</v>
      </c>
      <c r="U18" s="1102">
        <v>105</v>
      </c>
      <c r="V18" s="1102">
        <v>107</v>
      </c>
      <c r="W18" s="1102">
        <v>139</v>
      </c>
      <c r="X18" s="1102">
        <v>127</v>
      </c>
      <c r="Y18" s="1102">
        <v>144</v>
      </c>
      <c r="Z18" s="1102">
        <v>142</v>
      </c>
      <c r="AA18" s="1102">
        <v>551</v>
      </c>
      <c r="AB18" s="1102">
        <v>112</v>
      </c>
      <c r="AC18" s="1102">
        <v>145</v>
      </c>
      <c r="AD18" s="1102">
        <v>120</v>
      </c>
      <c r="AE18" s="1102">
        <v>127</v>
      </c>
      <c r="AF18" s="2883">
        <v>1940</v>
      </c>
      <c r="AG18" s="2883">
        <v>161.66666666666669</v>
      </c>
      <c r="AH18" s="2883"/>
      <c r="AI18" s="2902">
        <v>145</v>
      </c>
      <c r="AJ18" s="2883">
        <v>122</v>
      </c>
      <c r="AK18" s="2883">
        <v>149</v>
      </c>
      <c r="AL18" s="2883">
        <v>137</v>
      </c>
      <c r="AM18" s="2883">
        <v>159</v>
      </c>
      <c r="AN18" s="2883">
        <v>134</v>
      </c>
      <c r="AO18" s="2883">
        <v>160</v>
      </c>
      <c r="AP18" s="2883">
        <v>112</v>
      </c>
      <c r="AQ18" s="2883">
        <v>117</v>
      </c>
      <c r="AR18" s="2883">
        <v>128</v>
      </c>
      <c r="AS18" s="2883">
        <v>132</v>
      </c>
      <c r="AT18" s="1102">
        <v>109</v>
      </c>
      <c r="AU18" s="2883">
        <v>1604</v>
      </c>
      <c r="AV18" s="2885">
        <v>133.66666666666666</v>
      </c>
      <c r="AW18" s="2882">
        <v>108</v>
      </c>
      <c r="AX18" s="2883">
        <v>132</v>
      </c>
      <c r="AY18" s="2883">
        <v>128</v>
      </c>
      <c r="AZ18" s="2883">
        <v>148</v>
      </c>
      <c r="BA18" s="2883">
        <v>143</v>
      </c>
      <c r="BB18" s="2883">
        <v>116</v>
      </c>
      <c r="BC18" s="2883">
        <v>115</v>
      </c>
      <c r="BD18" s="2883">
        <v>101</v>
      </c>
      <c r="BE18" s="2883">
        <v>114</v>
      </c>
      <c r="BF18" s="2883">
        <v>94</v>
      </c>
      <c r="BG18" s="2883">
        <v>66</v>
      </c>
      <c r="BH18" s="2883">
        <f t="shared" si="19"/>
        <v>77</v>
      </c>
      <c r="BI18" s="2883">
        <f t="shared" si="16"/>
        <v>1342</v>
      </c>
      <c r="BJ18" s="2885">
        <f t="shared" si="7"/>
        <v>111.83333333333333</v>
      </c>
      <c r="BK18" s="2882">
        <v>92</v>
      </c>
      <c r="BL18" s="2883">
        <v>81</v>
      </c>
      <c r="BM18" s="2883"/>
      <c r="BN18" s="2883"/>
      <c r="BO18" s="2883"/>
      <c r="BP18" s="2883"/>
      <c r="BQ18" s="2883"/>
      <c r="BR18" s="2883"/>
      <c r="BS18" s="2883"/>
      <c r="BT18" s="2883"/>
      <c r="BU18" s="2883"/>
      <c r="BV18" s="2883"/>
      <c r="BW18" s="2883">
        <f t="shared" si="17"/>
        <v>173</v>
      </c>
      <c r="BX18" s="2885">
        <f t="shared" si="10"/>
        <v>86.5</v>
      </c>
      <c r="BZ18" s="2860" t="e">
        <f t="shared" si="4"/>
        <v>#N/A</v>
      </c>
      <c r="CA18" s="2860">
        <f t="shared" si="11"/>
        <v>-21.833333333333329</v>
      </c>
      <c r="CB18" s="2881" t="e">
        <f t="shared" si="18"/>
        <v>#N/A</v>
      </c>
    </row>
    <row r="19" spans="1:81" ht="18" customHeight="1" x14ac:dyDescent="0.55000000000000004">
      <c r="A19" s="7121"/>
      <c r="B19" s="7122"/>
      <c r="C19" s="559" t="s">
        <v>49</v>
      </c>
      <c r="F19" s="2882"/>
      <c r="G19" s="1102"/>
      <c r="H19" s="1102"/>
      <c r="I19" s="1102"/>
      <c r="J19" s="1102"/>
      <c r="K19" s="1102"/>
      <c r="L19" s="1102"/>
      <c r="M19" s="1102"/>
      <c r="N19" s="1102"/>
      <c r="O19" s="1102"/>
      <c r="P19" s="1102"/>
      <c r="Q19" s="1102"/>
      <c r="R19" s="1102"/>
      <c r="S19" s="1102"/>
      <c r="T19" s="2882">
        <v>3457</v>
      </c>
      <c r="U19" s="1102">
        <v>2003</v>
      </c>
      <c r="V19" s="1102">
        <v>2902</v>
      </c>
      <c r="W19" s="1102">
        <v>2687</v>
      </c>
      <c r="X19" s="1102">
        <v>3455</v>
      </c>
      <c r="Y19" s="1102">
        <v>3462</v>
      </c>
      <c r="Z19" s="1102">
        <v>3977</v>
      </c>
      <c r="AA19" s="1102">
        <v>3706</v>
      </c>
      <c r="AB19" s="1102">
        <v>3271</v>
      </c>
      <c r="AC19" s="1102">
        <v>2767</v>
      </c>
      <c r="AD19" s="1102">
        <v>2404</v>
      </c>
      <c r="AE19" s="1102">
        <v>3153</v>
      </c>
      <c r="AF19" s="2883">
        <v>36594</v>
      </c>
      <c r="AG19" s="2883">
        <v>2774.2499999999982</v>
      </c>
      <c r="AH19" s="2883"/>
      <c r="AI19" s="2902">
        <v>2611</v>
      </c>
      <c r="AJ19" s="2883">
        <v>3017</v>
      </c>
      <c r="AK19" s="2883">
        <v>3564</v>
      </c>
      <c r="AL19" s="2883">
        <v>2806</v>
      </c>
      <c r="AM19" s="2883">
        <v>6403</v>
      </c>
      <c r="AN19" s="2883">
        <v>6423</v>
      </c>
      <c r="AO19" s="2883">
        <v>5965</v>
      </c>
      <c r="AP19" s="2883">
        <v>6037</v>
      </c>
      <c r="AQ19" s="2883">
        <v>6421</v>
      </c>
      <c r="AR19" s="2883">
        <v>6720</v>
      </c>
      <c r="AS19" s="2883">
        <v>5900</v>
      </c>
      <c r="AT19" s="1102">
        <v>7743</v>
      </c>
      <c r="AU19" s="2883">
        <v>63610</v>
      </c>
      <c r="AV19" s="2885">
        <v>5300.833333333333</v>
      </c>
      <c r="AW19" s="2882">
        <v>6146</v>
      </c>
      <c r="AX19" s="2883">
        <v>6291</v>
      </c>
      <c r="AY19" s="2883">
        <v>6210</v>
      </c>
      <c r="AZ19" s="2883">
        <v>6006</v>
      </c>
      <c r="BA19" s="2883">
        <v>8146</v>
      </c>
      <c r="BB19" s="2883">
        <v>7234</v>
      </c>
      <c r="BC19" s="2883">
        <v>6981</v>
      </c>
      <c r="BD19" s="2883">
        <v>7424</v>
      </c>
      <c r="BE19" s="2883">
        <v>7036</v>
      </c>
      <c r="BF19" s="2883">
        <v>6196</v>
      </c>
      <c r="BG19" s="2883">
        <v>6493</v>
      </c>
      <c r="BH19" s="2883">
        <f t="shared" si="19"/>
        <v>5936</v>
      </c>
      <c r="BI19" s="2883">
        <f t="shared" si="16"/>
        <v>80099</v>
      </c>
      <c r="BJ19" s="2885">
        <f t="shared" si="7"/>
        <v>6674.916666666667</v>
      </c>
      <c r="BK19" s="2882">
        <v>3960</v>
      </c>
      <c r="BL19" s="2883">
        <v>4436</v>
      </c>
      <c r="BM19" s="2883"/>
      <c r="BN19" s="2883"/>
      <c r="BO19" s="2883"/>
      <c r="BP19" s="2883"/>
      <c r="BQ19" s="2883"/>
      <c r="BR19" s="2883"/>
      <c r="BS19" s="2883"/>
      <c r="BT19" s="2883"/>
      <c r="BU19" s="2883"/>
      <c r="BV19" s="2883"/>
      <c r="BW19" s="2883">
        <f t="shared" si="17"/>
        <v>8396</v>
      </c>
      <c r="BX19" s="2885">
        <f t="shared" si="10"/>
        <v>4198</v>
      </c>
      <c r="BZ19" s="2860" t="e">
        <f t="shared" si="4"/>
        <v>#N/A</v>
      </c>
      <c r="CA19" s="2860">
        <f t="shared" si="11"/>
        <v>1374.0833333333339</v>
      </c>
      <c r="CB19" s="2881" t="e">
        <f t="shared" si="18"/>
        <v>#N/A</v>
      </c>
    </row>
    <row r="20" spans="1:81" ht="18" customHeight="1" x14ac:dyDescent="0.55000000000000004">
      <c r="A20" s="7121"/>
      <c r="B20" s="7122"/>
      <c r="C20" s="1929" t="s">
        <v>50</v>
      </c>
      <c r="D20" s="1929"/>
      <c r="E20" s="1929"/>
      <c r="F20" s="2904"/>
      <c r="G20" s="2905"/>
      <c r="H20" s="2905"/>
      <c r="I20" s="2905"/>
      <c r="J20" s="2905"/>
      <c r="K20" s="2905"/>
      <c r="L20" s="2905"/>
      <c r="M20" s="2905"/>
      <c r="N20" s="2905"/>
      <c r="O20" s="2905"/>
      <c r="P20" s="2905"/>
      <c r="Q20" s="2895"/>
      <c r="R20" s="2895"/>
      <c r="S20" s="2895"/>
      <c r="T20" s="2894">
        <v>-2354</v>
      </c>
      <c r="U20" s="2895">
        <v>-304</v>
      </c>
      <c r="V20" s="2905">
        <v>-1369</v>
      </c>
      <c r="W20" s="2905">
        <v>-1079</v>
      </c>
      <c r="X20" s="2905">
        <v>-1714</v>
      </c>
      <c r="Y20" s="2905">
        <v>-2080</v>
      </c>
      <c r="Z20" s="2905">
        <v>-2980</v>
      </c>
      <c r="AA20" s="2905">
        <v>-2356</v>
      </c>
      <c r="AB20" s="2905">
        <v>-2079</v>
      </c>
      <c r="AC20" s="2905">
        <v>-1481</v>
      </c>
      <c r="AD20" s="2905">
        <v>-1235</v>
      </c>
      <c r="AE20" s="2905">
        <v>-2399</v>
      </c>
      <c r="AF20" s="2896">
        <v>-20780</v>
      </c>
      <c r="AG20" s="2896">
        <v>-1456.4166666666656</v>
      </c>
      <c r="AH20" s="2896"/>
      <c r="AI20" s="2906">
        <v>-826</v>
      </c>
      <c r="AJ20" s="2907">
        <v>-1955</v>
      </c>
      <c r="AK20" s="2907">
        <v>-2025</v>
      </c>
      <c r="AL20" s="2907">
        <v>-1216</v>
      </c>
      <c r="AM20" s="2907">
        <v>-4455</v>
      </c>
      <c r="AN20" s="2907">
        <v>-4399</v>
      </c>
      <c r="AO20" s="2907">
        <v>-3665</v>
      </c>
      <c r="AP20" s="2907">
        <v>-4078</v>
      </c>
      <c r="AQ20" s="2907">
        <v>-3949</v>
      </c>
      <c r="AR20" s="2907">
        <v>-4263</v>
      </c>
      <c r="AS20" s="2907">
        <v>-3603</v>
      </c>
      <c r="AT20" s="2905">
        <v>-4962</v>
      </c>
      <c r="AU20" s="2896">
        <v>-39396</v>
      </c>
      <c r="AV20" s="2898">
        <v>-3283</v>
      </c>
      <c r="AW20" s="2894">
        <v>-4105</v>
      </c>
      <c r="AX20" s="2907">
        <v>-3191</v>
      </c>
      <c r="AY20" s="2907">
        <v>-3436</v>
      </c>
      <c r="AZ20" s="2907">
        <v>-2772</v>
      </c>
      <c r="BA20" s="2907">
        <v>-983</v>
      </c>
      <c r="BB20" s="2907">
        <v>-2879</v>
      </c>
      <c r="BC20" s="2907">
        <v>-1802</v>
      </c>
      <c r="BD20" s="2907">
        <v>-3282</v>
      </c>
      <c r="BE20" s="2907">
        <v>-2728</v>
      </c>
      <c r="BF20" s="2907">
        <v>-3751</v>
      </c>
      <c r="BG20" s="2907">
        <v>-3955</v>
      </c>
      <c r="BH20" s="2907">
        <f>BH15-BG15</f>
        <v>-3585</v>
      </c>
      <c r="BI20" s="2896">
        <f t="shared" si="16"/>
        <v>-36469</v>
      </c>
      <c r="BJ20" s="2898">
        <f t="shared" si="7"/>
        <v>-3039.0833333333335</v>
      </c>
      <c r="BK20" s="2894">
        <v>-3098</v>
      </c>
      <c r="BL20" s="2907">
        <v>-3498</v>
      </c>
      <c r="BM20" s="2907"/>
      <c r="BN20" s="2907"/>
      <c r="BO20" s="2907"/>
      <c r="BP20" s="2907"/>
      <c r="BQ20" s="2907"/>
      <c r="BR20" s="2907"/>
      <c r="BS20" s="2907"/>
      <c r="BT20" s="2907"/>
      <c r="BU20" s="2907"/>
      <c r="BV20" s="2907"/>
      <c r="BW20" s="2896">
        <f t="shared" si="17"/>
        <v>-6596</v>
      </c>
      <c r="BX20" s="2898">
        <f t="shared" si="10"/>
        <v>-3298</v>
      </c>
      <c r="BZ20" s="2860" t="e">
        <f t="shared" si="4"/>
        <v>#N/A</v>
      </c>
      <c r="CA20" s="2860">
        <f t="shared" si="11"/>
        <v>243.91666666666652</v>
      </c>
      <c r="CB20" s="2881" t="e">
        <f t="shared" si="18"/>
        <v>#N/A</v>
      </c>
      <c r="CC20" s="2860">
        <f>SUM(AW20:BH20)-SUM(AI20:AT20)</f>
        <v>2927</v>
      </c>
    </row>
    <row r="21" spans="1:81" ht="18" customHeight="1" x14ac:dyDescent="0.55000000000000004">
      <c r="A21" s="7134" t="s">
        <v>19</v>
      </c>
      <c r="B21" s="7138"/>
      <c r="C21" s="2908" t="s">
        <v>43</v>
      </c>
      <c r="D21" s="2909"/>
      <c r="E21" s="2909">
        <v>107894</v>
      </c>
      <c r="F21" s="2910">
        <v>107398</v>
      </c>
      <c r="G21" s="2911">
        <v>107398</v>
      </c>
      <c r="H21" s="2911">
        <v>107350</v>
      </c>
      <c r="I21" s="2911">
        <v>107174</v>
      </c>
      <c r="J21" s="2911">
        <v>106898</v>
      </c>
      <c r="K21" s="2911">
        <v>106754</v>
      </c>
      <c r="L21" s="2911">
        <v>106659</v>
      </c>
      <c r="M21" s="2911">
        <v>106616</v>
      </c>
      <c r="N21" s="2911">
        <v>106441</v>
      </c>
      <c r="O21" s="2911">
        <v>106438</v>
      </c>
      <c r="P21" s="2911">
        <v>105956</v>
      </c>
      <c r="Q21" s="2912">
        <v>105481</v>
      </c>
      <c r="R21" s="2912">
        <v>105481</v>
      </c>
      <c r="S21" s="2912">
        <v>106713.58333333333</v>
      </c>
      <c r="T21" s="2911">
        <v>104709</v>
      </c>
      <c r="U21" s="2911">
        <v>105184</v>
      </c>
      <c r="V21" s="2911">
        <v>105223</v>
      </c>
      <c r="W21" s="2911">
        <v>105516</v>
      </c>
      <c r="X21" s="2911">
        <v>105408</v>
      </c>
      <c r="Y21" s="2911">
        <v>105290</v>
      </c>
      <c r="Z21" s="2911">
        <v>104778</v>
      </c>
      <c r="AA21" s="2911">
        <v>104457</v>
      </c>
      <c r="AB21" s="2911">
        <v>104093</v>
      </c>
      <c r="AC21" s="2911">
        <v>104201</v>
      </c>
      <c r="AD21" s="2911">
        <v>104387</v>
      </c>
      <c r="AE21" s="2911">
        <v>104297</v>
      </c>
      <c r="AF21" s="2913">
        <v>104297</v>
      </c>
      <c r="AG21" s="2913">
        <v>104795.25</v>
      </c>
      <c r="AH21" s="2913"/>
      <c r="AI21" s="2914">
        <v>82685</v>
      </c>
      <c r="AJ21" s="2913">
        <v>82211</v>
      </c>
      <c r="AK21" s="2913">
        <v>82015</v>
      </c>
      <c r="AL21" s="2913">
        <v>81949</v>
      </c>
      <c r="AM21" s="2913">
        <v>80545</v>
      </c>
      <c r="AN21" s="2913">
        <v>78758</v>
      </c>
      <c r="AO21" s="2913">
        <v>77666</v>
      </c>
      <c r="AP21" s="2913">
        <v>75921</v>
      </c>
      <c r="AQ21" s="2913">
        <v>74619</v>
      </c>
      <c r="AR21" s="2913">
        <v>72925</v>
      </c>
      <c r="AS21" s="2913">
        <v>72022</v>
      </c>
      <c r="AT21" s="2911">
        <v>70804</v>
      </c>
      <c r="AU21" s="2915">
        <v>70804</v>
      </c>
      <c r="AV21" s="2916">
        <v>77676.666666666672</v>
      </c>
      <c r="AW21" s="2917">
        <v>69550</v>
      </c>
      <c r="AX21" s="2913">
        <v>69467</v>
      </c>
      <c r="AY21" s="2913">
        <v>68835</v>
      </c>
      <c r="AZ21" s="2913">
        <v>68722</v>
      </c>
      <c r="BA21" s="2911">
        <v>70687</v>
      </c>
      <c r="BB21" s="2911">
        <v>70267</v>
      </c>
      <c r="BC21" s="2913">
        <v>70676</v>
      </c>
      <c r="BD21" s="2911">
        <v>70034</v>
      </c>
      <c r="BE21" s="2911">
        <v>69511</v>
      </c>
      <c r="BF21" s="2911">
        <v>68388</v>
      </c>
      <c r="BG21" s="2913">
        <v>67227</v>
      </c>
      <c r="BH21" s="2911">
        <v>66318</v>
      </c>
      <c r="BI21" s="2915">
        <f>AW21</f>
        <v>69550</v>
      </c>
      <c r="BJ21" s="2916">
        <f t="shared" si="7"/>
        <v>69140.166666666672</v>
      </c>
      <c r="BK21" s="2917">
        <v>65595</v>
      </c>
      <c r="BL21" s="2913">
        <v>64362</v>
      </c>
      <c r="BM21" s="2913"/>
      <c r="BN21" s="2913"/>
      <c r="BO21" s="2911"/>
      <c r="BP21" s="2911"/>
      <c r="BQ21" s="2913"/>
      <c r="BR21" s="2911"/>
      <c r="BS21" s="2911"/>
      <c r="BT21" s="2911"/>
      <c r="BU21" s="2913"/>
      <c r="BV21" s="2911"/>
      <c r="BW21" s="2915">
        <f>BK21</f>
        <v>65595</v>
      </c>
      <c r="BX21" s="2916">
        <f t="shared" si="10"/>
        <v>64978.5</v>
      </c>
      <c r="BZ21" s="2860" t="e">
        <f t="shared" si="4"/>
        <v>#N/A</v>
      </c>
      <c r="CA21" s="2860">
        <f t="shared" si="11"/>
        <v>-8536.5</v>
      </c>
      <c r="CB21" s="2881" t="e">
        <f t="shared" si="18"/>
        <v>#N/A</v>
      </c>
    </row>
    <row r="22" spans="1:81" ht="18" customHeight="1" x14ac:dyDescent="0.55000000000000004">
      <c r="A22" s="7134"/>
      <c r="B22" s="7138"/>
      <c r="C22" s="2771" t="s">
        <v>46</v>
      </c>
      <c r="F22" s="2882"/>
      <c r="G22" s="1102"/>
      <c r="H22" s="1102"/>
      <c r="I22" s="1102"/>
      <c r="J22" s="1102"/>
      <c r="K22" s="1102"/>
      <c r="L22" s="1102"/>
      <c r="M22" s="1102"/>
      <c r="N22" s="1102"/>
      <c r="O22" s="1102"/>
      <c r="P22" s="1102"/>
      <c r="Q22" s="1102"/>
      <c r="R22" s="1102"/>
      <c r="S22" s="1102"/>
      <c r="T22" s="2882">
        <v>1859</v>
      </c>
      <c r="U22" s="1102">
        <v>2237</v>
      </c>
      <c r="V22" s="1102">
        <v>2235</v>
      </c>
      <c r="W22" s="1102">
        <v>2250</v>
      </c>
      <c r="X22" s="1102">
        <v>2166</v>
      </c>
      <c r="Y22" s="1102">
        <v>2186</v>
      </c>
      <c r="Z22" s="1102">
        <v>1836</v>
      </c>
      <c r="AA22" s="1102">
        <v>2348</v>
      </c>
      <c r="AB22" s="1102">
        <v>1701</v>
      </c>
      <c r="AC22" s="1102">
        <v>1902</v>
      </c>
      <c r="AD22" s="1102">
        <v>1884</v>
      </c>
      <c r="AE22" s="1102">
        <v>1674</v>
      </c>
      <c r="AF22" s="2883">
        <v>24278</v>
      </c>
      <c r="AG22" s="2883">
        <v>2023.1666666666667</v>
      </c>
      <c r="AH22" s="2883"/>
      <c r="AI22" s="2902">
        <v>1708</v>
      </c>
      <c r="AJ22" s="2883">
        <v>1305</v>
      </c>
      <c r="AK22" s="2883">
        <v>1616</v>
      </c>
      <c r="AL22" s="2883">
        <v>1650</v>
      </c>
      <c r="AM22" s="2883">
        <v>1582</v>
      </c>
      <c r="AN22" s="2883">
        <v>1407</v>
      </c>
      <c r="AO22" s="2883">
        <v>1808</v>
      </c>
      <c r="AP22" s="2883">
        <v>1410</v>
      </c>
      <c r="AQ22" s="2883">
        <v>1540</v>
      </c>
      <c r="AR22" s="2883">
        <v>1483</v>
      </c>
      <c r="AS22" s="2883">
        <v>1409</v>
      </c>
      <c r="AT22" s="1102">
        <v>1312</v>
      </c>
      <c r="AU22" s="2883">
        <v>18230</v>
      </c>
      <c r="AV22" s="2885">
        <v>1519.1666666666667</v>
      </c>
      <c r="AW22" s="2884">
        <v>1166</v>
      </c>
      <c r="AX22" s="2883">
        <v>2200</v>
      </c>
      <c r="AY22" s="2883">
        <v>1692</v>
      </c>
      <c r="AZ22" s="2883">
        <v>2007</v>
      </c>
      <c r="BA22" s="2883">
        <v>3633.9999999999995</v>
      </c>
      <c r="BB22" s="2883">
        <v>1880.9999999999998</v>
      </c>
      <c r="BC22" s="2883">
        <v>2673</v>
      </c>
      <c r="BD22" s="1102">
        <v>1663</v>
      </c>
      <c r="BE22" s="2918">
        <v>1839</v>
      </c>
      <c r="BF22" s="2883">
        <v>1232</v>
      </c>
      <c r="BG22" s="2883">
        <v>1248</v>
      </c>
      <c r="BH22" s="1102">
        <v>1202</v>
      </c>
      <c r="BI22" s="2883">
        <f>SUM(AW22:BH22)</f>
        <v>22437</v>
      </c>
      <c r="BJ22" s="2885">
        <f t="shared" si="7"/>
        <v>1869.75</v>
      </c>
      <c r="BK22" s="2884">
        <v>2161</v>
      </c>
      <c r="BL22" s="2883">
        <v>1422</v>
      </c>
      <c r="BM22" s="2883"/>
      <c r="BN22" s="2883"/>
      <c r="BO22" s="2883"/>
      <c r="BP22" s="2883"/>
      <c r="BQ22" s="2883"/>
      <c r="BR22" s="1102"/>
      <c r="BS22" s="2918"/>
      <c r="BT22" s="2883"/>
      <c r="BU22" s="2883"/>
      <c r="BV22" s="1102"/>
      <c r="BW22" s="2883">
        <f>SUM(BK22:BV22)</f>
        <v>3583</v>
      </c>
      <c r="BX22" s="2885">
        <f t="shared" si="10"/>
        <v>1791.5</v>
      </c>
      <c r="BZ22" s="2860" t="e">
        <f t="shared" si="4"/>
        <v>#N/A</v>
      </c>
      <c r="CA22" s="2860">
        <f t="shared" si="11"/>
        <v>350.58333333333326</v>
      </c>
      <c r="CB22" s="2881" t="e">
        <f t="shared" si="18"/>
        <v>#N/A</v>
      </c>
    </row>
    <row r="23" spans="1:81" ht="18" customHeight="1" x14ac:dyDescent="0.55000000000000004">
      <c r="A23" s="7134"/>
      <c r="B23" s="7138"/>
      <c r="C23" s="559" t="s">
        <v>47</v>
      </c>
      <c r="E23" s="559">
        <v>934</v>
      </c>
      <c r="F23" s="2882">
        <v>719</v>
      </c>
      <c r="G23" s="1102">
        <v>719</v>
      </c>
      <c r="H23" s="1102">
        <v>776</v>
      </c>
      <c r="I23" s="1102">
        <v>696</v>
      </c>
      <c r="J23" s="1102">
        <v>693</v>
      </c>
      <c r="K23" s="1102">
        <v>697</v>
      </c>
      <c r="L23" s="1102">
        <v>710</v>
      </c>
      <c r="M23" s="1102">
        <v>792</v>
      </c>
      <c r="N23" s="1102">
        <v>642</v>
      </c>
      <c r="O23" s="1102">
        <v>701</v>
      </c>
      <c r="P23" s="1102">
        <v>753</v>
      </c>
      <c r="Q23" s="1102">
        <v>714</v>
      </c>
      <c r="R23" s="1102">
        <v>8612</v>
      </c>
      <c r="S23" s="1102">
        <v>717.66666666666663</v>
      </c>
      <c r="T23" s="2882">
        <v>714</v>
      </c>
      <c r="U23" s="1102">
        <v>782</v>
      </c>
      <c r="V23" s="1102">
        <v>836</v>
      </c>
      <c r="W23" s="1102">
        <v>733</v>
      </c>
      <c r="X23" s="1102">
        <v>765</v>
      </c>
      <c r="Y23" s="1102">
        <v>788</v>
      </c>
      <c r="Z23" s="1102">
        <v>787</v>
      </c>
      <c r="AA23" s="1102">
        <v>1108</v>
      </c>
      <c r="AB23" s="1102">
        <v>733</v>
      </c>
      <c r="AC23" s="1102">
        <v>809</v>
      </c>
      <c r="AD23" s="1102">
        <v>870</v>
      </c>
      <c r="AE23" s="1102">
        <v>810</v>
      </c>
      <c r="AF23" s="2883">
        <v>9735</v>
      </c>
      <c r="AG23" s="2883">
        <v>811.25</v>
      </c>
      <c r="AH23" s="2883"/>
      <c r="AI23" s="2902">
        <v>765</v>
      </c>
      <c r="AJ23" s="2883">
        <v>688</v>
      </c>
      <c r="AK23" s="2883">
        <v>740</v>
      </c>
      <c r="AL23" s="2883">
        <v>764</v>
      </c>
      <c r="AM23" s="2883">
        <v>724</v>
      </c>
      <c r="AN23" s="2883">
        <v>644</v>
      </c>
      <c r="AO23" s="2883">
        <v>702</v>
      </c>
      <c r="AP23" s="2883">
        <v>643</v>
      </c>
      <c r="AQ23" s="2883">
        <v>549</v>
      </c>
      <c r="AR23" s="2883">
        <v>578</v>
      </c>
      <c r="AS23" s="2883">
        <v>533</v>
      </c>
      <c r="AT23" s="1102">
        <v>530</v>
      </c>
      <c r="AU23" s="2883">
        <v>7860</v>
      </c>
      <c r="AV23" s="2885">
        <v>655</v>
      </c>
      <c r="AW23" s="2883">
        <v>494</v>
      </c>
      <c r="AX23" s="2883">
        <v>607</v>
      </c>
      <c r="AY23" s="2883">
        <v>550</v>
      </c>
      <c r="AZ23" s="2883">
        <v>522</v>
      </c>
      <c r="BA23" s="2883">
        <v>452</v>
      </c>
      <c r="BB23" s="2883">
        <v>493</v>
      </c>
      <c r="BC23" s="1102">
        <v>513</v>
      </c>
      <c r="BD23" s="1102">
        <v>473</v>
      </c>
      <c r="BE23" s="1102">
        <v>499</v>
      </c>
      <c r="BF23" s="1102">
        <v>479</v>
      </c>
      <c r="BG23" s="2883">
        <v>397</v>
      </c>
      <c r="BH23" s="1102">
        <v>465</v>
      </c>
      <c r="BI23" s="2883">
        <f>SUM(AW23:BH23)</f>
        <v>5944</v>
      </c>
      <c r="BJ23" s="2885">
        <f t="shared" si="7"/>
        <v>495.33333333333331</v>
      </c>
      <c r="BK23" s="2883">
        <v>918</v>
      </c>
      <c r="BL23" s="2883">
        <v>456</v>
      </c>
      <c r="BM23" s="2883"/>
      <c r="BN23" s="2883"/>
      <c r="BO23" s="2883"/>
      <c r="BP23" s="2883"/>
      <c r="BQ23" s="1102"/>
      <c r="BR23" s="1102"/>
      <c r="BS23" s="1102"/>
      <c r="BT23" s="1102"/>
      <c r="BU23" s="2883"/>
      <c r="BV23" s="1102"/>
      <c r="BW23" s="2883">
        <f>SUM(BK23:BV23)</f>
        <v>1374</v>
      </c>
      <c r="BX23" s="2885">
        <f t="shared" si="10"/>
        <v>687</v>
      </c>
      <c r="BZ23" s="2860" t="e">
        <f t="shared" si="4"/>
        <v>#N/A</v>
      </c>
      <c r="CA23" s="2860">
        <f t="shared" si="11"/>
        <v>-159.66666666666669</v>
      </c>
      <c r="CB23" s="2861">
        <f>AX23-AJ23</f>
        <v>-81</v>
      </c>
    </row>
    <row r="24" spans="1:81" ht="18" customHeight="1" x14ac:dyDescent="0.55000000000000004">
      <c r="A24" s="7134"/>
      <c r="B24" s="7138"/>
      <c r="C24" s="615" t="s">
        <v>58</v>
      </c>
      <c r="E24" s="559">
        <v>217</v>
      </c>
      <c r="F24" s="2882">
        <v>57</v>
      </c>
      <c r="G24" s="1102">
        <v>57</v>
      </c>
      <c r="H24" s="1102">
        <v>55</v>
      </c>
      <c r="I24" s="1102">
        <v>36</v>
      </c>
      <c r="J24" s="1102">
        <v>58</v>
      </c>
      <c r="K24" s="1102">
        <v>39</v>
      </c>
      <c r="L24" s="1102">
        <v>48</v>
      </c>
      <c r="M24" s="1102">
        <v>55</v>
      </c>
      <c r="N24" s="1102">
        <v>57</v>
      </c>
      <c r="O24" s="1102">
        <v>37</v>
      </c>
      <c r="P24" s="1102">
        <v>42</v>
      </c>
      <c r="Q24" s="1102">
        <v>49</v>
      </c>
      <c r="R24" s="1102">
        <v>590</v>
      </c>
      <c r="S24" s="1102">
        <v>49.166666666666664</v>
      </c>
      <c r="T24" s="2882">
        <v>41</v>
      </c>
      <c r="U24" s="1102">
        <v>49</v>
      </c>
      <c r="V24" s="1102">
        <v>46</v>
      </c>
      <c r="W24" s="1102">
        <v>66</v>
      </c>
      <c r="X24" s="1102">
        <v>59</v>
      </c>
      <c r="Y24" s="1102">
        <v>41</v>
      </c>
      <c r="Z24" s="1102">
        <v>49</v>
      </c>
      <c r="AA24" s="1102">
        <v>246</v>
      </c>
      <c r="AB24" s="1102">
        <v>38</v>
      </c>
      <c r="AC24" s="1102">
        <v>63</v>
      </c>
      <c r="AD24" s="1102">
        <v>54</v>
      </c>
      <c r="AE24" s="1102">
        <v>54</v>
      </c>
      <c r="AF24" s="2883">
        <v>806</v>
      </c>
      <c r="AG24" s="2883">
        <v>67.166666666666671</v>
      </c>
      <c r="AH24" s="2883"/>
      <c r="AI24" s="2902">
        <v>47</v>
      </c>
      <c r="AJ24" s="2883">
        <v>35</v>
      </c>
      <c r="AK24" s="2883">
        <v>46</v>
      </c>
      <c r="AL24" s="2883">
        <v>41</v>
      </c>
      <c r="AM24" s="2883">
        <v>46</v>
      </c>
      <c r="AN24" s="2883">
        <v>47</v>
      </c>
      <c r="AO24" s="2883">
        <v>40</v>
      </c>
      <c r="AP24" s="2883">
        <v>30</v>
      </c>
      <c r="AQ24" s="2883">
        <v>40</v>
      </c>
      <c r="AR24" s="2883">
        <v>39</v>
      </c>
      <c r="AS24" s="2883">
        <v>38</v>
      </c>
      <c r="AT24" s="1102">
        <v>30</v>
      </c>
      <c r="AU24" s="2883">
        <v>479</v>
      </c>
      <c r="AV24" s="2885">
        <v>39.916666666666664</v>
      </c>
      <c r="AW24" s="2883">
        <v>34</v>
      </c>
      <c r="AX24" s="2883">
        <v>36</v>
      </c>
      <c r="AY24" s="2883">
        <v>36</v>
      </c>
      <c r="AZ24" s="2883">
        <v>43</v>
      </c>
      <c r="BA24" s="2883">
        <v>48</v>
      </c>
      <c r="BB24" s="2883">
        <v>43</v>
      </c>
      <c r="BC24" s="1102">
        <v>32</v>
      </c>
      <c r="BD24" s="1102">
        <v>41</v>
      </c>
      <c r="BE24" s="1102">
        <v>40</v>
      </c>
      <c r="BF24" s="1102">
        <v>41</v>
      </c>
      <c r="BG24" s="2883">
        <v>22</v>
      </c>
      <c r="BH24" s="1102">
        <v>30</v>
      </c>
      <c r="BI24" s="2883">
        <f>SUM(AW24:BH24)</f>
        <v>446</v>
      </c>
      <c r="BJ24" s="2885">
        <f t="shared" si="7"/>
        <v>37.166666666666664</v>
      </c>
      <c r="BK24" s="2883">
        <v>35</v>
      </c>
      <c r="BL24" s="2883">
        <v>30</v>
      </c>
      <c r="BM24" s="2883"/>
      <c r="BN24" s="2883"/>
      <c r="BO24" s="2883"/>
      <c r="BP24" s="2883"/>
      <c r="BQ24" s="1102"/>
      <c r="BR24" s="1102"/>
      <c r="BS24" s="1102"/>
      <c r="BT24" s="1102"/>
      <c r="BU24" s="2883"/>
      <c r="BV24" s="1102"/>
      <c r="BW24" s="2883">
        <f>SUM(BK24:BV24)</f>
        <v>65</v>
      </c>
      <c r="BX24" s="2885">
        <f t="shared" si="10"/>
        <v>32.5</v>
      </c>
      <c r="BZ24" s="2860" t="e">
        <f t="shared" si="4"/>
        <v>#N/A</v>
      </c>
      <c r="CA24" s="2860"/>
      <c r="CB24" s="2861"/>
    </row>
    <row r="25" spans="1:81" ht="18" customHeight="1" x14ac:dyDescent="0.55000000000000004">
      <c r="A25" s="7134"/>
      <c r="B25" s="7138"/>
      <c r="C25" s="559" t="s">
        <v>49</v>
      </c>
      <c r="F25" s="2882"/>
      <c r="G25" s="1102"/>
      <c r="H25" s="1102"/>
      <c r="I25" s="1102"/>
      <c r="J25" s="1102"/>
      <c r="K25" s="1102"/>
      <c r="L25" s="1102"/>
      <c r="M25" s="1102"/>
      <c r="N25" s="1102"/>
      <c r="O25" s="1102"/>
      <c r="P25" s="1102"/>
      <c r="Q25" s="1102"/>
      <c r="R25" s="1102"/>
      <c r="S25" s="1102"/>
      <c r="T25" s="2882">
        <v>1917</v>
      </c>
      <c r="U25" s="1102">
        <v>980</v>
      </c>
      <c r="V25" s="1102">
        <v>1360</v>
      </c>
      <c r="W25" s="1102">
        <v>1224</v>
      </c>
      <c r="X25" s="1102">
        <v>1509</v>
      </c>
      <c r="Y25" s="1102">
        <v>1516</v>
      </c>
      <c r="Z25" s="1102">
        <v>1561</v>
      </c>
      <c r="AA25" s="1102">
        <v>1561</v>
      </c>
      <c r="AB25" s="1102">
        <v>1332</v>
      </c>
      <c r="AC25" s="1102">
        <v>985</v>
      </c>
      <c r="AD25" s="1102">
        <v>828</v>
      </c>
      <c r="AE25" s="1102">
        <v>954</v>
      </c>
      <c r="AF25" s="2903">
        <v>15727</v>
      </c>
      <c r="AG25" s="2903">
        <v>1310.5833333333333</v>
      </c>
      <c r="AH25" s="2883"/>
      <c r="AI25" s="2884">
        <v>522</v>
      </c>
      <c r="AJ25" s="2883">
        <v>1091</v>
      </c>
      <c r="AK25" s="2883">
        <v>1072</v>
      </c>
      <c r="AL25" s="2883">
        <v>952</v>
      </c>
      <c r="AM25" s="2883">
        <v>2262</v>
      </c>
      <c r="AN25" s="2883">
        <v>2550</v>
      </c>
      <c r="AO25" s="2883">
        <v>2198</v>
      </c>
      <c r="AP25" s="2883">
        <v>2512</v>
      </c>
      <c r="AQ25" s="2883">
        <v>2293</v>
      </c>
      <c r="AR25" s="2883">
        <v>2599</v>
      </c>
      <c r="AS25" s="2883">
        <v>1779</v>
      </c>
      <c r="AT25" s="1102">
        <v>2381</v>
      </c>
      <c r="AU25" s="2883">
        <v>22211</v>
      </c>
      <c r="AV25" s="2885">
        <v>1850.9166666666667</v>
      </c>
      <c r="AW25" s="2884">
        <v>1926</v>
      </c>
      <c r="AX25" s="2883">
        <v>1676</v>
      </c>
      <c r="AY25" s="2883">
        <v>1774</v>
      </c>
      <c r="AZ25" s="2883">
        <v>1598</v>
      </c>
      <c r="BA25" s="2883">
        <v>1216.9999999999995</v>
      </c>
      <c r="BB25" s="2883">
        <v>1807.9999999999998</v>
      </c>
      <c r="BC25" s="2883">
        <v>1751</v>
      </c>
      <c r="BD25" s="2883">
        <v>1832</v>
      </c>
      <c r="BE25" s="2883">
        <v>1863</v>
      </c>
      <c r="BF25" s="2883">
        <v>1876</v>
      </c>
      <c r="BG25" s="2883">
        <v>2012</v>
      </c>
      <c r="BH25" s="2883">
        <v>1646</v>
      </c>
      <c r="BI25" s="2883">
        <f>SUM(AW25:BH25)</f>
        <v>20979</v>
      </c>
      <c r="BJ25" s="2885">
        <f t="shared" si="7"/>
        <v>1748.25</v>
      </c>
      <c r="BK25" s="2884">
        <v>1966</v>
      </c>
      <c r="BL25" s="2883">
        <v>2199</v>
      </c>
      <c r="BM25" s="2883"/>
      <c r="BN25" s="2883"/>
      <c r="BO25" s="2883"/>
      <c r="BP25" s="2883"/>
      <c r="BQ25" s="2883"/>
      <c r="BR25" s="2883"/>
      <c r="BS25" s="2883"/>
      <c r="BT25" s="2883"/>
      <c r="BU25" s="2883"/>
      <c r="BV25" s="2883"/>
      <c r="BW25" s="2883">
        <f>SUM(BK25:BV25)</f>
        <v>4165</v>
      </c>
      <c r="BX25" s="2885">
        <f t="shared" si="10"/>
        <v>2082.5</v>
      </c>
      <c r="BZ25" s="2860" t="e">
        <f t="shared" si="4"/>
        <v>#N/A</v>
      </c>
      <c r="CA25" s="2860">
        <f t="shared" si="11"/>
        <v>-102.66666666666674</v>
      </c>
      <c r="CB25" s="2881" t="e">
        <f t="shared" ref="CB25:CB30" si="20">HLOOKUP($A$1,$AW$1:$BH$383,ROW(),0)-SUM(AI25:AJ25)</f>
        <v>#N/A</v>
      </c>
    </row>
    <row r="26" spans="1:81" ht="18" customHeight="1" x14ac:dyDescent="0.55000000000000004">
      <c r="A26" s="7134"/>
      <c r="B26" s="7138"/>
      <c r="C26" s="1929" t="s">
        <v>50</v>
      </c>
      <c r="D26" s="1929"/>
      <c r="E26" s="1929"/>
      <c r="F26" s="2904"/>
      <c r="G26" s="2905"/>
      <c r="H26" s="2905"/>
      <c r="I26" s="2905"/>
      <c r="J26" s="2905"/>
      <c r="K26" s="2905"/>
      <c r="L26" s="2905"/>
      <c r="M26" s="2905"/>
      <c r="N26" s="2905"/>
      <c r="O26" s="2905"/>
      <c r="P26" s="2905"/>
      <c r="Q26" s="2895"/>
      <c r="R26" s="2895"/>
      <c r="S26" s="2895"/>
      <c r="T26" s="2894">
        <v>-772</v>
      </c>
      <c r="U26" s="2895">
        <v>475</v>
      </c>
      <c r="V26" s="2895">
        <v>39</v>
      </c>
      <c r="W26" s="2895">
        <v>293</v>
      </c>
      <c r="X26" s="2895">
        <v>-108</v>
      </c>
      <c r="Y26" s="2895">
        <v>-118</v>
      </c>
      <c r="Z26" s="2895">
        <v>-512</v>
      </c>
      <c r="AA26" s="2895">
        <v>-321</v>
      </c>
      <c r="AB26" s="2895">
        <v>-364</v>
      </c>
      <c r="AC26" s="2895">
        <v>108</v>
      </c>
      <c r="AD26" s="2895">
        <v>186</v>
      </c>
      <c r="AE26" s="2895">
        <v>-90</v>
      </c>
      <c r="AF26" s="2896">
        <v>-1184</v>
      </c>
      <c r="AG26" s="2896">
        <v>-98.666666666666671</v>
      </c>
      <c r="AH26" s="2896"/>
      <c r="AI26" s="2919">
        <v>421</v>
      </c>
      <c r="AJ26" s="2907">
        <v>-474</v>
      </c>
      <c r="AK26" s="2907">
        <v>-196</v>
      </c>
      <c r="AL26" s="2907">
        <v>-66</v>
      </c>
      <c r="AM26" s="2907">
        <v>-1404</v>
      </c>
      <c r="AN26" s="2907">
        <v>-1787</v>
      </c>
      <c r="AO26" s="2907">
        <v>-1092</v>
      </c>
      <c r="AP26" s="2907">
        <v>-1745</v>
      </c>
      <c r="AQ26" s="2907">
        <v>-1302</v>
      </c>
      <c r="AR26" s="2907">
        <v>-1694</v>
      </c>
      <c r="AS26" s="2907">
        <v>-903</v>
      </c>
      <c r="AT26" s="2907">
        <v>-1218</v>
      </c>
      <c r="AU26" s="2896">
        <v>-11460</v>
      </c>
      <c r="AV26" s="2898">
        <v>-955</v>
      </c>
      <c r="AW26" s="2919">
        <v>-1254</v>
      </c>
      <c r="AX26" s="2907">
        <v>-83</v>
      </c>
      <c r="AY26" s="2907">
        <v>-632</v>
      </c>
      <c r="AZ26" s="2907">
        <v>-113</v>
      </c>
      <c r="BA26" s="2907">
        <v>1965</v>
      </c>
      <c r="BB26" s="2907">
        <v>-420</v>
      </c>
      <c r="BC26" s="2907">
        <v>409</v>
      </c>
      <c r="BD26" s="2907">
        <v>-642</v>
      </c>
      <c r="BE26" s="2907">
        <v>-523</v>
      </c>
      <c r="BF26" s="2907">
        <v>-1123</v>
      </c>
      <c r="BG26" s="2907">
        <v>-1161</v>
      </c>
      <c r="BH26" s="2907">
        <v>-909</v>
      </c>
      <c r="BI26" s="2896">
        <f>SUM(AW26:BH26)</f>
        <v>-4486</v>
      </c>
      <c r="BJ26" s="2898">
        <f t="shared" si="7"/>
        <v>-373.83333333333331</v>
      </c>
      <c r="BK26" s="2919">
        <v>-723</v>
      </c>
      <c r="BL26" s="2907">
        <v>-1233</v>
      </c>
      <c r="BM26" s="2907"/>
      <c r="BN26" s="2907"/>
      <c r="BO26" s="2907"/>
      <c r="BP26" s="2907"/>
      <c r="BQ26" s="2907"/>
      <c r="BR26" s="2907"/>
      <c r="BS26" s="2907"/>
      <c r="BT26" s="2907"/>
      <c r="BU26" s="2907"/>
      <c r="BV26" s="2907"/>
      <c r="BW26" s="2896">
        <f>SUM(BK26:BV26)</f>
        <v>-1956</v>
      </c>
      <c r="BX26" s="2898">
        <f t="shared" si="10"/>
        <v>-978</v>
      </c>
      <c r="BZ26" s="2860" t="e">
        <f t="shared" si="4"/>
        <v>#N/A</v>
      </c>
      <c r="CA26" s="2860">
        <f t="shared" si="11"/>
        <v>581.16666666666674</v>
      </c>
      <c r="CB26" s="2881" t="e">
        <f t="shared" si="20"/>
        <v>#N/A</v>
      </c>
    </row>
    <row r="27" spans="1:81" ht="18" customHeight="1" x14ac:dyDescent="0.55000000000000004">
      <c r="A27" s="7134" t="s">
        <v>20</v>
      </c>
      <c r="B27" s="7138"/>
      <c r="C27" s="2908" t="s">
        <v>43</v>
      </c>
      <c r="D27" s="2909"/>
      <c r="E27" s="2909">
        <v>103991</v>
      </c>
      <c r="F27" s="2910">
        <v>102032</v>
      </c>
      <c r="G27" s="2911">
        <v>102032</v>
      </c>
      <c r="H27" s="2911">
        <v>100836</v>
      </c>
      <c r="I27" s="2911">
        <v>99950</v>
      </c>
      <c r="J27" s="2911">
        <v>98886</v>
      </c>
      <c r="K27" s="2911">
        <v>98050</v>
      </c>
      <c r="L27" s="2911">
        <v>96839</v>
      </c>
      <c r="M27" s="2911">
        <v>96064</v>
      </c>
      <c r="N27" s="2911">
        <v>94947</v>
      </c>
      <c r="O27" s="2911">
        <v>94301</v>
      </c>
      <c r="P27" s="2911">
        <v>93045</v>
      </c>
      <c r="Q27" s="2912">
        <v>91559</v>
      </c>
      <c r="R27" s="2912">
        <v>91559</v>
      </c>
      <c r="S27" s="2912">
        <v>97378.416666666672</v>
      </c>
      <c r="T27" s="2911">
        <v>89976</v>
      </c>
      <c r="U27" s="2911">
        <v>89155</v>
      </c>
      <c r="V27" s="2911">
        <v>87850</v>
      </c>
      <c r="W27" s="2911">
        <v>86551</v>
      </c>
      <c r="X27" s="2911">
        <v>85014</v>
      </c>
      <c r="Y27" s="2911">
        <v>83183</v>
      </c>
      <c r="Z27" s="2911">
        <v>80885</v>
      </c>
      <c r="AA27" s="2911">
        <v>79024</v>
      </c>
      <c r="AB27" s="2911">
        <v>77521</v>
      </c>
      <c r="AC27" s="2911">
        <v>75647</v>
      </c>
      <c r="AD27" s="2911">
        <v>74112</v>
      </c>
      <c r="AE27" s="2911">
        <v>71963</v>
      </c>
      <c r="AF27" s="2913">
        <v>71963</v>
      </c>
      <c r="AG27" s="2913">
        <v>81740.083333333328</v>
      </c>
      <c r="AH27" s="2913"/>
      <c r="AI27" s="2917">
        <v>70422</v>
      </c>
      <c r="AJ27" s="2913">
        <v>68734</v>
      </c>
      <c r="AK27" s="2913">
        <v>66763</v>
      </c>
      <c r="AL27" s="2913">
        <v>65462</v>
      </c>
      <c r="AM27" s="2913">
        <v>62963</v>
      </c>
      <c r="AN27" s="2913">
        <v>60694</v>
      </c>
      <c r="AO27" s="2913">
        <v>58595</v>
      </c>
      <c r="AP27" s="2913">
        <v>56349</v>
      </c>
      <c r="AQ27" s="2913">
        <v>54035</v>
      </c>
      <c r="AR27" s="2913">
        <v>51517</v>
      </c>
      <c r="AS27" s="2913">
        <v>49448</v>
      </c>
      <c r="AT27" s="2911">
        <v>47039</v>
      </c>
      <c r="AU27" s="2915">
        <v>47039</v>
      </c>
      <c r="AV27" s="2916">
        <v>59335.083333333336</v>
      </c>
      <c r="AW27" s="2917">
        <v>44891</v>
      </c>
      <c r="AX27" s="2913">
        <v>42582</v>
      </c>
      <c r="AY27" s="2913">
        <v>40286</v>
      </c>
      <c r="AZ27" s="2913">
        <v>38053</v>
      </c>
      <c r="BA27" s="2913">
        <v>35974</v>
      </c>
      <c r="BB27" s="2913">
        <v>33891</v>
      </c>
      <c r="BC27" s="2913">
        <v>31645</v>
      </c>
      <c r="BD27" s="2913">
        <v>29508</v>
      </c>
      <c r="BE27" s="2913">
        <v>27707</v>
      </c>
      <c r="BF27" s="2913">
        <v>25748</v>
      </c>
      <c r="BG27" s="2913">
        <v>24039</v>
      </c>
      <c r="BH27" s="2913">
        <v>22398</v>
      </c>
      <c r="BI27" s="2915">
        <f>AW27</f>
        <v>44891</v>
      </c>
      <c r="BJ27" s="2916">
        <f t="shared" si="7"/>
        <v>33060.166666666664</v>
      </c>
      <c r="BK27" s="2917">
        <v>20692</v>
      </c>
      <c r="BL27" s="2913">
        <v>19129</v>
      </c>
      <c r="BM27" s="2913"/>
      <c r="BN27" s="2913"/>
      <c r="BO27" s="2913"/>
      <c r="BP27" s="2913"/>
      <c r="BQ27" s="2913"/>
      <c r="BR27" s="2913"/>
      <c r="BS27" s="2913"/>
      <c r="BT27" s="2913"/>
      <c r="BU27" s="2913"/>
      <c r="BV27" s="2913"/>
      <c r="BW27" s="2915">
        <f>BK27</f>
        <v>20692</v>
      </c>
      <c r="BX27" s="2916">
        <f t="shared" si="10"/>
        <v>19910.5</v>
      </c>
      <c r="BZ27" s="2860" t="e">
        <f t="shared" si="4"/>
        <v>#N/A</v>
      </c>
      <c r="CA27" s="2860">
        <f t="shared" si="11"/>
        <v>-26274.916666666672</v>
      </c>
      <c r="CB27" s="2881" t="e">
        <f t="shared" si="20"/>
        <v>#N/A</v>
      </c>
    </row>
    <row r="28" spans="1:81" ht="18" customHeight="1" x14ac:dyDescent="0.55000000000000004">
      <c r="A28" s="7134"/>
      <c r="B28" s="7138"/>
      <c r="C28" s="2771" t="s">
        <v>46</v>
      </c>
      <c r="F28" s="2882"/>
      <c r="G28" s="1102"/>
      <c r="H28" s="1102"/>
      <c r="I28" s="1102"/>
      <c r="J28" s="1102"/>
      <c r="K28" s="1102"/>
      <c r="L28" s="1102"/>
      <c r="M28" s="1102"/>
      <c r="N28" s="1102"/>
      <c r="O28" s="1102"/>
      <c r="P28" s="1102"/>
      <c r="Q28" s="1102"/>
      <c r="R28" s="1102"/>
      <c r="S28" s="1102"/>
      <c r="T28" s="2882">
        <v>1082</v>
      </c>
      <c r="U28" s="1102">
        <v>1358</v>
      </c>
      <c r="V28" s="1102">
        <v>1363</v>
      </c>
      <c r="W28" s="1102">
        <v>1102</v>
      </c>
      <c r="X28" s="1102">
        <v>1391</v>
      </c>
      <c r="Y28" s="1102">
        <v>1155</v>
      </c>
      <c r="Z28" s="1102">
        <v>1044</v>
      </c>
      <c r="AA28" s="1102">
        <v>1501</v>
      </c>
      <c r="AB28" s="1102">
        <v>1300</v>
      </c>
      <c r="AC28" s="1102">
        <v>1194</v>
      </c>
      <c r="AD28" s="1102">
        <v>1110</v>
      </c>
      <c r="AE28" s="1102">
        <v>881</v>
      </c>
      <c r="AF28" s="2883">
        <v>14481</v>
      </c>
      <c r="AG28" s="2883">
        <v>1206.75</v>
      </c>
      <c r="AH28" s="2883"/>
      <c r="AI28" s="2884">
        <v>1360</v>
      </c>
      <c r="AJ28" s="2883">
        <v>1164</v>
      </c>
      <c r="AK28" s="2883">
        <v>1422</v>
      </c>
      <c r="AL28" s="2883">
        <v>1301</v>
      </c>
      <c r="AM28" s="2883">
        <v>1571</v>
      </c>
      <c r="AN28" s="2883">
        <v>1486</v>
      </c>
      <c r="AO28" s="2883">
        <v>1617</v>
      </c>
      <c r="AP28" s="2883">
        <v>1621</v>
      </c>
      <c r="AQ28" s="2883">
        <v>1633</v>
      </c>
      <c r="AR28" s="2883">
        <v>1811</v>
      </c>
      <c r="AS28" s="2883">
        <v>1822</v>
      </c>
      <c r="AT28" s="1102">
        <v>1722</v>
      </c>
      <c r="AU28" s="2883">
        <v>18530</v>
      </c>
      <c r="AV28" s="2885">
        <v>1544.1666666666667</v>
      </c>
      <c r="AW28" s="2884">
        <v>1637</v>
      </c>
      <c r="AX28" s="2883">
        <v>2086</v>
      </c>
      <c r="AY28" s="2883">
        <v>1810</v>
      </c>
      <c r="AZ28" s="2883">
        <v>1896</v>
      </c>
      <c r="BA28" s="2883">
        <v>3639</v>
      </c>
      <c r="BB28" s="2883">
        <v>2896</v>
      </c>
      <c r="BC28" s="2883">
        <v>2548</v>
      </c>
      <c r="BD28" s="2883">
        <v>2549</v>
      </c>
      <c r="BE28" s="2883">
        <v>2550</v>
      </c>
      <c r="BF28" s="2883">
        <v>1819.0000000000002</v>
      </c>
      <c r="BG28" s="2883">
        <v>1780.9999999999998</v>
      </c>
      <c r="BH28" s="1102">
        <v>1776.9999999999998</v>
      </c>
      <c r="BI28" s="2883">
        <f t="shared" ref="BI28:BI32" si="21">SUM(AW28:BH28)</f>
        <v>26988</v>
      </c>
      <c r="BJ28" s="2885">
        <f t="shared" si="7"/>
        <v>2249</v>
      </c>
      <c r="BK28" s="2884">
        <v>17</v>
      </c>
      <c r="BL28" s="2883">
        <v>14</v>
      </c>
      <c r="BM28" s="2883"/>
      <c r="BN28" s="2883"/>
      <c r="BO28" s="2883"/>
      <c r="BP28" s="2883"/>
      <c r="BQ28" s="2883"/>
      <c r="BR28" s="2883"/>
      <c r="BS28" s="2883"/>
      <c r="BT28" s="2883"/>
      <c r="BU28" s="2883"/>
      <c r="BV28" s="1102"/>
      <c r="BW28" s="2883">
        <f t="shared" ref="BW28:BW32" si="22">SUM(BK28:BV28)</f>
        <v>31</v>
      </c>
      <c r="BX28" s="2885">
        <f t="shared" si="10"/>
        <v>15.5</v>
      </c>
      <c r="BZ28" s="2860" t="e">
        <f t="shared" si="4"/>
        <v>#N/A</v>
      </c>
      <c r="CA28" s="2860">
        <f t="shared" si="11"/>
        <v>704.83333333333326</v>
      </c>
      <c r="CB28" s="2881" t="e">
        <f t="shared" si="20"/>
        <v>#N/A</v>
      </c>
    </row>
    <row r="29" spans="1:81" ht="18" customHeight="1" x14ac:dyDescent="0.55000000000000004">
      <c r="A29" s="7134"/>
      <c r="B29" s="7138"/>
      <c r="C29" s="559" t="s">
        <v>47</v>
      </c>
      <c r="E29" s="559">
        <v>1536</v>
      </c>
      <c r="F29" s="1102">
        <v>1130</v>
      </c>
      <c r="G29" s="1102">
        <v>1130</v>
      </c>
      <c r="H29" s="1102">
        <v>1266</v>
      </c>
      <c r="I29" s="1102">
        <v>1103</v>
      </c>
      <c r="J29" s="1102">
        <v>1153</v>
      </c>
      <c r="K29" s="1102">
        <v>1028</v>
      </c>
      <c r="L29" s="1102">
        <v>957</v>
      </c>
      <c r="M29" s="1102">
        <v>1000</v>
      </c>
      <c r="N29" s="1102">
        <v>852</v>
      </c>
      <c r="O29" s="1102">
        <v>910</v>
      </c>
      <c r="P29" s="1102">
        <v>937</v>
      </c>
      <c r="Q29" s="1102">
        <v>984</v>
      </c>
      <c r="R29" s="1102">
        <v>12450</v>
      </c>
      <c r="S29" s="1102">
        <v>1037.5</v>
      </c>
      <c r="T29" s="2882">
        <v>919</v>
      </c>
      <c r="U29" s="1102">
        <v>894</v>
      </c>
      <c r="V29" s="1102">
        <v>942</v>
      </c>
      <c r="W29" s="1102">
        <v>800</v>
      </c>
      <c r="X29" s="1102">
        <v>885</v>
      </c>
      <c r="Y29" s="1102">
        <v>966</v>
      </c>
      <c r="Z29" s="1102">
        <v>860</v>
      </c>
      <c r="AA29" s="1102">
        <v>1115</v>
      </c>
      <c r="AB29" s="1102">
        <v>850</v>
      </c>
      <c r="AC29" s="1102">
        <v>827</v>
      </c>
      <c r="AD29" s="1102">
        <v>795</v>
      </c>
      <c r="AE29" s="1102">
        <v>740</v>
      </c>
      <c r="AF29" s="2883">
        <v>10593</v>
      </c>
      <c r="AG29" s="2883">
        <v>882.75</v>
      </c>
      <c r="AH29" s="2883"/>
      <c r="AI29" s="2884">
        <v>838</v>
      </c>
      <c r="AJ29" s="2883">
        <v>924</v>
      </c>
      <c r="AK29" s="2883">
        <v>1073</v>
      </c>
      <c r="AL29" s="2883">
        <v>895</v>
      </c>
      <c r="AM29" s="2883">
        <v>883</v>
      </c>
      <c r="AN29" s="2883">
        <v>808</v>
      </c>
      <c r="AO29" s="2883">
        <v>835</v>
      </c>
      <c r="AP29" s="2883">
        <v>774</v>
      </c>
      <c r="AQ29" s="2883">
        <v>698</v>
      </c>
      <c r="AR29" s="2883">
        <v>677</v>
      </c>
      <c r="AS29" s="2883">
        <v>607</v>
      </c>
      <c r="AT29" s="1102">
        <v>556</v>
      </c>
      <c r="AU29" s="2883">
        <v>9568</v>
      </c>
      <c r="AV29" s="2885">
        <v>797.33333333333337</v>
      </c>
      <c r="AW29" s="2884">
        <v>482</v>
      </c>
      <c r="AX29" s="2883">
        <v>710</v>
      </c>
      <c r="AY29" s="2883">
        <v>636</v>
      </c>
      <c r="AZ29" s="2883">
        <v>660</v>
      </c>
      <c r="BA29" s="2883">
        <v>570</v>
      </c>
      <c r="BB29" s="2883">
        <v>592</v>
      </c>
      <c r="BC29" s="2883">
        <v>643</v>
      </c>
      <c r="BD29" s="2883">
        <v>486</v>
      </c>
      <c r="BE29" s="2883">
        <v>506</v>
      </c>
      <c r="BF29" s="2883">
        <v>476</v>
      </c>
      <c r="BG29" s="2883">
        <v>424</v>
      </c>
      <c r="BH29" s="2883">
        <v>389</v>
      </c>
      <c r="BI29" s="2883">
        <f t="shared" si="21"/>
        <v>6574</v>
      </c>
      <c r="BJ29" s="2885">
        <f t="shared" si="7"/>
        <v>547.83333333333337</v>
      </c>
      <c r="BK29" s="2884">
        <v>763</v>
      </c>
      <c r="BL29" s="2883">
        <v>385</v>
      </c>
      <c r="BM29" s="2883"/>
      <c r="BN29" s="2883"/>
      <c r="BO29" s="2883"/>
      <c r="BP29" s="2883"/>
      <c r="BQ29" s="2883"/>
      <c r="BR29" s="2883"/>
      <c r="BS29" s="2883"/>
      <c r="BT29" s="2883"/>
      <c r="BU29" s="2883"/>
      <c r="BV29" s="2883"/>
      <c r="BW29" s="2883">
        <f t="shared" si="22"/>
        <v>1148</v>
      </c>
      <c r="BX29" s="2885">
        <f t="shared" si="10"/>
        <v>574</v>
      </c>
      <c r="BZ29" s="2860" t="e">
        <f t="shared" si="4"/>
        <v>#N/A</v>
      </c>
      <c r="CA29" s="2860">
        <f t="shared" si="11"/>
        <v>-249.5</v>
      </c>
      <c r="CB29" s="2881" t="e">
        <f t="shared" si="20"/>
        <v>#N/A</v>
      </c>
    </row>
    <row r="30" spans="1:81" ht="18" customHeight="1" x14ac:dyDescent="0.55000000000000004">
      <c r="A30" s="7134"/>
      <c r="B30" s="7138"/>
      <c r="C30" s="615" t="s">
        <v>58</v>
      </c>
      <c r="E30" s="559">
        <v>262</v>
      </c>
      <c r="F30" s="2882">
        <v>68</v>
      </c>
      <c r="G30" s="1102">
        <v>68</v>
      </c>
      <c r="H30" s="1102">
        <v>75</v>
      </c>
      <c r="I30" s="1102">
        <v>53</v>
      </c>
      <c r="J30" s="1102">
        <v>82</v>
      </c>
      <c r="K30" s="1102">
        <v>74</v>
      </c>
      <c r="L30" s="1102">
        <v>66</v>
      </c>
      <c r="M30" s="1102">
        <v>78</v>
      </c>
      <c r="N30" s="1102">
        <v>57</v>
      </c>
      <c r="O30" s="1102">
        <v>59</v>
      </c>
      <c r="P30" s="1102">
        <v>56</v>
      </c>
      <c r="Q30" s="1102">
        <v>75</v>
      </c>
      <c r="R30" s="1102">
        <v>811</v>
      </c>
      <c r="S30" s="1102">
        <v>67.583333333333329</v>
      </c>
      <c r="T30" s="2882">
        <v>76</v>
      </c>
      <c r="U30" s="1102">
        <v>46</v>
      </c>
      <c r="V30" s="1102">
        <v>55</v>
      </c>
      <c r="W30" s="1102">
        <v>64</v>
      </c>
      <c r="X30" s="1102">
        <v>63</v>
      </c>
      <c r="Y30" s="1102">
        <v>94</v>
      </c>
      <c r="Z30" s="1102">
        <v>85</v>
      </c>
      <c r="AA30" s="1102">
        <v>254</v>
      </c>
      <c r="AB30" s="1102">
        <v>66</v>
      </c>
      <c r="AC30" s="1102">
        <v>67</v>
      </c>
      <c r="AD30" s="1102">
        <v>58</v>
      </c>
      <c r="AE30" s="1102">
        <v>65</v>
      </c>
      <c r="AF30" s="2883">
        <v>993</v>
      </c>
      <c r="AG30" s="2883">
        <v>82.75</v>
      </c>
      <c r="AH30" s="2883"/>
      <c r="AI30" s="2884">
        <v>70</v>
      </c>
      <c r="AJ30" s="2883">
        <v>71</v>
      </c>
      <c r="AK30" s="2883">
        <v>69</v>
      </c>
      <c r="AL30" s="2883">
        <v>67</v>
      </c>
      <c r="AM30" s="2883">
        <v>79</v>
      </c>
      <c r="AN30" s="2883">
        <v>66</v>
      </c>
      <c r="AO30" s="2883">
        <v>86</v>
      </c>
      <c r="AP30" s="2883">
        <v>61</v>
      </c>
      <c r="AQ30" s="2883">
        <v>54</v>
      </c>
      <c r="AR30" s="2883">
        <v>67</v>
      </c>
      <c r="AS30" s="2883">
        <v>75</v>
      </c>
      <c r="AT30" s="1102">
        <v>62</v>
      </c>
      <c r="AU30" s="2883">
        <v>827</v>
      </c>
      <c r="AV30" s="2885">
        <v>68.916666666666671</v>
      </c>
      <c r="AW30" s="2884">
        <v>48</v>
      </c>
      <c r="AX30" s="2883">
        <v>78</v>
      </c>
      <c r="AY30" s="2883">
        <v>48</v>
      </c>
      <c r="AZ30" s="2883">
        <v>70</v>
      </c>
      <c r="BA30" s="2883">
        <v>62</v>
      </c>
      <c r="BB30" s="2883">
        <v>50</v>
      </c>
      <c r="BC30" s="2883">
        <v>49</v>
      </c>
      <c r="BD30" s="2883">
        <v>41</v>
      </c>
      <c r="BE30" s="2883">
        <v>43</v>
      </c>
      <c r="BF30" s="2883">
        <v>38</v>
      </c>
      <c r="BG30" s="2883">
        <v>26</v>
      </c>
      <c r="BH30" s="2883">
        <v>24</v>
      </c>
      <c r="BI30" s="2883">
        <f t="shared" si="21"/>
        <v>577</v>
      </c>
      <c r="BJ30" s="2885">
        <f t="shared" si="7"/>
        <v>48.083333333333336</v>
      </c>
      <c r="BK30" s="2884">
        <v>37</v>
      </c>
      <c r="BL30" s="2883">
        <v>26</v>
      </c>
      <c r="BM30" s="2883"/>
      <c r="BN30" s="2883"/>
      <c r="BO30" s="2883"/>
      <c r="BP30" s="2883"/>
      <c r="BQ30" s="2883"/>
      <c r="BR30" s="2883"/>
      <c r="BS30" s="2883"/>
      <c r="BT30" s="2883"/>
      <c r="BU30" s="2883"/>
      <c r="BV30" s="2883"/>
      <c r="BW30" s="2883">
        <f t="shared" si="22"/>
        <v>63</v>
      </c>
      <c r="BX30" s="2885">
        <f t="shared" si="10"/>
        <v>31.5</v>
      </c>
      <c r="BZ30" s="2860" t="e">
        <f t="shared" si="4"/>
        <v>#N/A</v>
      </c>
      <c r="CA30" s="2860">
        <f t="shared" si="11"/>
        <v>-20.833333333333336</v>
      </c>
      <c r="CB30" s="2881" t="e">
        <f t="shared" si="20"/>
        <v>#N/A</v>
      </c>
    </row>
    <row r="31" spans="1:81" ht="18" customHeight="1" x14ac:dyDescent="0.55000000000000004">
      <c r="A31" s="7134"/>
      <c r="B31" s="7138"/>
      <c r="C31" s="559" t="s">
        <v>49</v>
      </c>
      <c r="F31" s="2882"/>
      <c r="G31" s="1102"/>
      <c r="H31" s="1102"/>
      <c r="I31" s="1102"/>
      <c r="J31" s="1102"/>
      <c r="K31" s="1102"/>
      <c r="L31" s="1102"/>
      <c r="M31" s="1102"/>
      <c r="N31" s="1102"/>
      <c r="O31" s="1102"/>
      <c r="P31" s="1102"/>
      <c r="Q31" s="1102"/>
      <c r="R31" s="1102"/>
      <c r="S31" s="1102"/>
      <c r="T31" s="2882">
        <v>1746</v>
      </c>
      <c r="U31" s="1102">
        <v>1285</v>
      </c>
      <c r="V31" s="1102">
        <v>1726</v>
      </c>
      <c r="W31" s="1102">
        <v>1601</v>
      </c>
      <c r="X31" s="1102">
        <v>2043</v>
      </c>
      <c r="Y31" s="1102">
        <v>2020</v>
      </c>
      <c r="Z31" s="1102">
        <v>2482</v>
      </c>
      <c r="AA31" s="1102">
        <v>2247</v>
      </c>
      <c r="AB31" s="1102">
        <v>1953</v>
      </c>
      <c r="AC31" s="1102">
        <v>2241</v>
      </c>
      <c r="AD31" s="1102">
        <v>1850</v>
      </c>
      <c r="AE31" s="1102">
        <v>2290</v>
      </c>
      <c r="AF31" s="2883">
        <v>23484</v>
      </c>
      <c r="AG31" s="2883">
        <v>1957</v>
      </c>
      <c r="AH31" s="2883"/>
      <c r="AI31" s="2884">
        <v>2063</v>
      </c>
      <c r="AJ31" s="2883">
        <v>1928</v>
      </c>
      <c r="AK31" s="2883">
        <v>2320</v>
      </c>
      <c r="AL31" s="2883">
        <v>1707</v>
      </c>
      <c r="AM31" s="2883">
        <v>3187</v>
      </c>
      <c r="AN31" s="2883">
        <v>2947</v>
      </c>
      <c r="AO31" s="2883">
        <v>2881</v>
      </c>
      <c r="AP31" s="2883">
        <v>3093</v>
      </c>
      <c r="AQ31" s="2883">
        <v>3249</v>
      </c>
      <c r="AR31" s="2883">
        <v>3652</v>
      </c>
      <c r="AS31" s="2883">
        <v>3284</v>
      </c>
      <c r="AT31" s="1102">
        <v>3575</v>
      </c>
      <c r="AU31" s="2883">
        <v>33886</v>
      </c>
      <c r="AV31" s="2885">
        <v>2823.8333333333335</v>
      </c>
      <c r="AW31" s="2884">
        <v>3303</v>
      </c>
      <c r="AX31" s="2883">
        <v>3685</v>
      </c>
      <c r="AY31" s="2883">
        <v>3470</v>
      </c>
      <c r="AZ31" s="2883">
        <v>3469</v>
      </c>
      <c r="BA31" s="2883">
        <v>5148</v>
      </c>
      <c r="BB31" s="2883">
        <v>4387</v>
      </c>
      <c r="BC31" s="2883">
        <v>4151</v>
      </c>
      <c r="BD31" s="2883">
        <v>4200</v>
      </c>
      <c r="BE31" s="2883">
        <v>3845</v>
      </c>
      <c r="BF31" s="2883">
        <v>3302</v>
      </c>
      <c r="BG31" s="2883">
        <v>3066</v>
      </c>
      <c r="BH31" s="2883">
        <v>3029</v>
      </c>
      <c r="BI31" s="2883">
        <f t="shared" si="21"/>
        <v>45055</v>
      </c>
      <c r="BJ31" s="2885">
        <f t="shared" si="7"/>
        <v>3754.5833333333335</v>
      </c>
      <c r="BK31" s="2884">
        <v>960</v>
      </c>
      <c r="BL31" s="2883">
        <v>1192</v>
      </c>
      <c r="BM31" s="2883"/>
      <c r="BN31" s="2883"/>
      <c r="BO31" s="2883"/>
      <c r="BP31" s="2883"/>
      <c r="BQ31" s="2883"/>
      <c r="BR31" s="2883"/>
      <c r="BS31" s="2883"/>
      <c r="BT31" s="2883"/>
      <c r="BU31" s="2883"/>
      <c r="BV31" s="2883"/>
      <c r="BW31" s="2883">
        <f t="shared" si="22"/>
        <v>2152</v>
      </c>
      <c r="BX31" s="2885">
        <f t="shared" si="10"/>
        <v>1076</v>
      </c>
      <c r="BZ31" s="2860" t="e">
        <f t="shared" si="4"/>
        <v>#N/A</v>
      </c>
      <c r="CA31" s="2860">
        <f t="shared" si="11"/>
        <v>930.75</v>
      </c>
      <c r="CB31" s="2861">
        <f>AX31-AJ31</f>
        <v>1757</v>
      </c>
    </row>
    <row r="32" spans="1:81" ht="18" customHeight="1" x14ac:dyDescent="0.55000000000000004">
      <c r="A32" s="7134"/>
      <c r="B32" s="7138"/>
      <c r="C32" s="1929" t="s">
        <v>50</v>
      </c>
      <c r="D32" s="1929"/>
      <c r="E32" s="1929"/>
      <c r="F32" s="2904"/>
      <c r="G32" s="2905"/>
      <c r="H32" s="2905"/>
      <c r="I32" s="2905"/>
      <c r="J32" s="2905"/>
      <c r="K32" s="2905"/>
      <c r="L32" s="2905"/>
      <c r="M32" s="2905"/>
      <c r="N32" s="2905"/>
      <c r="O32" s="2905"/>
      <c r="P32" s="2905"/>
      <c r="Q32" s="2895"/>
      <c r="R32" s="2895"/>
      <c r="S32" s="2895"/>
      <c r="T32" s="2894">
        <v>-1583</v>
      </c>
      <c r="U32" s="2895">
        <v>-821</v>
      </c>
      <c r="V32" s="2905">
        <v>-1305</v>
      </c>
      <c r="W32" s="2905">
        <v>-1299</v>
      </c>
      <c r="X32" s="2905">
        <v>-1537</v>
      </c>
      <c r="Y32" s="2905">
        <v>-1831</v>
      </c>
      <c r="Z32" s="2905">
        <v>-2298</v>
      </c>
      <c r="AA32" s="2905">
        <v>-1861</v>
      </c>
      <c r="AB32" s="2905">
        <v>-1503</v>
      </c>
      <c r="AC32" s="2905">
        <v>-1874</v>
      </c>
      <c r="AD32" s="2905">
        <v>-1535</v>
      </c>
      <c r="AE32" s="2905">
        <v>-2149</v>
      </c>
      <c r="AF32" s="2896">
        <v>-19596</v>
      </c>
      <c r="AG32" s="2896">
        <v>-1633</v>
      </c>
      <c r="AH32" s="2896"/>
      <c r="AI32" s="2919">
        <v>-1541</v>
      </c>
      <c r="AJ32" s="2907">
        <v>-1688</v>
      </c>
      <c r="AK32" s="2907">
        <v>-1971</v>
      </c>
      <c r="AL32" s="2907">
        <v>-1301</v>
      </c>
      <c r="AM32" s="2907">
        <v>-2499</v>
      </c>
      <c r="AN32" s="2907">
        <v>-2269</v>
      </c>
      <c r="AO32" s="2907">
        <v>-2099</v>
      </c>
      <c r="AP32" s="2907">
        <v>-2246</v>
      </c>
      <c r="AQ32" s="2907">
        <v>-2314</v>
      </c>
      <c r="AR32" s="2907">
        <v>-2518</v>
      </c>
      <c r="AS32" s="2907">
        <v>-2069</v>
      </c>
      <c r="AT32" s="2905">
        <v>-2409</v>
      </c>
      <c r="AU32" s="2896">
        <v>-24924</v>
      </c>
      <c r="AV32" s="2898">
        <v>-2077</v>
      </c>
      <c r="AW32" s="2919">
        <v>-2148</v>
      </c>
      <c r="AX32" s="2907">
        <v>-2309</v>
      </c>
      <c r="AY32" s="2907">
        <v>-2296</v>
      </c>
      <c r="AZ32" s="2907">
        <v>-2233</v>
      </c>
      <c r="BA32" s="2907">
        <v>-2079</v>
      </c>
      <c r="BB32" s="2907">
        <v>-2083</v>
      </c>
      <c r="BC32" s="2907">
        <v>-2246</v>
      </c>
      <c r="BD32" s="2907">
        <v>-2137</v>
      </c>
      <c r="BE32" s="2907">
        <v>-1801</v>
      </c>
      <c r="BF32" s="2907">
        <v>-1959</v>
      </c>
      <c r="BG32" s="2907">
        <v>-1709</v>
      </c>
      <c r="BH32" s="2907">
        <v>-1641</v>
      </c>
      <c r="BI32" s="2896">
        <f t="shared" si="21"/>
        <v>-24641</v>
      </c>
      <c r="BJ32" s="2898">
        <f t="shared" si="7"/>
        <v>-2053.4166666666665</v>
      </c>
      <c r="BK32" s="2919">
        <v>-1706</v>
      </c>
      <c r="BL32" s="2907">
        <v>-1563</v>
      </c>
      <c r="BM32" s="2907"/>
      <c r="BN32" s="2907"/>
      <c r="BO32" s="2907"/>
      <c r="BP32" s="2907"/>
      <c r="BQ32" s="2907"/>
      <c r="BR32" s="2907"/>
      <c r="BS32" s="2907"/>
      <c r="BT32" s="2907"/>
      <c r="BU32" s="2907"/>
      <c r="BV32" s="2907"/>
      <c r="BW32" s="2896">
        <f t="shared" si="22"/>
        <v>-3269</v>
      </c>
      <c r="BX32" s="2898">
        <f t="shared" si="10"/>
        <v>-1634.5</v>
      </c>
      <c r="BZ32" s="2860" t="e">
        <f t="shared" si="4"/>
        <v>#N/A</v>
      </c>
      <c r="CA32" s="2860"/>
      <c r="CB32" s="2861"/>
    </row>
    <row r="33" spans="1:80" ht="18" customHeight="1" x14ac:dyDescent="0.55000000000000004">
      <c r="A33" s="7134" t="s">
        <v>869</v>
      </c>
      <c r="B33" s="7138"/>
      <c r="C33" s="2908" t="s">
        <v>43</v>
      </c>
      <c r="D33" s="2909"/>
      <c r="E33" s="2909">
        <v>20123</v>
      </c>
      <c r="F33" s="2910">
        <v>20438</v>
      </c>
      <c r="G33" s="2911">
        <v>20438</v>
      </c>
      <c r="H33" s="2911">
        <v>20813</v>
      </c>
      <c r="I33" s="2911">
        <v>20908</v>
      </c>
      <c r="J33" s="2911">
        <v>20918</v>
      </c>
      <c r="K33" s="2911">
        <v>20983</v>
      </c>
      <c r="L33" s="2911">
        <v>21062</v>
      </c>
      <c r="M33" s="2911">
        <v>21001</v>
      </c>
      <c r="N33" s="2911">
        <v>21319</v>
      </c>
      <c r="O33" s="2911">
        <v>21489</v>
      </c>
      <c r="P33" s="2911">
        <v>21387</v>
      </c>
      <c r="Q33" s="2912">
        <v>21430</v>
      </c>
      <c r="R33" s="2912">
        <v>21430</v>
      </c>
      <c r="S33" s="2912">
        <v>21015.5</v>
      </c>
      <c r="T33" s="2911">
        <v>21431</v>
      </c>
      <c r="U33" s="2911">
        <v>21473</v>
      </c>
      <c r="V33" s="2911">
        <v>21371</v>
      </c>
      <c r="W33" s="2911">
        <v>21299</v>
      </c>
      <c r="X33" s="2911">
        <v>21228</v>
      </c>
      <c r="Y33" s="2911">
        <v>21095</v>
      </c>
      <c r="Z33" s="2911">
        <v>20921</v>
      </c>
      <c r="AA33" s="2911">
        <v>20744</v>
      </c>
      <c r="AB33" s="2911">
        <v>20531</v>
      </c>
      <c r="AC33" s="2911">
        <v>20813</v>
      </c>
      <c r="AD33" s="2911">
        <v>20920</v>
      </c>
      <c r="AE33" s="2911">
        <v>20758</v>
      </c>
      <c r="AF33" s="2913">
        <v>20758</v>
      </c>
      <c r="AG33" s="2913">
        <v>21048.666666666668</v>
      </c>
      <c r="AH33" s="2913"/>
      <c r="AI33" s="2917">
        <v>20398</v>
      </c>
      <c r="AJ33" s="2913">
        <v>20070</v>
      </c>
      <c r="AK33" s="2913">
        <v>19672</v>
      </c>
      <c r="AL33" s="2913">
        <v>19342</v>
      </c>
      <c r="AM33" s="2913">
        <v>18683</v>
      </c>
      <c r="AN33" s="2913">
        <v>17951</v>
      </c>
      <c r="AO33" s="2913">
        <v>17200</v>
      </c>
      <c r="AP33" s="2913">
        <v>16585</v>
      </c>
      <c r="AQ33" s="2913">
        <v>15888</v>
      </c>
      <c r="AR33" s="2913">
        <v>15232</v>
      </c>
      <c r="AS33" s="2913">
        <v>14578</v>
      </c>
      <c r="AT33" s="2911">
        <v>13911</v>
      </c>
      <c r="AU33" s="2915">
        <v>13911</v>
      </c>
      <c r="AV33" s="2916">
        <v>17459.166666666668</v>
      </c>
      <c r="AW33" s="2917">
        <v>13244</v>
      </c>
      <c r="AX33" s="2913">
        <v>12547</v>
      </c>
      <c r="AY33" s="2913">
        <v>11891</v>
      </c>
      <c r="AZ33" s="2913">
        <v>11321</v>
      </c>
      <c r="BA33" s="2913">
        <v>10724</v>
      </c>
      <c r="BB33" s="2913">
        <v>10289</v>
      </c>
      <c r="BC33" s="2913">
        <v>10026</v>
      </c>
      <c r="BD33" s="2913">
        <v>9479</v>
      </c>
      <c r="BE33" s="2913">
        <v>8937</v>
      </c>
      <c r="BF33" s="2913">
        <v>8398</v>
      </c>
      <c r="BG33" s="2913">
        <v>7766</v>
      </c>
      <c r="BH33" s="2913">
        <v>7193</v>
      </c>
      <c r="BI33" s="2915">
        <f>AW33</f>
        <v>13244</v>
      </c>
      <c r="BJ33" s="2916">
        <f t="shared" si="7"/>
        <v>10151.25</v>
      </c>
      <c r="BK33" s="2917">
        <v>6783</v>
      </c>
      <c r="BL33" s="2913">
        <v>6384</v>
      </c>
      <c r="BM33" s="2913"/>
      <c r="BN33" s="2913"/>
      <c r="BO33" s="2913"/>
      <c r="BP33" s="2913"/>
      <c r="BQ33" s="2913"/>
      <c r="BR33" s="2913"/>
      <c r="BS33" s="2913"/>
      <c r="BT33" s="2913"/>
      <c r="BU33" s="2913"/>
      <c r="BV33" s="2913"/>
      <c r="BW33" s="2915">
        <f>BK33</f>
        <v>6783</v>
      </c>
      <c r="BX33" s="2916">
        <f t="shared" si="10"/>
        <v>6583.5</v>
      </c>
      <c r="BZ33" s="2860" t="e">
        <f t="shared" si="4"/>
        <v>#N/A</v>
      </c>
      <c r="CA33" s="2860">
        <f t="shared" si="11"/>
        <v>-7307.9166666666679</v>
      </c>
      <c r="CB33" s="2881" t="e">
        <f t="shared" ref="CB33:CB39" si="23">HLOOKUP($A$1,$AW$1:$BH$383,ROW(),0)-SUM(AI33:AJ33)</f>
        <v>#N/A</v>
      </c>
    </row>
    <row r="34" spans="1:80" ht="18" customHeight="1" x14ac:dyDescent="0.55000000000000004">
      <c r="A34" s="7134"/>
      <c r="B34" s="7138"/>
      <c r="C34" s="2771" t="s">
        <v>46</v>
      </c>
      <c r="F34" s="2882"/>
      <c r="G34" s="1102"/>
      <c r="H34" s="1102"/>
      <c r="I34" s="1102"/>
      <c r="J34" s="1102"/>
      <c r="K34" s="1102"/>
      <c r="L34" s="1102"/>
      <c r="M34" s="1102"/>
      <c r="N34" s="1102"/>
      <c r="O34" s="1102"/>
      <c r="P34" s="1102"/>
      <c r="Q34" s="1102"/>
      <c r="R34" s="1102"/>
      <c r="S34" s="1102"/>
      <c r="T34" s="2882">
        <v>13</v>
      </c>
      <c r="U34" s="1102">
        <v>17</v>
      </c>
      <c r="V34" s="1102">
        <v>8</v>
      </c>
      <c r="W34" s="1102">
        <v>5</v>
      </c>
      <c r="X34" s="1102">
        <v>13</v>
      </c>
      <c r="Y34" s="1102">
        <v>70</v>
      </c>
      <c r="Z34" s="1102">
        <v>84</v>
      </c>
      <c r="AA34" s="1102">
        <v>68</v>
      </c>
      <c r="AB34" s="1102">
        <v>61</v>
      </c>
      <c r="AC34" s="1102">
        <v>122</v>
      </c>
      <c r="AD34" s="1102">
        <v>126</v>
      </c>
      <c r="AE34" s="1102">
        <v>11</v>
      </c>
      <c r="AF34" s="2883">
        <v>598</v>
      </c>
      <c r="AG34" s="2883">
        <v>49.833333333333336</v>
      </c>
      <c r="AH34" s="2883"/>
      <c r="AI34" s="2884">
        <v>11</v>
      </c>
      <c r="AJ34" s="2883">
        <v>10</v>
      </c>
      <c r="AK34" s="2883">
        <v>25</v>
      </c>
      <c r="AL34" s="2883">
        <v>80</v>
      </c>
      <c r="AM34" s="2883">
        <v>131</v>
      </c>
      <c r="AN34" s="2883">
        <v>98</v>
      </c>
      <c r="AO34" s="2883">
        <v>49</v>
      </c>
      <c r="AP34" s="2883">
        <v>52</v>
      </c>
      <c r="AQ34" s="2883">
        <v>31</v>
      </c>
      <c r="AR34" s="2883">
        <v>25</v>
      </c>
      <c r="AS34" s="2883">
        <v>34</v>
      </c>
      <c r="AT34" s="1102">
        <v>48</v>
      </c>
      <c r="AU34" s="2883">
        <v>594</v>
      </c>
      <c r="AV34" s="2885">
        <v>49.5</v>
      </c>
      <c r="AW34" s="2884">
        <v>27</v>
      </c>
      <c r="AX34" s="2883">
        <v>19</v>
      </c>
      <c r="AY34" s="2883">
        <v>81</v>
      </c>
      <c r="AZ34" s="2883">
        <v>124</v>
      </c>
      <c r="BA34" s="2883">
        <v>311</v>
      </c>
      <c r="BB34" s="2883">
        <v>197</v>
      </c>
      <c r="BC34" s="2883">
        <v>293</v>
      </c>
      <c r="BD34" s="2883">
        <v>294</v>
      </c>
      <c r="BE34" s="2883">
        <v>295</v>
      </c>
      <c r="BF34" s="2883">
        <v>112.00000000000001</v>
      </c>
      <c r="BG34" s="2883">
        <v>145</v>
      </c>
      <c r="BH34" s="1102">
        <v>130</v>
      </c>
      <c r="BI34" s="2883">
        <f t="shared" ref="BI34:BI38" si="24">SUM(AW34:BH34)</f>
        <v>2028</v>
      </c>
      <c r="BJ34" s="2885">
        <f t="shared" si="7"/>
        <v>169</v>
      </c>
      <c r="BK34" s="2884">
        <v>162</v>
      </c>
      <c r="BL34" s="2883">
        <v>138</v>
      </c>
      <c r="BM34" s="2883"/>
      <c r="BN34" s="2883"/>
      <c r="BO34" s="2883"/>
      <c r="BP34" s="2883"/>
      <c r="BQ34" s="2883"/>
      <c r="BR34" s="2883"/>
      <c r="BS34" s="2883"/>
      <c r="BT34" s="2883"/>
      <c r="BU34" s="2883"/>
      <c r="BV34" s="1102"/>
      <c r="BW34" s="2883">
        <f t="shared" ref="BW34:BW38" si="25">SUM(BK34:BV34)</f>
        <v>300</v>
      </c>
      <c r="BX34" s="2885">
        <f t="shared" si="10"/>
        <v>150</v>
      </c>
      <c r="BZ34" s="2860" t="e">
        <f t="shared" si="4"/>
        <v>#N/A</v>
      </c>
      <c r="CA34" s="2860">
        <f t="shared" si="11"/>
        <v>119.5</v>
      </c>
      <c r="CB34" s="2881" t="e">
        <f t="shared" si="23"/>
        <v>#N/A</v>
      </c>
    </row>
    <row r="35" spans="1:80" ht="17.05" customHeight="1" x14ac:dyDescent="0.55000000000000004">
      <c r="A35" s="7134"/>
      <c r="B35" s="7138"/>
      <c r="C35" s="559" t="s">
        <v>47</v>
      </c>
      <c r="E35" s="559">
        <v>178</v>
      </c>
      <c r="F35" s="2882">
        <v>167</v>
      </c>
      <c r="G35" s="1102">
        <v>167</v>
      </c>
      <c r="H35" s="1102">
        <v>238</v>
      </c>
      <c r="I35" s="1102">
        <v>177</v>
      </c>
      <c r="J35" s="1102">
        <v>153</v>
      </c>
      <c r="K35" s="1102">
        <v>122</v>
      </c>
      <c r="L35" s="1102">
        <v>200</v>
      </c>
      <c r="M35" s="1102">
        <v>210</v>
      </c>
      <c r="N35" s="1102">
        <v>197</v>
      </c>
      <c r="O35" s="1102">
        <v>200</v>
      </c>
      <c r="P35" s="1102">
        <v>155</v>
      </c>
      <c r="Q35" s="1102">
        <v>188</v>
      </c>
      <c r="R35" s="1102">
        <v>2174</v>
      </c>
      <c r="S35" s="1102">
        <v>181.16666666666666</v>
      </c>
      <c r="T35" s="2882">
        <v>218</v>
      </c>
      <c r="U35" s="1102">
        <v>237</v>
      </c>
      <c r="V35" s="1102">
        <v>294</v>
      </c>
      <c r="W35" s="1102">
        <v>215</v>
      </c>
      <c r="X35" s="1102">
        <v>179</v>
      </c>
      <c r="Y35" s="1102">
        <v>275</v>
      </c>
      <c r="Z35" s="1102">
        <v>320</v>
      </c>
      <c r="AA35" s="1102">
        <v>344</v>
      </c>
      <c r="AB35" s="1102">
        <v>287</v>
      </c>
      <c r="AC35" s="1102">
        <v>295</v>
      </c>
      <c r="AD35" s="1102">
        <v>286</v>
      </c>
      <c r="AE35" s="1102">
        <v>262</v>
      </c>
      <c r="AF35" s="2883">
        <v>3212</v>
      </c>
      <c r="AG35" s="2883">
        <v>267.66666666666669</v>
      </c>
      <c r="AH35" s="2883"/>
      <c r="AI35" s="2884">
        <v>305</v>
      </c>
      <c r="AJ35" s="2883">
        <v>261</v>
      </c>
      <c r="AK35" s="2883">
        <v>279</v>
      </c>
      <c r="AL35" s="2883">
        <v>305</v>
      </c>
      <c r="AM35" s="2883">
        <v>277</v>
      </c>
      <c r="AN35" s="2883">
        <v>310</v>
      </c>
      <c r="AO35" s="2883">
        <v>293</v>
      </c>
      <c r="AP35" s="2883">
        <v>245</v>
      </c>
      <c r="AQ35" s="2883">
        <v>238</v>
      </c>
      <c r="AR35" s="2883">
        <v>254</v>
      </c>
      <c r="AS35" s="2883">
        <v>251</v>
      </c>
      <c r="AT35" s="1102">
        <v>240</v>
      </c>
      <c r="AU35" s="2883">
        <v>3258</v>
      </c>
      <c r="AV35" s="2885">
        <v>271.5</v>
      </c>
      <c r="AW35" s="2884">
        <v>206</v>
      </c>
      <c r="AX35" s="2883">
        <v>243</v>
      </c>
      <c r="AY35" s="2883">
        <v>214</v>
      </c>
      <c r="AZ35" s="2883">
        <v>219</v>
      </c>
      <c r="BA35" s="2883">
        <v>189</v>
      </c>
      <c r="BB35" s="2883">
        <v>172</v>
      </c>
      <c r="BC35" s="2883">
        <v>166</v>
      </c>
      <c r="BD35" s="2883">
        <v>168</v>
      </c>
      <c r="BE35" s="2883">
        <v>186</v>
      </c>
      <c r="BF35" s="2883">
        <v>197</v>
      </c>
      <c r="BG35" s="2883">
        <v>147</v>
      </c>
      <c r="BH35" s="2883">
        <v>108</v>
      </c>
      <c r="BI35" s="2883">
        <f t="shared" si="24"/>
        <v>2215</v>
      </c>
      <c r="BJ35" s="2885">
        <f t="shared" si="7"/>
        <v>184.58333333333334</v>
      </c>
      <c r="BK35" s="2884">
        <v>124</v>
      </c>
      <c r="BL35" s="2883">
        <v>122</v>
      </c>
      <c r="BM35" s="2883"/>
      <c r="BN35" s="2883"/>
      <c r="BO35" s="2883"/>
      <c r="BP35" s="2883"/>
      <c r="BQ35" s="2883"/>
      <c r="BR35" s="2883"/>
      <c r="BS35" s="2883"/>
      <c r="BT35" s="2883"/>
      <c r="BU35" s="2883"/>
      <c r="BV35" s="2883"/>
      <c r="BW35" s="2883">
        <f t="shared" si="25"/>
        <v>246</v>
      </c>
      <c r="BX35" s="2885">
        <f t="shared" si="10"/>
        <v>123</v>
      </c>
      <c r="BZ35" s="2860" t="e">
        <f t="shared" si="4"/>
        <v>#N/A</v>
      </c>
      <c r="CA35" s="2860">
        <f t="shared" si="11"/>
        <v>-86.916666666666657</v>
      </c>
      <c r="CB35" s="2881" t="e">
        <f t="shared" si="23"/>
        <v>#N/A</v>
      </c>
    </row>
    <row r="36" spans="1:80" ht="18" customHeight="1" x14ac:dyDescent="0.55000000000000004">
      <c r="A36" s="7134"/>
      <c r="B36" s="7135"/>
      <c r="C36" s="2920" t="s">
        <v>58</v>
      </c>
      <c r="D36" s="698"/>
      <c r="E36" s="698">
        <v>30</v>
      </c>
      <c r="F36" s="2921">
        <v>13</v>
      </c>
      <c r="G36" s="2922">
        <v>13</v>
      </c>
      <c r="H36" s="2922">
        <v>6</v>
      </c>
      <c r="I36" s="2922">
        <v>5</v>
      </c>
      <c r="J36" s="2922">
        <v>8</v>
      </c>
      <c r="K36" s="2922">
        <v>7</v>
      </c>
      <c r="L36" s="2922">
        <v>5</v>
      </c>
      <c r="M36" s="2922">
        <v>2</v>
      </c>
      <c r="N36" s="2922">
        <v>5</v>
      </c>
      <c r="O36" s="2922">
        <v>6</v>
      </c>
      <c r="P36" s="2922">
        <v>8</v>
      </c>
      <c r="Q36" s="2922">
        <v>8</v>
      </c>
      <c r="R36" s="2922">
        <v>86</v>
      </c>
      <c r="S36" s="2922">
        <v>7.166666666666667</v>
      </c>
      <c r="T36" s="2921">
        <v>4</v>
      </c>
      <c r="U36" s="2922">
        <v>10</v>
      </c>
      <c r="V36" s="2922">
        <v>6</v>
      </c>
      <c r="W36" s="2922">
        <v>9</v>
      </c>
      <c r="X36" s="2922">
        <v>5</v>
      </c>
      <c r="Y36" s="2922">
        <v>9</v>
      </c>
      <c r="Z36" s="1102">
        <v>8</v>
      </c>
      <c r="AA36" s="1102">
        <v>51</v>
      </c>
      <c r="AB36" s="1102">
        <v>8</v>
      </c>
      <c r="AC36" s="1102">
        <v>15</v>
      </c>
      <c r="AD36" s="1102">
        <v>8</v>
      </c>
      <c r="AE36" s="1102">
        <v>8</v>
      </c>
      <c r="AF36" s="2883">
        <v>141</v>
      </c>
      <c r="AG36" s="2883">
        <v>11.75</v>
      </c>
      <c r="AH36" s="2883"/>
      <c r="AI36" s="2884">
        <v>8</v>
      </c>
      <c r="AJ36" s="2883">
        <v>3</v>
      </c>
      <c r="AK36" s="2883">
        <v>13</v>
      </c>
      <c r="AL36" s="2883">
        <v>10</v>
      </c>
      <c r="AM36" s="2883">
        <v>14</v>
      </c>
      <c r="AN36" s="2883">
        <v>5</v>
      </c>
      <c r="AO36" s="2883">
        <v>13</v>
      </c>
      <c r="AP36" s="2883">
        <v>10</v>
      </c>
      <c r="AQ36" s="2883">
        <v>9</v>
      </c>
      <c r="AR36" s="2883">
        <v>6</v>
      </c>
      <c r="AS36" s="2883">
        <v>5</v>
      </c>
      <c r="AT36" s="1102">
        <v>10</v>
      </c>
      <c r="AU36" s="2883">
        <v>106</v>
      </c>
      <c r="AV36" s="2885">
        <v>8.8333333333333339</v>
      </c>
      <c r="AW36" s="2884">
        <v>13</v>
      </c>
      <c r="AX36" s="2883">
        <v>6</v>
      </c>
      <c r="AY36" s="2883">
        <v>11</v>
      </c>
      <c r="AZ36" s="2883">
        <v>3</v>
      </c>
      <c r="BA36" s="2883">
        <v>5</v>
      </c>
      <c r="BB36" s="2883">
        <v>2</v>
      </c>
      <c r="BC36" s="2883">
        <v>7</v>
      </c>
      <c r="BD36" s="2883">
        <v>7</v>
      </c>
      <c r="BE36" s="2883">
        <v>6</v>
      </c>
      <c r="BF36" s="2883">
        <v>3</v>
      </c>
      <c r="BG36" s="2883">
        <v>7</v>
      </c>
      <c r="BH36" s="2883">
        <v>2</v>
      </c>
      <c r="BI36" s="2883">
        <f t="shared" si="24"/>
        <v>72</v>
      </c>
      <c r="BJ36" s="2885">
        <f t="shared" si="7"/>
        <v>6</v>
      </c>
      <c r="BK36" s="2884">
        <v>6</v>
      </c>
      <c r="BL36" s="2883">
        <v>3</v>
      </c>
      <c r="BM36" s="2883"/>
      <c r="BN36" s="2883"/>
      <c r="BO36" s="2883"/>
      <c r="BP36" s="2883"/>
      <c r="BQ36" s="2883"/>
      <c r="BR36" s="2883"/>
      <c r="BS36" s="2883"/>
      <c r="BT36" s="2883"/>
      <c r="BU36" s="2883"/>
      <c r="BV36" s="2883"/>
      <c r="BW36" s="2883">
        <f t="shared" si="25"/>
        <v>9</v>
      </c>
      <c r="BX36" s="2885">
        <f t="shared" si="10"/>
        <v>4.5</v>
      </c>
      <c r="BZ36" s="2860" t="e">
        <f t="shared" si="4"/>
        <v>#N/A</v>
      </c>
      <c r="CA36" s="2860">
        <f t="shared" si="11"/>
        <v>-2.8333333333333339</v>
      </c>
      <c r="CB36" s="2881" t="e">
        <f t="shared" si="23"/>
        <v>#N/A</v>
      </c>
    </row>
    <row r="37" spans="1:80" ht="18" customHeight="1" x14ac:dyDescent="0.55000000000000004">
      <c r="A37" s="7134"/>
      <c r="B37" s="7135"/>
      <c r="C37" s="698" t="s">
        <v>49</v>
      </c>
      <c r="D37" s="698"/>
      <c r="E37" s="698"/>
      <c r="F37" s="2921"/>
      <c r="G37" s="2922"/>
      <c r="H37" s="2922"/>
      <c r="I37" s="2922"/>
      <c r="J37" s="2922"/>
      <c r="K37" s="2922"/>
      <c r="L37" s="2922"/>
      <c r="M37" s="2922"/>
      <c r="N37" s="2922"/>
      <c r="O37" s="2922"/>
      <c r="P37" s="2922"/>
      <c r="Q37" s="2922"/>
      <c r="R37" s="2922"/>
      <c r="S37" s="2922"/>
      <c r="T37" s="2921">
        <v>-206</v>
      </c>
      <c r="U37" s="2922">
        <v>-262</v>
      </c>
      <c r="V37" s="2922">
        <v>-184</v>
      </c>
      <c r="W37" s="2922">
        <v>-138</v>
      </c>
      <c r="X37" s="2922">
        <v>-95</v>
      </c>
      <c r="Y37" s="2922">
        <v>-72</v>
      </c>
      <c r="Z37" s="1102">
        <v>-62</v>
      </c>
      <c r="AA37" s="1102">
        <v>-99</v>
      </c>
      <c r="AB37" s="1102">
        <v>-13</v>
      </c>
      <c r="AC37" s="1102">
        <v>-455</v>
      </c>
      <c r="AD37" s="1102">
        <v>-267</v>
      </c>
      <c r="AE37" s="1102">
        <v>-89</v>
      </c>
      <c r="AF37" s="2883">
        <v>-2614</v>
      </c>
      <c r="AG37" s="2883">
        <v>-508.50000000000125</v>
      </c>
      <c r="AH37" s="2883"/>
      <c r="AI37" s="2884">
        <v>66</v>
      </c>
      <c r="AJ37" s="2883">
        <v>77</v>
      </c>
      <c r="AK37" s="2883">
        <v>144</v>
      </c>
      <c r="AL37" s="2883">
        <v>105</v>
      </c>
      <c r="AM37" s="2883">
        <v>513</v>
      </c>
      <c r="AN37" s="2883">
        <v>520</v>
      </c>
      <c r="AO37" s="2883">
        <v>507</v>
      </c>
      <c r="AP37" s="2883">
        <v>422</v>
      </c>
      <c r="AQ37" s="2883">
        <v>490</v>
      </c>
      <c r="AR37" s="2883">
        <v>427</v>
      </c>
      <c r="AS37" s="2883">
        <v>437</v>
      </c>
      <c r="AT37" s="1102">
        <v>712</v>
      </c>
      <c r="AU37" s="2883">
        <v>4420</v>
      </c>
      <c r="AV37" s="2885">
        <v>368.33333333333331</v>
      </c>
      <c r="AW37" s="2884">
        <v>488</v>
      </c>
      <c r="AX37" s="2883">
        <v>473</v>
      </c>
      <c r="AY37" s="2883">
        <v>523</v>
      </c>
      <c r="AZ37" s="2883">
        <v>475</v>
      </c>
      <c r="BA37" s="2883">
        <v>719</v>
      </c>
      <c r="BB37" s="2883">
        <v>460</v>
      </c>
      <c r="BC37" s="2883">
        <v>390</v>
      </c>
      <c r="BD37" s="2883">
        <v>673</v>
      </c>
      <c r="BE37" s="2883">
        <v>651</v>
      </c>
      <c r="BF37" s="2883">
        <v>454</v>
      </c>
      <c r="BG37" s="2883">
        <v>630</v>
      </c>
      <c r="BH37" s="2883">
        <v>595</v>
      </c>
      <c r="BI37" s="2883">
        <f t="shared" si="24"/>
        <v>6531</v>
      </c>
      <c r="BJ37" s="2885">
        <f t="shared" si="7"/>
        <v>544.25</v>
      </c>
      <c r="BK37" s="2884">
        <v>448</v>
      </c>
      <c r="BL37" s="2883">
        <v>415</v>
      </c>
      <c r="BM37" s="2883"/>
      <c r="BN37" s="2883"/>
      <c r="BO37" s="2883"/>
      <c r="BP37" s="2883"/>
      <c r="BQ37" s="2883"/>
      <c r="BR37" s="2883"/>
      <c r="BS37" s="2883"/>
      <c r="BT37" s="2883"/>
      <c r="BU37" s="2883"/>
      <c r="BV37" s="2883"/>
      <c r="BW37" s="2883">
        <f t="shared" si="25"/>
        <v>863</v>
      </c>
      <c r="BX37" s="2885">
        <f t="shared" si="10"/>
        <v>431.5</v>
      </c>
      <c r="BZ37" s="2860" t="e">
        <f t="shared" si="4"/>
        <v>#N/A</v>
      </c>
      <c r="CA37" s="2860">
        <f t="shared" si="11"/>
        <v>175.91666666666669</v>
      </c>
      <c r="CB37" s="2881" t="e">
        <f t="shared" si="23"/>
        <v>#N/A</v>
      </c>
    </row>
    <row r="38" spans="1:80" ht="18" customHeight="1" x14ac:dyDescent="0.55000000000000004">
      <c r="A38" s="7134"/>
      <c r="B38" s="7135"/>
      <c r="C38" s="2925" t="s">
        <v>50</v>
      </c>
      <c r="D38" s="2925"/>
      <c r="E38" s="2925"/>
      <c r="F38" s="2926"/>
      <c r="G38" s="2927"/>
      <c r="H38" s="2927"/>
      <c r="I38" s="2927"/>
      <c r="J38" s="2927"/>
      <c r="K38" s="2927"/>
      <c r="L38" s="2927"/>
      <c r="M38" s="2927"/>
      <c r="N38" s="2927"/>
      <c r="O38" s="2927"/>
      <c r="P38" s="2927"/>
      <c r="Q38" s="2928"/>
      <c r="R38" s="2928"/>
      <c r="S38" s="2928"/>
      <c r="T38" s="2929">
        <v>1</v>
      </c>
      <c r="U38" s="2928">
        <v>42</v>
      </c>
      <c r="V38" s="2927">
        <v>-102</v>
      </c>
      <c r="W38" s="2927">
        <v>-72</v>
      </c>
      <c r="X38" s="2927">
        <v>-71</v>
      </c>
      <c r="Y38" s="2927">
        <v>-133</v>
      </c>
      <c r="Z38" s="2905">
        <v>-174</v>
      </c>
      <c r="AA38" s="2905">
        <v>-177</v>
      </c>
      <c r="AB38" s="2905">
        <v>-213</v>
      </c>
      <c r="AC38" s="2905">
        <v>282</v>
      </c>
      <c r="AD38" s="2905">
        <v>107</v>
      </c>
      <c r="AE38" s="2905">
        <v>-162</v>
      </c>
      <c r="AF38" s="2896">
        <v>0</v>
      </c>
      <c r="AG38" s="2896">
        <v>290.66666666666788</v>
      </c>
      <c r="AH38" s="2896"/>
      <c r="AI38" s="2919">
        <v>-360</v>
      </c>
      <c r="AJ38" s="2907">
        <v>-328</v>
      </c>
      <c r="AK38" s="2907">
        <v>-398</v>
      </c>
      <c r="AL38" s="2907">
        <v>-330</v>
      </c>
      <c r="AM38" s="2907">
        <v>-659</v>
      </c>
      <c r="AN38" s="2907">
        <v>-732</v>
      </c>
      <c r="AO38" s="2907">
        <v>-751</v>
      </c>
      <c r="AP38" s="2907">
        <v>-615</v>
      </c>
      <c r="AQ38" s="2907">
        <v>-697</v>
      </c>
      <c r="AR38" s="2907">
        <v>-656</v>
      </c>
      <c r="AS38" s="2907">
        <v>-654</v>
      </c>
      <c r="AT38" s="2905">
        <v>-667</v>
      </c>
      <c r="AU38" s="2896">
        <v>-6847</v>
      </c>
      <c r="AV38" s="2898">
        <v>-570.58333333333337</v>
      </c>
      <c r="AW38" s="2919">
        <v>-667</v>
      </c>
      <c r="AX38" s="2907">
        <v>-697</v>
      </c>
      <c r="AY38" s="2907">
        <v>-656</v>
      </c>
      <c r="AZ38" s="2907">
        <v>-570</v>
      </c>
      <c r="BA38" s="2907">
        <v>-597</v>
      </c>
      <c r="BB38" s="2907">
        <v>-435</v>
      </c>
      <c r="BC38" s="2907">
        <v>-263</v>
      </c>
      <c r="BD38" s="2907">
        <v>-547</v>
      </c>
      <c r="BE38" s="2907">
        <v>-542</v>
      </c>
      <c r="BF38" s="2907">
        <v>-539</v>
      </c>
      <c r="BG38" s="2907">
        <v>-632</v>
      </c>
      <c r="BH38" s="2907">
        <v>-573</v>
      </c>
      <c r="BI38" s="2896">
        <f t="shared" si="24"/>
        <v>-6718</v>
      </c>
      <c r="BJ38" s="2898">
        <f t="shared" si="7"/>
        <v>-559.83333333333337</v>
      </c>
      <c r="BK38" s="2919">
        <v>-410</v>
      </c>
      <c r="BL38" s="2907">
        <v>-399</v>
      </c>
      <c r="BM38" s="2907"/>
      <c r="BN38" s="2907"/>
      <c r="BO38" s="2907"/>
      <c r="BP38" s="2907"/>
      <c r="BQ38" s="2907"/>
      <c r="BR38" s="2907"/>
      <c r="BS38" s="2907"/>
      <c r="BT38" s="2907"/>
      <c r="BU38" s="2907"/>
      <c r="BV38" s="2907"/>
      <c r="BW38" s="2896">
        <f t="shared" si="25"/>
        <v>-809</v>
      </c>
      <c r="BX38" s="2898">
        <f t="shared" si="10"/>
        <v>-404.5</v>
      </c>
      <c r="BZ38" s="2860" t="e">
        <f t="shared" si="4"/>
        <v>#N/A</v>
      </c>
      <c r="CA38" s="2860">
        <f t="shared" si="11"/>
        <v>10.75</v>
      </c>
      <c r="CB38" s="2881" t="e">
        <f t="shared" si="23"/>
        <v>#N/A</v>
      </c>
    </row>
    <row r="39" spans="1:80" ht="18" customHeight="1" x14ac:dyDescent="0.55000000000000004">
      <c r="A39" s="7134" t="s">
        <v>939</v>
      </c>
      <c r="B39" s="7135"/>
      <c r="C39" s="2930" t="s">
        <v>43</v>
      </c>
      <c r="D39" s="2931"/>
      <c r="E39" s="2932"/>
      <c r="F39" s="2932"/>
      <c r="G39" s="2932"/>
      <c r="H39" s="2932"/>
      <c r="I39" s="2932"/>
      <c r="J39" s="2932"/>
      <c r="K39" s="2932"/>
      <c r="L39" s="2932"/>
      <c r="M39" s="2932"/>
      <c r="N39" s="2932"/>
      <c r="O39" s="2932"/>
      <c r="P39" s="2932"/>
      <c r="Q39" s="2932"/>
      <c r="R39" s="2932"/>
      <c r="S39" s="2932"/>
      <c r="T39" s="2932"/>
      <c r="U39" s="2932"/>
      <c r="V39" s="2932"/>
      <c r="W39" s="2932"/>
      <c r="X39" s="2932"/>
      <c r="Y39" s="2932"/>
      <c r="Z39" s="2933"/>
      <c r="AA39" s="2933"/>
      <c r="AB39" s="2933"/>
      <c r="AC39" s="2933"/>
      <c r="AD39" s="2933"/>
      <c r="AE39" s="2933"/>
      <c r="AF39" s="2933"/>
      <c r="AG39" s="2933"/>
      <c r="AH39" s="2933"/>
      <c r="AI39" s="2910">
        <v>22033</v>
      </c>
      <c r="AJ39" s="2911">
        <v>22566</v>
      </c>
      <c r="AK39" s="2911">
        <v>23104</v>
      </c>
      <c r="AL39" s="2911">
        <v>23582</v>
      </c>
      <c r="AM39" s="2911">
        <v>23688</v>
      </c>
      <c r="AN39" s="2911">
        <v>24078</v>
      </c>
      <c r="AO39" s="2911">
        <v>24354</v>
      </c>
      <c r="AP39" s="2911">
        <v>24881</v>
      </c>
      <c r="AQ39" s="2911">
        <v>25195</v>
      </c>
      <c r="AR39" s="2911">
        <v>25796</v>
      </c>
      <c r="AS39" s="2911">
        <v>25818</v>
      </c>
      <c r="AT39" s="2911">
        <v>25845</v>
      </c>
      <c r="AU39" s="2915">
        <v>25845</v>
      </c>
      <c r="AV39" s="2916">
        <v>24245</v>
      </c>
      <c r="AW39" s="2910">
        <v>25805</v>
      </c>
      <c r="AX39" s="2913">
        <v>25697</v>
      </c>
      <c r="AY39" s="2913">
        <v>25826</v>
      </c>
      <c r="AZ39" s="2913">
        <v>25962</v>
      </c>
      <c r="BA39" s="2913">
        <v>25659</v>
      </c>
      <c r="BB39" s="2913">
        <v>25621</v>
      </c>
      <c r="BC39" s="2913">
        <v>25844</v>
      </c>
      <c r="BD39" s="2911">
        <v>25880</v>
      </c>
      <c r="BE39" s="2911">
        <v>26013</v>
      </c>
      <c r="BF39" s="2911">
        <v>25895</v>
      </c>
      <c r="BG39" s="2913">
        <v>25437</v>
      </c>
      <c r="BH39" s="2911">
        <v>24959</v>
      </c>
      <c r="BI39" s="2915">
        <f>AW39</f>
        <v>25805</v>
      </c>
      <c r="BJ39" s="2916">
        <f>AVERAGE(AW39:BH39)</f>
        <v>25716.5</v>
      </c>
      <c r="BK39" s="2910">
        <v>24663</v>
      </c>
      <c r="BL39" s="2913">
        <v>24348</v>
      </c>
      <c r="BM39" s="2913"/>
      <c r="BN39" s="2913"/>
      <c r="BO39" s="2913"/>
      <c r="BP39" s="2913"/>
      <c r="BQ39" s="2913"/>
      <c r="BR39" s="2911"/>
      <c r="BS39" s="2911"/>
      <c r="BT39" s="2911"/>
      <c r="BU39" s="2913"/>
      <c r="BV39" s="2911"/>
      <c r="BW39" s="2915">
        <f>BK39</f>
        <v>24663</v>
      </c>
      <c r="BX39" s="2916">
        <f>AVERAGE(BK39:BV39)</f>
        <v>24505.5</v>
      </c>
      <c r="BZ39" s="2860" t="e">
        <f t="shared" si="4"/>
        <v>#N/A</v>
      </c>
      <c r="CA39" s="2860">
        <f t="shared" si="11"/>
        <v>1471.5</v>
      </c>
      <c r="CB39" s="2881" t="e">
        <f t="shared" si="23"/>
        <v>#N/A</v>
      </c>
    </row>
    <row r="40" spans="1:80" ht="18" customHeight="1" x14ac:dyDescent="0.55000000000000004">
      <c r="A40" s="7134"/>
      <c r="B40" s="7135"/>
      <c r="C40" s="2934" t="s">
        <v>46</v>
      </c>
      <c r="D40" s="698"/>
      <c r="E40" s="2935"/>
      <c r="F40" s="2935"/>
      <c r="G40" s="2935"/>
      <c r="H40" s="2935"/>
      <c r="I40" s="2935"/>
      <c r="J40" s="2935"/>
      <c r="K40" s="2935"/>
      <c r="L40" s="2935"/>
      <c r="M40" s="2935"/>
      <c r="N40" s="2935"/>
      <c r="O40" s="2935"/>
      <c r="P40" s="2935"/>
      <c r="Q40" s="2935"/>
      <c r="R40" s="2935"/>
      <c r="S40" s="2935"/>
      <c r="T40" s="2935"/>
      <c r="U40" s="2935"/>
      <c r="V40" s="2935"/>
      <c r="W40" s="2935"/>
      <c r="X40" s="2935"/>
      <c r="Y40" s="2935"/>
      <c r="Z40" s="2936"/>
      <c r="AA40" s="2936"/>
      <c r="AB40" s="2936"/>
      <c r="AC40" s="2936"/>
      <c r="AD40" s="2936"/>
      <c r="AE40" s="2936"/>
      <c r="AF40" s="2936"/>
      <c r="AG40" s="2936"/>
      <c r="AH40" s="2936"/>
      <c r="AI40" s="2884">
        <v>774</v>
      </c>
      <c r="AJ40" s="2883">
        <v>624</v>
      </c>
      <c r="AK40" s="2883">
        <v>731</v>
      </c>
      <c r="AL40" s="2883">
        <v>672</v>
      </c>
      <c r="AM40" s="2883">
        <v>727</v>
      </c>
      <c r="AN40" s="2883">
        <v>947.00000000000011</v>
      </c>
      <c r="AO40" s="2883">
        <v>851</v>
      </c>
      <c r="AP40" s="2883">
        <v>711</v>
      </c>
      <c r="AQ40" s="2883">
        <v>893.00000000000011</v>
      </c>
      <c r="AR40" s="2883">
        <v>807</v>
      </c>
      <c r="AS40" s="2883">
        <v>582</v>
      </c>
      <c r="AT40" s="1102">
        <v>553</v>
      </c>
      <c r="AU40" s="2883">
        <v>8872</v>
      </c>
      <c r="AV40" s="2885">
        <v>739.33333333333337</v>
      </c>
      <c r="AW40" s="2884">
        <v>551</v>
      </c>
      <c r="AX40" s="2883">
        <v>529</v>
      </c>
      <c r="AY40" s="2883">
        <v>772</v>
      </c>
      <c r="AZ40" s="2883">
        <v>791</v>
      </c>
      <c r="BA40" s="2883">
        <v>948.00000000000011</v>
      </c>
      <c r="BB40" s="2883">
        <v>807</v>
      </c>
      <c r="BC40" s="2883">
        <v>1069</v>
      </c>
      <c r="BD40" s="1102">
        <v>828</v>
      </c>
      <c r="BE40" s="2918">
        <v>887</v>
      </c>
      <c r="BF40" s="2883">
        <v>578</v>
      </c>
      <c r="BG40" s="2883">
        <v>487</v>
      </c>
      <c r="BH40" s="1102">
        <v>381</v>
      </c>
      <c r="BI40" s="2883">
        <f>AW40</f>
        <v>551</v>
      </c>
      <c r="BJ40" s="2885">
        <f t="shared" si="7"/>
        <v>719</v>
      </c>
      <c r="BK40" s="2884">
        <v>408</v>
      </c>
      <c r="BL40" s="2883">
        <v>411</v>
      </c>
      <c r="BM40" s="2883"/>
      <c r="BN40" s="2883"/>
      <c r="BO40" s="2883"/>
      <c r="BP40" s="2883"/>
      <c r="BQ40" s="2883"/>
      <c r="BR40" s="1102"/>
      <c r="BS40" s="2918"/>
      <c r="BT40" s="2883"/>
      <c r="BU40" s="2883"/>
      <c r="BV40" s="1102"/>
      <c r="BW40" s="2883">
        <f>BK40</f>
        <v>408</v>
      </c>
      <c r="BX40" s="2885">
        <f t="shared" ref="BX40:BX43" si="26">AVERAGE(BK40:BV40)</f>
        <v>409.5</v>
      </c>
      <c r="BZ40" s="2860" t="e">
        <f t="shared" si="4"/>
        <v>#N/A</v>
      </c>
      <c r="CA40" s="2860"/>
      <c r="CB40" s="2861"/>
    </row>
    <row r="41" spans="1:80" ht="18" customHeight="1" x14ac:dyDescent="0.55000000000000004">
      <c r="A41" s="7134"/>
      <c r="B41" s="7135"/>
      <c r="C41" s="698" t="s">
        <v>47</v>
      </c>
      <c r="D41" s="698"/>
      <c r="E41" s="2935"/>
      <c r="F41" s="2935"/>
      <c r="G41" s="2935"/>
      <c r="H41" s="2935"/>
      <c r="I41" s="2935"/>
      <c r="J41" s="2935"/>
      <c r="K41" s="2935"/>
      <c r="L41" s="2935"/>
      <c r="M41" s="2935"/>
      <c r="N41" s="2935"/>
      <c r="O41" s="2935"/>
      <c r="P41" s="2935"/>
      <c r="Q41" s="2935"/>
      <c r="R41" s="2935"/>
      <c r="S41" s="2935"/>
      <c r="T41" s="2935"/>
      <c r="U41" s="2935"/>
      <c r="V41" s="2935"/>
      <c r="W41" s="2935"/>
      <c r="X41" s="2935"/>
      <c r="Y41" s="2935"/>
      <c r="Z41" s="2936"/>
      <c r="AA41" s="2936"/>
      <c r="AB41" s="2936"/>
      <c r="AC41" s="2936"/>
      <c r="AD41" s="2936"/>
      <c r="AE41" s="2936"/>
      <c r="AF41" s="2936"/>
      <c r="AG41" s="2936"/>
      <c r="AH41" s="2936"/>
      <c r="AI41" s="2884">
        <v>161</v>
      </c>
      <c r="AJ41" s="2883">
        <v>170</v>
      </c>
      <c r="AK41" s="2883">
        <v>164</v>
      </c>
      <c r="AL41" s="2883">
        <v>152</v>
      </c>
      <c r="AM41" s="2883">
        <v>180</v>
      </c>
      <c r="AN41" s="2883">
        <v>155</v>
      </c>
      <c r="AO41" s="2883">
        <v>197</v>
      </c>
      <c r="AP41" s="2883">
        <v>174</v>
      </c>
      <c r="AQ41" s="2883">
        <v>190</v>
      </c>
      <c r="AR41" s="2883">
        <v>164</v>
      </c>
      <c r="AS41" s="2883">
        <v>160</v>
      </c>
      <c r="AT41" s="1102">
        <v>145</v>
      </c>
      <c r="AU41" s="2883">
        <v>2012</v>
      </c>
      <c r="AV41" s="2885">
        <v>167.66666666666666</v>
      </c>
      <c r="AW41" s="2884">
        <v>162</v>
      </c>
      <c r="AX41" s="2883">
        <v>180</v>
      </c>
      <c r="AY41" s="2883">
        <v>200</v>
      </c>
      <c r="AZ41" s="2883">
        <v>194</v>
      </c>
      <c r="BA41" s="2883">
        <v>158</v>
      </c>
      <c r="BB41" s="2883">
        <v>168</v>
      </c>
      <c r="BC41" s="2883">
        <v>163</v>
      </c>
      <c r="BD41" s="1102">
        <v>148</v>
      </c>
      <c r="BE41" s="1102">
        <v>154</v>
      </c>
      <c r="BF41" s="2883">
        <v>148</v>
      </c>
      <c r="BG41" s="2883">
        <v>166</v>
      </c>
      <c r="BH41" s="1102">
        <v>177</v>
      </c>
      <c r="BI41" s="2883">
        <f>AW41</f>
        <v>162</v>
      </c>
      <c r="BJ41" s="2885">
        <f t="shared" si="7"/>
        <v>168.16666666666666</v>
      </c>
      <c r="BK41" s="2884">
        <v>108</v>
      </c>
      <c r="BL41" s="2883">
        <v>159</v>
      </c>
      <c r="BM41" s="2883"/>
      <c r="BN41" s="2883"/>
      <c r="BO41" s="2883"/>
      <c r="BP41" s="2883"/>
      <c r="BQ41" s="2883"/>
      <c r="BR41" s="1102"/>
      <c r="BS41" s="1102"/>
      <c r="BT41" s="2883"/>
      <c r="BU41" s="2883"/>
      <c r="BV41" s="1102"/>
      <c r="BW41" s="2883">
        <f>BK41</f>
        <v>108</v>
      </c>
      <c r="BX41" s="2885">
        <f t="shared" si="26"/>
        <v>133.5</v>
      </c>
      <c r="BZ41" s="2860" t="e">
        <f t="shared" ref="BZ41:BZ72" si="27">HLOOKUP($A$1,$AW$1:$BH$383,ROW(),0)-HLOOKUP($A$1,$AI$1:$AT$383,ROW(),0)</f>
        <v>#N/A</v>
      </c>
      <c r="CA41" s="2860">
        <f t="shared" si="11"/>
        <v>0.5</v>
      </c>
      <c r="CB41" s="2881" t="e">
        <f t="shared" ref="CB41:CB46" si="28">HLOOKUP($A$1,$AW$1:$BH$383,ROW(),0)-SUM(AI41:AJ41)</f>
        <v>#N/A</v>
      </c>
    </row>
    <row r="42" spans="1:80" ht="18" customHeight="1" x14ac:dyDescent="0.55000000000000004">
      <c r="A42" s="7134"/>
      <c r="B42" s="7135"/>
      <c r="C42" s="2920" t="s">
        <v>58</v>
      </c>
      <c r="D42" s="698"/>
      <c r="E42" s="2935"/>
      <c r="F42" s="2935"/>
      <c r="G42" s="2935"/>
      <c r="H42" s="2935"/>
      <c r="I42" s="2935"/>
      <c r="J42" s="2935"/>
      <c r="K42" s="2935"/>
      <c r="L42" s="2935"/>
      <c r="M42" s="2935"/>
      <c r="N42" s="2935"/>
      <c r="O42" s="2935"/>
      <c r="P42" s="2935"/>
      <c r="Q42" s="2935"/>
      <c r="R42" s="2935"/>
      <c r="S42" s="2935"/>
      <c r="T42" s="2935"/>
      <c r="U42" s="2935"/>
      <c r="V42" s="2935"/>
      <c r="W42" s="2935"/>
      <c r="X42" s="2935"/>
      <c r="Y42" s="2935"/>
      <c r="Z42" s="2936"/>
      <c r="AA42" s="2936"/>
      <c r="AB42" s="2936"/>
      <c r="AC42" s="2936"/>
      <c r="AD42" s="2936"/>
      <c r="AE42" s="2936"/>
      <c r="AF42" s="2936"/>
      <c r="AG42" s="2936"/>
      <c r="AH42" s="2936"/>
      <c r="AI42" s="2884">
        <v>20</v>
      </c>
      <c r="AJ42" s="2883">
        <v>13</v>
      </c>
      <c r="AK42" s="2883">
        <v>21</v>
      </c>
      <c r="AL42" s="2883">
        <v>19</v>
      </c>
      <c r="AM42" s="2883">
        <v>20</v>
      </c>
      <c r="AN42" s="2883">
        <v>16</v>
      </c>
      <c r="AO42" s="2883">
        <v>21</v>
      </c>
      <c r="AP42" s="2883">
        <v>10</v>
      </c>
      <c r="AQ42" s="2883">
        <v>14</v>
      </c>
      <c r="AR42" s="2883">
        <v>16</v>
      </c>
      <c r="AS42" s="2883">
        <v>14</v>
      </c>
      <c r="AT42" s="1102">
        <v>7</v>
      </c>
      <c r="AU42" s="2883">
        <v>191</v>
      </c>
      <c r="AV42" s="2885">
        <v>15.916666666666666</v>
      </c>
      <c r="AW42" s="2884">
        <v>13</v>
      </c>
      <c r="AX42" s="2883">
        <v>12</v>
      </c>
      <c r="AY42" s="2883">
        <v>33</v>
      </c>
      <c r="AZ42" s="2883">
        <v>32</v>
      </c>
      <c r="BA42" s="2883">
        <v>28</v>
      </c>
      <c r="BB42" s="2883">
        <v>21</v>
      </c>
      <c r="BC42" s="2883">
        <v>27</v>
      </c>
      <c r="BD42" s="1102">
        <v>11</v>
      </c>
      <c r="BE42" s="1102">
        <v>23</v>
      </c>
      <c r="BF42" s="2883">
        <v>12</v>
      </c>
      <c r="BG42" s="2883">
        <v>10</v>
      </c>
      <c r="BH42" s="1102">
        <v>19</v>
      </c>
      <c r="BI42" s="2883">
        <f>AW42</f>
        <v>13</v>
      </c>
      <c r="BJ42" s="2885">
        <f t="shared" si="7"/>
        <v>20.083333333333332</v>
      </c>
      <c r="BK42" s="2884">
        <v>14</v>
      </c>
      <c r="BL42" s="2883">
        <v>22</v>
      </c>
      <c r="BM42" s="2883"/>
      <c r="BN42" s="2883"/>
      <c r="BO42" s="2883"/>
      <c r="BP42" s="2883"/>
      <c r="BQ42" s="2883"/>
      <c r="BR42" s="1102"/>
      <c r="BS42" s="1102"/>
      <c r="BT42" s="2883"/>
      <c r="BU42" s="2883"/>
      <c r="BV42" s="1102"/>
      <c r="BW42" s="2883">
        <f>BK42</f>
        <v>14</v>
      </c>
      <c r="BX42" s="2885">
        <f t="shared" si="26"/>
        <v>18</v>
      </c>
      <c r="BZ42" s="2860" t="e">
        <f t="shared" si="27"/>
        <v>#N/A</v>
      </c>
      <c r="CA42" s="2860">
        <f t="shared" si="11"/>
        <v>4.1666666666666661</v>
      </c>
      <c r="CB42" s="2881" t="e">
        <f t="shared" si="28"/>
        <v>#N/A</v>
      </c>
    </row>
    <row r="43" spans="1:80" ht="18" customHeight="1" x14ac:dyDescent="0.55000000000000004">
      <c r="A43" s="7134"/>
      <c r="B43" s="7135"/>
      <c r="C43" s="698" t="s">
        <v>49</v>
      </c>
      <c r="D43" s="698"/>
      <c r="E43" s="2935"/>
      <c r="F43" s="2935"/>
      <c r="G43" s="2935"/>
      <c r="H43" s="2935"/>
      <c r="I43" s="2935"/>
      <c r="J43" s="2935"/>
      <c r="K43" s="2935"/>
      <c r="L43" s="2935"/>
      <c r="M43" s="2935"/>
      <c r="N43" s="2935"/>
      <c r="O43" s="2935"/>
      <c r="P43" s="2935"/>
      <c r="Q43" s="2935"/>
      <c r="R43" s="2935"/>
      <c r="S43" s="2935"/>
      <c r="T43" s="2935"/>
      <c r="U43" s="2935"/>
      <c r="V43" s="2935"/>
      <c r="W43" s="2935"/>
      <c r="X43" s="2935"/>
      <c r="Y43" s="2935"/>
      <c r="Z43" s="2936"/>
      <c r="AA43" s="2936"/>
      <c r="AB43" s="2936"/>
      <c r="AC43" s="2936"/>
      <c r="AD43" s="2936"/>
      <c r="AE43" s="2936"/>
      <c r="AF43" s="2936"/>
      <c r="AG43" s="2936"/>
      <c r="AH43" s="2936"/>
      <c r="AI43" s="2884">
        <v>-40</v>
      </c>
      <c r="AJ43" s="2883">
        <v>-79</v>
      </c>
      <c r="AK43" s="2883">
        <v>29</v>
      </c>
      <c r="AL43" s="2883">
        <v>42</v>
      </c>
      <c r="AM43" s="2883">
        <v>441</v>
      </c>
      <c r="AN43" s="2883">
        <v>402.00000000000011</v>
      </c>
      <c r="AO43" s="2883">
        <v>378</v>
      </c>
      <c r="AP43" s="2883">
        <v>10</v>
      </c>
      <c r="AQ43" s="2883">
        <v>389.00000000000011</v>
      </c>
      <c r="AR43" s="2883">
        <v>42</v>
      </c>
      <c r="AS43" s="2883">
        <v>400</v>
      </c>
      <c r="AT43" s="2883">
        <v>1075</v>
      </c>
      <c r="AU43" s="2883">
        <v>3089</v>
      </c>
      <c r="AV43" s="2885">
        <v>257.41666666666669</v>
      </c>
      <c r="AW43" s="2884">
        <v>429</v>
      </c>
      <c r="AX43" s="2883">
        <v>457</v>
      </c>
      <c r="AY43" s="2883">
        <v>443</v>
      </c>
      <c r="AZ43" s="2883">
        <v>461</v>
      </c>
      <c r="BA43" s="2883">
        <v>1093</v>
      </c>
      <c r="BB43" s="2883">
        <v>603</v>
      </c>
      <c r="BC43" s="2883">
        <v>683</v>
      </c>
      <c r="BD43" s="2883">
        <v>644</v>
      </c>
      <c r="BE43" s="2883">
        <v>600</v>
      </c>
      <c r="BF43" s="2883">
        <v>548</v>
      </c>
      <c r="BG43" s="2883">
        <v>779</v>
      </c>
      <c r="BH43" s="2883">
        <v>682</v>
      </c>
      <c r="BI43" s="2883">
        <f>AW43</f>
        <v>429</v>
      </c>
      <c r="BJ43" s="2885">
        <f t="shared" si="7"/>
        <v>618.5</v>
      </c>
      <c r="BK43" s="2884">
        <v>596</v>
      </c>
      <c r="BL43" s="2883">
        <v>567</v>
      </c>
      <c r="BM43" s="2883"/>
      <c r="BN43" s="2883"/>
      <c r="BO43" s="2883"/>
      <c r="BP43" s="2883"/>
      <c r="BQ43" s="2883"/>
      <c r="BR43" s="2883"/>
      <c r="BS43" s="2883"/>
      <c r="BT43" s="2883"/>
      <c r="BU43" s="2883"/>
      <c r="BV43" s="2883"/>
      <c r="BW43" s="2883">
        <f>BK43</f>
        <v>596</v>
      </c>
      <c r="BX43" s="2885">
        <f t="shared" si="26"/>
        <v>581.5</v>
      </c>
      <c r="BZ43" s="2860" t="e">
        <f t="shared" si="27"/>
        <v>#N/A</v>
      </c>
      <c r="CA43" s="2860">
        <f t="shared" si="11"/>
        <v>361.08333333333331</v>
      </c>
      <c r="CB43" s="2881" t="e">
        <f t="shared" si="28"/>
        <v>#N/A</v>
      </c>
    </row>
    <row r="44" spans="1:80" ht="18" customHeight="1" thickBot="1" x14ac:dyDescent="0.6">
      <c r="A44" s="7136"/>
      <c r="B44" s="7137"/>
      <c r="C44" s="2937" t="s">
        <v>50</v>
      </c>
      <c r="D44" s="2937"/>
      <c r="E44" s="2938"/>
      <c r="F44" s="2938"/>
      <c r="G44" s="2938"/>
      <c r="H44" s="2938"/>
      <c r="I44" s="2938"/>
      <c r="J44" s="2938"/>
      <c r="K44" s="2938"/>
      <c r="L44" s="2938"/>
      <c r="M44" s="2938"/>
      <c r="N44" s="2938"/>
      <c r="O44" s="2938"/>
      <c r="P44" s="2938"/>
      <c r="Q44" s="2938"/>
      <c r="R44" s="2938"/>
      <c r="S44" s="2938"/>
      <c r="T44" s="2938"/>
      <c r="U44" s="2938"/>
      <c r="V44" s="2938"/>
      <c r="W44" s="2938"/>
      <c r="X44" s="2938"/>
      <c r="Y44" s="2938"/>
      <c r="Z44" s="2939"/>
      <c r="AA44" s="2939"/>
      <c r="AB44" s="2939"/>
      <c r="AC44" s="2939"/>
      <c r="AD44" s="2939"/>
      <c r="AE44" s="2939"/>
      <c r="AF44" s="2939"/>
      <c r="AG44" s="2939"/>
      <c r="AH44" s="2939"/>
      <c r="AI44" s="2940">
        <v>653</v>
      </c>
      <c r="AJ44" s="2907">
        <v>533</v>
      </c>
      <c r="AK44" s="2907">
        <v>538</v>
      </c>
      <c r="AL44" s="2907">
        <v>478</v>
      </c>
      <c r="AM44" s="2907">
        <v>106</v>
      </c>
      <c r="AN44" s="2907">
        <v>390</v>
      </c>
      <c r="AO44" s="2907">
        <v>276</v>
      </c>
      <c r="AP44" s="2907">
        <v>527</v>
      </c>
      <c r="AQ44" s="2907">
        <v>314</v>
      </c>
      <c r="AR44" s="2907">
        <v>601</v>
      </c>
      <c r="AS44" s="2907">
        <v>22</v>
      </c>
      <c r="AT44" s="2905">
        <v>-667</v>
      </c>
      <c r="AU44" s="2896">
        <v>3771</v>
      </c>
      <c r="AV44" s="2898">
        <v>314.25</v>
      </c>
      <c r="AW44" s="2941">
        <v>-40</v>
      </c>
      <c r="AX44" s="2942">
        <v>-108</v>
      </c>
      <c r="AY44" s="2942">
        <v>129</v>
      </c>
      <c r="AZ44" s="2942">
        <v>136</v>
      </c>
      <c r="BA44" s="2942">
        <v>-303</v>
      </c>
      <c r="BB44" s="2942">
        <v>-38</v>
      </c>
      <c r="BC44" s="2942">
        <v>223</v>
      </c>
      <c r="BD44" s="2942">
        <v>36</v>
      </c>
      <c r="BE44" s="2942">
        <v>133</v>
      </c>
      <c r="BF44" s="2942">
        <v>-118</v>
      </c>
      <c r="BG44" s="2942">
        <v>-458</v>
      </c>
      <c r="BH44" s="2942">
        <v>-478</v>
      </c>
      <c r="BI44" s="2942">
        <f>SUM(AW44:BH44)</f>
        <v>-886</v>
      </c>
      <c r="BJ44" s="2943">
        <f>AVERAGE(AW44:BH44)</f>
        <v>-73.833333333333329</v>
      </c>
      <c r="BK44" s="2941">
        <v>-296</v>
      </c>
      <c r="BL44" s="2942">
        <v>-315</v>
      </c>
      <c r="BM44" s="2942"/>
      <c r="BN44" s="2942"/>
      <c r="BO44" s="2942"/>
      <c r="BP44" s="2942"/>
      <c r="BQ44" s="2942"/>
      <c r="BR44" s="2942"/>
      <c r="BS44" s="2942"/>
      <c r="BT44" s="2942"/>
      <c r="BU44" s="2942"/>
      <c r="BV44" s="2942"/>
      <c r="BW44" s="2942">
        <f>SUM(BK44:BV44)</f>
        <v>-611</v>
      </c>
      <c r="BX44" s="2943">
        <f>AVERAGE(BK44:BV44)</f>
        <v>-305.5</v>
      </c>
      <c r="BZ44" s="2860" t="e">
        <f t="shared" si="27"/>
        <v>#N/A</v>
      </c>
      <c r="CA44" s="2860">
        <f t="shared" si="11"/>
        <v>-388.08333333333331</v>
      </c>
      <c r="CB44" s="2881" t="e">
        <f t="shared" si="28"/>
        <v>#N/A</v>
      </c>
    </row>
    <row r="45" spans="1:80" ht="18" customHeight="1" x14ac:dyDescent="0.55000000000000004">
      <c r="A45" s="7134" t="s">
        <v>22</v>
      </c>
      <c r="B45" s="7135"/>
      <c r="C45" s="2930" t="s">
        <v>43</v>
      </c>
      <c r="D45" s="2931"/>
      <c r="E45" s="2931">
        <v>20</v>
      </c>
      <c r="F45" s="2944">
        <v>20</v>
      </c>
      <c r="G45" s="2945">
        <v>20</v>
      </c>
      <c r="H45" s="2945">
        <v>20</v>
      </c>
      <c r="I45" s="2945">
        <v>20</v>
      </c>
      <c r="J45" s="2945">
        <v>20</v>
      </c>
      <c r="K45" s="2945">
        <v>19</v>
      </c>
      <c r="L45" s="2945">
        <v>19</v>
      </c>
      <c r="M45" s="2945">
        <v>19</v>
      </c>
      <c r="N45" s="2945">
        <v>19</v>
      </c>
      <c r="O45" s="2945">
        <v>19</v>
      </c>
      <c r="P45" s="2945">
        <v>19</v>
      </c>
      <c r="Q45" s="2946">
        <v>19</v>
      </c>
      <c r="R45" s="2946">
        <v>19</v>
      </c>
      <c r="S45" s="2946">
        <v>19.416666666666668</v>
      </c>
      <c r="T45" s="2945">
        <v>19</v>
      </c>
      <c r="U45" s="2945">
        <v>19</v>
      </c>
      <c r="V45" s="2945">
        <v>18</v>
      </c>
      <c r="W45" s="2945">
        <v>17</v>
      </c>
      <c r="X45" s="2945">
        <v>19</v>
      </c>
      <c r="Y45" s="2945">
        <v>21</v>
      </c>
      <c r="Z45" s="2911">
        <v>25</v>
      </c>
      <c r="AA45" s="2911">
        <v>28</v>
      </c>
      <c r="AB45" s="2911">
        <v>29</v>
      </c>
      <c r="AC45" s="2911">
        <v>32</v>
      </c>
      <c r="AD45" s="2911">
        <v>39</v>
      </c>
      <c r="AE45" s="2911">
        <v>41</v>
      </c>
      <c r="AF45" s="2913">
        <v>41</v>
      </c>
      <c r="AG45" s="2913">
        <v>25.583333333333332</v>
      </c>
      <c r="AH45" s="2913"/>
      <c r="AI45" s="2917">
        <v>42</v>
      </c>
      <c r="AJ45" s="2913">
        <v>44</v>
      </c>
      <c r="AK45" s="2913">
        <v>46</v>
      </c>
      <c r="AL45" s="2913">
        <v>49</v>
      </c>
      <c r="AM45" s="2913">
        <v>50</v>
      </c>
      <c r="AN45" s="2913">
        <v>49</v>
      </c>
      <c r="AO45" s="2913">
        <v>50</v>
      </c>
      <c r="AP45" s="2913">
        <v>51</v>
      </c>
      <c r="AQ45" s="2913">
        <v>101</v>
      </c>
      <c r="AR45" s="2913">
        <v>105</v>
      </c>
      <c r="AS45" s="2913">
        <v>106</v>
      </c>
      <c r="AT45" s="2911">
        <v>105</v>
      </c>
      <c r="AU45" s="2915">
        <v>105</v>
      </c>
      <c r="AV45" s="2916">
        <v>66.5</v>
      </c>
      <c r="AW45" s="2917">
        <v>109</v>
      </c>
      <c r="AX45" s="2913">
        <v>115</v>
      </c>
      <c r="AY45" s="2913">
        <v>134</v>
      </c>
      <c r="AZ45" s="2913">
        <v>142</v>
      </c>
      <c r="BA45" s="2913">
        <v>173</v>
      </c>
      <c r="BB45" s="2913">
        <v>196</v>
      </c>
      <c r="BC45" s="2913">
        <v>271</v>
      </c>
      <c r="BD45" s="2913">
        <v>279</v>
      </c>
      <c r="BE45" s="2913">
        <v>284</v>
      </c>
      <c r="BF45" s="2913">
        <v>272</v>
      </c>
      <c r="BG45" s="2913">
        <v>277</v>
      </c>
      <c r="BH45" s="2913">
        <v>293</v>
      </c>
      <c r="BI45" s="2915">
        <f>AW45</f>
        <v>109</v>
      </c>
      <c r="BJ45" s="2916">
        <f t="shared" si="7"/>
        <v>212.08333333333334</v>
      </c>
      <c r="BK45" s="2917">
        <v>330</v>
      </c>
      <c r="BL45" s="2913">
        <v>342</v>
      </c>
      <c r="BM45" s="2913"/>
      <c r="BN45" s="2913"/>
      <c r="BO45" s="2913"/>
      <c r="BP45" s="2913"/>
      <c r="BQ45" s="2913"/>
      <c r="BR45" s="2913"/>
      <c r="BS45" s="2913"/>
      <c r="BT45" s="2913"/>
      <c r="BU45" s="2913"/>
      <c r="BV45" s="2913"/>
      <c r="BW45" s="2915">
        <f>BK45</f>
        <v>330</v>
      </c>
      <c r="BX45" s="2916">
        <f t="shared" ref="BX45:BX86" si="29">AVERAGE(BK45:BV45)</f>
        <v>336</v>
      </c>
      <c r="BZ45" s="2860" t="e">
        <f t="shared" si="27"/>
        <v>#N/A</v>
      </c>
      <c r="CA45" s="2860">
        <f t="shared" si="11"/>
        <v>145.58333333333334</v>
      </c>
      <c r="CB45" s="2881" t="e">
        <f t="shared" si="28"/>
        <v>#N/A</v>
      </c>
    </row>
    <row r="46" spans="1:80" ht="18" customHeight="1" x14ac:dyDescent="0.55000000000000004">
      <c r="A46" s="7134"/>
      <c r="B46" s="7135"/>
      <c r="C46" s="2934" t="s">
        <v>46</v>
      </c>
      <c r="D46" s="698"/>
      <c r="E46" s="698"/>
      <c r="F46" s="2921"/>
      <c r="G46" s="2922"/>
      <c r="H46" s="2922"/>
      <c r="I46" s="2922"/>
      <c r="J46" s="2922"/>
      <c r="K46" s="2922"/>
      <c r="L46" s="2922"/>
      <c r="M46" s="2922"/>
      <c r="N46" s="2922"/>
      <c r="O46" s="2922"/>
      <c r="P46" s="2922"/>
      <c r="Q46" s="2922"/>
      <c r="R46" s="2922"/>
      <c r="S46" s="2922"/>
      <c r="T46" s="2921"/>
      <c r="U46" s="2922"/>
      <c r="V46" s="2922">
        <v>0</v>
      </c>
      <c r="W46" s="2922">
        <v>0</v>
      </c>
      <c r="X46" s="2922">
        <v>0</v>
      </c>
      <c r="Y46" s="2922">
        <v>0</v>
      </c>
      <c r="Z46" s="1102">
        <v>0</v>
      </c>
      <c r="AA46" s="1102">
        <v>0</v>
      </c>
      <c r="AB46" s="1102">
        <v>0</v>
      </c>
      <c r="AC46" s="1102">
        <v>0</v>
      </c>
      <c r="AD46" s="1102">
        <v>0</v>
      </c>
      <c r="AE46" s="1102">
        <v>0</v>
      </c>
      <c r="AF46" s="2883">
        <v>0</v>
      </c>
      <c r="AG46" s="2883">
        <v>0</v>
      </c>
      <c r="AH46" s="2883"/>
      <c r="AI46" s="2884">
        <v>1</v>
      </c>
      <c r="AJ46" s="2883">
        <v>2</v>
      </c>
      <c r="AK46" s="2883">
        <v>2</v>
      </c>
      <c r="AL46" s="2883">
        <v>3</v>
      </c>
      <c r="AM46" s="2883">
        <v>1</v>
      </c>
      <c r="AN46" s="2883">
        <v>6</v>
      </c>
      <c r="AO46" s="2883">
        <v>2</v>
      </c>
      <c r="AP46" s="2883">
        <v>2</v>
      </c>
      <c r="AQ46" s="2883">
        <v>50</v>
      </c>
      <c r="AR46" s="2883">
        <v>4</v>
      </c>
      <c r="AS46" s="2883">
        <v>2</v>
      </c>
      <c r="AT46" s="1102">
        <v>0</v>
      </c>
      <c r="AU46" s="2883">
        <v>75</v>
      </c>
      <c r="AV46" s="2885">
        <v>6.25</v>
      </c>
      <c r="AW46" s="2884">
        <v>7</v>
      </c>
      <c r="AX46" s="2883">
        <v>6</v>
      </c>
      <c r="AY46" s="2883">
        <v>19</v>
      </c>
      <c r="AZ46" s="2883">
        <v>12</v>
      </c>
      <c r="BA46" s="2883">
        <v>0</v>
      </c>
      <c r="BB46" s="2883">
        <v>0</v>
      </c>
      <c r="BC46" s="2883">
        <v>82</v>
      </c>
      <c r="BD46" s="2883">
        <v>13</v>
      </c>
      <c r="BE46" s="2883">
        <v>9</v>
      </c>
      <c r="BF46" s="2883">
        <v>6</v>
      </c>
      <c r="BG46" s="2883">
        <v>12</v>
      </c>
      <c r="BH46" s="1102">
        <v>0</v>
      </c>
      <c r="BI46" s="2883">
        <f t="shared" ref="BI46:BI50" si="30">SUM(AW46:BH46)</f>
        <v>166</v>
      </c>
      <c r="BJ46" s="2885">
        <f t="shared" si="7"/>
        <v>13.833333333333334</v>
      </c>
      <c r="BK46" s="2884">
        <v>29</v>
      </c>
      <c r="BL46" s="2883">
        <v>79</v>
      </c>
      <c r="BM46" s="2883"/>
      <c r="BN46" s="2883"/>
      <c r="BO46" s="2883"/>
      <c r="BP46" s="2883"/>
      <c r="BQ46" s="2883"/>
      <c r="BR46" s="2883"/>
      <c r="BS46" s="2883"/>
      <c r="BT46" s="2883"/>
      <c r="BU46" s="2883"/>
      <c r="BV46" s="1102"/>
      <c r="BW46" s="2883">
        <f t="shared" ref="BW46:BW50" si="31">SUM(BK46:BV46)</f>
        <v>108</v>
      </c>
      <c r="BX46" s="2885">
        <f t="shared" si="29"/>
        <v>54</v>
      </c>
      <c r="BZ46" s="2860" t="e">
        <f t="shared" si="27"/>
        <v>#N/A</v>
      </c>
      <c r="CA46" s="2860">
        <f t="shared" si="11"/>
        <v>7.5833333333333339</v>
      </c>
      <c r="CB46" s="2881" t="e">
        <f t="shared" si="28"/>
        <v>#N/A</v>
      </c>
    </row>
    <row r="47" spans="1:80" ht="18" customHeight="1" x14ac:dyDescent="0.55000000000000004">
      <c r="A47" s="7134"/>
      <c r="B47" s="7135"/>
      <c r="C47" s="698" t="s">
        <v>47</v>
      </c>
      <c r="D47" s="698"/>
      <c r="E47" s="698">
        <v>2</v>
      </c>
      <c r="F47" s="2921">
        <v>0</v>
      </c>
      <c r="G47" s="2922">
        <v>0</v>
      </c>
      <c r="H47" s="2922">
        <v>0</v>
      </c>
      <c r="I47" s="2922">
        <v>0</v>
      </c>
      <c r="J47" s="2922">
        <v>0</v>
      </c>
      <c r="K47" s="2922">
        <v>1</v>
      </c>
      <c r="L47" s="2922">
        <v>0</v>
      </c>
      <c r="M47" s="2922">
        <v>0</v>
      </c>
      <c r="N47" s="2922">
        <v>0</v>
      </c>
      <c r="O47" s="2922">
        <v>0</v>
      </c>
      <c r="P47" s="2922">
        <v>0</v>
      </c>
      <c r="Q47" s="2922">
        <v>0</v>
      </c>
      <c r="R47" s="2922">
        <v>1</v>
      </c>
      <c r="S47" s="2922">
        <v>8.3333333333333329E-2</v>
      </c>
      <c r="T47" s="2921">
        <v>0</v>
      </c>
      <c r="U47" s="2922">
        <v>0</v>
      </c>
      <c r="V47" s="2922">
        <v>1</v>
      </c>
      <c r="W47" s="2922">
        <v>1</v>
      </c>
      <c r="X47" s="2922">
        <v>0</v>
      </c>
      <c r="Y47" s="2922">
        <v>0</v>
      </c>
      <c r="Z47" s="1102">
        <v>0</v>
      </c>
      <c r="AA47" s="1102">
        <v>0</v>
      </c>
      <c r="AB47" s="1102">
        <v>0</v>
      </c>
      <c r="AC47" s="1102">
        <v>1</v>
      </c>
      <c r="AD47" s="1102">
        <v>0</v>
      </c>
      <c r="AE47" s="1102">
        <v>0</v>
      </c>
      <c r="AF47" s="2883">
        <v>3</v>
      </c>
      <c r="AG47" s="2883">
        <v>0.25</v>
      </c>
      <c r="AH47" s="2883"/>
      <c r="AI47" s="2884">
        <v>0</v>
      </c>
      <c r="AJ47" s="2883">
        <v>0</v>
      </c>
      <c r="AK47" s="2883">
        <v>1</v>
      </c>
      <c r="AL47" s="2883">
        <v>0</v>
      </c>
      <c r="AM47" s="2883">
        <v>0</v>
      </c>
      <c r="AN47" s="2883">
        <v>3</v>
      </c>
      <c r="AO47" s="2883">
        <v>0</v>
      </c>
      <c r="AP47" s="2883">
        <v>1</v>
      </c>
      <c r="AQ47" s="2883">
        <v>0</v>
      </c>
      <c r="AR47" s="2883">
        <v>0</v>
      </c>
      <c r="AS47" s="2883">
        <v>1</v>
      </c>
      <c r="AT47" s="1102">
        <v>1</v>
      </c>
      <c r="AU47" s="2883">
        <v>7</v>
      </c>
      <c r="AV47" s="2885">
        <v>0.58333333333333337</v>
      </c>
      <c r="AW47" s="2884">
        <v>3</v>
      </c>
      <c r="AX47" s="2883">
        <v>0</v>
      </c>
      <c r="AY47" s="2883">
        <v>0</v>
      </c>
      <c r="AZ47" s="2883">
        <v>1</v>
      </c>
      <c r="BA47" s="2883">
        <v>0</v>
      </c>
      <c r="BB47" s="2883">
        <v>1</v>
      </c>
      <c r="BC47" s="2883">
        <v>1</v>
      </c>
      <c r="BD47" s="2883">
        <v>0</v>
      </c>
      <c r="BE47" s="2883">
        <v>2</v>
      </c>
      <c r="BF47" s="2883">
        <v>2</v>
      </c>
      <c r="BG47" s="2883">
        <v>1</v>
      </c>
      <c r="BH47" s="2883">
        <v>0</v>
      </c>
      <c r="BI47" s="2883">
        <f t="shared" si="30"/>
        <v>11</v>
      </c>
      <c r="BJ47" s="2885">
        <f t="shared" si="7"/>
        <v>0.91666666666666663</v>
      </c>
      <c r="BK47" s="2884">
        <v>2</v>
      </c>
      <c r="BL47" s="2883">
        <v>4</v>
      </c>
      <c r="BM47" s="2883"/>
      <c r="BN47" s="2883"/>
      <c r="BO47" s="2883"/>
      <c r="BP47" s="2883"/>
      <c r="BQ47" s="2883"/>
      <c r="BR47" s="2883"/>
      <c r="BS47" s="2883"/>
      <c r="BT47" s="2883"/>
      <c r="BU47" s="2883"/>
      <c r="BV47" s="2883"/>
      <c r="BW47" s="2883">
        <f t="shared" si="31"/>
        <v>6</v>
      </c>
      <c r="BX47" s="2885">
        <f t="shared" si="29"/>
        <v>3</v>
      </c>
      <c r="BZ47" s="2860" t="e">
        <f t="shared" si="27"/>
        <v>#N/A</v>
      </c>
      <c r="CA47" s="2860">
        <f t="shared" si="11"/>
        <v>0.33333333333333326</v>
      </c>
      <c r="CB47" s="2861">
        <f>AX47-AJ47</f>
        <v>0</v>
      </c>
    </row>
    <row r="48" spans="1:80" ht="18" customHeight="1" x14ac:dyDescent="0.55000000000000004">
      <c r="A48" s="7134"/>
      <c r="B48" s="7138"/>
      <c r="C48" s="615" t="s">
        <v>58</v>
      </c>
      <c r="E48" s="559">
        <v>2</v>
      </c>
      <c r="F48" s="2882">
        <v>0</v>
      </c>
      <c r="G48" s="1102">
        <v>0</v>
      </c>
      <c r="H48" s="1102">
        <v>0</v>
      </c>
      <c r="I48" s="1102">
        <v>0</v>
      </c>
      <c r="J48" s="1102">
        <v>0</v>
      </c>
      <c r="K48" s="1102">
        <v>0</v>
      </c>
      <c r="L48" s="1102">
        <v>0</v>
      </c>
      <c r="M48" s="1102">
        <v>0</v>
      </c>
      <c r="N48" s="1102">
        <v>0</v>
      </c>
      <c r="O48" s="1102">
        <v>0</v>
      </c>
      <c r="P48" s="1102">
        <v>0</v>
      </c>
      <c r="Q48" s="1102">
        <v>0</v>
      </c>
      <c r="R48" s="1102">
        <v>0</v>
      </c>
      <c r="S48" s="1102">
        <v>0</v>
      </c>
      <c r="T48" s="2882"/>
      <c r="U48" s="1102"/>
      <c r="V48" s="1102"/>
      <c r="W48" s="1102"/>
      <c r="X48" s="1102"/>
      <c r="Y48" s="1102"/>
      <c r="Z48" s="1102"/>
      <c r="AA48" s="1102"/>
      <c r="AB48" s="1102"/>
      <c r="AC48" s="1102"/>
      <c r="AD48" s="1102"/>
      <c r="AE48" s="1102">
        <v>0</v>
      </c>
      <c r="AF48" s="2903">
        <v>0</v>
      </c>
      <c r="AG48" s="2903">
        <v>0</v>
      </c>
      <c r="AH48" s="2883"/>
      <c r="AI48" s="2884">
        <v>0</v>
      </c>
      <c r="AJ48" s="2883">
        <v>0</v>
      </c>
      <c r="AK48" s="2883">
        <v>0</v>
      </c>
      <c r="AL48" s="2883">
        <v>0</v>
      </c>
      <c r="AM48" s="2883">
        <v>0</v>
      </c>
      <c r="AN48" s="2883">
        <v>0</v>
      </c>
      <c r="AO48" s="2883">
        <v>0</v>
      </c>
      <c r="AP48" s="2883">
        <v>1</v>
      </c>
      <c r="AQ48" s="2883">
        <v>0</v>
      </c>
      <c r="AR48" s="2883">
        <v>0</v>
      </c>
      <c r="AS48" s="2883">
        <v>0</v>
      </c>
      <c r="AT48" s="1102">
        <v>0</v>
      </c>
      <c r="AU48" s="2883">
        <v>1</v>
      </c>
      <c r="AV48" s="2885">
        <v>8.3333333333333329E-2</v>
      </c>
      <c r="AW48" s="2884">
        <v>0</v>
      </c>
      <c r="AX48" s="2883">
        <v>0</v>
      </c>
      <c r="AY48" s="2883">
        <v>0</v>
      </c>
      <c r="AZ48" s="2883">
        <v>0</v>
      </c>
      <c r="BA48" s="2883">
        <v>0</v>
      </c>
      <c r="BB48" s="2883">
        <v>0</v>
      </c>
      <c r="BC48" s="2883">
        <v>0</v>
      </c>
      <c r="BD48" s="2883">
        <v>1</v>
      </c>
      <c r="BE48" s="2883">
        <v>2</v>
      </c>
      <c r="BF48" s="2883">
        <v>0</v>
      </c>
      <c r="BG48" s="2883">
        <v>1</v>
      </c>
      <c r="BH48" s="2883">
        <v>2</v>
      </c>
      <c r="BI48" s="2883">
        <f t="shared" si="30"/>
        <v>6</v>
      </c>
      <c r="BJ48" s="2885">
        <f t="shared" si="7"/>
        <v>0.5</v>
      </c>
      <c r="BK48" s="2884">
        <v>0</v>
      </c>
      <c r="BL48" s="2883">
        <v>0</v>
      </c>
      <c r="BM48" s="2883"/>
      <c r="BN48" s="2883"/>
      <c r="BO48" s="2883"/>
      <c r="BP48" s="2883"/>
      <c r="BQ48" s="2883"/>
      <c r="BR48" s="2883"/>
      <c r="BS48" s="2883"/>
      <c r="BT48" s="2883"/>
      <c r="BU48" s="2883"/>
      <c r="BV48" s="2883"/>
      <c r="BW48" s="2883">
        <f t="shared" si="31"/>
        <v>0</v>
      </c>
      <c r="BX48" s="2885">
        <f t="shared" si="29"/>
        <v>0</v>
      </c>
      <c r="BZ48" s="2860" t="e">
        <f t="shared" si="27"/>
        <v>#N/A</v>
      </c>
      <c r="CA48" s="2860"/>
      <c r="CB48" s="2861"/>
    </row>
    <row r="49" spans="1:81" ht="18" customHeight="1" x14ac:dyDescent="0.55000000000000004">
      <c r="A49" s="7134"/>
      <c r="B49" s="7135"/>
      <c r="C49" s="698" t="s">
        <v>49</v>
      </c>
      <c r="D49" s="698"/>
      <c r="E49" s="698"/>
      <c r="F49" s="2921"/>
      <c r="G49" s="2922"/>
      <c r="H49" s="2922"/>
      <c r="I49" s="2922"/>
      <c r="J49" s="2922"/>
      <c r="K49" s="2922"/>
      <c r="L49" s="2922"/>
      <c r="M49" s="2922"/>
      <c r="N49" s="2922"/>
      <c r="O49" s="2922"/>
      <c r="P49" s="2922"/>
      <c r="Q49" s="2922"/>
      <c r="R49" s="2922"/>
      <c r="S49" s="2922"/>
      <c r="T49" s="2921">
        <v>0</v>
      </c>
      <c r="U49" s="2922">
        <v>0</v>
      </c>
      <c r="V49" s="2922">
        <v>0</v>
      </c>
      <c r="W49" s="2922">
        <v>0</v>
      </c>
      <c r="X49" s="2922">
        <v>-2</v>
      </c>
      <c r="Y49" s="2922">
        <v>-2</v>
      </c>
      <c r="Z49" s="1102">
        <v>-4</v>
      </c>
      <c r="AA49" s="1102">
        <v>-3</v>
      </c>
      <c r="AB49" s="1102">
        <v>-1</v>
      </c>
      <c r="AC49" s="1102">
        <v>-4</v>
      </c>
      <c r="AD49" s="1102">
        <v>-7</v>
      </c>
      <c r="AE49" s="1102">
        <v>-2</v>
      </c>
      <c r="AF49" s="2883">
        <v>-3</v>
      </c>
      <c r="AG49" s="2883">
        <v>15.166666666666668</v>
      </c>
      <c r="AH49" s="2883"/>
      <c r="AI49" s="2884">
        <v>0</v>
      </c>
      <c r="AJ49" s="2883">
        <v>0</v>
      </c>
      <c r="AK49" s="2883">
        <v>-1</v>
      </c>
      <c r="AL49" s="2883">
        <v>0</v>
      </c>
      <c r="AM49" s="2883">
        <v>0</v>
      </c>
      <c r="AN49" s="2883">
        <v>4</v>
      </c>
      <c r="AO49" s="2883">
        <v>1</v>
      </c>
      <c r="AP49" s="2883">
        <v>0</v>
      </c>
      <c r="AQ49" s="2883">
        <v>0</v>
      </c>
      <c r="AR49" s="2883">
        <v>0</v>
      </c>
      <c r="AS49" s="2883">
        <v>0</v>
      </c>
      <c r="AT49" s="1102">
        <v>0</v>
      </c>
      <c r="AU49" s="2883">
        <v>4</v>
      </c>
      <c r="AV49" s="2885">
        <v>0.33333333333333331</v>
      </c>
      <c r="AW49" s="2884">
        <v>0</v>
      </c>
      <c r="AX49" s="2883">
        <v>0</v>
      </c>
      <c r="AY49" s="2883">
        <v>0</v>
      </c>
      <c r="AZ49" s="2883">
        <v>3</v>
      </c>
      <c r="BA49" s="2883">
        <v>-31</v>
      </c>
      <c r="BB49" s="2883">
        <v>-24</v>
      </c>
      <c r="BC49" s="2883">
        <v>6</v>
      </c>
      <c r="BD49" s="2883">
        <v>75</v>
      </c>
      <c r="BE49" s="2883">
        <v>77</v>
      </c>
      <c r="BF49" s="2883">
        <v>16</v>
      </c>
      <c r="BG49" s="2883">
        <v>6</v>
      </c>
      <c r="BH49" s="2883">
        <f>-(BH50-(BH46-BH47))</f>
        <v>-16</v>
      </c>
      <c r="BI49" s="2883">
        <f t="shared" si="30"/>
        <v>112</v>
      </c>
      <c r="BJ49" s="2885">
        <f t="shared" si="7"/>
        <v>9.3333333333333339</v>
      </c>
      <c r="BK49" s="2884">
        <v>-10</v>
      </c>
      <c r="BL49" s="2883">
        <v>63</v>
      </c>
      <c r="BM49" s="2883"/>
      <c r="BN49" s="2883"/>
      <c r="BO49" s="2883"/>
      <c r="BP49" s="2883"/>
      <c r="BQ49" s="2883"/>
      <c r="BR49" s="2883"/>
      <c r="BS49" s="2883"/>
      <c r="BT49" s="2883"/>
      <c r="BU49" s="2883"/>
      <c r="BV49" s="2883"/>
      <c r="BW49" s="2883">
        <f t="shared" si="31"/>
        <v>53</v>
      </c>
      <c r="BX49" s="2885">
        <f t="shared" si="29"/>
        <v>26.5</v>
      </c>
      <c r="BZ49" s="2860" t="e">
        <f t="shared" si="27"/>
        <v>#N/A</v>
      </c>
      <c r="CA49" s="2860">
        <f t="shared" si="11"/>
        <v>9</v>
      </c>
      <c r="CB49" s="2881" t="e">
        <f t="shared" ref="CB49:CB54" si="32">HLOOKUP($A$1,$AW$1:$BH$383,ROW(),0)-SUM(AI49:AJ49)</f>
        <v>#N/A</v>
      </c>
    </row>
    <row r="50" spans="1:81" ht="18" customHeight="1" thickBot="1" x14ac:dyDescent="0.6">
      <c r="A50" s="7136"/>
      <c r="B50" s="7137"/>
      <c r="C50" s="2937" t="s">
        <v>50</v>
      </c>
      <c r="D50" s="2937"/>
      <c r="E50" s="2937"/>
      <c r="F50" s="2947"/>
      <c r="G50" s="2948"/>
      <c r="H50" s="2948"/>
      <c r="I50" s="2948"/>
      <c r="J50" s="2948"/>
      <c r="K50" s="2948"/>
      <c r="L50" s="2948"/>
      <c r="M50" s="2948"/>
      <c r="N50" s="2948"/>
      <c r="O50" s="2948"/>
      <c r="P50" s="2948"/>
      <c r="Q50" s="2948"/>
      <c r="R50" s="2948"/>
      <c r="S50" s="2948"/>
      <c r="T50" s="2947">
        <v>0</v>
      </c>
      <c r="U50" s="2948">
        <v>0</v>
      </c>
      <c r="V50" s="2948">
        <v>-1</v>
      </c>
      <c r="W50" s="2948">
        <v>-1</v>
      </c>
      <c r="X50" s="2948">
        <v>2</v>
      </c>
      <c r="Y50" s="2948">
        <v>2</v>
      </c>
      <c r="Z50" s="2899">
        <v>4</v>
      </c>
      <c r="AA50" s="2899">
        <v>3</v>
      </c>
      <c r="AB50" s="2899">
        <v>1</v>
      </c>
      <c r="AC50" s="2899">
        <v>3</v>
      </c>
      <c r="AD50" s="2899">
        <v>7</v>
      </c>
      <c r="AE50" s="2899">
        <v>2</v>
      </c>
      <c r="AF50" s="2942">
        <v>0</v>
      </c>
      <c r="AG50" s="2942">
        <v>-15.416666666666668</v>
      </c>
      <c r="AH50" s="2942"/>
      <c r="AI50" s="2941">
        <v>1</v>
      </c>
      <c r="AJ50" s="2942">
        <v>2</v>
      </c>
      <c r="AK50" s="2942">
        <v>2</v>
      </c>
      <c r="AL50" s="2942">
        <v>3</v>
      </c>
      <c r="AM50" s="2942">
        <v>1</v>
      </c>
      <c r="AN50" s="2942">
        <v>-1</v>
      </c>
      <c r="AO50" s="2942">
        <v>1</v>
      </c>
      <c r="AP50" s="2942">
        <v>1</v>
      </c>
      <c r="AQ50" s="2942">
        <v>50</v>
      </c>
      <c r="AR50" s="2942">
        <v>4</v>
      </c>
      <c r="AS50" s="2942">
        <v>1</v>
      </c>
      <c r="AT50" s="2899">
        <v>-1</v>
      </c>
      <c r="AU50" s="2942">
        <v>64</v>
      </c>
      <c r="AV50" s="2943">
        <v>5.333333333333333</v>
      </c>
      <c r="AW50" s="2941">
        <v>4</v>
      </c>
      <c r="AX50" s="2942">
        <v>6</v>
      </c>
      <c r="AY50" s="2942">
        <v>19</v>
      </c>
      <c r="AZ50" s="2942">
        <v>8</v>
      </c>
      <c r="BA50" s="2942">
        <v>31</v>
      </c>
      <c r="BB50" s="2942">
        <v>23</v>
      </c>
      <c r="BC50" s="2942">
        <v>75</v>
      </c>
      <c r="BD50" s="2942">
        <v>8</v>
      </c>
      <c r="BE50" s="2942">
        <v>5</v>
      </c>
      <c r="BF50" s="2942">
        <v>-12</v>
      </c>
      <c r="BG50" s="2942">
        <v>5</v>
      </c>
      <c r="BH50" s="2942">
        <v>16</v>
      </c>
      <c r="BI50" s="2942">
        <f t="shared" si="30"/>
        <v>188</v>
      </c>
      <c r="BJ50" s="2943">
        <f t="shared" si="7"/>
        <v>15.666666666666666</v>
      </c>
      <c r="BK50" s="2941">
        <v>37</v>
      </c>
      <c r="BL50" s="2942">
        <v>12</v>
      </c>
      <c r="BM50" s="2942"/>
      <c r="BN50" s="2942"/>
      <c r="BO50" s="2942"/>
      <c r="BP50" s="2942"/>
      <c r="BQ50" s="2942"/>
      <c r="BR50" s="2942"/>
      <c r="BS50" s="2942"/>
      <c r="BT50" s="2942"/>
      <c r="BU50" s="2942"/>
      <c r="BV50" s="2942"/>
      <c r="BW50" s="2942">
        <f t="shared" si="31"/>
        <v>49</v>
      </c>
      <c r="BX50" s="2943">
        <f t="shared" si="29"/>
        <v>24.5</v>
      </c>
      <c r="BZ50" s="2860" t="e">
        <f t="shared" si="27"/>
        <v>#N/A</v>
      </c>
      <c r="CA50" s="2860">
        <f t="shared" si="11"/>
        <v>10.333333333333332</v>
      </c>
      <c r="CB50" s="2881" t="e">
        <f t="shared" si="32"/>
        <v>#N/A</v>
      </c>
    </row>
    <row r="51" spans="1:81" ht="18" customHeight="1" x14ac:dyDescent="0.55000000000000004">
      <c r="A51" s="7139" t="s">
        <v>87</v>
      </c>
      <c r="B51" s="7140"/>
      <c r="C51" s="2949" t="s">
        <v>43</v>
      </c>
      <c r="D51" s="2950"/>
      <c r="E51" s="2950">
        <v>180169</v>
      </c>
      <c r="F51" s="2950">
        <v>178247</v>
      </c>
      <c r="G51" s="2950">
        <v>178247</v>
      </c>
      <c r="H51" s="2950">
        <v>176422</v>
      </c>
      <c r="I51" s="2950">
        <v>176282</v>
      </c>
      <c r="J51" s="2950">
        <v>175409</v>
      </c>
      <c r="K51" s="2950">
        <v>174742</v>
      </c>
      <c r="L51" s="2950">
        <v>173513</v>
      </c>
      <c r="M51" s="2950">
        <v>173002</v>
      </c>
      <c r="N51" s="2950">
        <v>171950</v>
      </c>
      <c r="O51" s="2950">
        <v>172154</v>
      </c>
      <c r="P51" s="2950">
        <v>171777</v>
      </c>
      <c r="Q51" s="2950">
        <v>169994</v>
      </c>
      <c r="R51" s="2950">
        <v>169994</v>
      </c>
      <c r="S51" s="2950">
        <v>174311.58333333331</v>
      </c>
      <c r="T51" s="2951">
        <v>168041</v>
      </c>
      <c r="U51" s="2951">
        <v>167022</v>
      </c>
      <c r="V51" s="2951">
        <v>165935</v>
      </c>
      <c r="W51" s="2951">
        <v>165415</v>
      </c>
      <c r="X51" s="2951">
        <v>164772</v>
      </c>
      <c r="Y51" s="2951">
        <v>163649</v>
      </c>
      <c r="Z51" s="2877">
        <v>161884</v>
      </c>
      <c r="AA51" s="2877">
        <v>160816</v>
      </c>
      <c r="AB51" s="2877">
        <v>159403</v>
      </c>
      <c r="AC51" s="2877">
        <v>159281</v>
      </c>
      <c r="AD51" s="2877">
        <v>158828</v>
      </c>
      <c r="AE51" s="2877">
        <v>157751</v>
      </c>
      <c r="AF51" s="2878">
        <v>157751</v>
      </c>
      <c r="AG51" s="2878">
        <v>162733.08333333331</v>
      </c>
      <c r="AH51" s="2878"/>
      <c r="AI51" s="2879">
        <v>157674</v>
      </c>
      <c r="AJ51" s="2878">
        <v>156582</v>
      </c>
      <c r="AK51" s="2878">
        <v>155155</v>
      </c>
      <c r="AL51" s="2878">
        <v>153835</v>
      </c>
      <c r="AM51" s="2878">
        <v>152639</v>
      </c>
      <c r="AN51" s="2878">
        <v>151362</v>
      </c>
      <c r="AO51" s="2878">
        <v>150209</v>
      </c>
      <c r="AP51" s="2878">
        <v>148657</v>
      </c>
      <c r="AQ51" s="2878">
        <v>147520</v>
      </c>
      <c r="AR51" s="2878">
        <v>145735</v>
      </c>
      <c r="AS51" s="2878">
        <v>144011</v>
      </c>
      <c r="AT51" s="2877">
        <v>141966</v>
      </c>
      <c r="AU51" s="2878">
        <v>141966</v>
      </c>
      <c r="AV51" s="2880">
        <v>150445.41666666666</v>
      </c>
      <c r="AW51" s="2952">
        <v>139631</v>
      </c>
      <c r="AX51" s="2878">
        <v>138915</v>
      </c>
      <c r="AY51" s="2878">
        <v>136836</v>
      </c>
      <c r="AZ51" s="2878">
        <v>135724</v>
      </c>
      <c r="BA51" s="2878">
        <v>136114</v>
      </c>
      <c r="BB51" s="2878">
        <v>134766</v>
      </c>
      <c r="BC51" s="2878">
        <v>134689</v>
      </c>
      <c r="BD51" s="2878">
        <v>134153</v>
      </c>
      <c r="BE51" s="2878">
        <v>133602</v>
      </c>
      <c r="BF51" s="2878">
        <v>131944</v>
      </c>
      <c r="BG51" s="2878">
        <v>129734</v>
      </c>
      <c r="BH51" s="2878">
        <f>BH57+BH63+BH69+BH75+BH81</f>
        <v>126881</v>
      </c>
      <c r="BI51" s="2878">
        <f>AW51</f>
        <v>139631</v>
      </c>
      <c r="BJ51" s="2880">
        <f t="shared" si="7"/>
        <v>134415.75</v>
      </c>
      <c r="BK51" s="2952">
        <v>125622</v>
      </c>
      <c r="BL51" s="2878">
        <v>123404</v>
      </c>
      <c r="BM51" s="2878"/>
      <c r="BN51" s="2878"/>
      <c r="BO51" s="2878"/>
      <c r="BP51" s="2878"/>
      <c r="BQ51" s="2878"/>
      <c r="BR51" s="2878"/>
      <c r="BS51" s="2878"/>
      <c r="BT51" s="2878"/>
      <c r="BU51" s="2878"/>
      <c r="BV51" s="2878"/>
      <c r="BW51" s="2878">
        <f>BK51</f>
        <v>125622</v>
      </c>
      <c r="BX51" s="2880">
        <f t="shared" si="29"/>
        <v>124513</v>
      </c>
      <c r="BZ51" s="2860" t="e">
        <f t="shared" si="27"/>
        <v>#N/A</v>
      </c>
      <c r="CA51" s="2860">
        <f t="shared" si="11"/>
        <v>-16029.666666666657</v>
      </c>
      <c r="CB51" s="2881" t="e">
        <f t="shared" si="32"/>
        <v>#N/A</v>
      </c>
      <c r="CC51" s="590">
        <f>BH51-AT51</f>
        <v>-15085</v>
      </c>
    </row>
    <row r="52" spans="1:81" ht="18" customHeight="1" x14ac:dyDescent="0.55000000000000004">
      <c r="A52" s="7141"/>
      <c r="B52" s="7142"/>
      <c r="C52" s="681" t="s">
        <v>46</v>
      </c>
      <c r="D52" s="681"/>
      <c r="E52" s="681"/>
      <c r="F52" s="2921"/>
      <c r="G52" s="2922"/>
      <c r="H52" s="2922"/>
      <c r="I52" s="2922"/>
      <c r="J52" s="2922"/>
      <c r="K52" s="2922"/>
      <c r="L52" s="2922"/>
      <c r="M52" s="2922"/>
      <c r="N52" s="2922"/>
      <c r="O52" s="2922"/>
      <c r="P52" s="2922"/>
      <c r="Q52" s="2922"/>
      <c r="R52" s="2922"/>
      <c r="S52" s="2922"/>
      <c r="T52" s="2921">
        <v>3238</v>
      </c>
      <c r="U52" s="2922">
        <v>3753</v>
      </c>
      <c r="V52" s="2922">
        <v>3388</v>
      </c>
      <c r="W52" s="2922">
        <v>3435</v>
      </c>
      <c r="X52" s="2922">
        <v>3610</v>
      </c>
      <c r="Y52" s="2922">
        <v>3349</v>
      </c>
      <c r="Z52" s="1102">
        <v>2896</v>
      </c>
      <c r="AA52" s="1102">
        <v>3956</v>
      </c>
      <c r="AB52" s="1102">
        <v>2952</v>
      </c>
      <c r="AC52" s="1102">
        <v>3508</v>
      </c>
      <c r="AD52" s="1102">
        <v>3471</v>
      </c>
      <c r="AE52" s="1102">
        <v>2405</v>
      </c>
      <c r="AF52" s="2883">
        <v>39961</v>
      </c>
      <c r="AG52" s="2883">
        <v>3330.0833333333335</v>
      </c>
      <c r="AH52" s="2883"/>
      <c r="AI52" s="2884">
        <v>3807</v>
      </c>
      <c r="AJ52" s="2883">
        <v>3148</v>
      </c>
      <c r="AK52" s="2883">
        <v>3730</v>
      </c>
      <c r="AL52" s="2883">
        <v>3742</v>
      </c>
      <c r="AM52" s="2883">
        <v>4228</v>
      </c>
      <c r="AN52" s="2883">
        <v>3879</v>
      </c>
      <c r="AO52" s="2883">
        <v>4460</v>
      </c>
      <c r="AP52" s="2883">
        <v>4261</v>
      </c>
      <c r="AQ52" s="2883">
        <v>4043</v>
      </c>
      <c r="AR52" s="2883">
        <v>4355</v>
      </c>
      <c r="AS52" s="2883">
        <v>4362</v>
      </c>
      <c r="AT52" s="1102">
        <v>3856</v>
      </c>
      <c r="AU52" s="2883">
        <v>47871</v>
      </c>
      <c r="AV52" s="2885">
        <v>3989.25</v>
      </c>
      <c r="AW52" s="2884">
        <v>3459</v>
      </c>
      <c r="AX52" s="2883">
        <v>5357</v>
      </c>
      <c r="AY52" s="2883">
        <v>4534</v>
      </c>
      <c r="AZ52" s="2883">
        <v>5003</v>
      </c>
      <c r="BA52" s="2883">
        <v>8818</v>
      </c>
      <c r="BB52" s="2883">
        <v>5863</v>
      </c>
      <c r="BC52" s="2883">
        <v>6867</v>
      </c>
      <c r="BD52" s="2883">
        <v>5711</v>
      </c>
      <c r="BE52" s="2883">
        <v>5684</v>
      </c>
      <c r="BF52" s="2883">
        <v>3798</v>
      </c>
      <c r="BG52" s="2883">
        <v>3808</v>
      </c>
      <c r="BH52" s="2883">
        <f>BH58+BH64+BH70+BH82+BH76</f>
        <v>3644</v>
      </c>
      <c r="BI52" s="2883">
        <f t="shared" ref="BI52:BI56" si="33">SUM(AW52:BH52)</f>
        <v>62546</v>
      </c>
      <c r="BJ52" s="2885">
        <f t="shared" si="7"/>
        <v>5212.166666666667</v>
      </c>
      <c r="BK52" s="2884">
        <v>3095</v>
      </c>
      <c r="BL52" s="2883">
        <v>2579</v>
      </c>
      <c r="BM52" s="2883"/>
      <c r="BN52" s="2883"/>
      <c r="BO52" s="2883"/>
      <c r="BP52" s="2883"/>
      <c r="BQ52" s="2883"/>
      <c r="BR52" s="2883"/>
      <c r="BS52" s="2883"/>
      <c r="BT52" s="2883"/>
      <c r="BU52" s="2883"/>
      <c r="BV52" s="2883"/>
      <c r="BW52" s="2883">
        <f t="shared" ref="BW52:BW56" si="34">SUM(BK52:BV52)</f>
        <v>5674</v>
      </c>
      <c r="BX52" s="2885">
        <f t="shared" si="29"/>
        <v>2837</v>
      </c>
      <c r="BZ52" s="2860" t="e">
        <f t="shared" si="27"/>
        <v>#N/A</v>
      </c>
      <c r="CA52" s="2860">
        <f t="shared" si="11"/>
        <v>1222.916666666667</v>
      </c>
      <c r="CB52" s="2881" t="e">
        <f t="shared" si="32"/>
        <v>#N/A</v>
      </c>
    </row>
    <row r="53" spans="1:81" ht="18" customHeight="1" x14ac:dyDescent="0.55000000000000004">
      <c r="A53" s="7141"/>
      <c r="B53" s="7142"/>
      <c r="C53" s="681" t="s">
        <v>47</v>
      </c>
      <c r="D53" s="681"/>
      <c r="E53" s="681">
        <v>2055</v>
      </c>
      <c r="F53" s="2921">
        <v>2019</v>
      </c>
      <c r="G53" s="2922">
        <v>2019</v>
      </c>
      <c r="H53" s="2922">
        <v>2433</v>
      </c>
      <c r="I53" s="2922">
        <v>2112</v>
      </c>
      <c r="J53" s="2922">
        <v>1991</v>
      </c>
      <c r="K53" s="2922">
        <v>1736</v>
      </c>
      <c r="L53" s="2922">
        <v>1646</v>
      </c>
      <c r="M53" s="2922">
        <v>2089</v>
      </c>
      <c r="N53" s="2922">
        <v>1921</v>
      </c>
      <c r="O53" s="2922">
        <v>1732</v>
      </c>
      <c r="P53" s="2922">
        <v>1884</v>
      </c>
      <c r="Q53" s="2922">
        <v>1765</v>
      </c>
      <c r="R53" s="2922">
        <v>23347</v>
      </c>
      <c r="S53" s="2922">
        <v>1838.3333333333333</v>
      </c>
      <c r="T53" s="2921">
        <v>1952</v>
      </c>
      <c r="U53" s="2922">
        <v>1807</v>
      </c>
      <c r="V53" s="2922">
        <v>1810</v>
      </c>
      <c r="W53" s="2922">
        <v>1511</v>
      </c>
      <c r="X53" s="2922">
        <v>1806</v>
      </c>
      <c r="Y53" s="2922">
        <v>1853</v>
      </c>
      <c r="Z53" s="1102">
        <v>1796</v>
      </c>
      <c r="AA53" s="1102">
        <v>2088</v>
      </c>
      <c r="AB53" s="1102">
        <v>1633</v>
      </c>
      <c r="AC53" s="1102">
        <v>1711</v>
      </c>
      <c r="AD53" s="1102">
        <v>1581</v>
      </c>
      <c r="AE53" s="1102">
        <v>1316</v>
      </c>
      <c r="AF53" s="2883">
        <v>20864</v>
      </c>
      <c r="AG53" s="2883">
        <v>1738.6666666666667</v>
      </c>
      <c r="AH53" s="2883"/>
      <c r="AI53" s="2884">
        <v>1653</v>
      </c>
      <c r="AJ53" s="2883">
        <v>1710</v>
      </c>
      <c r="AK53" s="2883">
        <v>1699</v>
      </c>
      <c r="AL53" s="2883">
        <v>1765</v>
      </c>
      <c r="AM53" s="2883">
        <v>1776</v>
      </c>
      <c r="AN53" s="2883">
        <v>1863</v>
      </c>
      <c r="AO53" s="2883">
        <v>1864</v>
      </c>
      <c r="AP53" s="2883">
        <v>1672</v>
      </c>
      <c r="AQ53" s="2883">
        <v>1525</v>
      </c>
      <c r="AR53" s="2883">
        <v>1668</v>
      </c>
      <c r="AS53" s="2883">
        <v>1548</v>
      </c>
      <c r="AT53" s="1102">
        <v>1432</v>
      </c>
      <c r="AU53" s="2883">
        <v>20175</v>
      </c>
      <c r="AV53" s="2885">
        <v>1681.25</v>
      </c>
      <c r="AW53" s="2884">
        <v>1498</v>
      </c>
      <c r="AX53" s="2883">
        <v>1949</v>
      </c>
      <c r="AY53" s="2883">
        <v>1994</v>
      </c>
      <c r="AZ53" s="2883">
        <v>1963</v>
      </c>
      <c r="BA53" s="2883">
        <v>1749</v>
      </c>
      <c r="BB53" s="2883">
        <v>1804</v>
      </c>
      <c r="BC53" s="2883">
        <v>1656</v>
      </c>
      <c r="BD53" s="2883">
        <v>1473</v>
      </c>
      <c r="BE53" s="2883">
        <v>1700</v>
      </c>
      <c r="BF53" s="2883">
        <v>1728</v>
      </c>
      <c r="BG53" s="2883">
        <v>1715</v>
      </c>
      <c r="BH53" s="2883">
        <f>BH59+BH65+BH71+BH83+BH77</f>
        <v>1565</v>
      </c>
      <c r="BI53" s="2883">
        <f t="shared" si="33"/>
        <v>20794</v>
      </c>
      <c r="BJ53" s="2885">
        <f t="shared" si="7"/>
        <v>1732.8333333333333</v>
      </c>
      <c r="BK53" s="2884">
        <v>2326</v>
      </c>
      <c r="BL53" s="2883">
        <v>2728</v>
      </c>
      <c r="BM53" s="2883"/>
      <c r="BN53" s="2883"/>
      <c r="BO53" s="2883"/>
      <c r="BP53" s="2883"/>
      <c r="BQ53" s="2883"/>
      <c r="BR53" s="2883"/>
      <c r="BS53" s="2883"/>
      <c r="BT53" s="2883"/>
      <c r="BU53" s="2883"/>
      <c r="BV53" s="2883"/>
      <c r="BW53" s="2883">
        <f t="shared" si="34"/>
        <v>5054</v>
      </c>
      <c r="BX53" s="2885">
        <f t="shared" si="29"/>
        <v>2527</v>
      </c>
      <c r="BZ53" s="2860" t="e">
        <f t="shared" si="27"/>
        <v>#N/A</v>
      </c>
      <c r="CA53" s="2860">
        <f t="shared" si="11"/>
        <v>51.583333333333258</v>
      </c>
      <c r="CB53" s="2881" t="e">
        <f t="shared" si="32"/>
        <v>#N/A</v>
      </c>
    </row>
    <row r="54" spans="1:81" ht="18" customHeight="1" x14ac:dyDescent="0.55000000000000004">
      <c r="A54" s="7141"/>
      <c r="B54" s="7142"/>
      <c r="C54" s="1586" t="s">
        <v>58</v>
      </c>
      <c r="D54" s="681"/>
      <c r="E54" s="681">
        <v>237</v>
      </c>
      <c r="F54" s="2921">
        <v>101</v>
      </c>
      <c r="G54" s="2922">
        <v>101</v>
      </c>
      <c r="H54" s="2922">
        <v>112</v>
      </c>
      <c r="I54" s="2922">
        <v>52</v>
      </c>
      <c r="J54" s="2922">
        <v>110</v>
      </c>
      <c r="K54" s="2922">
        <v>89</v>
      </c>
      <c r="L54" s="2922">
        <v>107</v>
      </c>
      <c r="M54" s="2922">
        <v>100</v>
      </c>
      <c r="N54" s="2922">
        <v>145</v>
      </c>
      <c r="O54" s="2922">
        <v>89</v>
      </c>
      <c r="P54" s="2922">
        <v>101</v>
      </c>
      <c r="Q54" s="2922">
        <v>97</v>
      </c>
      <c r="R54" s="2922">
        <v>1204</v>
      </c>
      <c r="S54" s="2922">
        <v>96.583333333333329</v>
      </c>
      <c r="T54" s="2921">
        <v>96</v>
      </c>
      <c r="U54" s="2922">
        <v>90</v>
      </c>
      <c r="V54" s="2922">
        <v>84</v>
      </c>
      <c r="W54" s="2922">
        <v>120</v>
      </c>
      <c r="X54" s="2922">
        <v>119</v>
      </c>
      <c r="Y54" s="2922">
        <v>138</v>
      </c>
      <c r="Z54" s="1102">
        <v>120</v>
      </c>
      <c r="AA54" s="1102">
        <v>246</v>
      </c>
      <c r="AB54" s="1102">
        <v>94</v>
      </c>
      <c r="AC54" s="1102">
        <v>131</v>
      </c>
      <c r="AD54" s="1102">
        <v>189</v>
      </c>
      <c r="AE54" s="1102">
        <v>99</v>
      </c>
      <c r="AF54" s="2883">
        <v>1526</v>
      </c>
      <c r="AG54" s="2883">
        <v>127.16666666666666</v>
      </c>
      <c r="AH54" s="2883"/>
      <c r="AI54" s="2884">
        <v>123</v>
      </c>
      <c r="AJ54" s="2883">
        <v>100</v>
      </c>
      <c r="AK54" s="2883">
        <v>137</v>
      </c>
      <c r="AL54" s="2883">
        <v>147</v>
      </c>
      <c r="AM54" s="2883">
        <v>144</v>
      </c>
      <c r="AN54" s="2883">
        <v>92</v>
      </c>
      <c r="AO54" s="2883">
        <v>98</v>
      </c>
      <c r="AP54" s="2883">
        <v>64</v>
      </c>
      <c r="AQ54" s="2883">
        <v>76</v>
      </c>
      <c r="AR54" s="2883">
        <v>69</v>
      </c>
      <c r="AS54" s="2883">
        <v>73</v>
      </c>
      <c r="AT54" s="1102">
        <v>74</v>
      </c>
      <c r="AU54" s="2883">
        <v>1197</v>
      </c>
      <c r="AV54" s="2885">
        <v>99.75</v>
      </c>
      <c r="AW54" s="2884">
        <v>79</v>
      </c>
      <c r="AX54" s="2883">
        <v>74</v>
      </c>
      <c r="AY54" s="2883">
        <v>141</v>
      </c>
      <c r="AZ54" s="2883">
        <v>123</v>
      </c>
      <c r="BA54" s="2883">
        <v>165</v>
      </c>
      <c r="BB54" s="2883">
        <v>93</v>
      </c>
      <c r="BC54" s="2883">
        <v>80</v>
      </c>
      <c r="BD54" s="2883">
        <v>49</v>
      </c>
      <c r="BE54" s="2883">
        <v>57</v>
      </c>
      <c r="BF54" s="2883">
        <v>64</v>
      </c>
      <c r="BG54" s="2883">
        <v>42</v>
      </c>
      <c r="BH54" s="2883">
        <f>BH60+BH66+BH72+BH84+BH78</f>
        <v>45</v>
      </c>
      <c r="BI54" s="2883">
        <f t="shared" si="33"/>
        <v>1012</v>
      </c>
      <c r="BJ54" s="2885">
        <f t="shared" si="7"/>
        <v>84.333333333333329</v>
      </c>
      <c r="BK54" s="2884">
        <v>72</v>
      </c>
      <c r="BL54" s="2883">
        <v>76</v>
      </c>
      <c r="BM54" s="2883"/>
      <c r="BN54" s="2883"/>
      <c r="BO54" s="2883"/>
      <c r="BP54" s="2883"/>
      <c r="BQ54" s="2883"/>
      <c r="BR54" s="2883"/>
      <c r="BS54" s="2883"/>
      <c r="BT54" s="2883"/>
      <c r="BU54" s="2883"/>
      <c r="BV54" s="2883"/>
      <c r="BW54" s="2883">
        <f t="shared" si="34"/>
        <v>148</v>
      </c>
      <c r="BX54" s="2885">
        <f t="shared" si="29"/>
        <v>74</v>
      </c>
      <c r="BZ54" s="2860" t="e">
        <f t="shared" si="27"/>
        <v>#N/A</v>
      </c>
      <c r="CA54" s="2860">
        <f t="shared" si="11"/>
        <v>-15.416666666666671</v>
      </c>
      <c r="CB54" s="2881" t="e">
        <f t="shared" si="32"/>
        <v>#N/A</v>
      </c>
    </row>
    <row r="55" spans="1:81" ht="18" customHeight="1" x14ac:dyDescent="0.55000000000000004">
      <c r="A55" s="7141"/>
      <c r="B55" s="7142"/>
      <c r="C55" s="681" t="s">
        <v>49</v>
      </c>
      <c r="D55" s="681"/>
      <c r="E55" s="681"/>
      <c r="F55" s="2921"/>
      <c r="G55" s="2922"/>
      <c r="H55" s="2922"/>
      <c r="I55" s="2922"/>
      <c r="J55" s="2922"/>
      <c r="K55" s="2922"/>
      <c r="L55" s="2922"/>
      <c r="M55" s="2922"/>
      <c r="N55" s="2922"/>
      <c r="O55" s="2922"/>
      <c r="P55" s="2922"/>
      <c r="Q55" s="2922"/>
      <c r="R55" s="2922"/>
      <c r="S55" s="2922"/>
      <c r="T55" s="2921">
        <v>3239</v>
      </c>
      <c r="U55" s="2922">
        <v>2965</v>
      </c>
      <c r="V55" s="2922">
        <v>2665</v>
      </c>
      <c r="W55" s="2922">
        <v>2444</v>
      </c>
      <c r="X55" s="2922">
        <v>2447</v>
      </c>
      <c r="Y55" s="2922">
        <v>2619</v>
      </c>
      <c r="Z55" s="1102">
        <v>2865</v>
      </c>
      <c r="AA55" s="1102">
        <v>2936</v>
      </c>
      <c r="AB55" s="1102">
        <v>2732</v>
      </c>
      <c r="AC55" s="1102">
        <v>1919</v>
      </c>
      <c r="AD55" s="1102">
        <v>2343</v>
      </c>
      <c r="AE55" s="1102">
        <v>2166</v>
      </c>
      <c r="AF55" s="2883">
        <v>19098</v>
      </c>
      <c r="AG55" s="2883">
        <v>-3390.4166666666661</v>
      </c>
      <c r="AH55" s="2883"/>
      <c r="AI55" s="2884">
        <v>2305</v>
      </c>
      <c r="AJ55" s="2883">
        <v>2530</v>
      </c>
      <c r="AK55" s="2883">
        <v>3458</v>
      </c>
      <c r="AL55" s="2883">
        <v>3297</v>
      </c>
      <c r="AM55" s="2883">
        <v>3648</v>
      </c>
      <c r="AN55" s="2883">
        <v>3293</v>
      </c>
      <c r="AO55" s="2883">
        <v>3749</v>
      </c>
      <c r="AP55" s="2883">
        <v>4141</v>
      </c>
      <c r="AQ55" s="2883">
        <v>3655</v>
      </c>
      <c r="AR55" s="2883">
        <v>4472</v>
      </c>
      <c r="AS55" s="2883">
        <v>4538</v>
      </c>
      <c r="AT55" s="1102">
        <v>4750</v>
      </c>
      <c r="AU55" s="2883">
        <v>43836</v>
      </c>
      <c r="AV55" s="2885">
        <v>3653</v>
      </c>
      <c r="AW55" s="2884">
        <v>4570</v>
      </c>
      <c r="AX55" s="2883">
        <v>4265</v>
      </c>
      <c r="AY55" s="2883">
        <v>4619</v>
      </c>
      <c r="AZ55" s="2883">
        <v>4152</v>
      </c>
      <c r="BA55" s="2883">
        <v>6679</v>
      </c>
      <c r="BB55" s="2883">
        <v>5407</v>
      </c>
      <c r="BC55" s="2883">
        <v>5288</v>
      </c>
      <c r="BD55" s="2883">
        <v>4774</v>
      </c>
      <c r="BE55" s="2883">
        <v>4535</v>
      </c>
      <c r="BF55" s="2883">
        <v>3728</v>
      </c>
      <c r="BG55" s="2883">
        <v>4303</v>
      </c>
      <c r="BH55" s="2883">
        <f>BH61+BH67+BH73+BH85+BH79</f>
        <v>4932</v>
      </c>
      <c r="BI55" s="2883">
        <f t="shared" si="33"/>
        <v>57252</v>
      </c>
      <c r="BJ55" s="2885">
        <f t="shared" si="7"/>
        <v>4771</v>
      </c>
      <c r="BK55" s="2884">
        <v>2028</v>
      </c>
      <c r="BL55" s="2883">
        <v>2069</v>
      </c>
      <c r="BM55" s="2883"/>
      <c r="BN55" s="2883"/>
      <c r="BO55" s="2883"/>
      <c r="BP55" s="2883"/>
      <c r="BQ55" s="2883"/>
      <c r="BR55" s="2883"/>
      <c r="BS55" s="2883"/>
      <c r="BT55" s="2883"/>
      <c r="BU55" s="2883"/>
      <c r="BV55" s="2883"/>
      <c r="BW55" s="2883">
        <f t="shared" si="34"/>
        <v>4097</v>
      </c>
      <c r="BX55" s="2885">
        <f t="shared" si="29"/>
        <v>2048.5</v>
      </c>
      <c r="BZ55" s="2860" t="e">
        <f t="shared" si="27"/>
        <v>#N/A</v>
      </c>
      <c r="CA55" s="2860">
        <f t="shared" si="11"/>
        <v>1118</v>
      </c>
      <c r="CB55" s="2861">
        <f>AX55-AJ55</f>
        <v>1735</v>
      </c>
    </row>
    <row r="56" spans="1:81" ht="18" customHeight="1" thickBot="1" x14ac:dyDescent="0.6">
      <c r="A56" s="7141"/>
      <c r="B56" s="7142"/>
      <c r="C56" s="2953" t="s">
        <v>50</v>
      </c>
      <c r="D56" s="2925"/>
      <c r="E56" s="2925"/>
      <c r="F56" s="2926"/>
      <c r="G56" s="2927"/>
      <c r="H56" s="2927"/>
      <c r="I56" s="2927"/>
      <c r="J56" s="2927"/>
      <c r="K56" s="2927"/>
      <c r="L56" s="2927"/>
      <c r="M56" s="2927"/>
      <c r="N56" s="2927"/>
      <c r="O56" s="2927"/>
      <c r="P56" s="2927"/>
      <c r="Q56" s="2927"/>
      <c r="R56" s="2927"/>
      <c r="S56" s="2927"/>
      <c r="T56" s="2954">
        <v>-1953</v>
      </c>
      <c r="U56" s="2927">
        <v>-1019</v>
      </c>
      <c r="V56" s="2927">
        <v>-1087</v>
      </c>
      <c r="W56" s="2927">
        <v>-520</v>
      </c>
      <c r="X56" s="2927">
        <v>-643</v>
      </c>
      <c r="Y56" s="2927">
        <v>-1123</v>
      </c>
      <c r="Z56" s="2905">
        <v>-1765</v>
      </c>
      <c r="AA56" s="2905">
        <v>-1068</v>
      </c>
      <c r="AB56" s="2905">
        <v>-1413</v>
      </c>
      <c r="AC56" s="2905">
        <v>-122</v>
      </c>
      <c r="AD56" s="2905">
        <v>-453</v>
      </c>
      <c r="AE56" s="2905">
        <v>-1077</v>
      </c>
      <c r="AF56" s="2907">
        <v>-1</v>
      </c>
      <c r="AG56" s="2907">
        <v>4981.833333333333</v>
      </c>
      <c r="AH56" s="2907"/>
      <c r="AI56" s="2941">
        <v>-77</v>
      </c>
      <c r="AJ56" s="2907">
        <v>-1092</v>
      </c>
      <c r="AK56" s="2907">
        <v>-1427</v>
      </c>
      <c r="AL56" s="2907">
        <v>-1320</v>
      </c>
      <c r="AM56" s="2907">
        <v>-1196</v>
      </c>
      <c r="AN56" s="2907">
        <v>-1277</v>
      </c>
      <c r="AO56" s="2907">
        <v>-1153</v>
      </c>
      <c r="AP56" s="2907">
        <v>-1552</v>
      </c>
      <c r="AQ56" s="2907">
        <v>-1137</v>
      </c>
      <c r="AR56" s="2907">
        <v>-1785</v>
      </c>
      <c r="AS56" s="2907">
        <v>-1724</v>
      </c>
      <c r="AT56" s="2905">
        <v>-2482</v>
      </c>
      <c r="AU56" s="2907">
        <v>-16222</v>
      </c>
      <c r="AV56" s="2955">
        <v>-1351.8333333333333</v>
      </c>
      <c r="AW56" s="2956">
        <v>-2335</v>
      </c>
      <c r="AX56" s="2907">
        <v>876</v>
      </c>
      <c r="AY56" s="2907">
        <v>-2079</v>
      </c>
      <c r="AZ56" s="2907">
        <v>-1112</v>
      </c>
      <c r="BA56" s="2907">
        <v>390</v>
      </c>
      <c r="BB56" s="2907">
        <v>-1348</v>
      </c>
      <c r="BC56" s="2907">
        <v>-77</v>
      </c>
      <c r="BD56" s="2907">
        <v>-536</v>
      </c>
      <c r="BE56" s="2907">
        <v>-551</v>
      </c>
      <c r="BF56" s="2907">
        <v>-1658</v>
      </c>
      <c r="BG56" s="2907">
        <v>-2210</v>
      </c>
      <c r="BH56" s="2907">
        <f>BH51-BG51</f>
        <v>-2853</v>
      </c>
      <c r="BI56" s="2907">
        <f t="shared" si="33"/>
        <v>-13493</v>
      </c>
      <c r="BJ56" s="2955">
        <f t="shared" si="7"/>
        <v>-1124.4166666666667</v>
      </c>
      <c r="BK56" s="2956">
        <v>-1259</v>
      </c>
      <c r="BL56" s="2907">
        <v>-2218</v>
      </c>
      <c r="BM56" s="2907"/>
      <c r="BN56" s="2907"/>
      <c r="BO56" s="2907"/>
      <c r="BP56" s="2907"/>
      <c r="BQ56" s="2907"/>
      <c r="BR56" s="2907"/>
      <c r="BS56" s="2907"/>
      <c r="BT56" s="2907"/>
      <c r="BU56" s="2907"/>
      <c r="BV56" s="2907"/>
      <c r="BW56" s="2907">
        <f t="shared" si="34"/>
        <v>-3477</v>
      </c>
      <c r="BX56" s="2955">
        <f t="shared" si="29"/>
        <v>-1738.5</v>
      </c>
      <c r="BZ56" s="2860" t="e">
        <f t="shared" si="27"/>
        <v>#N/A</v>
      </c>
      <c r="CA56" s="2860"/>
      <c r="CB56" s="2861"/>
      <c r="CC56" s="2860">
        <f>SUM(AW56:BH56)-SUM(AI56:AT56)</f>
        <v>2729</v>
      </c>
    </row>
    <row r="57" spans="1:81" ht="18" customHeight="1" x14ac:dyDescent="0.55000000000000004">
      <c r="A57" s="7134" t="s">
        <v>19</v>
      </c>
      <c r="B57" s="7135"/>
      <c r="C57" s="2957" t="s">
        <v>43</v>
      </c>
      <c r="D57" s="2958"/>
      <c r="E57" s="2958">
        <v>92574</v>
      </c>
      <c r="F57" s="2959">
        <v>92831</v>
      </c>
      <c r="G57" s="2960">
        <v>92831</v>
      </c>
      <c r="H57" s="2960">
        <v>92013</v>
      </c>
      <c r="I57" s="2960">
        <v>91799</v>
      </c>
      <c r="J57" s="2960">
        <v>91243</v>
      </c>
      <c r="K57" s="2960">
        <v>90931</v>
      </c>
      <c r="L57" s="2960">
        <v>90658</v>
      </c>
      <c r="M57" s="2960">
        <v>90327</v>
      </c>
      <c r="N57" s="2960">
        <v>89911</v>
      </c>
      <c r="O57" s="2960">
        <v>90672</v>
      </c>
      <c r="P57" s="2960">
        <v>90798</v>
      </c>
      <c r="Q57" s="2960">
        <v>90307</v>
      </c>
      <c r="R57" s="2960">
        <v>90307</v>
      </c>
      <c r="S57" s="2960">
        <v>91193.416666666672</v>
      </c>
      <c r="T57" s="2960">
        <v>89426</v>
      </c>
      <c r="U57" s="2960">
        <v>89239</v>
      </c>
      <c r="V57" s="2960">
        <v>89244</v>
      </c>
      <c r="W57" s="2960">
        <v>89601</v>
      </c>
      <c r="X57" s="2960">
        <v>89574</v>
      </c>
      <c r="Y57" s="2960">
        <v>89067</v>
      </c>
      <c r="Z57" s="2961">
        <v>88203</v>
      </c>
      <c r="AA57" s="2961">
        <v>87893</v>
      </c>
      <c r="AB57" s="2961">
        <v>86998</v>
      </c>
      <c r="AC57" s="2961">
        <v>86490</v>
      </c>
      <c r="AD57" s="2961">
        <v>85909</v>
      </c>
      <c r="AE57" s="2961">
        <v>85406</v>
      </c>
      <c r="AF57" s="2962">
        <v>85406</v>
      </c>
      <c r="AG57" s="2962">
        <v>88087.5</v>
      </c>
      <c r="AH57" s="2962"/>
      <c r="AI57" s="2963">
        <v>62591</v>
      </c>
      <c r="AJ57" s="2962">
        <v>61966</v>
      </c>
      <c r="AK57" s="2962">
        <v>61671</v>
      </c>
      <c r="AL57" s="2962">
        <v>61557</v>
      </c>
      <c r="AM57" s="2962">
        <v>61527</v>
      </c>
      <c r="AN57" s="2962">
        <v>61050</v>
      </c>
      <c r="AO57" s="2962">
        <v>60970</v>
      </c>
      <c r="AP57" s="2962">
        <v>60221</v>
      </c>
      <c r="AQ57" s="2962">
        <v>59976</v>
      </c>
      <c r="AR57" s="2962">
        <v>59511</v>
      </c>
      <c r="AS57" s="2962">
        <v>59731</v>
      </c>
      <c r="AT57" s="2961">
        <v>59573</v>
      </c>
      <c r="AU57" s="2878">
        <v>59573</v>
      </c>
      <c r="AV57" s="2964">
        <v>60862</v>
      </c>
      <c r="AW57" s="2965">
        <v>59095</v>
      </c>
      <c r="AX57" s="2962">
        <v>60108</v>
      </c>
      <c r="AY57" s="2962">
        <v>60331</v>
      </c>
      <c r="AZ57" s="2962">
        <v>61270</v>
      </c>
      <c r="BA57" s="2962">
        <v>64262</v>
      </c>
      <c r="BB57" s="2962">
        <v>64950</v>
      </c>
      <c r="BC57" s="2962">
        <v>66419</v>
      </c>
      <c r="BD57" s="2961">
        <v>66990</v>
      </c>
      <c r="BE57" s="2961">
        <v>67392</v>
      </c>
      <c r="BF57" s="2961">
        <v>66846</v>
      </c>
      <c r="BG57" s="2962">
        <v>66571</v>
      </c>
      <c r="BH57" s="2961">
        <v>66358</v>
      </c>
      <c r="BI57" s="2878">
        <f>AW57</f>
        <v>59095</v>
      </c>
      <c r="BJ57" s="2964">
        <f t="shared" si="7"/>
        <v>64216</v>
      </c>
      <c r="BK57" s="2965">
        <v>66633</v>
      </c>
      <c r="BL57" s="2962">
        <v>66250</v>
      </c>
      <c r="BM57" s="2962"/>
      <c r="BN57" s="2962"/>
      <c r="BO57" s="2962"/>
      <c r="BP57" s="2962"/>
      <c r="BQ57" s="2962"/>
      <c r="BR57" s="2961"/>
      <c r="BS57" s="2961"/>
      <c r="BT57" s="2961"/>
      <c r="BU57" s="2962"/>
      <c r="BV57" s="2961"/>
      <c r="BW57" s="2878">
        <f>BK57</f>
        <v>66633</v>
      </c>
      <c r="BX57" s="2964">
        <f t="shared" si="29"/>
        <v>66441.5</v>
      </c>
      <c r="BZ57" s="2860" t="e">
        <f t="shared" si="27"/>
        <v>#N/A</v>
      </c>
      <c r="CA57" s="2860">
        <f t="shared" si="11"/>
        <v>3354</v>
      </c>
      <c r="CB57" s="2881" t="e">
        <f t="shared" ref="CB57:CB70" si="35">HLOOKUP($A$1,$AW$1:$BH$383,ROW(),0)-SUM(AI57:AJ57)</f>
        <v>#N/A</v>
      </c>
    </row>
    <row r="58" spans="1:81" ht="18" customHeight="1" x14ac:dyDescent="0.55000000000000004">
      <c r="A58" s="7134"/>
      <c r="B58" s="7135"/>
      <c r="C58" s="698" t="s">
        <v>46</v>
      </c>
      <c r="D58" s="698"/>
      <c r="E58" s="698"/>
      <c r="F58" s="2921"/>
      <c r="G58" s="2922"/>
      <c r="H58" s="2922"/>
      <c r="I58" s="2922"/>
      <c r="J58" s="2922"/>
      <c r="K58" s="2922"/>
      <c r="L58" s="2922"/>
      <c r="M58" s="2922"/>
      <c r="N58" s="2922"/>
      <c r="O58" s="2922"/>
      <c r="P58" s="2922"/>
      <c r="Q58" s="2922"/>
      <c r="R58" s="2922"/>
      <c r="S58" s="2922"/>
      <c r="T58" s="2921">
        <v>1905</v>
      </c>
      <c r="U58" s="2922">
        <v>2192</v>
      </c>
      <c r="V58" s="2922">
        <v>1999</v>
      </c>
      <c r="W58" s="2922">
        <v>2177</v>
      </c>
      <c r="X58" s="2922">
        <v>1989</v>
      </c>
      <c r="Y58" s="2922">
        <v>1868</v>
      </c>
      <c r="Z58" s="1102">
        <v>1563</v>
      </c>
      <c r="AA58" s="1102">
        <v>2187</v>
      </c>
      <c r="AB58" s="1102">
        <v>1456</v>
      </c>
      <c r="AC58" s="1102">
        <v>1690</v>
      </c>
      <c r="AD58" s="1102">
        <v>1621</v>
      </c>
      <c r="AE58" s="1102">
        <v>1340</v>
      </c>
      <c r="AF58" s="2883">
        <v>21987</v>
      </c>
      <c r="AG58" s="2883">
        <v>1832.25</v>
      </c>
      <c r="AH58" s="2883"/>
      <c r="AI58" s="2884">
        <v>1894</v>
      </c>
      <c r="AJ58" s="2883">
        <v>1476</v>
      </c>
      <c r="AK58" s="2883">
        <v>1752</v>
      </c>
      <c r="AL58" s="2883">
        <v>1902</v>
      </c>
      <c r="AM58" s="2883">
        <v>2023</v>
      </c>
      <c r="AN58" s="2883">
        <v>1707.9999999999998</v>
      </c>
      <c r="AO58" s="2883">
        <v>2191</v>
      </c>
      <c r="AP58" s="2883">
        <v>1676</v>
      </c>
      <c r="AQ58" s="2883">
        <v>1732</v>
      </c>
      <c r="AR58" s="2883">
        <v>1780</v>
      </c>
      <c r="AS58" s="2883">
        <v>1845</v>
      </c>
      <c r="AT58" s="1102">
        <v>1608</v>
      </c>
      <c r="AU58" s="2883">
        <v>21587</v>
      </c>
      <c r="AV58" s="2885">
        <v>1798.9166666666667</v>
      </c>
      <c r="AW58" s="2882">
        <v>1327</v>
      </c>
      <c r="AX58" s="2883">
        <v>2719</v>
      </c>
      <c r="AY58" s="2883">
        <v>2053</v>
      </c>
      <c r="AZ58" s="2883">
        <v>2414</v>
      </c>
      <c r="BA58" s="2883">
        <v>3928.9999999999995</v>
      </c>
      <c r="BB58" s="2883">
        <v>2208</v>
      </c>
      <c r="BC58" s="2883">
        <v>3049</v>
      </c>
      <c r="BD58" s="1102">
        <v>2187</v>
      </c>
      <c r="BE58" s="2918">
        <v>2132</v>
      </c>
      <c r="BF58" s="2883">
        <v>1533</v>
      </c>
      <c r="BG58" s="2883">
        <v>1579</v>
      </c>
      <c r="BH58" s="1102">
        <v>1483</v>
      </c>
      <c r="BI58" s="2883">
        <f t="shared" ref="BI58:BI62" si="36">SUM(AW58:BH58)</f>
        <v>26613</v>
      </c>
      <c r="BJ58" s="2885">
        <f t="shared" si="7"/>
        <v>2217.75</v>
      </c>
      <c r="BK58" s="2882">
        <v>2213</v>
      </c>
      <c r="BL58" s="2883">
        <v>1494</v>
      </c>
      <c r="BM58" s="2883"/>
      <c r="BN58" s="2883"/>
      <c r="BO58" s="2883"/>
      <c r="BP58" s="2883"/>
      <c r="BQ58" s="2883"/>
      <c r="BR58" s="1102"/>
      <c r="BS58" s="2918"/>
      <c r="BT58" s="2883"/>
      <c r="BU58" s="2883"/>
      <c r="BV58" s="1102"/>
      <c r="BW58" s="2883">
        <f t="shared" ref="BW58:BW62" si="37">SUM(BK58:BV58)</f>
        <v>3707</v>
      </c>
      <c r="BX58" s="2885">
        <f t="shared" si="29"/>
        <v>1853.5</v>
      </c>
      <c r="BZ58" s="2860" t="e">
        <f t="shared" si="27"/>
        <v>#N/A</v>
      </c>
      <c r="CA58" s="2860">
        <f t="shared" si="11"/>
        <v>418.83333333333326</v>
      </c>
      <c r="CB58" s="2881" t="e">
        <f t="shared" si="35"/>
        <v>#N/A</v>
      </c>
    </row>
    <row r="59" spans="1:81" ht="18" customHeight="1" x14ac:dyDescent="0.55000000000000004">
      <c r="A59" s="7134"/>
      <c r="B59" s="7135"/>
      <c r="C59" s="698" t="s">
        <v>47</v>
      </c>
      <c r="D59" s="698"/>
      <c r="E59" s="698">
        <v>990</v>
      </c>
      <c r="F59" s="2921">
        <v>1066</v>
      </c>
      <c r="G59" s="2922">
        <v>1066</v>
      </c>
      <c r="H59" s="2922">
        <v>1305</v>
      </c>
      <c r="I59" s="2922">
        <v>1074</v>
      </c>
      <c r="J59" s="2922">
        <v>1059</v>
      </c>
      <c r="K59" s="2922">
        <v>956</v>
      </c>
      <c r="L59" s="2922">
        <v>874</v>
      </c>
      <c r="M59" s="2922">
        <v>1270</v>
      </c>
      <c r="N59" s="2922">
        <v>1192</v>
      </c>
      <c r="O59" s="2922">
        <v>1053</v>
      </c>
      <c r="P59" s="2922">
        <v>1115</v>
      </c>
      <c r="Q59" s="2922">
        <v>1024</v>
      </c>
      <c r="R59" s="2922">
        <v>13054</v>
      </c>
      <c r="S59" s="2922">
        <v>1087.8333333333333</v>
      </c>
      <c r="T59" s="2921">
        <v>1129</v>
      </c>
      <c r="U59" s="2922">
        <v>984</v>
      </c>
      <c r="V59" s="2922">
        <v>920</v>
      </c>
      <c r="W59" s="2922">
        <v>730</v>
      </c>
      <c r="X59" s="2922">
        <v>1005</v>
      </c>
      <c r="Y59" s="2922">
        <v>888</v>
      </c>
      <c r="Z59" s="1102">
        <v>793</v>
      </c>
      <c r="AA59" s="1102">
        <v>1007</v>
      </c>
      <c r="AB59" s="1102">
        <v>787</v>
      </c>
      <c r="AC59" s="1102">
        <v>880</v>
      </c>
      <c r="AD59" s="1102">
        <v>870</v>
      </c>
      <c r="AE59" s="1102">
        <v>676</v>
      </c>
      <c r="AF59" s="2883">
        <v>10669</v>
      </c>
      <c r="AG59" s="2883">
        <v>889.08333333333337</v>
      </c>
      <c r="AH59" s="2883"/>
      <c r="AI59" s="2884">
        <v>687</v>
      </c>
      <c r="AJ59" s="2883">
        <v>669</v>
      </c>
      <c r="AK59" s="2883">
        <v>607</v>
      </c>
      <c r="AL59" s="2883">
        <v>693</v>
      </c>
      <c r="AM59" s="2883">
        <v>690</v>
      </c>
      <c r="AN59" s="2883">
        <v>648</v>
      </c>
      <c r="AO59" s="2883">
        <v>643</v>
      </c>
      <c r="AP59" s="2883">
        <v>612</v>
      </c>
      <c r="AQ59" s="2883">
        <v>556</v>
      </c>
      <c r="AR59" s="2883">
        <v>573</v>
      </c>
      <c r="AS59" s="2883">
        <v>554</v>
      </c>
      <c r="AT59" s="1102">
        <v>600</v>
      </c>
      <c r="AU59" s="2883">
        <v>7532</v>
      </c>
      <c r="AV59" s="2885">
        <v>627.66666666666663</v>
      </c>
      <c r="AW59" s="2883">
        <v>550</v>
      </c>
      <c r="AX59" s="2883">
        <v>756</v>
      </c>
      <c r="AY59" s="2883">
        <v>775</v>
      </c>
      <c r="AZ59" s="2883">
        <v>684</v>
      </c>
      <c r="BA59" s="2883">
        <v>627</v>
      </c>
      <c r="BB59" s="2883">
        <v>680</v>
      </c>
      <c r="BC59" s="2883">
        <v>658</v>
      </c>
      <c r="BD59" s="1102">
        <v>614</v>
      </c>
      <c r="BE59" s="1102">
        <v>680</v>
      </c>
      <c r="BF59" s="2883">
        <v>812</v>
      </c>
      <c r="BG59" s="2883">
        <v>730</v>
      </c>
      <c r="BH59" s="1102">
        <v>699</v>
      </c>
      <c r="BI59" s="2883">
        <f t="shared" si="36"/>
        <v>8265</v>
      </c>
      <c r="BJ59" s="2885">
        <f t="shared" si="7"/>
        <v>688.75</v>
      </c>
      <c r="BK59" s="2883">
        <v>1244</v>
      </c>
      <c r="BL59" s="2883">
        <v>1375</v>
      </c>
      <c r="BM59" s="2883"/>
      <c r="BN59" s="2883"/>
      <c r="BO59" s="2883"/>
      <c r="BP59" s="2883"/>
      <c r="BQ59" s="2883"/>
      <c r="BR59" s="1102"/>
      <c r="BS59" s="1102"/>
      <c r="BT59" s="2883"/>
      <c r="BU59" s="2883"/>
      <c r="BV59" s="1102"/>
      <c r="BW59" s="2883">
        <f t="shared" si="37"/>
        <v>2619</v>
      </c>
      <c r="BX59" s="2885">
        <f t="shared" si="29"/>
        <v>1309.5</v>
      </c>
      <c r="BZ59" s="2860" t="e">
        <f t="shared" si="27"/>
        <v>#N/A</v>
      </c>
      <c r="CA59" s="2860">
        <f t="shared" si="11"/>
        <v>61.083333333333371</v>
      </c>
      <c r="CB59" s="2881" t="e">
        <f t="shared" si="35"/>
        <v>#N/A</v>
      </c>
    </row>
    <row r="60" spans="1:81" ht="18" customHeight="1" x14ac:dyDescent="0.55000000000000004">
      <c r="A60" s="7134"/>
      <c r="B60" s="7135"/>
      <c r="C60" s="2920" t="s">
        <v>58</v>
      </c>
      <c r="D60" s="698"/>
      <c r="E60" s="698">
        <v>113</v>
      </c>
      <c r="F60" s="2921">
        <v>41</v>
      </c>
      <c r="G60" s="2922">
        <v>41</v>
      </c>
      <c r="H60" s="2922">
        <v>43</v>
      </c>
      <c r="I60" s="2922">
        <v>25</v>
      </c>
      <c r="J60" s="2922">
        <v>40</v>
      </c>
      <c r="K60" s="2922">
        <v>27</v>
      </c>
      <c r="L60" s="2922">
        <v>42</v>
      </c>
      <c r="M60" s="2922">
        <v>31</v>
      </c>
      <c r="N60" s="2922">
        <v>95</v>
      </c>
      <c r="O60" s="2922">
        <v>39</v>
      </c>
      <c r="P60" s="2922">
        <v>39</v>
      </c>
      <c r="Q60" s="2922">
        <v>34</v>
      </c>
      <c r="R60" s="2922">
        <v>497</v>
      </c>
      <c r="S60" s="2922">
        <v>41.416666666666664</v>
      </c>
      <c r="T60" s="2921">
        <v>38</v>
      </c>
      <c r="U60" s="2922">
        <v>40</v>
      </c>
      <c r="V60" s="2922">
        <v>34</v>
      </c>
      <c r="W60" s="2922">
        <v>57</v>
      </c>
      <c r="X60" s="2922">
        <v>69</v>
      </c>
      <c r="Y60" s="2922">
        <v>48</v>
      </c>
      <c r="Z60" s="1102">
        <v>37</v>
      </c>
      <c r="AA60" s="1102">
        <v>105</v>
      </c>
      <c r="AB60" s="1102">
        <v>34</v>
      </c>
      <c r="AC60" s="1102">
        <v>81</v>
      </c>
      <c r="AD60" s="1102">
        <v>143</v>
      </c>
      <c r="AE60" s="1102">
        <v>39</v>
      </c>
      <c r="AF60" s="2883">
        <v>725</v>
      </c>
      <c r="AG60" s="2883">
        <v>60.416666666666664</v>
      </c>
      <c r="AH60" s="2883"/>
      <c r="AI60" s="2884">
        <v>43</v>
      </c>
      <c r="AJ60" s="2883">
        <v>36</v>
      </c>
      <c r="AK60" s="2883">
        <v>34</v>
      </c>
      <c r="AL60" s="2883">
        <v>50</v>
      </c>
      <c r="AM60" s="2883">
        <v>34</v>
      </c>
      <c r="AN60" s="2883">
        <v>27</v>
      </c>
      <c r="AO60" s="2883">
        <v>26</v>
      </c>
      <c r="AP60" s="2883">
        <v>17</v>
      </c>
      <c r="AQ60" s="2883">
        <v>27</v>
      </c>
      <c r="AR60" s="2883">
        <v>25</v>
      </c>
      <c r="AS60" s="2883">
        <v>24</v>
      </c>
      <c r="AT60" s="1102">
        <v>24</v>
      </c>
      <c r="AU60" s="2883">
        <v>367</v>
      </c>
      <c r="AV60" s="2885">
        <v>30.583333333333332</v>
      </c>
      <c r="AW60" s="2882">
        <v>18</v>
      </c>
      <c r="AX60" s="2883">
        <v>24</v>
      </c>
      <c r="AY60" s="2883">
        <v>14</v>
      </c>
      <c r="AZ60" s="2883">
        <v>19</v>
      </c>
      <c r="BA60" s="2883">
        <v>32</v>
      </c>
      <c r="BB60" s="2883">
        <v>27</v>
      </c>
      <c r="BC60" s="2883">
        <v>22</v>
      </c>
      <c r="BD60" s="1102">
        <v>22</v>
      </c>
      <c r="BE60" s="1102">
        <v>22</v>
      </c>
      <c r="BF60" s="2883">
        <v>31</v>
      </c>
      <c r="BG60" s="2883">
        <v>14</v>
      </c>
      <c r="BH60" s="1102">
        <v>19</v>
      </c>
      <c r="BI60" s="2883">
        <f t="shared" si="36"/>
        <v>264</v>
      </c>
      <c r="BJ60" s="2885">
        <f t="shared" si="7"/>
        <v>22</v>
      </c>
      <c r="BK60" s="2882">
        <v>45</v>
      </c>
      <c r="BL60" s="2883">
        <v>25</v>
      </c>
      <c r="BM60" s="2883"/>
      <c r="BN60" s="2883"/>
      <c r="BO60" s="2883"/>
      <c r="BP60" s="2883"/>
      <c r="BQ60" s="2883"/>
      <c r="BR60" s="1102"/>
      <c r="BS60" s="1102"/>
      <c r="BT60" s="2883"/>
      <c r="BU60" s="2883"/>
      <c r="BV60" s="1102"/>
      <c r="BW60" s="2883">
        <f t="shared" si="37"/>
        <v>70</v>
      </c>
      <c r="BX60" s="2885">
        <f t="shared" si="29"/>
        <v>35</v>
      </c>
      <c r="BZ60" s="2860" t="e">
        <f t="shared" si="27"/>
        <v>#N/A</v>
      </c>
      <c r="CA60" s="2860">
        <f t="shared" si="11"/>
        <v>-8.5833333333333321</v>
      </c>
      <c r="CB60" s="2881" t="e">
        <f t="shared" si="35"/>
        <v>#N/A</v>
      </c>
    </row>
    <row r="61" spans="1:81" ht="18" customHeight="1" x14ac:dyDescent="0.55000000000000004">
      <c r="A61" s="7134"/>
      <c r="B61" s="7135"/>
      <c r="C61" s="698" t="s">
        <v>49</v>
      </c>
      <c r="D61" s="698"/>
      <c r="E61" s="698"/>
      <c r="F61" s="2921"/>
      <c r="G61" s="2922"/>
      <c r="H61" s="2922"/>
      <c r="I61" s="2922"/>
      <c r="J61" s="2922"/>
      <c r="K61" s="2922"/>
      <c r="L61" s="2922"/>
      <c r="M61" s="2922"/>
      <c r="N61" s="2922"/>
      <c r="O61" s="2922"/>
      <c r="P61" s="2922"/>
      <c r="Q61" s="2922"/>
      <c r="R61" s="2922"/>
      <c r="S61" s="2922"/>
      <c r="T61" s="2921">
        <v>1657</v>
      </c>
      <c r="U61" s="2922">
        <v>1395</v>
      </c>
      <c r="V61" s="2922">
        <v>1074</v>
      </c>
      <c r="W61" s="2922">
        <v>1090</v>
      </c>
      <c r="X61" s="2922">
        <v>1011</v>
      </c>
      <c r="Y61" s="2922">
        <v>1487</v>
      </c>
      <c r="Z61" s="1102">
        <v>1634</v>
      </c>
      <c r="AA61" s="1102">
        <v>1490</v>
      </c>
      <c r="AB61" s="1102">
        <v>1564</v>
      </c>
      <c r="AC61" s="1102">
        <v>1318</v>
      </c>
      <c r="AD61" s="1102">
        <v>1332</v>
      </c>
      <c r="AE61" s="1102">
        <v>1167</v>
      </c>
      <c r="AF61" s="2883">
        <v>11318</v>
      </c>
      <c r="AG61" s="2883">
        <v>-1738.3333333333335</v>
      </c>
      <c r="AH61" s="2883"/>
      <c r="AI61" s="2884">
        <v>1030</v>
      </c>
      <c r="AJ61" s="2883">
        <v>1432</v>
      </c>
      <c r="AK61" s="2883">
        <v>1440</v>
      </c>
      <c r="AL61" s="2883">
        <v>1323</v>
      </c>
      <c r="AM61" s="2883">
        <v>1363</v>
      </c>
      <c r="AN61" s="2883">
        <v>1536.9999999999998</v>
      </c>
      <c r="AO61" s="2883">
        <v>1628</v>
      </c>
      <c r="AP61" s="2883">
        <v>1813</v>
      </c>
      <c r="AQ61" s="2883">
        <v>1421</v>
      </c>
      <c r="AR61" s="2883">
        <v>1672</v>
      </c>
      <c r="AS61" s="2883">
        <v>1071</v>
      </c>
      <c r="AT61" s="1102">
        <v>1160</v>
      </c>
      <c r="AU61" s="2883">
        <v>16890</v>
      </c>
      <c r="AV61" s="2885">
        <v>1407.5</v>
      </c>
      <c r="AW61" s="2883">
        <f t="shared" ref="AW61:BH61" si="38">-(AW62-(AW58-AW59))</f>
        <v>1255</v>
      </c>
      <c r="AX61" s="2883">
        <f t="shared" si="38"/>
        <v>950</v>
      </c>
      <c r="AY61" s="2883">
        <f t="shared" si="38"/>
        <v>1055</v>
      </c>
      <c r="AZ61" s="2883">
        <f t="shared" si="38"/>
        <v>791</v>
      </c>
      <c r="BA61" s="2883">
        <f t="shared" si="38"/>
        <v>309.99999999999955</v>
      </c>
      <c r="BB61" s="2883">
        <f t="shared" si="38"/>
        <v>840</v>
      </c>
      <c r="BC61" s="2883">
        <f t="shared" si="38"/>
        <v>922</v>
      </c>
      <c r="BD61" s="2883">
        <f t="shared" si="38"/>
        <v>1002</v>
      </c>
      <c r="BE61" s="2883">
        <f t="shared" si="38"/>
        <v>1050</v>
      </c>
      <c r="BF61" s="2883">
        <f t="shared" si="38"/>
        <v>1267</v>
      </c>
      <c r="BG61" s="2883">
        <f t="shared" si="38"/>
        <v>1124</v>
      </c>
      <c r="BH61" s="2883">
        <f t="shared" si="38"/>
        <v>997</v>
      </c>
      <c r="BI61" s="2883">
        <f t="shared" si="36"/>
        <v>11563</v>
      </c>
      <c r="BJ61" s="2885">
        <f t="shared" si="7"/>
        <v>963.58333333333337</v>
      </c>
      <c r="BK61" s="2884">
        <v>694</v>
      </c>
      <c r="BL61" s="2883">
        <v>502</v>
      </c>
      <c r="BM61" s="2883"/>
      <c r="BN61" s="2883"/>
      <c r="BO61" s="2883"/>
      <c r="BP61" s="2883"/>
      <c r="BQ61" s="2883"/>
      <c r="BR61" s="2883"/>
      <c r="BS61" s="2883"/>
      <c r="BT61" s="2883"/>
      <c r="BU61" s="2883"/>
      <c r="BV61" s="2883"/>
      <c r="BW61" s="2883">
        <f t="shared" si="37"/>
        <v>1196</v>
      </c>
      <c r="BX61" s="2885">
        <f t="shared" si="29"/>
        <v>598</v>
      </c>
      <c r="BZ61" s="2860" t="e">
        <f t="shared" si="27"/>
        <v>#N/A</v>
      </c>
      <c r="CA61" s="2860">
        <f t="shared" si="11"/>
        <v>-443.91666666666663</v>
      </c>
      <c r="CB61" s="2881" t="e">
        <f t="shared" si="35"/>
        <v>#N/A</v>
      </c>
    </row>
    <row r="62" spans="1:81" ht="18" customHeight="1" thickBot="1" x14ac:dyDescent="0.6">
      <c r="A62" s="7134"/>
      <c r="B62" s="7135"/>
      <c r="C62" s="2953" t="s">
        <v>50</v>
      </c>
      <c r="D62" s="2925"/>
      <c r="E62" s="2925"/>
      <c r="F62" s="2926"/>
      <c r="G62" s="2927"/>
      <c r="H62" s="2927"/>
      <c r="I62" s="2927"/>
      <c r="J62" s="2927"/>
      <c r="K62" s="2927"/>
      <c r="L62" s="2927"/>
      <c r="M62" s="2927"/>
      <c r="N62" s="2927"/>
      <c r="O62" s="2927"/>
      <c r="P62" s="2927"/>
      <c r="Q62" s="2927"/>
      <c r="R62" s="2927"/>
      <c r="S62" s="2927"/>
      <c r="T62" s="2954">
        <v>-881</v>
      </c>
      <c r="U62" s="2927">
        <v>-187</v>
      </c>
      <c r="V62" s="2927">
        <v>5</v>
      </c>
      <c r="W62" s="2927">
        <v>357</v>
      </c>
      <c r="X62" s="2927">
        <v>-27</v>
      </c>
      <c r="Y62" s="2927">
        <v>-507</v>
      </c>
      <c r="Z62" s="2905">
        <v>-864</v>
      </c>
      <c r="AA62" s="2905">
        <v>-310</v>
      </c>
      <c r="AB62" s="2905">
        <v>-895</v>
      </c>
      <c r="AC62" s="2905">
        <v>-508</v>
      </c>
      <c r="AD62" s="2905">
        <v>-581</v>
      </c>
      <c r="AE62" s="2905">
        <v>-503</v>
      </c>
      <c r="AF62" s="2907">
        <v>0</v>
      </c>
      <c r="AG62" s="2907">
        <v>2681.5</v>
      </c>
      <c r="AH62" s="2907"/>
      <c r="AI62" s="2966">
        <v>177</v>
      </c>
      <c r="AJ62" s="2907">
        <v>-625</v>
      </c>
      <c r="AK62" s="2907">
        <v>-295</v>
      </c>
      <c r="AL62" s="2907">
        <v>-114</v>
      </c>
      <c r="AM62" s="2907">
        <v>-30</v>
      </c>
      <c r="AN62" s="2907">
        <v>-477</v>
      </c>
      <c r="AO62" s="2907">
        <v>-80</v>
      </c>
      <c r="AP62" s="2907">
        <v>-749</v>
      </c>
      <c r="AQ62" s="2907">
        <v>-245</v>
      </c>
      <c r="AR62" s="2907">
        <v>-465</v>
      </c>
      <c r="AS62" s="2907">
        <v>220</v>
      </c>
      <c r="AT62" s="2905">
        <v>28</v>
      </c>
      <c r="AU62" s="2907">
        <v>-2655</v>
      </c>
      <c r="AV62" s="2955">
        <v>-221.25</v>
      </c>
      <c r="AW62" s="2907">
        <v>-478</v>
      </c>
      <c r="AX62" s="2907">
        <v>1013</v>
      </c>
      <c r="AY62" s="2907">
        <v>223</v>
      </c>
      <c r="AZ62" s="2907">
        <v>939</v>
      </c>
      <c r="BA62" s="2907">
        <v>2992</v>
      </c>
      <c r="BB62" s="2907">
        <v>688</v>
      </c>
      <c r="BC62" s="2907">
        <v>1469</v>
      </c>
      <c r="BD62" s="2907">
        <v>571</v>
      </c>
      <c r="BE62" s="2907">
        <v>402</v>
      </c>
      <c r="BF62" s="2907">
        <v>-546</v>
      </c>
      <c r="BG62" s="2907">
        <v>-275</v>
      </c>
      <c r="BH62" s="2907">
        <v>-213</v>
      </c>
      <c r="BI62" s="2907">
        <f t="shared" si="36"/>
        <v>6785</v>
      </c>
      <c r="BJ62" s="2955">
        <f t="shared" si="7"/>
        <v>565.41666666666663</v>
      </c>
      <c r="BK62" s="2907">
        <v>275</v>
      </c>
      <c r="BL62" s="2907">
        <v>-383</v>
      </c>
      <c r="BM62" s="2907"/>
      <c r="BN62" s="2907"/>
      <c r="BO62" s="2907"/>
      <c r="BP62" s="2907"/>
      <c r="BQ62" s="2907"/>
      <c r="BR62" s="2907"/>
      <c r="BS62" s="2907"/>
      <c r="BT62" s="2907"/>
      <c r="BU62" s="2907"/>
      <c r="BV62" s="2907"/>
      <c r="BW62" s="2907">
        <f t="shared" si="37"/>
        <v>-108</v>
      </c>
      <c r="BX62" s="2955">
        <f t="shared" si="29"/>
        <v>-54</v>
      </c>
      <c r="BZ62" s="2860" t="e">
        <f t="shared" si="27"/>
        <v>#N/A</v>
      </c>
      <c r="CA62" s="2860">
        <f t="shared" si="11"/>
        <v>786.66666666666663</v>
      </c>
      <c r="CB62" s="2881" t="e">
        <f t="shared" si="35"/>
        <v>#N/A</v>
      </c>
    </row>
    <row r="63" spans="1:81" ht="18" customHeight="1" x14ac:dyDescent="0.55000000000000004">
      <c r="A63" s="7134" t="s">
        <v>20</v>
      </c>
      <c r="B63" s="7135"/>
      <c r="C63" s="2957" t="s">
        <v>43</v>
      </c>
      <c r="D63" s="2958"/>
      <c r="E63" s="2958">
        <v>75079</v>
      </c>
      <c r="F63" s="2959">
        <v>72658</v>
      </c>
      <c r="G63" s="2960">
        <v>72658</v>
      </c>
      <c r="H63" s="2960">
        <v>71652</v>
      </c>
      <c r="I63" s="2960">
        <v>71683</v>
      </c>
      <c r="J63" s="2960">
        <v>71309</v>
      </c>
      <c r="K63" s="2960">
        <v>70873</v>
      </c>
      <c r="L63" s="2960">
        <v>69874</v>
      </c>
      <c r="M63" s="2960">
        <v>69566</v>
      </c>
      <c r="N63" s="2960">
        <v>68795</v>
      </c>
      <c r="O63" s="2960">
        <v>68068</v>
      </c>
      <c r="P63" s="2960">
        <v>67475</v>
      </c>
      <c r="Q63" s="2960">
        <v>66290</v>
      </c>
      <c r="R63" s="2960">
        <v>66290</v>
      </c>
      <c r="S63" s="2960">
        <v>70075.083333333328</v>
      </c>
      <c r="T63" s="2960">
        <v>65268</v>
      </c>
      <c r="U63" s="2960">
        <v>64536</v>
      </c>
      <c r="V63" s="2960">
        <v>63703</v>
      </c>
      <c r="W63" s="2960">
        <v>63002</v>
      </c>
      <c r="X63" s="2960">
        <v>62561</v>
      </c>
      <c r="Y63" s="2960">
        <v>61984</v>
      </c>
      <c r="Z63" s="2961">
        <v>61228</v>
      </c>
      <c r="AA63" s="2961">
        <v>60687</v>
      </c>
      <c r="AB63" s="2961">
        <v>60223</v>
      </c>
      <c r="AC63" s="2961">
        <v>60090</v>
      </c>
      <c r="AD63" s="2961">
        <v>60059</v>
      </c>
      <c r="AE63" s="2961">
        <v>59744</v>
      </c>
      <c r="AF63" s="2962">
        <v>59744</v>
      </c>
      <c r="AG63" s="2962">
        <v>61923.75</v>
      </c>
      <c r="AH63" s="2962"/>
      <c r="AI63" s="2963">
        <v>59820</v>
      </c>
      <c r="AJ63" s="2962">
        <v>59535</v>
      </c>
      <c r="AK63" s="2962">
        <v>58463</v>
      </c>
      <c r="AL63" s="2962">
        <v>57373</v>
      </c>
      <c r="AM63" s="2962">
        <v>56130</v>
      </c>
      <c r="AN63" s="2962">
        <v>55058</v>
      </c>
      <c r="AO63" s="2962">
        <v>54011</v>
      </c>
      <c r="AP63" s="2962">
        <v>52517</v>
      </c>
      <c r="AQ63" s="2962">
        <v>51167</v>
      </c>
      <c r="AR63" s="2962">
        <v>49383</v>
      </c>
      <c r="AS63" s="2962">
        <v>47712</v>
      </c>
      <c r="AT63" s="2961">
        <v>46076</v>
      </c>
      <c r="AU63" s="2962">
        <v>46076</v>
      </c>
      <c r="AV63" s="2964">
        <v>53937.083333333336</v>
      </c>
      <c r="AW63" s="2965">
        <v>44595</v>
      </c>
      <c r="AX63" s="2962">
        <v>42983</v>
      </c>
      <c r="AY63" s="2962">
        <v>40875</v>
      </c>
      <c r="AZ63" s="2962">
        <v>38818</v>
      </c>
      <c r="BA63" s="2962">
        <v>36622</v>
      </c>
      <c r="BB63" s="2962">
        <v>34253</v>
      </c>
      <c r="BC63" s="2962">
        <v>31981</v>
      </c>
      <c r="BD63" s="2962">
        <v>29972</v>
      </c>
      <c r="BE63" s="2962">
        <v>28369</v>
      </c>
      <c r="BF63" s="2962">
        <v>26663</v>
      </c>
      <c r="BG63" s="2962">
        <v>25198</v>
      </c>
      <c r="BH63" s="2962">
        <v>23772</v>
      </c>
      <c r="BI63" s="2878">
        <f>AW63</f>
        <v>44595</v>
      </c>
      <c r="BJ63" s="2964">
        <f t="shared" si="7"/>
        <v>33675.083333333336</v>
      </c>
      <c r="BK63" s="2965">
        <v>22271</v>
      </c>
      <c r="BL63" s="2962">
        <v>20923</v>
      </c>
      <c r="BM63" s="2962"/>
      <c r="BN63" s="2962"/>
      <c r="BO63" s="2962"/>
      <c r="BP63" s="2962"/>
      <c r="BQ63" s="2962"/>
      <c r="BR63" s="2962"/>
      <c r="BS63" s="2962"/>
      <c r="BT63" s="2962"/>
      <c r="BU63" s="2962"/>
      <c r="BV63" s="2962"/>
      <c r="BW63" s="2878">
        <f>BK63</f>
        <v>22271</v>
      </c>
      <c r="BX63" s="2964">
        <f t="shared" si="29"/>
        <v>21597</v>
      </c>
      <c r="BZ63" s="2860" t="e">
        <f t="shared" si="27"/>
        <v>#N/A</v>
      </c>
      <c r="CA63" s="2860">
        <f t="shared" si="11"/>
        <v>-20262</v>
      </c>
      <c r="CB63" s="2881" t="e">
        <f t="shared" si="35"/>
        <v>#N/A</v>
      </c>
    </row>
    <row r="64" spans="1:81" ht="18" customHeight="1" x14ac:dyDescent="0.55000000000000004">
      <c r="A64" s="7134"/>
      <c r="B64" s="7135"/>
      <c r="C64" s="698" t="s">
        <v>46</v>
      </c>
      <c r="D64" s="698"/>
      <c r="E64" s="698"/>
      <c r="F64" s="2921"/>
      <c r="G64" s="2922"/>
      <c r="H64" s="2922"/>
      <c r="I64" s="2922"/>
      <c r="J64" s="2922"/>
      <c r="K64" s="2922"/>
      <c r="L64" s="2922"/>
      <c r="M64" s="2922"/>
      <c r="N64" s="2922"/>
      <c r="O64" s="2922"/>
      <c r="P64" s="2922"/>
      <c r="Q64" s="2922"/>
      <c r="R64" s="2922"/>
      <c r="S64" s="2922"/>
      <c r="T64" s="2921">
        <v>1320</v>
      </c>
      <c r="U64" s="2922">
        <v>1543</v>
      </c>
      <c r="V64" s="2922">
        <v>1379</v>
      </c>
      <c r="W64" s="2922">
        <v>1253</v>
      </c>
      <c r="X64" s="2922">
        <v>1609</v>
      </c>
      <c r="Y64" s="2922">
        <v>1414</v>
      </c>
      <c r="Z64" s="1102">
        <v>1275</v>
      </c>
      <c r="AA64" s="1102">
        <v>1709</v>
      </c>
      <c r="AB64" s="1102">
        <v>1443</v>
      </c>
      <c r="AC64" s="1102">
        <v>1693</v>
      </c>
      <c r="AD64" s="1102">
        <v>1727</v>
      </c>
      <c r="AE64" s="1102">
        <v>1055</v>
      </c>
      <c r="AF64" s="2903">
        <v>17420</v>
      </c>
      <c r="AG64" s="2903">
        <v>1451.6666666666667</v>
      </c>
      <c r="AH64" s="2883"/>
      <c r="AI64" s="2884">
        <v>1644</v>
      </c>
      <c r="AJ64" s="2883">
        <v>1381</v>
      </c>
      <c r="AK64" s="2883">
        <v>1585</v>
      </c>
      <c r="AL64" s="2883">
        <v>1529</v>
      </c>
      <c r="AM64" s="2883">
        <v>1782</v>
      </c>
      <c r="AN64" s="2883">
        <v>1618</v>
      </c>
      <c r="AO64" s="2883">
        <v>1792</v>
      </c>
      <c r="AP64" s="2883">
        <v>1775.0000000000002</v>
      </c>
      <c r="AQ64" s="2883">
        <v>1790</v>
      </c>
      <c r="AR64" s="2883">
        <v>2087</v>
      </c>
      <c r="AS64" s="2883">
        <v>2097</v>
      </c>
      <c r="AT64" s="1102">
        <v>1942</v>
      </c>
      <c r="AU64" s="2883">
        <v>21022</v>
      </c>
      <c r="AV64" s="2885">
        <v>1751.8333333333333</v>
      </c>
      <c r="AW64" s="2882">
        <v>1828</v>
      </c>
      <c r="AX64" s="2883">
        <v>2334</v>
      </c>
      <c r="AY64" s="2883">
        <v>2074</v>
      </c>
      <c r="AZ64" s="2883">
        <v>2120</v>
      </c>
      <c r="BA64" s="2883">
        <v>4113</v>
      </c>
      <c r="BB64" s="2883">
        <v>3180</v>
      </c>
      <c r="BC64" s="2883">
        <v>2864</v>
      </c>
      <c r="BD64" s="2883">
        <v>2865</v>
      </c>
      <c r="BE64" s="2883">
        <v>2866</v>
      </c>
      <c r="BF64" s="2883">
        <v>1989</v>
      </c>
      <c r="BG64" s="2883">
        <v>1932.9999999999998</v>
      </c>
      <c r="BH64" s="1102">
        <v>1917</v>
      </c>
      <c r="BI64" s="2883">
        <f t="shared" ref="BI64:BI68" si="39">SUM(AW64:BH64)</f>
        <v>30083</v>
      </c>
      <c r="BJ64" s="2885">
        <f t="shared" ref="BJ64:BJ86" si="40">AVERAGE(AW64:BH64)</f>
        <v>2506.9166666666665</v>
      </c>
      <c r="BK64" s="2882">
        <v>0</v>
      </c>
      <c r="BL64" s="2883">
        <v>0</v>
      </c>
      <c r="BM64" s="2883"/>
      <c r="BN64" s="2883"/>
      <c r="BO64" s="2883"/>
      <c r="BP64" s="2883"/>
      <c r="BQ64" s="2883"/>
      <c r="BR64" s="2883"/>
      <c r="BS64" s="2883"/>
      <c r="BT64" s="2883"/>
      <c r="BU64" s="2883"/>
      <c r="BV64" s="1102"/>
      <c r="BW64" s="2883">
        <f t="shared" ref="BW64:BW68" si="41">SUM(BK64:BV64)</f>
        <v>0</v>
      </c>
      <c r="BX64" s="2885">
        <f t="shared" si="29"/>
        <v>0</v>
      </c>
      <c r="BZ64" s="2860" t="e">
        <f t="shared" si="27"/>
        <v>#N/A</v>
      </c>
      <c r="CA64" s="2860">
        <f t="shared" si="11"/>
        <v>755.08333333333326</v>
      </c>
      <c r="CB64" s="2881" t="e">
        <f t="shared" si="35"/>
        <v>#N/A</v>
      </c>
    </row>
    <row r="65" spans="1:80" ht="18" customHeight="1" x14ac:dyDescent="0.55000000000000004">
      <c r="A65" s="7134"/>
      <c r="B65" s="7135"/>
      <c r="C65" s="698" t="s">
        <v>47</v>
      </c>
      <c r="D65" s="698"/>
      <c r="E65" s="698">
        <v>996</v>
      </c>
      <c r="F65" s="2921">
        <v>874</v>
      </c>
      <c r="G65" s="2922">
        <v>874</v>
      </c>
      <c r="H65" s="2922">
        <v>956</v>
      </c>
      <c r="I65" s="2922">
        <v>953</v>
      </c>
      <c r="J65" s="2922">
        <v>866</v>
      </c>
      <c r="K65" s="2922">
        <v>723</v>
      </c>
      <c r="L65" s="2922">
        <v>659</v>
      </c>
      <c r="M65" s="2922">
        <v>671</v>
      </c>
      <c r="N65" s="2922">
        <v>589</v>
      </c>
      <c r="O65" s="2922">
        <v>548</v>
      </c>
      <c r="P65" s="2922">
        <v>675</v>
      </c>
      <c r="Q65" s="2922">
        <v>618</v>
      </c>
      <c r="R65" s="2922">
        <v>9006</v>
      </c>
      <c r="S65" s="2922">
        <v>750.5</v>
      </c>
      <c r="T65" s="2921">
        <v>668</v>
      </c>
      <c r="U65" s="2922">
        <v>676</v>
      </c>
      <c r="V65" s="2922">
        <v>687</v>
      </c>
      <c r="W65" s="2922">
        <v>662</v>
      </c>
      <c r="X65" s="2922">
        <v>720</v>
      </c>
      <c r="Y65" s="2922">
        <v>809</v>
      </c>
      <c r="Z65" s="1102">
        <v>784</v>
      </c>
      <c r="AA65" s="1102">
        <v>869</v>
      </c>
      <c r="AB65" s="1102">
        <v>664</v>
      </c>
      <c r="AC65" s="1102">
        <v>629</v>
      </c>
      <c r="AD65" s="1102">
        <v>519</v>
      </c>
      <c r="AE65" s="1102">
        <v>474</v>
      </c>
      <c r="AF65" s="2883">
        <v>8161</v>
      </c>
      <c r="AG65" s="2883">
        <v>680.08333333333337</v>
      </c>
      <c r="AH65" s="2883"/>
      <c r="AI65" s="2884">
        <v>683</v>
      </c>
      <c r="AJ65" s="2883">
        <v>761</v>
      </c>
      <c r="AK65" s="2883">
        <v>810</v>
      </c>
      <c r="AL65" s="2883">
        <v>773</v>
      </c>
      <c r="AM65" s="2883">
        <v>759</v>
      </c>
      <c r="AN65" s="2883">
        <v>851</v>
      </c>
      <c r="AO65" s="2883">
        <v>828</v>
      </c>
      <c r="AP65" s="2883">
        <v>785</v>
      </c>
      <c r="AQ65" s="2883">
        <v>672</v>
      </c>
      <c r="AR65" s="2883">
        <v>822</v>
      </c>
      <c r="AS65" s="2883">
        <v>695</v>
      </c>
      <c r="AT65" s="1102">
        <v>550</v>
      </c>
      <c r="AU65" s="2883">
        <v>8989</v>
      </c>
      <c r="AV65" s="2885">
        <v>749.08333333333337</v>
      </c>
      <c r="AW65" s="2882">
        <v>627</v>
      </c>
      <c r="AX65" s="2883">
        <v>835</v>
      </c>
      <c r="AY65" s="2883">
        <v>866</v>
      </c>
      <c r="AZ65" s="2883">
        <v>904</v>
      </c>
      <c r="BA65" s="2883">
        <v>861</v>
      </c>
      <c r="BB65" s="2883">
        <v>855</v>
      </c>
      <c r="BC65" s="2883">
        <v>763</v>
      </c>
      <c r="BD65" s="2883">
        <v>618</v>
      </c>
      <c r="BE65" s="2883">
        <v>638</v>
      </c>
      <c r="BF65" s="2883">
        <v>561</v>
      </c>
      <c r="BG65" s="2883">
        <v>514</v>
      </c>
      <c r="BH65" s="2883">
        <v>471</v>
      </c>
      <c r="BI65" s="2883">
        <f t="shared" si="39"/>
        <v>8513</v>
      </c>
      <c r="BJ65" s="2885">
        <f t="shared" si="40"/>
        <v>709.41666666666663</v>
      </c>
      <c r="BK65" s="2882">
        <v>887</v>
      </c>
      <c r="BL65" s="2883">
        <v>477</v>
      </c>
      <c r="BM65" s="2883"/>
      <c r="BN65" s="2883"/>
      <c r="BO65" s="2883"/>
      <c r="BP65" s="2883"/>
      <c r="BQ65" s="2883"/>
      <c r="BR65" s="2883"/>
      <c r="BS65" s="2883"/>
      <c r="BT65" s="2883"/>
      <c r="BU65" s="2883"/>
      <c r="BV65" s="2883"/>
      <c r="BW65" s="2883">
        <f t="shared" si="41"/>
        <v>1364</v>
      </c>
      <c r="BX65" s="2885">
        <f t="shared" si="29"/>
        <v>682</v>
      </c>
      <c r="BZ65" s="2860" t="e">
        <f t="shared" si="27"/>
        <v>#N/A</v>
      </c>
      <c r="CA65" s="2860">
        <f t="shared" si="11"/>
        <v>-39.666666666666742</v>
      </c>
      <c r="CB65" s="2881" t="e">
        <f t="shared" si="35"/>
        <v>#N/A</v>
      </c>
    </row>
    <row r="66" spans="1:80" ht="18" customHeight="1" x14ac:dyDescent="0.55000000000000004">
      <c r="A66" s="7134"/>
      <c r="B66" s="7135"/>
      <c r="C66" s="2920" t="s">
        <v>58</v>
      </c>
      <c r="D66" s="698"/>
      <c r="E66" s="698">
        <v>115</v>
      </c>
      <c r="F66" s="2921">
        <v>55</v>
      </c>
      <c r="G66" s="2922">
        <v>55</v>
      </c>
      <c r="H66" s="2922">
        <v>64</v>
      </c>
      <c r="I66" s="2922">
        <v>26</v>
      </c>
      <c r="J66" s="2922">
        <v>66</v>
      </c>
      <c r="K66" s="2922">
        <v>59</v>
      </c>
      <c r="L66" s="2922">
        <v>60</v>
      </c>
      <c r="M66" s="2922">
        <v>67</v>
      </c>
      <c r="N66" s="2922">
        <v>46</v>
      </c>
      <c r="O66" s="2922">
        <v>49</v>
      </c>
      <c r="P66" s="2922">
        <v>56</v>
      </c>
      <c r="Q66" s="2922">
        <v>59</v>
      </c>
      <c r="R66" s="2922">
        <v>662</v>
      </c>
      <c r="S66" s="2922">
        <v>55.166666666666664</v>
      </c>
      <c r="T66" s="2921">
        <v>55</v>
      </c>
      <c r="U66" s="2922">
        <v>42</v>
      </c>
      <c r="V66" s="2922">
        <v>43</v>
      </c>
      <c r="W66" s="2922">
        <v>52</v>
      </c>
      <c r="X66" s="2922">
        <v>47</v>
      </c>
      <c r="Y66" s="2922">
        <v>87</v>
      </c>
      <c r="Z66" s="1102">
        <v>78</v>
      </c>
      <c r="AA66" s="1102">
        <v>124</v>
      </c>
      <c r="AB66" s="1102">
        <v>55</v>
      </c>
      <c r="AC66" s="1102">
        <v>45</v>
      </c>
      <c r="AD66" s="1102">
        <v>43</v>
      </c>
      <c r="AE66" s="1102">
        <v>54</v>
      </c>
      <c r="AF66" s="2883">
        <v>725</v>
      </c>
      <c r="AG66" s="2883">
        <v>60.416666666666664</v>
      </c>
      <c r="AH66" s="2883"/>
      <c r="AI66" s="2884">
        <v>62</v>
      </c>
      <c r="AJ66" s="2883">
        <v>60</v>
      </c>
      <c r="AK66" s="2883">
        <v>68</v>
      </c>
      <c r="AL66" s="2883">
        <v>53</v>
      </c>
      <c r="AM66" s="2883">
        <v>66</v>
      </c>
      <c r="AN66" s="2883">
        <v>43</v>
      </c>
      <c r="AO66" s="2883">
        <v>51</v>
      </c>
      <c r="AP66" s="2883">
        <v>43</v>
      </c>
      <c r="AQ66" s="2883">
        <v>37</v>
      </c>
      <c r="AR66" s="2883">
        <v>41</v>
      </c>
      <c r="AS66" s="2883">
        <v>46</v>
      </c>
      <c r="AT66" s="1102">
        <v>45</v>
      </c>
      <c r="AU66" s="2883">
        <v>615</v>
      </c>
      <c r="AV66" s="2885">
        <v>51.25</v>
      </c>
      <c r="AW66" s="2882">
        <v>31</v>
      </c>
      <c r="AX66" s="2883">
        <v>39</v>
      </c>
      <c r="AY66" s="2883">
        <v>33</v>
      </c>
      <c r="AZ66" s="2883">
        <v>33</v>
      </c>
      <c r="BA66" s="2883">
        <v>42</v>
      </c>
      <c r="BB66" s="2883">
        <v>32</v>
      </c>
      <c r="BC66" s="2883">
        <v>36</v>
      </c>
      <c r="BD66" s="2883">
        <v>23</v>
      </c>
      <c r="BE66" s="2883">
        <v>27</v>
      </c>
      <c r="BF66" s="2883">
        <v>26</v>
      </c>
      <c r="BG66" s="2883">
        <v>24</v>
      </c>
      <c r="BH66" s="2883">
        <v>20</v>
      </c>
      <c r="BI66" s="2883">
        <f t="shared" si="39"/>
        <v>366</v>
      </c>
      <c r="BJ66" s="2885">
        <f t="shared" si="40"/>
        <v>30.5</v>
      </c>
      <c r="BK66" s="2882">
        <v>23</v>
      </c>
      <c r="BL66" s="2883">
        <v>20</v>
      </c>
      <c r="BM66" s="2883"/>
      <c r="BN66" s="2883"/>
      <c r="BO66" s="2883"/>
      <c r="BP66" s="2883"/>
      <c r="BQ66" s="2883"/>
      <c r="BR66" s="2883"/>
      <c r="BS66" s="2883"/>
      <c r="BT66" s="2883"/>
      <c r="BU66" s="2883"/>
      <c r="BV66" s="2883"/>
      <c r="BW66" s="2883">
        <f t="shared" si="41"/>
        <v>43</v>
      </c>
      <c r="BX66" s="2885">
        <f t="shared" si="29"/>
        <v>21.5</v>
      </c>
      <c r="BZ66" s="2860" t="e">
        <f t="shared" si="27"/>
        <v>#N/A</v>
      </c>
      <c r="CA66" s="2860">
        <f t="shared" si="11"/>
        <v>-20.75</v>
      </c>
      <c r="CB66" s="2881" t="e">
        <f t="shared" si="35"/>
        <v>#N/A</v>
      </c>
    </row>
    <row r="67" spans="1:80" ht="18" customHeight="1" x14ac:dyDescent="0.55000000000000004">
      <c r="A67" s="7134"/>
      <c r="B67" s="7135"/>
      <c r="C67" s="698" t="s">
        <v>49</v>
      </c>
      <c r="D67" s="698"/>
      <c r="E67" s="698"/>
      <c r="F67" s="2921"/>
      <c r="G67" s="2922"/>
      <c r="H67" s="2922"/>
      <c r="I67" s="2922"/>
      <c r="J67" s="2922"/>
      <c r="K67" s="2922"/>
      <c r="L67" s="2922"/>
      <c r="M67" s="2922"/>
      <c r="N67" s="2922"/>
      <c r="O67" s="2922"/>
      <c r="P67" s="2922"/>
      <c r="Q67" s="2922"/>
      <c r="R67" s="2922"/>
      <c r="S67" s="2922"/>
      <c r="T67" s="2921">
        <v>1674</v>
      </c>
      <c r="U67" s="2922">
        <v>1599</v>
      </c>
      <c r="V67" s="2922">
        <v>1525</v>
      </c>
      <c r="W67" s="2922">
        <v>1292</v>
      </c>
      <c r="X67" s="2922">
        <v>1330</v>
      </c>
      <c r="Y67" s="2922">
        <v>1182</v>
      </c>
      <c r="Z67" s="1102">
        <v>1247</v>
      </c>
      <c r="AA67" s="1102">
        <v>1381</v>
      </c>
      <c r="AB67" s="1102">
        <v>1243</v>
      </c>
      <c r="AC67" s="1102">
        <v>1197</v>
      </c>
      <c r="AD67" s="1102">
        <v>1239</v>
      </c>
      <c r="AE67" s="1102">
        <v>896</v>
      </c>
      <c r="AF67" s="2883">
        <v>9259</v>
      </c>
      <c r="AG67" s="2883">
        <v>-1408.1666666666665</v>
      </c>
      <c r="AH67" s="2883"/>
      <c r="AI67" s="2884">
        <v>885</v>
      </c>
      <c r="AJ67" s="2883">
        <v>905</v>
      </c>
      <c r="AK67" s="2883">
        <v>1847</v>
      </c>
      <c r="AL67" s="2883">
        <v>1846</v>
      </c>
      <c r="AM67" s="2883">
        <v>2266</v>
      </c>
      <c r="AN67" s="2883">
        <v>1839</v>
      </c>
      <c r="AO67" s="2883">
        <v>2011</v>
      </c>
      <c r="AP67" s="2883">
        <v>2484</v>
      </c>
      <c r="AQ67" s="2883">
        <v>2468</v>
      </c>
      <c r="AR67" s="2883">
        <v>3049</v>
      </c>
      <c r="AS67" s="2883">
        <v>3073</v>
      </c>
      <c r="AT67" s="1102">
        <v>3028</v>
      </c>
      <c r="AU67" s="2883">
        <v>25701</v>
      </c>
      <c r="AV67" s="2885">
        <v>2141.75</v>
      </c>
      <c r="AW67" s="2883">
        <f t="shared" ref="AW67:BH67" si="42">-(AW68-(AW64-AW65))</f>
        <v>2682</v>
      </c>
      <c r="AX67" s="2883">
        <f t="shared" si="42"/>
        <v>1499</v>
      </c>
      <c r="AY67" s="2883">
        <f t="shared" si="42"/>
        <v>3316</v>
      </c>
      <c r="AZ67" s="2883">
        <f t="shared" si="42"/>
        <v>3273</v>
      </c>
      <c r="BA67" s="2883">
        <f t="shared" si="42"/>
        <v>5448</v>
      </c>
      <c r="BB67" s="2883">
        <f t="shared" si="42"/>
        <v>4694</v>
      </c>
      <c r="BC67" s="2883">
        <f t="shared" si="42"/>
        <v>4373</v>
      </c>
      <c r="BD67" s="2883">
        <f t="shared" si="42"/>
        <v>4256</v>
      </c>
      <c r="BE67" s="2883">
        <f t="shared" si="42"/>
        <v>3831</v>
      </c>
      <c r="BF67" s="2883">
        <f t="shared" si="42"/>
        <v>3134</v>
      </c>
      <c r="BG67" s="2883">
        <f t="shared" si="42"/>
        <v>2884</v>
      </c>
      <c r="BH67" s="2883">
        <f t="shared" si="42"/>
        <v>2872</v>
      </c>
      <c r="BI67" s="2883">
        <f t="shared" si="39"/>
        <v>42262</v>
      </c>
      <c r="BJ67" s="2885">
        <f t="shared" si="40"/>
        <v>3521.8333333333335</v>
      </c>
      <c r="BK67" s="2882">
        <v>614</v>
      </c>
      <c r="BL67" s="2883">
        <v>871</v>
      </c>
      <c r="BM67" s="2883"/>
      <c r="BN67" s="2883"/>
      <c r="BO67" s="2883"/>
      <c r="BP67" s="2883"/>
      <c r="BQ67" s="2883"/>
      <c r="BR67" s="2883"/>
      <c r="BS67" s="2883"/>
      <c r="BT67" s="2883"/>
      <c r="BU67" s="2883"/>
      <c r="BV67" s="2883"/>
      <c r="BW67" s="2883">
        <f t="shared" si="41"/>
        <v>1485</v>
      </c>
      <c r="BX67" s="2885">
        <f t="shared" si="29"/>
        <v>742.5</v>
      </c>
      <c r="BZ67" s="2860" t="e">
        <f t="shared" si="27"/>
        <v>#N/A</v>
      </c>
      <c r="CA67" s="2860">
        <f t="shared" si="11"/>
        <v>1380.0833333333335</v>
      </c>
      <c r="CB67" s="2881" t="e">
        <f t="shared" si="35"/>
        <v>#N/A</v>
      </c>
    </row>
    <row r="68" spans="1:80" ht="18" customHeight="1" thickBot="1" x14ac:dyDescent="0.6">
      <c r="A68" s="7134"/>
      <c r="B68" s="7135"/>
      <c r="C68" s="2953" t="s">
        <v>50</v>
      </c>
      <c r="D68" s="2925"/>
      <c r="E68" s="2925"/>
      <c r="F68" s="2926"/>
      <c r="G68" s="2927"/>
      <c r="H68" s="2927"/>
      <c r="I68" s="2927"/>
      <c r="J68" s="2927"/>
      <c r="K68" s="2927"/>
      <c r="L68" s="2927"/>
      <c r="M68" s="2927"/>
      <c r="N68" s="2927"/>
      <c r="O68" s="2927"/>
      <c r="P68" s="2927"/>
      <c r="Q68" s="2927"/>
      <c r="R68" s="2927"/>
      <c r="S68" s="2927"/>
      <c r="T68" s="2954">
        <v>-1022</v>
      </c>
      <c r="U68" s="2927">
        <v>-732</v>
      </c>
      <c r="V68" s="2927">
        <v>-833</v>
      </c>
      <c r="W68" s="2927">
        <v>-701</v>
      </c>
      <c r="X68" s="2927">
        <v>-441</v>
      </c>
      <c r="Y68" s="2927">
        <v>-577</v>
      </c>
      <c r="Z68" s="2905">
        <v>-756</v>
      </c>
      <c r="AA68" s="2905">
        <v>-541</v>
      </c>
      <c r="AB68" s="2905">
        <v>-464</v>
      </c>
      <c r="AC68" s="2905">
        <v>-133</v>
      </c>
      <c r="AD68" s="2905">
        <v>-31</v>
      </c>
      <c r="AE68" s="2905">
        <v>-315</v>
      </c>
      <c r="AF68" s="2907">
        <v>0</v>
      </c>
      <c r="AG68" s="2907">
        <v>2179.75</v>
      </c>
      <c r="AH68" s="2907"/>
      <c r="AI68" s="2956">
        <v>76</v>
      </c>
      <c r="AJ68" s="2907">
        <v>-285</v>
      </c>
      <c r="AK68" s="2907">
        <v>-1072</v>
      </c>
      <c r="AL68" s="2907">
        <v>-1090</v>
      </c>
      <c r="AM68" s="2907">
        <v>-1243</v>
      </c>
      <c r="AN68" s="2907">
        <v>-1072</v>
      </c>
      <c r="AO68" s="2907">
        <v>-1047</v>
      </c>
      <c r="AP68" s="2907">
        <v>-1494</v>
      </c>
      <c r="AQ68" s="2907">
        <v>-1350</v>
      </c>
      <c r="AR68" s="2907">
        <v>-1784</v>
      </c>
      <c r="AS68" s="2907">
        <v>-1671</v>
      </c>
      <c r="AT68" s="2905">
        <v>-1636</v>
      </c>
      <c r="AU68" s="2907">
        <v>-13668</v>
      </c>
      <c r="AV68" s="2955">
        <v>-1139</v>
      </c>
      <c r="AW68" s="2904">
        <v>-1481</v>
      </c>
      <c r="AX68" s="2907"/>
      <c r="AY68" s="2907">
        <v>-2108</v>
      </c>
      <c r="AZ68" s="2907">
        <v>-2057</v>
      </c>
      <c r="BA68" s="2907">
        <v>-2196</v>
      </c>
      <c r="BB68" s="2907">
        <v>-2369</v>
      </c>
      <c r="BC68" s="2907">
        <v>-2272</v>
      </c>
      <c r="BD68" s="2907">
        <v>-2009</v>
      </c>
      <c r="BE68" s="2907">
        <v>-1603</v>
      </c>
      <c r="BF68" s="2907">
        <v>-1706</v>
      </c>
      <c r="BG68" s="2907">
        <v>-1465</v>
      </c>
      <c r="BH68" s="2907">
        <v>-1426</v>
      </c>
      <c r="BI68" s="2907">
        <f t="shared" si="39"/>
        <v>-20692</v>
      </c>
      <c r="BJ68" s="2955">
        <f t="shared" si="40"/>
        <v>-1881.090909090909</v>
      </c>
      <c r="BK68" s="2904">
        <v>-1501</v>
      </c>
      <c r="BL68" s="2907">
        <v>-1348</v>
      </c>
      <c r="BM68" s="2907"/>
      <c r="BN68" s="2907"/>
      <c r="BO68" s="2907"/>
      <c r="BP68" s="2907"/>
      <c r="BQ68" s="2907"/>
      <c r="BR68" s="2907"/>
      <c r="BS68" s="2907"/>
      <c r="BT68" s="2907"/>
      <c r="BU68" s="2907"/>
      <c r="BV68" s="2907"/>
      <c r="BW68" s="2907">
        <f t="shared" si="41"/>
        <v>-2849</v>
      </c>
      <c r="BX68" s="2955">
        <f t="shared" si="29"/>
        <v>-1424.5</v>
      </c>
      <c r="BZ68" s="2860" t="e">
        <f t="shared" si="27"/>
        <v>#N/A</v>
      </c>
      <c r="CA68" s="2860">
        <f t="shared" ref="CA68:CA93" si="43">BJ68-AV68</f>
        <v>-742.09090909090901</v>
      </c>
      <c r="CB68" s="2881" t="e">
        <f t="shared" si="35"/>
        <v>#N/A</v>
      </c>
    </row>
    <row r="69" spans="1:80" ht="18" customHeight="1" x14ac:dyDescent="0.55000000000000004">
      <c r="A69" s="7134" t="s">
        <v>869</v>
      </c>
      <c r="B69" s="7135"/>
      <c r="C69" s="2957" t="s">
        <v>43</v>
      </c>
      <c r="D69" s="2958"/>
      <c r="E69" s="2958">
        <v>12500</v>
      </c>
      <c r="F69" s="2959">
        <v>12742</v>
      </c>
      <c r="G69" s="2960">
        <v>12742</v>
      </c>
      <c r="H69" s="2960">
        <v>12741</v>
      </c>
      <c r="I69" s="2960">
        <v>12784</v>
      </c>
      <c r="J69" s="2960">
        <v>12843</v>
      </c>
      <c r="K69" s="2960">
        <v>12924</v>
      </c>
      <c r="L69" s="2960">
        <v>12967</v>
      </c>
      <c r="M69" s="2960">
        <v>13095</v>
      </c>
      <c r="N69" s="2960">
        <v>13230</v>
      </c>
      <c r="O69" s="2960">
        <v>13401</v>
      </c>
      <c r="P69" s="2960">
        <v>13491</v>
      </c>
      <c r="Q69" s="2960">
        <v>13384</v>
      </c>
      <c r="R69" s="2960">
        <v>13384</v>
      </c>
      <c r="S69" s="2960">
        <v>13028.666666666666</v>
      </c>
      <c r="T69" s="2960">
        <v>13334</v>
      </c>
      <c r="U69" s="2960">
        <v>13234</v>
      </c>
      <c r="V69" s="2960">
        <v>12976</v>
      </c>
      <c r="W69" s="2960">
        <v>12800</v>
      </c>
      <c r="X69" s="2960">
        <v>12625</v>
      </c>
      <c r="Y69" s="2960">
        <v>12586</v>
      </c>
      <c r="Z69" s="2961">
        <v>12441</v>
      </c>
      <c r="AA69" s="2961">
        <v>12224</v>
      </c>
      <c r="AB69" s="2961">
        <v>12170</v>
      </c>
      <c r="AC69" s="2961">
        <v>12689</v>
      </c>
      <c r="AD69" s="2961">
        <v>12848</v>
      </c>
      <c r="AE69" s="2961">
        <v>12589</v>
      </c>
      <c r="AF69" s="2962">
        <v>12589</v>
      </c>
      <c r="AG69" s="2962">
        <v>12709.666666666666</v>
      </c>
      <c r="AH69" s="2962"/>
      <c r="AI69" s="2963">
        <v>12259</v>
      </c>
      <c r="AJ69" s="2962">
        <v>11872</v>
      </c>
      <c r="AK69" s="2962">
        <v>11605</v>
      </c>
      <c r="AL69" s="2962">
        <v>11303</v>
      </c>
      <c r="AM69" s="2962">
        <v>11021</v>
      </c>
      <c r="AN69" s="2962">
        <v>10652</v>
      </c>
      <c r="AO69" s="2962">
        <v>10168</v>
      </c>
      <c r="AP69" s="2961">
        <v>9765</v>
      </c>
      <c r="AQ69" s="2961">
        <v>9377</v>
      </c>
      <c r="AR69" s="2961">
        <v>9001</v>
      </c>
      <c r="AS69" s="2961">
        <v>8631</v>
      </c>
      <c r="AT69" s="2961">
        <v>8194</v>
      </c>
      <c r="AU69" s="2962">
        <v>8194</v>
      </c>
      <c r="AV69" s="2964">
        <v>10320.666666666666</v>
      </c>
      <c r="AW69" s="2965">
        <v>7709</v>
      </c>
      <c r="AX69" s="2962">
        <v>7346</v>
      </c>
      <c r="AY69" s="2962">
        <v>7020</v>
      </c>
      <c r="AZ69" s="2962">
        <v>6762</v>
      </c>
      <c r="BA69" s="2962">
        <v>6636</v>
      </c>
      <c r="BB69" s="2962">
        <v>6497</v>
      </c>
      <c r="BC69" s="2962">
        <v>6442</v>
      </c>
      <c r="BD69" s="2962">
        <v>6286</v>
      </c>
      <c r="BE69" s="2962">
        <v>6142</v>
      </c>
      <c r="BF69" s="2962">
        <v>5889</v>
      </c>
      <c r="BG69" s="2962">
        <v>5639</v>
      </c>
      <c r="BH69" s="2962">
        <v>5410</v>
      </c>
      <c r="BI69" s="2878">
        <f>AW69</f>
        <v>7709</v>
      </c>
      <c r="BJ69" s="2964">
        <f t="shared" si="40"/>
        <v>6481.5</v>
      </c>
      <c r="BK69" s="2965">
        <v>5242</v>
      </c>
      <c r="BL69" s="2962">
        <v>5130</v>
      </c>
      <c r="BM69" s="2962"/>
      <c r="BN69" s="2962"/>
      <c r="BO69" s="2962"/>
      <c r="BP69" s="2962"/>
      <c r="BQ69" s="2962"/>
      <c r="BR69" s="2962"/>
      <c r="BS69" s="2962"/>
      <c r="BT69" s="2962"/>
      <c r="BU69" s="2962"/>
      <c r="BV69" s="2962"/>
      <c r="BW69" s="2878">
        <f>BK69</f>
        <v>5242</v>
      </c>
      <c r="BX69" s="2964">
        <f t="shared" si="29"/>
        <v>5186</v>
      </c>
      <c r="BZ69" s="2860" t="e">
        <f t="shared" si="27"/>
        <v>#N/A</v>
      </c>
      <c r="CA69" s="2860">
        <f t="shared" si="43"/>
        <v>-3839.1666666666661</v>
      </c>
      <c r="CB69" s="2881" t="e">
        <f t="shared" si="35"/>
        <v>#N/A</v>
      </c>
    </row>
    <row r="70" spans="1:80" ht="18" customHeight="1" x14ac:dyDescent="0.55000000000000004">
      <c r="A70" s="7134"/>
      <c r="B70" s="7135"/>
      <c r="C70" s="698" t="s">
        <v>46</v>
      </c>
      <c r="D70" s="698"/>
      <c r="E70" s="698"/>
      <c r="F70" s="2921"/>
      <c r="G70" s="2922"/>
      <c r="H70" s="2922"/>
      <c r="I70" s="2922"/>
      <c r="J70" s="2922"/>
      <c r="K70" s="2922"/>
      <c r="L70" s="2922"/>
      <c r="M70" s="2922"/>
      <c r="N70" s="2922"/>
      <c r="O70" s="2922"/>
      <c r="P70" s="2922"/>
      <c r="Q70" s="2922"/>
      <c r="R70" s="2922"/>
      <c r="S70" s="2922"/>
      <c r="T70" s="2921">
        <v>13</v>
      </c>
      <c r="U70" s="2922">
        <v>18</v>
      </c>
      <c r="V70" s="2922">
        <v>10</v>
      </c>
      <c r="W70" s="2922">
        <v>5</v>
      </c>
      <c r="X70" s="2922">
        <v>12</v>
      </c>
      <c r="Y70" s="2922">
        <v>67</v>
      </c>
      <c r="Z70" s="1102">
        <v>58</v>
      </c>
      <c r="AA70" s="1102">
        <v>60</v>
      </c>
      <c r="AB70" s="1102">
        <v>53</v>
      </c>
      <c r="AC70" s="1102">
        <v>125</v>
      </c>
      <c r="AD70" s="1102">
        <v>123</v>
      </c>
      <c r="AE70" s="1102">
        <v>10</v>
      </c>
      <c r="AF70" s="2883">
        <v>554</v>
      </c>
      <c r="AG70" s="2883">
        <v>46.166666666666664</v>
      </c>
      <c r="AH70" s="2883"/>
      <c r="AI70" s="2884">
        <v>25</v>
      </c>
      <c r="AJ70" s="2883">
        <v>43</v>
      </c>
      <c r="AK70" s="2883">
        <v>121</v>
      </c>
      <c r="AL70" s="2883">
        <v>81</v>
      </c>
      <c r="AM70" s="2883">
        <v>131</v>
      </c>
      <c r="AN70" s="2883">
        <v>100</v>
      </c>
      <c r="AO70" s="2883">
        <v>55.000000000000007</v>
      </c>
      <c r="AP70" s="2883">
        <v>56</v>
      </c>
      <c r="AQ70" s="2883">
        <v>32</v>
      </c>
      <c r="AR70" s="2883">
        <v>28</v>
      </c>
      <c r="AS70" s="2883">
        <v>35</v>
      </c>
      <c r="AT70" s="1102">
        <v>41</v>
      </c>
      <c r="AU70" s="2883">
        <v>748</v>
      </c>
      <c r="AV70" s="2885">
        <v>62.333333333333336</v>
      </c>
      <c r="AW70" s="2882">
        <v>20</v>
      </c>
      <c r="AX70" s="2883">
        <v>15</v>
      </c>
      <c r="AY70" s="2883">
        <v>43</v>
      </c>
      <c r="AZ70" s="2883">
        <v>62</v>
      </c>
      <c r="BA70" s="2883">
        <v>213</v>
      </c>
      <c r="BB70" s="2883">
        <v>119</v>
      </c>
      <c r="BC70" s="2883">
        <v>223</v>
      </c>
      <c r="BD70" s="2883">
        <v>224</v>
      </c>
      <c r="BE70" s="2883">
        <v>225</v>
      </c>
      <c r="BF70" s="2883">
        <v>78</v>
      </c>
      <c r="BG70" s="2883">
        <v>125</v>
      </c>
      <c r="BH70" s="2883">
        <v>112</v>
      </c>
      <c r="BI70" s="2883">
        <f>SUM(AW70:BH70)</f>
        <v>1459</v>
      </c>
      <c r="BJ70" s="2885">
        <f t="shared" si="40"/>
        <v>121.58333333333333</v>
      </c>
      <c r="BK70" s="2882">
        <v>101</v>
      </c>
      <c r="BL70" s="2883">
        <v>98</v>
      </c>
      <c r="BM70" s="2883"/>
      <c r="BN70" s="2883"/>
      <c r="BO70" s="2883"/>
      <c r="BP70" s="2883"/>
      <c r="BQ70" s="2883"/>
      <c r="BR70" s="2883"/>
      <c r="BS70" s="2883"/>
      <c r="BT70" s="2883"/>
      <c r="BU70" s="2883"/>
      <c r="BV70" s="2883"/>
      <c r="BW70" s="2883">
        <f>SUM(BK70:BV70)</f>
        <v>199</v>
      </c>
      <c r="BX70" s="2885">
        <f t="shared" si="29"/>
        <v>99.5</v>
      </c>
      <c r="BZ70" s="2860" t="e">
        <f t="shared" si="27"/>
        <v>#N/A</v>
      </c>
      <c r="CA70" s="2860">
        <f t="shared" si="43"/>
        <v>59.249999999999993</v>
      </c>
      <c r="CB70" s="2881" t="e">
        <f t="shared" si="35"/>
        <v>#N/A</v>
      </c>
    </row>
    <row r="71" spans="1:80" ht="18" customHeight="1" x14ac:dyDescent="0.55000000000000004">
      <c r="A71" s="7134"/>
      <c r="B71" s="7135"/>
      <c r="C71" s="698" t="s">
        <v>47</v>
      </c>
      <c r="D71" s="698"/>
      <c r="E71" s="698">
        <v>68</v>
      </c>
      <c r="F71" s="2921">
        <v>79</v>
      </c>
      <c r="G71" s="2922">
        <v>79</v>
      </c>
      <c r="H71" s="2922">
        <v>172</v>
      </c>
      <c r="I71" s="2922">
        <v>85</v>
      </c>
      <c r="J71" s="2922">
        <v>66</v>
      </c>
      <c r="K71" s="2922">
        <v>57</v>
      </c>
      <c r="L71" s="2922">
        <v>113</v>
      </c>
      <c r="M71" s="2922">
        <v>148</v>
      </c>
      <c r="N71" s="2922">
        <v>140</v>
      </c>
      <c r="O71" s="2922">
        <v>130</v>
      </c>
      <c r="P71" s="2922">
        <v>94</v>
      </c>
      <c r="Q71" s="2922">
        <v>123</v>
      </c>
      <c r="R71" s="2922">
        <v>1286</v>
      </c>
      <c r="S71" s="2922"/>
      <c r="T71" s="2921">
        <v>155</v>
      </c>
      <c r="U71" s="2922">
        <v>147</v>
      </c>
      <c r="V71" s="2922">
        <v>202</v>
      </c>
      <c r="W71" s="2922">
        <v>119</v>
      </c>
      <c r="X71" s="2922">
        <v>81</v>
      </c>
      <c r="Y71" s="2922">
        <v>156</v>
      </c>
      <c r="Z71" s="1102">
        <v>219</v>
      </c>
      <c r="AA71" s="1102">
        <v>212</v>
      </c>
      <c r="AB71" s="1102">
        <v>182</v>
      </c>
      <c r="AC71" s="1102">
        <v>202</v>
      </c>
      <c r="AD71" s="1102">
        <v>192</v>
      </c>
      <c r="AE71" s="1102">
        <v>166</v>
      </c>
      <c r="AF71" s="2883">
        <v>2033</v>
      </c>
      <c r="AG71" s="2883">
        <v>169.41666666666666</v>
      </c>
      <c r="AH71" s="2883"/>
      <c r="AI71" s="2884">
        <v>174</v>
      </c>
      <c r="AJ71" s="2883">
        <v>161</v>
      </c>
      <c r="AK71" s="2883">
        <v>153</v>
      </c>
      <c r="AL71" s="2883">
        <v>161</v>
      </c>
      <c r="AM71" s="2883">
        <v>176</v>
      </c>
      <c r="AN71" s="2883">
        <v>233</v>
      </c>
      <c r="AO71" s="2883">
        <v>223</v>
      </c>
      <c r="AP71" s="2883">
        <v>174</v>
      </c>
      <c r="AQ71" s="2883">
        <v>161</v>
      </c>
      <c r="AR71" s="2883">
        <v>171</v>
      </c>
      <c r="AS71" s="2883">
        <v>187</v>
      </c>
      <c r="AT71" s="1102">
        <v>197</v>
      </c>
      <c r="AU71" s="2883">
        <v>2171</v>
      </c>
      <c r="AV71" s="2885">
        <v>180.91666666666666</v>
      </c>
      <c r="AW71" s="2882">
        <v>167</v>
      </c>
      <c r="AX71" s="2883">
        <v>154</v>
      </c>
      <c r="AY71" s="2883">
        <v>152</v>
      </c>
      <c r="AZ71" s="2883">
        <v>160</v>
      </c>
      <c r="BA71" s="2883">
        <v>124</v>
      </c>
      <c r="BB71" s="2883">
        <v>115</v>
      </c>
      <c r="BC71" s="2883">
        <v>116</v>
      </c>
      <c r="BD71" s="2883">
        <v>122</v>
      </c>
      <c r="BE71" s="2883">
        <v>148</v>
      </c>
      <c r="BF71" s="2883">
        <v>182</v>
      </c>
      <c r="BG71" s="2883">
        <v>135</v>
      </c>
      <c r="BH71" s="2883">
        <v>82</v>
      </c>
      <c r="BI71" s="2883">
        <f>SUM(AW71:BH71)</f>
        <v>1657</v>
      </c>
      <c r="BJ71" s="2885">
        <f t="shared" si="40"/>
        <v>138.08333333333334</v>
      </c>
      <c r="BK71" s="2882">
        <v>101</v>
      </c>
      <c r="BL71" s="2883">
        <v>100</v>
      </c>
      <c r="BM71" s="2883"/>
      <c r="BN71" s="2883"/>
      <c r="BO71" s="2883"/>
      <c r="BP71" s="2883"/>
      <c r="BQ71" s="2883"/>
      <c r="BR71" s="2883"/>
      <c r="BS71" s="2883"/>
      <c r="BT71" s="2883"/>
      <c r="BU71" s="2883"/>
      <c r="BV71" s="2883"/>
      <c r="BW71" s="2883">
        <f>SUM(BK71:BV71)</f>
        <v>201</v>
      </c>
      <c r="BX71" s="2885">
        <f t="shared" si="29"/>
        <v>100.5</v>
      </c>
      <c r="BZ71" s="2860" t="e">
        <f t="shared" si="27"/>
        <v>#N/A</v>
      </c>
      <c r="CA71" s="2860">
        <f t="shared" si="43"/>
        <v>-42.833333333333314</v>
      </c>
      <c r="CB71" s="2861">
        <f>AX71-AJ71</f>
        <v>-7</v>
      </c>
    </row>
    <row r="72" spans="1:80" ht="18" customHeight="1" x14ac:dyDescent="0.55000000000000004">
      <c r="A72" s="7134"/>
      <c r="B72" s="7135"/>
      <c r="C72" s="2920" t="s">
        <v>58</v>
      </c>
      <c r="D72" s="698"/>
      <c r="E72" s="698">
        <v>8</v>
      </c>
      <c r="F72" s="2921">
        <v>5</v>
      </c>
      <c r="G72" s="2922">
        <v>5</v>
      </c>
      <c r="H72" s="2922">
        <v>5</v>
      </c>
      <c r="I72" s="2922">
        <v>1</v>
      </c>
      <c r="J72" s="2922">
        <v>4</v>
      </c>
      <c r="K72" s="2922">
        <v>3</v>
      </c>
      <c r="L72" s="2922">
        <v>5</v>
      </c>
      <c r="M72" s="2922">
        <v>2</v>
      </c>
      <c r="N72" s="2922">
        <v>4</v>
      </c>
      <c r="O72" s="2922">
        <v>1</v>
      </c>
      <c r="P72" s="2922">
        <v>6</v>
      </c>
      <c r="Q72" s="2922">
        <v>4</v>
      </c>
      <c r="R72" s="2922">
        <v>45</v>
      </c>
      <c r="S72" s="2922"/>
      <c r="T72" s="2921">
        <v>3</v>
      </c>
      <c r="U72" s="2922">
        <v>8</v>
      </c>
      <c r="V72" s="2922">
        <v>7</v>
      </c>
      <c r="W72" s="2922">
        <v>11</v>
      </c>
      <c r="X72" s="2922">
        <v>3</v>
      </c>
      <c r="Y72" s="2922">
        <v>3</v>
      </c>
      <c r="Z72" s="1102">
        <v>5</v>
      </c>
      <c r="AA72" s="1102">
        <v>17</v>
      </c>
      <c r="AB72" s="1102">
        <v>5</v>
      </c>
      <c r="AC72" s="1102">
        <v>5</v>
      </c>
      <c r="AD72" s="1102">
        <v>3</v>
      </c>
      <c r="AE72" s="1102">
        <v>6</v>
      </c>
      <c r="AF72" s="2883">
        <v>76</v>
      </c>
      <c r="AG72" s="2883">
        <v>6.333333333333333</v>
      </c>
      <c r="AH72" s="2883"/>
      <c r="AI72" s="2884">
        <v>6</v>
      </c>
      <c r="AJ72" s="2883">
        <v>1</v>
      </c>
      <c r="AK72" s="2883">
        <v>7</v>
      </c>
      <c r="AL72" s="2883">
        <v>8</v>
      </c>
      <c r="AM72" s="2883">
        <v>8</v>
      </c>
      <c r="AN72" s="2883">
        <v>7</v>
      </c>
      <c r="AO72" s="2883">
        <v>7</v>
      </c>
      <c r="AP72" s="2883">
        <v>1</v>
      </c>
      <c r="AQ72" s="2883">
        <v>4</v>
      </c>
      <c r="AR72" s="2883">
        <v>1</v>
      </c>
      <c r="AS72" s="2883">
        <v>3</v>
      </c>
      <c r="AT72" s="1102">
        <v>3</v>
      </c>
      <c r="AU72" s="2883">
        <v>56</v>
      </c>
      <c r="AV72" s="2885">
        <v>4.666666666666667</v>
      </c>
      <c r="AW72" s="2882">
        <v>6</v>
      </c>
      <c r="AX72" s="2883">
        <v>2</v>
      </c>
      <c r="AY72" s="2883">
        <v>3</v>
      </c>
      <c r="AZ72" s="2883">
        <v>2</v>
      </c>
      <c r="BA72" s="2883">
        <v>3</v>
      </c>
      <c r="BB72" s="2883">
        <v>1</v>
      </c>
      <c r="BC72" s="2883">
        <v>2</v>
      </c>
      <c r="BD72" s="2883">
        <v>1</v>
      </c>
      <c r="BE72" s="2883">
        <v>2</v>
      </c>
      <c r="BF72" s="2883">
        <v>1</v>
      </c>
      <c r="BG72" s="2883">
        <v>3</v>
      </c>
      <c r="BH72" s="2883">
        <v>0</v>
      </c>
      <c r="BI72" s="2883">
        <f>SUM(AW72:BH72)</f>
        <v>26</v>
      </c>
      <c r="BJ72" s="2885">
        <f t="shared" si="40"/>
        <v>2.1666666666666665</v>
      </c>
      <c r="BK72" s="2882">
        <v>2</v>
      </c>
      <c r="BL72" s="2883">
        <v>2</v>
      </c>
      <c r="BM72" s="2883"/>
      <c r="BN72" s="2883"/>
      <c r="BO72" s="2883"/>
      <c r="BP72" s="2883"/>
      <c r="BQ72" s="2883"/>
      <c r="BR72" s="2883"/>
      <c r="BS72" s="2883"/>
      <c r="BT72" s="2883"/>
      <c r="BU72" s="2883"/>
      <c r="BV72" s="2883"/>
      <c r="BW72" s="2883">
        <f>SUM(BK72:BV72)</f>
        <v>4</v>
      </c>
      <c r="BX72" s="2885">
        <f t="shared" si="29"/>
        <v>2</v>
      </c>
      <c r="BZ72" s="2860" t="e">
        <f t="shared" si="27"/>
        <v>#N/A</v>
      </c>
      <c r="CA72" s="2860"/>
      <c r="CB72" s="2881" t="e">
        <f t="shared" ref="CB72:CB78" si="44">HLOOKUP($A$1,$AW$1:$BH$383,ROW(),0)-SUM(AI72:AJ72)</f>
        <v>#N/A</v>
      </c>
    </row>
    <row r="73" spans="1:80" ht="18" customHeight="1" x14ac:dyDescent="0.55000000000000004">
      <c r="A73" s="7134"/>
      <c r="B73" s="7135"/>
      <c r="C73" s="698" t="s">
        <v>49</v>
      </c>
      <c r="D73" s="698"/>
      <c r="E73" s="698"/>
      <c r="F73" s="2921"/>
      <c r="G73" s="2922"/>
      <c r="H73" s="2922"/>
      <c r="I73" s="2922"/>
      <c r="J73" s="2922"/>
      <c r="K73" s="2922"/>
      <c r="L73" s="2922"/>
      <c r="M73" s="2922"/>
      <c r="N73" s="2922"/>
      <c r="O73" s="2922"/>
      <c r="P73" s="2922"/>
      <c r="Q73" s="2922"/>
      <c r="R73" s="2922"/>
      <c r="S73" s="2922"/>
      <c r="T73" s="2921">
        <v>-92</v>
      </c>
      <c r="U73" s="2922">
        <v>-29</v>
      </c>
      <c r="V73" s="2922">
        <v>66</v>
      </c>
      <c r="W73" s="2922">
        <v>62</v>
      </c>
      <c r="X73" s="2922">
        <v>106</v>
      </c>
      <c r="Y73" s="2922">
        <v>-50</v>
      </c>
      <c r="Z73" s="1102">
        <v>-16</v>
      </c>
      <c r="AA73" s="1102">
        <v>65</v>
      </c>
      <c r="AB73" s="1102">
        <v>-75</v>
      </c>
      <c r="AC73" s="1102">
        <v>-596</v>
      </c>
      <c r="AD73" s="1102">
        <v>-228</v>
      </c>
      <c r="AE73" s="1102">
        <v>103</v>
      </c>
      <c r="AF73" s="2883">
        <v>-1479</v>
      </c>
      <c r="AG73" s="2883">
        <v>-243.91666666666606</v>
      </c>
      <c r="AH73" s="2883"/>
      <c r="AI73" s="2884">
        <v>181</v>
      </c>
      <c r="AJ73" s="2883">
        <v>269</v>
      </c>
      <c r="AK73" s="2883">
        <v>235</v>
      </c>
      <c r="AL73" s="2883">
        <v>222</v>
      </c>
      <c r="AM73" s="2883">
        <v>237</v>
      </c>
      <c r="AN73" s="2883">
        <v>236</v>
      </c>
      <c r="AO73" s="2883">
        <v>316</v>
      </c>
      <c r="AP73" s="2883">
        <v>285</v>
      </c>
      <c r="AQ73" s="2883">
        <v>259</v>
      </c>
      <c r="AR73" s="2883">
        <v>233</v>
      </c>
      <c r="AS73" s="2883">
        <v>218</v>
      </c>
      <c r="AT73" s="1102">
        <v>281</v>
      </c>
      <c r="AU73" s="2883">
        <v>2473</v>
      </c>
      <c r="AV73" s="2885">
        <v>247.66666666666666</v>
      </c>
      <c r="AW73" s="2883">
        <f t="shared" ref="AW73:BH73" si="45">-(AW74-(AW70-AW71))</f>
        <v>338</v>
      </c>
      <c r="AX73" s="2883">
        <f t="shared" si="45"/>
        <v>346</v>
      </c>
      <c r="AY73" s="2883">
        <f t="shared" si="45"/>
        <v>217</v>
      </c>
      <c r="AZ73" s="2883">
        <f t="shared" si="45"/>
        <v>160</v>
      </c>
      <c r="BA73" s="2883">
        <f t="shared" si="45"/>
        <v>215</v>
      </c>
      <c r="BB73" s="2883">
        <f t="shared" si="45"/>
        <v>143</v>
      </c>
      <c r="BC73" s="2883">
        <f t="shared" si="45"/>
        <v>162</v>
      </c>
      <c r="BD73" s="2883">
        <f t="shared" si="45"/>
        <v>258</v>
      </c>
      <c r="BE73" s="2883">
        <f t="shared" si="45"/>
        <v>221</v>
      </c>
      <c r="BF73" s="2883">
        <f t="shared" si="45"/>
        <v>149</v>
      </c>
      <c r="BG73" s="2883">
        <f t="shared" si="45"/>
        <v>240</v>
      </c>
      <c r="BH73" s="2883">
        <f t="shared" si="45"/>
        <v>259</v>
      </c>
      <c r="BI73" s="2883">
        <f>SUM(AW73:BF73)</f>
        <v>2209</v>
      </c>
      <c r="BJ73" s="2885">
        <f t="shared" si="40"/>
        <v>225.66666666666666</v>
      </c>
      <c r="BK73" s="2882">
        <v>168</v>
      </c>
      <c r="BL73" s="2883">
        <v>110</v>
      </c>
      <c r="BM73" s="2883"/>
      <c r="BN73" s="2883"/>
      <c r="BO73" s="2883"/>
      <c r="BP73" s="2883"/>
      <c r="BQ73" s="2883"/>
      <c r="BR73" s="2883"/>
      <c r="BS73" s="2883"/>
      <c r="BT73" s="2883"/>
      <c r="BU73" s="2883"/>
      <c r="BV73" s="2883"/>
      <c r="BW73" s="2883">
        <f>SUM(BK73:BT73)</f>
        <v>278</v>
      </c>
      <c r="BX73" s="2885">
        <f t="shared" si="29"/>
        <v>139</v>
      </c>
      <c r="BZ73" s="2860" t="e">
        <f t="shared" ref="BZ73:BZ94" si="46">HLOOKUP($A$1,$AW$1:$BH$383,ROW(),0)-HLOOKUP($A$1,$AI$1:$AT$383,ROW(),0)</f>
        <v>#N/A</v>
      </c>
      <c r="CA73" s="2860">
        <f t="shared" si="43"/>
        <v>-22</v>
      </c>
      <c r="CB73" s="2881" t="e">
        <f t="shared" si="44"/>
        <v>#N/A</v>
      </c>
    </row>
    <row r="74" spans="1:80" ht="18" customHeight="1" thickBot="1" x14ac:dyDescent="0.6">
      <c r="A74" s="7134"/>
      <c r="B74" s="7135"/>
      <c r="C74" s="2953" t="s">
        <v>50</v>
      </c>
      <c r="D74" s="2925"/>
      <c r="E74" s="2925"/>
      <c r="F74" s="2926"/>
      <c r="G74" s="2927"/>
      <c r="H74" s="2927"/>
      <c r="I74" s="2927"/>
      <c r="J74" s="2927"/>
      <c r="K74" s="2927"/>
      <c r="L74" s="2927"/>
      <c r="M74" s="2927"/>
      <c r="N74" s="2927"/>
      <c r="O74" s="2927"/>
      <c r="P74" s="2927"/>
      <c r="Q74" s="2927"/>
      <c r="R74" s="2927"/>
      <c r="S74" s="2927"/>
      <c r="T74" s="2954">
        <v>-50</v>
      </c>
      <c r="U74" s="2927">
        <v>-100</v>
      </c>
      <c r="V74" s="2927">
        <v>-258</v>
      </c>
      <c r="W74" s="2927">
        <v>-176</v>
      </c>
      <c r="X74" s="2927">
        <v>-175</v>
      </c>
      <c r="Y74" s="2927">
        <v>-39</v>
      </c>
      <c r="Z74" s="2905">
        <v>-145</v>
      </c>
      <c r="AA74" s="2905">
        <v>-217</v>
      </c>
      <c r="AB74" s="2905">
        <v>-54</v>
      </c>
      <c r="AC74" s="2905">
        <v>519</v>
      </c>
      <c r="AD74" s="2905">
        <v>159</v>
      </c>
      <c r="AE74" s="2905">
        <v>-259</v>
      </c>
      <c r="AF74" s="2907">
        <v>0</v>
      </c>
      <c r="AG74" s="2907">
        <v>120.66666666666606</v>
      </c>
      <c r="AH74" s="2907"/>
      <c r="AI74" s="2919">
        <v>-330</v>
      </c>
      <c r="AJ74" s="2907">
        <v>-387</v>
      </c>
      <c r="AK74" s="2907">
        <v>-267</v>
      </c>
      <c r="AL74" s="2907">
        <v>-302</v>
      </c>
      <c r="AM74" s="2907">
        <v>-282</v>
      </c>
      <c r="AN74" s="2907">
        <v>-369</v>
      </c>
      <c r="AO74" s="2907">
        <v>-484</v>
      </c>
      <c r="AP74" s="2907">
        <v>-403</v>
      </c>
      <c r="AQ74" s="2907">
        <v>-388</v>
      </c>
      <c r="AR74" s="2907">
        <v>-376</v>
      </c>
      <c r="AS74" s="2907">
        <v>-370</v>
      </c>
      <c r="AT74" s="2905">
        <v>-437</v>
      </c>
      <c r="AU74" s="2907">
        <v>-3588</v>
      </c>
      <c r="AV74" s="2955">
        <v>-366.25</v>
      </c>
      <c r="AW74" s="2894">
        <v>-485</v>
      </c>
      <c r="AX74" s="2907">
        <v>-485</v>
      </c>
      <c r="AY74" s="2907">
        <v>-326</v>
      </c>
      <c r="AZ74" s="2907">
        <v>-258</v>
      </c>
      <c r="BA74" s="2907">
        <v>-126</v>
      </c>
      <c r="BB74" s="2907">
        <v>-139</v>
      </c>
      <c r="BC74" s="2907">
        <v>-55</v>
      </c>
      <c r="BD74" s="2907">
        <v>-156</v>
      </c>
      <c r="BE74" s="2907">
        <v>-144</v>
      </c>
      <c r="BF74" s="2907">
        <v>-253</v>
      </c>
      <c r="BG74" s="2907">
        <v>-250</v>
      </c>
      <c r="BH74" s="2907">
        <v>-229</v>
      </c>
      <c r="BI74" s="2907">
        <f>SUM(AW74:BF74)</f>
        <v>-2427</v>
      </c>
      <c r="BJ74" s="2955">
        <f t="shared" si="40"/>
        <v>-242.16666666666666</v>
      </c>
      <c r="BK74" s="2894">
        <v>-168</v>
      </c>
      <c r="BL74" s="2907">
        <v>-112</v>
      </c>
      <c r="BM74" s="2907"/>
      <c r="BN74" s="2907"/>
      <c r="BO74" s="2907"/>
      <c r="BP74" s="2907"/>
      <c r="BQ74" s="2907"/>
      <c r="BR74" s="2907"/>
      <c r="BS74" s="2907"/>
      <c r="BT74" s="2907"/>
      <c r="BU74" s="2907"/>
      <c r="BV74" s="2907"/>
      <c r="BW74" s="2907">
        <f>SUM(BK74:BT74)</f>
        <v>-280</v>
      </c>
      <c r="BX74" s="2955">
        <f t="shared" si="29"/>
        <v>-140</v>
      </c>
      <c r="BZ74" s="2860" t="e">
        <f t="shared" si="46"/>
        <v>#N/A</v>
      </c>
      <c r="CA74" s="2860">
        <f t="shared" si="43"/>
        <v>124.08333333333334</v>
      </c>
      <c r="CB74" s="2881" t="e">
        <f t="shared" si="44"/>
        <v>#N/A</v>
      </c>
    </row>
    <row r="75" spans="1:80" ht="18" customHeight="1" x14ac:dyDescent="0.55000000000000004">
      <c r="A75" s="7134" t="s">
        <v>939</v>
      </c>
      <c r="B75" s="7135"/>
      <c r="C75" s="2957" t="s">
        <v>43</v>
      </c>
      <c r="D75" s="2958"/>
      <c r="E75" s="2958">
        <v>16</v>
      </c>
      <c r="F75" s="2959">
        <v>16</v>
      </c>
      <c r="G75" s="2960">
        <v>16</v>
      </c>
      <c r="H75" s="2960">
        <v>16</v>
      </c>
      <c r="I75" s="2960">
        <v>16</v>
      </c>
      <c r="J75" s="2960">
        <v>14</v>
      </c>
      <c r="K75" s="2960">
        <v>14</v>
      </c>
      <c r="L75" s="2960">
        <v>14</v>
      </c>
      <c r="M75" s="2960">
        <v>14</v>
      </c>
      <c r="N75" s="2960">
        <v>14</v>
      </c>
      <c r="O75" s="2960">
        <v>13</v>
      </c>
      <c r="P75" s="2960">
        <v>13</v>
      </c>
      <c r="Q75" s="2960">
        <v>13</v>
      </c>
      <c r="R75" s="2960">
        <v>13</v>
      </c>
      <c r="S75" s="2960">
        <v>14.416666666666666</v>
      </c>
      <c r="T75" s="2960">
        <v>13</v>
      </c>
      <c r="U75" s="2960">
        <v>13</v>
      </c>
      <c r="V75" s="2960">
        <v>12</v>
      </c>
      <c r="W75" s="2960">
        <v>12</v>
      </c>
      <c r="X75" s="2960">
        <v>12</v>
      </c>
      <c r="Y75" s="2960">
        <v>12</v>
      </c>
      <c r="Z75" s="2961">
        <v>12</v>
      </c>
      <c r="AA75" s="2961">
        <v>12</v>
      </c>
      <c r="AB75" s="2961">
        <v>12</v>
      </c>
      <c r="AC75" s="2961">
        <v>12</v>
      </c>
      <c r="AD75" s="2961">
        <v>12</v>
      </c>
      <c r="AE75" s="2961">
        <v>12</v>
      </c>
      <c r="AF75" s="2936"/>
      <c r="AG75" s="2936"/>
      <c r="AH75" s="2936"/>
      <c r="AI75" s="2917">
        <v>22992</v>
      </c>
      <c r="AJ75" s="2962">
        <v>23197</v>
      </c>
      <c r="AK75" s="2962">
        <v>23404</v>
      </c>
      <c r="AL75" s="2962">
        <v>23590</v>
      </c>
      <c r="AM75" s="2962">
        <v>23949</v>
      </c>
      <c r="AN75" s="2962">
        <v>24590</v>
      </c>
      <c r="AO75" s="2962">
        <v>25048</v>
      </c>
      <c r="AP75" s="2962">
        <v>26142</v>
      </c>
      <c r="AQ75" s="2962">
        <v>26686</v>
      </c>
      <c r="AR75" s="2962">
        <v>27524</v>
      </c>
      <c r="AS75" s="2962">
        <v>27619</v>
      </c>
      <c r="AT75" s="2961">
        <v>27805</v>
      </c>
      <c r="AU75" s="2962">
        <v>27805</v>
      </c>
      <c r="AV75" s="2964">
        <v>25212.166666666668</v>
      </c>
      <c r="AW75" s="2967">
        <v>27906</v>
      </c>
      <c r="AX75" s="2961">
        <v>28145</v>
      </c>
      <c r="AY75" s="2961">
        <v>28260</v>
      </c>
      <c r="AZ75" s="2961">
        <v>28521</v>
      </c>
      <c r="BA75" s="2961">
        <v>28205</v>
      </c>
      <c r="BB75" s="2961">
        <v>28652</v>
      </c>
      <c r="BC75" s="2962">
        <v>29352</v>
      </c>
      <c r="BD75" s="2961">
        <v>30402</v>
      </c>
      <c r="BE75" s="2961">
        <v>31191</v>
      </c>
      <c r="BF75" s="2961">
        <v>32049</v>
      </c>
      <c r="BG75" s="2962">
        <v>31827</v>
      </c>
      <c r="BH75" s="2961">
        <v>30832</v>
      </c>
      <c r="BI75" s="2878">
        <f>AW75</f>
        <v>27906</v>
      </c>
      <c r="BJ75" s="2964">
        <f t="shared" ref="BJ75:BJ80" si="47">AVERAGE(AW75:BH75)</f>
        <v>29611.833333333332</v>
      </c>
      <c r="BK75" s="2967">
        <v>30933</v>
      </c>
      <c r="BL75" s="2961">
        <v>30535</v>
      </c>
      <c r="BM75" s="2961"/>
      <c r="BN75" s="2961"/>
      <c r="BO75" s="2961"/>
      <c r="BP75" s="2961"/>
      <c r="BQ75" s="2962"/>
      <c r="BR75" s="2961"/>
      <c r="BS75" s="2961"/>
      <c r="BT75" s="2961"/>
      <c r="BU75" s="2962"/>
      <c r="BV75" s="2961"/>
      <c r="BW75" s="2878">
        <f>BK75</f>
        <v>30933</v>
      </c>
      <c r="BX75" s="2964">
        <f t="shared" si="29"/>
        <v>30734</v>
      </c>
      <c r="BZ75" s="2860" t="e">
        <f t="shared" si="46"/>
        <v>#N/A</v>
      </c>
      <c r="CA75" s="2860">
        <f t="shared" si="43"/>
        <v>4399.6666666666642</v>
      </c>
      <c r="CB75" s="2881" t="e">
        <f t="shared" si="44"/>
        <v>#N/A</v>
      </c>
    </row>
    <row r="76" spans="1:80" ht="18" customHeight="1" x14ac:dyDescent="0.55000000000000004">
      <c r="A76" s="7134"/>
      <c r="B76" s="7135"/>
      <c r="C76" s="698" t="s">
        <v>46</v>
      </c>
      <c r="D76" s="698"/>
      <c r="E76" s="698"/>
      <c r="F76" s="2921"/>
      <c r="G76" s="2922"/>
      <c r="H76" s="2922"/>
      <c r="I76" s="2922"/>
      <c r="J76" s="2922"/>
      <c r="K76" s="2922"/>
      <c r="L76" s="2922"/>
      <c r="M76" s="2922"/>
      <c r="N76" s="2922"/>
      <c r="O76" s="2922"/>
      <c r="P76" s="2922"/>
      <c r="Q76" s="2922"/>
      <c r="R76" s="2922"/>
      <c r="S76" s="2922"/>
      <c r="T76" s="2921"/>
      <c r="U76" s="2922"/>
      <c r="V76" s="2922"/>
      <c r="W76" s="2922"/>
      <c r="X76" s="2922"/>
      <c r="Y76" s="2922"/>
      <c r="Z76" s="1102"/>
      <c r="AA76" s="1102"/>
      <c r="AB76" s="1102"/>
      <c r="AC76" s="1102"/>
      <c r="AD76" s="1102"/>
      <c r="AE76" s="1102"/>
      <c r="AF76" s="2936"/>
      <c r="AG76" s="2936"/>
      <c r="AH76" s="2936"/>
      <c r="AI76" s="2884">
        <v>244</v>
      </c>
      <c r="AJ76" s="2883">
        <v>248</v>
      </c>
      <c r="AK76" s="2883">
        <v>272</v>
      </c>
      <c r="AL76" s="2883">
        <v>230</v>
      </c>
      <c r="AM76" s="2883">
        <v>292</v>
      </c>
      <c r="AN76" s="2883">
        <v>453</v>
      </c>
      <c r="AO76" s="2883">
        <v>422</v>
      </c>
      <c r="AP76" s="2883">
        <v>754</v>
      </c>
      <c r="AQ76" s="2883">
        <v>489</v>
      </c>
      <c r="AR76" s="2883">
        <v>460</v>
      </c>
      <c r="AS76" s="2883">
        <v>383</v>
      </c>
      <c r="AT76" s="1102">
        <v>265</v>
      </c>
      <c r="AU76" s="2883">
        <v>265</v>
      </c>
      <c r="AV76" s="2885">
        <v>376</v>
      </c>
      <c r="AW76" s="2882">
        <v>276</v>
      </c>
      <c r="AX76" s="1102">
        <v>282</v>
      </c>
      <c r="AY76" s="1102">
        <v>347</v>
      </c>
      <c r="AZ76" s="1102">
        <v>403</v>
      </c>
      <c r="BA76" s="1102">
        <v>527</v>
      </c>
      <c r="BB76" s="1102">
        <v>356</v>
      </c>
      <c r="BC76" s="2883">
        <v>645</v>
      </c>
      <c r="BD76" s="1102">
        <v>348</v>
      </c>
      <c r="BE76" s="2918">
        <v>373</v>
      </c>
      <c r="BF76" s="2883">
        <v>191</v>
      </c>
      <c r="BG76" s="2883">
        <v>161</v>
      </c>
      <c r="BH76" s="1102">
        <v>128</v>
      </c>
      <c r="BI76" s="2883">
        <f>SUM(AW76:BF76)</f>
        <v>3748</v>
      </c>
      <c r="BJ76" s="2885">
        <f t="shared" si="47"/>
        <v>336.41666666666669</v>
      </c>
      <c r="BK76" s="2882">
        <v>769</v>
      </c>
      <c r="BL76" s="1102">
        <v>959</v>
      </c>
      <c r="BM76" s="1102"/>
      <c r="BN76" s="1102"/>
      <c r="BO76" s="1102"/>
      <c r="BP76" s="1102"/>
      <c r="BQ76" s="2883"/>
      <c r="BR76" s="1102"/>
      <c r="BS76" s="2918"/>
      <c r="BT76" s="2883"/>
      <c r="BU76" s="2883"/>
      <c r="BV76" s="1102"/>
      <c r="BW76" s="2883">
        <f>SUM(BK76:BT76)</f>
        <v>1728</v>
      </c>
      <c r="BX76" s="2885">
        <f t="shared" si="29"/>
        <v>864</v>
      </c>
      <c r="BZ76" s="2860" t="e">
        <f t="shared" si="46"/>
        <v>#N/A</v>
      </c>
      <c r="CA76" s="2860">
        <f t="shared" si="43"/>
        <v>-39.583333333333314</v>
      </c>
      <c r="CB76" s="2881" t="e">
        <f t="shared" si="44"/>
        <v>#N/A</v>
      </c>
    </row>
    <row r="77" spans="1:80" ht="18" customHeight="1" x14ac:dyDescent="0.55000000000000004">
      <c r="A77" s="7134"/>
      <c r="B77" s="7135"/>
      <c r="C77" s="698" t="s">
        <v>47</v>
      </c>
      <c r="D77" s="698"/>
      <c r="E77" s="698">
        <v>1</v>
      </c>
      <c r="F77" s="2921">
        <v>0</v>
      </c>
      <c r="G77" s="2922">
        <v>0</v>
      </c>
      <c r="H77" s="2922">
        <v>0</v>
      </c>
      <c r="I77" s="2922">
        <v>0</v>
      </c>
      <c r="J77" s="2922">
        <v>0</v>
      </c>
      <c r="K77" s="2922">
        <v>0</v>
      </c>
      <c r="L77" s="2922">
        <v>0</v>
      </c>
      <c r="M77" s="2922">
        <v>0</v>
      </c>
      <c r="N77" s="2922">
        <v>0</v>
      </c>
      <c r="O77" s="2922">
        <v>1</v>
      </c>
      <c r="P77" s="2922">
        <v>0</v>
      </c>
      <c r="Q77" s="2922">
        <v>0</v>
      </c>
      <c r="R77" s="2922">
        <v>1</v>
      </c>
      <c r="S77" s="2922"/>
      <c r="T77" s="2921"/>
      <c r="U77" s="2922"/>
      <c r="V77" s="2922"/>
      <c r="W77" s="2922"/>
      <c r="X77" s="2922"/>
      <c r="Y77" s="2922"/>
      <c r="Z77" s="1102"/>
      <c r="AA77" s="1102"/>
      <c r="AB77" s="1102"/>
      <c r="AC77" s="1102"/>
      <c r="AD77" s="1102"/>
      <c r="AE77" s="1102"/>
      <c r="AF77" s="2936"/>
      <c r="AG77" s="2936"/>
      <c r="AH77" s="2936"/>
      <c r="AI77" s="2884">
        <v>109</v>
      </c>
      <c r="AJ77" s="2883">
        <v>119</v>
      </c>
      <c r="AK77" s="2883">
        <v>129</v>
      </c>
      <c r="AL77" s="2883">
        <v>138</v>
      </c>
      <c r="AM77" s="2883">
        <v>151</v>
      </c>
      <c r="AN77" s="2883">
        <v>130</v>
      </c>
      <c r="AO77" s="2883">
        <v>170</v>
      </c>
      <c r="AP77" s="2883">
        <v>101</v>
      </c>
      <c r="AQ77" s="2883">
        <v>136</v>
      </c>
      <c r="AR77" s="2883">
        <v>102</v>
      </c>
      <c r="AS77" s="2883">
        <v>112</v>
      </c>
      <c r="AT77" s="1102">
        <v>85</v>
      </c>
      <c r="AU77" s="2883">
        <v>85</v>
      </c>
      <c r="AV77" s="2885">
        <v>123.5</v>
      </c>
      <c r="AW77" s="2882">
        <v>154</v>
      </c>
      <c r="AX77" s="1102">
        <v>204</v>
      </c>
      <c r="AY77" s="1102">
        <v>201</v>
      </c>
      <c r="AZ77" s="1102">
        <v>214</v>
      </c>
      <c r="BA77" s="1102">
        <v>137</v>
      </c>
      <c r="BB77" s="1102">
        <v>153</v>
      </c>
      <c r="BC77" s="2883">
        <v>119</v>
      </c>
      <c r="BD77" s="1102">
        <v>119</v>
      </c>
      <c r="BE77" s="1102">
        <v>231</v>
      </c>
      <c r="BF77" s="2883">
        <v>171</v>
      </c>
      <c r="BG77" s="2883">
        <v>335</v>
      </c>
      <c r="BH77" s="1102">
        <v>313</v>
      </c>
      <c r="BI77" s="2883">
        <f>SUM(AW77:BG77)</f>
        <v>2038</v>
      </c>
      <c r="BJ77" s="2885">
        <f t="shared" si="47"/>
        <v>195.91666666666666</v>
      </c>
      <c r="BK77" s="2882">
        <v>92</v>
      </c>
      <c r="BL77" s="1102">
        <v>771</v>
      </c>
      <c r="BM77" s="1102"/>
      <c r="BN77" s="1102"/>
      <c r="BO77" s="1102"/>
      <c r="BP77" s="1102"/>
      <c r="BQ77" s="2883"/>
      <c r="BR77" s="1102"/>
      <c r="BS77" s="1102"/>
      <c r="BT77" s="2883"/>
      <c r="BU77" s="2883"/>
      <c r="BV77" s="1102"/>
      <c r="BW77" s="2883">
        <f>SUM(BK77:BU77)</f>
        <v>863</v>
      </c>
      <c r="BX77" s="2885">
        <f t="shared" si="29"/>
        <v>431.5</v>
      </c>
      <c r="BZ77" s="2860" t="e">
        <f t="shared" si="46"/>
        <v>#N/A</v>
      </c>
      <c r="CA77" s="2860">
        <f t="shared" si="43"/>
        <v>72.416666666666657</v>
      </c>
      <c r="CB77" s="2881" t="e">
        <f t="shared" si="44"/>
        <v>#N/A</v>
      </c>
    </row>
    <row r="78" spans="1:80" ht="18" customHeight="1" x14ac:dyDescent="0.55000000000000004">
      <c r="A78" s="7134"/>
      <c r="B78" s="7135"/>
      <c r="C78" s="2920" t="s">
        <v>58</v>
      </c>
      <c r="D78" s="698"/>
      <c r="E78" s="698">
        <v>1</v>
      </c>
      <c r="F78" s="2921">
        <v>0</v>
      </c>
      <c r="G78" s="2922">
        <v>0</v>
      </c>
      <c r="H78" s="2922">
        <v>0</v>
      </c>
      <c r="I78" s="2922">
        <v>0</v>
      </c>
      <c r="J78" s="2922">
        <v>0</v>
      </c>
      <c r="K78" s="2922">
        <v>0</v>
      </c>
      <c r="L78" s="2922">
        <v>0</v>
      </c>
      <c r="M78" s="2922">
        <v>0</v>
      </c>
      <c r="N78" s="2922">
        <v>0</v>
      </c>
      <c r="O78" s="2922">
        <v>0</v>
      </c>
      <c r="P78" s="2922">
        <v>0</v>
      </c>
      <c r="Q78" s="2922">
        <v>0</v>
      </c>
      <c r="R78" s="2922">
        <v>0</v>
      </c>
      <c r="S78" s="2922"/>
      <c r="T78" s="2921"/>
      <c r="U78" s="2922"/>
      <c r="V78" s="2922"/>
      <c r="W78" s="2922"/>
      <c r="X78" s="2922"/>
      <c r="Y78" s="2922"/>
      <c r="Z78" s="1102"/>
      <c r="AA78" s="1102"/>
      <c r="AB78" s="1102"/>
      <c r="AC78" s="1102"/>
      <c r="AD78" s="1102"/>
      <c r="AE78" s="1102"/>
      <c r="AF78" s="2936"/>
      <c r="AG78" s="2936"/>
      <c r="AH78" s="2936"/>
      <c r="AI78" s="2884">
        <v>12</v>
      </c>
      <c r="AJ78" s="2883">
        <v>3</v>
      </c>
      <c r="AK78" s="2883">
        <v>28</v>
      </c>
      <c r="AL78" s="2883">
        <v>36</v>
      </c>
      <c r="AM78" s="2883">
        <v>36</v>
      </c>
      <c r="AN78" s="2883">
        <v>15</v>
      </c>
      <c r="AO78" s="2883">
        <v>14</v>
      </c>
      <c r="AP78" s="2883">
        <v>3</v>
      </c>
      <c r="AQ78" s="2883">
        <v>8</v>
      </c>
      <c r="AR78" s="2883">
        <v>2</v>
      </c>
      <c r="AS78" s="2883">
        <v>0</v>
      </c>
      <c r="AT78" s="1102">
        <v>2</v>
      </c>
      <c r="AU78" s="2883">
        <v>0</v>
      </c>
      <c r="AV78" s="2885">
        <v>13.25</v>
      </c>
      <c r="AW78" s="2882">
        <v>24</v>
      </c>
      <c r="AX78" s="1102">
        <v>9</v>
      </c>
      <c r="AY78" s="1102">
        <v>91</v>
      </c>
      <c r="AZ78" s="1102">
        <v>69</v>
      </c>
      <c r="BA78" s="1102">
        <v>88</v>
      </c>
      <c r="BB78" s="1102">
        <v>33</v>
      </c>
      <c r="BC78" s="2883">
        <v>20</v>
      </c>
      <c r="BD78" s="1102">
        <v>3</v>
      </c>
      <c r="BE78" s="1102">
        <v>6</v>
      </c>
      <c r="BF78" s="2883">
        <v>4</v>
      </c>
      <c r="BG78" s="2883">
        <v>1</v>
      </c>
      <c r="BH78" s="1102">
        <v>6</v>
      </c>
      <c r="BI78" s="2883">
        <f>SUM(AW78:BG78)</f>
        <v>348</v>
      </c>
      <c r="BJ78" s="2885">
        <f t="shared" si="47"/>
        <v>29.5</v>
      </c>
      <c r="BK78" s="2882">
        <v>2</v>
      </c>
      <c r="BL78" s="1102">
        <v>29</v>
      </c>
      <c r="BM78" s="1102"/>
      <c r="BN78" s="1102"/>
      <c r="BO78" s="1102"/>
      <c r="BP78" s="1102"/>
      <c r="BQ78" s="2883"/>
      <c r="BR78" s="1102"/>
      <c r="BS78" s="1102"/>
      <c r="BT78" s="2883"/>
      <c r="BU78" s="2883"/>
      <c r="BV78" s="1102"/>
      <c r="BW78" s="2883">
        <f>SUM(BK78:BU78)</f>
        <v>31</v>
      </c>
      <c r="BX78" s="2885">
        <f t="shared" si="29"/>
        <v>15.5</v>
      </c>
      <c r="BZ78" s="2860" t="e">
        <f t="shared" si="46"/>
        <v>#N/A</v>
      </c>
      <c r="CA78" s="2860">
        <f t="shared" si="43"/>
        <v>16.25</v>
      </c>
      <c r="CB78" s="2881" t="e">
        <f t="shared" si="44"/>
        <v>#N/A</v>
      </c>
    </row>
    <row r="79" spans="1:80" ht="18" customHeight="1" x14ac:dyDescent="0.55000000000000004">
      <c r="A79" s="7134"/>
      <c r="B79" s="7135"/>
      <c r="C79" s="698" t="s">
        <v>49</v>
      </c>
      <c r="D79" s="698"/>
      <c r="E79" s="698"/>
      <c r="F79" s="2921"/>
      <c r="G79" s="2922"/>
      <c r="H79" s="2922"/>
      <c r="I79" s="2922"/>
      <c r="J79" s="2922"/>
      <c r="K79" s="2922"/>
      <c r="L79" s="2922"/>
      <c r="M79" s="2922"/>
      <c r="N79" s="2922"/>
      <c r="O79" s="2922"/>
      <c r="P79" s="2922"/>
      <c r="Q79" s="2922"/>
      <c r="R79" s="2922"/>
      <c r="S79" s="2922"/>
      <c r="T79" s="2921"/>
      <c r="U79" s="2922"/>
      <c r="V79" s="2922"/>
      <c r="W79" s="2922"/>
      <c r="X79" s="2922"/>
      <c r="Y79" s="2922"/>
      <c r="Z79" s="1102"/>
      <c r="AA79" s="1102"/>
      <c r="AB79" s="1102"/>
      <c r="AC79" s="1102"/>
      <c r="AD79" s="1102"/>
      <c r="AE79" s="1102"/>
      <c r="AF79" s="2936"/>
      <c r="AG79" s="2936"/>
      <c r="AH79" s="2936"/>
      <c r="AI79" s="2884">
        <v>209</v>
      </c>
      <c r="AJ79" s="2883">
        <v>-76</v>
      </c>
      <c r="AK79" s="2883">
        <v>-64</v>
      </c>
      <c r="AL79" s="2883">
        <v>-94</v>
      </c>
      <c r="AM79" s="2883">
        <v>-218</v>
      </c>
      <c r="AN79" s="2883">
        <v>-318</v>
      </c>
      <c r="AO79" s="2883">
        <v>-206</v>
      </c>
      <c r="AP79" s="2883">
        <v>-441</v>
      </c>
      <c r="AQ79" s="2883">
        <v>-191</v>
      </c>
      <c r="AR79" s="2883">
        <v>-480</v>
      </c>
      <c r="AS79" s="2883">
        <v>176</v>
      </c>
      <c r="AT79" s="1102">
        <v>281</v>
      </c>
      <c r="AU79" s="2883">
        <v>209</v>
      </c>
      <c r="AV79" s="2885">
        <v>-118.5</v>
      </c>
      <c r="AW79" s="2883">
        <f t="shared" ref="AW79:BH79" si="48">-(AW80-(AW76-AW77))</f>
        <v>21</v>
      </c>
      <c r="AX79" s="2883">
        <f t="shared" si="48"/>
        <v>-262</v>
      </c>
      <c r="AY79" s="2883">
        <f t="shared" si="48"/>
        <v>31</v>
      </c>
      <c r="AZ79" s="2883">
        <f t="shared" si="48"/>
        <v>-72</v>
      </c>
      <c r="BA79" s="2883">
        <f t="shared" si="48"/>
        <v>706</v>
      </c>
      <c r="BB79" s="2883">
        <f t="shared" si="48"/>
        <v>-244</v>
      </c>
      <c r="BC79" s="2883">
        <f t="shared" si="48"/>
        <v>-174</v>
      </c>
      <c r="BD79" s="2883">
        <f t="shared" si="48"/>
        <v>-821</v>
      </c>
      <c r="BE79" s="2883">
        <f t="shared" si="48"/>
        <v>-647</v>
      </c>
      <c r="BF79" s="2883">
        <f t="shared" si="48"/>
        <v>-838</v>
      </c>
      <c r="BG79" s="2883">
        <f t="shared" si="48"/>
        <v>48</v>
      </c>
      <c r="BH79" s="2883">
        <f t="shared" si="48"/>
        <v>810</v>
      </c>
      <c r="BI79" s="2883">
        <f>SUM(AW79:BH79)</f>
        <v>-1442</v>
      </c>
      <c r="BJ79" s="2885">
        <f t="shared" si="47"/>
        <v>-120.16666666666667</v>
      </c>
      <c r="BK79" s="2968">
        <v>576</v>
      </c>
      <c r="BL79" s="2883">
        <v>586</v>
      </c>
      <c r="BM79" s="2883"/>
      <c r="BN79" s="2883"/>
      <c r="BO79" s="2883"/>
      <c r="BP79" s="2883"/>
      <c r="BQ79" s="2883"/>
      <c r="BR79" s="2883"/>
      <c r="BS79" s="2883"/>
      <c r="BT79" s="2883"/>
      <c r="BU79" s="2883"/>
      <c r="BV79" s="2883"/>
      <c r="BW79" s="2883">
        <f>SUM(BK79:BT79)</f>
        <v>1162</v>
      </c>
      <c r="BX79" s="2885">
        <f t="shared" si="29"/>
        <v>581</v>
      </c>
      <c r="BZ79" s="2860" t="e">
        <f t="shared" si="46"/>
        <v>#N/A</v>
      </c>
      <c r="CA79" s="2860">
        <f t="shared" si="43"/>
        <v>-1.6666666666666714</v>
      </c>
      <c r="CB79" s="2861">
        <f>AX79-AJ79</f>
        <v>-186</v>
      </c>
    </row>
    <row r="80" spans="1:80" ht="18" customHeight="1" thickBot="1" x14ac:dyDescent="0.6">
      <c r="A80" s="7136"/>
      <c r="B80" s="7137"/>
      <c r="C80" s="2969" t="s">
        <v>50</v>
      </c>
      <c r="D80" s="2937"/>
      <c r="E80" s="2937"/>
      <c r="F80" s="2947"/>
      <c r="G80" s="2948"/>
      <c r="H80" s="2948"/>
      <c r="I80" s="2948"/>
      <c r="J80" s="2948"/>
      <c r="K80" s="2948"/>
      <c r="L80" s="2948"/>
      <c r="M80" s="2948"/>
      <c r="N80" s="2948"/>
      <c r="O80" s="2948"/>
      <c r="P80" s="2948"/>
      <c r="Q80" s="2948"/>
      <c r="R80" s="2948"/>
      <c r="S80" s="2948"/>
      <c r="T80" s="2970">
        <v>0</v>
      </c>
      <c r="U80" s="2948">
        <v>0</v>
      </c>
      <c r="V80" s="2948">
        <v>-1</v>
      </c>
      <c r="W80" s="2948">
        <v>0</v>
      </c>
      <c r="X80" s="2948">
        <v>0</v>
      </c>
      <c r="Y80" s="2948">
        <v>0</v>
      </c>
      <c r="Z80" s="2899">
        <v>0</v>
      </c>
      <c r="AA80" s="2899">
        <v>0</v>
      </c>
      <c r="AB80" s="2899">
        <v>0</v>
      </c>
      <c r="AC80" s="2899">
        <v>0</v>
      </c>
      <c r="AD80" s="2899">
        <v>0</v>
      </c>
      <c r="AE80" s="2899">
        <v>0</v>
      </c>
      <c r="AF80" s="2939"/>
      <c r="AG80" s="2939"/>
      <c r="AH80" s="2939"/>
      <c r="AI80" s="2971"/>
      <c r="AJ80" s="2907">
        <v>205</v>
      </c>
      <c r="AK80" s="2907">
        <v>207</v>
      </c>
      <c r="AL80" s="2907">
        <v>186</v>
      </c>
      <c r="AM80" s="2907">
        <v>359</v>
      </c>
      <c r="AN80" s="2907">
        <v>641</v>
      </c>
      <c r="AO80" s="2907">
        <v>458</v>
      </c>
      <c r="AP80" s="2907">
        <v>1094</v>
      </c>
      <c r="AQ80" s="2907">
        <v>544</v>
      </c>
      <c r="AR80" s="2907">
        <v>838</v>
      </c>
      <c r="AS80" s="2907">
        <v>95</v>
      </c>
      <c r="AT80" s="2905">
        <v>-437</v>
      </c>
      <c r="AU80" s="2907">
        <v>95</v>
      </c>
      <c r="AV80" s="2955">
        <v>380.90909090909093</v>
      </c>
      <c r="AW80" s="2972">
        <v>101</v>
      </c>
      <c r="AX80" s="2942">
        <v>340</v>
      </c>
      <c r="AY80" s="2942">
        <v>115</v>
      </c>
      <c r="AZ80" s="2942">
        <v>261</v>
      </c>
      <c r="BA80" s="2942">
        <v>-316</v>
      </c>
      <c r="BB80" s="2942">
        <v>447</v>
      </c>
      <c r="BC80" s="2942">
        <v>700</v>
      </c>
      <c r="BD80" s="2942">
        <v>1050</v>
      </c>
      <c r="BE80" s="2942">
        <v>789</v>
      </c>
      <c r="BF80" s="2942">
        <v>858</v>
      </c>
      <c r="BG80" s="2942">
        <v>-222</v>
      </c>
      <c r="BH80" s="2942">
        <v>-995</v>
      </c>
      <c r="BI80" s="2942">
        <f>SUM(AW80:BF80)</f>
        <v>4345</v>
      </c>
      <c r="BJ80" s="2943">
        <f t="shared" si="47"/>
        <v>260.66666666666669</v>
      </c>
      <c r="BK80" s="2972">
        <v>101</v>
      </c>
      <c r="BL80" s="2942">
        <v>-398</v>
      </c>
      <c r="BM80" s="2942"/>
      <c r="BN80" s="2942"/>
      <c r="BO80" s="2942"/>
      <c r="BP80" s="2942"/>
      <c r="BQ80" s="2942"/>
      <c r="BR80" s="2942"/>
      <c r="BS80" s="2942"/>
      <c r="BT80" s="2942"/>
      <c r="BU80" s="2942"/>
      <c r="BV80" s="2942"/>
      <c r="BW80" s="2942">
        <f>SUM(BK80:BT80)</f>
        <v>-297</v>
      </c>
      <c r="BX80" s="2943">
        <f t="shared" si="29"/>
        <v>-148.5</v>
      </c>
      <c r="BZ80" s="2860" t="e">
        <f t="shared" si="46"/>
        <v>#N/A</v>
      </c>
      <c r="CA80" s="2860"/>
      <c r="CB80" s="2861"/>
    </row>
    <row r="81" spans="1:80" ht="18" customHeight="1" x14ac:dyDescent="0.55000000000000004">
      <c r="A81" s="7134" t="s">
        <v>22</v>
      </c>
      <c r="B81" s="7135"/>
      <c r="C81" s="2957" t="s">
        <v>43</v>
      </c>
      <c r="D81" s="2958"/>
      <c r="E81" s="2958">
        <v>16</v>
      </c>
      <c r="F81" s="2959">
        <v>16</v>
      </c>
      <c r="G81" s="2960">
        <v>16</v>
      </c>
      <c r="H81" s="2960">
        <v>16</v>
      </c>
      <c r="I81" s="2960">
        <v>16</v>
      </c>
      <c r="J81" s="2960">
        <v>14</v>
      </c>
      <c r="K81" s="2960">
        <v>14</v>
      </c>
      <c r="L81" s="2960">
        <v>14</v>
      </c>
      <c r="M81" s="2960">
        <v>14</v>
      </c>
      <c r="N81" s="2960">
        <v>14</v>
      </c>
      <c r="O81" s="2960">
        <v>13</v>
      </c>
      <c r="P81" s="2960">
        <v>13</v>
      </c>
      <c r="Q81" s="2960">
        <v>13</v>
      </c>
      <c r="R81" s="2960">
        <v>13</v>
      </c>
      <c r="S81" s="2960">
        <v>14.416666666666666</v>
      </c>
      <c r="T81" s="2960">
        <v>13</v>
      </c>
      <c r="U81" s="2960">
        <v>13</v>
      </c>
      <c r="V81" s="2960">
        <v>12</v>
      </c>
      <c r="W81" s="2960">
        <v>12</v>
      </c>
      <c r="X81" s="2960">
        <v>12</v>
      </c>
      <c r="Y81" s="2960">
        <v>12</v>
      </c>
      <c r="Z81" s="2961">
        <v>12</v>
      </c>
      <c r="AA81" s="2961">
        <v>12</v>
      </c>
      <c r="AB81" s="2961">
        <v>12</v>
      </c>
      <c r="AC81" s="2961">
        <v>12</v>
      </c>
      <c r="AD81" s="2961">
        <v>12</v>
      </c>
      <c r="AE81" s="2961">
        <v>12</v>
      </c>
      <c r="AF81" s="2962">
        <v>12</v>
      </c>
      <c r="AG81" s="2962">
        <v>12.166666666666666</v>
      </c>
      <c r="AH81" s="2962"/>
      <c r="AI81" s="2973">
        <v>12</v>
      </c>
      <c r="AJ81" s="2962">
        <v>12</v>
      </c>
      <c r="AK81" s="2962">
        <v>12</v>
      </c>
      <c r="AL81" s="2962">
        <v>12</v>
      </c>
      <c r="AM81" s="2962">
        <v>12</v>
      </c>
      <c r="AN81" s="2962">
        <v>12</v>
      </c>
      <c r="AO81" s="2962">
        <v>12</v>
      </c>
      <c r="AP81" s="2962">
        <v>12</v>
      </c>
      <c r="AQ81" s="2962">
        <v>314</v>
      </c>
      <c r="AR81" s="2962">
        <v>316</v>
      </c>
      <c r="AS81" s="2962">
        <v>318</v>
      </c>
      <c r="AT81" s="2961">
        <v>318</v>
      </c>
      <c r="AU81" s="2962">
        <v>318</v>
      </c>
      <c r="AV81" s="2964">
        <v>113.5</v>
      </c>
      <c r="AW81" s="2967">
        <v>326</v>
      </c>
      <c r="AX81" s="2962">
        <v>333</v>
      </c>
      <c r="AY81" s="2962">
        <v>350</v>
      </c>
      <c r="AZ81" s="2962">
        <v>353</v>
      </c>
      <c r="BA81" s="2962">
        <v>389</v>
      </c>
      <c r="BB81" s="2962">
        <v>414</v>
      </c>
      <c r="BC81" s="2962">
        <v>495</v>
      </c>
      <c r="BD81" s="2962">
        <v>503</v>
      </c>
      <c r="BE81" s="2962">
        <v>508</v>
      </c>
      <c r="BF81" s="2962">
        <v>497</v>
      </c>
      <c r="BG81" s="2962">
        <v>499</v>
      </c>
      <c r="BH81" s="2962">
        <v>509</v>
      </c>
      <c r="BI81" s="2878">
        <f>AW81</f>
        <v>326</v>
      </c>
      <c r="BJ81" s="2964">
        <f t="shared" si="40"/>
        <v>431.33333333333331</v>
      </c>
      <c r="BK81" s="2967">
        <v>543</v>
      </c>
      <c r="BL81" s="2962">
        <v>566</v>
      </c>
      <c r="BM81" s="2962"/>
      <c r="BN81" s="2962"/>
      <c r="BO81" s="2962"/>
      <c r="BP81" s="2962"/>
      <c r="BQ81" s="2962"/>
      <c r="BR81" s="2962"/>
      <c r="BS81" s="2962"/>
      <c r="BT81" s="2962"/>
      <c r="BU81" s="2962"/>
      <c r="BV81" s="2962"/>
      <c r="BW81" s="2878">
        <f>BK81</f>
        <v>543</v>
      </c>
      <c r="BX81" s="2964">
        <f t="shared" si="29"/>
        <v>554.5</v>
      </c>
      <c r="BZ81" s="2860" t="e">
        <f t="shared" si="46"/>
        <v>#N/A</v>
      </c>
      <c r="CA81" s="2860">
        <f t="shared" si="43"/>
        <v>317.83333333333331</v>
      </c>
      <c r="CB81" s="2881" t="e">
        <f t="shared" ref="CB81:CB87" si="49">HLOOKUP($A$1,$AW$1:$BH$383,ROW(),0)-SUM(AI81:AJ81)</f>
        <v>#N/A</v>
      </c>
    </row>
    <row r="82" spans="1:80" ht="18" customHeight="1" x14ac:dyDescent="0.55000000000000004">
      <c r="A82" s="7134"/>
      <c r="B82" s="7135"/>
      <c r="C82" s="698" t="s">
        <v>46</v>
      </c>
      <c r="D82" s="698"/>
      <c r="E82" s="698"/>
      <c r="F82" s="2921"/>
      <c r="G82" s="2922"/>
      <c r="H82" s="2922"/>
      <c r="I82" s="2922"/>
      <c r="J82" s="2922"/>
      <c r="K82" s="2922"/>
      <c r="L82" s="2922"/>
      <c r="M82" s="2922"/>
      <c r="N82" s="2922"/>
      <c r="O82" s="2922"/>
      <c r="P82" s="2922"/>
      <c r="Q82" s="2922"/>
      <c r="R82" s="2922"/>
      <c r="S82" s="2922"/>
      <c r="T82" s="2921"/>
      <c r="U82" s="2922"/>
      <c r="V82" s="2922">
        <v>0</v>
      </c>
      <c r="W82" s="2922">
        <v>0</v>
      </c>
      <c r="X82" s="2922">
        <v>0</v>
      </c>
      <c r="Y82" s="2922">
        <v>0</v>
      </c>
      <c r="Z82" s="1102">
        <v>0</v>
      </c>
      <c r="AA82" s="1102">
        <v>0</v>
      </c>
      <c r="AB82" s="1102">
        <v>0</v>
      </c>
      <c r="AC82" s="1102">
        <v>0</v>
      </c>
      <c r="AD82" s="1102">
        <v>0</v>
      </c>
      <c r="AE82" s="1102">
        <v>0</v>
      </c>
      <c r="AF82" s="2883">
        <v>0</v>
      </c>
      <c r="AG82" s="2883">
        <v>0</v>
      </c>
      <c r="AH82" s="2883"/>
      <c r="AI82" s="2884">
        <v>0</v>
      </c>
      <c r="AJ82" s="2883">
        <v>0</v>
      </c>
      <c r="AK82" s="2883">
        <v>0</v>
      </c>
      <c r="AL82" s="2883">
        <v>0</v>
      </c>
      <c r="AM82" s="2883">
        <v>0</v>
      </c>
      <c r="AN82" s="2883">
        <v>0</v>
      </c>
      <c r="AO82" s="2883">
        <v>0</v>
      </c>
      <c r="AP82" s="2883">
        <v>0</v>
      </c>
      <c r="AQ82" s="2883">
        <v>0</v>
      </c>
      <c r="AR82" s="2883">
        <v>0</v>
      </c>
      <c r="AS82" s="2883">
        <v>2</v>
      </c>
      <c r="AT82" s="1102">
        <v>0</v>
      </c>
      <c r="AU82" s="2883">
        <v>0</v>
      </c>
      <c r="AV82" s="2885">
        <v>0.16666666666666666</v>
      </c>
      <c r="AW82" s="2882">
        <v>8</v>
      </c>
      <c r="AX82" s="2883">
        <v>7</v>
      </c>
      <c r="AY82" s="2883">
        <v>17</v>
      </c>
      <c r="AZ82" s="2883">
        <v>4</v>
      </c>
      <c r="BA82" s="2883">
        <v>36</v>
      </c>
      <c r="BB82" s="2883">
        <v>0</v>
      </c>
      <c r="BC82" s="2883">
        <v>86</v>
      </c>
      <c r="BD82" s="2883">
        <v>11</v>
      </c>
      <c r="BE82" s="2883">
        <v>7</v>
      </c>
      <c r="BF82" s="2883">
        <v>7</v>
      </c>
      <c r="BG82" s="2883">
        <v>10</v>
      </c>
      <c r="BH82" s="1102">
        <v>4</v>
      </c>
      <c r="BI82" s="2883">
        <f>SUM(AW82:BF82)</f>
        <v>183</v>
      </c>
      <c r="BJ82" s="2885">
        <f t="shared" si="40"/>
        <v>16.416666666666668</v>
      </c>
      <c r="BK82" s="2882">
        <v>12</v>
      </c>
      <c r="BL82" s="2883">
        <v>28</v>
      </c>
      <c r="BM82" s="2883"/>
      <c r="BN82" s="2883"/>
      <c r="BO82" s="2883"/>
      <c r="BP82" s="2883"/>
      <c r="BQ82" s="2883"/>
      <c r="BR82" s="2883"/>
      <c r="BS82" s="2883"/>
      <c r="BT82" s="2883"/>
      <c r="BU82" s="2883"/>
      <c r="BV82" s="1102"/>
      <c r="BW82" s="2883">
        <f>SUM(BK82:BT82)</f>
        <v>40</v>
      </c>
      <c r="BX82" s="2885">
        <f t="shared" si="29"/>
        <v>20</v>
      </c>
      <c r="BZ82" s="2860" t="e">
        <f t="shared" si="46"/>
        <v>#N/A</v>
      </c>
      <c r="CA82" s="2860">
        <f t="shared" si="43"/>
        <v>16.25</v>
      </c>
      <c r="CB82" s="2881" t="e">
        <f t="shared" si="49"/>
        <v>#N/A</v>
      </c>
    </row>
    <row r="83" spans="1:80" ht="18" customHeight="1" x14ac:dyDescent="0.55000000000000004">
      <c r="A83" s="7134"/>
      <c r="B83" s="7135"/>
      <c r="C83" s="698" t="s">
        <v>47</v>
      </c>
      <c r="D83" s="698"/>
      <c r="E83" s="698">
        <v>1</v>
      </c>
      <c r="F83" s="2921">
        <v>0</v>
      </c>
      <c r="G83" s="2922">
        <v>0</v>
      </c>
      <c r="H83" s="2922">
        <v>0</v>
      </c>
      <c r="I83" s="2922">
        <v>0</v>
      </c>
      <c r="J83" s="2922">
        <v>0</v>
      </c>
      <c r="K83" s="2922">
        <v>0</v>
      </c>
      <c r="L83" s="2922">
        <v>0</v>
      </c>
      <c r="M83" s="2922">
        <v>0</v>
      </c>
      <c r="N83" s="2922">
        <v>0</v>
      </c>
      <c r="O83" s="2922">
        <v>1</v>
      </c>
      <c r="P83" s="2922">
        <v>0</v>
      </c>
      <c r="Q83" s="2922">
        <v>0</v>
      </c>
      <c r="R83" s="2922">
        <v>1</v>
      </c>
      <c r="S83" s="2922"/>
      <c r="T83" s="2921">
        <v>0</v>
      </c>
      <c r="U83" s="2922">
        <v>0</v>
      </c>
      <c r="V83" s="2922">
        <v>1</v>
      </c>
      <c r="W83" s="2922">
        <v>0</v>
      </c>
      <c r="X83" s="2922">
        <v>0</v>
      </c>
      <c r="Y83" s="2922">
        <v>0</v>
      </c>
      <c r="Z83" s="1102">
        <v>0</v>
      </c>
      <c r="AA83" s="1102">
        <v>0</v>
      </c>
      <c r="AB83" s="1102">
        <v>0</v>
      </c>
      <c r="AC83" s="1102">
        <v>0</v>
      </c>
      <c r="AD83" s="1102">
        <v>0</v>
      </c>
      <c r="AE83" s="1102">
        <v>0</v>
      </c>
      <c r="AF83" s="2883">
        <v>1</v>
      </c>
      <c r="AG83" s="2883">
        <v>8.3333333333333329E-2</v>
      </c>
      <c r="AH83" s="2883"/>
      <c r="AI83" s="2884">
        <v>0</v>
      </c>
      <c r="AJ83" s="2883">
        <v>0</v>
      </c>
      <c r="AK83" s="2883">
        <v>0</v>
      </c>
      <c r="AL83" s="2883">
        <v>0</v>
      </c>
      <c r="AM83" s="2883">
        <v>0</v>
      </c>
      <c r="AN83" s="2883">
        <v>1</v>
      </c>
      <c r="AO83" s="2883">
        <v>0</v>
      </c>
      <c r="AP83" s="2883">
        <v>0</v>
      </c>
      <c r="AQ83" s="2883">
        <v>0</v>
      </c>
      <c r="AR83" s="2883">
        <v>0</v>
      </c>
      <c r="AS83" s="2883">
        <v>0</v>
      </c>
      <c r="AT83" s="1102">
        <v>0</v>
      </c>
      <c r="AU83" s="2883">
        <v>1</v>
      </c>
      <c r="AV83" s="2885">
        <v>8.3333333333333329E-2</v>
      </c>
      <c r="AW83" s="2882">
        <v>0</v>
      </c>
      <c r="AX83" s="2883">
        <v>0</v>
      </c>
      <c r="AY83" s="2883">
        <v>0</v>
      </c>
      <c r="AZ83" s="2883">
        <v>1</v>
      </c>
      <c r="BA83" s="2883">
        <v>0</v>
      </c>
      <c r="BB83" s="2883">
        <v>1</v>
      </c>
      <c r="BC83" s="2883">
        <v>0</v>
      </c>
      <c r="BD83" s="2883">
        <v>0</v>
      </c>
      <c r="BE83" s="2883">
        <v>3</v>
      </c>
      <c r="BF83" s="2883">
        <v>2</v>
      </c>
      <c r="BG83" s="2883">
        <v>1</v>
      </c>
      <c r="BH83" s="2883">
        <v>0</v>
      </c>
      <c r="BI83" s="2883">
        <f>SUM(AW83:BG83)</f>
        <v>8</v>
      </c>
      <c r="BJ83" s="2885">
        <f t="shared" si="40"/>
        <v>0.66666666666666663</v>
      </c>
      <c r="BK83" s="2882">
        <v>2</v>
      </c>
      <c r="BL83" s="2883">
        <v>5</v>
      </c>
      <c r="BM83" s="2883"/>
      <c r="BN83" s="2883"/>
      <c r="BO83" s="2883"/>
      <c r="BP83" s="2883"/>
      <c r="BQ83" s="2883"/>
      <c r="BR83" s="2883"/>
      <c r="BS83" s="2883"/>
      <c r="BT83" s="2883"/>
      <c r="BU83" s="2883"/>
      <c r="BV83" s="2883"/>
      <c r="BW83" s="2883">
        <f>SUM(BK83:BU83)</f>
        <v>7</v>
      </c>
      <c r="BX83" s="2885">
        <f t="shared" si="29"/>
        <v>3.5</v>
      </c>
      <c r="BZ83" s="2860" t="e">
        <f t="shared" si="46"/>
        <v>#N/A</v>
      </c>
      <c r="CA83" s="2860">
        <f t="shared" si="43"/>
        <v>0.58333333333333326</v>
      </c>
      <c r="CB83" s="2881" t="e">
        <f t="shared" si="49"/>
        <v>#N/A</v>
      </c>
    </row>
    <row r="84" spans="1:80" ht="18" customHeight="1" x14ac:dyDescent="0.55000000000000004">
      <c r="A84" s="7134"/>
      <c r="B84" s="7135"/>
      <c r="C84" s="2920" t="s">
        <v>58</v>
      </c>
      <c r="D84" s="698"/>
      <c r="E84" s="698">
        <v>1</v>
      </c>
      <c r="F84" s="2921">
        <v>0</v>
      </c>
      <c r="G84" s="2922">
        <v>0</v>
      </c>
      <c r="H84" s="2922">
        <v>0</v>
      </c>
      <c r="I84" s="2922">
        <v>0</v>
      </c>
      <c r="J84" s="2922">
        <v>0</v>
      </c>
      <c r="K84" s="2922">
        <v>0</v>
      </c>
      <c r="L84" s="2922">
        <v>0</v>
      </c>
      <c r="M84" s="2922">
        <v>0</v>
      </c>
      <c r="N84" s="2922">
        <v>0</v>
      </c>
      <c r="O84" s="2922">
        <v>0</v>
      </c>
      <c r="P84" s="2922">
        <v>0</v>
      </c>
      <c r="Q84" s="2922">
        <v>0</v>
      </c>
      <c r="R84" s="2922">
        <v>0</v>
      </c>
      <c r="S84" s="2922"/>
      <c r="T84" s="2921">
        <v>0</v>
      </c>
      <c r="U84" s="2922">
        <v>0</v>
      </c>
      <c r="V84" s="2922">
        <v>0</v>
      </c>
      <c r="W84" s="2922">
        <v>0</v>
      </c>
      <c r="X84" s="2922">
        <v>0</v>
      </c>
      <c r="Y84" s="2922">
        <v>0</v>
      </c>
      <c r="Z84" s="1102">
        <v>0</v>
      </c>
      <c r="AA84" s="1102">
        <v>0</v>
      </c>
      <c r="AB84" s="1102">
        <v>0</v>
      </c>
      <c r="AC84" s="1102">
        <v>0</v>
      </c>
      <c r="AD84" s="1102">
        <v>0</v>
      </c>
      <c r="AE84" s="1102">
        <v>0</v>
      </c>
      <c r="AF84" s="2883">
        <v>0</v>
      </c>
      <c r="AG84" s="2883">
        <v>0</v>
      </c>
      <c r="AH84" s="2883"/>
      <c r="AI84" s="2884">
        <v>0</v>
      </c>
      <c r="AJ84" s="2883">
        <v>0</v>
      </c>
      <c r="AK84" s="2883">
        <v>0</v>
      </c>
      <c r="AL84" s="2883">
        <v>0</v>
      </c>
      <c r="AM84" s="2883">
        <v>0</v>
      </c>
      <c r="AN84" s="2883">
        <v>0</v>
      </c>
      <c r="AO84" s="2883">
        <v>0</v>
      </c>
      <c r="AP84" s="2883">
        <v>0</v>
      </c>
      <c r="AQ84" s="2883">
        <v>0</v>
      </c>
      <c r="AR84" s="2883">
        <v>0</v>
      </c>
      <c r="AS84" s="2883">
        <v>0</v>
      </c>
      <c r="AT84" s="1102">
        <v>0</v>
      </c>
      <c r="AU84" s="2883">
        <v>0</v>
      </c>
      <c r="AV84" s="2885">
        <v>0</v>
      </c>
      <c r="AW84" s="2882">
        <v>0</v>
      </c>
      <c r="AX84" s="2883">
        <v>0</v>
      </c>
      <c r="AY84" s="2883">
        <v>0</v>
      </c>
      <c r="AZ84" s="2883">
        <v>0</v>
      </c>
      <c r="BA84" s="2883">
        <v>0</v>
      </c>
      <c r="BB84" s="2883">
        <v>0</v>
      </c>
      <c r="BC84" s="2883">
        <v>0</v>
      </c>
      <c r="BD84" s="2883">
        <v>0</v>
      </c>
      <c r="BE84" s="2883">
        <v>0</v>
      </c>
      <c r="BF84" s="2883">
        <v>2</v>
      </c>
      <c r="BG84" s="2883">
        <v>0</v>
      </c>
      <c r="BH84" s="2883">
        <v>0</v>
      </c>
      <c r="BI84" s="2883">
        <f>SUM(AW84:BG84)</f>
        <v>2</v>
      </c>
      <c r="BJ84" s="2885">
        <f t="shared" si="40"/>
        <v>0.16666666666666666</v>
      </c>
      <c r="BK84" s="2882">
        <v>0</v>
      </c>
      <c r="BL84" s="2883">
        <v>0</v>
      </c>
      <c r="BM84" s="2883"/>
      <c r="BN84" s="2883"/>
      <c r="BO84" s="2883"/>
      <c r="BP84" s="2883"/>
      <c r="BQ84" s="2883"/>
      <c r="BR84" s="2883"/>
      <c r="BS84" s="2883"/>
      <c r="BT84" s="2883"/>
      <c r="BU84" s="2883"/>
      <c r="BV84" s="2883"/>
      <c r="BW84" s="2883">
        <f>SUM(BK84:BU84)</f>
        <v>0</v>
      </c>
      <c r="BX84" s="2885">
        <f t="shared" si="29"/>
        <v>0</v>
      </c>
      <c r="BZ84" s="2860" t="e">
        <f t="shared" si="46"/>
        <v>#N/A</v>
      </c>
      <c r="CA84" s="2860">
        <f t="shared" si="43"/>
        <v>0.16666666666666666</v>
      </c>
      <c r="CB84" s="2881" t="e">
        <f t="shared" si="49"/>
        <v>#N/A</v>
      </c>
    </row>
    <row r="85" spans="1:80" ht="18" customHeight="1" x14ac:dyDescent="0.55000000000000004">
      <c r="A85" s="7134"/>
      <c r="B85" s="7135"/>
      <c r="C85" s="698" t="s">
        <v>49</v>
      </c>
      <c r="D85" s="698"/>
      <c r="E85" s="698"/>
      <c r="F85" s="2921"/>
      <c r="G85" s="2922"/>
      <c r="H85" s="2922"/>
      <c r="I85" s="2922"/>
      <c r="J85" s="2922"/>
      <c r="K85" s="2922"/>
      <c r="L85" s="2922"/>
      <c r="M85" s="2922"/>
      <c r="N85" s="2922"/>
      <c r="O85" s="2922"/>
      <c r="P85" s="2922"/>
      <c r="Q85" s="2922"/>
      <c r="R85" s="2922"/>
      <c r="S85" s="2922"/>
      <c r="T85" s="2921">
        <v>0</v>
      </c>
      <c r="U85" s="2922">
        <v>0</v>
      </c>
      <c r="V85" s="2922">
        <v>0</v>
      </c>
      <c r="W85" s="2922">
        <v>0</v>
      </c>
      <c r="X85" s="2922">
        <v>0</v>
      </c>
      <c r="Y85" s="2922">
        <v>0</v>
      </c>
      <c r="Z85" s="1102">
        <v>0</v>
      </c>
      <c r="AA85" s="1102">
        <v>0</v>
      </c>
      <c r="AB85" s="1102">
        <v>0</v>
      </c>
      <c r="AC85" s="1102">
        <v>0</v>
      </c>
      <c r="AD85" s="1102">
        <v>0</v>
      </c>
      <c r="AE85" s="1102">
        <v>0</v>
      </c>
      <c r="AF85" s="2883">
        <v>0</v>
      </c>
      <c r="AG85" s="2883">
        <v>0</v>
      </c>
      <c r="AH85" s="2883"/>
      <c r="AI85" s="2884">
        <v>0</v>
      </c>
      <c r="AJ85" s="2883">
        <v>0</v>
      </c>
      <c r="AK85" s="2883">
        <v>0</v>
      </c>
      <c r="AL85" s="2883">
        <v>0</v>
      </c>
      <c r="AM85" s="2883">
        <v>0</v>
      </c>
      <c r="AN85" s="2883">
        <v>-1</v>
      </c>
      <c r="AO85" s="2883">
        <v>0</v>
      </c>
      <c r="AP85" s="2883">
        <v>0</v>
      </c>
      <c r="AQ85" s="2883">
        <v>-302</v>
      </c>
      <c r="AR85" s="2883">
        <v>-2</v>
      </c>
      <c r="AS85" s="2883">
        <v>0</v>
      </c>
      <c r="AT85" s="2883">
        <v>0</v>
      </c>
      <c r="AU85" s="2883">
        <v>-305</v>
      </c>
      <c r="AV85" s="2885">
        <v>-25.416666666666668</v>
      </c>
      <c r="AW85" s="2883">
        <f t="shared" ref="AW85:BH85" si="50">-(AW86-(AW82-AW83))</f>
        <v>0</v>
      </c>
      <c r="AX85" s="2883">
        <f t="shared" si="50"/>
        <v>-1</v>
      </c>
      <c r="AY85" s="2883">
        <f t="shared" si="50"/>
        <v>0</v>
      </c>
      <c r="AZ85" s="2883">
        <f t="shared" si="50"/>
        <v>0</v>
      </c>
      <c r="BA85" s="2883">
        <f t="shared" si="50"/>
        <v>0</v>
      </c>
      <c r="BB85" s="2883">
        <f t="shared" si="50"/>
        <v>-26</v>
      </c>
      <c r="BC85" s="2883">
        <f t="shared" si="50"/>
        <v>5</v>
      </c>
      <c r="BD85" s="2883">
        <f t="shared" si="50"/>
        <v>3</v>
      </c>
      <c r="BE85" s="2883">
        <f t="shared" si="50"/>
        <v>-1</v>
      </c>
      <c r="BF85" s="2883">
        <f t="shared" si="50"/>
        <v>16</v>
      </c>
      <c r="BG85" s="2883">
        <f t="shared" si="50"/>
        <v>7</v>
      </c>
      <c r="BH85" s="2883">
        <f t="shared" si="50"/>
        <v>-6</v>
      </c>
      <c r="BI85" s="2883">
        <f>SUM(AW85:BF85)</f>
        <v>-4</v>
      </c>
      <c r="BJ85" s="2885">
        <f t="shared" si="40"/>
        <v>-0.25</v>
      </c>
      <c r="BK85" s="2882">
        <v>-24</v>
      </c>
      <c r="BL85" s="2883">
        <v>0</v>
      </c>
      <c r="BM85" s="2883"/>
      <c r="BN85" s="2883"/>
      <c r="BO85" s="2883"/>
      <c r="BP85" s="2883"/>
      <c r="BQ85" s="2883"/>
      <c r="BR85" s="2883"/>
      <c r="BS85" s="2883"/>
      <c r="BT85" s="2883"/>
      <c r="BU85" s="2883"/>
      <c r="BV85" s="2883"/>
      <c r="BW85" s="2883">
        <f>SUM(BK85:BT85)</f>
        <v>-24</v>
      </c>
      <c r="BX85" s="2885">
        <f t="shared" si="29"/>
        <v>-12</v>
      </c>
      <c r="BZ85" s="2860" t="e">
        <f t="shared" si="46"/>
        <v>#N/A</v>
      </c>
      <c r="CA85" s="2860">
        <f t="shared" si="43"/>
        <v>25.166666666666668</v>
      </c>
      <c r="CB85" s="2881" t="e">
        <f t="shared" si="49"/>
        <v>#N/A</v>
      </c>
    </row>
    <row r="86" spans="1:80" ht="18" customHeight="1" thickBot="1" x14ac:dyDescent="0.6">
      <c r="A86" s="7136"/>
      <c r="B86" s="7137"/>
      <c r="C86" s="2969" t="s">
        <v>50</v>
      </c>
      <c r="D86" s="2937"/>
      <c r="E86" s="2937"/>
      <c r="F86" s="2947"/>
      <c r="G86" s="2948"/>
      <c r="H86" s="2948"/>
      <c r="I86" s="2948"/>
      <c r="J86" s="2948"/>
      <c r="K86" s="2948"/>
      <c r="L86" s="2948"/>
      <c r="M86" s="2948"/>
      <c r="N86" s="2948"/>
      <c r="O86" s="2948"/>
      <c r="P86" s="2948"/>
      <c r="Q86" s="2948"/>
      <c r="R86" s="2948"/>
      <c r="S86" s="2948"/>
      <c r="T86" s="2970">
        <v>0</v>
      </c>
      <c r="U86" s="2948">
        <v>0</v>
      </c>
      <c r="V86" s="2948">
        <v>-1</v>
      </c>
      <c r="W86" s="2948">
        <v>0</v>
      </c>
      <c r="X86" s="2948">
        <v>0</v>
      </c>
      <c r="Y86" s="2948">
        <v>0</v>
      </c>
      <c r="Z86" s="2899">
        <v>0</v>
      </c>
      <c r="AA86" s="2899">
        <v>0</v>
      </c>
      <c r="AB86" s="2899">
        <v>0</v>
      </c>
      <c r="AC86" s="2899">
        <v>0</v>
      </c>
      <c r="AD86" s="2899">
        <v>0</v>
      </c>
      <c r="AE86" s="2899">
        <v>0</v>
      </c>
      <c r="AF86" s="2942">
        <v>-1</v>
      </c>
      <c r="AG86" s="2942">
        <v>-8.3333333333333329E-2</v>
      </c>
      <c r="AH86" s="2942"/>
      <c r="AI86" s="2941">
        <v>0</v>
      </c>
      <c r="AJ86" s="2942">
        <v>0</v>
      </c>
      <c r="AK86" s="2942">
        <v>0</v>
      </c>
      <c r="AL86" s="2942">
        <v>0</v>
      </c>
      <c r="AM86" s="2942">
        <v>0</v>
      </c>
      <c r="AN86" s="2942">
        <v>0</v>
      </c>
      <c r="AO86" s="2942">
        <v>0</v>
      </c>
      <c r="AP86" s="2942">
        <v>0</v>
      </c>
      <c r="AQ86" s="2942">
        <v>302</v>
      </c>
      <c r="AR86" s="2942">
        <v>2</v>
      </c>
      <c r="AS86" s="2942">
        <v>2</v>
      </c>
      <c r="AT86" s="2942">
        <v>0</v>
      </c>
      <c r="AU86" s="2942">
        <v>304</v>
      </c>
      <c r="AV86" s="2943">
        <v>25.5</v>
      </c>
      <c r="AW86" s="2974">
        <v>8</v>
      </c>
      <c r="AX86" s="2942">
        <v>8</v>
      </c>
      <c r="AY86" s="2942">
        <v>17</v>
      </c>
      <c r="AZ86" s="2942">
        <v>3</v>
      </c>
      <c r="BA86" s="2942">
        <v>36</v>
      </c>
      <c r="BB86" s="2942">
        <v>25</v>
      </c>
      <c r="BC86" s="2942">
        <v>81</v>
      </c>
      <c r="BD86" s="2942">
        <v>8</v>
      </c>
      <c r="BE86" s="2942">
        <v>5</v>
      </c>
      <c r="BF86" s="2942">
        <v>-11</v>
      </c>
      <c r="BG86" s="2942">
        <v>2</v>
      </c>
      <c r="BH86" s="2942">
        <v>10</v>
      </c>
      <c r="BI86" s="2942">
        <f>SUM(AW86:BF86)</f>
        <v>180</v>
      </c>
      <c r="BJ86" s="2943">
        <f t="shared" si="40"/>
        <v>16</v>
      </c>
      <c r="BK86" s="2974">
        <v>34</v>
      </c>
      <c r="BL86" s="2942">
        <v>23</v>
      </c>
      <c r="BM86" s="2942"/>
      <c r="BN86" s="2942"/>
      <c r="BO86" s="2942"/>
      <c r="BP86" s="2942"/>
      <c r="BQ86" s="2942"/>
      <c r="BR86" s="2942"/>
      <c r="BS86" s="2942"/>
      <c r="BT86" s="2942"/>
      <c r="BU86" s="2942"/>
      <c r="BV86" s="2942"/>
      <c r="BW86" s="2942">
        <f>SUM(BK86:BT86)</f>
        <v>57</v>
      </c>
      <c r="BX86" s="2943">
        <f t="shared" si="29"/>
        <v>28.5</v>
      </c>
      <c r="BZ86" s="2860" t="e">
        <f t="shared" si="46"/>
        <v>#N/A</v>
      </c>
      <c r="CA86" s="2860">
        <f t="shared" si="43"/>
        <v>-9.5</v>
      </c>
      <c r="CB86" s="2881" t="e">
        <f t="shared" si="49"/>
        <v>#N/A</v>
      </c>
    </row>
    <row r="87" spans="1:80" ht="18" customHeight="1" x14ac:dyDescent="0.55000000000000004">
      <c r="B87" s="698"/>
      <c r="C87" s="698"/>
      <c r="D87" s="698"/>
      <c r="E87" s="698"/>
      <c r="F87" s="698"/>
      <c r="G87" s="698"/>
      <c r="H87" s="698"/>
      <c r="I87" s="698"/>
      <c r="J87" s="698"/>
      <c r="K87" s="698"/>
      <c r="L87" s="698"/>
      <c r="M87" s="698"/>
      <c r="N87" s="698"/>
      <c r="O87" s="698"/>
      <c r="P87" s="698"/>
      <c r="Q87" s="698"/>
      <c r="R87" s="698"/>
      <c r="S87" s="698"/>
      <c r="T87" s="2975"/>
      <c r="U87" s="2975"/>
      <c r="V87" s="2975"/>
      <c r="W87" s="2975"/>
      <c r="X87" s="2975"/>
      <c r="Y87" s="2975"/>
      <c r="AH87" s="2844"/>
      <c r="AI87" s="2844"/>
      <c r="AJ87" s="2844"/>
      <c r="AK87" s="2844"/>
      <c r="AW87" s="2844"/>
      <c r="AX87" s="2844"/>
      <c r="AY87" s="2844"/>
      <c r="BK87" s="2844"/>
      <c r="BL87" s="2844"/>
      <c r="BM87" s="2844"/>
      <c r="BZ87" s="2860" t="e">
        <f t="shared" si="46"/>
        <v>#N/A</v>
      </c>
      <c r="CA87" s="2860">
        <f t="shared" si="43"/>
        <v>0</v>
      </c>
      <c r="CB87" s="2881" t="e">
        <f t="shared" si="49"/>
        <v>#N/A</v>
      </c>
    </row>
    <row r="88" spans="1:80" ht="18" hidden="1" customHeight="1" x14ac:dyDescent="0.55000000000000004"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698"/>
      <c r="O88" s="698"/>
      <c r="P88" s="698"/>
      <c r="Q88" s="698"/>
      <c r="R88" s="698"/>
      <c r="S88" s="698"/>
      <c r="T88" s="2975"/>
      <c r="U88" s="2975"/>
      <c r="V88" s="2975"/>
      <c r="W88" s="2975"/>
      <c r="X88" s="2975"/>
      <c r="Y88" s="2975"/>
      <c r="BZ88" s="2860" t="e">
        <f t="shared" si="46"/>
        <v>#N/A</v>
      </c>
      <c r="CA88" s="2860">
        <f t="shared" si="43"/>
        <v>0</v>
      </c>
      <c r="CB88" s="2861">
        <f t="shared" ref="CB88" si="51">AW88-AI88</f>
        <v>0</v>
      </c>
    </row>
    <row r="89" spans="1:80" ht="18" hidden="1" customHeight="1" x14ac:dyDescent="0.55000000000000004">
      <c r="B89" s="698"/>
      <c r="C89" s="698"/>
      <c r="D89" s="698"/>
      <c r="E89" s="698"/>
      <c r="F89" s="698"/>
      <c r="G89" s="698"/>
      <c r="H89" s="698"/>
      <c r="I89" s="698"/>
      <c r="J89" s="698"/>
      <c r="K89" s="698"/>
      <c r="L89" s="698"/>
      <c r="M89" s="698"/>
      <c r="N89" s="698"/>
      <c r="O89" s="698"/>
      <c r="P89" s="698"/>
      <c r="Q89" s="698"/>
      <c r="R89" s="698"/>
      <c r="S89" s="698"/>
      <c r="T89" s="2975"/>
      <c r="U89" s="2975"/>
      <c r="V89" s="2975"/>
      <c r="W89" s="2975"/>
      <c r="X89" s="2975"/>
      <c r="Y89" s="2975"/>
      <c r="BZ89" s="2860" t="e">
        <f t="shared" si="46"/>
        <v>#N/A</v>
      </c>
      <c r="CA89" s="2860">
        <f t="shared" si="43"/>
        <v>0</v>
      </c>
      <c r="CB89" s="2861">
        <f>AX89-AJ89</f>
        <v>0</v>
      </c>
    </row>
    <row r="90" spans="1:80" x14ac:dyDescent="0.55000000000000004">
      <c r="B90" s="698"/>
      <c r="C90" s="698"/>
      <c r="D90" s="698"/>
      <c r="E90" s="698"/>
      <c r="F90" s="698"/>
      <c r="G90" s="698"/>
      <c r="H90" s="698"/>
      <c r="I90" s="698"/>
      <c r="J90" s="698"/>
      <c r="K90" s="698"/>
      <c r="L90" s="698"/>
      <c r="M90" s="698"/>
      <c r="N90" s="698"/>
      <c r="O90" s="698"/>
      <c r="P90" s="698"/>
      <c r="Q90" s="698"/>
      <c r="R90" s="698"/>
      <c r="S90" s="698"/>
      <c r="T90" s="2975"/>
      <c r="U90" s="2975"/>
      <c r="V90" s="2975"/>
      <c r="W90" s="2975"/>
      <c r="X90" s="2975"/>
      <c r="Y90" s="2975"/>
      <c r="BZ90" s="2860" t="e">
        <f t="shared" si="46"/>
        <v>#N/A</v>
      </c>
      <c r="CA90" s="2860">
        <f t="shared" si="43"/>
        <v>0</v>
      </c>
      <c r="CB90" s="2881" t="e">
        <f t="shared" ref="CB90:CB98" si="52">HLOOKUP($A$1,$AW$1:$BH$383,ROW(),0)-SUM(AI90:AJ90)</f>
        <v>#N/A</v>
      </c>
    </row>
    <row r="91" spans="1:80" x14ac:dyDescent="0.55000000000000004">
      <c r="AW91" s="590">
        <v>87001</v>
      </c>
      <c r="AX91" s="590">
        <v>88253</v>
      </c>
      <c r="AY91" s="590">
        <v>88591</v>
      </c>
      <c r="AZ91" s="590">
        <v>89791</v>
      </c>
      <c r="BA91" s="590">
        <v>92467</v>
      </c>
      <c r="BB91" s="590">
        <v>93602</v>
      </c>
      <c r="BK91" s="590">
        <v>87001</v>
      </c>
      <c r="BL91" s="590">
        <v>88253</v>
      </c>
      <c r="BM91" s="590">
        <v>88591</v>
      </c>
      <c r="BN91" s="590">
        <v>89791</v>
      </c>
      <c r="BO91" s="590">
        <v>92467</v>
      </c>
      <c r="BP91" s="590">
        <v>93602</v>
      </c>
      <c r="BZ91" s="2860" t="e">
        <f t="shared" si="46"/>
        <v>#N/A</v>
      </c>
      <c r="CA91" s="2860">
        <f t="shared" si="43"/>
        <v>0</v>
      </c>
      <c r="CB91" s="2881" t="e">
        <f t="shared" si="52"/>
        <v>#N/A</v>
      </c>
    </row>
    <row r="92" spans="1:80" x14ac:dyDescent="0.55000000000000004">
      <c r="AW92" s="590" t="b">
        <f t="shared" ref="AW92:BI92" si="53">AW82-AW83-AW85=AW86</f>
        <v>1</v>
      </c>
      <c r="AX92" s="590" t="b">
        <f t="shared" si="53"/>
        <v>1</v>
      </c>
      <c r="AY92" s="590" t="b">
        <f t="shared" si="53"/>
        <v>1</v>
      </c>
      <c r="AZ92" s="590" t="b">
        <f t="shared" si="53"/>
        <v>1</v>
      </c>
      <c r="BA92" s="590" t="b">
        <f t="shared" si="53"/>
        <v>1</v>
      </c>
      <c r="BB92" s="590" t="b">
        <f t="shared" si="53"/>
        <v>1</v>
      </c>
      <c r="BC92" s="590" t="b">
        <f t="shared" si="53"/>
        <v>1</v>
      </c>
      <c r="BD92" s="590" t="b">
        <f t="shared" si="53"/>
        <v>1</v>
      </c>
      <c r="BE92" s="590" t="b">
        <f t="shared" si="53"/>
        <v>1</v>
      </c>
      <c r="BF92" s="590" t="b">
        <f t="shared" si="53"/>
        <v>1</v>
      </c>
      <c r="BG92" s="590" t="b">
        <f t="shared" si="53"/>
        <v>1</v>
      </c>
      <c r="BH92" s="590" t="b">
        <f t="shared" si="53"/>
        <v>1</v>
      </c>
      <c r="BI92" s="590" t="b">
        <f t="shared" si="53"/>
        <v>0</v>
      </c>
      <c r="BK92" s="590" t="b">
        <f t="shared" ref="BK92:BW92" si="54">BK82-BK83-BK85=BK86</f>
        <v>1</v>
      </c>
      <c r="BL92" s="590" t="b">
        <f t="shared" si="54"/>
        <v>1</v>
      </c>
      <c r="BM92" s="590" t="b">
        <f t="shared" si="54"/>
        <v>1</v>
      </c>
      <c r="BN92" s="590" t="b">
        <f t="shared" si="54"/>
        <v>1</v>
      </c>
      <c r="BO92" s="590" t="b">
        <f t="shared" si="54"/>
        <v>1</v>
      </c>
      <c r="BP92" s="590" t="b">
        <f t="shared" si="54"/>
        <v>1</v>
      </c>
      <c r="BQ92" s="590" t="b">
        <f t="shared" si="54"/>
        <v>1</v>
      </c>
      <c r="BR92" s="590" t="b">
        <f t="shared" si="54"/>
        <v>1</v>
      </c>
      <c r="BS92" s="590" t="b">
        <f t="shared" si="54"/>
        <v>1</v>
      </c>
      <c r="BT92" s="590" t="b">
        <f t="shared" si="54"/>
        <v>1</v>
      </c>
      <c r="BU92" s="590" t="b">
        <f t="shared" si="54"/>
        <v>1</v>
      </c>
      <c r="BV92" s="590" t="b">
        <f t="shared" si="54"/>
        <v>1</v>
      </c>
      <c r="BW92" s="590" t="b">
        <f t="shared" si="54"/>
        <v>1</v>
      </c>
      <c r="BZ92" s="2860" t="e">
        <f t="shared" si="46"/>
        <v>#N/A</v>
      </c>
      <c r="CA92" s="2860">
        <f t="shared" si="43"/>
        <v>0</v>
      </c>
      <c r="CB92" s="2881" t="e">
        <f t="shared" si="52"/>
        <v>#N/A</v>
      </c>
    </row>
    <row r="93" spans="1:80" x14ac:dyDescent="0.55000000000000004">
      <c r="BZ93" s="2860" t="e">
        <f t="shared" si="46"/>
        <v>#N/A</v>
      </c>
      <c r="CA93" s="2860">
        <f t="shared" si="43"/>
        <v>0</v>
      </c>
      <c r="CB93" s="2881" t="e">
        <f t="shared" si="52"/>
        <v>#N/A</v>
      </c>
    </row>
    <row r="94" spans="1:80" x14ac:dyDescent="0.45">
      <c r="AW94" s="2976"/>
      <c r="AX94" s="2976"/>
      <c r="AY94" s="2976"/>
      <c r="AZ94" s="2976"/>
      <c r="BA94" s="2976"/>
      <c r="BB94" s="2976"/>
      <c r="BK94" s="2976"/>
      <c r="BL94" s="2976"/>
      <c r="BM94" s="2976"/>
      <c r="BN94" s="2976"/>
      <c r="BO94" s="2976"/>
      <c r="BP94" s="2976"/>
      <c r="BZ94" s="2860" t="e">
        <f t="shared" si="46"/>
        <v>#N/A</v>
      </c>
      <c r="CA94" s="2860"/>
      <c r="CB94" s="2881" t="e">
        <f t="shared" si="52"/>
        <v>#N/A</v>
      </c>
    </row>
    <row r="95" spans="1:80" x14ac:dyDescent="0.45">
      <c r="AW95" s="2976"/>
      <c r="AX95" s="2976"/>
      <c r="AY95" s="2976"/>
      <c r="AZ95" s="2976"/>
      <c r="BA95" s="2976"/>
      <c r="BB95" s="2976"/>
      <c r="BK95" s="2976"/>
      <c r="BL95" s="2976"/>
      <c r="BM95" s="2976"/>
      <c r="BN95" s="2976"/>
      <c r="BO95" s="2976"/>
      <c r="BP95" s="2976"/>
      <c r="BZ95" s="2860"/>
      <c r="CA95" s="2860"/>
      <c r="CB95" s="2881" t="e">
        <f t="shared" si="52"/>
        <v>#N/A</v>
      </c>
    </row>
    <row r="96" spans="1:80" x14ac:dyDescent="0.55000000000000004">
      <c r="BZ96" s="2860"/>
      <c r="CA96" s="2860"/>
      <c r="CB96" s="2881" t="e">
        <f t="shared" si="52"/>
        <v>#N/A</v>
      </c>
    </row>
    <row r="97" spans="78:81" x14ac:dyDescent="0.55000000000000004">
      <c r="BZ97" s="2860"/>
      <c r="CA97" s="2860"/>
      <c r="CB97" s="2881" t="e">
        <f t="shared" si="52"/>
        <v>#N/A</v>
      </c>
    </row>
    <row r="98" spans="78:81" x14ac:dyDescent="0.55000000000000004">
      <c r="BZ98" s="2860"/>
      <c r="CA98" s="2860"/>
      <c r="CB98" s="2881" t="e">
        <f t="shared" si="52"/>
        <v>#N/A</v>
      </c>
    </row>
    <row r="99" spans="78:81" x14ac:dyDescent="0.55000000000000004">
      <c r="BZ99" s="2860"/>
      <c r="CA99" s="2860"/>
      <c r="CB99" s="2860"/>
    </row>
    <row r="100" spans="78:81" x14ac:dyDescent="0.55000000000000004">
      <c r="BZ100" s="2860"/>
      <c r="CA100" s="2860"/>
      <c r="CB100" s="2860"/>
    </row>
    <row r="101" spans="78:81" x14ac:dyDescent="0.55000000000000004">
      <c r="BZ101" s="2860"/>
      <c r="CA101" s="2860"/>
      <c r="CB101" s="2860"/>
    </row>
    <row r="102" spans="78:81" x14ac:dyDescent="0.55000000000000004">
      <c r="BZ102" s="2860"/>
      <c r="CA102" s="2860"/>
      <c r="CB102" s="2860"/>
    </row>
    <row r="103" spans="78:81" x14ac:dyDescent="0.55000000000000004">
      <c r="BZ103" s="2860"/>
      <c r="CA103" s="2860"/>
      <c r="CB103" s="2860"/>
    </row>
    <row r="104" spans="78:81" x14ac:dyDescent="0.55000000000000004">
      <c r="BZ104" s="2860"/>
      <c r="CA104" s="2860"/>
      <c r="CB104" s="2860"/>
    </row>
    <row r="105" spans="78:81" x14ac:dyDescent="0.55000000000000004">
      <c r="BZ105" s="2860"/>
      <c r="CA105" s="2860"/>
      <c r="CB105" s="2860"/>
    </row>
    <row r="106" spans="78:81" x14ac:dyDescent="0.55000000000000004">
      <c r="BZ106" s="2860"/>
      <c r="CA106" s="2860"/>
      <c r="CB106" s="2860"/>
    </row>
    <row r="107" spans="78:81" x14ac:dyDescent="0.55000000000000004">
      <c r="BZ107" s="2860"/>
      <c r="CA107" s="2860"/>
      <c r="CB107" s="2860"/>
    </row>
    <row r="108" spans="78:81" x14ac:dyDescent="0.55000000000000004">
      <c r="BZ108" s="2860"/>
      <c r="CA108" s="2860"/>
      <c r="CB108" s="2860"/>
    </row>
    <row r="109" spans="78:81" x14ac:dyDescent="0.55000000000000004">
      <c r="BZ109" s="2860"/>
      <c r="CA109" s="2860"/>
      <c r="CB109" s="2860"/>
    </row>
    <row r="110" spans="78:81" x14ac:dyDescent="0.55000000000000004">
      <c r="BZ110" s="2860"/>
      <c r="CA110" s="2860"/>
      <c r="CB110" s="2860"/>
    </row>
    <row r="111" spans="78:81" x14ac:dyDescent="0.55000000000000004">
      <c r="BZ111" s="2860"/>
      <c r="CA111" s="2860"/>
      <c r="CB111" s="2860"/>
      <c r="CC111" s="2977"/>
    </row>
    <row r="112" spans="78:81" ht="15.45" thickBot="1" x14ac:dyDescent="0.6">
      <c r="BZ112" s="2860"/>
      <c r="CA112" s="2860"/>
      <c r="CB112" s="2860"/>
      <c r="CC112" s="887"/>
    </row>
    <row r="113" spans="78:80" x14ac:dyDescent="0.55000000000000004">
      <c r="BZ113" s="2860"/>
      <c r="CA113" s="2860"/>
      <c r="CB113" s="2860"/>
    </row>
    <row r="114" spans="78:80" x14ac:dyDescent="0.55000000000000004">
      <c r="BZ114" s="2860"/>
      <c r="CA114" s="2860"/>
      <c r="CB114" s="2860"/>
    </row>
    <row r="115" spans="78:80" x14ac:dyDescent="0.55000000000000004">
      <c r="BZ115" s="2860"/>
      <c r="CA115" s="2860"/>
      <c r="CB115" s="2860"/>
    </row>
    <row r="116" spans="78:80" x14ac:dyDescent="0.55000000000000004">
      <c r="BZ116" s="2860"/>
      <c r="CA116" s="2860"/>
      <c r="CB116" s="2860"/>
    </row>
    <row r="117" spans="78:80" x14ac:dyDescent="0.55000000000000004">
      <c r="BZ117" s="2860"/>
      <c r="CA117" s="2860"/>
      <c r="CB117" s="2860"/>
    </row>
    <row r="118" spans="78:80" x14ac:dyDescent="0.55000000000000004">
      <c r="BZ118" s="2860"/>
      <c r="CA118" s="2860"/>
      <c r="CB118" s="2860"/>
    </row>
    <row r="119" spans="78:80" x14ac:dyDescent="0.55000000000000004">
      <c r="BZ119" s="2860"/>
      <c r="CA119" s="2860"/>
      <c r="CB119" s="2860"/>
    </row>
    <row r="120" spans="78:80" x14ac:dyDescent="0.55000000000000004">
      <c r="BZ120" s="2860"/>
      <c r="CA120" s="2860"/>
      <c r="CB120" s="2860"/>
    </row>
    <row r="121" spans="78:80" x14ac:dyDescent="0.55000000000000004">
      <c r="BZ121" s="2860"/>
      <c r="CA121" s="2860"/>
      <c r="CB121" s="2860"/>
    </row>
    <row r="122" spans="78:80" x14ac:dyDescent="0.55000000000000004">
      <c r="BZ122" s="2860"/>
      <c r="CA122" s="2860"/>
      <c r="CB122" s="2860"/>
    </row>
    <row r="123" spans="78:80" x14ac:dyDescent="0.55000000000000004">
      <c r="BZ123" s="2860"/>
      <c r="CA123" s="2860"/>
      <c r="CB123" s="2860"/>
    </row>
    <row r="124" spans="78:80" x14ac:dyDescent="0.55000000000000004">
      <c r="BZ124" s="2860"/>
      <c r="CA124" s="2860"/>
      <c r="CB124" s="2860"/>
    </row>
    <row r="125" spans="78:80" x14ac:dyDescent="0.55000000000000004">
      <c r="BZ125" s="2860"/>
      <c r="CA125" s="2860"/>
      <c r="CB125" s="2860"/>
    </row>
    <row r="126" spans="78:80" x14ac:dyDescent="0.55000000000000004">
      <c r="BZ126" s="2860"/>
      <c r="CA126" s="2860"/>
      <c r="CB126" s="2860"/>
    </row>
    <row r="127" spans="78:80" x14ac:dyDescent="0.55000000000000004">
      <c r="BZ127" s="2860"/>
      <c r="CA127" s="2860"/>
      <c r="CB127" s="2860"/>
    </row>
    <row r="128" spans="78:80" x14ac:dyDescent="0.55000000000000004">
      <c r="BZ128" s="2860"/>
      <c r="CA128" s="2860"/>
      <c r="CB128" s="2860"/>
    </row>
    <row r="129" spans="78:80" x14ac:dyDescent="0.55000000000000004">
      <c r="BZ129" s="2860"/>
      <c r="CA129" s="2860"/>
      <c r="CB129" s="2860"/>
    </row>
    <row r="130" spans="78:80" x14ac:dyDescent="0.55000000000000004">
      <c r="BZ130" s="2860"/>
      <c r="CA130" s="2860"/>
      <c r="CB130" s="2860"/>
    </row>
    <row r="131" spans="78:80" x14ac:dyDescent="0.55000000000000004">
      <c r="BZ131" s="2860"/>
      <c r="CA131" s="2860"/>
      <c r="CB131" s="2860"/>
    </row>
    <row r="132" spans="78:80" x14ac:dyDescent="0.55000000000000004">
      <c r="BZ132" s="2860"/>
      <c r="CA132" s="2860"/>
      <c r="CB132" s="2860"/>
    </row>
    <row r="133" spans="78:80" x14ac:dyDescent="0.55000000000000004">
      <c r="BZ133" s="2860"/>
      <c r="CA133" s="2860"/>
      <c r="CB133" s="2860"/>
    </row>
    <row r="134" spans="78:80" x14ac:dyDescent="0.55000000000000004">
      <c r="BZ134" s="2860"/>
      <c r="CA134" s="2860"/>
      <c r="CB134" s="2860"/>
    </row>
    <row r="135" spans="78:80" x14ac:dyDescent="0.55000000000000004">
      <c r="BZ135" s="2860"/>
      <c r="CA135" s="2860"/>
      <c r="CB135" s="2860"/>
    </row>
    <row r="136" spans="78:80" x14ac:dyDescent="0.55000000000000004">
      <c r="BZ136" s="2860"/>
      <c r="CA136" s="2860"/>
      <c r="CB136" s="2860"/>
    </row>
    <row r="137" spans="78:80" x14ac:dyDescent="0.55000000000000004">
      <c r="BZ137" s="2860"/>
      <c r="CA137" s="2860"/>
      <c r="CB137" s="2860"/>
    </row>
    <row r="138" spans="78:80" x14ac:dyDescent="0.55000000000000004">
      <c r="BZ138" s="2860"/>
      <c r="CA138" s="2860"/>
      <c r="CB138" s="2860"/>
    </row>
    <row r="139" spans="78:80" x14ac:dyDescent="0.55000000000000004">
      <c r="BZ139" s="2860"/>
      <c r="CA139" s="2860"/>
      <c r="CB139" s="2860"/>
    </row>
    <row r="140" spans="78:80" x14ac:dyDescent="0.55000000000000004">
      <c r="BZ140" s="2860"/>
      <c r="CA140" s="2860"/>
      <c r="CB140" s="2860"/>
    </row>
    <row r="141" spans="78:80" x14ac:dyDescent="0.55000000000000004">
      <c r="BZ141" s="2860"/>
      <c r="CA141" s="2860"/>
      <c r="CB141" s="2860"/>
    </row>
    <row r="142" spans="78:80" x14ac:dyDescent="0.55000000000000004">
      <c r="BZ142" s="2860"/>
      <c r="CA142" s="2860"/>
      <c r="CB142" s="2860"/>
    </row>
    <row r="143" spans="78:80" x14ac:dyDescent="0.55000000000000004">
      <c r="BZ143" s="2860"/>
      <c r="CA143" s="2860"/>
      <c r="CB143" s="2860"/>
    </row>
    <row r="144" spans="78:80" x14ac:dyDescent="0.55000000000000004">
      <c r="BZ144" s="2860"/>
      <c r="CA144" s="2860"/>
      <c r="CB144" s="2860"/>
    </row>
    <row r="145" spans="78:80" x14ac:dyDescent="0.55000000000000004">
      <c r="BZ145" s="2860"/>
      <c r="CA145" s="2860"/>
      <c r="CB145" s="2860"/>
    </row>
    <row r="146" spans="78:80" x14ac:dyDescent="0.55000000000000004">
      <c r="BZ146" s="2860"/>
      <c r="CA146" s="2860"/>
      <c r="CB146" s="2860"/>
    </row>
    <row r="147" spans="78:80" x14ac:dyDescent="0.55000000000000004">
      <c r="BZ147" s="2860"/>
      <c r="CA147" s="2860"/>
      <c r="CB147" s="2860"/>
    </row>
    <row r="148" spans="78:80" x14ac:dyDescent="0.55000000000000004">
      <c r="BZ148" s="2860"/>
      <c r="CA148" s="2860"/>
      <c r="CB148" s="2860"/>
    </row>
    <row r="149" spans="78:80" x14ac:dyDescent="0.55000000000000004">
      <c r="BZ149" s="2860"/>
      <c r="CA149" s="2860"/>
      <c r="CB149" s="2860"/>
    </row>
    <row r="150" spans="78:80" x14ac:dyDescent="0.55000000000000004">
      <c r="BZ150" s="2860"/>
      <c r="CA150" s="2860"/>
      <c r="CB150" s="2860"/>
    </row>
    <row r="151" spans="78:80" x14ac:dyDescent="0.55000000000000004">
      <c r="BZ151" s="2860"/>
      <c r="CA151" s="2860"/>
      <c r="CB151" s="2860"/>
    </row>
    <row r="152" spans="78:80" x14ac:dyDescent="0.55000000000000004">
      <c r="BZ152" s="2860"/>
      <c r="CA152" s="2860"/>
      <c r="CB152" s="2860"/>
    </row>
    <row r="153" spans="78:80" x14ac:dyDescent="0.55000000000000004">
      <c r="BZ153" s="2860"/>
      <c r="CA153" s="2860"/>
      <c r="CB153" s="2860"/>
    </row>
    <row r="154" spans="78:80" x14ac:dyDescent="0.55000000000000004">
      <c r="BZ154" s="2860"/>
      <c r="CA154" s="2860"/>
      <c r="CB154" s="2860"/>
    </row>
    <row r="155" spans="78:80" x14ac:dyDescent="0.55000000000000004">
      <c r="BZ155" s="2860"/>
      <c r="CA155" s="2860"/>
      <c r="CB155" s="2860"/>
    </row>
    <row r="156" spans="78:80" x14ac:dyDescent="0.55000000000000004">
      <c r="BZ156" s="2860"/>
      <c r="CA156" s="2860"/>
      <c r="CB156" s="2860"/>
    </row>
    <row r="157" spans="78:80" x14ac:dyDescent="0.55000000000000004">
      <c r="BZ157" s="2860"/>
      <c r="CA157" s="2860"/>
      <c r="CB157" s="2860"/>
    </row>
    <row r="158" spans="78:80" x14ac:dyDescent="0.55000000000000004">
      <c r="BZ158" s="2860"/>
      <c r="CA158" s="2860"/>
      <c r="CB158" s="2860"/>
    </row>
    <row r="159" spans="78:80" x14ac:dyDescent="0.55000000000000004">
      <c r="BZ159" s="2860"/>
      <c r="CA159" s="2860"/>
      <c r="CB159" s="2860"/>
    </row>
    <row r="160" spans="78:80" x14ac:dyDescent="0.55000000000000004">
      <c r="BZ160" s="2860"/>
      <c r="CA160" s="2860"/>
      <c r="CB160" s="2860"/>
    </row>
    <row r="161" spans="78:81" x14ac:dyDescent="0.55000000000000004">
      <c r="BZ161" s="2860"/>
      <c r="CA161" s="2860"/>
      <c r="CB161" s="2860"/>
    </row>
    <row r="162" spans="78:81" x14ac:dyDescent="0.55000000000000004">
      <c r="BZ162" s="2860"/>
      <c r="CA162" s="2860"/>
      <c r="CB162" s="2860"/>
    </row>
    <row r="163" spans="78:81" x14ac:dyDescent="0.55000000000000004">
      <c r="BZ163" s="2860"/>
      <c r="CA163" s="2860"/>
      <c r="CB163" s="2860"/>
    </row>
    <row r="164" spans="78:81" x14ac:dyDescent="0.55000000000000004">
      <c r="BZ164" s="2860"/>
      <c r="CA164" s="2860"/>
      <c r="CB164" s="2860"/>
    </row>
    <row r="165" spans="78:81" x14ac:dyDescent="0.55000000000000004">
      <c r="BZ165" s="2860"/>
      <c r="CA165" s="2860"/>
      <c r="CB165" s="2860"/>
    </row>
    <row r="166" spans="78:81" x14ac:dyDescent="0.55000000000000004">
      <c r="BZ166" s="2860"/>
      <c r="CA166" s="2860"/>
      <c r="CB166" s="2860"/>
    </row>
    <row r="167" spans="78:81" x14ac:dyDescent="0.55000000000000004">
      <c r="BZ167" s="2860"/>
      <c r="CA167" s="2860"/>
      <c r="CB167" s="2860"/>
    </row>
    <row r="168" spans="78:81" x14ac:dyDescent="0.55000000000000004">
      <c r="BZ168" s="2860"/>
      <c r="CA168" s="2860"/>
      <c r="CB168" s="2860"/>
      <c r="CC168" s="698"/>
    </row>
    <row r="169" spans="78:81" x14ac:dyDescent="0.55000000000000004">
      <c r="BZ169" s="2860"/>
      <c r="CA169" s="2860"/>
      <c r="CB169" s="2860"/>
      <c r="CC169" s="698"/>
    </row>
    <row r="170" spans="78:81" x14ac:dyDescent="0.55000000000000004">
      <c r="BZ170" s="2860"/>
      <c r="CA170" s="2860"/>
      <c r="CB170" s="2860"/>
    </row>
    <row r="171" spans="78:81" x14ac:dyDescent="0.55000000000000004">
      <c r="BZ171" s="2860"/>
      <c r="CA171" s="2860"/>
      <c r="CB171" s="2860"/>
    </row>
    <row r="172" spans="78:81" x14ac:dyDescent="0.55000000000000004">
      <c r="BZ172" s="2860"/>
      <c r="CA172" s="2860"/>
      <c r="CB172" s="2860"/>
    </row>
    <row r="173" spans="78:81" x14ac:dyDescent="0.55000000000000004">
      <c r="BZ173" s="2860"/>
      <c r="CA173" s="2860"/>
      <c r="CB173" s="2860"/>
    </row>
    <row r="174" spans="78:81" x14ac:dyDescent="0.55000000000000004">
      <c r="BZ174" s="2860"/>
      <c r="CA174" s="2860"/>
      <c r="CB174" s="2860"/>
    </row>
    <row r="175" spans="78:81" x14ac:dyDescent="0.55000000000000004">
      <c r="BZ175" s="2860"/>
      <c r="CA175" s="2860"/>
      <c r="CB175" s="2860"/>
    </row>
    <row r="176" spans="78:81" x14ac:dyDescent="0.55000000000000004">
      <c r="BZ176" s="2860"/>
      <c r="CA176" s="2860"/>
      <c r="CB176" s="2860"/>
    </row>
    <row r="177" spans="78:80" x14ac:dyDescent="0.55000000000000004">
      <c r="BZ177" s="2860"/>
      <c r="CA177" s="2860"/>
      <c r="CB177" s="2860"/>
    </row>
    <row r="178" spans="78:80" x14ac:dyDescent="0.55000000000000004">
      <c r="BZ178" s="2860"/>
      <c r="CA178" s="2860"/>
      <c r="CB178" s="2860"/>
    </row>
    <row r="179" spans="78:80" x14ac:dyDescent="0.55000000000000004">
      <c r="BZ179" s="2860"/>
      <c r="CA179" s="2860"/>
      <c r="CB179" s="2860"/>
    </row>
    <row r="180" spans="78:80" x14ac:dyDescent="0.55000000000000004">
      <c r="BZ180" s="2860"/>
      <c r="CA180" s="2860"/>
      <c r="CB180" s="2860"/>
    </row>
    <row r="181" spans="78:80" x14ac:dyDescent="0.55000000000000004">
      <c r="BZ181" s="2860"/>
      <c r="CA181" s="2860"/>
      <c r="CB181" s="2860"/>
    </row>
    <row r="182" spans="78:80" x14ac:dyDescent="0.55000000000000004">
      <c r="BZ182" s="2860"/>
      <c r="CA182" s="2860"/>
      <c r="CB182" s="2860"/>
    </row>
    <row r="183" spans="78:80" x14ac:dyDescent="0.55000000000000004">
      <c r="BZ183" s="2860"/>
      <c r="CA183" s="2860"/>
      <c r="CB183" s="2860"/>
    </row>
    <row r="184" spans="78:80" x14ac:dyDescent="0.55000000000000004">
      <c r="BZ184" s="2860"/>
      <c r="CA184" s="2860"/>
      <c r="CB184" s="2860"/>
    </row>
    <row r="185" spans="78:80" x14ac:dyDescent="0.55000000000000004">
      <c r="BZ185" s="2860"/>
      <c r="CA185" s="2860"/>
      <c r="CB185" s="2860"/>
    </row>
    <row r="186" spans="78:80" x14ac:dyDescent="0.55000000000000004">
      <c r="BZ186" s="2860"/>
      <c r="CA186" s="2860"/>
      <c r="CB186" s="2860"/>
    </row>
    <row r="187" spans="78:80" x14ac:dyDescent="0.55000000000000004">
      <c r="BZ187" s="2860"/>
      <c r="CA187" s="2860"/>
      <c r="CB187" s="2860"/>
    </row>
    <row r="188" spans="78:80" x14ac:dyDescent="0.55000000000000004">
      <c r="BZ188" s="2860"/>
      <c r="CA188" s="2860"/>
      <c r="CB188" s="2860"/>
    </row>
    <row r="189" spans="78:80" x14ac:dyDescent="0.55000000000000004">
      <c r="BZ189" s="2860"/>
      <c r="CA189" s="2860"/>
      <c r="CB189" s="2860"/>
    </row>
    <row r="190" spans="78:80" x14ac:dyDescent="0.55000000000000004">
      <c r="BZ190" s="2860"/>
      <c r="CA190" s="2860"/>
      <c r="CB190" s="2860"/>
    </row>
    <row r="191" spans="78:80" x14ac:dyDescent="0.55000000000000004">
      <c r="BZ191" s="2860"/>
      <c r="CA191" s="2860"/>
      <c r="CB191" s="2860"/>
    </row>
    <row r="192" spans="78:80" x14ac:dyDescent="0.55000000000000004">
      <c r="BZ192" s="2860"/>
      <c r="CA192" s="2860"/>
      <c r="CB192" s="2860"/>
    </row>
    <row r="193" spans="78:80" x14ac:dyDescent="0.55000000000000004">
      <c r="BZ193" s="2860"/>
      <c r="CA193" s="2860"/>
      <c r="CB193" s="2860"/>
    </row>
    <row r="194" spans="78:80" x14ac:dyDescent="0.55000000000000004">
      <c r="BZ194" s="2860"/>
      <c r="CA194" s="2860"/>
      <c r="CB194" s="2860"/>
    </row>
    <row r="195" spans="78:80" x14ac:dyDescent="0.55000000000000004">
      <c r="BZ195" s="2860"/>
      <c r="CA195" s="2860"/>
      <c r="CB195" s="2860"/>
    </row>
    <row r="196" spans="78:80" x14ac:dyDescent="0.55000000000000004">
      <c r="BZ196" s="2860"/>
      <c r="CA196" s="2860"/>
      <c r="CB196" s="2860"/>
    </row>
    <row r="197" spans="78:80" x14ac:dyDescent="0.55000000000000004">
      <c r="BZ197" s="2860"/>
      <c r="CA197" s="2860"/>
      <c r="CB197" s="2860"/>
    </row>
    <row r="198" spans="78:80" x14ac:dyDescent="0.55000000000000004">
      <c r="BZ198" s="2860"/>
      <c r="CA198" s="2860"/>
      <c r="CB198" s="2860"/>
    </row>
    <row r="199" spans="78:80" x14ac:dyDescent="0.55000000000000004">
      <c r="BZ199" s="2860"/>
      <c r="CA199" s="2860"/>
      <c r="CB199" s="2860"/>
    </row>
    <row r="200" spans="78:80" x14ac:dyDescent="0.55000000000000004">
      <c r="BZ200" s="2860"/>
      <c r="CA200" s="2860"/>
      <c r="CB200" s="2860"/>
    </row>
    <row r="201" spans="78:80" x14ac:dyDescent="0.55000000000000004">
      <c r="BZ201" s="2860"/>
      <c r="CA201" s="2860"/>
      <c r="CB201" s="2860"/>
    </row>
    <row r="202" spans="78:80" x14ac:dyDescent="0.55000000000000004">
      <c r="BZ202" s="2860"/>
      <c r="CA202" s="2860"/>
      <c r="CB202" s="2860"/>
    </row>
    <row r="203" spans="78:80" x14ac:dyDescent="0.55000000000000004">
      <c r="BZ203" s="2860"/>
      <c r="CA203" s="2860"/>
      <c r="CB203" s="2860"/>
    </row>
    <row r="204" spans="78:80" x14ac:dyDescent="0.55000000000000004">
      <c r="BZ204" s="2860"/>
      <c r="CA204" s="2860"/>
      <c r="CB204" s="2860"/>
    </row>
    <row r="205" spans="78:80" x14ac:dyDescent="0.55000000000000004">
      <c r="BZ205" s="2860"/>
      <c r="CA205" s="2860"/>
      <c r="CB205" s="2860"/>
    </row>
    <row r="206" spans="78:80" x14ac:dyDescent="0.55000000000000004">
      <c r="BZ206" s="2860"/>
      <c r="CA206" s="2860"/>
      <c r="CB206" s="2860"/>
    </row>
    <row r="207" spans="78:80" x14ac:dyDescent="0.55000000000000004">
      <c r="BZ207" s="2860"/>
      <c r="CA207" s="2860"/>
      <c r="CB207" s="2860"/>
    </row>
    <row r="208" spans="78:80" x14ac:dyDescent="0.55000000000000004">
      <c r="BZ208" s="2860"/>
      <c r="CA208" s="2860"/>
      <c r="CB208" s="2860"/>
    </row>
    <row r="209" spans="78:80" x14ac:dyDescent="0.55000000000000004">
      <c r="BZ209" s="2860"/>
      <c r="CA209" s="2860"/>
      <c r="CB209" s="2860"/>
    </row>
    <row r="210" spans="78:80" x14ac:dyDescent="0.55000000000000004">
      <c r="BZ210" s="2860"/>
      <c r="CA210" s="2860"/>
      <c r="CB210" s="2860"/>
    </row>
    <row r="211" spans="78:80" x14ac:dyDescent="0.55000000000000004">
      <c r="BZ211" s="2860"/>
      <c r="CA211" s="2860"/>
      <c r="CB211" s="2860"/>
    </row>
    <row r="212" spans="78:80" x14ac:dyDescent="0.55000000000000004">
      <c r="BZ212" s="2860"/>
      <c r="CA212" s="2860"/>
      <c r="CB212" s="2860"/>
    </row>
    <row r="213" spans="78:80" x14ac:dyDescent="0.55000000000000004">
      <c r="BZ213" s="2860"/>
      <c r="CA213" s="2860"/>
      <c r="CB213" s="2860"/>
    </row>
    <row r="214" spans="78:80" x14ac:dyDescent="0.55000000000000004">
      <c r="BZ214" s="2860"/>
      <c r="CA214" s="2860"/>
      <c r="CB214" s="2860"/>
    </row>
    <row r="215" spans="78:80" x14ac:dyDescent="0.55000000000000004">
      <c r="BZ215" s="2860"/>
      <c r="CA215" s="2860"/>
      <c r="CB215" s="2860"/>
    </row>
    <row r="216" spans="78:80" x14ac:dyDescent="0.55000000000000004">
      <c r="BZ216" s="2860"/>
      <c r="CA216" s="2860"/>
      <c r="CB216" s="2860"/>
    </row>
    <row r="217" spans="78:80" x14ac:dyDescent="0.55000000000000004">
      <c r="BZ217" s="2860"/>
      <c r="CA217" s="2860"/>
      <c r="CB217" s="2860"/>
    </row>
    <row r="218" spans="78:80" x14ac:dyDescent="0.55000000000000004">
      <c r="BZ218" s="2860"/>
      <c r="CA218" s="2860"/>
      <c r="CB218" s="2860"/>
    </row>
    <row r="219" spans="78:80" x14ac:dyDescent="0.55000000000000004">
      <c r="BZ219" s="2860"/>
      <c r="CA219" s="2860"/>
      <c r="CB219" s="2860"/>
    </row>
    <row r="220" spans="78:80" x14ac:dyDescent="0.55000000000000004">
      <c r="BZ220" s="2860"/>
      <c r="CA220" s="2860"/>
      <c r="CB220" s="2860"/>
    </row>
    <row r="221" spans="78:80" x14ac:dyDescent="0.55000000000000004">
      <c r="BZ221" s="2860"/>
      <c r="CA221" s="2860"/>
      <c r="CB221" s="2860"/>
    </row>
    <row r="222" spans="78:80" x14ac:dyDescent="0.55000000000000004">
      <c r="BZ222" s="2860"/>
      <c r="CA222" s="2860"/>
      <c r="CB222" s="2860"/>
    </row>
    <row r="223" spans="78:80" x14ac:dyDescent="0.55000000000000004">
      <c r="BZ223" s="2860"/>
      <c r="CA223" s="2860"/>
      <c r="CB223" s="2860"/>
    </row>
    <row r="224" spans="78:80" x14ac:dyDescent="0.55000000000000004">
      <c r="BZ224" s="2860"/>
      <c r="CA224" s="2860"/>
      <c r="CB224" s="2860"/>
    </row>
    <row r="225" spans="78:80" x14ac:dyDescent="0.55000000000000004">
      <c r="BZ225" s="2860"/>
      <c r="CA225" s="2860"/>
      <c r="CB225" s="2860"/>
    </row>
    <row r="226" spans="78:80" x14ac:dyDescent="0.55000000000000004">
      <c r="BZ226" s="2860"/>
      <c r="CA226" s="2860"/>
      <c r="CB226" s="2860"/>
    </row>
    <row r="227" spans="78:80" x14ac:dyDescent="0.55000000000000004">
      <c r="BZ227" s="2860"/>
      <c r="CA227" s="2860"/>
      <c r="CB227" s="2860"/>
    </row>
    <row r="228" spans="78:80" x14ac:dyDescent="0.55000000000000004">
      <c r="BZ228" s="2860"/>
      <c r="CA228" s="2860"/>
      <c r="CB228" s="2860"/>
    </row>
    <row r="229" spans="78:80" x14ac:dyDescent="0.55000000000000004">
      <c r="BZ229" s="2860"/>
      <c r="CA229" s="2860"/>
      <c r="CB229" s="2860"/>
    </row>
    <row r="230" spans="78:80" x14ac:dyDescent="0.55000000000000004">
      <c r="BZ230" s="2860"/>
      <c r="CA230" s="2860"/>
      <c r="CB230" s="2860"/>
    </row>
    <row r="231" spans="78:80" x14ac:dyDescent="0.55000000000000004">
      <c r="BZ231" s="2860"/>
      <c r="CA231" s="2860"/>
      <c r="CB231" s="2860"/>
    </row>
    <row r="232" spans="78:80" x14ac:dyDescent="0.55000000000000004">
      <c r="BZ232" s="2860"/>
      <c r="CA232" s="2860"/>
      <c r="CB232" s="2860"/>
    </row>
    <row r="233" spans="78:80" x14ac:dyDescent="0.55000000000000004">
      <c r="BZ233" s="2860"/>
      <c r="CA233" s="2860"/>
      <c r="CB233" s="2860"/>
    </row>
    <row r="234" spans="78:80" x14ac:dyDescent="0.55000000000000004">
      <c r="BZ234" s="2860"/>
      <c r="CA234" s="2860"/>
      <c r="CB234" s="2860"/>
    </row>
    <row r="235" spans="78:80" x14ac:dyDescent="0.55000000000000004">
      <c r="BZ235" s="2860"/>
      <c r="CA235" s="2860"/>
      <c r="CB235" s="2860"/>
    </row>
    <row r="236" spans="78:80" x14ac:dyDescent="0.55000000000000004">
      <c r="BZ236" s="2860"/>
      <c r="CA236" s="2860"/>
      <c r="CB236" s="2860"/>
    </row>
    <row r="237" spans="78:80" x14ac:dyDescent="0.55000000000000004">
      <c r="BZ237" s="2860"/>
      <c r="CA237" s="2860"/>
      <c r="CB237" s="2860"/>
    </row>
    <row r="238" spans="78:80" x14ac:dyDescent="0.55000000000000004">
      <c r="BZ238" s="2860"/>
      <c r="CA238" s="2860"/>
      <c r="CB238" s="2860"/>
    </row>
    <row r="239" spans="78:80" x14ac:dyDescent="0.55000000000000004">
      <c r="BZ239" s="2860"/>
      <c r="CA239" s="2860"/>
      <c r="CB239" s="2860"/>
    </row>
    <row r="240" spans="78:80" x14ac:dyDescent="0.55000000000000004">
      <c r="BZ240" s="2860"/>
      <c r="CA240" s="2860"/>
      <c r="CB240" s="2860"/>
    </row>
    <row r="241" spans="78:80" x14ac:dyDescent="0.55000000000000004">
      <c r="BZ241" s="2860"/>
      <c r="CA241" s="2860"/>
      <c r="CB241" s="2860"/>
    </row>
    <row r="242" spans="78:80" x14ac:dyDescent="0.55000000000000004">
      <c r="BZ242" s="2860"/>
      <c r="CA242" s="2860"/>
      <c r="CB242" s="2860"/>
    </row>
    <row r="243" spans="78:80" x14ac:dyDescent="0.55000000000000004">
      <c r="BZ243" s="2860"/>
      <c r="CA243" s="2860"/>
      <c r="CB243" s="2860"/>
    </row>
    <row r="244" spans="78:80" x14ac:dyDescent="0.55000000000000004">
      <c r="BZ244" s="2860"/>
      <c r="CA244" s="2860"/>
      <c r="CB244" s="2860"/>
    </row>
    <row r="245" spans="78:80" x14ac:dyDescent="0.55000000000000004">
      <c r="BZ245" s="2860"/>
      <c r="CA245" s="2860"/>
      <c r="CB245" s="2860"/>
    </row>
    <row r="246" spans="78:80" x14ac:dyDescent="0.55000000000000004">
      <c r="BZ246" s="2860"/>
      <c r="CA246" s="2860"/>
      <c r="CB246" s="2860"/>
    </row>
    <row r="247" spans="78:80" x14ac:dyDescent="0.55000000000000004">
      <c r="BZ247" s="2860"/>
      <c r="CA247" s="2860"/>
      <c r="CB247" s="2860"/>
    </row>
    <row r="248" spans="78:80" x14ac:dyDescent="0.55000000000000004">
      <c r="BZ248" s="2860"/>
      <c r="CA248" s="2860"/>
      <c r="CB248" s="2860"/>
    </row>
    <row r="249" spans="78:80" x14ac:dyDescent="0.55000000000000004">
      <c r="BZ249" s="2860"/>
      <c r="CA249" s="2860"/>
      <c r="CB249" s="2860"/>
    </row>
    <row r="250" spans="78:80" x14ac:dyDescent="0.55000000000000004">
      <c r="BZ250" s="2860"/>
      <c r="CA250" s="2860"/>
      <c r="CB250" s="2860"/>
    </row>
    <row r="251" spans="78:80" x14ac:dyDescent="0.55000000000000004">
      <c r="BZ251" s="2860"/>
      <c r="CA251" s="2860"/>
      <c r="CB251" s="2860"/>
    </row>
    <row r="252" spans="78:80" x14ac:dyDescent="0.55000000000000004">
      <c r="BZ252" s="2860"/>
      <c r="CA252" s="2860"/>
      <c r="CB252" s="2860"/>
    </row>
    <row r="253" spans="78:80" x14ac:dyDescent="0.55000000000000004">
      <c r="BZ253" s="2860"/>
      <c r="CA253" s="2860"/>
      <c r="CB253" s="2860"/>
    </row>
    <row r="254" spans="78:80" x14ac:dyDescent="0.55000000000000004">
      <c r="BZ254" s="2860"/>
      <c r="CA254" s="2860"/>
      <c r="CB254" s="2860"/>
    </row>
    <row r="255" spans="78:80" x14ac:dyDescent="0.55000000000000004">
      <c r="BZ255" s="2860"/>
      <c r="CA255" s="2860"/>
      <c r="CB255" s="2860"/>
    </row>
    <row r="256" spans="78:80" x14ac:dyDescent="0.55000000000000004">
      <c r="BZ256" s="2860"/>
      <c r="CA256" s="2860"/>
      <c r="CB256" s="2860"/>
    </row>
    <row r="257" spans="78:80" x14ac:dyDescent="0.55000000000000004">
      <c r="BZ257" s="2860"/>
      <c r="CA257" s="2860"/>
      <c r="CB257" s="2860"/>
    </row>
    <row r="258" spans="78:80" x14ac:dyDescent="0.55000000000000004">
      <c r="BZ258" s="2860"/>
      <c r="CA258" s="2860"/>
      <c r="CB258" s="2860"/>
    </row>
    <row r="259" spans="78:80" x14ac:dyDescent="0.55000000000000004">
      <c r="BZ259" s="2860"/>
      <c r="CA259" s="2860"/>
      <c r="CB259" s="2860"/>
    </row>
    <row r="260" spans="78:80" x14ac:dyDescent="0.55000000000000004">
      <c r="BZ260" s="2860"/>
      <c r="CA260" s="2860"/>
      <c r="CB260" s="2860"/>
    </row>
    <row r="261" spans="78:80" x14ac:dyDescent="0.55000000000000004">
      <c r="BZ261" s="2860"/>
      <c r="CA261" s="2860"/>
      <c r="CB261" s="2860"/>
    </row>
    <row r="262" spans="78:80" x14ac:dyDescent="0.55000000000000004">
      <c r="BZ262" s="2860"/>
      <c r="CA262" s="2860"/>
      <c r="CB262" s="2860"/>
    </row>
    <row r="263" spans="78:80" x14ac:dyDescent="0.55000000000000004">
      <c r="BZ263" s="2860"/>
      <c r="CA263" s="2860"/>
      <c r="CB263" s="2860"/>
    </row>
    <row r="264" spans="78:80" x14ac:dyDescent="0.55000000000000004">
      <c r="BZ264" s="2860"/>
      <c r="CA264" s="2860"/>
      <c r="CB264" s="2860"/>
    </row>
    <row r="265" spans="78:80" x14ac:dyDescent="0.55000000000000004">
      <c r="BZ265" s="2860"/>
      <c r="CA265" s="2860"/>
      <c r="CB265" s="2860"/>
    </row>
    <row r="266" spans="78:80" x14ac:dyDescent="0.55000000000000004">
      <c r="BZ266" s="2860"/>
      <c r="CA266" s="2860"/>
      <c r="CB266" s="2860"/>
    </row>
    <row r="267" spans="78:80" x14ac:dyDescent="0.55000000000000004">
      <c r="BZ267" s="2860"/>
      <c r="CA267" s="2860"/>
      <c r="CB267" s="2860"/>
    </row>
    <row r="268" spans="78:80" x14ac:dyDescent="0.55000000000000004">
      <c r="BZ268" s="2860"/>
      <c r="CA268" s="2860"/>
      <c r="CB268" s="2860"/>
    </row>
    <row r="269" spans="78:80" x14ac:dyDescent="0.55000000000000004">
      <c r="BZ269" s="2860"/>
      <c r="CA269" s="2860"/>
      <c r="CB269" s="2860"/>
    </row>
    <row r="270" spans="78:80" x14ac:dyDescent="0.55000000000000004">
      <c r="BZ270" s="2860"/>
      <c r="CA270" s="2860"/>
      <c r="CB270" s="2860"/>
    </row>
    <row r="271" spans="78:80" x14ac:dyDescent="0.55000000000000004">
      <c r="BZ271" s="2860"/>
      <c r="CA271" s="2860"/>
      <c r="CB271" s="2860"/>
    </row>
    <row r="272" spans="78:80" x14ac:dyDescent="0.55000000000000004">
      <c r="BZ272" s="2860"/>
      <c r="CA272" s="2860"/>
      <c r="CB272" s="2860"/>
    </row>
    <row r="273" spans="78:80" x14ac:dyDescent="0.55000000000000004">
      <c r="BZ273" s="2860"/>
      <c r="CA273" s="2860"/>
      <c r="CB273" s="2860"/>
    </row>
    <row r="274" spans="78:80" x14ac:dyDescent="0.55000000000000004">
      <c r="BZ274" s="2860"/>
      <c r="CA274" s="2860"/>
      <c r="CB274" s="2860"/>
    </row>
    <row r="275" spans="78:80" x14ac:dyDescent="0.55000000000000004">
      <c r="BZ275" s="2860"/>
      <c r="CA275" s="2860"/>
      <c r="CB275" s="2860"/>
    </row>
    <row r="276" spans="78:80" x14ac:dyDescent="0.55000000000000004">
      <c r="BZ276" s="2860"/>
      <c r="CA276" s="2860"/>
      <c r="CB276" s="2860"/>
    </row>
    <row r="277" spans="78:80" x14ac:dyDescent="0.55000000000000004">
      <c r="BZ277" s="2860"/>
      <c r="CA277" s="2860"/>
      <c r="CB277" s="2860"/>
    </row>
    <row r="278" spans="78:80" x14ac:dyDescent="0.55000000000000004">
      <c r="BZ278" s="2860"/>
      <c r="CA278" s="2860"/>
      <c r="CB278" s="2860"/>
    </row>
    <row r="279" spans="78:80" x14ac:dyDescent="0.55000000000000004">
      <c r="BZ279" s="2860"/>
      <c r="CA279" s="2860"/>
      <c r="CB279" s="2860"/>
    </row>
    <row r="280" spans="78:80" x14ac:dyDescent="0.55000000000000004">
      <c r="BZ280" s="2860"/>
      <c r="CA280" s="2860"/>
      <c r="CB280" s="2860"/>
    </row>
    <row r="281" spans="78:80" x14ac:dyDescent="0.55000000000000004">
      <c r="BZ281" s="2860"/>
      <c r="CA281" s="2860"/>
      <c r="CB281" s="2860"/>
    </row>
    <row r="282" spans="78:80" x14ac:dyDescent="0.55000000000000004">
      <c r="BZ282" s="2860"/>
      <c r="CA282" s="2860"/>
      <c r="CB282" s="2860"/>
    </row>
    <row r="283" spans="78:80" x14ac:dyDescent="0.55000000000000004">
      <c r="BZ283" s="2860"/>
      <c r="CA283" s="2860"/>
      <c r="CB283" s="2860"/>
    </row>
    <row r="284" spans="78:80" x14ac:dyDescent="0.55000000000000004">
      <c r="BZ284" s="2860"/>
      <c r="CA284" s="2860"/>
      <c r="CB284" s="2860"/>
    </row>
    <row r="285" spans="78:80" x14ac:dyDescent="0.55000000000000004">
      <c r="BZ285" s="2860"/>
      <c r="CA285" s="2860"/>
      <c r="CB285" s="2860"/>
    </row>
    <row r="286" spans="78:80" x14ac:dyDescent="0.55000000000000004">
      <c r="BZ286" s="2860"/>
      <c r="CA286" s="2860"/>
      <c r="CB286" s="2860"/>
    </row>
    <row r="287" spans="78:80" x14ac:dyDescent="0.55000000000000004">
      <c r="BZ287" s="2860"/>
      <c r="CA287" s="2860"/>
      <c r="CB287" s="2860"/>
    </row>
    <row r="288" spans="78:80" x14ac:dyDescent="0.55000000000000004">
      <c r="BZ288" s="2860"/>
      <c r="CA288" s="2860"/>
      <c r="CB288" s="2860"/>
    </row>
    <row r="289" spans="78:80" x14ac:dyDescent="0.55000000000000004">
      <c r="BZ289" s="2860"/>
      <c r="CA289" s="2860"/>
      <c r="CB289" s="2860"/>
    </row>
    <row r="290" spans="78:80" x14ac:dyDescent="0.55000000000000004">
      <c r="BZ290" s="2860"/>
      <c r="CA290" s="2860"/>
      <c r="CB290" s="2860"/>
    </row>
    <row r="291" spans="78:80" x14ac:dyDescent="0.55000000000000004">
      <c r="BZ291" s="2860"/>
      <c r="CA291" s="2860"/>
      <c r="CB291" s="2860"/>
    </row>
    <row r="292" spans="78:80" x14ac:dyDescent="0.55000000000000004">
      <c r="BZ292" s="2860"/>
      <c r="CA292" s="2860"/>
      <c r="CB292" s="2860"/>
    </row>
    <row r="293" spans="78:80" x14ac:dyDescent="0.55000000000000004">
      <c r="BZ293" s="2860"/>
      <c r="CA293" s="2860"/>
      <c r="CB293" s="2860"/>
    </row>
    <row r="294" spans="78:80" x14ac:dyDescent="0.55000000000000004">
      <c r="BZ294" s="2860"/>
      <c r="CA294" s="2860"/>
      <c r="CB294" s="2860"/>
    </row>
    <row r="295" spans="78:80" x14ac:dyDescent="0.55000000000000004">
      <c r="BZ295" s="2860"/>
      <c r="CA295" s="2860"/>
      <c r="CB295" s="2860"/>
    </row>
    <row r="296" spans="78:80" x14ac:dyDescent="0.55000000000000004">
      <c r="BZ296" s="2860"/>
      <c r="CA296" s="2860"/>
      <c r="CB296" s="2860"/>
    </row>
    <row r="297" spans="78:80" x14ac:dyDescent="0.55000000000000004">
      <c r="BZ297" s="2860"/>
      <c r="CA297" s="2860"/>
      <c r="CB297" s="2860"/>
    </row>
    <row r="298" spans="78:80" x14ac:dyDescent="0.55000000000000004">
      <c r="BZ298" s="2860"/>
      <c r="CA298" s="2860"/>
      <c r="CB298" s="2860"/>
    </row>
    <row r="299" spans="78:80" x14ac:dyDescent="0.55000000000000004">
      <c r="BZ299" s="2860"/>
      <c r="CA299" s="2860"/>
      <c r="CB299" s="2860"/>
    </row>
    <row r="300" spans="78:80" x14ac:dyDescent="0.55000000000000004">
      <c r="BZ300" s="2860"/>
      <c r="CA300" s="2860"/>
      <c r="CB300" s="2860"/>
    </row>
    <row r="301" spans="78:80" x14ac:dyDescent="0.55000000000000004">
      <c r="BZ301" s="2860"/>
      <c r="CA301" s="2860"/>
      <c r="CB301" s="2860"/>
    </row>
    <row r="302" spans="78:80" x14ac:dyDescent="0.55000000000000004">
      <c r="BZ302" s="2860"/>
      <c r="CA302" s="2860"/>
      <c r="CB302" s="2860"/>
    </row>
    <row r="303" spans="78:80" x14ac:dyDescent="0.55000000000000004">
      <c r="BZ303" s="2860"/>
      <c r="CA303" s="2860"/>
      <c r="CB303" s="2860"/>
    </row>
    <row r="304" spans="78:80" x14ac:dyDescent="0.55000000000000004">
      <c r="BZ304" s="2860"/>
      <c r="CA304" s="2860"/>
      <c r="CB304" s="2860"/>
    </row>
    <row r="305" spans="78:81" x14ac:dyDescent="0.55000000000000004">
      <c r="BZ305" s="2860"/>
      <c r="CA305" s="2860"/>
      <c r="CB305" s="2860"/>
    </row>
    <row r="306" spans="78:81" x14ac:dyDescent="0.55000000000000004">
      <c r="BZ306" s="2860"/>
      <c r="CA306" s="2860"/>
      <c r="CB306" s="2860"/>
    </row>
    <row r="307" spans="78:81" x14ac:dyDescent="0.55000000000000004">
      <c r="BZ307" s="2860"/>
      <c r="CA307" s="2860"/>
      <c r="CB307" s="2860"/>
    </row>
    <row r="308" spans="78:81" x14ac:dyDescent="0.55000000000000004">
      <c r="BZ308" s="2860"/>
      <c r="CA308" s="2860"/>
      <c r="CB308" s="2860"/>
    </row>
    <row r="309" spans="78:81" x14ac:dyDescent="0.55000000000000004">
      <c r="BZ309" s="2860"/>
      <c r="CA309" s="2860"/>
      <c r="CB309" s="2860"/>
    </row>
    <row r="310" spans="78:81" x14ac:dyDescent="0.55000000000000004">
      <c r="BZ310" s="2860"/>
      <c r="CA310" s="2860"/>
      <c r="CB310" s="2860"/>
    </row>
    <row r="311" spans="78:81" x14ac:dyDescent="0.55000000000000004">
      <c r="BZ311" s="2860"/>
      <c r="CA311" s="2860"/>
      <c r="CB311" s="2860"/>
    </row>
    <row r="312" spans="78:81" x14ac:dyDescent="0.55000000000000004">
      <c r="BZ312" s="2860"/>
      <c r="CA312" s="2860"/>
      <c r="CB312" s="2860"/>
    </row>
    <row r="313" spans="78:81" x14ac:dyDescent="0.55000000000000004">
      <c r="BZ313" s="2860"/>
      <c r="CA313" s="2860"/>
      <c r="CB313" s="2860"/>
    </row>
    <row r="314" spans="78:81" x14ac:dyDescent="0.55000000000000004">
      <c r="BZ314" s="2860"/>
      <c r="CA314" s="2860"/>
      <c r="CB314" s="2860"/>
    </row>
    <row r="315" spans="78:81" x14ac:dyDescent="0.55000000000000004">
      <c r="BZ315" s="2860"/>
      <c r="CA315" s="2860"/>
      <c r="CB315" s="2860"/>
    </row>
    <row r="316" spans="78:81" x14ac:dyDescent="0.55000000000000004">
      <c r="BZ316" s="2860"/>
      <c r="CA316" s="2860"/>
      <c r="CB316" s="2860"/>
    </row>
    <row r="317" spans="78:81" x14ac:dyDescent="0.55000000000000004">
      <c r="BZ317" s="2860"/>
      <c r="CA317" s="2860"/>
      <c r="CB317" s="2860"/>
      <c r="CC317" s="2977"/>
    </row>
    <row r="318" spans="78:81" ht="15.45" thickBot="1" x14ac:dyDescent="0.6">
      <c r="BZ318" s="2860"/>
      <c r="CA318" s="2860"/>
      <c r="CB318" s="2860"/>
      <c r="CC318" s="887"/>
    </row>
    <row r="319" spans="78:81" ht="16.3" x14ac:dyDescent="0.55000000000000004">
      <c r="BZ319" s="2860"/>
      <c r="CA319" s="2860"/>
      <c r="CB319" s="2860"/>
      <c r="CC319" s="2855" t="s">
        <v>9</v>
      </c>
    </row>
    <row r="320" spans="78:81" x14ac:dyDescent="0.55000000000000004">
      <c r="BZ320" s="2860"/>
      <c r="CA320" s="2860"/>
      <c r="CB320" s="2860"/>
      <c r="CC320" s="2978" t="e">
        <f>#REF!/AU320</f>
        <v>#REF!</v>
      </c>
    </row>
    <row r="321" spans="78:81" x14ac:dyDescent="0.55000000000000004">
      <c r="BZ321" s="2860"/>
      <c r="CA321" s="2860"/>
      <c r="CB321" s="2860"/>
      <c r="CC321" s="2978" t="e">
        <f>#REF!/AU321</f>
        <v>#REF!</v>
      </c>
    </row>
    <row r="322" spans="78:81" x14ac:dyDescent="0.55000000000000004">
      <c r="BZ322" s="2860"/>
      <c r="CA322" s="2860"/>
      <c r="CB322" s="2860"/>
      <c r="CC322" s="2978" t="e">
        <f>#REF!/AU322</f>
        <v>#REF!</v>
      </c>
    </row>
    <row r="323" spans="78:81" x14ac:dyDescent="0.55000000000000004">
      <c r="BZ323" s="2860"/>
      <c r="CA323" s="2860"/>
      <c r="CB323" s="2860"/>
      <c r="CC323" s="2978" t="e">
        <f>#REF!/AU323</f>
        <v>#REF!</v>
      </c>
    </row>
    <row r="324" spans="78:81" x14ac:dyDescent="0.55000000000000004">
      <c r="BZ324" s="2860"/>
      <c r="CA324" s="2860"/>
      <c r="CB324" s="2860"/>
      <c r="CC324" s="2978" t="e">
        <f>#REF!/AU324</f>
        <v>#REF!</v>
      </c>
    </row>
    <row r="325" spans="78:81" x14ac:dyDescent="0.55000000000000004">
      <c r="BZ325" s="2860"/>
      <c r="CA325" s="2860"/>
      <c r="CB325" s="2860"/>
      <c r="CC325" s="2978" t="e">
        <f>#REF!/AU325</f>
        <v>#REF!</v>
      </c>
    </row>
    <row r="326" spans="78:81" x14ac:dyDescent="0.55000000000000004">
      <c r="BZ326" s="2860"/>
      <c r="CA326" s="2860"/>
      <c r="CB326" s="2860"/>
      <c r="CC326" s="2978" t="e">
        <f>#REF!/AU326</f>
        <v>#REF!</v>
      </c>
    </row>
    <row r="327" spans="78:81" x14ac:dyDescent="0.55000000000000004">
      <c r="BZ327" s="2860"/>
      <c r="CA327" s="2860"/>
      <c r="CB327" s="2860"/>
      <c r="CC327" s="2978" t="e">
        <f>#REF!/AU327</f>
        <v>#REF!</v>
      </c>
    </row>
    <row r="328" spans="78:81" x14ac:dyDescent="0.55000000000000004">
      <c r="BZ328" s="2860"/>
      <c r="CA328" s="2860"/>
      <c r="CB328" s="2860"/>
      <c r="CC328" s="2978" t="e">
        <f>#REF!/AU328</f>
        <v>#REF!</v>
      </c>
    </row>
    <row r="329" spans="78:81" x14ac:dyDescent="0.55000000000000004">
      <c r="BZ329" s="2860"/>
      <c r="CA329" s="2860"/>
      <c r="CB329" s="2860"/>
      <c r="CC329" s="2978" t="e">
        <f>#REF!/AU329</f>
        <v>#REF!</v>
      </c>
    </row>
    <row r="330" spans="78:81" x14ac:dyDescent="0.55000000000000004">
      <c r="BZ330" s="2860"/>
      <c r="CA330" s="2860"/>
      <c r="CB330" s="2860"/>
      <c r="CC330" s="2978" t="e">
        <f>#REF!/AU330</f>
        <v>#REF!</v>
      </c>
    </row>
    <row r="331" spans="78:81" x14ac:dyDescent="0.55000000000000004">
      <c r="BZ331" s="2860"/>
      <c r="CA331" s="2860"/>
      <c r="CB331" s="2860"/>
      <c r="CC331" s="2978" t="e">
        <f>#REF!/AU331</f>
        <v>#REF!</v>
      </c>
    </row>
    <row r="332" spans="78:81" x14ac:dyDescent="0.55000000000000004">
      <c r="BZ332" s="2860"/>
      <c r="CA332" s="2860"/>
      <c r="CB332" s="2860"/>
      <c r="CC332" s="2978" t="e">
        <f>#REF!/AU332</f>
        <v>#REF!</v>
      </c>
    </row>
    <row r="333" spans="78:81" x14ac:dyDescent="0.55000000000000004">
      <c r="BZ333" s="2860"/>
      <c r="CA333" s="2860"/>
      <c r="CB333" s="2860"/>
      <c r="CC333" s="2978" t="e">
        <f>#REF!/AU333</f>
        <v>#REF!</v>
      </c>
    </row>
    <row r="334" spans="78:81" x14ac:dyDescent="0.55000000000000004">
      <c r="BZ334" s="2860"/>
      <c r="CA334" s="2860"/>
      <c r="CB334" s="2860"/>
      <c r="CC334" s="2978" t="e">
        <f>#REF!/AU334</f>
        <v>#REF!</v>
      </c>
    </row>
    <row r="335" spans="78:81" x14ac:dyDescent="0.55000000000000004">
      <c r="BZ335" s="2860"/>
      <c r="CA335" s="2860"/>
      <c r="CB335" s="2860"/>
      <c r="CC335" s="2978" t="e">
        <f>#REF!/AU335</f>
        <v>#REF!</v>
      </c>
    </row>
    <row r="336" spans="78:81" x14ac:dyDescent="0.55000000000000004">
      <c r="BZ336" s="2860"/>
      <c r="CA336" s="2860"/>
      <c r="CB336" s="2860"/>
      <c r="CC336" s="2978" t="e">
        <f>#REF!/AU336</f>
        <v>#REF!</v>
      </c>
    </row>
    <row r="337" spans="78:81" x14ac:dyDescent="0.55000000000000004">
      <c r="BZ337" s="2860"/>
      <c r="CA337" s="2860"/>
      <c r="CB337" s="2860"/>
      <c r="CC337" s="2978" t="e">
        <f>#REF!/AU337</f>
        <v>#REF!</v>
      </c>
    </row>
    <row r="338" spans="78:81" x14ac:dyDescent="0.55000000000000004">
      <c r="BZ338" s="2860"/>
      <c r="CA338" s="2860"/>
      <c r="CB338" s="2860"/>
      <c r="CC338" s="2978" t="e">
        <f>#REF!/AU338</f>
        <v>#REF!</v>
      </c>
    </row>
    <row r="339" spans="78:81" x14ac:dyDescent="0.55000000000000004">
      <c r="BZ339" s="2860"/>
      <c r="CA339" s="2860"/>
      <c r="CB339" s="2860"/>
      <c r="CC339" s="2978" t="e">
        <f>#REF!/AU339</f>
        <v>#REF!</v>
      </c>
    </row>
    <row r="340" spans="78:81" x14ac:dyDescent="0.55000000000000004">
      <c r="BZ340" s="2860"/>
      <c r="CA340" s="2860"/>
      <c r="CB340" s="2860"/>
      <c r="CC340" s="2978" t="e">
        <f>#REF!/AU340</f>
        <v>#REF!</v>
      </c>
    </row>
    <row r="341" spans="78:81" x14ac:dyDescent="0.55000000000000004">
      <c r="BZ341" s="2860"/>
      <c r="CA341" s="2860"/>
      <c r="CB341" s="2860"/>
      <c r="CC341" s="2978" t="e">
        <f>#REF!/AU341</f>
        <v>#REF!</v>
      </c>
    </row>
    <row r="342" spans="78:81" x14ac:dyDescent="0.55000000000000004">
      <c r="BZ342" s="2860"/>
      <c r="CA342" s="2860"/>
      <c r="CB342" s="2860"/>
      <c r="CC342" s="2978" t="e">
        <f>AU2/AU342</f>
        <v>#DIV/0!</v>
      </c>
    </row>
    <row r="343" spans="78:81" x14ac:dyDescent="0.55000000000000004">
      <c r="BZ343" s="2860"/>
      <c r="CA343" s="2860"/>
      <c r="CB343" s="2860"/>
      <c r="CC343" s="2978" t="e">
        <f>#REF!/AU343</f>
        <v>#REF!</v>
      </c>
    </row>
    <row r="344" spans="78:81" x14ac:dyDescent="0.55000000000000004">
      <c r="BZ344" s="2860"/>
      <c r="CA344" s="2860"/>
      <c r="CB344" s="2860"/>
      <c r="CC344" s="2978" t="e">
        <f t="shared" ref="CC344:CC349" si="55">AU7/AU344</f>
        <v>#DIV/0!</v>
      </c>
    </row>
    <row r="345" spans="78:81" x14ac:dyDescent="0.55000000000000004">
      <c r="BZ345" s="2860"/>
      <c r="CA345" s="2860"/>
      <c r="CB345" s="2860"/>
      <c r="CC345" s="2978" t="e">
        <f t="shared" si="55"/>
        <v>#VALUE!</v>
      </c>
    </row>
    <row r="346" spans="78:81" x14ac:dyDescent="0.55000000000000004">
      <c r="BZ346" s="2860"/>
      <c r="CA346" s="2860"/>
      <c r="CB346" s="2860"/>
      <c r="CC346" s="2978" t="e">
        <f t="shared" si="55"/>
        <v>#DIV/0!</v>
      </c>
    </row>
    <row r="347" spans="78:81" x14ac:dyDescent="0.55000000000000004">
      <c r="BZ347" s="2860"/>
      <c r="CA347" s="2860"/>
      <c r="CB347" s="2860"/>
      <c r="CC347" s="2978" t="e">
        <f t="shared" si="55"/>
        <v>#DIV/0!</v>
      </c>
    </row>
    <row r="348" spans="78:81" x14ac:dyDescent="0.55000000000000004">
      <c r="BZ348" s="2860"/>
      <c r="CA348" s="2860"/>
      <c r="CB348" s="2860"/>
      <c r="CC348" s="2978" t="e">
        <f t="shared" si="55"/>
        <v>#DIV/0!</v>
      </c>
    </row>
    <row r="349" spans="78:81" x14ac:dyDescent="0.55000000000000004">
      <c r="BZ349" s="2860"/>
      <c r="CA349" s="2860"/>
      <c r="CB349" s="2860"/>
      <c r="CC349" s="2978" t="e">
        <f t="shared" si="55"/>
        <v>#DIV/0!</v>
      </c>
    </row>
    <row r="350" spans="78:81" x14ac:dyDescent="0.55000000000000004">
      <c r="BZ350" s="2860"/>
      <c r="CA350" s="2860"/>
      <c r="CB350" s="2860"/>
      <c r="CC350" s="2978" t="e">
        <f>#REF!/AU350</f>
        <v>#REF!</v>
      </c>
    </row>
    <row r="351" spans="78:81" x14ac:dyDescent="0.55000000000000004">
      <c r="BZ351" s="2860"/>
      <c r="CA351" s="2860"/>
      <c r="CB351" s="2860"/>
      <c r="CC351" s="2978" t="e">
        <f>AU13/AU351</f>
        <v>#DIV/0!</v>
      </c>
    </row>
    <row r="352" spans="78:81" x14ac:dyDescent="0.55000000000000004">
      <c r="BZ352" s="2860"/>
      <c r="CA352" s="2860"/>
      <c r="CB352" s="2860"/>
      <c r="CC352" s="2978" t="e">
        <f>AU14/AU352</f>
        <v>#DIV/0!</v>
      </c>
    </row>
    <row r="353" spans="78:81" x14ac:dyDescent="0.55000000000000004">
      <c r="BZ353" s="2860"/>
      <c r="CA353" s="2860"/>
      <c r="CB353" s="2860"/>
      <c r="CC353" s="2978" t="e">
        <f>AU27/AU353</f>
        <v>#DIV/0!</v>
      </c>
    </row>
    <row r="354" spans="78:81" x14ac:dyDescent="0.55000000000000004">
      <c r="BZ354" s="2860"/>
      <c r="CA354" s="2860"/>
      <c r="CB354" s="2860"/>
      <c r="CC354" s="2978" t="e">
        <f>AU28/AU354</f>
        <v>#DIV/0!</v>
      </c>
    </row>
    <row r="355" spans="78:81" x14ac:dyDescent="0.55000000000000004">
      <c r="BZ355" s="2860"/>
      <c r="CA355" s="2860"/>
      <c r="CB355" s="2860"/>
      <c r="CC355" s="2978" t="e">
        <f>AU29/AU355</f>
        <v>#DIV/0!</v>
      </c>
    </row>
    <row r="356" spans="78:81" x14ac:dyDescent="0.55000000000000004">
      <c r="BZ356" s="2860"/>
      <c r="CA356" s="2860"/>
      <c r="CB356" s="2860"/>
      <c r="CC356" s="2978" t="e">
        <f>AU30/AU356</f>
        <v>#DIV/0!</v>
      </c>
    </row>
    <row r="357" spans="78:81" x14ac:dyDescent="0.55000000000000004">
      <c r="BZ357" s="2860"/>
      <c r="CA357" s="2860"/>
      <c r="CB357" s="2860"/>
      <c r="CC357" s="2978" t="e">
        <f>#REF!/AU357</f>
        <v>#REF!</v>
      </c>
    </row>
    <row r="358" spans="78:81" x14ac:dyDescent="0.55000000000000004">
      <c r="BZ358" s="2860"/>
      <c r="CA358" s="2860"/>
      <c r="CB358" s="2860"/>
      <c r="CC358" s="2978" t="e">
        <f>AU31/AU358</f>
        <v>#DIV/0!</v>
      </c>
    </row>
    <row r="359" spans="78:81" x14ac:dyDescent="0.55000000000000004">
      <c r="BZ359" s="2860"/>
      <c r="CA359" s="2860"/>
      <c r="CB359" s="2860"/>
      <c r="CC359" s="2978" t="e">
        <f>AU32/AU359</f>
        <v>#DIV/0!</v>
      </c>
    </row>
    <row r="360" spans="78:81" x14ac:dyDescent="0.55000000000000004">
      <c r="BZ360" s="2860"/>
      <c r="CA360" s="2860"/>
      <c r="CB360" s="2860"/>
      <c r="CC360" s="2978" t="e">
        <f>AU81/AU360</f>
        <v>#DIV/0!</v>
      </c>
    </row>
    <row r="361" spans="78:81" x14ac:dyDescent="0.55000000000000004">
      <c r="BZ361" s="2860"/>
      <c r="CA361" s="2860"/>
      <c r="CB361" s="2860"/>
      <c r="CC361" s="2978" t="e">
        <f>AU82/AU361</f>
        <v>#DIV/0!</v>
      </c>
    </row>
    <row r="362" spans="78:81" x14ac:dyDescent="0.55000000000000004">
      <c r="BZ362" s="2860"/>
      <c r="CA362" s="2860"/>
      <c r="CB362" s="2860"/>
      <c r="CC362" s="2978" t="e">
        <f>AU83/AU362</f>
        <v>#DIV/0!</v>
      </c>
    </row>
    <row r="363" spans="78:81" x14ac:dyDescent="0.55000000000000004">
      <c r="BZ363" s="2860"/>
      <c r="CA363" s="2860"/>
      <c r="CB363" s="2860"/>
      <c r="CC363" s="2978" t="e">
        <f>AU84/AU363</f>
        <v>#DIV/0!</v>
      </c>
    </row>
    <row r="364" spans="78:81" x14ac:dyDescent="0.55000000000000004">
      <c r="BZ364" s="2860"/>
      <c r="CA364" s="2860"/>
      <c r="CB364" s="2860"/>
      <c r="CC364" s="2978" t="e">
        <f>#REF!/AU364</f>
        <v>#REF!</v>
      </c>
    </row>
    <row r="365" spans="78:81" x14ac:dyDescent="0.55000000000000004">
      <c r="BZ365" s="2860"/>
      <c r="CA365" s="2860"/>
      <c r="CB365" s="2860"/>
      <c r="CC365" s="2978" t="e">
        <f t="shared" ref="CC365:CC371" si="56">AU85/AU365</f>
        <v>#DIV/0!</v>
      </c>
    </row>
    <row r="366" spans="78:81" x14ac:dyDescent="0.55000000000000004">
      <c r="BZ366" s="2860"/>
      <c r="CA366" s="2860"/>
      <c r="CB366" s="2860"/>
      <c r="CC366" s="2978" t="e">
        <f t="shared" si="56"/>
        <v>#DIV/0!</v>
      </c>
    </row>
    <row r="367" spans="78:81" x14ac:dyDescent="0.55000000000000004">
      <c r="BZ367" s="2860"/>
      <c r="CA367" s="2860"/>
      <c r="CB367" s="2860"/>
      <c r="CC367" s="2978" t="e">
        <f t="shared" si="56"/>
        <v>#DIV/0!</v>
      </c>
    </row>
    <row r="368" spans="78:81" x14ac:dyDescent="0.55000000000000004">
      <c r="BZ368" s="2860"/>
      <c r="CA368" s="2860"/>
      <c r="CB368" s="2860"/>
      <c r="CC368" s="2978" t="e">
        <f t="shared" si="56"/>
        <v>#DIV/0!</v>
      </c>
    </row>
    <row r="369" spans="78:81" x14ac:dyDescent="0.55000000000000004">
      <c r="BZ369" s="2860"/>
      <c r="CA369" s="2860"/>
      <c r="CB369" s="2860"/>
      <c r="CC369" s="2978" t="e">
        <f t="shared" si="56"/>
        <v>#DIV/0!</v>
      </c>
    </row>
    <row r="370" spans="78:81" x14ac:dyDescent="0.55000000000000004">
      <c r="BZ370" s="2860"/>
      <c r="CA370" s="2860"/>
      <c r="CB370" s="2860"/>
      <c r="CC370" s="2978" t="e">
        <f t="shared" si="56"/>
        <v>#DIV/0!</v>
      </c>
    </row>
    <row r="371" spans="78:81" x14ac:dyDescent="0.55000000000000004">
      <c r="BZ371" s="2860"/>
      <c r="CA371" s="2860"/>
      <c r="CB371" s="2860"/>
      <c r="CC371" s="2978" t="e">
        <f t="shared" si="56"/>
        <v>#DIV/0!</v>
      </c>
    </row>
    <row r="372" spans="78:81" x14ac:dyDescent="0.55000000000000004">
      <c r="BZ372" s="2860"/>
      <c r="CA372" s="2860"/>
      <c r="CB372" s="2860"/>
    </row>
    <row r="373" spans="78:81" x14ac:dyDescent="0.55000000000000004">
      <c r="BZ373" s="2860"/>
      <c r="CA373" s="2860"/>
      <c r="CB373" s="2860"/>
      <c r="CC373" s="2978" t="e">
        <f>AU93/AU373</f>
        <v>#DIV/0!</v>
      </c>
    </row>
    <row r="374" spans="78:81" x14ac:dyDescent="0.55000000000000004">
      <c r="BZ374" s="2860"/>
      <c r="CA374" s="2860"/>
      <c r="CB374" s="2860"/>
      <c r="CC374" s="2978" t="e">
        <f>AU94/AU374</f>
        <v>#DIV/0!</v>
      </c>
    </row>
    <row r="375" spans="78:81" x14ac:dyDescent="0.55000000000000004">
      <c r="BZ375" s="2860"/>
      <c r="CA375" s="2860"/>
      <c r="CB375" s="2860"/>
      <c r="CC375" s="2978" t="e">
        <f>AU95/AU375</f>
        <v>#DIV/0!</v>
      </c>
    </row>
    <row r="376" spans="78:81" x14ac:dyDescent="0.55000000000000004">
      <c r="BZ376" s="2860"/>
      <c r="CA376" s="2860"/>
      <c r="CB376" s="2860"/>
      <c r="CC376" s="2978" t="e">
        <f>AU96/AU376</f>
        <v>#DIV/0!</v>
      </c>
    </row>
    <row r="377" spans="78:81" x14ac:dyDescent="0.55000000000000004">
      <c r="BZ377" s="2860"/>
      <c r="CA377" s="2860"/>
      <c r="CB377" s="2860"/>
      <c r="CC377" s="2978" t="e">
        <f>AU97/AU377</f>
        <v>#DIV/0!</v>
      </c>
    </row>
    <row r="378" spans="78:81" x14ac:dyDescent="0.55000000000000004">
      <c r="BZ378" s="2860"/>
      <c r="CA378" s="2860"/>
      <c r="CB378" s="2860"/>
      <c r="CC378" s="2978" t="e">
        <f>AU99/AU378</f>
        <v>#DIV/0!</v>
      </c>
    </row>
    <row r="379" spans="78:81" x14ac:dyDescent="0.55000000000000004">
      <c r="BZ379" s="2860"/>
      <c r="CA379" s="2860"/>
      <c r="CB379" s="2860"/>
    </row>
    <row r="380" spans="78:81" x14ac:dyDescent="0.55000000000000004">
      <c r="BZ380" s="2860"/>
      <c r="CA380" s="2860"/>
      <c r="CB380" s="2860"/>
    </row>
    <row r="381" spans="78:81" x14ac:dyDescent="0.55000000000000004">
      <c r="BZ381" s="2860"/>
      <c r="CA381" s="2860"/>
      <c r="CB381" s="2860"/>
    </row>
    <row r="382" spans="78:81" x14ac:dyDescent="0.55000000000000004">
      <c r="BZ382" s="2860"/>
      <c r="CA382" s="2860"/>
      <c r="CB382" s="2860"/>
    </row>
    <row r="383" spans="78:81" x14ac:dyDescent="0.55000000000000004">
      <c r="BZ383" s="2860"/>
      <c r="CA383" s="2860"/>
      <c r="CB383" s="2860"/>
    </row>
    <row r="384" spans="78:81" x14ac:dyDescent="0.55000000000000004">
      <c r="BZ384" s="2860"/>
      <c r="CA384" s="2860"/>
      <c r="CB384" s="2860"/>
    </row>
    <row r="385" spans="78:80" x14ac:dyDescent="0.55000000000000004">
      <c r="BZ385" s="2860"/>
      <c r="CA385" s="2860"/>
      <c r="CB385" s="2860"/>
    </row>
    <row r="386" spans="78:80" x14ac:dyDescent="0.55000000000000004">
      <c r="BZ386" s="2860"/>
      <c r="CA386" s="2860"/>
      <c r="CB386" s="2860"/>
    </row>
    <row r="387" spans="78:80" x14ac:dyDescent="0.55000000000000004">
      <c r="BZ387" s="2860"/>
      <c r="CA387" s="2860"/>
      <c r="CB387" s="2860"/>
    </row>
    <row r="388" spans="78:80" x14ac:dyDescent="0.55000000000000004">
      <c r="BZ388" s="2860"/>
      <c r="CA388" s="2860"/>
      <c r="CB388" s="2860"/>
    </row>
    <row r="389" spans="78:80" x14ac:dyDescent="0.55000000000000004">
      <c r="BZ389" s="2860"/>
      <c r="CA389" s="2860"/>
      <c r="CB389" s="2860"/>
    </row>
    <row r="390" spans="78:80" x14ac:dyDescent="0.55000000000000004">
      <c r="BZ390" s="2860"/>
      <c r="CA390" s="2860"/>
      <c r="CB390" s="2860"/>
    </row>
    <row r="391" spans="78:80" x14ac:dyDescent="0.55000000000000004">
      <c r="BZ391" s="2860"/>
      <c r="CA391" s="2860"/>
      <c r="CB391" s="2860"/>
    </row>
    <row r="392" spans="78:80" x14ac:dyDescent="0.55000000000000004">
      <c r="BZ392" s="2860"/>
      <c r="CA392" s="2860"/>
      <c r="CB392" s="2860"/>
    </row>
    <row r="393" spans="78:80" x14ac:dyDescent="0.55000000000000004">
      <c r="BZ393" s="2860"/>
      <c r="CA393" s="2860"/>
      <c r="CB393" s="2860"/>
    </row>
    <row r="394" spans="78:80" x14ac:dyDescent="0.55000000000000004">
      <c r="BZ394" s="2860"/>
      <c r="CA394" s="2860"/>
      <c r="CB394" s="2860"/>
    </row>
    <row r="395" spans="78:80" x14ac:dyDescent="0.55000000000000004">
      <c r="BZ395" s="2860"/>
      <c r="CA395" s="2860"/>
      <c r="CB395" s="2860"/>
    </row>
    <row r="396" spans="78:80" x14ac:dyDescent="0.55000000000000004">
      <c r="BZ396" s="2860"/>
      <c r="CA396" s="2860"/>
      <c r="CB396" s="2860"/>
    </row>
    <row r="397" spans="78:80" x14ac:dyDescent="0.55000000000000004">
      <c r="BZ397" s="2860"/>
      <c r="CA397" s="2860"/>
      <c r="CB397" s="2860"/>
    </row>
  </sheetData>
  <mergeCells count="19">
    <mergeCell ref="A63:B68"/>
    <mergeCell ref="A69:B74"/>
    <mergeCell ref="A81:B86"/>
    <mergeCell ref="A21:B26"/>
    <mergeCell ref="A27:B32"/>
    <mergeCell ref="A33:B38"/>
    <mergeCell ref="A45:B50"/>
    <mergeCell ref="A51:B56"/>
    <mergeCell ref="A57:B62"/>
    <mergeCell ref="A39:B44"/>
    <mergeCell ref="A75:B80"/>
    <mergeCell ref="BK7:BX7"/>
    <mergeCell ref="AW7:BJ7"/>
    <mergeCell ref="A15:B20"/>
    <mergeCell ref="F7:S7"/>
    <mergeCell ref="T7:AG7"/>
    <mergeCell ref="AI7:AV7"/>
    <mergeCell ref="A9:B14"/>
    <mergeCell ref="A3:BX3"/>
  </mergeCells>
  <phoneticPr fontId="1" type="noConversion"/>
  <conditionalFormatting sqref="AX14:BA14 AI81:AT86 AI45:AT79 AI9:AT42">
    <cfRule type="containsBlanks" dxfId="13" priority="17">
      <formula>LEN(TRIM(AI9))=0</formula>
    </cfRule>
  </conditionalFormatting>
  <conditionalFormatting sqref="AJ44:AT44">
    <cfRule type="containsBlanks" dxfId="12" priority="13">
      <formula>LEN(TRIM(AJ44))=0</formula>
    </cfRule>
  </conditionalFormatting>
  <conditionalFormatting sqref="AW62">
    <cfRule type="containsBlanks" dxfId="11" priority="22">
      <formula>LEN(TRIM(AW62))=0</formula>
    </cfRule>
  </conditionalFormatting>
  <conditionalFormatting sqref="AJ80:AT80">
    <cfRule type="containsBlanks" dxfId="10" priority="10">
      <formula>LEN(TRIM(AJ80))=0</formula>
    </cfRule>
  </conditionalFormatting>
  <conditionalFormatting sqref="AX9">
    <cfRule type="containsBlanks" dxfId="9" priority="16">
      <formula>LEN(TRIM(AX9))=0</formula>
    </cfRule>
  </conditionalFormatting>
  <conditionalFormatting sqref="AI43:AT43">
    <cfRule type="containsBlanks" dxfId="8" priority="12">
      <formula>LEN(TRIM(AI43))=0</formula>
    </cfRule>
  </conditionalFormatting>
  <conditionalFormatting sqref="AZ9:BH9">
    <cfRule type="containsBlanks" dxfId="7" priority="9">
      <formula>LEN(TRIM(AZ9))=0</formula>
    </cfRule>
  </conditionalFormatting>
  <conditionalFormatting sqref="BK62">
    <cfRule type="containsBlanks" dxfId="6" priority="8">
      <formula>LEN(TRIM(BK62))=0</formula>
    </cfRule>
  </conditionalFormatting>
  <conditionalFormatting sqref="BK9:BL9">
    <cfRule type="containsBlanks" dxfId="5" priority="1">
      <formula>LEN(TRIM(BK9))=0</formula>
    </cfRule>
  </conditionalFormatting>
  <printOptions horizontalCentered="1"/>
  <pageMargins left="0.23622047244094491" right="0.23622047244094491" top="0.39370078740157483" bottom="0" header="0.31496062992125984" footer="0.19685039370078741"/>
  <pageSetup paperSize="9" scale="49" fitToHeight="0" orientation="landscape" r:id="rId1"/>
  <headerFooter scaleWithDoc="0">
    <oddFooter>&amp;R&amp;"-,기울임꼴"&amp;8&amp;P &amp; 페이지</oddFooter>
  </headerFooter>
  <rowBreaks count="1" manualBreakCount="1">
    <brk id="50" max="8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A1CF-2533-420E-A0A4-0153D9A88ADB}">
  <sheetPr codeName="Sheet6">
    <tabColor theme="7" tint="0.79998168889431442"/>
    <pageSetUpPr fitToPage="1"/>
  </sheetPr>
  <dimension ref="A1:CJ414"/>
  <sheetViews>
    <sheetView showGridLines="0" view="pageBreakPreview" zoomScale="40" zoomScaleNormal="40" zoomScaleSheetLayoutView="40" workbookViewId="0">
      <pane xSplit="5" ySplit="6" topLeftCell="F36" activePane="bottomRight" state="frozen"/>
      <selection activeCell="W2" sqref="W2"/>
      <selection pane="topRight" activeCell="W2" sqref="W2"/>
      <selection pane="bottomLeft" activeCell="W2" sqref="W2"/>
      <selection pane="bottomRight" activeCell="AX92" sqref="AX92"/>
    </sheetView>
  </sheetViews>
  <sheetFormatPr defaultColWidth="9.140625" defaultRowHeight="15" outlineLevelCol="1" x14ac:dyDescent="0.55000000000000004"/>
  <cols>
    <col min="1" max="1" width="18.5" style="559" customWidth="1"/>
    <col min="2" max="2" width="3.0703125" style="559" customWidth="1"/>
    <col min="3" max="3" width="13.35546875" style="559" customWidth="1"/>
    <col min="4" max="4" width="12.640625" style="559" customWidth="1"/>
    <col min="5" max="5" width="12.42578125" style="559" hidden="1" customWidth="1"/>
    <col min="6" max="17" width="10.35546875" style="559" hidden="1" customWidth="1" outlineLevel="1"/>
    <col min="18" max="18" width="10.35546875" style="559" hidden="1" customWidth="1" collapsed="1"/>
    <col min="19" max="19" width="10.35546875" style="559" hidden="1" customWidth="1"/>
    <col min="20" max="31" width="10.35546875" style="559" hidden="1" customWidth="1" outlineLevel="1"/>
    <col min="32" max="32" width="15.2109375" style="559" hidden="1" customWidth="1" collapsed="1"/>
    <col min="33" max="33" width="15.2109375" style="559" hidden="1" customWidth="1"/>
    <col min="34" max="34" width="4.42578125" style="559" hidden="1" customWidth="1"/>
    <col min="35" max="35" width="15" style="559" hidden="1" customWidth="1" outlineLevel="1"/>
    <col min="36" max="46" width="15.2109375" style="559" hidden="1" customWidth="1" outlineLevel="1"/>
    <col min="47" max="47" width="15.2109375" style="559" customWidth="1" collapsed="1"/>
    <col min="48" max="48" width="15.2109375" style="559" customWidth="1"/>
    <col min="49" max="54" width="15.2109375" style="559" customWidth="1" outlineLevel="1"/>
    <col min="55" max="59" width="14.7109375" style="559" hidden="1" customWidth="1" outlineLevel="1"/>
    <col min="60" max="60" width="14.2109375" style="559" hidden="1" customWidth="1" outlineLevel="1"/>
    <col min="61" max="62" width="15.2109375" style="559" customWidth="1"/>
    <col min="63" max="64" width="15.2109375" style="559" customWidth="1" outlineLevel="1"/>
    <col min="65" max="68" width="15.2109375" style="559" hidden="1" customWidth="1" outlineLevel="1"/>
    <col min="69" max="74" width="14.7109375" style="559" hidden="1" customWidth="1" outlineLevel="1"/>
    <col min="75" max="76" width="15.2109375" style="559" customWidth="1"/>
    <col min="77" max="77" width="0" style="559" hidden="1" customWidth="1"/>
    <col min="78" max="80" width="14.42578125" style="559" hidden="1" customWidth="1"/>
    <col min="81" max="81" width="11.85546875" style="559" hidden="1" customWidth="1"/>
    <col min="82" max="82" width="0" style="559" hidden="1" customWidth="1"/>
    <col min="83" max="83" width="11" style="559" hidden="1" customWidth="1"/>
    <col min="84" max="84" width="0" style="559" hidden="1" customWidth="1"/>
    <col min="85" max="16384" width="9.140625" style="559"/>
  </cols>
  <sheetData>
    <row r="1" spans="1:88" x14ac:dyDescent="0.55000000000000004">
      <c r="A1" s="2237"/>
      <c r="T1" s="3286">
        <v>1.0009999999999999</v>
      </c>
      <c r="U1" s="3286">
        <v>2.0009999999999999</v>
      </c>
      <c r="V1" s="3286">
        <v>3.0009999999999999</v>
      </c>
      <c r="W1" s="3286" t="s">
        <v>1237</v>
      </c>
      <c r="X1" s="3286" t="s">
        <v>1238</v>
      </c>
      <c r="Y1" s="3286" t="s">
        <v>1011</v>
      </c>
      <c r="Z1" s="3286">
        <v>7.0010000000000003</v>
      </c>
      <c r="AA1" s="3286">
        <v>8.0009999999999994</v>
      </c>
      <c r="AB1" s="3286">
        <v>9.0009999999999994</v>
      </c>
      <c r="AC1" s="3286">
        <v>10.000999999999999</v>
      </c>
      <c r="AD1" s="3286">
        <v>11.000999999999999</v>
      </c>
      <c r="AE1" s="3286">
        <v>12.000999999999999</v>
      </c>
      <c r="AI1" s="3286">
        <v>1.0009999999999999</v>
      </c>
      <c r="AJ1" s="3286">
        <v>2.0009999999999999</v>
      </c>
      <c r="AK1" s="3286">
        <v>3.0009999999999999</v>
      </c>
      <c r="AL1" s="3286">
        <v>4.0010000000000003</v>
      </c>
      <c r="AM1" s="3286">
        <v>5.0010000000000003</v>
      </c>
      <c r="AN1" s="3286">
        <v>6.0010000000000003</v>
      </c>
      <c r="AO1" s="3286">
        <v>7.0010000000000003</v>
      </c>
      <c r="AP1" s="3286">
        <v>8.0009999999999994</v>
      </c>
      <c r="AQ1" s="3286">
        <v>9.0009999999999994</v>
      </c>
      <c r="AR1" s="3286">
        <v>10.000999999999999</v>
      </c>
      <c r="AS1" s="3286">
        <v>11.000999999999999</v>
      </c>
      <c r="AT1" s="3286">
        <v>12.000999999999999</v>
      </c>
      <c r="AW1" s="3286"/>
      <c r="AX1" s="3286"/>
      <c r="AY1" s="3286"/>
      <c r="AZ1" s="3286"/>
      <c r="BA1" s="3286"/>
      <c r="BB1" s="3286"/>
      <c r="BC1" s="3286"/>
      <c r="BD1" s="3286"/>
      <c r="BE1" s="3286"/>
      <c r="BF1" s="3286"/>
      <c r="BG1" s="3286"/>
      <c r="BH1" s="3286"/>
      <c r="BK1" s="3286"/>
      <c r="BL1" s="3286"/>
      <c r="BM1" s="3286"/>
      <c r="BN1" s="3286"/>
      <c r="BO1" s="3286"/>
      <c r="BP1" s="3286"/>
      <c r="BQ1" s="3286"/>
      <c r="BR1" s="3286"/>
      <c r="BS1" s="3286"/>
      <c r="BT1" s="3286"/>
      <c r="BU1" s="3286"/>
      <c r="BV1" s="3286"/>
      <c r="CB1" s="2845" t="s">
        <v>452</v>
      </c>
    </row>
    <row r="2" spans="1:88" s="561" customFormat="1" ht="50.05" customHeight="1" thickBot="1" x14ac:dyDescent="0.6">
      <c r="A2" s="7143" t="s">
        <v>835</v>
      </c>
      <c r="B2" s="7143"/>
      <c r="C2" s="7143"/>
      <c r="D2" s="7143"/>
      <c r="E2" s="7143"/>
      <c r="F2" s="7143"/>
      <c r="G2" s="7143"/>
      <c r="H2" s="7143"/>
      <c r="I2" s="7143"/>
      <c r="J2" s="7143"/>
      <c r="K2" s="7143"/>
      <c r="L2" s="7143"/>
      <c r="M2" s="7143"/>
      <c r="N2" s="7143"/>
      <c r="O2" s="7143"/>
      <c r="P2" s="7143"/>
      <c r="Q2" s="7143"/>
      <c r="R2" s="7143"/>
      <c r="S2" s="7143"/>
      <c r="T2" s="7143"/>
      <c r="U2" s="7143"/>
      <c r="V2" s="7143"/>
      <c r="W2" s="7143"/>
      <c r="X2" s="7143"/>
      <c r="Y2" s="7143"/>
      <c r="Z2" s="7143"/>
      <c r="AA2" s="7143"/>
      <c r="AB2" s="7143"/>
      <c r="AC2" s="7143"/>
      <c r="AD2" s="7143"/>
      <c r="AE2" s="7143"/>
      <c r="AF2" s="7143"/>
      <c r="AG2" s="7143"/>
      <c r="AH2" s="7143"/>
      <c r="AI2" s="7143"/>
      <c r="AJ2" s="7143"/>
      <c r="AK2" s="7143"/>
      <c r="AL2" s="7143"/>
      <c r="AM2" s="7143"/>
      <c r="AN2" s="7143"/>
      <c r="AO2" s="7143"/>
      <c r="AP2" s="7143"/>
      <c r="AQ2" s="7143"/>
      <c r="AR2" s="7143"/>
      <c r="AS2" s="7143"/>
      <c r="AT2" s="7143"/>
      <c r="AU2" s="7143"/>
      <c r="AV2" s="7143"/>
      <c r="AW2" s="7143"/>
      <c r="AX2" s="7143"/>
      <c r="AY2" s="7143"/>
      <c r="AZ2" s="7143"/>
      <c r="BA2" s="7143"/>
      <c r="BB2" s="7143"/>
      <c r="BC2" s="7143"/>
      <c r="BD2" s="7143"/>
      <c r="BE2" s="7143"/>
      <c r="BF2" s="7143"/>
      <c r="BG2" s="7143"/>
      <c r="BH2" s="7143"/>
      <c r="BI2" s="7143"/>
      <c r="BJ2" s="7143"/>
      <c r="BK2" s="7143"/>
      <c r="BL2" s="7143"/>
      <c r="BM2" s="7143"/>
      <c r="BN2" s="7143"/>
      <c r="BO2" s="7143"/>
      <c r="BP2" s="7143"/>
      <c r="BQ2" s="7143"/>
      <c r="BR2" s="7143"/>
      <c r="BS2" s="7143"/>
      <c r="BT2" s="7143"/>
      <c r="BU2" s="7143"/>
      <c r="BV2" s="7143"/>
      <c r="BW2" s="7143"/>
      <c r="BX2" s="7143"/>
    </row>
    <row r="3" spans="1:88" s="2846" customFormat="1" ht="12" customHeight="1" thickTop="1" x14ac:dyDescent="0.55000000000000004">
      <c r="A3" s="3287"/>
      <c r="B3" s="3287"/>
      <c r="C3" s="3287"/>
      <c r="D3" s="3287"/>
      <c r="E3" s="3287"/>
      <c r="F3" s="3287"/>
      <c r="G3" s="3287"/>
      <c r="H3" s="3287"/>
      <c r="I3" s="3287"/>
      <c r="J3" s="3287"/>
      <c r="K3" s="3287"/>
      <c r="L3" s="3287"/>
      <c r="M3" s="3287"/>
      <c r="N3" s="3287"/>
      <c r="O3" s="3287"/>
      <c r="P3" s="3287"/>
      <c r="Q3" s="3287"/>
      <c r="R3" s="3287"/>
      <c r="S3" s="3287"/>
      <c r="T3" s="3288" t="b">
        <f t="shared" ref="T3:AH3" si="0">T4=T15</f>
        <v>1</v>
      </c>
      <c r="U3" s="3288" t="b">
        <f t="shared" si="0"/>
        <v>1</v>
      </c>
      <c r="V3" s="3288" t="b">
        <f t="shared" si="0"/>
        <v>1</v>
      </c>
      <c r="W3" s="3288" t="b">
        <f t="shared" si="0"/>
        <v>1</v>
      </c>
      <c r="X3" s="3288" t="b">
        <f t="shared" si="0"/>
        <v>1</v>
      </c>
      <c r="Y3" s="3288" t="b">
        <f t="shared" si="0"/>
        <v>1</v>
      </c>
      <c r="Z3" s="3288" t="b">
        <f t="shared" si="0"/>
        <v>1</v>
      </c>
      <c r="AA3" s="3288" t="b">
        <f t="shared" si="0"/>
        <v>1</v>
      </c>
      <c r="AB3" s="3288" t="b">
        <f t="shared" si="0"/>
        <v>1</v>
      </c>
      <c r="AC3" s="3288" t="b">
        <f t="shared" si="0"/>
        <v>1</v>
      </c>
      <c r="AD3" s="3288" t="b">
        <f t="shared" si="0"/>
        <v>1</v>
      </c>
      <c r="AE3" s="3288" t="b">
        <f t="shared" si="0"/>
        <v>1</v>
      </c>
      <c r="AF3" s="3288" t="b">
        <f t="shared" si="0"/>
        <v>1</v>
      </c>
      <c r="AG3" s="3288" t="b">
        <f t="shared" si="0"/>
        <v>0</v>
      </c>
      <c r="AH3" s="3288" t="b">
        <f t="shared" si="0"/>
        <v>1</v>
      </c>
      <c r="AI3" s="3289"/>
      <c r="AJ3" s="3289"/>
      <c r="AK3" s="3289"/>
      <c r="AL3" s="3289"/>
      <c r="AM3" s="3289"/>
      <c r="AN3" s="3289"/>
      <c r="AO3" s="3289"/>
      <c r="AP3" s="3289"/>
      <c r="AQ3" s="3289"/>
      <c r="AR3" s="3289"/>
      <c r="AS3" s="3289"/>
      <c r="AT3" s="3289"/>
      <c r="AU3" s="3290"/>
      <c r="AV3" s="3290"/>
      <c r="AW3" s="3289"/>
      <c r="AX3" s="3290"/>
      <c r="AY3" s="3290"/>
      <c r="AZ3" s="3289"/>
      <c r="BA3" s="3290"/>
      <c r="BB3" s="3290"/>
      <c r="BC3" s="3290"/>
      <c r="BD3" s="3290"/>
      <c r="BE3" s="3290"/>
      <c r="BF3" s="3290"/>
      <c r="BG3" s="3290"/>
      <c r="BH3" s="3290"/>
      <c r="BI3" s="3290"/>
      <c r="BJ3" s="3290"/>
      <c r="BK3" s="3289"/>
      <c r="BL3" s="3290"/>
      <c r="BM3" s="3290"/>
      <c r="BN3" s="3289"/>
      <c r="BO3" s="3290"/>
      <c r="BP3" s="3290"/>
      <c r="BQ3" s="3290"/>
      <c r="BR3" s="3290"/>
      <c r="BS3" s="3290"/>
      <c r="BT3" s="3290"/>
      <c r="BU3" s="3290"/>
      <c r="BV3" s="3290"/>
      <c r="BW3" s="3290"/>
      <c r="BX3" s="3290"/>
    </row>
    <row r="4" spans="1:88" s="2846" customFormat="1" ht="9" customHeight="1" thickBot="1" x14ac:dyDescent="0.6">
      <c r="A4" s="2847"/>
      <c r="B4" s="2847"/>
      <c r="C4" s="2847"/>
      <c r="D4" s="2847"/>
      <c r="E4" s="2847"/>
      <c r="F4" s="2847"/>
      <c r="G4" s="2847"/>
      <c r="H4" s="2847"/>
      <c r="I4" s="2847"/>
      <c r="J4" s="2847"/>
      <c r="K4" s="2847"/>
      <c r="L4" s="2847"/>
      <c r="M4" s="2847"/>
      <c r="N4" s="2847"/>
      <c r="O4" s="2847"/>
      <c r="P4" s="2847"/>
      <c r="Q4" s="2847"/>
      <c r="R4" s="2847"/>
      <c r="S4" s="2847"/>
      <c r="T4" s="3288">
        <f t="shared" ref="T4:AH4" si="1">T8-T11-T13-T14</f>
        <v>-3581</v>
      </c>
      <c r="U4" s="3288">
        <f t="shared" si="1"/>
        <v>1662</v>
      </c>
      <c r="V4" s="3288">
        <f t="shared" si="1"/>
        <v>17911</v>
      </c>
      <c r="W4" s="3288">
        <f t="shared" si="1"/>
        <v>4308</v>
      </c>
      <c r="X4" s="3288">
        <f t="shared" si="1"/>
        <v>-2984</v>
      </c>
      <c r="Y4" s="3288">
        <f t="shared" si="1"/>
        <v>-3176</v>
      </c>
      <c r="Z4" s="3288">
        <f t="shared" si="1"/>
        <v>-4918</v>
      </c>
      <c r="AA4" s="3288">
        <f t="shared" si="1"/>
        <v>-3367</v>
      </c>
      <c r="AB4" s="3288">
        <f t="shared" si="1"/>
        <v>-4372</v>
      </c>
      <c r="AC4" s="3288">
        <f t="shared" si="1"/>
        <v>386</v>
      </c>
      <c r="AD4" s="3288">
        <f t="shared" si="1"/>
        <v>-5809</v>
      </c>
      <c r="AE4" s="3288">
        <f t="shared" si="1"/>
        <v>-7154</v>
      </c>
      <c r="AF4" s="3288">
        <f t="shared" si="1"/>
        <v>-11094</v>
      </c>
      <c r="AG4" s="3288">
        <f t="shared" si="1"/>
        <v>-924.50000000000182</v>
      </c>
      <c r="AH4" s="3288">
        <f t="shared" si="1"/>
        <v>0</v>
      </c>
      <c r="AI4" s="3289"/>
      <c r="AJ4" s="3289"/>
      <c r="AK4" s="3289"/>
      <c r="AL4" s="3289"/>
      <c r="AM4" s="3289"/>
      <c r="AN4" s="3289"/>
      <c r="AO4" s="3289"/>
      <c r="AP4" s="3289"/>
      <c r="AQ4" s="3289"/>
      <c r="AR4" s="3289"/>
      <c r="AS4" s="3289"/>
      <c r="AT4" s="3289"/>
      <c r="AU4" s="3288">
        <f>AU8-AU11-AU13-AU14</f>
        <v>-88829</v>
      </c>
      <c r="AV4" s="3288">
        <f>AV8-AV11-AV13-AV14</f>
        <v>-7504.371212121212</v>
      </c>
      <c r="AW4" s="3289"/>
      <c r="AX4" s="3289"/>
      <c r="AY4" s="3289"/>
      <c r="AZ4" s="3289"/>
      <c r="BA4" s="3289"/>
      <c r="BB4" s="3289"/>
      <c r="BC4" s="3290"/>
      <c r="BD4" s="3288">
        <f>BD27-BD30-BD32-BD33-BD34</f>
        <v>-12653</v>
      </c>
      <c r="BE4" s="3288">
        <f t="shared" ref="BE4:BH4" si="2">BE27-BE30-BE32-BE33-BE34</f>
        <v>-4823</v>
      </c>
      <c r="BF4" s="3288">
        <f t="shared" si="2"/>
        <v>-9514</v>
      </c>
      <c r="BG4" s="3288">
        <f t="shared" si="2"/>
        <v>-10867</v>
      </c>
      <c r="BH4" s="3288">
        <f t="shared" si="2"/>
        <v>-11344</v>
      </c>
      <c r="BI4" s="3288">
        <f>BI8-BI11-BI13-BI14</f>
        <v>-173922</v>
      </c>
      <c r="BJ4" s="3288">
        <f>BJ8-BJ11-BJ13-BJ14</f>
        <v>-17044.563131313131</v>
      </c>
      <c r="BK4" s="3289"/>
      <c r="BL4" s="3289"/>
      <c r="BM4" s="3289"/>
      <c r="BN4" s="3289"/>
      <c r="BO4" s="3289"/>
      <c r="BP4" s="3289"/>
      <c r="BQ4" s="3290"/>
      <c r="BR4" s="3288">
        <f>BR27-BR30-BR32-BR33-BR34</f>
        <v>0</v>
      </c>
      <c r="BS4" s="3288">
        <f t="shared" ref="BS4:BV4" si="3">BS27-BS30-BS32-BS33-BS34</f>
        <v>0</v>
      </c>
      <c r="BT4" s="3288">
        <f t="shared" si="3"/>
        <v>0</v>
      </c>
      <c r="BU4" s="3288">
        <f t="shared" si="3"/>
        <v>0</v>
      </c>
      <c r="BV4" s="3288">
        <f t="shared" si="3"/>
        <v>0</v>
      </c>
      <c r="BW4" s="3288">
        <f>BW8-BW11-BW13-BW14</f>
        <v>-51554</v>
      </c>
      <c r="BX4" s="3288">
        <f>BX8-BX11-BX13-BX14</f>
        <v>-25777</v>
      </c>
      <c r="CF4" s="2854"/>
      <c r="CG4" s="2854"/>
      <c r="CH4" s="2854"/>
      <c r="CI4" s="2854"/>
      <c r="CJ4" s="2854"/>
    </row>
    <row r="5" spans="1:88" ht="20.5" customHeight="1" x14ac:dyDescent="0.55000000000000004">
      <c r="A5" s="4492"/>
      <c r="B5" s="4493"/>
      <c r="C5" s="4494"/>
      <c r="D5" s="4495"/>
      <c r="E5" s="4494"/>
      <c r="F5" s="4494"/>
      <c r="G5" s="4494"/>
      <c r="H5" s="4494"/>
      <c r="I5" s="4494"/>
      <c r="J5" s="4494"/>
      <c r="K5" s="4494"/>
      <c r="L5" s="4494"/>
      <c r="M5" s="4494"/>
      <c r="N5" s="4494"/>
      <c r="O5" s="4494"/>
      <c r="P5" s="4496"/>
      <c r="Q5" s="4494"/>
      <c r="R5" s="4494"/>
      <c r="S5" s="4494"/>
      <c r="T5" s="7062" t="s">
        <v>1009</v>
      </c>
      <c r="U5" s="7144"/>
      <c r="V5" s="7144"/>
      <c r="W5" s="7144"/>
      <c r="X5" s="7144"/>
      <c r="Y5" s="7144"/>
      <c r="Z5" s="7144"/>
      <c r="AA5" s="7144"/>
      <c r="AB5" s="7144"/>
      <c r="AC5" s="7144"/>
      <c r="AD5" s="7144"/>
      <c r="AE5" s="7144"/>
      <c r="AF5" s="7144"/>
      <c r="AG5" s="7144"/>
      <c r="AH5" s="3291"/>
      <c r="AI5" s="7062" t="s">
        <v>1051</v>
      </c>
      <c r="AJ5" s="7063"/>
      <c r="AK5" s="7063"/>
      <c r="AL5" s="7063"/>
      <c r="AM5" s="7063"/>
      <c r="AN5" s="7063"/>
      <c r="AO5" s="7063"/>
      <c r="AP5" s="7063"/>
      <c r="AQ5" s="7063"/>
      <c r="AR5" s="7063"/>
      <c r="AS5" s="7063"/>
      <c r="AT5" s="7063"/>
      <c r="AU5" s="7063"/>
      <c r="AV5" s="7064"/>
      <c r="AW5" s="7062" t="s">
        <v>1050</v>
      </c>
      <c r="AX5" s="7144"/>
      <c r="AY5" s="7144"/>
      <c r="AZ5" s="7144"/>
      <c r="BA5" s="7144"/>
      <c r="BB5" s="7144"/>
      <c r="BC5" s="7144"/>
      <c r="BD5" s="7144"/>
      <c r="BE5" s="7144"/>
      <c r="BF5" s="7144"/>
      <c r="BG5" s="7144"/>
      <c r="BH5" s="7144"/>
      <c r="BI5" s="7144"/>
      <c r="BJ5" s="7145"/>
      <c r="BK5" s="7117" t="s">
        <v>1199</v>
      </c>
      <c r="BL5" s="7083"/>
      <c r="BM5" s="7083"/>
      <c r="BN5" s="7083"/>
      <c r="BO5" s="7083"/>
      <c r="BP5" s="7083"/>
      <c r="BQ5" s="7083"/>
      <c r="BR5" s="7083"/>
      <c r="BS5" s="7083"/>
      <c r="BT5" s="7083"/>
      <c r="BU5" s="7083"/>
      <c r="BV5" s="7083"/>
      <c r="BW5" s="7083"/>
      <c r="BX5" s="7118"/>
    </row>
    <row r="6" spans="1:88" ht="16.75" thickBot="1" x14ac:dyDescent="0.6">
      <c r="A6" s="3453" t="s">
        <v>153</v>
      </c>
      <c r="B6" s="594"/>
      <c r="C6" s="1506"/>
      <c r="D6" s="2858"/>
      <c r="E6" s="4491" t="s">
        <v>477</v>
      </c>
      <c r="F6" s="2863" t="s">
        <v>478</v>
      </c>
      <c r="G6" s="558" t="s">
        <v>479</v>
      </c>
      <c r="H6" s="558" t="s">
        <v>480</v>
      </c>
      <c r="I6" s="558" t="s">
        <v>481</v>
      </c>
      <c r="J6" s="558" t="s">
        <v>482</v>
      </c>
      <c r="K6" s="558" t="s">
        <v>483</v>
      </c>
      <c r="L6" s="558" t="s">
        <v>484</v>
      </c>
      <c r="M6" s="558" t="s">
        <v>485</v>
      </c>
      <c r="N6" s="558" t="s">
        <v>486</v>
      </c>
      <c r="O6" s="558" t="s">
        <v>487</v>
      </c>
      <c r="P6" s="558" t="s">
        <v>488</v>
      </c>
      <c r="Q6" s="558" t="s">
        <v>489</v>
      </c>
      <c r="R6" s="558" t="s">
        <v>504</v>
      </c>
      <c r="S6" s="558" t="s">
        <v>505</v>
      </c>
      <c r="T6" s="2863" t="s">
        <v>490</v>
      </c>
      <c r="U6" s="558" t="s">
        <v>491</v>
      </c>
      <c r="V6" s="558" t="s">
        <v>492</v>
      </c>
      <c r="W6" s="558" t="s">
        <v>493</v>
      </c>
      <c r="X6" s="558" t="s">
        <v>494</v>
      </c>
      <c r="Y6" s="558" t="s">
        <v>495</v>
      </c>
      <c r="Z6" s="558" t="s">
        <v>496</v>
      </c>
      <c r="AA6" s="558" t="s">
        <v>497</v>
      </c>
      <c r="AB6" s="558" t="s">
        <v>498</v>
      </c>
      <c r="AC6" s="558" t="s">
        <v>499</v>
      </c>
      <c r="AD6" s="558" t="s">
        <v>500</v>
      </c>
      <c r="AE6" s="558" t="s">
        <v>501</v>
      </c>
      <c r="AF6" s="849" t="s">
        <v>508</v>
      </c>
      <c r="AG6" s="558" t="s">
        <v>509</v>
      </c>
      <c r="AH6" s="558"/>
      <c r="AI6" s="849" t="s">
        <v>502</v>
      </c>
      <c r="AJ6" s="558" t="s">
        <v>3</v>
      </c>
      <c r="AK6" s="558" t="s">
        <v>503</v>
      </c>
      <c r="AL6" s="558" t="s">
        <v>341</v>
      </c>
      <c r="AM6" s="558" t="s">
        <v>342</v>
      </c>
      <c r="AN6" s="558" t="s">
        <v>343</v>
      </c>
      <c r="AO6" s="558" t="s">
        <v>344</v>
      </c>
      <c r="AP6" s="558" t="s">
        <v>345</v>
      </c>
      <c r="AQ6" s="558" t="s">
        <v>346</v>
      </c>
      <c r="AR6" s="558" t="s">
        <v>347</v>
      </c>
      <c r="AS6" s="558" t="s">
        <v>348</v>
      </c>
      <c r="AT6" s="558" t="s">
        <v>349</v>
      </c>
      <c r="AU6" s="558" t="s">
        <v>506</v>
      </c>
      <c r="AV6" s="3292" t="s">
        <v>507</v>
      </c>
      <c r="AW6" s="3293" t="s">
        <v>941</v>
      </c>
      <c r="AX6" s="3294" t="s">
        <v>942</v>
      </c>
      <c r="AY6" s="558" t="s">
        <v>944</v>
      </c>
      <c r="AZ6" s="3294" t="s">
        <v>945</v>
      </c>
      <c r="BA6" s="3294" t="s">
        <v>946</v>
      </c>
      <c r="BB6" s="3294" t="s">
        <v>947</v>
      </c>
      <c r="BC6" s="3294" t="s">
        <v>948</v>
      </c>
      <c r="BD6" s="3294" t="s">
        <v>949</v>
      </c>
      <c r="BE6" s="3294" t="s">
        <v>950</v>
      </c>
      <c r="BF6" s="3294" t="s">
        <v>951</v>
      </c>
      <c r="BG6" s="3294" t="s">
        <v>952</v>
      </c>
      <c r="BH6" s="3294" t="s">
        <v>953</v>
      </c>
      <c r="BI6" s="3294" t="s">
        <v>954</v>
      </c>
      <c r="BJ6" s="4489" t="s">
        <v>955</v>
      </c>
      <c r="BK6" s="2872" t="s">
        <v>1122</v>
      </c>
      <c r="BL6" s="2864" t="s">
        <v>1072</v>
      </c>
      <c r="BM6" s="558" t="s">
        <v>1073</v>
      </c>
      <c r="BN6" s="2864" t="s">
        <v>1074</v>
      </c>
      <c r="BO6" s="558" t="s">
        <v>1075</v>
      </c>
      <c r="BP6" s="558" t="s">
        <v>1076</v>
      </c>
      <c r="BQ6" s="558" t="s">
        <v>1077</v>
      </c>
      <c r="BR6" s="558" t="s">
        <v>1078</v>
      </c>
      <c r="BS6" s="558" t="s">
        <v>1079</v>
      </c>
      <c r="BT6" s="558" t="s">
        <v>1080</v>
      </c>
      <c r="BU6" s="558" t="s">
        <v>1081</v>
      </c>
      <c r="BV6" s="558" t="s">
        <v>1082</v>
      </c>
      <c r="BW6" s="1156" t="s">
        <v>1197</v>
      </c>
      <c r="BX6" s="2781" t="s">
        <v>1198</v>
      </c>
      <c r="BZ6" s="2855" t="s">
        <v>444</v>
      </c>
      <c r="CA6" s="2855" t="s">
        <v>445</v>
      </c>
      <c r="CB6" s="2856" t="s">
        <v>450</v>
      </c>
      <c r="CC6" s="2855"/>
    </row>
    <row r="7" spans="1:88" ht="17.05" customHeight="1" x14ac:dyDescent="0.55000000000000004">
      <c r="A7" s="7151" t="s">
        <v>383</v>
      </c>
      <c r="B7" s="7152"/>
      <c r="C7" s="3295" t="s">
        <v>43</v>
      </c>
      <c r="D7" s="3296"/>
      <c r="E7" s="3297"/>
      <c r="F7" s="3298"/>
      <c r="G7" s="3297"/>
      <c r="H7" s="3297"/>
      <c r="I7" s="3297"/>
      <c r="J7" s="3297"/>
      <c r="K7" s="3297"/>
      <c r="L7" s="3297"/>
      <c r="M7" s="3297"/>
      <c r="N7" s="3297"/>
      <c r="O7" s="3297"/>
      <c r="P7" s="3297"/>
      <c r="Q7" s="3297">
        <f>Q16+Q26</f>
        <v>1922100</v>
      </c>
      <c r="R7" s="3298">
        <f>R16+R26</f>
        <v>1922100</v>
      </c>
      <c r="S7" s="3297"/>
      <c r="T7" s="3298">
        <f t="shared" ref="T7:AG7" si="4">T16+T26</f>
        <v>1918519</v>
      </c>
      <c r="U7" s="3297">
        <f t="shared" si="4"/>
        <v>1920181</v>
      </c>
      <c r="V7" s="3297">
        <f t="shared" si="4"/>
        <v>1938092</v>
      </c>
      <c r="W7" s="3297">
        <f t="shared" si="4"/>
        <v>1942400</v>
      </c>
      <c r="X7" s="3297">
        <f t="shared" si="4"/>
        <v>1939416</v>
      </c>
      <c r="Y7" s="3297">
        <f t="shared" si="4"/>
        <v>1936240</v>
      </c>
      <c r="Z7" s="3297">
        <f t="shared" si="4"/>
        <v>1931322</v>
      </c>
      <c r="AA7" s="3297">
        <f t="shared" si="4"/>
        <v>1927955</v>
      </c>
      <c r="AB7" s="3297">
        <f t="shared" si="4"/>
        <v>1923583</v>
      </c>
      <c r="AC7" s="3297">
        <f t="shared" si="4"/>
        <v>1923969</v>
      </c>
      <c r="AD7" s="3297">
        <f t="shared" si="4"/>
        <v>1918160</v>
      </c>
      <c r="AE7" s="3297">
        <f t="shared" si="4"/>
        <v>1911006</v>
      </c>
      <c r="AF7" s="3299">
        <f t="shared" si="4"/>
        <v>1911006</v>
      </c>
      <c r="AG7" s="3299">
        <f t="shared" si="4"/>
        <v>1927570.25</v>
      </c>
      <c r="AH7" s="3299"/>
      <c r="AI7" s="3300">
        <v>1911765</v>
      </c>
      <c r="AJ7" s="3299">
        <v>1907527</v>
      </c>
      <c r="AK7" s="3299">
        <v>1900105</v>
      </c>
      <c r="AL7" s="3299">
        <v>1891951</v>
      </c>
      <c r="AM7" s="3299">
        <v>1884591</v>
      </c>
      <c r="AN7" s="3299">
        <v>1880855</v>
      </c>
      <c r="AO7" s="3299">
        <v>1878067</v>
      </c>
      <c r="AP7" s="3299">
        <v>1874881</v>
      </c>
      <c r="AQ7" s="3299">
        <v>1870904</v>
      </c>
      <c r="AR7" s="3299">
        <v>1855279</v>
      </c>
      <c r="AS7" s="3299">
        <v>1839193</v>
      </c>
      <c r="AT7" s="3297">
        <v>1822479</v>
      </c>
      <c r="AU7" s="3299">
        <f>AU16+AU26</f>
        <v>1822479</v>
      </c>
      <c r="AV7" s="3301">
        <f>AV16+AV26</f>
        <v>1876466.4166666667</v>
      </c>
      <c r="AW7" s="3302">
        <f t="shared" ref="AW7:AY14" si="5">AW16+AW26</f>
        <v>1803580</v>
      </c>
      <c r="AX7" s="2961">
        <f t="shared" si="5"/>
        <v>1790204</v>
      </c>
      <c r="AY7" s="2961">
        <f t="shared" si="5"/>
        <v>1775190</v>
      </c>
      <c r="AZ7" s="2962">
        <v>1765612</v>
      </c>
      <c r="BA7" s="2961">
        <f t="shared" ref="BA7:BG7" si="6">BA16+BA26</f>
        <v>1782731</v>
      </c>
      <c r="BB7" s="2961">
        <f t="shared" si="6"/>
        <v>1768469</v>
      </c>
      <c r="BC7" s="2961">
        <f t="shared" si="6"/>
        <v>1759997</v>
      </c>
      <c r="BD7" s="2961">
        <f t="shared" si="6"/>
        <v>1735190</v>
      </c>
      <c r="BE7" s="2961">
        <f t="shared" si="6"/>
        <v>1717237</v>
      </c>
      <c r="BF7" s="2961">
        <f t="shared" si="6"/>
        <v>1693616</v>
      </c>
      <c r="BG7" s="2961">
        <f t="shared" si="6"/>
        <v>1672289</v>
      </c>
      <c r="BH7" s="2961">
        <f t="shared" ref="BH7" si="7">BH16+BH26</f>
        <v>1647799</v>
      </c>
      <c r="BI7" s="2961">
        <f>INDEX($AW7:$BH7, 1, MATCH(0, $AW7:$BH7, -1))</f>
        <v>1647799</v>
      </c>
      <c r="BJ7" s="2964">
        <f>BJ16+BJ26</f>
        <v>1718834</v>
      </c>
      <c r="BK7" s="2961">
        <f t="shared" ref="BK7" si="8">BK16+BK26</f>
        <v>1614383</v>
      </c>
      <c r="BL7" s="2961">
        <v>1596245</v>
      </c>
      <c r="BM7" s="2961"/>
      <c r="BN7" s="2962"/>
      <c r="BO7" s="2961"/>
      <c r="BP7" s="2961"/>
      <c r="BQ7" s="2961"/>
      <c r="BR7" s="2961"/>
      <c r="BS7" s="2961"/>
      <c r="BT7" s="2961"/>
      <c r="BU7" s="2961"/>
      <c r="BV7" s="2961"/>
      <c r="BW7" s="2961">
        <f>INDEX($AW7:$BH7, 1, MATCH(0, $AW7:$BH7, -1))</f>
        <v>1647799</v>
      </c>
      <c r="BX7" s="2964">
        <f>BX16+BX26</f>
        <v>1588332</v>
      </c>
      <c r="BZ7" s="2860" t="e">
        <f>HLOOKUP($A$1,$AW$1:$BH$400,ROW(),0)-HLOOKUP($A$1,$AI$1:$AT$400,ROW(),0)</f>
        <v>#N/A</v>
      </c>
      <c r="CA7" s="2860">
        <f>BJ7-AV7</f>
        <v>-157632.41666666674</v>
      </c>
      <c r="CB7" s="2861">
        <f>AX7-AJ7</f>
        <v>-117323</v>
      </c>
      <c r="CC7" s="2860">
        <f>BD7*3</f>
        <v>5205570</v>
      </c>
      <c r="CE7" s="590">
        <f>BH7-AT7</f>
        <v>-174680</v>
      </c>
    </row>
    <row r="8" spans="1:88" x14ac:dyDescent="0.55000000000000004">
      <c r="A8" s="7130"/>
      <c r="B8" s="7131"/>
      <c r="C8" s="3084" t="s">
        <v>56</v>
      </c>
      <c r="D8" s="1339"/>
      <c r="E8" s="2888"/>
      <c r="F8" s="2887"/>
      <c r="G8" s="2888"/>
      <c r="H8" s="2888"/>
      <c r="I8" s="2888"/>
      <c r="J8" s="2888"/>
      <c r="K8" s="2888"/>
      <c r="L8" s="2888"/>
      <c r="M8" s="2888"/>
      <c r="N8" s="2888"/>
      <c r="O8" s="2888"/>
      <c r="P8" s="2888"/>
      <c r="Q8" s="2888"/>
      <c r="R8" s="2888"/>
      <c r="S8" s="2888"/>
      <c r="T8" s="2887">
        <f t="shared" ref="T8:AE8" si="9">T17+T27</f>
        <v>44833</v>
      </c>
      <c r="U8" s="2888">
        <f t="shared" si="9"/>
        <v>58018</v>
      </c>
      <c r="V8" s="2888">
        <f t="shared" si="9"/>
        <v>45975</v>
      </c>
      <c r="W8" s="2888">
        <f t="shared" si="9"/>
        <v>42289</v>
      </c>
      <c r="X8" s="2888">
        <f t="shared" si="9"/>
        <v>46787</v>
      </c>
      <c r="Y8" s="2888">
        <f t="shared" si="9"/>
        <v>43236</v>
      </c>
      <c r="Z8" s="2888">
        <f t="shared" si="9"/>
        <v>42744</v>
      </c>
      <c r="AA8" s="2888">
        <f t="shared" si="9"/>
        <v>62567</v>
      </c>
      <c r="AB8" s="2888">
        <f t="shared" si="9"/>
        <v>39419</v>
      </c>
      <c r="AC8" s="2888">
        <f t="shared" si="9"/>
        <v>70467</v>
      </c>
      <c r="AD8" s="2888">
        <f t="shared" si="9"/>
        <v>41324</v>
      </c>
      <c r="AE8" s="2888">
        <f t="shared" si="9"/>
        <v>34632</v>
      </c>
      <c r="AF8" s="2889">
        <f>SUM(T8:AE8)</f>
        <v>572291</v>
      </c>
      <c r="AG8" s="2889">
        <f>AVERAGE(T8:AE8)</f>
        <v>47690.916666666664</v>
      </c>
      <c r="AH8" s="2889"/>
      <c r="AI8" s="2890">
        <v>60465</v>
      </c>
      <c r="AJ8" s="2889">
        <v>44118</v>
      </c>
      <c r="AK8" s="2889">
        <v>46236</v>
      </c>
      <c r="AL8" s="2889">
        <v>47834</v>
      </c>
      <c r="AM8" s="2889">
        <v>49112</v>
      </c>
      <c r="AN8" s="2889">
        <v>44044</v>
      </c>
      <c r="AO8" s="2889">
        <v>61054.999999999993</v>
      </c>
      <c r="AP8" s="2889">
        <v>47733</v>
      </c>
      <c r="AQ8" s="2889">
        <v>67427</v>
      </c>
      <c r="AR8" s="2889">
        <v>61530</v>
      </c>
      <c r="AS8" s="2889">
        <v>48015</v>
      </c>
      <c r="AT8" s="2888">
        <v>41108</v>
      </c>
      <c r="AU8" s="2889">
        <f t="shared" ref="AU8:AU14" si="10">AU17+AU27</f>
        <v>618652</v>
      </c>
      <c r="AV8" s="2891">
        <f>AVERAGE(AI8:AT8)</f>
        <v>51556.416666666664</v>
      </c>
      <c r="AW8" s="3414">
        <f t="shared" si="5"/>
        <v>38822</v>
      </c>
      <c r="AX8" s="2889">
        <f t="shared" si="5"/>
        <v>74843</v>
      </c>
      <c r="AY8" s="2889">
        <f t="shared" si="5"/>
        <v>50688</v>
      </c>
      <c r="AZ8" s="2889">
        <v>64086</v>
      </c>
      <c r="BA8" s="2889">
        <f t="shared" ref="BA8:BB14" si="11">BA17+BA27</f>
        <v>98908</v>
      </c>
      <c r="BB8" s="2889">
        <f t="shared" si="11"/>
        <v>63565</v>
      </c>
      <c r="BC8" s="2889">
        <f t="shared" ref="BC8:BD8" si="12">BC17+BC27</f>
        <v>95972</v>
      </c>
      <c r="BD8" s="2889">
        <f t="shared" si="12"/>
        <v>57549</v>
      </c>
      <c r="BE8" s="2889">
        <f t="shared" ref="BE8:BF8" si="13">BE17+BE27</f>
        <v>76227</v>
      </c>
      <c r="BF8" s="2889">
        <f t="shared" si="13"/>
        <v>62495</v>
      </c>
      <c r="BG8" s="2889">
        <f t="shared" ref="BG8:BH8" si="14">BG17+BG27</f>
        <v>52601</v>
      </c>
      <c r="BH8" s="2889">
        <f t="shared" si="14"/>
        <v>52735</v>
      </c>
      <c r="BI8" s="2889">
        <f>SUM(AW8:BH8)</f>
        <v>788491</v>
      </c>
      <c r="BJ8" s="2891">
        <f>AVERAGE(AW8:BG8)</f>
        <v>66886.909090909088</v>
      </c>
      <c r="BK8" s="2889">
        <f t="shared" ref="BK8" si="15">BK17+BK27</f>
        <v>41214</v>
      </c>
      <c r="BL8" s="2889">
        <v>25644</v>
      </c>
      <c r="BM8" s="2889"/>
      <c r="BN8" s="2889"/>
      <c r="BO8" s="2889"/>
      <c r="BP8" s="2889"/>
      <c r="BQ8" s="2889"/>
      <c r="BR8" s="2889"/>
      <c r="BS8" s="2889"/>
      <c r="BT8" s="2889"/>
      <c r="BU8" s="2889"/>
      <c r="BV8" s="2889"/>
      <c r="BW8" s="2889">
        <f>SUM(BK8:BV8)</f>
        <v>66858</v>
      </c>
      <c r="BX8" s="2891">
        <f>AVERAGE(BK8:BU8)</f>
        <v>33429</v>
      </c>
      <c r="BZ8" s="2860" t="e">
        <f>HLOOKUP($A$1,$AW$1:$BH$400,ROW(),0)-HLOOKUP($A$1,$AI$1:$AT$400,ROW(),0)</f>
        <v>#N/A</v>
      </c>
      <c r="CA8" s="2860">
        <f>BJ8-AV8</f>
        <v>15330.492424242424</v>
      </c>
      <c r="CB8" s="2881" t="e">
        <f>HLOOKUP($A$1,$AW$1:$BH$400,ROW(),0)-SUM(AI8:AJ8)</f>
        <v>#N/A</v>
      </c>
    </row>
    <row r="9" spans="1:88" ht="17.8" hidden="1" customHeight="1" x14ac:dyDescent="0.55000000000000004">
      <c r="A9" s="7130"/>
      <c r="B9" s="7131"/>
      <c r="C9" s="594"/>
      <c r="D9" s="594" t="s">
        <v>46</v>
      </c>
      <c r="E9" s="2774"/>
      <c r="F9" s="2882"/>
      <c r="G9" s="1102"/>
      <c r="H9" s="1102"/>
      <c r="I9" s="1102"/>
      <c r="J9" s="1102"/>
      <c r="K9" s="1102"/>
      <c r="L9" s="1102"/>
      <c r="M9" s="1102"/>
      <c r="N9" s="1102"/>
      <c r="O9" s="1102"/>
      <c r="P9" s="1102"/>
      <c r="Q9" s="1102"/>
      <c r="R9" s="1102"/>
      <c r="S9" s="1102"/>
      <c r="T9" s="2882">
        <f t="shared" ref="T9:AE9" si="16">T18+T28</f>
        <v>16117</v>
      </c>
      <c r="U9" s="1102">
        <f t="shared" si="16"/>
        <v>17266</v>
      </c>
      <c r="V9" s="1102">
        <f t="shared" si="16"/>
        <v>16530</v>
      </c>
      <c r="W9" s="1102">
        <f t="shared" si="16"/>
        <v>13960</v>
      </c>
      <c r="X9" s="1102">
        <f t="shared" si="16"/>
        <v>17024</v>
      </c>
      <c r="Y9" s="1102">
        <f t="shared" si="16"/>
        <v>15994</v>
      </c>
      <c r="Z9" s="1102">
        <f t="shared" si="16"/>
        <v>16734</v>
      </c>
      <c r="AA9" s="1102">
        <f t="shared" si="16"/>
        <v>18242</v>
      </c>
      <c r="AB9" s="1102">
        <f t="shared" si="16"/>
        <v>15307</v>
      </c>
      <c r="AC9" s="1102">
        <f t="shared" si="16"/>
        <v>17458</v>
      </c>
      <c r="AD9" s="1102">
        <f t="shared" si="16"/>
        <v>14962</v>
      </c>
      <c r="AE9" s="1102">
        <f t="shared" si="16"/>
        <v>13108</v>
      </c>
      <c r="AF9" s="2883">
        <f t="shared" ref="AF9:AG14" si="17">AF18+AF28</f>
        <v>192702</v>
      </c>
      <c r="AG9" s="2883">
        <f t="shared" si="17"/>
        <v>16058.5</v>
      </c>
      <c r="AH9" s="2883"/>
      <c r="AI9" s="2884">
        <v>21158</v>
      </c>
      <c r="AJ9" s="2883">
        <v>18812</v>
      </c>
      <c r="AK9" s="2883">
        <v>21166</v>
      </c>
      <c r="AL9" s="2883">
        <v>20382</v>
      </c>
      <c r="AM9" s="2883">
        <v>23263</v>
      </c>
      <c r="AN9" s="2883">
        <v>21034</v>
      </c>
      <c r="AO9" s="2883">
        <v>21255</v>
      </c>
      <c r="AP9" s="2883">
        <v>19773</v>
      </c>
      <c r="AQ9" s="2883">
        <v>18965</v>
      </c>
      <c r="AR9" s="2883">
        <v>20062</v>
      </c>
      <c r="AS9" s="2883">
        <v>19262</v>
      </c>
      <c r="AT9" s="1102">
        <v>0</v>
      </c>
      <c r="AU9" s="2883">
        <f t="shared" si="10"/>
        <v>193665</v>
      </c>
      <c r="AV9" s="2885">
        <f>AV18+AV28</f>
        <v>19284.7803030303</v>
      </c>
      <c r="AW9" s="2968">
        <f t="shared" si="5"/>
        <v>17134</v>
      </c>
      <c r="AX9" s="2883">
        <f t="shared" si="5"/>
        <v>24904</v>
      </c>
      <c r="AY9" s="2883">
        <f t="shared" si="5"/>
        <v>21688</v>
      </c>
      <c r="AZ9" s="2883">
        <v>34019</v>
      </c>
      <c r="BA9" s="2883">
        <f t="shared" si="11"/>
        <v>68004</v>
      </c>
      <c r="BB9" s="2883">
        <f t="shared" si="11"/>
        <v>33265</v>
      </c>
      <c r="BC9" s="2883">
        <f t="shared" ref="BC9:BD9" si="18">BC18+BC28</f>
        <v>49067</v>
      </c>
      <c r="BD9" s="2883">
        <f t="shared" si="18"/>
        <v>21066</v>
      </c>
      <c r="BE9" s="2883">
        <f t="shared" ref="BE9" si="19">BE18+BE28</f>
        <v>23059</v>
      </c>
      <c r="BF9" s="2883">
        <f>BF18+BF28</f>
        <v>19985</v>
      </c>
      <c r="BG9" s="2883">
        <f t="shared" ref="BG9:BH9" si="20">BG18+BG28</f>
        <v>21481</v>
      </c>
      <c r="BH9" s="2883">
        <f t="shared" si="20"/>
        <v>21980</v>
      </c>
      <c r="BI9" s="2883">
        <f t="shared" ref="BI9:BL14" si="21">BI18+BI28</f>
        <v>298079</v>
      </c>
      <c r="BJ9" s="2885">
        <f t="shared" si="21"/>
        <v>30491.583333333336</v>
      </c>
      <c r="BK9" s="2883">
        <f t="shared" si="21"/>
        <v>13704</v>
      </c>
      <c r="BL9" s="2883">
        <v>9219</v>
      </c>
      <c r="BM9" s="2883"/>
      <c r="BN9" s="2883"/>
      <c r="BO9" s="2883"/>
      <c r="BP9" s="2883"/>
      <c r="BQ9" s="2883"/>
      <c r="BR9" s="2883"/>
      <c r="BS9" s="2883"/>
      <c r="BT9" s="2883"/>
      <c r="BU9" s="2883"/>
      <c r="BV9" s="2883"/>
      <c r="BW9" s="2883">
        <f t="shared" ref="BW9:BX9" si="22">BW18+BW28</f>
        <v>22723</v>
      </c>
      <c r="BX9" s="2885">
        <f t="shared" si="22"/>
        <v>11461.5</v>
      </c>
      <c r="BZ9" s="2860" t="e">
        <f>HLOOKUP($A$1,$AW$1:$BH$400,ROW(),0)-HLOOKUP($A$1,$AI$1:$AT$400,ROW(),0)</f>
        <v>#N/A</v>
      </c>
      <c r="CA9" s="2860">
        <f>BJ9-AV9</f>
        <v>11206.803030303035</v>
      </c>
      <c r="CB9" s="2881" t="e">
        <f>HLOOKUP($A$1,$AW$1:$BH$400,ROW(),0)-SUM(AI9:AJ9)</f>
        <v>#N/A</v>
      </c>
    </row>
    <row r="10" spans="1:88" ht="17.8" hidden="1" customHeight="1" x14ac:dyDescent="0.55000000000000004">
      <c r="A10" s="7130"/>
      <c r="B10" s="7131"/>
      <c r="C10" s="594"/>
      <c r="D10" s="594" t="s">
        <v>55</v>
      </c>
      <c r="E10" s="2774"/>
      <c r="F10" s="2882"/>
      <c r="G10" s="1102"/>
      <c r="H10" s="1102"/>
      <c r="I10" s="1102"/>
      <c r="J10" s="1102"/>
      <c r="K10" s="1102"/>
      <c r="L10" s="1102"/>
      <c r="M10" s="1102"/>
      <c r="N10" s="1102"/>
      <c r="O10" s="1102"/>
      <c r="P10" s="1102"/>
      <c r="Q10" s="1102"/>
      <c r="R10" s="1102"/>
      <c r="S10" s="1102"/>
      <c r="T10" s="2882">
        <f t="shared" ref="T10:AE10" si="23">T19+T29</f>
        <v>28743</v>
      </c>
      <c r="U10" s="1102">
        <f t="shared" si="23"/>
        <v>40770</v>
      </c>
      <c r="V10" s="1102">
        <f t="shared" si="23"/>
        <v>29477</v>
      </c>
      <c r="W10" s="1102">
        <f t="shared" si="23"/>
        <v>28357</v>
      </c>
      <c r="X10" s="1102">
        <f t="shared" si="23"/>
        <v>29789</v>
      </c>
      <c r="Y10" s="1102">
        <f t="shared" si="23"/>
        <v>27269</v>
      </c>
      <c r="Z10" s="1102">
        <f t="shared" si="23"/>
        <v>26035</v>
      </c>
      <c r="AA10" s="1102">
        <f t="shared" si="23"/>
        <v>44355</v>
      </c>
      <c r="AB10" s="1102">
        <f t="shared" si="23"/>
        <v>24157</v>
      </c>
      <c r="AC10" s="1102">
        <f t="shared" si="23"/>
        <v>53065</v>
      </c>
      <c r="AD10" s="1102">
        <f t="shared" si="23"/>
        <v>26385</v>
      </c>
      <c r="AE10" s="1102">
        <f t="shared" si="23"/>
        <v>21548</v>
      </c>
      <c r="AF10" s="2883">
        <f t="shared" si="17"/>
        <v>379950</v>
      </c>
      <c r="AG10" s="2883">
        <f t="shared" si="17"/>
        <v>31662.5</v>
      </c>
      <c r="AH10" s="2883"/>
      <c r="AI10" s="2884">
        <v>39132</v>
      </c>
      <c r="AJ10" s="2883">
        <v>24425</v>
      </c>
      <c r="AK10" s="2883">
        <v>25714</v>
      </c>
      <c r="AL10" s="2883">
        <v>28122</v>
      </c>
      <c r="AM10" s="2883">
        <v>26401</v>
      </c>
      <c r="AN10" s="2883">
        <v>23736</v>
      </c>
      <c r="AO10" s="2883">
        <v>40335</v>
      </c>
      <c r="AP10" s="2883">
        <v>28327</v>
      </c>
      <c r="AQ10" s="2883">
        <v>48973</v>
      </c>
      <c r="AR10" s="2883">
        <v>42189</v>
      </c>
      <c r="AS10" s="2883">
        <v>29295</v>
      </c>
      <c r="AT10" s="1102">
        <v>856</v>
      </c>
      <c r="AU10" s="2883">
        <f t="shared" si="10"/>
        <v>313512</v>
      </c>
      <c r="AV10" s="2885">
        <f t="shared" ref="AV10:AV14" si="24">AV19+AV29</f>
        <v>32292.13636363636</v>
      </c>
      <c r="AW10" s="2968">
        <f t="shared" si="5"/>
        <v>21688</v>
      </c>
      <c r="AX10" s="2883">
        <f t="shared" si="5"/>
        <v>49939</v>
      </c>
      <c r="AY10" s="2883">
        <f t="shared" si="5"/>
        <v>29000</v>
      </c>
      <c r="AZ10" s="2883">
        <v>30067</v>
      </c>
      <c r="BA10" s="2883">
        <f t="shared" si="11"/>
        <v>30904</v>
      </c>
      <c r="BB10" s="2883">
        <f t="shared" si="11"/>
        <v>30300</v>
      </c>
      <c r="BC10" s="2883">
        <f t="shared" ref="BC10:BD10" si="25">BC19+BC29</f>
        <v>46897</v>
      </c>
      <c r="BD10" s="2883">
        <f t="shared" si="25"/>
        <v>36483</v>
      </c>
      <c r="BE10" s="2883">
        <f t="shared" ref="BE10:BF10" si="26">BE19+BE29</f>
        <v>53168</v>
      </c>
      <c r="BF10" s="2883">
        <f t="shared" si="26"/>
        <v>42510</v>
      </c>
      <c r="BG10" s="2883">
        <f t="shared" ref="BG10:BH10" si="27">BG19+BG29</f>
        <v>31120</v>
      </c>
      <c r="BH10" s="2883">
        <f t="shared" si="27"/>
        <v>30755</v>
      </c>
      <c r="BI10" s="2883">
        <f t="shared" si="21"/>
        <v>351270</v>
      </c>
      <c r="BJ10" s="2885">
        <f>BJ19+BJ29</f>
        <v>36661.972222222226</v>
      </c>
      <c r="BK10" s="2883">
        <f t="shared" ref="BK10" si="28">BK19+BK29</f>
        <v>27510</v>
      </c>
      <c r="BL10" s="2883">
        <v>16425</v>
      </c>
      <c r="BM10" s="2883"/>
      <c r="BN10" s="2883"/>
      <c r="BO10" s="2883"/>
      <c r="BP10" s="2883"/>
      <c r="BQ10" s="2883"/>
      <c r="BR10" s="2883"/>
      <c r="BS10" s="2883"/>
      <c r="BT10" s="2883"/>
      <c r="BU10" s="2883"/>
      <c r="BV10" s="2883"/>
      <c r="BW10" s="2883">
        <f t="shared" ref="BW10" si="29">BW19+BW29</f>
        <v>43721</v>
      </c>
      <c r="BX10" s="2885">
        <f>BX19+BX29</f>
        <v>21967.5</v>
      </c>
      <c r="BZ10" s="2860" t="e">
        <f>HLOOKUP($A$1,$AW$1:$BH$400,ROW(),0)-HLOOKUP($A$1,$AI$1:$AT$400,ROW(),0)</f>
        <v>#N/A</v>
      </c>
      <c r="CA10" s="2860">
        <f>BJ10-AV10</f>
        <v>4369.8358585858659</v>
      </c>
      <c r="CB10" s="2881" t="e">
        <f>HLOOKUP($A$1,$AW$1:$BH$400,ROW(),0)-SUM(AI10:AJ10)</f>
        <v>#N/A</v>
      </c>
    </row>
    <row r="11" spans="1:88" x14ac:dyDescent="0.55000000000000004">
      <c r="A11" s="7130"/>
      <c r="B11" s="7131"/>
      <c r="C11" s="594" t="s">
        <v>47</v>
      </c>
      <c r="D11" s="594"/>
      <c r="E11" s="2774"/>
      <c r="F11" s="2882"/>
      <c r="G11" s="1102"/>
      <c r="H11" s="1102"/>
      <c r="I11" s="1102"/>
      <c r="J11" s="1102"/>
      <c r="K11" s="1102"/>
      <c r="L11" s="1102"/>
      <c r="M11" s="1102"/>
      <c r="N11" s="1102"/>
      <c r="O11" s="1102"/>
      <c r="P11" s="1102"/>
      <c r="Q11" s="1102"/>
      <c r="R11" s="1102"/>
      <c r="S11" s="1102"/>
      <c r="T11" s="2882">
        <f t="shared" ref="T11:AE11" si="30">T20+T30</f>
        <v>15442</v>
      </c>
      <c r="U11" s="1102">
        <f t="shared" si="30"/>
        <v>15605</v>
      </c>
      <c r="V11" s="1102">
        <f t="shared" si="30"/>
        <v>15507</v>
      </c>
      <c r="W11" s="1102">
        <f t="shared" si="30"/>
        <v>15328</v>
      </c>
      <c r="X11" s="1102">
        <f t="shared" si="30"/>
        <v>18169</v>
      </c>
      <c r="Y11" s="1102">
        <f t="shared" si="30"/>
        <v>17050</v>
      </c>
      <c r="Z11" s="1102">
        <f t="shared" si="30"/>
        <v>18693</v>
      </c>
      <c r="AA11" s="1102">
        <f t="shared" si="30"/>
        <v>20302</v>
      </c>
      <c r="AB11" s="1102">
        <f t="shared" si="30"/>
        <v>16435</v>
      </c>
      <c r="AC11" s="1102">
        <f t="shared" si="30"/>
        <v>18810</v>
      </c>
      <c r="AD11" s="1102">
        <f t="shared" si="30"/>
        <v>17337</v>
      </c>
      <c r="AE11" s="1102">
        <f t="shared" si="30"/>
        <v>16746</v>
      </c>
      <c r="AF11" s="2883">
        <f t="shared" si="17"/>
        <v>205424</v>
      </c>
      <c r="AG11" s="2883">
        <f t="shared" si="17"/>
        <v>17118.666666666664</v>
      </c>
      <c r="AH11" s="2883"/>
      <c r="AI11" s="2884">
        <v>17406</v>
      </c>
      <c r="AJ11" s="2883">
        <v>16695</v>
      </c>
      <c r="AK11" s="2883">
        <v>17129</v>
      </c>
      <c r="AL11" s="2883">
        <v>17464</v>
      </c>
      <c r="AM11" s="2883">
        <v>18385</v>
      </c>
      <c r="AN11" s="2883">
        <v>16087</v>
      </c>
      <c r="AO11" s="2883">
        <v>17724</v>
      </c>
      <c r="AP11" s="2883">
        <v>16788</v>
      </c>
      <c r="AQ11" s="2883">
        <v>15770</v>
      </c>
      <c r="AR11" s="2883">
        <v>16883</v>
      </c>
      <c r="AS11" s="2883">
        <v>17753</v>
      </c>
      <c r="AT11" s="1102">
        <v>18307</v>
      </c>
      <c r="AU11" s="1102">
        <f t="shared" si="10"/>
        <v>206391</v>
      </c>
      <c r="AV11" s="2885">
        <f t="shared" si="24"/>
        <v>17108.929292929293</v>
      </c>
      <c r="AW11" s="2968">
        <f t="shared" si="5"/>
        <v>14989</v>
      </c>
      <c r="AX11" s="2883">
        <f t="shared" si="5"/>
        <v>18290</v>
      </c>
      <c r="AY11" s="2883">
        <f t="shared" si="5"/>
        <v>16783</v>
      </c>
      <c r="AZ11" s="2883">
        <v>16056</v>
      </c>
      <c r="BA11" s="2883">
        <f t="shared" si="11"/>
        <v>13653</v>
      </c>
      <c r="BB11" s="2883">
        <f t="shared" si="11"/>
        <v>15996</v>
      </c>
      <c r="BC11" s="2883">
        <f t="shared" ref="BC11:BD11" si="31">BC20+BC30</f>
        <v>23615</v>
      </c>
      <c r="BD11" s="2883">
        <f t="shared" si="31"/>
        <v>17953</v>
      </c>
      <c r="BE11" s="2883">
        <f t="shared" ref="BE11:BF11" si="32">BE20+BE30</f>
        <v>17962</v>
      </c>
      <c r="BF11" s="2883">
        <f t="shared" si="32"/>
        <v>15802</v>
      </c>
      <c r="BG11" s="2883">
        <f t="shared" ref="BG11:BH11" si="33">BG20+BG30</f>
        <v>15334</v>
      </c>
      <c r="BH11" s="2883">
        <f t="shared" si="33"/>
        <v>16703</v>
      </c>
      <c r="BI11" s="2883">
        <f t="shared" si="21"/>
        <v>203136</v>
      </c>
      <c r="BJ11" s="2885">
        <f t="shared" si="21"/>
        <v>16948.454545454544</v>
      </c>
      <c r="BK11" s="2883">
        <f t="shared" si="21"/>
        <v>38385</v>
      </c>
      <c r="BL11" s="2883">
        <v>12686</v>
      </c>
      <c r="BM11" s="2883"/>
      <c r="BN11" s="2883"/>
      <c r="BO11" s="2883"/>
      <c r="BP11" s="2883"/>
      <c r="BQ11" s="2883"/>
      <c r="BR11" s="2883"/>
      <c r="BS11" s="2883"/>
      <c r="BT11" s="2883"/>
      <c r="BU11" s="2883"/>
      <c r="BV11" s="2883"/>
      <c r="BW11" s="2883">
        <f t="shared" ref="BW11:BX11" si="34">BW20+BW30</f>
        <v>51071</v>
      </c>
      <c r="BX11" s="2885">
        <f t="shared" si="34"/>
        <v>25535.5</v>
      </c>
      <c r="BZ11" s="2860" t="e">
        <f>HLOOKUP($A$1,$AW$1:$BH$400,ROW(),0)-HLOOKUP($A$1,$AI$1:$AT$400,ROW(),0)</f>
        <v>#N/A</v>
      </c>
      <c r="CA11" s="2860">
        <f>BJ11-AV11</f>
        <v>-160.47474747474917</v>
      </c>
      <c r="CB11" s="2881" t="e">
        <f>HLOOKUP($A$1,$AW$1:$BH$400,ROW(),0)-SUM(AI11:AJ11)</f>
        <v>#N/A</v>
      </c>
    </row>
    <row r="12" spans="1:88" x14ac:dyDescent="0.55000000000000004">
      <c r="A12" s="7130"/>
      <c r="B12" s="7131"/>
      <c r="C12" s="594" t="s">
        <v>58</v>
      </c>
      <c r="D12" s="594"/>
      <c r="E12" s="2774"/>
      <c r="F12" s="2882"/>
      <c r="G12" s="1102"/>
      <c r="H12" s="1102"/>
      <c r="I12" s="1102"/>
      <c r="J12" s="1102"/>
      <c r="K12" s="1102"/>
      <c r="L12" s="1102"/>
      <c r="M12" s="1102"/>
      <c r="N12" s="1102"/>
      <c r="O12" s="1102"/>
      <c r="P12" s="1102"/>
      <c r="Q12" s="1102"/>
      <c r="R12" s="1102"/>
      <c r="S12" s="1102"/>
      <c r="T12" s="2882">
        <f t="shared" ref="T12:AE12" si="35">T21+T31</f>
        <v>918</v>
      </c>
      <c r="U12" s="1102">
        <f t="shared" si="35"/>
        <v>903</v>
      </c>
      <c r="V12" s="1102">
        <f t="shared" si="35"/>
        <v>1118</v>
      </c>
      <c r="W12" s="1102">
        <f t="shared" si="35"/>
        <v>997</v>
      </c>
      <c r="X12" s="1102">
        <f t="shared" si="35"/>
        <v>2183</v>
      </c>
      <c r="Y12" s="1102">
        <f t="shared" si="35"/>
        <v>1226</v>
      </c>
      <c r="Z12" s="1102">
        <f t="shared" si="35"/>
        <v>1081</v>
      </c>
      <c r="AA12" s="1102">
        <f t="shared" si="35"/>
        <v>1144</v>
      </c>
      <c r="AB12" s="1102">
        <f t="shared" si="35"/>
        <v>1716</v>
      </c>
      <c r="AC12" s="1102">
        <f t="shared" si="35"/>
        <v>1040</v>
      </c>
      <c r="AD12" s="1102">
        <f t="shared" si="35"/>
        <v>1229</v>
      </c>
      <c r="AE12" s="1102">
        <f t="shared" si="35"/>
        <v>2506</v>
      </c>
      <c r="AF12" s="2883">
        <f t="shared" si="17"/>
        <v>16061</v>
      </c>
      <c r="AG12" s="2883">
        <f t="shared" si="17"/>
        <v>1338.4166666666667</v>
      </c>
      <c r="AH12" s="2883"/>
      <c r="AI12" s="2884">
        <v>976</v>
      </c>
      <c r="AJ12" s="2883">
        <v>989</v>
      </c>
      <c r="AK12" s="2883">
        <v>1322</v>
      </c>
      <c r="AL12" s="2883">
        <v>1340</v>
      </c>
      <c r="AM12" s="2883">
        <v>2189</v>
      </c>
      <c r="AN12" s="2883">
        <v>1151</v>
      </c>
      <c r="AO12" s="2883">
        <v>1186</v>
      </c>
      <c r="AP12" s="2883">
        <v>1414</v>
      </c>
      <c r="AQ12" s="2883">
        <v>1505</v>
      </c>
      <c r="AR12" s="2883">
        <v>1368</v>
      </c>
      <c r="AS12" s="2883">
        <v>1477</v>
      </c>
      <c r="AT12" s="1102">
        <v>3350</v>
      </c>
      <c r="AU12" s="2883">
        <f t="shared" si="10"/>
        <v>18267</v>
      </c>
      <c r="AV12" s="2885">
        <f t="shared" si="24"/>
        <v>1358.3131313131312</v>
      </c>
      <c r="AW12" s="2968">
        <f t="shared" si="5"/>
        <v>1314</v>
      </c>
      <c r="AX12" s="2883">
        <f t="shared" si="5"/>
        <v>1140</v>
      </c>
      <c r="AY12" s="2883">
        <f t="shared" si="5"/>
        <v>1083</v>
      </c>
      <c r="AZ12" s="2883">
        <v>5069</v>
      </c>
      <c r="BA12" s="2883">
        <f t="shared" si="11"/>
        <v>1160</v>
      </c>
      <c r="BB12" s="2883">
        <f t="shared" si="11"/>
        <v>2042</v>
      </c>
      <c r="BC12" s="2883">
        <f t="shared" ref="BC12:BD12" si="36">BC21+BC31</f>
        <v>1131</v>
      </c>
      <c r="BD12" s="2883">
        <f t="shared" si="36"/>
        <v>1265</v>
      </c>
      <c r="BE12" s="2883">
        <f t="shared" ref="BE12:BF12" si="37">BE21+BE31</f>
        <v>1120</v>
      </c>
      <c r="BF12" s="2883">
        <f t="shared" si="37"/>
        <v>1323</v>
      </c>
      <c r="BG12" s="2883">
        <f t="shared" ref="BG12:BH12" si="38">BG21+BG31</f>
        <v>1250</v>
      </c>
      <c r="BH12" s="2883">
        <f t="shared" si="38"/>
        <v>1545</v>
      </c>
      <c r="BI12" s="2883">
        <f t="shared" si="21"/>
        <v>14518</v>
      </c>
      <c r="BJ12" s="2885">
        <f t="shared" si="21"/>
        <v>1215</v>
      </c>
      <c r="BK12" s="2883">
        <f t="shared" si="21"/>
        <v>2338</v>
      </c>
      <c r="BL12" s="2883">
        <v>836</v>
      </c>
      <c r="BM12" s="2883"/>
      <c r="BN12" s="2883"/>
      <c r="BO12" s="2883"/>
      <c r="BP12" s="2883"/>
      <c r="BQ12" s="2883"/>
      <c r="BR12" s="2883"/>
      <c r="BS12" s="2883"/>
      <c r="BT12" s="2883"/>
      <c r="BU12" s="2883"/>
      <c r="BV12" s="2883"/>
      <c r="BW12" s="2883">
        <f t="shared" ref="BW12:BX12" si="39">BW21+BW31</f>
        <v>2876</v>
      </c>
      <c r="BX12" s="2885">
        <f t="shared" si="39"/>
        <v>1438</v>
      </c>
      <c r="BZ12" s="2860" t="e">
        <f>HLOOKUP($A$1,$AW$1:$BH$400,ROW(),0)-HLOOKUP($A$1,$AI$1:$AT$400,ROW(),0)</f>
        <v>#N/A</v>
      </c>
      <c r="CA12" s="2860">
        <f>BJ12-AV12</f>
        <v>-143.31313131313118</v>
      </c>
      <c r="CB12" s="2881" t="e">
        <f>HLOOKUP($A$1,$AW$1:$BH$400,ROW(),0)-SUM(AI12:AJ12)</f>
        <v>#N/A</v>
      </c>
    </row>
    <row r="13" spans="1:88" x14ac:dyDescent="0.55000000000000004">
      <c r="A13" s="7130"/>
      <c r="B13" s="7131"/>
      <c r="C13" s="594" t="s">
        <v>48</v>
      </c>
      <c r="D13" s="594"/>
      <c r="E13" s="2774"/>
      <c r="F13" s="2882"/>
      <c r="G13" s="1102"/>
      <c r="H13" s="1102"/>
      <c r="I13" s="1102"/>
      <c r="J13" s="1102"/>
      <c r="K13" s="1102"/>
      <c r="L13" s="1102"/>
      <c r="M13" s="1102"/>
      <c r="N13" s="1102"/>
      <c r="O13" s="1102"/>
      <c r="P13" s="1102"/>
      <c r="Q13" s="1102"/>
      <c r="R13" s="1102"/>
      <c r="S13" s="1102"/>
      <c r="T13" s="2882">
        <f t="shared" ref="T13:AE13" si="40">T22+T32</f>
        <v>22404</v>
      </c>
      <c r="U13" s="1102">
        <f t="shared" si="40"/>
        <v>31275</v>
      </c>
      <c r="V13" s="1102">
        <f t="shared" si="40"/>
        <v>1943</v>
      </c>
      <c r="W13" s="1102">
        <f t="shared" si="40"/>
        <v>14660</v>
      </c>
      <c r="X13" s="1102">
        <f t="shared" si="40"/>
        <v>22933</v>
      </c>
      <c r="Y13" s="1102">
        <f t="shared" si="40"/>
        <v>20640</v>
      </c>
      <c r="Z13" s="1102">
        <f t="shared" si="40"/>
        <v>20389</v>
      </c>
      <c r="AA13" s="1102">
        <f t="shared" si="40"/>
        <v>36855</v>
      </c>
      <c r="AB13" s="1102">
        <f t="shared" si="40"/>
        <v>19567</v>
      </c>
      <c r="AC13" s="1102">
        <f t="shared" si="40"/>
        <v>33534</v>
      </c>
      <c r="AD13" s="1102">
        <f t="shared" si="40"/>
        <v>19911</v>
      </c>
      <c r="AE13" s="1102">
        <f t="shared" si="40"/>
        <v>17253</v>
      </c>
      <c r="AF13" s="2883">
        <f t="shared" si="17"/>
        <v>261364</v>
      </c>
      <c r="AG13" s="2883">
        <f t="shared" si="17"/>
        <v>21780.333333333336</v>
      </c>
      <c r="AH13" s="2883"/>
      <c r="AI13" s="2884">
        <v>36822</v>
      </c>
      <c r="AJ13" s="2883">
        <v>26513</v>
      </c>
      <c r="AK13" s="2883">
        <v>30707</v>
      </c>
      <c r="AL13" s="2883">
        <v>32391</v>
      </c>
      <c r="AM13" s="2883">
        <v>30663</v>
      </c>
      <c r="AN13" s="2883">
        <v>24954</v>
      </c>
      <c r="AO13" s="2883">
        <v>35706.999999999993</v>
      </c>
      <c r="AP13" s="2883">
        <v>24216</v>
      </c>
      <c r="AQ13" s="2883">
        <v>45778</v>
      </c>
      <c r="AR13" s="2883">
        <v>46041</v>
      </c>
      <c r="AS13" s="2883">
        <v>33123</v>
      </c>
      <c r="AT13" s="1102">
        <v>30026</v>
      </c>
      <c r="AU13" s="2883">
        <f t="shared" si="10"/>
        <v>396916</v>
      </c>
      <c r="AV13" s="2885">
        <f t="shared" si="24"/>
        <v>33354.909090909088</v>
      </c>
      <c r="AW13" s="2968">
        <f t="shared" si="5"/>
        <v>33644</v>
      </c>
      <c r="AX13" s="2883">
        <f t="shared" si="5"/>
        <v>58703</v>
      </c>
      <c r="AY13" s="2883">
        <f t="shared" si="5"/>
        <v>40861</v>
      </c>
      <c r="AZ13" s="2883">
        <v>46142</v>
      </c>
      <c r="BA13" s="2883">
        <f t="shared" si="11"/>
        <v>58250</v>
      </c>
      <c r="BB13" s="2883">
        <f t="shared" si="11"/>
        <v>49360</v>
      </c>
      <c r="BC13" s="2883">
        <f t="shared" ref="BC13:BD13" si="41">BC22+BC32</f>
        <v>67006</v>
      </c>
      <c r="BD13" s="2883">
        <f t="shared" si="41"/>
        <v>49657</v>
      </c>
      <c r="BE13" s="2883">
        <f t="shared" ref="BE13:BF13" si="42">BE22+BE32</f>
        <v>63823</v>
      </c>
      <c r="BF13" s="2883">
        <f t="shared" si="42"/>
        <v>52754</v>
      </c>
      <c r="BG13" s="2883">
        <f t="shared" ref="BG13:BH13" si="43">BG22+BG32</f>
        <v>44092</v>
      </c>
      <c r="BH13" s="2883">
        <f t="shared" si="43"/>
        <v>45806</v>
      </c>
      <c r="BI13" s="2883">
        <f t="shared" si="21"/>
        <v>610687</v>
      </c>
      <c r="BJ13" s="2885">
        <f t="shared" si="21"/>
        <v>54829.472222222219</v>
      </c>
      <c r="BK13" s="2883">
        <f t="shared" si="21"/>
        <v>9545</v>
      </c>
      <c r="BL13" s="2883">
        <f t="shared" si="21"/>
        <v>11566</v>
      </c>
      <c r="BM13" s="2883"/>
      <c r="BN13" s="2883"/>
      <c r="BO13" s="2883"/>
      <c r="BP13" s="2883"/>
      <c r="BQ13" s="2883"/>
      <c r="BR13" s="2883"/>
      <c r="BS13" s="2883"/>
      <c r="BT13" s="2883"/>
      <c r="BU13" s="2883"/>
      <c r="BV13" s="2883"/>
      <c r="BW13" s="2883">
        <f t="shared" ref="BW13:BX13" si="44">BW22+BW32</f>
        <v>31480</v>
      </c>
      <c r="BX13" s="2885">
        <f t="shared" si="44"/>
        <v>15740</v>
      </c>
      <c r="BZ13" s="2860" t="e">
        <f>HLOOKUP($A$1,$AW$1:$BH$400,ROW(),0)-HLOOKUP($A$1,$AI$1:$AT$400,ROW(),0)</f>
        <v>#N/A</v>
      </c>
      <c r="CA13" s="2860">
        <f>BJ13-AV13</f>
        <v>21474.563131313131</v>
      </c>
      <c r="CB13" s="2881" t="e">
        <f>HLOOKUP($A$1,$AW$1:$BH$400,ROW(),0)-SUM(AI13:AJ13)</f>
        <v>#N/A</v>
      </c>
    </row>
    <row r="14" spans="1:88" x14ac:dyDescent="0.55000000000000004">
      <c r="A14" s="7130"/>
      <c r="B14" s="7131"/>
      <c r="C14" s="594" t="s">
        <v>49</v>
      </c>
      <c r="D14" s="594"/>
      <c r="E14" s="2774"/>
      <c r="F14" s="2882"/>
      <c r="G14" s="1102"/>
      <c r="H14" s="1102"/>
      <c r="I14" s="1102"/>
      <c r="J14" s="1102"/>
      <c r="K14" s="1102"/>
      <c r="L14" s="1102"/>
      <c r="M14" s="1102"/>
      <c r="N14" s="1102"/>
      <c r="O14" s="1102"/>
      <c r="P14" s="1102"/>
      <c r="Q14" s="1102"/>
      <c r="R14" s="1102"/>
      <c r="S14" s="1102"/>
      <c r="T14" s="2882">
        <f t="shared" ref="T14:AE14" si="45">T23+T33</f>
        <v>10568</v>
      </c>
      <c r="U14" s="1102">
        <f t="shared" si="45"/>
        <v>9476</v>
      </c>
      <c r="V14" s="1102">
        <f t="shared" si="45"/>
        <v>10614</v>
      </c>
      <c r="W14" s="1102">
        <f t="shared" si="45"/>
        <v>7993</v>
      </c>
      <c r="X14" s="1102">
        <f t="shared" si="45"/>
        <v>8669</v>
      </c>
      <c r="Y14" s="1102">
        <f t="shared" si="45"/>
        <v>8722</v>
      </c>
      <c r="Z14" s="1102">
        <f t="shared" si="45"/>
        <v>8580</v>
      </c>
      <c r="AA14" s="1102">
        <f t="shared" si="45"/>
        <v>8777</v>
      </c>
      <c r="AB14" s="1102">
        <f t="shared" si="45"/>
        <v>7789</v>
      </c>
      <c r="AC14" s="1102">
        <f t="shared" si="45"/>
        <v>17737</v>
      </c>
      <c r="AD14" s="1102">
        <f t="shared" si="45"/>
        <v>9885</v>
      </c>
      <c r="AE14" s="1102">
        <f t="shared" si="45"/>
        <v>7787</v>
      </c>
      <c r="AF14" s="2883">
        <f t="shared" si="17"/>
        <v>116597</v>
      </c>
      <c r="AG14" s="2883">
        <f t="shared" si="17"/>
        <v>9716.4166666666661</v>
      </c>
      <c r="AH14" s="2883"/>
      <c r="AI14" s="2884">
        <v>5780</v>
      </c>
      <c r="AJ14" s="2883">
        <v>5148</v>
      </c>
      <c r="AK14" s="2883">
        <v>5822</v>
      </c>
      <c r="AL14" s="2883">
        <v>6133</v>
      </c>
      <c r="AM14" s="2883">
        <v>7424</v>
      </c>
      <c r="AN14" s="2883">
        <v>6739</v>
      </c>
      <c r="AO14" s="2883">
        <v>10412</v>
      </c>
      <c r="AP14" s="2883">
        <v>9915</v>
      </c>
      <c r="AQ14" s="2883">
        <v>9856</v>
      </c>
      <c r="AR14" s="2883">
        <v>14231</v>
      </c>
      <c r="AS14" s="2883">
        <v>13225</v>
      </c>
      <c r="AT14" s="1102">
        <v>9489</v>
      </c>
      <c r="AU14" s="2883">
        <f t="shared" si="10"/>
        <v>104174</v>
      </c>
      <c r="AV14" s="2885">
        <f t="shared" si="24"/>
        <v>8596.9494949494947</v>
      </c>
      <c r="AW14" s="2968">
        <f t="shared" si="5"/>
        <v>9088</v>
      </c>
      <c r="AX14" s="2883">
        <f t="shared" si="5"/>
        <v>10466</v>
      </c>
      <c r="AY14" s="2883">
        <f t="shared" si="5"/>
        <v>8058</v>
      </c>
      <c r="AZ14" s="2883">
        <v>11496</v>
      </c>
      <c r="BA14" s="2883">
        <f t="shared" si="11"/>
        <v>9856</v>
      </c>
      <c r="BB14" s="2883">
        <f t="shared" si="11"/>
        <v>12471</v>
      </c>
      <c r="BC14" s="2883">
        <f t="shared" ref="BC14" si="46">BC23+BC33</f>
        <v>13823</v>
      </c>
      <c r="BD14" s="2883">
        <f>BD23+BD33</f>
        <v>14746</v>
      </c>
      <c r="BE14" s="2883">
        <f>BE23+BE33</f>
        <v>12395</v>
      </c>
      <c r="BF14" s="2883">
        <f>BF23+BF33</f>
        <v>16509</v>
      </c>
      <c r="BG14" s="2883">
        <f>BG23+BG33</f>
        <v>14932</v>
      </c>
      <c r="BH14" s="2883">
        <f>BH23+BH33</f>
        <v>14901</v>
      </c>
      <c r="BI14" s="2883">
        <f t="shared" si="21"/>
        <v>148590</v>
      </c>
      <c r="BJ14" s="2885">
        <f t="shared" si="21"/>
        <v>12153.545454545456</v>
      </c>
      <c r="BK14" s="2883">
        <f>BK23+BK33</f>
        <v>17411</v>
      </c>
      <c r="BL14" s="2883">
        <v>18450</v>
      </c>
      <c r="BM14" s="2883"/>
      <c r="BN14" s="2883"/>
      <c r="BO14" s="2883"/>
      <c r="BP14" s="2883"/>
      <c r="BQ14" s="2883"/>
      <c r="BR14" s="2883"/>
      <c r="BS14" s="2883"/>
      <c r="BT14" s="2883"/>
      <c r="BU14" s="2883"/>
      <c r="BV14" s="2883"/>
      <c r="BW14" s="2883">
        <f t="shared" ref="BW14:BX14" si="47">BW23+BW33</f>
        <v>35861</v>
      </c>
      <c r="BX14" s="2885">
        <f t="shared" si="47"/>
        <v>17930.5</v>
      </c>
      <c r="BZ14" s="2860" t="e">
        <f>HLOOKUP($A$1,$AW$1:$BH$400,ROW(),0)-HLOOKUP($A$1,$AI$1:$AT$400,ROW(),0)</f>
        <v>#N/A</v>
      </c>
      <c r="CA14" s="2860">
        <f>BJ14-AV14</f>
        <v>3556.5959595959612</v>
      </c>
      <c r="CB14" s="2881" t="e">
        <f>HLOOKUP($A$1,$AW$1:$BH$400,ROW(),0)-SUM(AI14:AJ14)</f>
        <v>#N/A</v>
      </c>
    </row>
    <row r="15" spans="1:88" x14ac:dyDescent="0.55000000000000004">
      <c r="A15" s="7132"/>
      <c r="B15" s="7133"/>
      <c r="C15" s="1257" t="s">
        <v>50</v>
      </c>
      <c r="D15" s="1576"/>
      <c r="E15" s="2895"/>
      <c r="F15" s="2894"/>
      <c r="G15" s="2895"/>
      <c r="H15" s="2895"/>
      <c r="I15" s="2895"/>
      <c r="J15" s="2895"/>
      <c r="K15" s="2895"/>
      <c r="L15" s="2895"/>
      <c r="M15" s="2895"/>
      <c r="N15" s="2895"/>
      <c r="O15" s="2895"/>
      <c r="P15" s="2895"/>
      <c r="Q15" s="2895"/>
      <c r="R15" s="2895"/>
      <c r="S15" s="2895"/>
      <c r="T15" s="2894">
        <f t="shared" ref="T15:AG15" si="48">T25+T35</f>
        <v>-3581</v>
      </c>
      <c r="U15" s="2895">
        <f t="shared" si="48"/>
        <v>1662</v>
      </c>
      <c r="V15" s="2895">
        <f t="shared" si="48"/>
        <v>17911</v>
      </c>
      <c r="W15" s="2895">
        <f t="shared" si="48"/>
        <v>4308</v>
      </c>
      <c r="X15" s="2895">
        <f t="shared" si="48"/>
        <v>-2984</v>
      </c>
      <c r="Y15" s="2895">
        <f t="shared" si="48"/>
        <v>-3176</v>
      </c>
      <c r="Z15" s="2895">
        <f t="shared" si="48"/>
        <v>-4918</v>
      </c>
      <c r="AA15" s="2895">
        <f t="shared" si="48"/>
        <v>-3367</v>
      </c>
      <c r="AB15" s="2895">
        <f t="shared" si="48"/>
        <v>-4372</v>
      </c>
      <c r="AC15" s="2895">
        <f t="shared" si="48"/>
        <v>386</v>
      </c>
      <c r="AD15" s="2895">
        <f t="shared" si="48"/>
        <v>-5809</v>
      </c>
      <c r="AE15" s="2895">
        <f t="shared" si="48"/>
        <v>-7154</v>
      </c>
      <c r="AF15" s="2896">
        <f t="shared" si="48"/>
        <v>-11094</v>
      </c>
      <c r="AG15" s="2896">
        <f t="shared" si="48"/>
        <v>-924.49999999999966</v>
      </c>
      <c r="AH15" s="2896"/>
      <c r="AI15" s="2919">
        <v>759</v>
      </c>
      <c r="AJ15" s="2896">
        <v>-4238</v>
      </c>
      <c r="AK15" s="2896">
        <v>-7422</v>
      </c>
      <c r="AL15" s="2896">
        <v>-8154</v>
      </c>
      <c r="AM15" s="2896">
        <v>-7360</v>
      </c>
      <c r="AN15" s="2896">
        <v>-3736</v>
      </c>
      <c r="AO15" s="2896">
        <v>-2788</v>
      </c>
      <c r="AP15" s="2896">
        <v>-3186</v>
      </c>
      <c r="AQ15" s="2896">
        <v>-3977</v>
      </c>
      <c r="AR15" s="2896">
        <v>-15625</v>
      </c>
      <c r="AS15" s="2896">
        <v>-16086</v>
      </c>
      <c r="AT15" s="2895">
        <v>-16714</v>
      </c>
      <c r="AU15" s="2896">
        <f>AU25+AU35</f>
        <v>-88829</v>
      </c>
      <c r="AV15" s="2898">
        <f>AV25+AV35</f>
        <v>-7402.4166666666661</v>
      </c>
      <c r="AW15" s="4505">
        <f t="shared" ref="AW15:AY15" si="49">AW25+AW35</f>
        <v>-18899</v>
      </c>
      <c r="AX15" s="2896">
        <f>AX25+AX35</f>
        <v>-12616</v>
      </c>
      <c r="AY15" s="2896">
        <f t="shared" si="49"/>
        <v>-15014</v>
      </c>
      <c r="AZ15" s="2896">
        <v>-9608</v>
      </c>
      <c r="BA15" s="2896">
        <f t="shared" ref="BA15:BH15" si="50">BA7-AZ7</f>
        <v>17119</v>
      </c>
      <c r="BB15" s="2896">
        <f t="shared" si="50"/>
        <v>-14262</v>
      </c>
      <c r="BC15" s="2896">
        <f t="shared" si="50"/>
        <v>-8472</v>
      </c>
      <c r="BD15" s="2896">
        <f t="shared" si="50"/>
        <v>-24807</v>
      </c>
      <c r="BE15" s="2896">
        <f t="shared" si="50"/>
        <v>-17953</v>
      </c>
      <c r="BF15" s="2896">
        <f t="shared" si="50"/>
        <v>-23621</v>
      </c>
      <c r="BG15" s="2896">
        <f t="shared" si="50"/>
        <v>-21327</v>
      </c>
      <c r="BH15" s="2896">
        <f t="shared" si="50"/>
        <v>-24490</v>
      </c>
      <c r="BI15" s="2896">
        <f>BI25+BI35</f>
        <v>-173920</v>
      </c>
      <c r="BJ15" s="2898">
        <f>BJ25+BJ35</f>
        <v>-14493.333333333334</v>
      </c>
      <c r="BK15" s="2896">
        <f>BK7-BH7</f>
        <v>-33416</v>
      </c>
      <c r="BL15" s="2896">
        <v>-18138</v>
      </c>
      <c r="BM15" s="2896"/>
      <c r="BN15" s="2896"/>
      <c r="BO15" s="2896"/>
      <c r="BP15" s="2896"/>
      <c r="BQ15" s="2896"/>
      <c r="BR15" s="2896"/>
      <c r="BS15" s="2896"/>
      <c r="BT15" s="2896"/>
      <c r="BU15" s="2896"/>
      <c r="BV15" s="2896"/>
      <c r="BW15" s="2896">
        <f>BW25+BW35</f>
        <v>-51554</v>
      </c>
      <c r="BX15" s="2898">
        <f>BX25+BX35</f>
        <v>-25777</v>
      </c>
      <c r="BZ15" s="2860" t="e">
        <f>HLOOKUP($A$1,$AW$1:$BH$400,ROW(),0)-HLOOKUP($A$1,$AI$1:$AT$400,ROW(),0)</f>
        <v>#N/A</v>
      </c>
      <c r="CA15" s="2860">
        <f>BJ15-AV15</f>
        <v>-7090.9166666666679</v>
      </c>
      <c r="CB15" s="2881" t="e">
        <f>HLOOKUP($A$1,$AW$1:$BH$400,ROW(),0)-SUM(AI15:AJ15)</f>
        <v>#N/A</v>
      </c>
      <c r="CE15" s="2860">
        <f>SUM(AW15:BH15)-SUM(AI15:AT15)</f>
        <v>-85423</v>
      </c>
    </row>
    <row r="16" spans="1:88" ht="18" customHeight="1" x14ac:dyDescent="0.55000000000000004">
      <c r="A16" s="7153" t="s">
        <v>59</v>
      </c>
      <c r="B16" s="7154"/>
      <c r="C16" s="3295" t="s">
        <v>43</v>
      </c>
      <c r="D16" s="3296"/>
      <c r="E16" s="3297"/>
      <c r="F16" s="3298"/>
      <c r="G16" s="3297"/>
      <c r="H16" s="3297"/>
      <c r="I16" s="3297"/>
      <c r="J16" s="3297"/>
      <c r="K16" s="3297"/>
      <c r="L16" s="3297"/>
      <c r="M16" s="3297"/>
      <c r="N16" s="3297"/>
      <c r="O16" s="3297"/>
      <c r="P16" s="3297"/>
      <c r="Q16" s="3297">
        <f>Q36+Q65+Q75+Q95</f>
        <v>1142110</v>
      </c>
      <c r="R16" s="3298">
        <f>R36+R65+R75+R95</f>
        <v>1142110</v>
      </c>
      <c r="S16" s="3297"/>
      <c r="T16" s="3298">
        <f t="shared" ref="T16:AG16" si="51">T36+T65+T75+T95</f>
        <v>1138795</v>
      </c>
      <c r="U16" s="3297">
        <f t="shared" si="51"/>
        <v>1139459</v>
      </c>
      <c r="V16" s="3297">
        <f t="shared" si="51"/>
        <v>1158454</v>
      </c>
      <c r="W16" s="3297">
        <f t="shared" si="51"/>
        <v>1163489</v>
      </c>
      <c r="X16" s="3297">
        <f t="shared" si="51"/>
        <v>1162528</v>
      </c>
      <c r="Y16" s="3297">
        <f t="shared" si="51"/>
        <v>1161780</v>
      </c>
      <c r="Z16" s="3297">
        <f t="shared" si="51"/>
        <v>1157182</v>
      </c>
      <c r="AA16" s="3297">
        <f t="shared" si="51"/>
        <v>1153875</v>
      </c>
      <c r="AB16" s="3297">
        <f t="shared" si="51"/>
        <v>1149004</v>
      </c>
      <c r="AC16" s="3297">
        <f t="shared" si="51"/>
        <v>1145434</v>
      </c>
      <c r="AD16" s="3297">
        <f t="shared" si="51"/>
        <v>1140093</v>
      </c>
      <c r="AE16" s="3297">
        <f t="shared" si="51"/>
        <v>1135255</v>
      </c>
      <c r="AF16" s="3299">
        <f t="shared" si="51"/>
        <v>1135255</v>
      </c>
      <c r="AG16" s="3299">
        <f t="shared" si="51"/>
        <v>1150445.6666666667</v>
      </c>
      <c r="AH16" s="3299"/>
      <c r="AI16" s="3298">
        <f t="shared" ref="AI16:AI21" si="52">AI36+AI65+AI75+AI95+AI46</f>
        <v>1134578</v>
      </c>
      <c r="AJ16" s="3299">
        <f t="shared" ref="AJ16:AT16" si="53">AJ36+AJ65+AJ75+AJ95+AJ46</f>
        <v>1128116</v>
      </c>
      <c r="AK16" s="3299">
        <f t="shared" si="53"/>
        <v>1121950</v>
      </c>
      <c r="AL16" s="3299">
        <f t="shared" si="53"/>
        <v>1115930</v>
      </c>
      <c r="AM16" s="3299">
        <f t="shared" si="53"/>
        <v>1111051</v>
      </c>
      <c r="AN16" s="3299">
        <f t="shared" si="53"/>
        <v>1110211</v>
      </c>
      <c r="AO16" s="3299">
        <f t="shared" si="53"/>
        <v>1110031</v>
      </c>
      <c r="AP16" s="3299">
        <f t="shared" si="53"/>
        <v>1115525</v>
      </c>
      <c r="AQ16" s="3299">
        <f t="shared" si="53"/>
        <v>1110720</v>
      </c>
      <c r="AR16" s="3299">
        <f t="shared" si="53"/>
        <v>1099002</v>
      </c>
      <c r="AS16" s="3299">
        <f t="shared" si="53"/>
        <v>1095047</v>
      </c>
      <c r="AT16" s="3297">
        <f t="shared" si="53"/>
        <v>1089991</v>
      </c>
      <c r="AU16" s="3297">
        <f>AU36+AU65+AU75+AU95+AU46</f>
        <v>1089991</v>
      </c>
      <c r="AV16" s="4497">
        <f>AV36+AV65+AV75+AV95+AV46</f>
        <v>1111846</v>
      </c>
      <c r="AW16" s="4506">
        <f t="shared" ref="AW16:AZ17" si="54">AW36+AW65+AW75+AW95+AW46</f>
        <v>1081462</v>
      </c>
      <c r="AX16" s="3297">
        <f t="shared" si="54"/>
        <v>1074041</v>
      </c>
      <c r="AY16" s="3297">
        <f t="shared" si="54"/>
        <v>1069017</v>
      </c>
      <c r="AZ16" s="3297">
        <f>AZ36+AZ65+AZ75+AZ95+AZ46</f>
        <v>1065195</v>
      </c>
      <c r="BA16" s="3297">
        <f>BA36+BA65+BA75+BA95+BA46</f>
        <v>1073219</v>
      </c>
      <c r="BB16" s="3297">
        <f t="shared" ref="BB16:BD16" si="55">BB36+BB65+BB75+BB95+BB46</f>
        <v>1065938</v>
      </c>
      <c r="BC16" s="3297">
        <f t="shared" si="55"/>
        <v>1059309</v>
      </c>
      <c r="BD16" s="3297">
        <f t="shared" si="55"/>
        <v>1047155</v>
      </c>
      <c r="BE16" s="3297">
        <f t="shared" ref="BE16:BF16" si="56">BE36+BE65+BE75+BE95+BE46</f>
        <v>1034025</v>
      </c>
      <c r="BF16" s="3297">
        <f t="shared" si="56"/>
        <v>1019918</v>
      </c>
      <c r="BG16" s="3297">
        <f t="shared" ref="BG16" si="57">BG36+BG65+BG75+BG95+BG46</f>
        <v>1009458</v>
      </c>
      <c r="BH16" s="3297">
        <f>BH36+BH65+BH75+BH95+BH46</f>
        <v>996312</v>
      </c>
      <c r="BI16" s="3297">
        <f>INDEX($AW16:$BH16, 1, MATCH(0, $AW16:$BH16, -1))</f>
        <v>996312</v>
      </c>
      <c r="BJ16" s="3301">
        <f>BJ36+BJ65+BJ75+BJ95</f>
        <v>1025764.4166666667</v>
      </c>
      <c r="BK16" s="3297">
        <f>BK36+BK65+BK75+BK95+BK46</f>
        <v>975802</v>
      </c>
      <c r="BL16" s="3297">
        <v>965300</v>
      </c>
      <c r="BM16" s="3297"/>
      <c r="BN16" s="3297"/>
      <c r="BO16" s="3297"/>
      <c r="BP16" s="3297"/>
      <c r="BQ16" s="3297"/>
      <c r="BR16" s="3297"/>
      <c r="BS16" s="3297"/>
      <c r="BT16" s="3297"/>
      <c r="BU16" s="3297"/>
      <c r="BV16" s="3297"/>
      <c r="BW16" s="3297">
        <f>INDEX($AW16:$BH16, 1, MATCH(0, $AW16:$BH16, -1))</f>
        <v>996312</v>
      </c>
      <c r="BX16" s="3301">
        <f>BX36+BX65+BX75+BX95</f>
        <v>953569</v>
      </c>
      <c r="BZ16" s="2860" t="e">
        <f>HLOOKUP($A$1,$AW$1:$BH$400,ROW(),0)-HLOOKUP($A$1,$AI$1:$AT$400,ROW(),0)</f>
        <v>#N/A</v>
      </c>
      <c r="CA16" s="2860">
        <f>BJ16-AV16</f>
        <v>-86081.583333333256</v>
      </c>
      <c r="CB16" s="2861">
        <f>AX16-AJ16</f>
        <v>-54075</v>
      </c>
      <c r="CE16" s="590">
        <f>BH16-AT16</f>
        <v>-93679</v>
      </c>
    </row>
    <row r="17" spans="1:88" ht="18" customHeight="1" x14ac:dyDescent="0.55000000000000004">
      <c r="A17" s="7121"/>
      <c r="B17" s="7122"/>
      <c r="C17" s="3084" t="s">
        <v>56</v>
      </c>
      <c r="D17" s="1339"/>
      <c r="E17" s="2888"/>
      <c r="F17" s="2887"/>
      <c r="G17" s="2888"/>
      <c r="H17" s="2888"/>
      <c r="I17" s="2888"/>
      <c r="J17" s="2888"/>
      <c r="K17" s="2888"/>
      <c r="L17" s="2888"/>
      <c r="M17" s="2888"/>
      <c r="N17" s="2888"/>
      <c r="O17" s="2888"/>
      <c r="P17" s="2888"/>
      <c r="Q17" s="2888"/>
      <c r="R17" s="2888"/>
      <c r="S17" s="2888"/>
      <c r="T17" s="2887">
        <f t="shared" ref="T17:AE17" si="58">T37+T76+T96</f>
        <v>24761</v>
      </c>
      <c r="U17" s="2888">
        <f t="shared" si="58"/>
        <v>34169</v>
      </c>
      <c r="V17" s="2888">
        <f t="shared" si="58"/>
        <v>26677</v>
      </c>
      <c r="W17" s="2888">
        <f t="shared" si="58"/>
        <v>23805</v>
      </c>
      <c r="X17" s="2888">
        <f t="shared" si="58"/>
        <v>27984</v>
      </c>
      <c r="Y17" s="2888">
        <f t="shared" si="58"/>
        <v>25864</v>
      </c>
      <c r="Z17" s="2888">
        <f t="shared" si="58"/>
        <v>22587</v>
      </c>
      <c r="AA17" s="2888">
        <f t="shared" si="58"/>
        <v>34925</v>
      </c>
      <c r="AB17" s="2888">
        <f t="shared" si="58"/>
        <v>20303</v>
      </c>
      <c r="AC17" s="2888">
        <f t="shared" si="58"/>
        <v>36621</v>
      </c>
      <c r="AD17" s="2888">
        <f t="shared" si="58"/>
        <v>20971</v>
      </c>
      <c r="AE17" s="2888">
        <f t="shared" si="58"/>
        <v>17829</v>
      </c>
      <c r="AF17" s="2889">
        <f>SUM(T17:AE17)</f>
        <v>316496</v>
      </c>
      <c r="AG17" s="2889">
        <f>AVERAGE(T17:AE17)</f>
        <v>26374.666666666668</v>
      </c>
      <c r="AH17" s="2889"/>
      <c r="AI17" s="2887">
        <f>AI37+AI66+AI76+AI96+AI47</f>
        <v>31488</v>
      </c>
      <c r="AJ17" s="2889">
        <f t="shared" ref="AJ17:AT17" si="59">AJ37+AJ66+AJ76+AJ96+AJ47</f>
        <v>20437</v>
      </c>
      <c r="AK17" s="2889">
        <f t="shared" si="59"/>
        <v>19263</v>
      </c>
      <c r="AL17" s="2889">
        <f t="shared" si="59"/>
        <v>19934</v>
      </c>
      <c r="AM17" s="2889">
        <f t="shared" si="59"/>
        <v>19519</v>
      </c>
      <c r="AN17" s="2889">
        <f t="shared" si="59"/>
        <v>18044</v>
      </c>
      <c r="AO17" s="2889">
        <f t="shared" si="59"/>
        <v>26456.999999999993</v>
      </c>
      <c r="AP17" s="2889">
        <f t="shared" si="59"/>
        <v>20695</v>
      </c>
      <c r="AQ17" s="2889">
        <f t="shared" si="59"/>
        <v>24729</v>
      </c>
      <c r="AR17" s="2889">
        <f t="shared" si="59"/>
        <v>23526</v>
      </c>
      <c r="AS17" s="2889">
        <f t="shared" si="59"/>
        <v>18473</v>
      </c>
      <c r="AT17" s="2888">
        <f t="shared" si="59"/>
        <v>15641</v>
      </c>
      <c r="AU17" s="2888">
        <f>AU37+AU66+AU76+AU96+AU47</f>
        <v>258206</v>
      </c>
      <c r="AV17" s="4498">
        <f>AV37+AV76+AV96+AV47</f>
        <v>21517.166666666664</v>
      </c>
      <c r="AW17" s="3414">
        <f t="shared" ref="AW17:AW21" si="60">AW37+AW66+AW76+AW96+AW47</f>
        <v>13995</v>
      </c>
      <c r="AX17" s="2889">
        <f>AX37+AX66+AX76+AX96+AX47</f>
        <v>28177</v>
      </c>
      <c r="AY17" s="2889">
        <f t="shared" si="54"/>
        <v>20799</v>
      </c>
      <c r="AZ17" s="2889">
        <f t="shared" si="54"/>
        <v>25121</v>
      </c>
      <c r="BA17" s="2889">
        <f t="shared" ref="BA17:BB17" si="61">BA37+BA66+BA76+BA96+BA47</f>
        <v>32216</v>
      </c>
      <c r="BB17" s="2889">
        <f t="shared" si="61"/>
        <v>20183</v>
      </c>
      <c r="BC17" s="2889">
        <f t="shared" ref="BC17:BF17" si="62">BC37+BC66+BC76+BC96+BC47</f>
        <v>34631</v>
      </c>
      <c r="BD17" s="2889">
        <f t="shared" si="62"/>
        <v>19510</v>
      </c>
      <c r="BE17" s="2889">
        <f t="shared" ref="BE17" si="63">BE37+BE66+BE76+BE96+BE47</f>
        <v>25930</v>
      </c>
      <c r="BF17" s="2889">
        <f t="shared" si="62"/>
        <v>20875</v>
      </c>
      <c r="BG17" s="2889">
        <f t="shared" ref="BG17:BH17" si="64">BG37+BG66+BG76+BG96+BG47</f>
        <v>18871</v>
      </c>
      <c r="BH17" s="2889">
        <f t="shared" si="64"/>
        <v>16417</v>
      </c>
      <c r="BI17" s="2889">
        <f>BI37+BI76+BI96+BI47</f>
        <v>276725</v>
      </c>
      <c r="BJ17" s="2891">
        <f>AVERAGE(AW17:BE17)</f>
        <v>24506.888888888891</v>
      </c>
      <c r="BK17" s="2889">
        <f t="shared" ref="BK17" si="65">BK37+BK66+BK76+BK96+BK47</f>
        <v>23902</v>
      </c>
      <c r="BL17" s="2889">
        <v>15096</v>
      </c>
      <c r="BM17" s="2889"/>
      <c r="BN17" s="2889"/>
      <c r="BO17" s="2889"/>
      <c r="BP17" s="2889"/>
      <c r="BQ17" s="2889"/>
      <c r="BR17" s="2889"/>
      <c r="BS17" s="2889"/>
      <c r="BT17" s="2889"/>
      <c r="BU17" s="2889"/>
      <c r="BV17" s="2889"/>
      <c r="BW17" s="2889">
        <f>BW37+BW76+BW96+BW47</f>
        <v>38998</v>
      </c>
      <c r="BX17" s="2891">
        <f>AVERAGE(BK17:BS17)</f>
        <v>19499</v>
      </c>
      <c r="BZ17" s="2860" t="e">
        <f>HLOOKUP($A$1,$AW$1:$BH$400,ROW(),0)-HLOOKUP($A$1,$AI$1:$AT$400,ROW(),0)</f>
        <v>#N/A</v>
      </c>
      <c r="CA17" s="2860">
        <f>BJ17-AV17</f>
        <v>2989.7222222222263</v>
      </c>
      <c r="CB17" s="2881" t="e">
        <f>HLOOKUP($A$1,$AW$1:$BH$400,ROW(),0)-SUM(AI17:AJ17)</f>
        <v>#N/A</v>
      </c>
    </row>
    <row r="18" spans="1:88" ht="18" hidden="1" customHeight="1" x14ac:dyDescent="0.55000000000000004">
      <c r="A18" s="7121"/>
      <c r="B18" s="7122"/>
      <c r="C18" s="594"/>
      <c r="D18" s="594" t="s">
        <v>46</v>
      </c>
      <c r="E18" s="2774"/>
      <c r="F18" s="2882"/>
      <c r="G18" s="1102"/>
      <c r="H18" s="1102"/>
      <c r="I18" s="1102"/>
      <c r="J18" s="1102"/>
      <c r="K18" s="1102"/>
      <c r="L18" s="1102"/>
      <c r="M18" s="1102"/>
      <c r="N18" s="1102"/>
      <c r="O18" s="1102"/>
      <c r="P18" s="1102"/>
      <c r="Q18" s="1102"/>
      <c r="R18" s="1102"/>
      <c r="S18" s="1102"/>
      <c r="T18" s="2882">
        <f t="shared" ref="T18:AG18" si="66">T38+T67+T77+T97</f>
        <v>8377</v>
      </c>
      <c r="U18" s="1102">
        <f t="shared" si="66"/>
        <v>8739</v>
      </c>
      <c r="V18" s="1102">
        <f t="shared" si="66"/>
        <v>7983</v>
      </c>
      <c r="W18" s="1102">
        <f t="shared" si="66"/>
        <v>6054</v>
      </c>
      <c r="X18" s="1102">
        <f t="shared" si="66"/>
        <v>7495</v>
      </c>
      <c r="Y18" s="1102">
        <f t="shared" si="66"/>
        <v>7034</v>
      </c>
      <c r="Z18" s="1102">
        <f t="shared" si="66"/>
        <v>5492</v>
      </c>
      <c r="AA18" s="1102">
        <f t="shared" si="66"/>
        <v>6450</v>
      </c>
      <c r="AB18" s="1102">
        <f t="shared" si="66"/>
        <v>4188</v>
      </c>
      <c r="AC18" s="1102">
        <f t="shared" si="66"/>
        <v>5484</v>
      </c>
      <c r="AD18" s="1102">
        <f t="shared" si="66"/>
        <v>4506</v>
      </c>
      <c r="AE18" s="1102">
        <f t="shared" si="66"/>
        <v>3996</v>
      </c>
      <c r="AF18" s="2883">
        <f t="shared" si="66"/>
        <v>75798</v>
      </c>
      <c r="AG18" s="2883">
        <f t="shared" si="66"/>
        <v>6316.5</v>
      </c>
      <c r="AH18" s="2883"/>
      <c r="AI18" s="2882">
        <f t="shared" si="52"/>
        <v>6545</v>
      </c>
      <c r="AJ18" s="2883">
        <f t="shared" ref="AJ18:AT18" si="67">AJ38+AJ67+AJ77+AJ97+AJ48</f>
        <v>6042</v>
      </c>
      <c r="AK18" s="2883">
        <f t="shared" si="67"/>
        <v>6189</v>
      </c>
      <c r="AL18" s="2883">
        <f t="shared" si="67"/>
        <v>5478</v>
      </c>
      <c r="AM18" s="2883">
        <f t="shared" si="67"/>
        <v>5731</v>
      </c>
      <c r="AN18" s="2883">
        <f t="shared" si="67"/>
        <v>5623</v>
      </c>
      <c r="AO18" s="2883">
        <f t="shared" si="67"/>
        <v>6310</v>
      </c>
      <c r="AP18" s="2883">
        <f t="shared" si="67"/>
        <v>6769</v>
      </c>
      <c r="AQ18" s="2883">
        <f t="shared" si="67"/>
        <v>6301</v>
      </c>
      <c r="AR18" s="2883">
        <f t="shared" si="67"/>
        <v>5429</v>
      </c>
      <c r="AS18" s="2883">
        <f t="shared" si="67"/>
        <v>4939</v>
      </c>
      <c r="AT18" s="1102">
        <f t="shared" si="67"/>
        <v>0</v>
      </c>
      <c r="AU18" s="1102">
        <f>AU38+AU67+AU78+AU97+AU48</f>
        <v>62702</v>
      </c>
      <c r="AV18" s="4499">
        <f>AV38++AV97+AV48</f>
        <v>5478.454545454545</v>
      </c>
      <c r="AW18" s="2968">
        <f t="shared" si="60"/>
        <v>4609</v>
      </c>
      <c r="AX18" s="2883">
        <f>AX38+AX67+AX78+AX97+AX48</f>
        <v>6545</v>
      </c>
      <c r="AY18" s="2883">
        <f t="shared" ref="AY18" si="68">AY38+AY67+AY78+AY97+AY48</f>
        <v>7965</v>
      </c>
      <c r="AZ18" s="2883">
        <f>AZ38+AZ67+AZ77+AZ97+AZ48</f>
        <v>12665</v>
      </c>
      <c r="BA18" s="2883">
        <f>BA38+BA67+BA77+BA97+BA48</f>
        <v>20653</v>
      </c>
      <c r="BB18" s="2883">
        <f t="shared" ref="BB18:BC18" si="69">BB38+BB67+BB77+BB97+BB48</f>
        <v>8318</v>
      </c>
      <c r="BC18" s="2883">
        <f t="shared" si="69"/>
        <v>14672</v>
      </c>
      <c r="BD18" s="2883">
        <f t="shared" ref="BD18:BF18" si="70">BD38+BD67+BD77+BD97+BD48</f>
        <v>6710</v>
      </c>
      <c r="BE18" s="2883">
        <f t="shared" ref="BE18" si="71">BE38+BE67+BE77+BE97+BE48</f>
        <v>6567</v>
      </c>
      <c r="BF18" s="2883">
        <f t="shared" si="70"/>
        <v>5250</v>
      </c>
      <c r="BG18" s="2883">
        <f t="shared" ref="BG18:BH18" si="72">BG38+BG67+BG77+BG97+BG48</f>
        <v>7713</v>
      </c>
      <c r="BH18" s="2883">
        <f t="shared" si="72"/>
        <v>6358</v>
      </c>
      <c r="BI18" s="2883">
        <f>BI38+BI67+BI77+BI97</f>
        <v>87025</v>
      </c>
      <c r="BJ18" s="2885">
        <f>AVERAGE(AW18:BE18)</f>
        <v>9856</v>
      </c>
      <c r="BK18" s="2883">
        <f t="shared" ref="BK18" si="73">BK38+BK67+BK77+BK97+BK48</f>
        <v>6634</v>
      </c>
      <c r="BL18" s="2883">
        <v>4727</v>
      </c>
      <c r="BM18" s="2883"/>
      <c r="BN18" s="2883"/>
      <c r="BO18" s="2883"/>
      <c r="BP18" s="2883"/>
      <c r="BQ18" s="2883"/>
      <c r="BR18" s="2883"/>
      <c r="BS18" s="2883"/>
      <c r="BT18" s="2883"/>
      <c r="BU18" s="2883"/>
      <c r="BV18" s="2883"/>
      <c r="BW18" s="2883">
        <f>BW38+BW67+BW77+BW97</f>
        <v>11161</v>
      </c>
      <c r="BX18" s="2885">
        <f>AVERAGE(BK18:BS18)</f>
        <v>5680.5</v>
      </c>
      <c r="BZ18" s="2860" t="e">
        <f>HLOOKUP($A$1,$AW$1:$BH$400,ROW(),0)-HLOOKUP($A$1,$AI$1:$AT$400,ROW(),0)</f>
        <v>#N/A</v>
      </c>
      <c r="CA18" s="2860">
        <f>BJ18-AV18</f>
        <v>4377.545454545455</v>
      </c>
      <c r="CB18" s="2881" t="e">
        <f>HLOOKUP($A$1,$AW$1:$BH$400,ROW(),0)-SUM(AI18:AJ18)</f>
        <v>#N/A</v>
      </c>
    </row>
    <row r="19" spans="1:88" ht="18" hidden="1" customHeight="1" x14ac:dyDescent="0.55000000000000004">
      <c r="A19" s="7121"/>
      <c r="B19" s="7122"/>
      <c r="C19" s="594"/>
      <c r="D19" s="594" t="s">
        <v>55</v>
      </c>
      <c r="E19" s="2774"/>
      <c r="F19" s="2882"/>
      <c r="G19" s="1102"/>
      <c r="H19" s="1102"/>
      <c r="I19" s="1102"/>
      <c r="J19" s="1102"/>
      <c r="K19" s="1102"/>
      <c r="L19" s="1102"/>
      <c r="M19" s="1102"/>
      <c r="N19" s="1102"/>
      <c r="O19" s="1102"/>
      <c r="P19" s="1102"/>
      <c r="Q19" s="1102"/>
      <c r="R19" s="1102"/>
      <c r="S19" s="1102"/>
      <c r="T19" s="2882">
        <f t="shared" ref="T19:AG19" si="74">T39+T68+T78+T98</f>
        <v>16411</v>
      </c>
      <c r="U19" s="1102">
        <f t="shared" si="74"/>
        <v>25448</v>
      </c>
      <c r="V19" s="1102">
        <f t="shared" si="74"/>
        <v>18725</v>
      </c>
      <c r="W19" s="1102">
        <f t="shared" si="74"/>
        <v>17779</v>
      </c>
      <c r="X19" s="1102">
        <f t="shared" si="74"/>
        <v>20515</v>
      </c>
      <c r="Y19" s="1102">
        <f t="shared" si="74"/>
        <v>18857</v>
      </c>
      <c r="Z19" s="1102">
        <f t="shared" si="74"/>
        <v>17120</v>
      </c>
      <c r="AA19" s="1102">
        <f t="shared" si="74"/>
        <v>28505</v>
      </c>
      <c r="AB19" s="1102">
        <f t="shared" si="74"/>
        <v>16160</v>
      </c>
      <c r="AC19" s="1102">
        <f t="shared" si="74"/>
        <v>31192</v>
      </c>
      <c r="AD19" s="1102">
        <f t="shared" si="74"/>
        <v>16488</v>
      </c>
      <c r="AE19" s="1102">
        <f t="shared" si="74"/>
        <v>13855</v>
      </c>
      <c r="AF19" s="2883">
        <f t="shared" si="74"/>
        <v>241055</v>
      </c>
      <c r="AG19" s="2883">
        <f t="shared" si="74"/>
        <v>20087.916666666668</v>
      </c>
      <c r="AH19" s="2883"/>
      <c r="AI19" s="2882">
        <f t="shared" si="52"/>
        <v>24873</v>
      </c>
      <c r="AJ19" s="2883">
        <f t="shared" ref="AJ19:AT19" si="75">AJ39+AJ68+AJ78+AJ98+AJ49</f>
        <v>13748</v>
      </c>
      <c r="AK19" s="2883">
        <f t="shared" si="75"/>
        <v>13069</v>
      </c>
      <c r="AL19" s="2883">
        <f t="shared" si="75"/>
        <v>14530</v>
      </c>
      <c r="AM19" s="2883">
        <f t="shared" si="75"/>
        <v>13840</v>
      </c>
      <c r="AN19" s="2883">
        <f t="shared" si="75"/>
        <v>12470</v>
      </c>
      <c r="AO19" s="2883">
        <f t="shared" si="75"/>
        <v>20198</v>
      </c>
      <c r="AP19" s="2883">
        <f t="shared" si="75"/>
        <v>13953</v>
      </c>
      <c r="AQ19" s="2883">
        <f t="shared" si="75"/>
        <v>18441</v>
      </c>
      <c r="AR19" s="2883">
        <f t="shared" si="75"/>
        <v>18102</v>
      </c>
      <c r="AS19" s="2883">
        <f t="shared" si="75"/>
        <v>13389</v>
      </c>
      <c r="AT19" s="1102">
        <f t="shared" si="75"/>
        <v>0</v>
      </c>
      <c r="AU19" s="1102">
        <f>AU39+AU68+AU79+AU98+AU49</f>
        <v>152822</v>
      </c>
      <c r="AV19" s="4499">
        <f>AV39+AV79+AV98+AV49</f>
        <v>15997.90909090909</v>
      </c>
      <c r="AW19" s="2968">
        <f t="shared" si="60"/>
        <v>9386</v>
      </c>
      <c r="AX19" s="2883">
        <f>AX39+AX98+AX49</f>
        <v>21632</v>
      </c>
      <c r="AY19" s="2883">
        <f t="shared" ref="AX19:AZ23" si="76">AY39+AY68+AY78+AY98+AY49</f>
        <v>12834</v>
      </c>
      <c r="AZ19" s="2883">
        <f t="shared" si="76"/>
        <v>12456</v>
      </c>
      <c r="BA19" s="2883">
        <f t="shared" ref="BA19:BB19" si="77">BA39+BA68+BA78+BA98+BA49</f>
        <v>11563</v>
      </c>
      <c r="BB19" s="2883">
        <f t="shared" si="77"/>
        <v>11865</v>
      </c>
      <c r="BC19" s="2883">
        <f t="shared" ref="BC19:BF19" si="78">BC39+BC68+BC78+BC98+BC49</f>
        <v>19959</v>
      </c>
      <c r="BD19" s="2883">
        <f t="shared" si="78"/>
        <v>12800</v>
      </c>
      <c r="BE19" s="2883">
        <f t="shared" ref="BE19" si="79">BE39+BE68+BE78+BE98+BE49</f>
        <v>19363</v>
      </c>
      <c r="BF19" s="2883">
        <f t="shared" si="78"/>
        <v>15625</v>
      </c>
      <c r="BG19" s="2883">
        <f t="shared" ref="BG19:BH19" si="80">BG39+BG68+BG78+BG98+BG49</f>
        <v>11158</v>
      </c>
      <c r="BH19" s="2883">
        <f t="shared" si="80"/>
        <v>10059</v>
      </c>
      <c r="BI19" s="2883">
        <f>BI39+BI68+BI78+BI98</f>
        <v>136328</v>
      </c>
      <c r="BJ19" s="2885">
        <f>AVERAGE(AW19:BE19)</f>
        <v>14650.888888888889</v>
      </c>
      <c r="BK19" s="2883">
        <f t="shared" ref="BK19" si="81">BK39+BK68+BK78+BK98+BK49</f>
        <v>17268</v>
      </c>
      <c r="BL19" s="2883">
        <v>10369</v>
      </c>
      <c r="BM19" s="2883"/>
      <c r="BN19" s="2883"/>
      <c r="BO19" s="2883"/>
      <c r="BP19" s="2883"/>
      <c r="BQ19" s="2883"/>
      <c r="BR19" s="2883"/>
      <c r="BS19" s="2883"/>
      <c r="BT19" s="2883"/>
      <c r="BU19" s="2883"/>
      <c r="BV19" s="2883"/>
      <c r="BW19" s="2883">
        <f>BW39+BW68+BW78+BW98</f>
        <v>27423</v>
      </c>
      <c r="BX19" s="2885">
        <f>AVERAGE(BK19:BS19)</f>
        <v>13818.5</v>
      </c>
      <c r="BZ19" s="2860" t="e">
        <f>HLOOKUP($A$1,$AW$1:$BH$400,ROW(),0)-HLOOKUP($A$1,$AI$1:$AT$400,ROW(),0)</f>
        <v>#N/A</v>
      </c>
      <c r="CA19" s="2860">
        <f>BJ19-AV19</f>
        <v>-1347.0202020202014</v>
      </c>
      <c r="CB19" s="2881" t="e">
        <f>HLOOKUP($A$1,$AW$1:$BH$400,ROW(),0)-SUM(AI19:AJ19)</f>
        <v>#N/A</v>
      </c>
    </row>
    <row r="20" spans="1:88" ht="18" customHeight="1" x14ac:dyDescent="0.55000000000000004">
      <c r="A20" s="7121"/>
      <c r="B20" s="7122"/>
      <c r="C20" s="594" t="s">
        <v>47</v>
      </c>
      <c r="D20" s="594"/>
      <c r="E20" s="2774"/>
      <c r="F20" s="2882"/>
      <c r="G20" s="1102"/>
      <c r="H20" s="1102"/>
      <c r="I20" s="1102"/>
      <c r="J20" s="1102"/>
      <c r="K20" s="1102"/>
      <c r="L20" s="1102"/>
      <c r="M20" s="1102"/>
      <c r="N20" s="1102"/>
      <c r="O20" s="1102"/>
      <c r="P20" s="1102"/>
      <c r="Q20" s="1102"/>
      <c r="R20" s="1102"/>
      <c r="S20" s="1102"/>
      <c r="T20" s="2882">
        <f t="shared" ref="T20:AG20" si="82">T40+T69+T79+T99</f>
        <v>7938</v>
      </c>
      <c r="U20" s="1102">
        <f t="shared" si="82"/>
        <v>8081</v>
      </c>
      <c r="V20" s="1102">
        <f t="shared" si="82"/>
        <v>7985</v>
      </c>
      <c r="W20" s="1102">
        <f t="shared" si="82"/>
        <v>7863</v>
      </c>
      <c r="X20" s="1102">
        <f t="shared" si="82"/>
        <v>9280</v>
      </c>
      <c r="Y20" s="1102">
        <f t="shared" si="82"/>
        <v>8431</v>
      </c>
      <c r="Z20" s="1102">
        <f t="shared" si="82"/>
        <v>9705</v>
      </c>
      <c r="AA20" s="1102">
        <f t="shared" si="82"/>
        <v>10354</v>
      </c>
      <c r="AB20" s="1102">
        <f t="shared" si="82"/>
        <v>7610</v>
      </c>
      <c r="AC20" s="1102">
        <f t="shared" si="82"/>
        <v>9291</v>
      </c>
      <c r="AD20" s="1102">
        <f t="shared" si="82"/>
        <v>8392</v>
      </c>
      <c r="AE20" s="1102">
        <f t="shared" si="82"/>
        <v>7845</v>
      </c>
      <c r="AF20" s="2883">
        <f>AF40+AF69+AF79+AF99</f>
        <v>102775</v>
      </c>
      <c r="AG20" s="2883">
        <f t="shared" si="82"/>
        <v>8564.5833333333321</v>
      </c>
      <c r="AH20" s="2883"/>
      <c r="AI20" s="2882">
        <f t="shared" si="52"/>
        <v>7988</v>
      </c>
      <c r="AJ20" s="2883">
        <f t="shared" ref="AJ20:AT20" si="83">AJ40+AJ69+AJ79+AJ99+AJ50</f>
        <v>8249</v>
      </c>
      <c r="AK20" s="2883">
        <f t="shared" si="83"/>
        <v>7584</v>
      </c>
      <c r="AL20" s="2883">
        <f t="shared" si="83"/>
        <v>7833</v>
      </c>
      <c r="AM20" s="2883">
        <f t="shared" si="83"/>
        <v>7802</v>
      </c>
      <c r="AN20" s="2883">
        <f t="shared" si="83"/>
        <v>7002</v>
      </c>
      <c r="AO20" s="2883">
        <f t="shared" si="83"/>
        <v>7605</v>
      </c>
      <c r="AP20" s="2883">
        <f t="shared" si="83"/>
        <v>7286</v>
      </c>
      <c r="AQ20" s="2883">
        <f t="shared" si="83"/>
        <v>6879</v>
      </c>
      <c r="AR20" s="2883">
        <f t="shared" si="83"/>
        <v>7341</v>
      </c>
      <c r="AS20" s="2883">
        <f t="shared" si="83"/>
        <v>7322</v>
      </c>
      <c r="AT20" s="1102">
        <f t="shared" si="83"/>
        <v>7776</v>
      </c>
      <c r="AU20" s="2883">
        <f t="shared" ref="AU20:BJ20" si="84">AU40+AU69+AU79+AU50+AU99</f>
        <v>90667</v>
      </c>
      <c r="AV20" s="2883">
        <f t="shared" si="84"/>
        <v>7545.9292929292933</v>
      </c>
      <c r="AW20" s="2883">
        <f t="shared" si="84"/>
        <v>6584</v>
      </c>
      <c r="AX20" s="2883">
        <f t="shared" si="84"/>
        <v>7926</v>
      </c>
      <c r="AY20" s="2883">
        <f t="shared" si="84"/>
        <v>7665</v>
      </c>
      <c r="AZ20" s="2883">
        <f t="shared" si="84"/>
        <v>6992</v>
      </c>
      <c r="BA20" s="2883">
        <f t="shared" si="84"/>
        <v>5878</v>
      </c>
      <c r="BB20" s="2883">
        <f t="shared" si="84"/>
        <v>6308</v>
      </c>
      <c r="BC20" s="2883">
        <f t="shared" si="84"/>
        <v>9055</v>
      </c>
      <c r="BD20" s="2883">
        <f t="shared" si="84"/>
        <v>7814</v>
      </c>
      <c r="BE20" s="2883">
        <f t="shared" si="84"/>
        <v>7417</v>
      </c>
      <c r="BF20" s="2883">
        <f t="shared" si="84"/>
        <v>6973</v>
      </c>
      <c r="BG20" s="2883">
        <f t="shared" si="84"/>
        <v>6627</v>
      </c>
      <c r="BH20" s="2883">
        <f t="shared" si="84"/>
        <v>7136</v>
      </c>
      <c r="BI20" s="2883">
        <f t="shared" si="84"/>
        <v>86375</v>
      </c>
      <c r="BJ20" s="2883">
        <f t="shared" si="84"/>
        <v>7203.545454545454</v>
      </c>
      <c r="BK20" s="2883">
        <f>BK40+BK69+BK79+BK50+BK99</f>
        <v>16678</v>
      </c>
      <c r="BL20" s="2883">
        <f>BL40+BL69+BL79+BL50+BL99</f>
        <v>5454</v>
      </c>
      <c r="BM20" s="2883"/>
      <c r="BN20" s="2883"/>
      <c r="BO20" s="2883"/>
      <c r="BP20" s="2883"/>
      <c r="BQ20" s="2883"/>
      <c r="BR20" s="2883"/>
      <c r="BS20" s="2883"/>
      <c r="BT20" s="2883"/>
      <c r="BU20" s="2883"/>
      <c r="BV20" s="2883"/>
      <c r="BW20" s="2883">
        <f t="shared" ref="BW20:BX20" si="85">BW40+BW69+BW79+BW99+BW50</f>
        <v>22132</v>
      </c>
      <c r="BX20" s="2885">
        <f t="shared" si="85"/>
        <v>11066</v>
      </c>
      <c r="BZ20" s="2860" t="e">
        <f>HLOOKUP($A$1,$AW$1:$BH$400,ROW(),0)-HLOOKUP($A$1,$AI$1:$AT$400,ROW(),0)</f>
        <v>#N/A</v>
      </c>
      <c r="CA20" s="2860">
        <f>BJ20-AV20</f>
        <v>-342.38383838383925</v>
      </c>
      <c r="CB20" s="2881" t="e">
        <f>HLOOKUP($A$1,$AW$1:$BH$400,ROW(),0)-SUM(AI20:AJ20)</f>
        <v>#N/A</v>
      </c>
      <c r="CI20" s="2961"/>
      <c r="CJ20" s="590"/>
    </row>
    <row r="21" spans="1:88" ht="18" customHeight="1" x14ac:dyDescent="0.55000000000000004">
      <c r="A21" s="7121"/>
      <c r="B21" s="7122"/>
      <c r="C21" s="594" t="s">
        <v>58</v>
      </c>
      <c r="D21" s="594"/>
      <c r="E21" s="2774"/>
      <c r="F21" s="2882"/>
      <c r="G21" s="1102"/>
      <c r="H21" s="1102"/>
      <c r="I21" s="1102"/>
      <c r="J21" s="1102"/>
      <c r="K21" s="1102"/>
      <c r="L21" s="1102"/>
      <c r="M21" s="1102"/>
      <c r="N21" s="1102"/>
      <c r="O21" s="1102"/>
      <c r="P21" s="1102"/>
      <c r="Q21" s="1102"/>
      <c r="R21" s="1102"/>
      <c r="S21" s="1102"/>
      <c r="T21" s="2882">
        <f t="shared" ref="T21:AG21" si="86">T41+T70+T80+T100</f>
        <v>436</v>
      </c>
      <c r="U21" s="1102">
        <f t="shared" si="86"/>
        <v>432</v>
      </c>
      <c r="V21" s="1102">
        <f t="shared" si="86"/>
        <v>604</v>
      </c>
      <c r="W21" s="1102">
        <f t="shared" si="86"/>
        <v>506</v>
      </c>
      <c r="X21" s="1102">
        <f t="shared" si="86"/>
        <v>1046</v>
      </c>
      <c r="Y21" s="1102">
        <f t="shared" si="86"/>
        <v>608</v>
      </c>
      <c r="Z21" s="1102">
        <f t="shared" si="86"/>
        <v>571</v>
      </c>
      <c r="AA21" s="1102">
        <f t="shared" si="86"/>
        <v>599</v>
      </c>
      <c r="AB21" s="1102">
        <f t="shared" si="86"/>
        <v>883</v>
      </c>
      <c r="AC21" s="1102">
        <f t="shared" si="86"/>
        <v>550</v>
      </c>
      <c r="AD21" s="1102">
        <f t="shared" si="86"/>
        <v>685</v>
      </c>
      <c r="AE21" s="1102">
        <f t="shared" si="86"/>
        <v>1259</v>
      </c>
      <c r="AF21" s="2883">
        <f t="shared" si="86"/>
        <v>8179</v>
      </c>
      <c r="AG21" s="2883">
        <f t="shared" si="86"/>
        <v>681.58333333333337</v>
      </c>
      <c r="AH21" s="2883"/>
      <c r="AI21" s="2882">
        <f t="shared" si="52"/>
        <v>511</v>
      </c>
      <c r="AJ21" s="2883">
        <f t="shared" ref="AJ21:AT21" si="87">AJ41+AJ70+AJ80+AJ100+AJ51</f>
        <v>485</v>
      </c>
      <c r="AK21" s="2883">
        <f t="shared" si="87"/>
        <v>727</v>
      </c>
      <c r="AL21" s="2883">
        <f t="shared" si="87"/>
        <v>787</v>
      </c>
      <c r="AM21" s="2883">
        <f t="shared" si="87"/>
        <v>1149</v>
      </c>
      <c r="AN21" s="2883">
        <f t="shared" si="87"/>
        <v>600</v>
      </c>
      <c r="AO21" s="2883">
        <f t="shared" si="87"/>
        <v>619</v>
      </c>
      <c r="AP21" s="2883">
        <f t="shared" si="87"/>
        <v>756</v>
      </c>
      <c r="AQ21" s="2883">
        <f t="shared" si="87"/>
        <v>699</v>
      </c>
      <c r="AR21" s="2883">
        <f t="shared" si="87"/>
        <v>689</v>
      </c>
      <c r="AS21" s="2883">
        <f t="shared" si="87"/>
        <v>538</v>
      </c>
      <c r="AT21" s="1102">
        <f t="shared" si="87"/>
        <v>1645</v>
      </c>
      <c r="AU21" s="1102">
        <f t="shared" ref="AU21:AV23" si="88">AU41+AU70+AU80+AU100+AU51</f>
        <v>9205</v>
      </c>
      <c r="AV21" s="4499">
        <f t="shared" si="88"/>
        <v>689.49494949494954</v>
      </c>
      <c r="AW21" s="2968">
        <f t="shared" si="60"/>
        <v>497</v>
      </c>
      <c r="AX21" s="2883">
        <f t="shared" si="76"/>
        <v>485</v>
      </c>
      <c r="AY21" s="2883">
        <f t="shared" si="76"/>
        <v>456</v>
      </c>
      <c r="AZ21" s="2883">
        <f t="shared" si="76"/>
        <v>500</v>
      </c>
      <c r="BA21" s="2883">
        <f t="shared" ref="BA21:BJ21" si="89">BA41+BA70+BA80+BA100+BA51</f>
        <v>464</v>
      </c>
      <c r="BB21" s="2883">
        <f>BB41+BB70+BB80+BB100+BB51</f>
        <v>902</v>
      </c>
      <c r="BC21" s="2883">
        <f>BC41+BC70+BC80+BC100+BC51</f>
        <v>428</v>
      </c>
      <c r="BD21" s="2883">
        <f t="shared" ref="BD21" si="90">BD41+BD70+BD80+BD100+BD51</f>
        <v>512</v>
      </c>
      <c r="BE21" s="2883">
        <f t="shared" ref="BE21" si="91">BE41+BE70+BE80+BE100+BE51</f>
        <v>527</v>
      </c>
      <c r="BF21" s="2883">
        <f t="shared" ref="BF21:BH21" si="92">BF41+BF70+BF80+BF90+BF51</f>
        <v>729</v>
      </c>
      <c r="BG21" s="2883">
        <f t="shared" si="92"/>
        <v>680</v>
      </c>
      <c r="BH21" s="2883">
        <f t="shared" si="92"/>
        <v>887</v>
      </c>
      <c r="BI21" s="2883">
        <f t="shared" si="89"/>
        <v>6042</v>
      </c>
      <c r="BJ21" s="2885">
        <f t="shared" si="89"/>
        <v>504.27272727272731</v>
      </c>
      <c r="BK21" s="2883">
        <f t="shared" ref="BK21" si="93">BK41+BK70+BK80+BK90+BK51</f>
        <v>1297</v>
      </c>
      <c r="BL21" s="2883">
        <v>362</v>
      </c>
      <c r="BM21" s="2883"/>
      <c r="BN21" s="2883"/>
      <c r="BO21" s="2883"/>
      <c r="BP21" s="2883"/>
      <c r="BQ21" s="2883"/>
      <c r="BR21" s="2883"/>
      <c r="BS21" s="2883"/>
      <c r="BT21" s="2883"/>
      <c r="BU21" s="2883"/>
      <c r="BV21" s="2883"/>
      <c r="BW21" s="2883">
        <f t="shared" ref="BW21:BX21" si="94">BW41+BW70+BW80+BW100+BW51</f>
        <v>1361</v>
      </c>
      <c r="BX21" s="2885">
        <f t="shared" si="94"/>
        <v>680.5</v>
      </c>
      <c r="BZ21" s="2860" t="e">
        <f>HLOOKUP($A$1,$AW$1:$BH$400,ROW(),0)-HLOOKUP($A$1,$AI$1:$AT$400,ROW(),0)</f>
        <v>#N/A</v>
      </c>
      <c r="CA21" s="2860">
        <f>BJ21-AV21</f>
        <v>-185.22222222222223</v>
      </c>
      <c r="CB21" s="2881" t="e">
        <f>HLOOKUP($A$1,$AW$1:$BH$400,ROW(),0)-SUM(AI21:AJ21)</f>
        <v>#N/A</v>
      </c>
      <c r="CI21" s="2896"/>
      <c r="CJ21" s="2860"/>
    </row>
    <row r="22" spans="1:88" ht="18" customHeight="1" x14ac:dyDescent="0.55000000000000004">
      <c r="A22" s="7121"/>
      <c r="B22" s="7122"/>
      <c r="C22" s="594" t="s">
        <v>48</v>
      </c>
      <c r="D22" s="594"/>
      <c r="E22" s="2774"/>
      <c r="F22" s="2882"/>
      <c r="G22" s="1102"/>
      <c r="H22" s="1102"/>
      <c r="I22" s="1102"/>
      <c r="J22" s="1102"/>
      <c r="K22" s="1102"/>
      <c r="L22" s="1102"/>
      <c r="M22" s="1102"/>
      <c r="N22" s="1102"/>
      <c r="O22" s="1102"/>
      <c r="P22" s="1102"/>
      <c r="Q22" s="1102"/>
      <c r="R22" s="1102"/>
      <c r="S22" s="1102"/>
      <c r="T22" s="2882">
        <f t="shared" ref="T22:AG22" si="95">T42+T71+T81+T101</f>
        <v>15668</v>
      </c>
      <c r="U22" s="1102">
        <f t="shared" si="95"/>
        <v>21202</v>
      </c>
      <c r="V22" s="1102">
        <f t="shared" si="95"/>
        <v>-5003</v>
      </c>
      <c r="W22" s="1102">
        <f t="shared" si="95"/>
        <v>7558</v>
      </c>
      <c r="X22" s="1102">
        <f t="shared" si="95"/>
        <v>15934</v>
      </c>
      <c r="Y22" s="1102">
        <f t="shared" si="95"/>
        <v>14510</v>
      </c>
      <c r="Z22" s="1102">
        <f t="shared" si="95"/>
        <v>13820</v>
      </c>
      <c r="AA22" s="1102">
        <f t="shared" si="95"/>
        <v>24385</v>
      </c>
      <c r="AB22" s="1102">
        <f t="shared" si="95"/>
        <v>14493</v>
      </c>
      <c r="AC22" s="1102">
        <f t="shared" si="95"/>
        <v>27785</v>
      </c>
      <c r="AD22" s="1102">
        <f t="shared" si="95"/>
        <v>13917</v>
      </c>
      <c r="AE22" s="1102">
        <f t="shared" si="95"/>
        <v>11939</v>
      </c>
      <c r="AF22" s="2883">
        <f t="shared" si="95"/>
        <v>176208</v>
      </c>
      <c r="AG22" s="2883">
        <f t="shared" si="95"/>
        <v>14684</v>
      </c>
      <c r="AH22" s="2883"/>
      <c r="AI22" s="2882">
        <f>AI42+AI71+AI81+AI101+AI52</f>
        <v>21389</v>
      </c>
      <c r="AJ22" s="2883">
        <f t="shared" ref="AJ22:AT22" si="96">AJ42+AJ71+AJ81+AJ101+AJ52</f>
        <v>18665</v>
      </c>
      <c r="AK22" s="2883">
        <f t="shared" si="96"/>
        <v>16358</v>
      </c>
      <c r="AL22" s="2883">
        <f t="shared" si="96"/>
        <v>14360</v>
      </c>
      <c r="AM22" s="2883">
        <f t="shared" si="96"/>
        <v>11837.999999999998</v>
      </c>
      <c r="AN22" s="2883">
        <f t="shared" si="96"/>
        <v>7628.9999999999982</v>
      </c>
      <c r="AO22" s="2883">
        <f t="shared" si="96"/>
        <v>11975.999999999993</v>
      </c>
      <c r="AP22" s="2883">
        <f t="shared" si="96"/>
        <v>2147.0000000000018</v>
      </c>
      <c r="AQ22" s="2883">
        <f t="shared" si="96"/>
        <v>16274</v>
      </c>
      <c r="AR22" s="2883">
        <f t="shared" si="96"/>
        <v>17268</v>
      </c>
      <c r="AS22" s="2883">
        <f t="shared" si="96"/>
        <v>5586</v>
      </c>
      <c r="AT22" s="1102">
        <f t="shared" si="96"/>
        <v>7082</v>
      </c>
      <c r="AU22" s="1102">
        <f t="shared" si="88"/>
        <v>150572</v>
      </c>
      <c r="AV22" s="4499">
        <f t="shared" si="88"/>
        <v>13045.363636363636</v>
      </c>
      <c r="AW22" s="2968">
        <f>AW42+AW71+AW81+AW101+AW52</f>
        <v>10177</v>
      </c>
      <c r="AX22" s="2883">
        <f t="shared" si="76"/>
        <v>19763</v>
      </c>
      <c r="AY22" s="2883">
        <f t="shared" si="76"/>
        <v>13475</v>
      </c>
      <c r="AZ22" s="2883">
        <f>AZ42+AZ71+AZ81+AZ101+AZ52</f>
        <v>13724</v>
      </c>
      <c r="BA22" s="2883">
        <f>BA42+BA71+BA81+BA101+BA52</f>
        <v>12473</v>
      </c>
      <c r="BB22" s="2883">
        <f t="shared" ref="BB22:BJ22" si="97">BB42+BB71+BB81+BB101+BB52</f>
        <v>12539</v>
      </c>
      <c r="BC22" s="2883">
        <f t="shared" ref="BC22:BD22" si="98">BC42+BC71+BC81+BC101+BC52</f>
        <v>21830</v>
      </c>
      <c r="BD22" s="2883">
        <f t="shared" si="98"/>
        <v>14351</v>
      </c>
      <c r="BE22" s="2883">
        <f t="shared" ref="BE22" si="99">BE42+BE71+BE81+BE101+BE52</f>
        <v>23245</v>
      </c>
      <c r="BF22" s="2883">
        <f>BF42+BF71+BF82+BF91+BF52</f>
        <v>14989</v>
      </c>
      <c r="BG22" s="2883">
        <f>BG42+BG71+BG82+BG91+BG52</f>
        <v>12970</v>
      </c>
      <c r="BH22" s="2883">
        <f>BH42+BH71+BH82+BH91+BH52</f>
        <v>13018</v>
      </c>
      <c r="BI22" s="2883">
        <f t="shared" si="97"/>
        <v>182990</v>
      </c>
      <c r="BJ22" s="2885">
        <f t="shared" si="97"/>
        <v>17280.469696969692</v>
      </c>
      <c r="BK22" s="2883">
        <f>BK42+BK71+BK82+BK91+BK52</f>
        <v>7467</v>
      </c>
      <c r="BL22" s="2883">
        <f>BL42+BL71+BL82+BL91+BL52</f>
        <v>7262</v>
      </c>
      <c r="BM22" s="2883"/>
      <c r="BN22" s="2883"/>
      <c r="BO22" s="2883"/>
      <c r="BP22" s="2883"/>
      <c r="BQ22" s="2883"/>
      <c r="BR22" s="2883"/>
      <c r="BS22" s="2883"/>
      <c r="BT22" s="2883"/>
      <c r="BU22" s="2883"/>
      <c r="BV22" s="2883"/>
      <c r="BW22" s="2883">
        <f t="shared" ref="BW22:BX22" si="100">BW42+BW71+BW81+BW101+BW52</f>
        <v>25098</v>
      </c>
      <c r="BX22" s="2885">
        <f t="shared" si="100"/>
        <v>12549</v>
      </c>
      <c r="BZ22" s="2860" t="e">
        <f>HLOOKUP($A$1,$AW$1:$BH$400,ROW(),0)-HLOOKUP($A$1,$AI$1:$AT$400,ROW(),0)</f>
        <v>#N/A</v>
      </c>
      <c r="CA22" s="2860">
        <f>BJ22-AV22</f>
        <v>4235.1060606060564</v>
      </c>
      <c r="CB22" s="2881" t="e">
        <f>HLOOKUP($A$1,$AW$1:$BH$400,ROW(),0)-SUM(AI22:AJ22)</f>
        <v>#N/A</v>
      </c>
      <c r="CI22" s="3297"/>
      <c r="CJ22" s="590"/>
    </row>
    <row r="23" spans="1:88" ht="18" customHeight="1" x14ac:dyDescent="0.55000000000000004">
      <c r="A23" s="7121"/>
      <c r="B23" s="7122"/>
      <c r="C23" s="594" t="s">
        <v>49</v>
      </c>
      <c r="D23" s="594"/>
      <c r="E23" s="2774"/>
      <c r="F23" s="2882"/>
      <c r="G23" s="1102"/>
      <c r="H23" s="1102"/>
      <c r="I23" s="1102"/>
      <c r="J23" s="1102"/>
      <c r="K23" s="1102"/>
      <c r="L23" s="1102"/>
      <c r="M23" s="1102"/>
      <c r="N23" s="1102"/>
      <c r="O23" s="1102"/>
      <c r="P23" s="1102"/>
      <c r="Q23" s="1102"/>
      <c r="R23" s="1102"/>
      <c r="S23" s="1102"/>
      <c r="T23" s="2882">
        <f t="shared" ref="T23:AG23" si="101">T43+T72+T82+T102</f>
        <v>4470</v>
      </c>
      <c r="U23" s="1102">
        <f t="shared" si="101"/>
        <v>4222</v>
      </c>
      <c r="V23" s="1102">
        <f t="shared" si="101"/>
        <v>4700</v>
      </c>
      <c r="W23" s="1102">
        <f t="shared" si="101"/>
        <v>3349</v>
      </c>
      <c r="X23" s="1102">
        <f t="shared" si="101"/>
        <v>3731</v>
      </c>
      <c r="Y23" s="1102">
        <f t="shared" si="101"/>
        <v>3671</v>
      </c>
      <c r="Z23" s="1102">
        <f t="shared" si="101"/>
        <v>3660</v>
      </c>
      <c r="AA23" s="1102">
        <f t="shared" si="101"/>
        <v>3493</v>
      </c>
      <c r="AB23" s="1102">
        <f t="shared" si="101"/>
        <v>3071</v>
      </c>
      <c r="AC23" s="1102">
        <f t="shared" si="101"/>
        <v>3115</v>
      </c>
      <c r="AD23" s="1102">
        <f t="shared" si="101"/>
        <v>4003</v>
      </c>
      <c r="AE23" s="1102">
        <f t="shared" si="101"/>
        <v>2883</v>
      </c>
      <c r="AF23" s="2883">
        <f t="shared" si="101"/>
        <v>44368</v>
      </c>
      <c r="AG23" s="2883">
        <f t="shared" si="101"/>
        <v>3697.3333333333335</v>
      </c>
      <c r="AH23" s="2883"/>
      <c r="AI23" s="2882">
        <f>AI43+AI72+AI82+AI102+AI53</f>
        <v>3090</v>
      </c>
      <c r="AJ23" s="2883">
        <f t="shared" ref="AJ23:AT23" si="102">AJ43+AJ72+AJ82+AJ102+AJ53</f>
        <v>2939</v>
      </c>
      <c r="AK23" s="2883">
        <f t="shared" si="102"/>
        <v>3413</v>
      </c>
      <c r="AL23" s="2883">
        <f t="shared" si="102"/>
        <v>3778</v>
      </c>
      <c r="AM23" s="2883">
        <f t="shared" si="102"/>
        <v>4768</v>
      </c>
      <c r="AN23" s="2883">
        <f t="shared" si="102"/>
        <v>4265</v>
      </c>
      <c r="AO23" s="2883">
        <f t="shared" si="102"/>
        <v>7069</v>
      </c>
      <c r="AP23" s="2883">
        <f t="shared" si="102"/>
        <v>5768</v>
      </c>
      <c r="AQ23" s="2883">
        <f t="shared" si="102"/>
        <v>6381</v>
      </c>
      <c r="AR23" s="2883">
        <f t="shared" si="102"/>
        <v>10635</v>
      </c>
      <c r="AS23" s="2883">
        <f t="shared" si="102"/>
        <v>9520</v>
      </c>
      <c r="AT23" s="1102">
        <f t="shared" si="102"/>
        <v>5839</v>
      </c>
      <c r="AU23" s="1102">
        <f t="shared" si="88"/>
        <v>67465</v>
      </c>
      <c r="AV23" s="4499">
        <f t="shared" si="88"/>
        <v>5591.5858585858587</v>
      </c>
      <c r="AW23" s="2968">
        <f>AW43+AW72+AW82+AW102+AW53</f>
        <v>5763</v>
      </c>
      <c r="AX23" s="2883">
        <f t="shared" si="76"/>
        <v>7139</v>
      </c>
      <c r="AY23" s="2883">
        <f t="shared" si="76"/>
        <v>4676</v>
      </c>
      <c r="AZ23" s="2883">
        <f>AZ43+AZ72+AZ82+AZ102+AZ53</f>
        <v>8226</v>
      </c>
      <c r="BA23" s="2883">
        <f>BA43+BA72+BA82+BA102+BA53</f>
        <v>5837</v>
      </c>
      <c r="BB23" s="2883">
        <f t="shared" ref="BB23:BK23" si="103">BB43+BB72+BB82+BB102+BB53</f>
        <v>8614</v>
      </c>
      <c r="BC23" s="2883">
        <f t="shared" ref="BC23:BD23" si="104">BC43+BC72+BC82+BC102+BC53</f>
        <v>10375</v>
      </c>
      <c r="BD23" s="2883">
        <f t="shared" si="104"/>
        <v>9499</v>
      </c>
      <c r="BE23" s="2883">
        <f t="shared" ref="BE23:BF23" si="105">BE43+BE72+BE82+BE102+BE53</f>
        <v>8398</v>
      </c>
      <c r="BF23" s="2883">
        <f t="shared" si="105"/>
        <v>11969</v>
      </c>
      <c r="BG23" s="2883">
        <f t="shared" ref="BG23:BH23" si="106">BG43+BG72+BG82+BG102+BG53</f>
        <v>10164</v>
      </c>
      <c r="BH23" s="2883">
        <f t="shared" si="106"/>
        <v>9594</v>
      </c>
      <c r="BI23" s="2883">
        <f t="shared" si="103"/>
        <v>100254</v>
      </c>
      <c r="BJ23" s="2885">
        <f t="shared" si="103"/>
        <v>8241.8181818181838</v>
      </c>
      <c r="BK23" s="2883">
        <f t="shared" si="103"/>
        <v>10978</v>
      </c>
      <c r="BL23" s="2883">
        <v>11802</v>
      </c>
      <c r="BM23" s="2883"/>
      <c r="BN23" s="2883"/>
      <c r="BO23" s="2883"/>
      <c r="BP23" s="2883"/>
      <c r="BQ23" s="2883"/>
      <c r="BR23" s="2883"/>
      <c r="BS23" s="2883"/>
      <c r="BT23" s="2883"/>
      <c r="BU23" s="2883"/>
      <c r="BV23" s="2883"/>
      <c r="BW23" s="2883">
        <f t="shared" ref="BW23:BX23" si="107">BW43+BW72+BW82+BW102+BW53</f>
        <v>22780</v>
      </c>
      <c r="BX23" s="2885">
        <f t="shared" si="107"/>
        <v>11390</v>
      </c>
      <c r="BZ23" s="2860" t="e">
        <f>HLOOKUP($A$1,$AW$1:$BH$400,ROW(),0)-HLOOKUP($A$1,$AI$1:$AT$400,ROW(),0)</f>
        <v>#N/A</v>
      </c>
      <c r="CA23" s="2860">
        <f>BJ23-AV23</f>
        <v>2650.2323232323251</v>
      </c>
      <c r="CB23" s="2881" t="e">
        <f>HLOOKUP($A$1,$AW$1:$BH$400,ROW(),0)-SUM(AI23:AJ23)</f>
        <v>#N/A</v>
      </c>
      <c r="CI23" s="2896"/>
      <c r="CJ23" s="2860"/>
    </row>
    <row r="24" spans="1:88" ht="18" customHeight="1" x14ac:dyDescent="0.55000000000000004">
      <c r="A24" s="7121"/>
      <c r="B24" s="7122"/>
      <c r="C24" s="594" t="s">
        <v>714</v>
      </c>
      <c r="D24" s="594"/>
      <c r="E24" s="2774"/>
      <c r="F24" s="2882"/>
      <c r="G24" s="1102"/>
      <c r="H24" s="1102"/>
      <c r="I24" s="1102"/>
      <c r="J24" s="1102"/>
      <c r="K24" s="1102"/>
      <c r="L24" s="1102"/>
      <c r="M24" s="1102"/>
      <c r="N24" s="1102"/>
      <c r="O24" s="1102"/>
      <c r="P24" s="1102"/>
      <c r="Q24" s="1102"/>
      <c r="R24" s="1102"/>
      <c r="S24" s="1102"/>
      <c r="T24" s="2882">
        <f t="shared" ref="T24:AF24" si="108">T44+T73+T83+T103</f>
        <v>0</v>
      </c>
      <c r="U24" s="1102">
        <f t="shared" si="108"/>
        <v>0</v>
      </c>
      <c r="V24" s="1102">
        <f t="shared" si="108"/>
        <v>0</v>
      </c>
      <c r="W24" s="1102">
        <f t="shared" si="108"/>
        <v>0</v>
      </c>
      <c r="X24" s="1102">
        <f t="shared" si="108"/>
        <v>0</v>
      </c>
      <c r="Y24" s="1102">
        <f t="shared" si="108"/>
        <v>0</v>
      </c>
      <c r="Z24" s="1102">
        <f t="shared" si="108"/>
        <v>0</v>
      </c>
      <c r="AA24" s="1102">
        <f t="shared" si="108"/>
        <v>0</v>
      </c>
      <c r="AB24" s="1102">
        <f t="shared" si="108"/>
        <v>0</v>
      </c>
      <c r="AC24" s="1102">
        <f t="shared" si="108"/>
        <v>0</v>
      </c>
      <c r="AD24" s="1102">
        <f t="shared" si="108"/>
        <v>0</v>
      </c>
      <c r="AE24" s="1102">
        <f t="shared" si="108"/>
        <v>0</v>
      </c>
      <c r="AF24" s="2883">
        <f t="shared" si="108"/>
        <v>0</v>
      </c>
      <c r="AG24" s="2883">
        <v>0</v>
      </c>
      <c r="AH24" s="2883"/>
      <c r="AI24" s="2882">
        <f>AI44+AI73+AI83+AI103+AI54</f>
        <v>-302</v>
      </c>
      <c r="AJ24" s="2883">
        <f t="shared" ref="AJ24:AT24" si="109">AJ44+AJ83+AJ103</f>
        <v>-2954</v>
      </c>
      <c r="AK24" s="2883">
        <f t="shared" si="109"/>
        <v>-1926</v>
      </c>
      <c r="AL24" s="2883">
        <f t="shared" si="109"/>
        <v>-17</v>
      </c>
      <c r="AM24" s="2883">
        <f t="shared" si="109"/>
        <v>-10</v>
      </c>
      <c r="AN24" s="2883">
        <f t="shared" si="109"/>
        <v>-12</v>
      </c>
      <c r="AO24" s="2883">
        <f t="shared" si="109"/>
        <v>-13</v>
      </c>
      <c r="AP24" s="2883">
        <f t="shared" si="109"/>
        <v>0</v>
      </c>
      <c r="AQ24" s="2883">
        <f t="shared" si="109"/>
        <v>0</v>
      </c>
      <c r="AR24" s="2883">
        <f t="shared" si="109"/>
        <v>0</v>
      </c>
      <c r="AS24" s="2883">
        <f t="shared" si="109"/>
        <v>0</v>
      </c>
      <c r="AT24" s="2883">
        <f t="shared" si="109"/>
        <v>0</v>
      </c>
      <c r="AU24" s="2883">
        <f>AU44+AU83+AU103+AU54</f>
        <v>-11532</v>
      </c>
      <c r="AV24" s="2885">
        <f>AV44+AV83+AV103+AV54</f>
        <v>-1043.2</v>
      </c>
      <c r="AW24" s="2968">
        <f>AW44+AW83+AW103</f>
        <v>0</v>
      </c>
      <c r="AX24" s="2883">
        <f t="shared" ref="AX24:BB24" si="110">AX44+AX83+AX103</f>
        <v>10</v>
      </c>
      <c r="AY24" s="2883">
        <f t="shared" si="110"/>
        <v>7</v>
      </c>
      <c r="AZ24" s="2883">
        <f t="shared" si="110"/>
        <v>1</v>
      </c>
      <c r="BA24" s="2883">
        <f>BA44+BA83+BA103</f>
        <v>4</v>
      </c>
      <c r="BB24" s="2883">
        <f t="shared" si="110"/>
        <v>3</v>
      </c>
      <c r="BC24" s="2883">
        <f t="shared" ref="BC24:BF24" si="111">BC44+BC83+BC103</f>
        <v>0</v>
      </c>
      <c r="BD24" s="2883">
        <f t="shared" si="111"/>
        <v>0</v>
      </c>
      <c r="BE24" s="2883">
        <f t="shared" ref="BE24" si="112">BE44+BE83+BE103</f>
        <v>0</v>
      </c>
      <c r="BF24" s="2883">
        <f t="shared" si="111"/>
        <v>0</v>
      </c>
      <c r="BG24" s="2883">
        <f t="shared" ref="BG24:BH24" si="113">BG44+BG83+BG103</f>
        <v>0</v>
      </c>
      <c r="BH24" s="2883">
        <f t="shared" si="113"/>
        <v>0</v>
      </c>
      <c r="BI24" s="2883">
        <f t="shared" ref="BI24" si="114">BI44+BI83+BI103+BI54</f>
        <v>-6996</v>
      </c>
      <c r="BJ24" s="2885">
        <f>AVERAGE(AW24:BH24)</f>
        <v>2.0833333333333335</v>
      </c>
      <c r="BK24" s="2883">
        <f t="shared" ref="BK24" si="115">BK44+BK83+BK103</f>
        <v>0</v>
      </c>
      <c r="BL24" s="2883">
        <v>0</v>
      </c>
      <c r="BM24" s="2883"/>
      <c r="BN24" s="2883"/>
      <c r="BO24" s="2883"/>
      <c r="BP24" s="2883"/>
      <c r="BQ24" s="2883"/>
      <c r="BR24" s="2883"/>
      <c r="BS24" s="2883"/>
      <c r="BT24" s="2883"/>
      <c r="BU24" s="2883"/>
      <c r="BV24" s="2883"/>
      <c r="BW24" s="2883">
        <f t="shared" ref="BW24" si="116">BW44+BW83+BW103+BW54</f>
        <v>-3671</v>
      </c>
      <c r="BX24" s="2885">
        <f>AVERAGE(BK24:BV24)</f>
        <v>0</v>
      </c>
      <c r="BZ24" s="2860" t="e">
        <f>HLOOKUP($A$1,$AW$1:$BH$400,ROW(),0)-HLOOKUP($A$1,$AI$1:$AT$400,ROW(),0)</f>
        <v>#N/A</v>
      </c>
      <c r="CA24" s="2860">
        <f>BJ24-AV24</f>
        <v>1045.2833333333333</v>
      </c>
      <c r="CB24" s="2881" t="e">
        <f>HLOOKUP($A$1,$AW$1:$BH$400,ROW(),0)-SUM(AI24:AJ24)</f>
        <v>#N/A</v>
      </c>
      <c r="CI24" s="3297"/>
      <c r="CJ24" s="590"/>
    </row>
    <row r="25" spans="1:88" ht="18" customHeight="1" x14ac:dyDescent="0.55000000000000004">
      <c r="A25" s="7155"/>
      <c r="B25" s="7156"/>
      <c r="C25" s="1257" t="s">
        <v>50</v>
      </c>
      <c r="D25" s="1576"/>
      <c r="E25" s="2895"/>
      <c r="F25" s="2894"/>
      <c r="G25" s="2895"/>
      <c r="H25" s="2895"/>
      <c r="I25" s="2895"/>
      <c r="J25" s="2895"/>
      <c r="K25" s="2895"/>
      <c r="L25" s="2895"/>
      <c r="M25" s="2895"/>
      <c r="N25" s="2895"/>
      <c r="O25" s="2895"/>
      <c r="P25" s="2895"/>
      <c r="Q25" s="2895"/>
      <c r="R25" s="2895"/>
      <c r="S25" s="2895"/>
      <c r="T25" s="2894">
        <f t="shared" ref="T25:AF25" si="117">T45+T74+T84+T104</f>
        <v>-3315</v>
      </c>
      <c r="U25" s="2895">
        <f t="shared" si="117"/>
        <v>664</v>
      </c>
      <c r="V25" s="2895">
        <f t="shared" si="117"/>
        <v>18995</v>
      </c>
      <c r="W25" s="2895">
        <f t="shared" si="117"/>
        <v>5035</v>
      </c>
      <c r="X25" s="2895">
        <f t="shared" si="117"/>
        <v>-961</v>
      </c>
      <c r="Y25" s="2895">
        <f t="shared" si="117"/>
        <v>-748</v>
      </c>
      <c r="Z25" s="2895">
        <f t="shared" si="117"/>
        <v>-4598</v>
      </c>
      <c r="AA25" s="2895">
        <f t="shared" si="117"/>
        <v>-3307</v>
      </c>
      <c r="AB25" s="2895">
        <f t="shared" si="117"/>
        <v>-4871</v>
      </c>
      <c r="AC25" s="2895">
        <f t="shared" si="117"/>
        <v>-3570</v>
      </c>
      <c r="AD25" s="2895">
        <f t="shared" si="117"/>
        <v>-5341</v>
      </c>
      <c r="AE25" s="2895">
        <f t="shared" si="117"/>
        <v>-4838</v>
      </c>
      <c r="AF25" s="2896">
        <f t="shared" si="117"/>
        <v>-6855</v>
      </c>
      <c r="AG25" s="2896">
        <f>AG45+AG74+AG84+AG104</f>
        <v>-571.24999999999989</v>
      </c>
      <c r="AH25" s="2896"/>
      <c r="AI25" s="2894">
        <f>AI45+AI74+AI84+AI104+AI54</f>
        <v>-979</v>
      </c>
      <c r="AJ25" s="2896">
        <f t="shared" ref="AJ25:AT25" si="118">AJ45+AJ74+AJ84+AJ104+AJ54</f>
        <v>-6462</v>
      </c>
      <c r="AK25" s="2896">
        <f t="shared" si="118"/>
        <v>-6166</v>
      </c>
      <c r="AL25" s="2896">
        <f t="shared" si="118"/>
        <v>-6020</v>
      </c>
      <c r="AM25" s="2896">
        <f t="shared" si="118"/>
        <v>-4879</v>
      </c>
      <c r="AN25" s="2896">
        <f t="shared" si="118"/>
        <v>-840</v>
      </c>
      <c r="AO25" s="2896">
        <f t="shared" si="118"/>
        <v>-180</v>
      </c>
      <c r="AP25" s="2896">
        <f t="shared" si="118"/>
        <v>5494</v>
      </c>
      <c r="AQ25" s="2896">
        <f t="shared" si="118"/>
        <v>-4805</v>
      </c>
      <c r="AR25" s="2896">
        <f t="shared" si="118"/>
        <v>-11718</v>
      </c>
      <c r="AS25" s="2896">
        <f t="shared" si="118"/>
        <v>-3955</v>
      </c>
      <c r="AT25" s="2895">
        <f t="shared" si="118"/>
        <v>-5056</v>
      </c>
      <c r="AU25" s="2895">
        <f>AU45+AU74+AU84+AU104+AU54</f>
        <v>-45566</v>
      </c>
      <c r="AV25" s="4500">
        <f>AV45+AV74+AV84+AV104+AV54</f>
        <v>-3797.1666666666665</v>
      </c>
      <c r="AW25" s="4505">
        <f>AW45+AW74+AW84+AW104+AW54</f>
        <v>-8529</v>
      </c>
      <c r="AX25" s="2896">
        <f>AX45+AX74+AX84+AX104+AX54</f>
        <v>-6661</v>
      </c>
      <c r="AY25" s="2896">
        <f t="shared" ref="AY25" si="119">AY45+AY74+AY84+AY104+AY54</f>
        <v>-5024</v>
      </c>
      <c r="AZ25" s="2896">
        <f>AZ16-AY16</f>
        <v>-3822</v>
      </c>
      <c r="BA25" s="2896">
        <f>BA16-AZ16</f>
        <v>8024</v>
      </c>
      <c r="BB25" s="2896">
        <f t="shared" ref="BB25:BC25" si="120">BB16-BA16</f>
        <v>-7281</v>
      </c>
      <c r="BC25" s="2896">
        <f t="shared" si="120"/>
        <v>-6629</v>
      </c>
      <c r="BD25" s="2896">
        <f t="shared" ref="BD25:BE25" si="121">BD16-BC16</f>
        <v>-12154</v>
      </c>
      <c r="BE25" s="2896">
        <f t="shared" si="121"/>
        <v>-13130</v>
      </c>
      <c r="BF25" s="2896">
        <f t="shared" ref="BF25:BH25" si="122">BF16-BE16</f>
        <v>-14107</v>
      </c>
      <c r="BG25" s="2896">
        <f t="shared" si="122"/>
        <v>-10460</v>
      </c>
      <c r="BH25" s="2896">
        <f t="shared" si="122"/>
        <v>-13146</v>
      </c>
      <c r="BI25" s="2896">
        <f t="shared" ref="BI25:BJ25" si="123">BI45+BI74+BI84+BI104+BI54</f>
        <v>-92919</v>
      </c>
      <c r="BJ25" s="2898">
        <f t="shared" si="123"/>
        <v>-7743.25</v>
      </c>
      <c r="BK25" s="2896">
        <f>BK16-BH16</f>
        <v>-20510</v>
      </c>
      <c r="BL25" s="2896">
        <v>-10502</v>
      </c>
      <c r="BM25" s="2896"/>
      <c r="BN25" s="2896"/>
      <c r="BO25" s="2896"/>
      <c r="BP25" s="2896"/>
      <c r="BQ25" s="2896"/>
      <c r="BR25" s="2896"/>
      <c r="BS25" s="2896"/>
      <c r="BT25" s="2896"/>
      <c r="BU25" s="2896"/>
      <c r="BV25" s="2896"/>
      <c r="BW25" s="2896">
        <f t="shared" ref="BW25:BX25" si="124">BW45+BW74+BW84+BW104+BW54</f>
        <v>-31012</v>
      </c>
      <c r="BX25" s="2898">
        <f t="shared" si="124"/>
        <v>-15506</v>
      </c>
      <c r="BZ25" s="2860" t="e">
        <f>HLOOKUP($A$1,$AW$1:$BH$400,ROW(),0)-HLOOKUP($A$1,$AI$1:$AT$400,ROW(),0)</f>
        <v>#N/A</v>
      </c>
      <c r="CA25" s="2860">
        <f>BJ25-AV25</f>
        <v>-3946.0833333333335</v>
      </c>
      <c r="CB25" s="2881" t="e">
        <f>HLOOKUP($A$1,$AW$1:$BH$400,ROW(),0)-SUM(AI25:AJ25)</f>
        <v>#N/A</v>
      </c>
      <c r="CE25" s="2860">
        <f>SUM(AW25:BH25)-SUM(AI25:AT25)</f>
        <v>-47353</v>
      </c>
      <c r="CI25" s="2896"/>
      <c r="CJ25" s="2860"/>
    </row>
    <row r="26" spans="1:88" ht="18" customHeight="1" x14ac:dyDescent="0.55000000000000004">
      <c r="A26" s="7146" t="s">
        <v>60</v>
      </c>
      <c r="B26" s="7147"/>
      <c r="C26" s="3295" t="s">
        <v>43</v>
      </c>
      <c r="D26" s="3296"/>
      <c r="E26" s="3297"/>
      <c r="F26" s="3298"/>
      <c r="G26" s="3297"/>
      <c r="H26" s="3297"/>
      <c r="I26" s="3297"/>
      <c r="J26" s="3297"/>
      <c r="K26" s="3297"/>
      <c r="L26" s="3297"/>
      <c r="M26" s="3297"/>
      <c r="N26" s="3297"/>
      <c r="O26" s="3297"/>
      <c r="P26" s="3297"/>
      <c r="Q26" s="3297">
        <f>Q55+Q85</f>
        <v>779990</v>
      </c>
      <c r="R26" s="3298">
        <f>R55+R85</f>
        <v>779990</v>
      </c>
      <c r="S26" s="3297"/>
      <c r="T26" s="3298">
        <f t="shared" ref="T26:AG26" si="125">T55+T85</f>
        <v>779724</v>
      </c>
      <c r="U26" s="3297">
        <f t="shared" si="125"/>
        <v>780722</v>
      </c>
      <c r="V26" s="3297">
        <f t="shared" si="125"/>
        <v>779638</v>
      </c>
      <c r="W26" s="3297">
        <f t="shared" si="125"/>
        <v>778911</v>
      </c>
      <c r="X26" s="3297">
        <f t="shared" si="125"/>
        <v>776888</v>
      </c>
      <c r="Y26" s="3297">
        <f t="shared" si="125"/>
        <v>774460</v>
      </c>
      <c r="Z26" s="3297">
        <f t="shared" si="125"/>
        <v>774140</v>
      </c>
      <c r="AA26" s="3297">
        <f t="shared" si="125"/>
        <v>774080</v>
      </c>
      <c r="AB26" s="3297">
        <f t="shared" si="125"/>
        <v>774579</v>
      </c>
      <c r="AC26" s="3297">
        <f t="shared" si="125"/>
        <v>778535</v>
      </c>
      <c r="AD26" s="3297">
        <f t="shared" si="125"/>
        <v>778067</v>
      </c>
      <c r="AE26" s="3297">
        <f t="shared" si="125"/>
        <v>775751</v>
      </c>
      <c r="AF26" s="3299">
        <f t="shared" si="125"/>
        <v>775751</v>
      </c>
      <c r="AG26" s="3299">
        <f t="shared" si="125"/>
        <v>777124.58333333337</v>
      </c>
      <c r="AH26" s="3299"/>
      <c r="AI26" s="3300">
        <f t="shared" ref="AI26:AT26" si="126">AI55+AI85</f>
        <v>777187</v>
      </c>
      <c r="AJ26" s="3299">
        <f t="shared" si="126"/>
        <v>779411</v>
      </c>
      <c r="AK26" s="3299">
        <f t="shared" si="126"/>
        <v>778155</v>
      </c>
      <c r="AL26" s="3299">
        <f t="shared" si="126"/>
        <v>776021</v>
      </c>
      <c r="AM26" s="3299">
        <f t="shared" si="126"/>
        <v>773540</v>
      </c>
      <c r="AN26" s="3299">
        <f t="shared" si="126"/>
        <v>770644</v>
      </c>
      <c r="AO26" s="3299">
        <f t="shared" si="126"/>
        <v>768036</v>
      </c>
      <c r="AP26" s="3299">
        <f t="shared" si="126"/>
        <v>759356</v>
      </c>
      <c r="AQ26" s="3299">
        <f t="shared" si="126"/>
        <v>760184</v>
      </c>
      <c r="AR26" s="3299">
        <f t="shared" si="126"/>
        <v>756277</v>
      </c>
      <c r="AS26" s="3299">
        <f t="shared" si="126"/>
        <v>744146</v>
      </c>
      <c r="AT26" s="3297">
        <f t="shared" si="126"/>
        <v>732488</v>
      </c>
      <c r="AU26" s="3299">
        <f>INDEX($AI26:$AT26, 1, MATCH(0, $AI26:$AT26, -1))</f>
        <v>732488</v>
      </c>
      <c r="AV26" s="3301">
        <f>AV55+AV85</f>
        <v>764620.41666666674</v>
      </c>
      <c r="AW26" s="4506">
        <f>AW55+AW85</f>
        <v>722118</v>
      </c>
      <c r="AX26" s="3297">
        <f>AX55+AX85</f>
        <v>716163</v>
      </c>
      <c r="AY26" s="3297">
        <f>AY55+AY85</f>
        <v>706173</v>
      </c>
      <c r="AZ26" s="3299">
        <v>700387</v>
      </c>
      <c r="BA26" s="3297">
        <f t="shared" ref="BA26:BB26" si="127">BA55+BA85</f>
        <v>709512</v>
      </c>
      <c r="BB26" s="3297">
        <f t="shared" si="127"/>
        <v>702531</v>
      </c>
      <c r="BC26" s="3297">
        <f t="shared" ref="BC26:BD26" si="128">BC55+BC85</f>
        <v>700688</v>
      </c>
      <c r="BD26" s="3297">
        <f t="shared" si="128"/>
        <v>688035</v>
      </c>
      <c r="BE26" s="3297">
        <f t="shared" ref="BE26:BF26" si="129">BE55+BE85</f>
        <v>683212</v>
      </c>
      <c r="BF26" s="3297">
        <f t="shared" si="129"/>
        <v>673698</v>
      </c>
      <c r="BG26" s="3297">
        <f t="shared" ref="BG26" si="130">BG55+BG85</f>
        <v>662831</v>
      </c>
      <c r="BH26" s="3297">
        <f>BH55+BH85</f>
        <v>651487</v>
      </c>
      <c r="BI26" s="3297">
        <f>INDEX($AW26:$BH26, 1, MATCH(0, $AW26:$BH26, -1))</f>
        <v>651487</v>
      </c>
      <c r="BJ26" s="3301">
        <f>BJ55+BJ85</f>
        <v>693069.58333333326</v>
      </c>
      <c r="BK26" s="3297">
        <f>BK55+BK85</f>
        <v>638581</v>
      </c>
      <c r="BL26" s="3297">
        <v>630945</v>
      </c>
      <c r="BM26" s="3297"/>
      <c r="BN26" s="3299"/>
      <c r="BO26" s="3297"/>
      <c r="BP26" s="3297"/>
      <c r="BQ26" s="3297"/>
      <c r="BR26" s="3297"/>
      <c r="BS26" s="3297"/>
      <c r="BT26" s="3297"/>
      <c r="BU26" s="3297"/>
      <c r="BV26" s="3297"/>
      <c r="BW26" s="3297">
        <f>INDEX($AW26:$BH26, 1, MATCH(0, $AW26:$BH26, -1))</f>
        <v>651487</v>
      </c>
      <c r="BX26" s="3301">
        <f>BX55+BX85</f>
        <v>634763</v>
      </c>
      <c r="BZ26" s="2860" t="e">
        <f>HLOOKUP($A$1,$AW$1:$BH$400,ROW(),0)-HLOOKUP($A$1,$AI$1:$AT$400,ROW(),0)</f>
        <v>#N/A</v>
      </c>
      <c r="CA26" s="2860">
        <f>BJ26-AV26</f>
        <v>-71550.833333333489</v>
      </c>
      <c r="CB26" s="2861">
        <f>AX26-AJ26</f>
        <v>-63248</v>
      </c>
      <c r="CE26" s="590">
        <f>BH26-AT26</f>
        <v>-81001</v>
      </c>
    </row>
    <row r="27" spans="1:88" ht="18" customHeight="1" x14ac:dyDescent="0.55000000000000004">
      <c r="A27" s="7141"/>
      <c r="B27" s="7148"/>
      <c r="C27" s="3084" t="s">
        <v>56</v>
      </c>
      <c r="D27" s="1339"/>
      <c r="E27" s="2888"/>
      <c r="F27" s="2888"/>
      <c r="G27" s="2888"/>
      <c r="H27" s="2888"/>
      <c r="I27" s="2888"/>
      <c r="J27" s="2888"/>
      <c r="K27" s="2888"/>
      <c r="L27" s="2888"/>
      <c r="M27" s="2888"/>
      <c r="N27" s="2888"/>
      <c r="O27" s="2888"/>
      <c r="P27" s="2888"/>
      <c r="Q27" s="2888"/>
      <c r="R27" s="2888"/>
      <c r="S27" s="2888"/>
      <c r="T27" s="2887">
        <f t="shared" ref="T27:AE27" si="131">T56+T86</f>
        <v>20072</v>
      </c>
      <c r="U27" s="2888">
        <f t="shared" si="131"/>
        <v>23849</v>
      </c>
      <c r="V27" s="2888">
        <f t="shared" si="131"/>
        <v>19298</v>
      </c>
      <c r="W27" s="2888">
        <f t="shared" si="131"/>
        <v>18484</v>
      </c>
      <c r="X27" s="2888">
        <f t="shared" si="131"/>
        <v>18803</v>
      </c>
      <c r="Y27" s="2888">
        <f t="shared" si="131"/>
        <v>17372</v>
      </c>
      <c r="Z27" s="2888">
        <f t="shared" si="131"/>
        <v>20157</v>
      </c>
      <c r="AA27" s="2888">
        <f t="shared" si="131"/>
        <v>27642</v>
      </c>
      <c r="AB27" s="2888">
        <f t="shared" si="131"/>
        <v>19116</v>
      </c>
      <c r="AC27" s="2888">
        <f t="shared" si="131"/>
        <v>33846</v>
      </c>
      <c r="AD27" s="2888">
        <f t="shared" si="131"/>
        <v>20353</v>
      </c>
      <c r="AE27" s="2888">
        <f t="shared" si="131"/>
        <v>16803</v>
      </c>
      <c r="AF27" s="2889">
        <f>SUM(T27:AE27)</f>
        <v>255795</v>
      </c>
      <c r="AG27" s="2889">
        <f>AVERAGE(T27:AE27)</f>
        <v>21316.25</v>
      </c>
      <c r="AH27" s="2889"/>
      <c r="AI27" s="2890">
        <f t="shared" ref="AI27:AT27" si="132">AI56+AI86</f>
        <v>28977</v>
      </c>
      <c r="AJ27" s="2889">
        <f t="shared" si="132"/>
        <v>23661</v>
      </c>
      <c r="AK27" s="2889">
        <f t="shared" si="132"/>
        <v>26973</v>
      </c>
      <c r="AL27" s="2889">
        <f t="shared" si="132"/>
        <v>27900</v>
      </c>
      <c r="AM27" s="2889">
        <f t="shared" si="132"/>
        <v>29593</v>
      </c>
      <c r="AN27" s="2889">
        <f t="shared" si="132"/>
        <v>26000</v>
      </c>
      <c r="AO27" s="2889">
        <f t="shared" si="132"/>
        <v>34598</v>
      </c>
      <c r="AP27" s="2889">
        <f t="shared" si="132"/>
        <v>27038</v>
      </c>
      <c r="AQ27" s="2889">
        <f t="shared" si="132"/>
        <v>42698</v>
      </c>
      <c r="AR27" s="2889">
        <f t="shared" si="132"/>
        <v>38004</v>
      </c>
      <c r="AS27" s="2889">
        <f t="shared" si="132"/>
        <v>29542</v>
      </c>
      <c r="AT27" s="2888">
        <f t="shared" si="132"/>
        <v>25462</v>
      </c>
      <c r="AU27" s="2889">
        <f t="shared" ref="AU27:AU35" si="133">AU56+AU86</f>
        <v>360446</v>
      </c>
      <c r="AV27" s="2891">
        <f>AVERAGE(AI27:AT27)</f>
        <v>30037.166666666668</v>
      </c>
      <c r="AW27" s="3414">
        <f>AW56+AW86</f>
        <v>24827</v>
      </c>
      <c r="AX27" s="2889">
        <f>AX56+AX86</f>
        <v>46666</v>
      </c>
      <c r="AY27" s="2889">
        <f>AY56+AY86</f>
        <v>29889</v>
      </c>
      <c r="AZ27" s="2889">
        <v>38967</v>
      </c>
      <c r="BA27" s="2889">
        <f>BA56+BA86</f>
        <v>66692</v>
      </c>
      <c r="BB27" s="2889">
        <f t="shared" ref="BB27:BC27" si="134">BB56+BB86</f>
        <v>43382</v>
      </c>
      <c r="BC27" s="2889">
        <f t="shared" si="134"/>
        <v>61341</v>
      </c>
      <c r="BD27" s="2889">
        <f t="shared" ref="BD27:BF27" si="135">BD56+BD86</f>
        <v>38039</v>
      </c>
      <c r="BE27" s="2889">
        <f t="shared" si="135"/>
        <v>50297</v>
      </c>
      <c r="BF27" s="2889">
        <f t="shared" si="135"/>
        <v>41620</v>
      </c>
      <c r="BG27" s="2889">
        <f t="shared" ref="BG27:BH27" si="136">BG56+BG86</f>
        <v>33730</v>
      </c>
      <c r="BH27" s="2889">
        <f t="shared" si="136"/>
        <v>36318</v>
      </c>
      <c r="BI27" s="2889">
        <f t="shared" ref="BI27:BI35" si="137">BI56+BI86</f>
        <v>511768</v>
      </c>
      <c r="BJ27" s="2891">
        <f>AVERAGE(AW27:BE27)</f>
        <v>44455.555555555555</v>
      </c>
      <c r="BK27" s="2889">
        <f t="shared" ref="BK27" si="138">BK56+BK86</f>
        <v>17312</v>
      </c>
      <c r="BL27" s="2889">
        <v>10548</v>
      </c>
      <c r="BM27" s="2889"/>
      <c r="BN27" s="2889"/>
      <c r="BO27" s="2889"/>
      <c r="BP27" s="2889"/>
      <c r="BQ27" s="2889"/>
      <c r="BR27" s="2889"/>
      <c r="BS27" s="2889"/>
      <c r="BT27" s="2889"/>
      <c r="BU27" s="2889"/>
      <c r="BV27" s="2889"/>
      <c r="BW27" s="2889">
        <f t="shared" ref="BW27:BX35" si="139">BW56+BW86</f>
        <v>27860</v>
      </c>
      <c r="BX27" s="2891">
        <f>AVERAGE(BK27:BS27)</f>
        <v>13930</v>
      </c>
      <c r="BZ27" s="2860" t="e">
        <f>HLOOKUP($A$1,$AW$1:$BH$400,ROW(),0)-HLOOKUP($A$1,$AI$1:$AT$400,ROW(),0)</f>
        <v>#N/A</v>
      </c>
      <c r="CA27" s="2860">
        <f>BJ27-AV27</f>
        <v>14418.388888888887</v>
      </c>
      <c r="CB27" s="2881" t="e">
        <f>HLOOKUP($A$1,$AW$1:$BH$400,ROW(),0)-SUM(AI27:AJ27)</f>
        <v>#N/A</v>
      </c>
    </row>
    <row r="28" spans="1:88" ht="18" hidden="1" customHeight="1" x14ac:dyDescent="0.55000000000000004">
      <c r="A28" s="7141"/>
      <c r="B28" s="7148"/>
      <c r="C28" s="594"/>
      <c r="D28" s="594" t="s">
        <v>46</v>
      </c>
      <c r="E28" s="2774"/>
      <c r="F28" s="2882"/>
      <c r="G28" s="1102"/>
      <c r="H28" s="1102"/>
      <c r="I28" s="1102"/>
      <c r="J28" s="1102"/>
      <c r="K28" s="1102"/>
      <c r="L28" s="1102"/>
      <c r="M28" s="1102"/>
      <c r="N28" s="1102"/>
      <c r="O28" s="1102"/>
      <c r="P28" s="1102"/>
      <c r="Q28" s="1102"/>
      <c r="R28" s="1102"/>
      <c r="S28" s="1102"/>
      <c r="T28" s="2882">
        <f t="shared" ref="T28:AE28" si="140">T57+T87</f>
        <v>7740</v>
      </c>
      <c r="U28" s="1102">
        <f t="shared" si="140"/>
        <v>8527</v>
      </c>
      <c r="V28" s="1102">
        <f t="shared" si="140"/>
        <v>8547</v>
      </c>
      <c r="W28" s="1102">
        <f t="shared" si="140"/>
        <v>7906</v>
      </c>
      <c r="X28" s="1102">
        <f t="shared" si="140"/>
        <v>9529</v>
      </c>
      <c r="Y28" s="1102">
        <f t="shared" si="140"/>
        <v>8960</v>
      </c>
      <c r="Z28" s="1102">
        <f t="shared" si="140"/>
        <v>11242</v>
      </c>
      <c r="AA28" s="1102">
        <f t="shared" si="140"/>
        <v>11792</v>
      </c>
      <c r="AB28" s="1102">
        <f t="shared" si="140"/>
        <v>11119</v>
      </c>
      <c r="AC28" s="1102">
        <f t="shared" si="140"/>
        <v>11974</v>
      </c>
      <c r="AD28" s="1102">
        <f t="shared" si="140"/>
        <v>10456</v>
      </c>
      <c r="AE28" s="1102">
        <f t="shared" si="140"/>
        <v>9112</v>
      </c>
      <c r="AF28" s="2883">
        <f t="shared" ref="AF28:AG33" si="141">AF57+AF87</f>
        <v>116904</v>
      </c>
      <c r="AG28" s="2883">
        <f t="shared" si="141"/>
        <v>9742</v>
      </c>
      <c r="AH28" s="2883"/>
      <c r="AI28" s="2884">
        <f t="shared" ref="AI28:AT28" si="142">AI57+AI87</f>
        <v>11088</v>
      </c>
      <c r="AJ28" s="2883">
        <f t="shared" si="142"/>
        <v>11094</v>
      </c>
      <c r="AK28" s="2883">
        <f t="shared" si="142"/>
        <v>14320</v>
      </c>
      <c r="AL28" s="2883">
        <f t="shared" si="142"/>
        <v>14241</v>
      </c>
      <c r="AM28" s="2883">
        <f t="shared" si="142"/>
        <v>17233</v>
      </c>
      <c r="AN28" s="2883">
        <f t="shared" si="142"/>
        <v>15517</v>
      </c>
      <c r="AO28" s="2883">
        <f t="shared" si="142"/>
        <v>14842</v>
      </c>
      <c r="AP28" s="2883">
        <f t="shared" si="142"/>
        <v>12830</v>
      </c>
      <c r="AQ28" s="2883">
        <f t="shared" si="142"/>
        <v>12646</v>
      </c>
      <c r="AR28" s="2883">
        <f t="shared" si="142"/>
        <v>14569</v>
      </c>
      <c r="AS28" s="2883">
        <f t="shared" si="142"/>
        <v>14378</v>
      </c>
      <c r="AT28" s="1102">
        <f t="shared" si="142"/>
        <v>2652</v>
      </c>
      <c r="AU28" s="2883">
        <f t="shared" si="133"/>
        <v>130963</v>
      </c>
      <c r="AV28" s="2885">
        <f t="shared" ref="AV28:AV35" si="143">AV57+AV87</f>
        <v>13806.325757575756</v>
      </c>
      <c r="AW28" s="2968">
        <f t="shared" ref="AW28:AY35" si="144">AW57+AW87</f>
        <v>12525</v>
      </c>
      <c r="AX28" s="2883">
        <f t="shared" si="144"/>
        <v>18359</v>
      </c>
      <c r="AY28" s="2883">
        <f t="shared" si="144"/>
        <v>13723</v>
      </c>
      <c r="AZ28" s="2883">
        <v>21354</v>
      </c>
      <c r="BA28" s="2883">
        <f t="shared" ref="BA28:BB28" si="145">BA57+BA87</f>
        <v>47351</v>
      </c>
      <c r="BB28" s="2883">
        <f t="shared" si="145"/>
        <v>24947</v>
      </c>
      <c r="BC28" s="2883">
        <f t="shared" ref="BC28:BD28" si="146">BC57+BC87</f>
        <v>34395</v>
      </c>
      <c r="BD28" s="2883">
        <f t="shared" si="146"/>
        <v>14356</v>
      </c>
      <c r="BE28" s="2883">
        <f t="shared" ref="BE28" si="147">BE57+BE87</f>
        <v>16492</v>
      </c>
      <c r="BF28" s="2883">
        <f t="shared" ref="BF28:BH28" si="148">BF57+BF87</f>
        <v>14735</v>
      </c>
      <c r="BG28" s="2883">
        <f t="shared" si="148"/>
        <v>13768</v>
      </c>
      <c r="BH28" s="2883">
        <f t="shared" si="148"/>
        <v>15622</v>
      </c>
      <c r="BI28" s="2883">
        <f t="shared" si="137"/>
        <v>211054</v>
      </c>
      <c r="BJ28" s="2885">
        <f t="shared" ref="BJ28:BK35" si="149">BJ57+BJ87</f>
        <v>20635.583333333336</v>
      </c>
      <c r="BK28" s="2883">
        <f t="shared" si="149"/>
        <v>7070</v>
      </c>
      <c r="BL28" s="2883">
        <v>4492</v>
      </c>
      <c r="BM28" s="2883"/>
      <c r="BN28" s="2883"/>
      <c r="BO28" s="2883"/>
      <c r="BP28" s="2883"/>
      <c r="BQ28" s="2883"/>
      <c r="BR28" s="2883"/>
      <c r="BS28" s="2883"/>
      <c r="BT28" s="2883"/>
      <c r="BU28" s="2883"/>
      <c r="BV28" s="2883"/>
      <c r="BW28" s="2883">
        <f t="shared" si="139"/>
        <v>11562</v>
      </c>
      <c r="BX28" s="2885">
        <f t="shared" si="139"/>
        <v>5781</v>
      </c>
      <c r="BZ28" s="2860" t="e">
        <f>HLOOKUP($A$1,$AW$1:$BH$400,ROW(),0)-HLOOKUP($A$1,$AI$1:$AT$400,ROW(),0)</f>
        <v>#N/A</v>
      </c>
      <c r="CA28" s="2860">
        <f>BJ28-AV28</f>
        <v>6829.2575757575796</v>
      </c>
      <c r="CB28" s="2881" t="e">
        <f>HLOOKUP($A$1,$AW$1:$BH$400,ROW(),0)-SUM(AI28:AJ28)</f>
        <v>#N/A</v>
      </c>
    </row>
    <row r="29" spans="1:88" ht="18" hidden="1" customHeight="1" x14ac:dyDescent="0.55000000000000004">
      <c r="A29" s="7141"/>
      <c r="B29" s="7148"/>
      <c r="C29" s="594"/>
      <c r="D29" s="594" t="s">
        <v>55</v>
      </c>
      <c r="E29" s="2774"/>
      <c r="F29" s="2882"/>
      <c r="G29" s="1102"/>
      <c r="H29" s="1102"/>
      <c r="I29" s="1102"/>
      <c r="J29" s="1102"/>
      <c r="K29" s="1102"/>
      <c r="L29" s="1102"/>
      <c r="M29" s="1102"/>
      <c r="N29" s="1102"/>
      <c r="O29" s="1102"/>
      <c r="P29" s="1102"/>
      <c r="Q29" s="1102"/>
      <c r="R29" s="1102"/>
      <c r="S29" s="1102"/>
      <c r="T29" s="2882">
        <f t="shared" ref="T29:AE29" si="150">T58+T88</f>
        <v>12332</v>
      </c>
      <c r="U29" s="1102">
        <f t="shared" si="150"/>
        <v>15322</v>
      </c>
      <c r="V29" s="1102">
        <f t="shared" si="150"/>
        <v>10752</v>
      </c>
      <c r="W29" s="1102">
        <f t="shared" si="150"/>
        <v>10578</v>
      </c>
      <c r="X29" s="1102">
        <f t="shared" si="150"/>
        <v>9274</v>
      </c>
      <c r="Y29" s="1102">
        <f t="shared" si="150"/>
        <v>8412</v>
      </c>
      <c r="Z29" s="1102">
        <f t="shared" si="150"/>
        <v>8915</v>
      </c>
      <c r="AA29" s="1102">
        <f t="shared" si="150"/>
        <v>15850</v>
      </c>
      <c r="AB29" s="1102">
        <f t="shared" si="150"/>
        <v>7997</v>
      </c>
      <c r="AC29" s="1102">
        <f t="shared" si="150"/>
        <v>21873</v>
      </c>
      <c r="AD29" s="1102">
        <f t="shared" si="150"/>
        <v>9897</v>
      </c>
      <c r="AE29" s="1102">
        <f t="shared" si="150"/>
        <v>7693</v>
      </c>
      <c r="AF29" s="2883">
        <f t="shared" si="141"/>
        <v>138895</v>
      </c>
      <c r="AG29" s="2883">
        <f t="shared" si="141"/>
        <v>11574.583333333334</v>
      </c>
      <c r="AH29" s="2883"/>
      <c r="AI29" s="2884">
        <f t="shared" ref="AI29:AT29" si="151">AI58+AI88</f>
        <v>17083</v>
      </c>
      <c r="AJ29" s="2883">
        <f t="shared" si="151"/>
        <v>11816</v>
      </c>
      <c r="AK29" s="2883">
        <f t="shared" si="151"/>
        <v>12653</v>
      </c>
      <c r="AL29" s="2883">
        <f t="shared" si="151"/>
        <v>13659</v>
      </c>
      <c r="AM29" s="2883">
        <f t="shared" si="151"/>
        <v>12360</v>
      </c>
      <c r="AN29" s="2883">
        <f t="shared" si="151"/>
        <v>10484</v>
      </c>
      <c r="AO29" s="2883">
        <f t="shared" si="151"/>
        <v>19756</v>
      </c>
      <c r="AP29" s="2883">
        <f t="shared" si="151"/>
        <v>14209</v>
      </c>
      <c r="AQ29" s="2883">
        <f t="shared" si="151"/>
        <v>30053</v>
      </c>
      <c r="AR29" s="2883">
        <f t="shared" si="151"/>
        <v>23435</v>
      </c>
      <c r="AS29" s="2883">
        <f t="shared" si="151"/>
        <v>15164</v>
      </c>
      <c r="AT29" s="1102">
        <f t="shared" si="151"/>
        <v>5021</v>
      </c>
      <c r="AU29" s="2883">
        <f t="shared" si="133"/>
        <v>160690</v>
      </c>
      <c r="AV29" s="2885">
        <f t="shared" si="143"/>
        <v>16294.227272727272</v>
      </c>
      <c r="AW29" s="2968">
        <f t="shared" si="144"/>
        <v>12302</v>
      </c>
      <c r="AX29" s="2883">
        <f t="shared" si="144"/>
        <v>28307</v>
      </c>
      <c r="AY29" s="2883">
        <f t="shared" si="144"/>
        <v>16166</v>
      </c>
      <c r="AZ29" s="2883">
        <v>17613</v>
      </c>
      <c r="BA29" s="2883">
        <f t="shared" ref="BA29:BB29" si="152">BA58+BA88</f>
        <v>19341</v>
      </c>
      <c r="BB29" s="2883">
        <f t="shared" si="152"/>
        <v>18435</v>
      </c>
      <c r="BC29" s="2883">
        <f t="shared" ref="BC29:BD29" si="153">BC58+BC88</f>
        <v>26938</v>
      </c>
      <c r="BD29" s="2883">
        <f t="shared" si="153"/>
        <v>23683</v>
      </c>
      <c r="BE29" s="2883">
        <f t="shared" ref="BE29:BH29" si="154">BE58+BE88</f>
        <v>33805</v>
      </c>
      <c r="BF29" s="2883">
        <f t="shared" si="154"/>
        <v>26885</v>
      </c>
      <c r="BG29" s="2883">
        <f t="shared" si="154"/>
        <v>19962</v>
      </c>
      <c r="BH29" s="2883">
        <f t="shared" si="154"/>
        <v>20696</v>
      </c>
      <c r="BI29" s="2883">
        <f t="shared" si="137"/>
        <v>214942</v>
      </c>
      <c r="BJ29" s="2885">
        <f t="shared" si="149"/>
        <v>22011.083333333336</v>
      </c>
      <c r="BK29" s="2883">
        <f t="shared" si="149"/>
        <v>10242</v>
      </c>
      <c r="BL29" s="2883">
        <v>6056</v>
      </c>
      <c r="BM29" s="2883"/>
      <c r="BN29" s="2883"/>
      <c r="BO29" s="2883"/>
      <c r="BP29" s="2883"/>
      <c r="BQ29" s="2883"/>
      <c r="BR29" s="2883"/>
      <c r="BS29" s="2883"/>
      <c r="BT29" s="2883"/>
      <c r="BU29" s="2883"/>
      <c r="BV29" s="2883"/>
      <c r="BW29" s="2883">
        <f t="shared" si="139"/>
        <v>16298</v>
      </c>
      <c r="BX29" s="2885">
        <f t="shared" si="139"/>
        <v>8149</v>
      </c>
      <c r="BZ29" s="2860" t="e">
        <f>HLOOKUP($A$1,$AW$1:$BH$400,ROW(),0)-HLOOKUP($A$1,$AI$1:$AT$400,ROW(),0)</f>
        <v>#N/A</v>
      </c>
      <c r="CA29" s="2860">
        <f>BJ29-AV29</f>
        <v>5716.8560606060637</v>
      </c>
      <c r="CB29" s="2881" t="e">
        <f>HLOOKUP($A$1,$AW$1:$BH$400,ROW(),0)-SUM(AI29:AJ29)</f>
        <v>#N/A</v>
      </c>
    </row>
    <row r="30" spans="1:88" ht="18" customHeight="1" x14ac:dyDescent="0.55000000000000004">
      <c r="A30" s="7141"/>
      <c r="B30" s="7148"/>
      <c r="C30" s="594" t="s">
        <v>47</v>
      </c>
      <c r="D30" s="594"/>
      <c r="E30" s="2774"/>
      <c r="F30" s="2882"/>
      <c r="G30" s="1102"/>
      <c r="H30" s="1102"/>
      <c r="I30" s="1102"/>
      <c r="J30" s="1102"/>
      <c r="K30" s="1102"/>
      <c r="L30" s="1102"/>
      <c r="M30" s="1102"/>
      <c r="N30" s="1102"/>
      <c r="O30" s="1102"/>
      <c r="P30" s="1102"/>
      <c r="Q30" s="1102"/>
      <c r="R30" s="1102"/>
      <c r="S30" s="1102"/>
      <c r="T30" s="2882">
        <f t="shared" ref="T30:AE30" si="155">T59+T89</f>
        <v>7504</v>
      </c>
      <c r="U30" s="1102">
        <f t="shared" si="155"/>
        <v>7524</v>
      </c>
      <c r="V30" s="1102">
        <f t="shared" si="155"/>
        <v>7522</v>
      </c>
      <c r="W30" s="1102">
        <f t="shared" si="155"/>
        <v>7465</v>
      </c>
      <c r="X30" s="1102">
        <f t="shared" si="155"/>
        <v>8889</v>
      </c>
      <c r="Y30" s="1102">
        <f t="shared" si="155"/>
        <v>8619</v>
      </c>
      <c r="Z30" s="1102">
        <f t="shared" si="155"/>
        <v>8988</v>
      </c>
      <c r="AA30" s="1102">
        <f t="shared" si="155"/>
        <v>9948</v>
      </c>
      <c r="AB30" s="1102">
        <f t="shared" si="155"/>
        <v>8825</v>
      </c>
      <c r="AC30" s="1102">
        <f t="shared" si="155"/>
        <v>9519</v>
      </c>
      <c r="AD30" s="1102">
        <f t="shared" si="155"/>
        <v>8945</v>
      </c>
      <c r="AE30" s="1102">
        <f t="shared" si="155"/>
        <v>8901</v>
      </c>
      <c r="AF30" s="2883">
        <f t="shared" si="141"/>
        <v>102649</v>
      </c>
      <c r="AG30" s="2883">
        <f t="shared" si="141"/>
        <v>8554.0833333333339</v>
      </c>
      <c r="AH30" s="2883"/>
      <c r="AI30" s="2884">
        <f t="shared" ref="AI30:AT30" si="156">AI59+AI89</f>
        <v>9418</v>
      </c>
      <c r="AJ30" s="2883">
        <f t="shared" si="156"/>
        <v>8446</v>
      </c>
      <c r="AK30" s="2883">
        <f t="shared" si="156"/>
        <v>9545</v>
      </c>
      <c r="AL30" s="2883">
        <f t="shared" si="156"/>
        <v>9631</v>
      </c>
      <c r="AM30" s="2883">
        <f t="shared" si="156"/>
        <v>10583</v>
      </c>
      <c r="AN30" s="2883">
        <f t="shared" si="156"/>
        <v>9085</v>
      </c>
      <c r="AO30" s="2883">
        <f t="shared" si="156"/>
        <v>10119</v>
      </c>
      <c r="AP30" s="2883">
        <f t="shared" si="156"/>
        <v>9502</v>
      </c>
      <c r="AQ30" s="2883">
        <f t="shared" si="156"/>
        <v>8891</v>
      </c>
      <c r="AR30" s="2883">
        <f t="shared" si="156"/>
        <v>9542</v>
      </c>
      <c r="AS30" s="2883">
        <f t="shared" si="156"/>
        <v>10431</v>
      </c>
      <c r="AT30" s="1102">
        <f t="shared" si="156"/>
        <v>10531</v>
      </c>
      <c r="AU30" s="2883">
        <f t="shared" si="133"/>
        <v>115724</v>
      </c>
      <c r="AV30" s="2885">
        <f t="shared" si="143"/>
        <v>9563</v>
      </c>
      <c r="AW30" s="2968">
        <f t="shared" si="144"/>
        <v>8405</v>
      </c>
      <c r="AX30" s="2883">
        <f t="shared" si="144"/>
        <v>10364</v>
      </c>
      <c r="AY30" s="2883">
        <f t="shared" si="144"/>
        <v>9118</v>
      </c>
      <c r="AZ30" s="2883">
        <v>9064</v>
      </c>
      <c r="BA30" s="2883">
        <f t="shared" ref="BA30:BB30" si="157">BA59+BA89</f>
        <v>7775</v>
      </c>
      <c r="BB30" s="2883">
        <f t="shared" si="157"/>
        <v>9688</v>
      </c>
      <c r="BC30" s="2883">
        <f t="shared" ref="BC30:BD30" si="158">BC59+BC89</f>
        <v>14560</v>
      </c>
      <c r="BD30" s="2883">
        <f t="shared" si="158"/>
        <v>10139</v>
      </c>
      <c r="BE30" s="2883">
        <f t="shared" ref="BE30:BF30" si="159">BE59+BE89</f>
        <v>10545</v>
      </c>
      <c r="BF30" s="2883">
        <f t="shared" si="159"/>
        <v>8829</v>
      </c>
      <c r="BG30" s="2883">
        <f t="shared" ref="BG30:BH30" si="160">BG59+BG89</f>
        <v>8707</v>
      </c>
      <c r="BH30" s="2883">
        <f t="shared" si="160"/>
        <v>9567</v>
      </c>
      <c r="BI30" s="2883">
        <f t="shared" si="137"/>
        <v>116761</v>
      </c>
      <c r="BJ30" s="2885">
        <f t="shared" si="149"/>
        <v>9744.9090909090901</v>
      </c>
      <c r="BK30" s="2883">
        <f t="shared" si="149"/>
        <v>21707</v>
      </c>
      <c r="BL30" s="2883">
        <v>7232</v>
      </c>
      <c r="BM30" s="2883"/>
      <c r="BN30" s="2883"/>
      <c r="BO30" s="2883"/>
      <c r="BP30" s="2883"/>
      <c r="BQ30" s="2883"/>
      <c r="BR30" s="2883"/>
      <c r="BS30" s="2883"/>
      <c r="BT30" s="2883"/>
      <c r="BU30" s="2883"/>
      <c r="BV30" s="2883"/>
      <c r="BW30" s="2883">
        <f t="shared" si="139"/>
        <v>28939</v>
      </c>
      <c r="BX30" s="2885">
        <f t="shared" si="139"/>
        <v>14469.5</v>
      </c>
      <c r="BZ30" s="2860" t="e">
        <f>HLOOKUP($A$1,$AW$1:$BH$400,ROW(),0)-HLOOKUP($A$1,$AI$1:$AT$400,ROW(),0)</f>
        <v>#N/A</v>
      </c>
      <c r="CA30" s="2860">
        <f>BJ30-AV30</f>
        <v>181.90909090909008</v>
      </c>
      <c r="CB30" s="2881" t="e">
        <f>HLOOKUP($A$1,$AW$1:$BH$400,ROW(),0)-SUM(AI30:AJ30)</f>
        <v>#N/A</v>
      </c>
    </row>
    <row r="31" spans="1:88" ht="18" customHeight="1" x14ac:dyDescent="0.55000000000000004">
      <c r="A31" s="7141"/>
      <c r="B31" s="7148"/>
      <c r="C31" s="594" t="s">
        <v>58</v>
      </c>
      <c r="D31" s="594"/>
      <c r="E31" s="2774"/>
      <c r="F31" s="2882"/>
      <c r="G31" s="1102"/>
      <c r="H31" s="1102"/>
      <c r="I31" s="1102"/>
      <c r="J31" s="1102"/>
      <c r="K31" s="1102"/>
      <c r="L31" s="1102"/>
      <c r="M31" s="1102"/>
      <c r="N31" s="1102"/>
      <c r="O31" s="1102"/>
      <c r="P31" s="1102"/>
      <c r="Q31" s="1102"/>
      <c r="R31" s="1102"/>
      <c r="S31" s="1102"/>
      <c r="T31" s="2882">
        <f t="shared" ref="T31:AE31" si="161">T60+T90</f>
        <v>482</v>
      </c>
      <c r="U31" s="1102">
        <f t="shared" si="161"/>
        <v>471</v>
      </c>
      <c r="V31" s="1102">
        <f t="shared" si="161"/>
        <v>514</v>
      </c>
      <c r="W31" s="1102">
        <f t="shared" si="161"/>
        <v>491</v>
      </c>
      <c r="X31" s="1102">
        <f t="shared" si="161"/>
        <v>1137</v>
      </c>
      <c r="Y31" s="1102">
        <f t="shared" si="161"/>
        <v>618</v>
      </c>
      <c r="Z31" s="1102">
        <f t="shared" si="161"/>
        <v>510</v>
      </c>
      <c r="AA31" s="1102">
        <f t="shared" si="161"/>
        <v>545</v>
      </c>
      <c r="AB31" s="1102">
        <f t="shared" si="161"/>
        <v>833</v>
      </c>
      <c r="AC31" s="1102">
        <f t="shared" si="161"/>
        <v>490</v>
      </c>
      <c r="AD31" s="1102">
        <f t="shared" si="161"/>
        <v>544</v>
      </c>
      <c r="AE31" s="1102">
        <f t="shared" si="161"/>
        <v>1247</v>
      </c>
      <c r="AF31" s="2883">
        <f t="shared" si="141"/>
        <v>7882</v>
      </c>
      <c r="AG31" s="2883">
        <f t="shared" si="141"/>
        <v>656.83333333333337</v>
      </c>
      <c r="AH31" s="2883"/>
      <c r="AI31" s="2884">
        <f t="shared" ref="AI31:AT31" si="162">AI60+AI90</f>
        <v>465</v>
      </c>
      <c r="AJ31" s="2883">
        <f t="shared" si="162"/>
        <v>504</v>
      </c>
      <c r="AK31" s="2883">
        <f t="shared" si="162"/>
        <v>595</v>
      </c>
      <c r="AL31" s="2883">
        <f t="shared" si="162"/>
        <v>553</v>
      </c>
      <c r="AM31" s="2883">
        <f t="shared" si="162"/>
        <v>1040</v>
      </c>
      <c r="AN31" s="2883">
        <f t="shared" si="162"/>
        <v>551</v>
      </c>
      <c r="AO31" s="2883">
        <f t="shared" si="162"/>
        <v>567</v>
      </c>
      <c r="AP31" s="2883">
        <f t="shared" si="162"/>
        <v>658</v>
      </c>
      <c r="AQ31" s="2883">
        <f t="shared" si="162"/>
        <v>806</v>
      </c>
      <c r="AR31" s="2883">
        <f t="shared" si="162"/>
        <v>679</v>
      </c>
      <c r="AS31" s="2883">
        <f t="shared" si="162"/>
        <v>939</v>
      </c>
      <c r="AT31" s="1102">
        <f t="shared" si="162"/>
        <v>1705</v>
      </c>
      <c r="AU31" s="2883">
        <f t="shared" si="133"/>
        <v>9062</v>
      </c>
      <c r="AV31" s="2885">
        <f t="shared" si="143"/>
        <v>668.81818181818176</v>
      </c>
      <c r="AW31" s="2968">
        <f t="shared" si="144"/>
        <v>817</v>
      </c>
      <c r="AX31" s="2883">
        <f t="shared" si="144"/>
        <v>655</v>
      </c>
      <c r="AY31" s="2883">
        <f t="shared" si="144"/>
        <v>627</v>
      </c>
      <c r="AZ31" s="2883">
        <v>670</v>
      </c>
      <c r="BA31" s="2883">
        <f t="shared" ref="BA31:BB31" si="163">BA60+BA90</f>
        <v>696</v>
      </c>
      <c r="BB31" s="2883">
        <f t="shared" si="163"/>
        <v>1140</v>
      </c>
      <c r="BC31" s="2883">
        <f t="shared" ref="BC31:BD31" si="164">BC60+BC90</f>
        <v>703</v>
      </c>
      <c r="BD31" s="2883">
        <f t="shared" si="164"/>
        <v>753</v>
      </c>
      <c r="BE31" s="2883">
        <f t="shared" ref="BE31:BF31" si="165">BE60+BE90</f>
        <v>593</v>
      </c>
      <c r="BF31" s="2883">
        <f t="shared" si="165"/>
        <v>594</v>
      </c>
      <c r="BG31" s="2883">
        <f t="shared" ref="BG31:BH31" si="166">BG60+BG90</f>
        <v>570</v>
      </c>
      <c r="BH31" s="2883">
        <f t="shared" si="166"/>
        <v>658</v>
      </c>
      <c r="BI31" s="2883">
        <f t="shared" si="137"/>
        <v>8476</v>
      </c>
      <c r="BJ31" s="2885">
        <f t="shared" si="149"/>
        <v>710.72727272727275</v>
      </c>
      <c r="BK31" s="2883">
        <f t="shared" si="149"/>
        <v>1041</v>
      </c>
      <c r="BL31" s="2883">
        <v>474</v>
      </c>
      <c r="BM31" s="2883"/>
      <c r="BN31" s="2883"/>
      <c r="BO31" s="2883"/>
      <c r="BP31" s="2883"/>
      <c r="BQ31" s="2883"/>
      <c r="BR31" s="2883"/>
      <c r="BS31" s="2883"/>
      <c r="BT31" s="2883"/>
      <c r="BU31" s="2883"/>
      <c r="BV31" s="2883"/>
      <c r="BW31" s="2883">
        <f t="shared" si="139"/>
        <v>1515</v>
      </c>
      <c r="BX31" s="2885">
        <f t="shared" si="139"/>
        <v>757.5</v>
      </c>
      <c r="BZ31" s="2860" t="e">
        <f>HLOOKUP($A$1,$AW$1:$BH$400,ROW(),0)-HLOOKUP($A$1,$AI$1:$AT$400,ROW(),0)</f>
        <v>#N/A</v>
      </c>
      <c r="CA31" s="2860">
        <f>BJ31-AV31</f>
        <v>41.909090909090992</v>
      </c>
      <c r="CB31" s="2881" t="e">
        <f>HLOOKUP($A$1,$AW$1:$BH$400,ROW(),0)-SUM(AI31:AJ31)</f>
        <v>#N/A</v>
      </c>
    </row>
    <row r="32" spans="1:88" ht="18" customHeight="1" x14ac:dyDescent="0.55000000000000004">
      <c r="A32" s="7141"/>
      <c r="B32" s="7148"/>
      <c r="C32" s="594" t="s">
        <v>48</v>
      </c>
      <c r="D32" s="594"/>
      <c r="E32" s="2774"/>
      <c r="F32" s="2882"/>
      <c r="G32" s="1102"/>
      <c r="H32" s="1102"/>
      <c r="I32" s="1102"/>
      <c r="J32" s="1102"/>
      <c r="K32" s="1102"/>
      <c r="L32" s="1102"/>
      <c r="M32" s="1102"/>
      <c r="N32" s="1102"/>
      <c r="O32" s="1102"/>
      <c r="P32" s="1102"/>
      <c r="Q32" s="1102"/>
      <c r="R32" s="1102"/>
      <c r="S32" s="1102"/>
      <c r="T32" s="2882">
        <f t="shared" ref="T32:AE32" si="167">T61+T91</f>
        <v>6736</v>
      </c>
      <c r="U32" s="1102">
        <f t="shared" si="167"/>
        <v>10073</v>
      </c>
      <c r="V32" s="1102">
        <f t="shared" si="167"/>
        <v>6946</v>
      </c>
      <c r="W32" s="1102">
        <f t="shared" si="167"/>
        <v>7102</v>
      </c>
      <c r="X32" s="1102">
        <f t="shared" si="167"/>
        <v>6999</v>
      </c>
      <c r="Y32" s="1102">
        <f t="shared" si="167"/>
        <v>6130</v>
      </c>
      <c r="Z32" s="1102">
        <f t="shared" si="167"/>
        <v>6569</v>
      </c>
      <c r="AA32" s="1102">
        <f t="shared" si="167"/>
        <v>12470</v>
      </c>
      <c r="AB32" s="1102">
        <f t="shared" si="167"/>
        <v>5074</v>
      </c>
      <c r="AC32" s="1102">
        <f t="shared" si="167"/>
        <v>5749</v>
      </c>
      <c r="AD32" s="1102">
        <f t="shared" si="167"/>
        <v>5994</v>
      </c>
      <c r="AE32" s="1102">
        <f t="shared" si="167"/>
        <v>5314</v>
      </c>
      <c r="AF32" s="2883">
        <f t="shared" si="141"/>
        <v>85156</v>
      </c>
      <c r="AG32" s="2883">
        <f t="shared" si="141"/>
        <v>7096.3333333333339</v>
      </c>
      <c r="AH32" s="2883"/>
      <c r="AI32" s="2884">
        <f t="shared" ref="AI32:AT32" si="168">AI61+AI91</f>
        <v>15433</v>
      </c>
      <c r="AJ32" s="2883">
        <f t="shared" si="168"/>
        <v>7828</v>
      </c>
      <c r="AK32" s="2883">
        <f t="shared" si="168"/>
        <v>14349</v>
      </c>
      <c r="AL32" s="2883">
        <f t="shared" si="168"/>
        <v>18031</v>
      </c>
      <c r="AM32" s="2883">
        <f t="shared" si="168"/>
        <v>18825</v>
      </c>
      <c r="AN32" s="2883">
        <f t="shared" si="168"/>
        <v>17325</v>
      </c>
      <c r="AO32" s="2883">
        <f t="shared" si="168"/>
        <v>23731</v>
      </c>
      <c r="AP32" s="2883">
        <f t="shared" si="168"/>
        <v>22069</v>
      </c>
      <c r="AQ32" s="2883">
        <f t="shared" si="168"/>
        <v>29504</v>
      </c>
      <c r="AR32" s="2883">
        <f t="shared" si="168"/>
        <v>28773</v>
      </c>
      <c r="AS32" s="2883">
        <f t="shared" si="168"/>
        <v>27537</v>
      </c>
      <c r="AT32" s="1102">
        <f t="shared" si="168"/>
        <v>22939</v>
      </c>
      <c r="AU32" s="2883">
        <f t="shared" si="133"/>
        <v>246344</v>
      </c>
      <c r="AV32" s="2885">
        <f t="shared" si="143"/>
        <v>20309.545454545456</v>
      </c>
      <c r="AW32" s="2968">
        <f t="shared" si="144"/>
        <v>23467</v>
      </c>
      <c r="AX32" s="2883">
        <f t="shared" si="144"/>
        <v>38940</v>
      </c>
      <c r="AY32" s="2883">
        <f t="shared" si="144"/>
        <v>27386</v>
      </c>
      <c r="AZ32" s="2883">
        <v>32570</v>
      </c>
      <c r="BA32" s="2883">
        <f t="shared" ref="BA32:BB32" si="169">BA61+BA91</f>
        <v>45777</v>
      </c>
      <c r="BB32" s="2883">
        <f t="shared" si="169"/>
        <v>36821</v>
      </c>
      <c r="BC32" s="2883">
        <f t="shared" ref="BC32:BD32" si="170">BC61+BC91</f>
        <v>45176</v>
      </c>
      <c r="BD32" s="2883">
        <f t="shared" si="170"/>
        <v>35306</v>
      </c>
      <c r="BE32" s="2883">
        <f t="shared" ref="BE32:BF32" si="171">BE61+BE91</f>
        <v>40578</v>
      </c>
      <c r="BF32" s="2883">
        <f t="shared" si="171"/>
        <v>37765</v>
      </c>
      <c r="BG32" s="2883">
        <f t="shared" ref="BG32:BH32" si="172">BG61+BG91</f>
        <v>31122</v>
      </c>
      <c r="BH32" s="2883">
        <f t="shared" si="172"/>
        <v>32788</v>
      </c>
      <c r="BI32" s="2883">
        <f t="shared" si="137"/>
        <v>427697</v>
      </c>
      <c r="BJ32" s="2885">
        <f t="shared" si="149"/>
        <v>37549.002525252523</v>
      </c>
      <c r="BK32" s="2883">
        <f t="shared" si="149"/>
        <v>2078</v>
      </c>
      <c r="BL32" s="2883">
        <v>4304</v>
      </c>
      <c r="BM32" s="2883"/>
      <c r="BN32" s="2883"/>
      <c r="BO32" s="2883"/>
      <c r="BP32" s="2883"/>
      <c r="BQ32" s="2883"/>
      <c r="BR32" s="2883"/>
      <c r="BS32" s="2883"/>
      <c r="BT32" s="2883"/>
      <c r="BU32" s="2883"/>
      <c r="BV32" s="2883"/>
      <c r="BW32" s="2883">
        <f t="shared" si="139"/>
        <v>6382</v>
      </c>
      <c r="BX32" s="2885">
        <f t="shared" si="139"/>
        <v>3191</v>
      </c>
      <c r="BZ32" s="2860" t="e">
        <f>HLOOKUP($A$1,$AW$1:$BH$400,ROW(),0)-HLOOKUP($A$1,$AI$1:$AT$400,ROW(),0)</f>
        <v>#N/A</v>
      </c>
      <c r="CA32" s="2860">
        <f>BJ32-AV32</f>
        <v>17239.457070707067</v>
      </c>
      <c r="CB32" s="2881" t="e">
        <f>HLOOKUP($A$1,$AW$1:$BH$400,ROW(),0)-SUM(AI32:AJ32)</f>
        <v>#N/A</v>
      </c>
    </row>
    <row r="33" spans="1:83" ht="18" customHeight="1" x14ac:dyDescent="0.55000000000000004">
      <c r="A33" s="7141"/>
      <c r="B33" s="7148"/>
      <c r="C33" s="594" t="s">
        <v>49</v>
      </c>
      <c r="D33" s="594"/>
      <c r="E33" s="2774"/>
      <c r="F33" s="3303"/>
      <c r="G33" s="3304"/>
      <c r="H33" s="3304"/>
      <c r="I33" s="3304"/>
      <c r="J33" s="1102"/>
      <c r="K33" s="1102"/>
      <c r="L33" s="1102"/>
      <c r="M33" s="1102"/>
      <c r="N33" s="1102"/>
      <c r="O33" s="1102"/>
      <c r="P33" s="1102"/>
      <c r="Q33" s="1102"/>
      <c r="R33" s="1102"/>
      <c r="S33" s="1102"/>
      <c r="T33" s="2882">
        <f t="shared" ref="T33:AE33" si="173">T62+T92</f>
        <v>6098</v>
      </c>
      <c r="U33" s="1102">
        <f t="shared" si="173"/>
        <v>5254</v>
      </c>
      <c r="V33" s="1102">
        <f t="shared" si="173"/>
        <v>5914</v>
      </c>
      <c r="W33" s="1102">
        <f t="shared" si="173"/>
        <v>4644</v>
      </c>
      <c r="X33" s="1102">
        <f t="shared" si="173"/>
        <v>4938</v>
      </c>
      <c r="Y33" s="1102">
        <f t="shared" si="173"/>
        <v>5051</v>
      </c>
      <c r="Z33" s="1102">
        <f t="shared" si="173"/>
        <v>4920</v>
      </c>
      <c r="AA33" s="1102">
        <f t="shared" si="173"/>
        <v>5284</v>
      </c>
      <c r="AB33" s="1102">
        <f t="shared" si="173"/>
        <v>4718</v>
      </c>
      <c r="AC33" s="1102">
        <f t="shared" si="173"/>
        <v>14622</v>
      </c>
      <c r="AD33" s="1102">
        <f t="shared" si="173"/>
        <v>5882</v>
      </c>
      <c r="AE33" s="1102">
        <f t="shared" si="173"/>
        <v>4904</v>
      </c>
      <c r="AF33" s="2883">
        <f t="shared" si="141"/>
        <v>72229</v>
      </c>
      <c r="AG33" s="2883">
        <f t="shared" si="141"/>
        <v>6019.083333333333</v>
      </c>
      <c r="AH33" s="2883"/>
      <c r="AI33" s="2884">
        <f t="shared" ref="AI33:AT33" si="174">AI62+AI92</f>
        <v>2690</v>
      </c>
      <c r="AJ33" s="2883">
        <f t="shared" si="174"/>
        <v>2209</v>
      </c>
      <c r="AK33" s="2883">
        <f t="shared" si="174"/>
        <v>2409</v>
      </c>
      <c r="AL33" s="2883">
        <f t="shared" si="174"/>
        <v>2355</v>
      </c>
      <c r="AM33" s="2883">
        <f t="shared" si="174"/>
        <v>2656</v>
      </c>
      <c r="AN33" s="2883">
        <f t="shared" si="174"/>
        <v>2474</v>
      </c>
      <c r="AO33" s="2883">
        <f t="shared" si="174"/>
        <v>3343</v>
      </c>
      <c r="AP33" s="2883">
        <f t="shared" si="174"/>
        <v>4147</v>
      </c>
      <c r="AQ33" s="2883">
        <f t="shared" si="174"/>
        <v>3475</v>
      </c>
      <c r="AR33" s="2883">
        <f t="shared" si="174"/>
        <v>3596</v>
      </c>
      <c r="AS33" s="2883">
        <f t="shared" si="174"/>
        <v>3705</v>
      </c>
      <c r="AT33" s="1102">
        <f t="shared" si="174"/>
        <v>3650</v>
      </c>
      <c r="AU33" s="2883">
        <f t="shared" si="133"/>
        <v>36709</v>
      </c>
      <c r="AV33" s="2885">
        <f t="shared" si="143"/>
        <v>3005.3636363636365</v>
      </c>
      <c r="AW33" s="2968">
        <f t="shared" si="144"/>
        <v>3325</v>
      </c>
      <c r="AX33" s="2883">
        <f t="shared" si="144"/>
        <v>3327</v>
      </c>
      <c r="AY33" s="2883">
        <f t="shared" si="144"/>
        <v>3382</v>
      </c>
      <c r="AZ33" s="2883">
        <v>3119</v>
      </c>
      <c r="BA33" s="2883">
        <f t="shared" ref="BA33:BB33" si="175">BA62+BA92</f>
        <v>4019</v>
      </c>
      <c r="BB33" s="2883">
        <f t="shared" si="175"/>
        <v>3857</v>
      </c>
      <c r="BC33" s="2883">
        <f t="shared" ref="BC33:BD33" si="176">BC62+BC92</f>
        <v>3448</v>
      </c>
      <c r="BD33" s="2883">
        <f t="shared" si="176"/>
        <v>5247</v>
      </c>
      <c r="BE33" s="2883">
        <f t="shared" ref="BE33:BF33" si="177">BE62+BE92</f>
        <v>3997</v>
      </c>
      <c r="BF33" s="2883">
        <f t="shared" si="177"/>
        <v>4540</v>
      </c>
      <c r="BG33" s="2883">
        <f t="shared" ref="BG33:BH33" si="178">BG62+BG92</f>
        <v>4768</v>
      </c>
      <c r="BH33" s="2883">
        <f t="shared" si="178"/>
        <v>5307</v>
      </c>
      <c r="BI33" s="2883">
        <f t="shared" si="137"/>
        <v>48336</v>
      </c>
      <c r="BJ33" s="2885">
        <f t="shared" si="149"/>
        <v>3911.727272727273</v>
      </c>
      <c r="BK33" s="2883">
        <f t="shared" si="149"/>
        <v>6433</v>
      </c>
      <c r="BL33" s="2883">
        <v>6648</v>
      </c>
      <c r="BM33" s="2883"/>
      <c r="BN33" s="2883"/>
      <c r="BO33" s="2883"/>
      <c r="BP33" s="2883"/>
      <c r="BQ33" s="2883"/>
      <c r="BR33" s="2883"/>
      <c r="BS33" s="2883"/>
      <c r="BT33" s="2883"/>
      <c r="BU33" s="2883"/>
      <c r="BV33" s="2883"/>
      <c r="BW33" s="2883">
        <f t="shared" si="139"/>
        <v>13081</v>
      </c>
      <c r="BX33" s="2885">
        <f t="shared" si="139"/>
        <v>6540.5</v>
      </c>
      <c r="BZ33" s="2860" t="e">
        <f>HLOOKUP($A$1,$AW$1:$BH$400,ROW(),0)-HLOOKUP($A$1,$AI$1:$AT$400,ROW(),0)</f>
        <v>#N/A</v>
      </c>
      <c r="CA33" s="2860">
        <f>BJ33-AV33</f>
        <v>906.36363636363649</v>
      </c>
      <c r="CB33" s="2881" t="e">
        <f>HLOOKUP($A$1,$AW$1:$BH$400,ROW(),0)-SUM(AI33:AJ33)</f>
        <v>#N/A</v>
      </c>
    </row>
    <row r="34" spans="1:83" x14ac:dyDescent="0.55000000000000004">
      <c r="A34" s="7141"/>
      <c r="B34" s="7148"/>
      <c r="C34" s="594" t="s">
        <v>714</v>
      </c>
      <c r="D34" s="594"/>
      <c r="E34" s="2774"/>
      <c r="F34" s="2882"/>
      <c r="G34" s="1102"/>
      <c r="H34" s="1102"/>
      <c r="I34" s="1102"/>
      <c r="J34" s="1102"/>
      <c r="K34" s="1102"/>
      <c r="L34" s="1102"/>
      <c r="M34" s="1102"/>
      <c r="N34" s="1102"/>
      <c r="O34" s="1102"/>
      <c r="P34" s="1102"/>
      <c r="Q34" s="1102"/>
      <c r="R34" s="1102"/>
      <c r="S34" s="1102"/>
      <c r="T34" s="2882">
        <f t="shared" ref="T34:AE34" si="179">T63+T93</f>
        <v>0</v>
      </c>
      <c r="U34" s="1102">
        <f t="shared" si="179"/>
        <v>0</v>
      </c>
      <c r="V34" s="1102">
        <f t="shared" si="179"/>
        <v>0</v>
      </c>
      <c r="W34" s="1102">
        <f t="shared" si="179"/>
        <v>0</v>
      </c>
      <c r="X34" s="1102">
        <f t="shared" si="179"/>
        <v>0</v>
      </c>
      <c r="Y34" s="1102">
        <f t="shared" si="179"/>
        <v>0</v>
      </c>
      <c r="Z34" s="1102">
        <f t="shared" si="179"/>
        <v>0</v>
      </c>
      <c r="AA34" s="1102">
        <f t="shared" si="179"/>
        <v>0</v>
      </c>
      <c r="AB34" s="1102">
        <f t="shared" si="179"/>
        <v>0</v>
      </c>
      <c r="AC34" s="1102">
        <f t="shared" si="179"/>
        <v>0</v>
      </c>
      <c r="AD34" s="1102">
        <f t="shared" si="179"/>
        <v>0</v>
      </c>
      <c r="AE34" s="1102">
        <f t="shared" si="179"/>
        <v>0</v>
      </c>
      <c r="AF34" s="2883">
        <f>AF63+AF93</f>
        <v>0</v>
      </c>
      <c r="AG34" s="2883">
        <v>0</v>
      </c>
      <c r="AH34" s="2883"/>
      <c r="AI34" s="2884">
        <f t="shared" ref="AI34:AT34" si="180">AI63+AI93</f>
        <v>0</v>
      </c>
      <c r="AJ34" s="2883">
        <f t="shared" si="180"/>
        <v>2954</v>
      </c>
      <c r="AK34" s="2883">
        <f t="shared" si="180"/>
        <v>1926</v>
      </c>
      <c r="AL34" s="2883">
        <f t="shared" si="180"/>
        <v>17</v>
      </c>
      <c r="AM34" s="2883">
        <f t="shared" si="180"/>
        <v>10</v>
      </c>
      <c r="AN34" s="2883">
        <f t="shared" si="180"/>
        <v>12</v>
      </c>
      <c r="AO34" s="2883">
        <f t="shared" si="180"/>
        <v>13</v>
      </c>
      <c r="AP34" s="2883">
        <f t="shared" si="180"/>
        <v>0</v>
      </c>
      <c r="AQ34" s="2883">
        <f t="shared" si="180"/>
        <v>0</v>
      </c>
      <c r="AR34" s="2883">
        <f t="shared" si="180"/>
        <v>0</v>
      </c>
      <c r="AS34" s="2883">
        <f t="shared" si="180"/>
        <v>0</v>
      </c>
      <c r="AT34" s="2883">
        <f t="shared" si="180"/>
        <v>0</v>
      </c>
      <c r="AU34" s="2883">
        <f t="shared" si="133"/>
        <v>4932</v>
      </c>
      <c r="AV34" s="2885">
        <f t="shared" si="143"/>
        <v>493.2</v>
      </c>
      <c r="AW34" s="2968">
        <f t="shared" si="144"/>
        <v>0</v>
      </c>
      <c r="AX34" s="2883">
        <f t="shared" si="144"/>
        <v>-10</v>
      </c>
      <c r="AY34" s="2883">
        <f t="shared" si="144"/>
        <v>-7</v>
      </c>
      <c r="AZ34" s="2883">
        <v>0</v>
      </c>
      <c r="BA34" s="2883">
        <f t="shared" ref="BA34:BF34" si="181">BA63+BA93</f>
        <v>-4</v>
      </c>
      <c r="BB34" s="2883">
        <f t="shared" si="181"/>
        <v>-3</v>
      </c>
      <c r="BC34" s="2883">
        <f t="shared" ref="BC34:BD34" si="182">BC63+BC93</f>
        <v>0</v>
      </c>
      <c r="BD34" s="2883">
        <f t="shared" si="182"/>
        <v>0</v>
      </c>
      <c r="BE34" s="2883">
        <f t="shared" ref="BE34" si="183">BE63+BE93</f>
        <v>0</v>
      </c>
      <c r="BF34" s="2883">
        <f t="shared" si="181"/>
        <v>0</v>
      </c>
      <c r="BG34" s="2883">
        <f t="shared" ref="BG34:BH34" si="184">BG63+BG93</f>
        <v>0</v>
      </c>
      <c r="BH34" s="2883">
        <f t="shared" si="184"/>
        <v>0</v>
      </c>
      <c r="BI34" s="2883">
        <f t="shared" si="137"/>
        <v>-25</v>
      </c>
      <c r="BJ34" s="2885">
        <f t="shared" si="149"/>
        <v>0</v>
      </c>
      <c r="BK34" s="2883">
        <f t="shared" si="149"/>
        <v>0</v>
      </c>
      <c r="BL34" s="2883">
        <v>0</v>
      </c>
      <c r="BM34" s="2883"/>
      <c r="BN34" s="2883"/>
      <c r="BO34" s="2883"/>
      <c r="BP34" s="2883"/>
      <c r="BQ34" s="2883"/>
      <c r="BR34" s="2883"/>
      <c r="BS34" s="2883"/>
      <c r="BT34" s="2883"/>
      <c r="BU34" s="2883"/>
      <c r="BV34" s="2883"/>
      <c r="BW34" s="2883">
        <f t="shared" si="139"/>
        <v>0</v>
      </c>
      <c r="BX34" s="2885">
        <f t="shared" si="139"/>
        <v>0</v>
      </c>
      <c r="BZ34" s="2860" t="e">
        <f>HLOOKUP($A$1,$AW$1:$BH$400,ROW(),0)-HLOOKUP($A$1,$AI$1:$AT$400,ROW(),0)</f>
        <v>#N/A</v>
      </c>
      <c r="CA34" s="2860">
        <f>BJ34-AV34</f>
        <v>-493.2</v>
      </c>
      <c r="CB34" s="2881" t="e">
        <f>HLOOKUP($A$1,$AW$1:$BH$400,ROW(),0)-SUM(AI34:AJ34)</f>
        <v>#N/A</v>
      </c>
    </row>
    <row r="35" spans="1:83" ht="18" customHeight="1" x14ac:dyDescent="0.55000000000000004">
      <c r="A35" s="7149"/>
      <c r="B35" s="7150"/>
      <c r="C35" s="1257" t="s">
        <v>50</v>
      </c>
      <c r="D35" s="1576"/>
      <c r="E35" s="2895"/>
      <c r="F35" s="2894"/>
      <c r="G35" s="2895"/>
      <c r="H35" s="2895"/>
      <c r="I35" s="2895"/>
      <c r="J35" s="2895"/>
      <c r="K35" s="2895"/>
      <c r="L35" s="2895"/>
      <c r="M35" s="2895"/>
      <c r="N35" s="2895"/>
      <c r="O35" s="2895"/>
      <c r="P35" s="2895"/>
      <c r="Q35" s="2895"/>
      <c r="R35" s="2895"/>
      <c r="S35" s="2895"/>
      <c r="T35" s="2894">
        <f t="shared" ref="T35:AE35" si="185">T64+T94</f>
        <v>-266</v>
      </c>
      <c r="U35" s="2895">
        <f t="shared" si="185"/>
        <v>998</v>
      </c>
      <c r="V35" s="2895">
        <f t="shared" si="185"/>
        <v>-1084</v>
      </c>
      <c r="W35" s="2895">
        <f t="shared" si="185"/>
        <v>-727</v>
      </c>
      <c r="X35" s="2895">
        <f t="shared" si="185"/>
        <v>-2023</v>
      </c>
      <c r="Y35" s="2895">
        <f t="shared" si="185"/>
        <v>-2428</v>
      </c>
      <c r="Z35" s="2895">
        <f t="shared" si="185"/>
        <v>-320</v>
      </c>
      <c r="AA35" s="2895">
        <f t="shared" si="185"/>
        <v>-60</v>
      </c>
      <c r="AB35" s="2895">
        <f t="shared" si="185"/>
        <v>499</v>
      </c>
      <c r="AC35" s="2895">
        <f t="shared" si="185"/>
        <v>3956</v>
      </c>
      <c r="AD35" s="2895">
        <f t="shared" si="185"/>
        <v>-468</v>
      </c>
      <c r="AE35" s="2895">
        <f t="shared" si="185"/>
        <v>-2316</v>
      </c>
      <c r="AF35" s="2896">
        <f>AF64+AF94</f>
        <v>-4239</v>
      </c>
      <c r="AG35" s="2896">
        <f>AG64+AG94</f>
        <v>-353.24999999999977</v>
      </c>
      <c r="AH35" s="2896"/>
      <c r="AI35" s="2919">
        <f t="shared" ref="AI35:AT35" si="186">AI64+AI94</f>
        <v>1436</v>
      </c>
      <c r="AJ35" s="2896">
        <f t="shared" si="186"/>
        <v>2224</v>
      </c>
      <c r="AK35" s="2896">
        <f t="shared" si="186"/>
        <v>-1256</v>
      </c>
      <c r="AL35" s="2896">
        <f t="shared" si="186"/>
        <v>-2134</v>
      </c>
      <c r="AM35" s="2896">
        <f t="shared" si="186"/>
        <v>-2481</v>
      </c>
      <c r="AN35" s="2896">
        <f t="shared" si="186"/>
        <v>-2896</v>
      </c>
      <c r="AO35" s="2896">
        <f t="shared" si="186"/>
        <v>-2608</v>
      </c>
      <c r="AP35" s="2896">
        <f t="shared" si="186"/>
        <v>-8680</v>
      </c>
      <c r="AQ35" s="2896">
        <f t="shared" si="186"/>
        <v>828</v>
      </c>
      <c r="AR35" s="2896">
        <f t="shared" si="186"/>
        <v>-3907</v>
      </c>
      <c r="AS35" s="2896">
        <f t="shared" si="186"/>
        <v>-12131</v>
      </c>
      <c r="AT35" s="2895">
        <f t="shared" si="186"/>
        <v>-11658</v>
      </c>
      <c r="AU35" s="2896">
        <f t="shared" si="133"/>
        <v>-43263</v>
      </c>
      <c r="AV35" s="2898">
        <f t="shared" si="143"/>
        <v>-3605.25</v>
      </c>
      <c r="AW35" s="4505">
        <f>AW64+AW94</f>
        <v>-10370</v>
      </c>
      <c r="AX35" s="2896">
        <f t="shared" si="144"/>
        <v>-5955</v>
      </c>
      <c r="AY35" s="2896">
        <f t="shared" si="144"/>
        <v>-9990</v>
      </c>
      <c r="AZ35" s="2896">
        <v>-5786</v>
      </c>
      <c r="BA35" s="2896">
        <f t="shared" ref="BA35:BB35" si="187">BA64+BA94</f>
        <v>9125</v>
      </c>
      <c r="BB35" s="2896">
        <f t="shared" si="187"/>
        <v>-6981</v>
      </c>
      <c r="BC35" s="2896">
        <f t="shared" ref="BC35:BD35" si="188">BC64+BC94</f>
        <v>-1843</v>
      </c>
      <c r="BD35" s="2896">
        <f t="shared" si="188"/>
        <v>-12653</v>
      </c>
      <c r="BE35" s="2896">
        <f t="shared" ref="BE35" si="189">BE64+BE94</f>
        <v>-4823</v>
      </c>
      <c r="BF35" s="2896">
        <f>BF64+BF94</f>
        <v>-9514</v>
      </c>
      <c r="BG35" s="2896">
        <f>BG64+BG94</f>
        <v>-10867</v>
      </c>
      <c r="BH35" s="2896">
        <f>BH64+BH94</f>
        <v>-11344</v>
      </c>
      <c r="BI35" s="2896">
        <f t="shared" si="137"/>
        <v>-81001</v>
      </c>
      <c r="BJ35" s="2898">
        <f t="shared" si="149"/>
        <v>-6750.0833333333339</v>
      </c>
      <c r="BK35" s="2896">
        <f>BK64+BK94</f>
        <v>-12906</v>
      </c>
      <c r="BL35" s="2896">
        <v>-7636</v>
      </c>
      <c r="BM35" s="2896"/>
      <c r="BN35" s="2896"/>
      <c r="BO35" s="2896"/>
      <c r="BP35" s="2896"/>
      <c r="BQ35" s="2896"/>
      <c r="BR35" s="2896"/>
      <c r="BS35" s="2896"/>
      <c r="BT35" s="2896"/>
      <c r="BU35" s="2896"/>
      <c r="BV35" s="2896"/>
      <c r="BW35" s="2896">
        <f t="shared" si="139"/>
        <v>-20542</v>
      </c>
      <c r="BX35" s="2898">
        <f t="shared" si="139"/>
        <v>-10271</v>
      </c>
      <c r="BZ35" s="2860" t="e">
        <f>HLOOKUP($A$1,$AW$1:$BH$400,ROW(),0)-HLOOKUP($A$1,$AI$1:$AT$400,ROW(),0)</f>
        <v>#N/A</v>
      </c>
      <c r="CA35" s="2860">
        <f>BJ35-AV35</f>
        <v>-3144.8333333333339</v>
      </c>
      <c r="CB35" s="2881" t="e">
        <f>HLOOKUP($A$1,$AW$1:$BH$400,ROW(),0)-SUM(AI35:AJ35)</f>
        <v>#N/A</v>
      </c>
      <c r="CE35" s="2860">
        <f>SUM(AW35:BH35)-SUM(AI35:AT35)</f>
        <v>-37738</v>
      </c>
    </row>
    <row r="36" spans="1:83" ht="18" customHeight="1" x14ac:dyDescent="0.55000000000000004">
      <c r="A36" s="7157" t="s">
        <v>715</v>
      </c>
      <c r="B36" s="7166"/>
      <c r="C36" s="3295" t="s">
        <v>43</v>
      </c>
      <c r="D36" s="3296"/>
      <c r="E36" s="3297">
        <v>782978</v>
      </c>
      <c r="F36" s="3298">
        <v>768363</v>
      </c>
      <c r="G36" s="3297">
        <v>738921</v>
      </c>
      <c r="H36" s="3297">
        <v>737423</v>
      </c>
      <c r="I36" s="3297">
        <v>736538</v>
      </c>
      <c r="J36" s="3297">
        <v>735645</v>
      </c>
      <c r="K36" s="3297">
        <v>757878</v>
      </c>
      <c r="L36" s="3297">
        <v>757376</v>
      </c>
      <c r="M36" s="3297">
        <v>758364</v>
      </c>
      <c r="N36" s="3297">
        <v>778832</v>
      </c>
      <c r="O36" s="3297">
        <v>779564</v>
      </c>
      <c r="P36" s="3297">
        <v>779860</v>
      </c>
      <c r="Q36" s="3297">
        <v>791484</v>
      </c>
      <c r="R36" s="3297">
        <v>791484</v>
      </c>
      <c r="S36" s="3297">
        <f>AVERAGE(F36:Q36)</f>
        <v>760020.66666666663</v>
      </c>
      <c r="T36" s="3298">
        <v>789472</v>
      </c>
      <c r="U36" s="3297">
        <v>790070</v>
      </c>
      <c r="V36" s="3297">
        <v>799122</v>
      </c>
      <c r="W36" s="3297">
        <v>801458</v>
      </c>
      <c r="X36" s="3297">
        <v>800083</v>
      </c>
      <c r="Y36" s="3297">
        <v>798629</v>
      </c>
      <c r="Z36" s="3297">
        <v>795832</v>
      </c>
      <c r="AA36" s="3297">
        <v>794214</v>
      </c>
      <c r="AB36" s="3297">
        <v>791477</v>
      </c>
      <c r="AC36" s="3297">
        <v>788802</v>
      </c>
      <c r="AD36" s="3297">
        <v>786051</v>
      </c>
      <c r="AE36" s="3297">
        <v>782803</v>
      </c>
      <c r="AF36" s="3299">
        <v>782803</v>
      </c>
      <c r="AG36" s="3299">
        <f>AVERAGE(T36:AE36)</f>
        <v>793167.75</v>
      </c>
      <c r="AH36" s="3299"/>
      <c r="AI36" s="3305">
        <v>749129</v>
      </c>
      <c r="AJ36" s="3299">
        <v>748834</v>
      </c>
      <c r="AK36" s="3299">
        <v>748987</v>
      </c>
      <c r="AL36" s="3299">
        <v>747221</v>
      </c>
      <c r="AM36" s="3299">
        <v>747650</v>
      </c>
      <c r="AN36" s="3299">
        <v>750317</v>
      </c>
      <c r="AO36" s="3299">
        <v>752257</v>
      </c>
      <c r="AP36" s="3299">
        <v>755901</v>
      </c>
      <c r="AQ36" s="3299">
        <v>756168</v>
      </c>
      <c r="AR36" s="3299">
        <v>751500</v>
      </c>
      <c r="AS36" s="3299">
        <v>756006</v>
      </c>
      <c r="AT36" s="3297">
        <v>755811</v>
      </c>
      <c r="AU36" s="3299">
        <f>INDEX($AI36:$AT36, 1, MATCH(0, $AI36:$AT36, -1))</f>
        <v>755811</v>
      </c>
      <c r="AV36" s="3301">
        <f>AVERAGE(AI36:AT36)</f>
        <v>751648.41666666663</v>
      </c>
      <c r="AW36" s="4506">
        <f>778895-AW46</f>
        <v>751971</v>
      </c>
      <c r="AX36" s="3299">
        <f>(779406-AX46)</f>
        <v>752950</v>
      </c>
      <c r="AY36" s="3299">
        <v>752266</v>
      </c>
      <c r="AZ36" s="3299">
        <v>754111</v>
      </c>
      <c r="BA36" s="3299">
        <v>766608</v>
      </c>
      <c r="BB36" s="3299">
        <v>764910</v>
      </c>
      <c r="BC36" s="3299">
        <v>762687</v>
      </c>
      <c r="BD36" s="3299">
        <v>758312</v>
      </c>
      <c r="BE36" s="3299">
        <v>753607</v>
      </c>
      <c r="BF36" s="3299">
        <v>748268</v>
      </c>
      <c r="BG36" s="3299">
        <v>742935</v>
      </c>
      <c r="BH36" s="3299">
        <v>734795</v>
      </c>
      <c r="BI36" s="3297">
        <f>INDEX($AW36:$BH36, 1, MATCH(0, $AW36:$BH36, -1))</f>
        <v>734795</v>
      </c>
      <c r="BJ36" s="3301">
        <f>AVERAGE(AW36:BH36)</f>
        <v>753618.33333333337</v>
      </c>
      <c r="BK36" s="3297">
        <v>724497</v>
      </c>
      <c r="BL36" s="3299">
        <v>717220</v>
      </c>
      <c r="BM36" s="3299"/>
      <c r="BN36" s="3299"/>
      <c r="BO36" s="3299"/>
      <c r="BP36" s="3299"/>
      <c r="BQ36" s="3299"/>
      <c r="BR36" s="3299"/>
      <c r="BS36" s="3299"/>
      <c r="BT36" s="3299"/>
      <c r="BU36" s="3299"/>
      <c r="BV36" s="3299"/>
      <c r="BW36" s="3297">
        <f>INDEX($AW36:$BH36, 1, MATCH(0, $AW36:$BH36, -1))</f>
        <v>734795</v>
      </c>
      <c r="BX36" s="3301">
        <f>AVERAGE(BK36:BV36)</f>
        <v>720858.5</v>
      </c>
      <c r="BZ36" s="2860" t="e">
        <f>HLOOKUP($A$1,$AW$1:$BH$400,ROW(),0)-HLOOKUP($A$1,$AI$1:$AT$400,ROW(),0)</f>
        <v>#N/A</v>
      </c>
      <c r="CA36" s="2860">
        <f>BJ36-AV36</f>
        <v>1969.9166666667443</v>
      </c>
      <c r="CB36" s="2861">
        <f>AX36-AJ36</f>
        <v>4116</v>
      </c>
      <c r="CC36" s="2860" t="b">
        <v>1</v>
      </c>
    </row>
    <row r="37" spans="1:83" ht="18" customHeight="1" x14ac:dyDescent="0.55000000000000004">
      <c r="A37" s="7134"/>
      <c r="B37" s="7138"/>
      <c r="C37" s="3084" t="s">
        <v>56</v>
      </c>
      <c r="D37" s="1339"/>
      <c r="E37" s="2888">
        <f>E38+E39</f>
        <v>18877</v>
      </c>
      <c r="F37" s="2887">
        <f t="shared" ref="F37:S37" si="190">F38+F39</f>
        <v>19153</v>
      </c>
      <c r="G37" s="2888">
        <f t="shared" si="190"/>
        <v>20216</v>
      </c>
      <c r="H37" s="2888">
        <f t="shared" si="190"/>
        <v>18486</v>
      </c>
      <c r="I37" s="2888">
        <f t="shared" si="190"/>
        <v>18602</v>
      </c>
      <c r="J37" s="2888">
        <f t="shared" si="190"/>
        <v>18370</v>
      </c>
      <c r="K37" s="2888">
        <f t="shared" si="190"/>
        <v>20561</v>
      </c>
      <c r="L37" s="2888">
        <f t="shared" si="190"/>
        <v>17116</v>
      </c>
      <c r="M37" s="2888">
        <f t="shared" si="190"/>
        <v>25488</v>
      </c>
      <c r="N37" s="2888">
        <f t="shared" si="190"/>
        <v>16739</v>
      </c>
      <c r="O37" s="2888">
        <f t="shared" si="190"/>
        <v>25748</v>
      </c>
      <c r="P37" s="2888">
        <f t="shared" si="190"/>
        <v>18052</v>
      </c>
      <c r="Q37" s="2888">
        <f t="shared" si="190"/>
        <v>15241</v>
      </c>
      <c r="R37" s="2888">
        <f t="shared" si="190"/>
        <v>233772</v>
      </c>
      <c r="S37" s="2888">
        <f t="shared" si="190"/>
        <v>19481</v>
      </c>
      <c r="T37" s="2887">
        <v>16143</v>
      </c>
      <c r="U37" s="2888">
        <v>22113</v>
      </c>
      <c r="V37" s="2888">
        <v>17491</v>
      </c>
      <c r="W37" s="2888">
        <v>16184</v>
      </c>
      <c r="X37" s="2888">
        <v>17751</v>
      </c>
      <c r="Y37" s="2888">
        <v>16531</v>
      </c>
      <c r="Z37" s="2888">
        <v>14914</v>
      </c>
      <c r="AA37" s="2888">
        <v>25019</v>
      </c>
      <c r="AB37" s="2888">
        <v>12348</v>
      </c>
      <c r="AC37" s="2888">
        <v>22323</v>
      </c>
      <c r="AD37" s="2888">
        <v>15153</v>
      </c>
      <c r="AE37" s="2888">
        <v>13005</v>
      </c>
      <c r="AF37" s="2889">
        <f>SUM(T37:AE37)</f>
        <v>208975</v>
      </c>
      <c r="AG37" s="2889">
        <f>AVERAGE(T37:AE37)</f>
        <v>17414.583333333332</v>
      </c>
      <c r="AH37" s="2889"/>
      <c r="AI37" s="3306">
        <v>23395</v>
      </c>
      <c r="AJ37" s="2889">
        <v>14757</v>
      </c>
      <c r="AK37" s="2889">
        <v>16162</v>
      </c>
      <c r="AL37" s="2889">
        <v>15877</v>
      </c>
      <c r="AM37" s="2889">
        <v>16155.999999999998</v>
      </c>
      <c r="AN37" s="2889">
        <v>14590.999999999998</v>
      </c>
      <c r="AO37" s="2889">
        <v>21829.999999999993</v>
      </c>
      <c r="AP37" s="2889">
        <v>16249.000000000002</v>
      </c>
      <c r="AQ37" s="2889">
        <v>20549</v>
      </c>
      <c r="AR37" s="2889">
        <v>16254</v>
      </c>
      <c r="AS37" s="2889">
        <v>15024</v>
      </c>
      <c r="AT37" s="2888">
        <v>13168</v>
      </c>
      <c r="AU37" s="2889">
        <f>SUM(AI37:AT37)</f>
        <v>204012</v>
      </c>
      <c r="AV37" s="2891">
        <f>AVERAGE(AI37:AT37)</f>
        <v>17001</v>
      </c>
      <c r="AW37" s="3414">
        <f>11930</f>
        <v>11930</v>
      </c>
      <c r="AX37" s="2889">
        <f t="shared" ref="AX37:AY37" si="191">AX38+AX39</f>
        <v>25000</v>
      </c>
      <c r="AY37" s="2889">
        <f t="shared" si="191"/>
        <v>17145</v>
      </c>
      <c r="AZ37" s="2889">
        <f>AZ38+AZ39</f>
        <v>22356</v>
      </c>
      <c r="BA37" s="2889">
        <f>BA38+BA39</f>
        <v>29195</v>
      </c>
      <c r="BB37" s="2889">
        <f>BB38+BB39</f>
        <v>18050</v>
      </c>
      <c r="BC37" s="2889">
        <v>29155</v>
      </c>
      <c r="BD37" s="2889">
        <f>BD38+BD39</f>
        <v>17775</v>
      </c>
      <c r="BE37" s="2889">
        <v>23129</v>
      </c>
      <c r="BF37" s="2889">
        <f>BF38+BF39</f>
        <v>15351</v>
      </c>
      <c r="BG37" s="2889">
        <f>BG38+BG39</f>
        <v>13674</v>
      </c>
      <c r="BH37" s="2889">
        <f>BH38+BH39</f>
        <v>12817</v>
      </c>
      <c r="BI37" s="2889">
        <f>SUM(AW37:BH37)</f>
        <v>235577</v>
      </c>
      <c r="BJ37" s="2891">
        <f>AVERAGE(AW37:BE37)</f>
        <v>21526.111111111109</v>
      </c>
      <c r="BK37" s="2888">
        <v>19716</v>
      </c>
      <c r="BL37" s="2889">
        <v>12024</v>
      </c>
      <c r="BM37" s="2889"/>
      <c r="BN37" s="2889"/>
      <c r="BO37" s="2889"/>
      <c r="BP37" s="2889"/>
      <c r="BQ37" s="2889"/>
      <c r="BR37" s="2889"/>
      <c r="BS37" s="2889"/>
      <c r="BT37" s="2889"/>
      <c r="BU37" s="2889"/>
      <c r="BV37" s="2889"/>
      <c r="BW37" s="2889">
        <f>SUM(BK37:BV37)</f>
        <v>31740</v>
      </c>
      <c r="BX37" s="2891">
        <f>AVERAGE(BK37:BS37)</f>
        <v>15870</v>
      </c>
      <c r="BZ37" s="2860" t="e">
        <f>HLOOKUP($A$1,$AW$1:$BH$400,ROW(),0)-HLOOKUP($A$1,$AI$1:$AT$400,ROW(),0)</f>
        <v>#N/A</v>
      </c>
      <c r="CA37" s="2860">
        <f>BJ37-AV37</f>
        <v>4525.1111111111095</v>
      </c>
      <c r="CB37" s="2881" t="e">
        <f>HLOOKUP($A$1,$AW$1:$BH$400,ROW(),0)-SUM(AI37:AJ37)</f>
        <v>#N/A</v>
      </c>
    </row>
    <row r="38" spans="1:83" ht="18" hidden="1" customHeight="1" x14ac:dyDescent="0.55000000000000004">
      <c r="A38" s="7134"/>
      <c r="B38" s="7138"/>
      <c r="C38" s="594"/>
      <c r="D38" s="594" t="s">
        <v>46</v>
      </c>
      <c r="E38" s="2774">
        <v>4416</v>
      </c>
      <c r="F38" s="2882">
        <v>4706</v>
      </c>
      <c r="G38" s="1102">
        <v>4977</v>
      </c>
      <c r="H38" s="1102">
        <v>4941</v>
      </c>
      <c r="I38" s="1102">
        <v>4319</v>
      </c>
      <c r="J38" s="1102">
        <v>4687</v>
      </c>
      <c r="K38" s="1102">
        <v>4632</v>
      </c>
      <c r="L38" s="1102">
        <v>4330</v>
      </c>
      <c r="M38" s="1102">
        <v>4822</v>
      </c>
      <c r="N38" s="1102">
        <v>4715</v>
      </c>
      <c r="O38" s="1102">
        <v>5166</v>
      </c>
      <c r="P38" s="1102">
        <v>4798</v>
      </c>
      <c r="Q38" s="1102">
        <v>4243</v>
      </c>
      <c r="R38" s="1102">
        <f t="shared" ref="R38:R105" si="192">SUM(F38:Q38)</f>
        <v>56336</v>
      </c>
      <c r="S38" s="1102">
        <f>AVERAGE(F38:Q38)</f>
        <v>4694.666666666667</v>
      </c>
      <c r="T38" s="2882">
        <v>4699</v>
      </c>
      <c r="U38" s="1102">
        <v>5506</v>
      </c>
      <c r="V38" s="1102">
        <v>5378</v>
      </c>
      <c r="W38" s="1102">
        <v>3942</v>
      </c>
      <c r="X38" s="1102">
        <v>4290</v>
      </c>
      <c r="Y38" s="1102">
        <v>3962</v>
      </c>
      <c r="Z38" s="1102">
        <v>3779</v>
      </c>
      <c r="AA38" s="1102">
        <v>4457</v>
      </c>
      <c r="AB38" s="1102">
        <v>3172</v>
      </c>
      <c r="AC38" s="1102">
        <v>4109</v>
      </c>
      <c r="AD38" s="1102">
        <v>3459</v>
      </c>
      <c r="AE38" s="1102">
        <v>3094</v>
      </c>
      <c r="AF38" s="2883">
        <f t="shared" ref="AF38:AF45" si="193">SUM(T38:AE38)</f>
        <v>49847</v>
      </c>
      <c r="AG38" s="2883">
        <f t="shared" ref="AG38:AG45" si="194">AVERAGE(T38:AE38)</f>
        <v>4153.916666666667</v>
      </c>
      <c r="AH38" s="2883"/>
      <c r="AI38" s="3307">
        <v>4353</v>
      </c>
      <c r="AJ38" s="2883">
        <v>4063</v>
      </c>
      <c r="AK38" s="2883">
        <v>4998</v>
      </c>
      <c r="AL38" s="2883">
        <v>4397</v>
      </c>
      <c r="AM38" s="2883">
        <v>4386</v>
      </c>
      <c r="AN38" s="2883">
        <v>3905</v>
      </c>
      <c r="AO38" s="2883">
        <v>4509</v>
      </c>
      <c r="AP38" s="2883">
        <v>4054</v>
      </c>
      <c r="AQ38" s="2883">
        <v>4203</v>
      </c>
      <c r="AR38" s="2883">
        <v>3881</v>
      </c>
      <c r="AS38" s="2883">
        <v>3606</v>
      </c>
      <c r="AT38" s="1102"/>
      <c r="AU38" s="2883">
        <f>SUM(AI38:AQ38)</f>
        <v>38868</v>
      </c>
      <c r="AV38" s="2885">
        <f>AVERAGE(AI38:AT38)</f>
        <v>4214.090909090909</v>
      </c>
      <c r="AW38" s="3420">
        <v>3475</v>
      </c>
      <c r="AX38" s="2883">
        <v>5509</v>
      </c>
      <c r="AY38" s="2883">
        <v>5047</v>
      </c>
      <c r="AZ38" s="2883">
        <v>10827</v>
      </c>
      <c r="BA38" s="2883">
        <v>18641</v>
      </c>
      <c r="BB38" s="2883">
        <v>7009</v>
      </c>
      <c r="BC38" s="2883">
        <v>10217</v>
      </c>
      <c r="BD38" s="1102">
        <v>5688</v>
      </c>
      <c r="BE38" s="2883">
        <v>4876</v>
      </c>
      <c r="BF38" s="2883">
        <v>3736.9999999999995</v>
      </c>
      <c r="BG38" s="1102">
        <v>3511.9999999999995</v>
      </c>
      <c r="BH38" s="2883">
        <v>3603.0000000000005</v>
      </c>
      <c r="BI38" s="2883">
        <f>SUM(AW38:BE38)</f>
        <v>71289</v>
      </c>
      <c r="BJ38" s="2885">
        <f>AVERAGE(AW38:BH38)</f>
        <v>6845.083333333333</v>
      </c>
      <c r="BK38" s="2883">
        <v>4918</v>
      </c>
      <c r="BL38" s="2883">
        <v>3883</v>
      </c>
      <c r="BM38" s="2883"/>
      <c r="BN38" s="2883"/>
      <c r="BO38" s="2883"/>
      <c r="BP38" s="2883"/>
      <c r="BQ38" s="2883"/>
      <c r="BR38" s="1102"/>
      <c r="BS38" s="2883"/>
      <c r="BT38" s="2883"/>
      <c r="BU38" s="1102"/>
      <c r="BV38" s="2883"/>
      <c r="BW38" s="2883">
        <f>SUM(BK38:BS38)</f>
        <v>8801</v>
      </c>
      <c r="BX38" s="2885">
        <f>AVERAGE(BK38:BV38)</f>
        <v>4400.5</v>
      </c>
      <c r="BZ38" s="2860" t="e">
        <f>HLOOKUP($A$1,$AW$1:$BH$400,ROW(),0)-HLOOKUP($A$1,$AI$1:$AT$400,ROW(),0)</f>
        <v>#N/A</v>
      </c>
      <c r="CA38" s="2860">
        <f>BJ38-AV38</f>
        <v>2630.992424242424</v>
      </c>
      <c r="CB38" s="2881" t="e">
        <f>HLOOKUP($A$1,$AW$1:$BH$400,ROW(),0)-SUM(AI38:AJ38)</f>
        <v>#N/A</v>
      </c>
    </row>
    <row r="39" spans="1:83" ht="17.05" hidden="1" customHeight="1" x14ac:dyDescent="0.55000000000000004">
      <c r="A39" s="7134"/>
      <c r="B39" s="7138"/>
      <c r="C39" s="594"/>
      <c r="D39" s="594" t="s">
        <v>55</v>
      </c>
      <c r="E39" s="2774">
        <v>14461</v>
      </c>
      <c r="F39" s="2882">
        <v>14447</v>
      </c>
      <c r="G39" s="1102">
        <v>15239</v>
      </c>
      <c r="H39" s="1102">
        <v>13545</v>
      </c>
      <c r="I39" s="1102">
        <v>14283</v>
      </c>
      <c r="J39" s="1102">
        <v>13683</v>
      </c>
      <c r="K39" s="1102">
        <v>15929</v>
      </c>
      <c r="L39" s="1102">
        <v>12786</v>
      </c>
      <c r="M39" s="1102">
        <v>20666</v>
      </c>
      <c r="N39" s="1102">
        <v>12024</v>
      </c>
      <c r="O39" s="1102">
        <v>20582</v>
      </c>
      <c r="P39" s="1102">
        <v>13254</v>
      </c>
      <c r="Q39" s="1102">
        <v>10998</v>
      </c>
      <c r="R39" s="1102">
        <f t="shared" si="192"/>
        <v>177436</v>
      </c>
      <c r="S39" s="1102">
        <f>AVERAGE(F39:Q39)</f>
        <v>14786.333333333334</v>
      </c>
      <c r="T39" s="2882">
        <v>12009</v>
      </c>
      <c r="U39" s="1102">
        <v>18271</v>
      </c>
      <c r="V39" s="1102">
        <v>13117</v>
      </c>
      <c r="W39" s="1102">
        <v>13038</v>
      </c>
      <c r="X39" s="1102">
        <v>14162</v>
      </c>
      <c r="Y39" s="1102">
        <v>13223</v>
      </c>
      <c r="Z39" s="1102">
        <v>11732</v>
      </c>
      <c r="AA39" s="1102">
        <v>21227</v>
      </c>
      <c r="AB39" s="1102">
        <v>9510</v>
      </c>
      <c r="AC39" s="1102">
        <v>18914</v>
      </c>
      <c r="AD39" s="1102">
        <v>11901</v>
      </c>
      <c r="AE39" s="1102">
        <v>10279</v>
      </c>
      <c r="AF39" s="2883">
        <f t="shared" si="193"/>
        <v>167383</v>
      </c>
      <c r="AG39" s="2883">
        <f t="shared" si="194"/>
        <v>13948.583333333334</v>
      </c>
      <c r="AH39" s="2883"/>
      <c r="AI39" s="3307">
        <v>19162</v>
      </c>
      <c r="AJ39" s="2883">
        <v>10533</v>
      </c>
      <c r="AK39" s="2883">
        <v>11411</v>
      </c>
      <c r="AL39" s="2883">
        <v>11723</v>
      </c>
      <c r="AM39" s="2883">
        <v>12094</v>
      </c>
      <c r="AN39" s="2883">
        <v>10890</v>
      </c>
      <c r="AO39" s="2883">
        <v>18002</v>
      </c>
      <c r="AP39" s="2883">
        <v>12404</v>
      </c>
      <c r="AQ39" s="2883">
        <v>16608</v>
      </c>
      <c r="AR39" s="2883">
        <v>12593</v>
      </c>
      <c r="AS39" s="2883">
        <v>11418</v>
      </c>
      <c r="AT39" s="1102"/>
      <c r="AU39" s="2883">
        <f>SUM(AI39:AQ39)</f>
        <v>122827</v>
      </c>
      <c r="AV39" s="2885">
        <f>AVERAGE(AI39:AT39)</f>
        <v>13348.90909090909</v>
      </c>
      <c r="AW39" s="3420">
        <v>8455</v>
      </c>
      <c r="AX39" s="2883">
        <v>19491</v>
      </c>
      <c r="AY39" s="2883">
        <v>12098</v>
      </c>
      <c r="AZ39" s="2883">
        <v>11529</v>
      </c>
      <c r="BA39" s="2883">
        <v>10554</v>
      </c>
      <c r="BB39" s="2883">
        <v>11041</v>
      </c>
      <c r="BC39" s="2883">
        <v>18938</v>
      </c>
      <c r="BD39" s="1102">
        <v>12087</v>
      </c>
      <c r="BE39" s="2883">
        <v>18253</v>
      </c>
      <c r="BF39" s="2883">
        <v>11614</v>
      </c>
      <c r="BG39" s="1102">
        <v>10162</v>
      </c>
      <c r="BH39" s="2883">
        <v>9214</v>
      </c>
      <c r="BI39" s="2883">
        <f>SUM(AW39:BE39)</f>
        <v>122446</v>
      </c>
      <c r="BJ39" s="2885">
        <f>AVERAGE(AW39:BH39)</f>
        <v>12786.333333333334</v>
      </c>
      <c r="BK39" s="2883">
        <v>14798</v>
      </c>
      <c r="BL39" s="2883">
        <v>8141</v>
      </c>
      <c r="BM39" s="2883"/>
      <c r="BN39" s="2883"/>
      <c r="BO39" s="2883"/>
      <c r="BP39" s="2883"/>
      <c r="BQ39" s="2883"/>
      <c r="BR39" s="1102"/>
      <c r="BS39" s="2883"/>
      <c r="BT39" s="2883"/>
      <c r="BU39" s="1102"/>
      <c r="BV39" s="2883"/>
      <c r="BW39" s="2883">
        <f>SUM(BK39:BS39)</f>
        <v>22939</v>
      </c>
      <c r="BX39" s="2885">
        <f>AVERAGE(BK39:BV39)</f>
        <v>11469.5</v>
      </c>
      <c r="BZ39" s="2860" t="e">
        <f>HLOOKUP($A$1,$AW$1:$BH$400,ROW(),0)-HLOOKUP($A$1,$AI$1:$AT$400,ROW(),0)</f>
        <v>#N/A</v>
      </c>
      <c r="CA39" s="2860">
        <f>BJ39-AV39</f>
        <v>-562.57575757575614</v>
      </c>
      <c r="CB39" s="2881" t="e">
        <f>HLOOKUP($A$1,$AW$1:$BH$400,ROW(),0)-SUM(AI39:AJ39)</f>
        <v>#N/A</v>
      </c>
    </row>
    <row r="40" spans="1:83" ht="18" customHeight="1" x14ac:dyDescent="0.55000000000000004">
      <c r="A40" s="7134"/>
      <c r="B40" s="7138"/>
      <c r="C40" s="594" t="s">
        <v>47</v>
      </c>
      <c r="D40" s="594"/>
      <c r="E40" s="2774">
        <v>6466</v>
      </c>
      <c r="F40" s="2882">
        <v>5594</v>
      </c>
      <c r="G40" s="1102">
        <v>4497</v>
      </c>
      <c r="H40" s="1102">
        <v>5342</v>
      </c>
      <c r="I40" s="1102">
        <v>4289</v>
      </c>
      <c r="J40" s="1102">
        <v>4393</v>
      </c>
      <c r="K40" s="1102">
        <v>4164</v>
      </c>
      <c r="L40" s="1102">
        <v>4258</v>
      </c>
      <c r="M40" s="1102">
        <v>4593</v>
      </c>
      <c r="N40" s="1102">
        <v>4084</v>
      </c>
      <c r="O40" s="1102">
        <v>4602</v>
      </c>
      <c r="P40" s="1102">
        <v>4325</v>
      </c>
      <c r="Q40" s="1102">
        <v>4931</v>
      </c>
      <c r="R40" s="1102">
        <f t="shared" si="192"/>
        <v>55072</v>
      </c>
      <c r="S40" s="1102">
        <f t="shared" ref="S40:S105" si="195">AVERAGE(F40:Q40)</f>
        <v>4589.333333333333</v>
      </c>
      <c r="T40" s="2882">
        <v>4562</v>
      </c>
      <c r="U40" s="1102">
        <v>4830</v>
      </c>
      <c r="V40" s="1102">
        <v>4688</v>
      </c>
      <c r="W40" s="1102">
        <v>4921</v>
      </c>
      <c r="X40" s="1102">
        <v>5592</v>
      </c>
      <c r="Y40" s="1102">
        <v>5213</v>
      </c>
      <c r="Z40" s="1102">
        <v>5502</v>
      </c>
      <c r="AA40" s="1102">
        <v>6086</v>
      </c>
      <c r="AB40" s="1102">
        <v>4923</v>
      </c>
      <c r="AC40" s="1102">
        <v>5993</v>
      </c>
      <c r="AD40" s="1102">
        <v>5445</v>
      </c>
      <c r="AE40" s="1102">
        <v>5459</v>
      </c>
      <c r="AF40" s="2883">
        <f t="shared" si="193"/>
        <v>63214</v>
      </c>
      <c r="AG40" s="2883">
        <f>AVERAGE(T40:AE40)</f>
        <v>5267.833333333333</v>
      </c>
      <c r="AH40" s="2883"/>
      <c r="AI40" s="3307">
        <v>4986</v>
      </c>
      <c r="AJ40" s="2883">
        <v>4537</v>
      </c>
      <c r="AK40" s="2883">
        <v>4780</v>
      </c>
      <c r="AL40" s="2883">
        <v>4591</v>
      </c>
      <c r="AM40" s="2883">
        <v>4955</v>
      </c>
      <c r="AN40" s="2883">
        <v>4217</v>
      </c>
      <c r="AO40" s="2883">
        <v>4860</v>
      </c>
      <c r="AP40" s="2883">
        <v>4735</v>
      </c>
      <c r="AQ40" s="2883">
        <v>4577</v>
      </c>
      <c r="AR40" s="2883">
        <v>4736</v>
      </c>
      <c r="AS40" s="2883">
        <v>4616</v>
      </c>
      <c r="AT40" s="1102">
        <v>4878</v>
      </c>
      <c r="AU40" s="2883">
        <f>SUM(AI40:AT40)</f>
        <v>56468</v>
      </c>
      <c r="AV40" s="2885">
        <f>AVERAGE(AI40:AS40)</f>
        <v>4690</v>
      </c>
      <c r="AW40" s="3420">
        <v>4258</v>
      </c>
      <c r="AX40" s="2883">
        <v>5159</v>
      </c>
      <c r="AY40" s="2883">
        <v>4681</v>
      </c>
      <c r="AZ40" s="2883">
        <v>4288</v>
      </c>
      <c r="BA40" s="2883">
        <v>3646</v>
      </c>
      <c r="BB40" s="2883">
        <v>4195</v>
      </c>
      <c r="BC40" s="2883">
        <v>5672</v>
      </c>
      <c r="BD40" s="2883">
        <v>5374</v>
      </c>
      <c r="BE40" s="2883">
        <v>5187</v>
      </c>
      <c r="BF40" s="2883">
        <v>4551</v>
      </c>
      <c r="BG40" s="1102">
        <v>4269</v>
      </c>
      <c r="BH40" s="2883">
        <v>4838</v>
      </c>
      <c r="BI40" s="2883">
        <f t="shared" ref="BI40:BI45" si="196">SUM(AW40:BH40)</f>
        <v>56118</v>
      </c>
      <c r="BJ40" s="2885">
        <f>AVERAGE(AW40:BG40)</f>
        <v>4661.818181818182</v>
      </c>
      <c r="BK40" s="2883">
        <v>12698</v>
      </c>
      <c r="BL40" s="2883">
        <v>4011</v>
      </c>
      <c r="BM40" s="2883"/>
      <c r="BN40" s="2883"/>
      <c r="BO40" s="2883"/>
      <c r="BP40" s="2883"/>
      <c r="BQ40" s="2883"/>
      <c r="BR40" s="2883"/>
      <c r="BS40" s="2883"/>
      <c r="BT40" s="2883"/>
      <c r="BU40" s="1102"/>
      <c r="BV40" s="2883"/>
      <c r="BW40" s="2883">
        <f t="shared" ref="BW40:BW45" si="197">SUM(BK40:BV40)</f>
        <v>16709</v>
      </c>
      <c r="BX40" s="2885">
        <f>AVERAGE(BK40:BU40)</f>
        <v>8354.5</v>
      </c>
      <c r="BZ40" s="2860" t="e">
        <f>HLOOKUP($A$1,$AW$1:$BH$400,ROW(),0)-HLOOKUP($A$1,$AI$1:$AT$400,ROW(),0)</f>
        <v>#N/A</v>
      </c>
      <c r="CA40" s="2860">
        <f>BJ40-AV40</f>
        <v>-28.181818181818016</v>
      </c>
      <c r="CB40" s="2881" t="e">
        <f>HLOOKUP($A$1,$AW$1:$BH$400,ROW(),0)-SUM(AI40:AJ40)</f>
        <v>#N/A</v>
      </c>
    </row>
    <row r="41" spans="1:83" ht="18" customHeight="1" x14ac:dyDescent="0.55000000000000004">
      <c r="A41" s="7134"/>
      <c r="B41" s="7135"/>
      <c r="C41" s="681" t="s">
        <v>58</v>
      </c>
      <c r="D41" s="681"/>
      <c r="E41" s="3308"/>
      <c r="F41" s="2921">
        <v>568</v>
      </c>
      <c r="G41" s="2922">
        <v>255</v>
      </c>
      <c r="H41" s="2922">
        <v>1042</v>
      </c>
      <c r="I41" s="2922">
        <v>301</v>
      </c>
      <c r="J41" s="2922">
        <v>544</v>
      </c>
      <c r="K41" s="2922">
        <v>485</v>
      </c>
      <c r="L41" s="2922">
        <v>339</v>
      </c>
      <c r="M41" s="2922">
        <v>563</v>
      </c>
      <c r="N41" s="2922">
        <v>390</v>
      </c>
      <c r="O41" s="2922">
        <v>338</v>
      </c>
      <c r="P41" s="2922">
        <v>321</v>
      </c>
      <c r="Q41" s="2922">
        <v>1048</v>
      </c>
      <c r="R41" s="2922">
        <f t="shared" si="192"/>
        <v>6194</v>
      </c>
      <c r="S41" s="2922">
        <f t="shared" si="195"/>
        <v>516.16666666666663</v>
      </c>
      <c r="T41" s="2921">
        <v>340</v>
      </c>
      <c r="U41" s="2922">
        <v>338</v>
      </c>
      <c r="V41" s="2922">
        <v>466</v>
      </c>
      <c r="W41" s="2922">
        <v>392</v>
      </c>
      <c r="X41" s="2922">
        <v>811</v>
      </c>
      <c r="Y41" s="2922">
        <v>438</v>
      </c>
      <c r="Z41" s="1102">
        <v>451</v>
      </c>
      <c r="AA41" s="1102">
        <v>451</v>
      </c>
      <c r="AB41" s="1102">
        <v>698</v>
      </c>
      <c r="AC41" s="1102">
        <v>421</v>
      </c>
      <c r="AD41" s="1102">
        <v>509</v>
      </c>
      <c r="AE41" s="1102">
        <v>987</v>
      </c>
      <c r="AF41" s="2883">
        <f t="shared" si="193"/>
        <v>6302</v>
      </c>
      <c r="AG41" s="2883">
        <f t="shared" si="194"/>
        <v>525.16666666666663</v>
      </c>
      <c r="AH41" s="2883"/>
      <c r="AI41" s="3307">
        <v>376</v>
      </c>
      <c r="AJ41" s="2883">
        <v>312</v>
      </c>
      <c r="AK41" s="2883">
        <v>528</v>
      </c>
      <c r="AL41" s="2883">
        <v>430</v>
      </c>
      <c r="AM41" s="2883">
        <v>728</v>
      </c>
      <c r="AN41" s="2883">
        <v>367</v>
      </c>
      <c r="AO41" s="2883">
        <v>424</v>
      </c>
      <c r="AP41" s="2883">
        <v>541</v>
      </c>
      <c r="AQ41" s="2883">
        <v>506</v>
      </c>
      <c r="AR41" s="2883">
        <v>473</v>
      </c>
      <c r="AS41" s="2883">
        <v>390</v>
      </c>
      <c r="AT41" s="1102">
        <v>874</v>
      </c>
      <c r="AU41" s="2883">
        <f>SUM(AI41:AT41)</f>
        <v>5949</v>
      </c>
      <c r="AV41" s="2885">
        <f>AVERAGE(AI41:AS41)</f>
        <v>461.36363636363637</v>
      </c>
      <c r="AW41" s="3420">
        <v>369</v>
      </c>
      <c r="AX41" s="2883">
        <v>361</v>
      </c>
      <c r="AY41" s="2883">
        <v>347</v>
      </c>
      <c r="AZ41" s="2883">
        <v>389</v>
      </c>
      <c r="BA41" s="2883">
        <v>348</v>
      </c>
      <c r="BB41" s="2883">
        <v>687</v>
      </c>
      <c r="BC41" s="2883">
        <v>347</v>
      </c>
      <c r="BD41" s="2883">
        <v>416</v>
      </c>
      <c r="BE41" s="2883">
        <v>423</v>
      </c>
      <c r="BF41" s="2883">
        <v>345</v>
      </c>
      <c r="BG41" s="1102">
        <v>279</v>
      </c>
      <c r="BH41" s="2883">
        <v>393</v>
      </c>
      <c r="BI41" s="2883">
        <f t="shared" si="196"/>
        <v>4704</v>
      </c>
      <c r="BJ41" s="2885">
        <f>AVERAGE(AW41:BG41)</f>
        <v>391.90909090909093</v>
      </c>
      <c r="BK41" s="2883">
        <v>816</v>
      </c>
      <c r="BL41" s="2883">
        <v>317</v>
      </c>
      <c r="BM41" s="2883"/>
      <c r="BN41" s="2883"/>
      <c r="BO41" s="2883"/>
      <c r="BP41" s="2883"/>
      <c r="BQ41" s="2883"/>
      <c r="BR41" s="2883"/>
      <c r="BS41" s="2883"/>
      <c r="BT41" s="2883"/>
      <c r="BU41" s="1102"/>
      <c r="BV41" s="2883"/>
      <c r="BW41" s="2883">
        <f t="shared" si="197"/>
        <v>1133</v>
      </c>
      <c r="BX41" s="2885">
        <f>AVERAGE(BK41:BU41)</f>
        <v>566.5</v>
      </c>
      <c r="BZ41" s="2860" t="e">
        <f>HLOOKUP($A$1,$AW$1:$BH$400,ROW(),0)-HLOOKUP($A$1,$AI$1:$AT$400,ROW(),0)</f>
        <v>#N/A</v>
      </c>
      <c r="CA41" s="2860">
        <f>BJ41-AV41</f>
        <v>-69.454545454545439</v>
      </c>
      <c r="CB41" s="2881" t="e">
        <f>HLOOKUP($A$1,$AW$1:$BH$400,ROW(),0)-SUM(AI41:AJ41)</f>
        <v>#N/A</v>
      </c>
    </row>
    <row r="42" spans="1:83" ht="18" customHeight="1" x14ac:dyDescent="0.55000000000000004">
      <c r="A42" s="7134"/>
      <c r="B42" s="7135"/>
      <c r="C42" s="681" t="s">
        <v>48</v>
      </c>
      <c r="D42" s="681"/>
      <c r="E42" s="3308"/>
      <c r="F42" s="2921"/>
      <c r="G42" s="2922"/>
      <c r="H42" s="2922"/>
      <c r="I42" s="2922"/>
      <c r="J42" s="2922"/>
      <c r="K42" s="2922"/>
      <c r="L42" s="2922"/>
      <c r="M42" s="2922"/>
      <c r="N42" s="2922"/>
      <c r="O42" s="2922"/>
      <c r="P42" s="2922"/>
      <c r="Q42" s="2922"/>
      <c r="R42" s="2922">
        <f t="shared" si="192"/>
        <v>0</v>
      </c>
      <c r="S42" s="2922" t="e">
        <f t="shared" si="195"/>
        <v>#DIV/0!</v>
      </c>
      <c r="T42" s="2921">
        <f>T37-T40-T43-T45</f>
        <v>11043</v>
      </c>
      <c r="U42" s="2922">
        <f t="shared" ref="U42:AE42" si="198">U37-U40-U43-U45</f>
        <v>14263</v>
      </c>
      <c r="V42" s="2922">
        <f t="shared" si="198"/>
        <v>770</v>
      </c>
      <c r="W42" s="2922">
        <f t="shared" si="198"/>
        <v>6688</v>
      </c>
      <c r="X42" s="2922">
        <f t="shared" si="198"/>
        <v>11257</v>
      </c>
      <c r="Y42" s="2922">
        <f t="shared" si="198"/>
        <v>10313</v>
      </c>
      <c r="Z42" s="1102">
        <f t="shared" si="198"/>
        <v>9547</v>
      </c>
      <c r="AA42" s="1102">
        <f t="shared" si="198"/>
        <v>18036</v>
      </c>
      <c r="AB42" s="1102">
        <f t="shared" si="198"/>
        <v>7956</v>
      </c>
      <c r="AC42" s="1102">
        <f t="shared" si="198"/>
        <v>16700</v>
      </c>
      <c r="AD42" s="1102">
        <f t="shared" si="198"/>
        <v>9986</v>
      </c>
      <c r="AE42" s="1102">
        <f t="shared" si="198"/>
        <v>8689</v>
      </c>
      <c r="AF42" s="2883">
        <f t="shared" si="193"/>
        <v>125248</v>
      </c>
      <c r="AG42" s="2883">
        <f t="shared" si="194"/>
        <v>10437.333333333334</v>
      </c>
      <c r="AH42" s="2883"/>
      <c r="AI42" s="3307">
        <f t="shared" ref="AI42:AT42" si="199">-(AI45-(AI37-AI40-AI43-AI44))</f>
        <v>16223</v>
      </c>
      <c r="AJ42" s="2903">
        <f t="shared" si="199"/>
        <v>8528</v>
      </c>
      <c r="AK42" s="2903">
        <f t="shared" si="199"/>
        <v>8994</v>
      </c>
      <c r="AL42" s="2903">
        <f t="shared" si="199"/>
        <v>10542</v>
      </c>
      <c r="AM42" s="2903">
        <f t="shared" si="199"/>
        <v>8072.9999999999982</v>
      </c>
      <c r="AN42" s="2903">
        <f t="shared" si="199"/>
        <v>4887.9999999999982</v>
      </c>
      <c r="AO42" s="2903">
        <f t="shared" si="199"/>
        <v>9111.9999999999927</v>
      </c>
      <c r="AP42" s="2903">
        <f t="shared" si="199"/>
        <v>3988.0000000000018</v>
      </c>
      <c r="AQ42" s="2903">
        <f t="shared" si="199"/>
        <v>11134</v>
      </c>
      <c r="AR42" s="2903">
        <f t="shared" si="199"/>
        <v>10527</v>
      </c>
      <c r="AS42" s="2903">
        <f t="shared" si="199"/>
        <v>1994</v>
      </c>
      <c r="AT42" s="2903">
        <f t="shared" si="199"/>
        <v>3475</v>
      </c>
      <c r="AU42" s="2883">
        <f>SUM(AI42:AT42)</f>
        <v>97478</v>
      </c>
      <c r="AV42" s="2885">
        <f>AVERAGE(AI42:AS42)</f>
        <v>8545.7272727272721</v>
      </c>
      <c r="AW42" s="4507">
        <f>-(AW45-(AW37-AW40-AW43-AW44))</f>
        <v>7237</v>
      </c>
      <c r="AX42" s="2903">
        <f t="shared" ref="AX42:BL42" si="200">-(AX45-(AX37-AX40-AX43-AX44))</f>
        <v>14155</v>
      </c>
      <c r="AY42" s="2903">
        <f t="shared" si="200"/>
        <v>9800</v>
      </c>
      <c r="AZ42" s="2903">
        <f t="shared" si="200"/>
        <v>9620</v>
      </c>
      <c r="BA42" s="2903">
        <f t="shared" si="200"/>
        <v>8723</v>
      </c>
      <c r="BB42" s="2903">
        <f t="shared" si="200"/>
        <v>9061</v>
      </c>
      <c r="BC42" s="2903">
        <f t="shared" si="200"/>
        <v>17137</v>
      </c>
      <c r="BD42" s="2903">
        <f t="shared" si="200"/>
        <v>10225</v>
      </c>
      <c r="BE42" s="2903">
        <f t="shared" si="200"/>
        <v>16586</v>
      </c>
      <c r="BF42" s="2903">
        <f t="shared" si="200"/>
        <v>10427</v>
      </c>
      <c r="BG42" s="2903">
        <f t="shared" si="200"/>
        <v>8817</v>
      </c>
      <c r="BH42" s="2903">
        <f t="shared" si="200"/>
        <v>9540</v>
      </c>
      <c r="BI42" s="2883">
        <f t="shared" si="200"/>
        <v>131328</v>
      </c>
      <c r="BJ42" s="2885">
        <f t="shared" si="200"/>
        <v>12927.398989898988</v>
      </c>
      <c r="BK42" s="2903">
        <f t="shared" si="200"/>
        <v>9630</v>
      </c>
      <c r="BL42" s="2903">
        <f t="shared" si="200"/>
        <v>6135</v>
      </c>
      <c r="BM42" s="2903"/>
      <c r="BN42" s="2903"/>
      <c r="BO42" s="2903"/>
      <c r="BP42" s="2903"/>
      <c r="BQ42" s="2903"/>
      <c r="BR42" s="2903"/>
      <c r="BS42" s="2903"/>
      <c r="BT42" s="2903"/>
      <c r="BU42" s="2903"/>
      <c r="BV42" s="2903"/>
      <c r="BW42" s="2883">
        <f t="shared" si="197"/>
        <v>15765</v>
      </c>
      <c r="BX42" s="2885">
        <f>AVERAGE(BK42:BU42)</f>
        <v>7882.5</v>
      </c>
      <c r="BZ42" s="2860" t="e">
        <f>HLOOKUP($A$1,$AW$1:$BH$400,ROW(),0)-HLOOKUP($A$1,$AI$1:$AT$400,ROW(),0)</f>
        <v>#N/A</v>
      </c>
      <c r="CA42" s="2860">
        <f>BJ42-AV42</f>
        <v>4381.6717171717155</v>
      </c>
      <c r="CB42" s="2881" t="e">
        <f>HLOOKUP($A$1,$AW$1:$BH$400,ROW(),0)-SUM(AI42:AJ42)</f>
        <v>#N/A</v>
      </c>
    </row>
    <row r="43" spans="1:83" ht="18" customHeight="1" x14ac:dyDescent="0.55000000000000004">
      <c r="A43" s="7134"/>
      <c r="B43" s="7135"/>
      <c r="C43" s="681" t="s">
        <v>49</v>
      </c>
      <c r="D43" s="681"/>
      <c r="E43" s="3308"/>
      <c r="F43" s="2921"/>
      <c r="G43" s="2922"/>
      <c r="H43" s="2922"/>
      <c r="I43" s="2922"/>
      <c r="J43" s="2922">
        <v>9965</v>
      </c>
      <c r="K43" s="2922">
        <v>8567</v>
      </c>
      <c r="L43" s="2922">
        <v>9023</v>
      </c>
      <c r="M43" s="2922">
        <v>10343</v>
      </c>
      <c r="N43" s="2922">
        <v>8724</v>
      </c>
      <c r="O43" s="2922">
        <v>10850</v>
      </c>
      <c r="P43" s="2922">
        <v>9180</v>
      </c>
      <c r="Q43" s="2922">
        <v>8267</v>
      </c>
      <c r="R43" s="2922">
        <f t="shared" si="192"/>
        <v>74919</v>
      </c>
      <c r="S43" s="2922">
        <f t="shared" si="195"/>
        <v>9364.875</v>
      </c>
      <c r="T43" s="2921">
        <v>2550</v>
      </c>
      <c r="U43" s="2922">
        <v>2422</v>
      </c>
      <c r="V43" s="2922">
        <v>2981</v>
      </c>
      <c r="W43" s="2922">
        <v>2239</v>
      </c>
      <c r="X43" s="2922">
        <v>2277</v>
      </c>
      <c r="Y43" s="2922">
        <v>2459</v>
      </c>
      <c r="Z43" s="1102">
        <v>2662</v>
      </c>
      <c r="AA43" s="1102">
        <v>2515</v>
      </c>
      <c r="AB43" s="1102">
        <v>2206</v>
      </c>
      <c r="AC43" s="1102">
        <v>2305</v>
      </c>
      <c r="AD43" s="1102">
        <v>2473</v>
      </c>
      <c r="AE43" s="1102">
        <v>2105</v>
      </c>
      <c r="AF43" s="2883">
        <f t="shared" si="193"/>
        <v>29194</v>
      </c>
      <c r="AG43" s="2883">
        <f t="shared" si="194"/>
        <v>2432.8333333333335</v>
      </c>
      <c r="AH43" s="2883"/>
      <c r="AI43" s="3307">
        <v>2124</v>
      </c>
      <c r="AJ43" s="2883">
        <v>1987</v>
      </c>
      <c r="AK43" s="2883">
        <v>2235</v>
      </c>
      <c r="AL43" s="2883">
        <v>2510</v>
      </c>
      <c r="AM43" s="2883">
        <v>2699</v>
      </c>
      <c r="AN43" s="2883">
        <v>2819</v>
      </c>
      <c r="AO43" s="2883">
        <v>5918</v>
      </c>
      <c r="AP43" s="2883">
        <v>3882</v>
      </c>
      <c r="AQ43" s="2883">
        <v>4571</v>
      </c>
      <c r="AR43" s="2883">
        <v>5659</v>
      </c>
      <c r="AS43" s="2883">
        <v>3908</v>
      </c>
      <c r="AT43" s="1102">
        <v>5010</v>
      </c>
      <c r="AU43" s="2883">
        <f>SUM(AI43:AT43)</f>
        <v>43322</v>
      </c>
      <c r="AV43" s="2885">
        <f>AVERAGE(AI43:AS43)</f>
        <v>3482.909090909091</v>
      </c>
      <c r="AW43" s="3420">
        <v>4275</v>
      </c>
      <c r="AX43" s="2883">
        <v>4697</v>
      </c>
      <c r="AY43" s="2883">
        <v>3341</v>
      </c>
      <c r="AZ43" s="2883">
        <v>6602</v>
      </c>
      <c r="BA43" s="2883">
        <v>4325</v>
      </c>
      <c r="BB43" s="2883">
        <v>6489</v>
      </c>
      <c r="BC43" s="2883">
        <v>8569</v>
      </c>
      <c r="BD43" s="1102">
        <v>6551</v>
      </c>
      <c r="BE43" s="2883">
        <v>6061</v>
      </c>
      <c r="BF43" s="2883">
        <v>5712</v>
      </c>
      <c r="BG43" s="2883">
        <v>5921</v>
      </c>
      <c r="BH43" s="2883">
        <v>6579</v>
      </c>
      <c r="BI43" s="2883">
        <f t="shared" si="196"/>
        <v>69122</v>
      </c>
      <c r="BJ43" s="2885">
        <f>AVERAGE(AW43:BG43)</f>
        <v>5685.727272727273</v>
      </c>
      <c r="BK43" s="2883">
        <v>7686</v>
      </c>
      <c r="BL43" s="2883">
        <v>9155</v>
      </c>
      <c r="BM43" s="2883"/>
      <c r="BN43" s="2883"/>
      <c r="BO43" s="2883"/>
      <c r="BP43" s="2883"/>
      <c r="BQ43" s="2883"/>
      <c r="BR43" s="1102"/>
      <c r="BS43" s="2883"/>
      <c r="BT43" s="2883"/>
      <c r="BU43" s="2883"/>
      <c r="BV43" s="2883"/>
      <c r="BW43" s="2883">
        <f t="shared" si="197"/>
        <v>16841</v>
      </c>
      <c r="BX43" s="2885">
        <f>AVERAGE(BK43:BU43)</f>
        <v>8420.5</v>
      </c>
      <c r="BZ43" s="2860" t="e">
        <f>HLOOKUP($A$1,$AW$1:$BH$400,ROW(),0)-HLOOKUP($A$1,$AI$1:$AT$400,ROW(),0)</f>
        <v>#N/A</v>
      </c>
      <c r="CA43" s="2860">
        <f>BJ43-AV43</f>
        <v>2202.818181818182</v>
      </c>
      <c r="CB43" s="2881" t="e">
        <f>HLOOKUP($A$1,$AW$1:$BH$400,ROW(),0)-SUM(AI43:AJ43)</f>
        <v>#N/A</v>
      </c>
    </row>
    <row r="44" spans="1:83" ht="18" customHeight="1" x14ac:dyDescent="0.55000000000000004">
      <c r="A44" s="7134"/>
      <c r="B44" s="7135"/>
      <c r="C44" s="681" t="s">
        <v>714</v>
      </c>
      <c r="D44" s="681"/>
      <c r="E44" s="3308"/>
      <c r="F44" s="2921"/>
      <c r="G44" s="2922"/>
      <c r="H44" s="2922"/>
      <c r="I44" s="2922"/>
      <c r="J44" s="2922"/>
      <c r="K44" s="2922"/>
      <c r="L44" s="2922"/>
      <c r="M44" s="2922"/>
      <c r="N44" s="2922"/>
      <c r="O44" s="2922"/>
      <c r="P44" s="2922"/>
      <c r="Q44" s="2922"/>
      <c r="R44" s="2922">
        <f t="shared" si="192"/>
        <v>0</v>
      </c>
      <c r="S44" s="2922" t="e">
        <f t="shared" si="195"/>
        <v>#DIV/0!</v>
      </c>
      <c r="T44" s="2921"/>
      <c r="U44" s="2922"/>
      <c r="V44" s="2922"/>
      <c r="W44" s="2922"/>
      <c r="X44" s="2922"/>
      <c r="Y44" s="2922"/>
      <c r="Z44" s="1102"/>
      <c r="AA44" s="1102"/>
      <c r="AB44" s="1102"/>
      <c r="AC44" s="1102"/>
      <c r="AD44" s="1102"/>
      <c r="AE44" s="1102"/>
      <c r="AF44" s="2883"/>
      <c r="AG44" s="3309"/>
      <c r="AH44" s="2883"/>
      <c r="AI44" s="3307"/>
      <c r="AJ44" s="2883"/>
      <c r="AK44" s="2883"/>
      <c r="AL44" s="2883"/>
      <c r="AM44" s="2883"/>
      <c r="AN44" s="2883"/>
      <c r="AO44" s="2883"/>
      <c r="AP44" s="2883"/>
      <c r="AQ44" s="2883"/>
      <c r="AR44" s="2883"/>
      <c r="AS44" s="2883"/>
      <c r="AT44" s="1102"/>
      <c r="AU44" s="2883"/>
      <c r="AV44" s="3310"/>
      <c r="AW44" s="2968"/>
      <c r="AX44" s="2883">
        <v>10</v>
      </c>
      <c r="AY44" s="2883">
        <v>7</v>
      </c>
      <c r="AZ44" s="2883">
        <v>1</v>
      </c>
      <c r="BA44" s="2883">
        <v>4</v>
      </c>
      <c r="BB44" s="2883">
        <v>3</v>
      </c>
      <c r="BC44" s="2883">
        <v>0</v>
      </c>
      <c r="BD44" s="2883">
        <v>0</v>
      </c>
      <c r="BE44" s="2883">
        <v>0</v>
      </c>
      <c r="BF44" s="2883">
        <v>0</v>
      </c>
      <c r="BG44" s="2883">
        <v>0</v>
      </c>
      <c r="BH44" s="2883">
        <v>0</v>
      </c>
      <c r="BI44" s="2883">
        <f t="shared" si="196"/>
        <v>25</v>
      </c>
      <c r="BJ44" s="2885">
        <f>AVERAGE(AW44:BG44)</f>
        <v>2.5</v>
      </c>
      <c r="BK44" s="1102"/>
      <c r="BL44" s="2883"/>
      <c r="BM44" s="2883"/>
      <c r="BN44" s="2883"/>
      <c r="BO44" s="2883"/>
      <c r="BP44" s="2883"/>
      <c r="BQ44" s="2883"/>
      <c r="BR44" s="2883"/>
      <c r="BS44" s="2883"/>
      <c r="BT44" s="2883"/>
      <c r="BU44" s="2883"/>
      <c r="BV44" s="2883"/>
      <c r="BW44" s="2883">
        <f t="shared" si="197"/>
        <v>0</v>
      </c>
      <c r="BX44" s="2885" t="e">
        <f>AVERAGE(BK44:BU44)</f>
        <v>#DIV/0!</v>
      </c>
      <c r="BZ44" s="2860" t="e">
        <f>HLOOKUP($A$1,$AW$1:$BH$400,ROW(),0)-HLOOKUP($A$1,$AI$1:$AT$400,ROW(),0)</f>
        <v>#N/A</v>
      </c>
      <c r="CA44" s="2860">
        <f>BJ44-AV44</f>
        <v>2.5</v>
      </c>
      <c r="CB44" s="2881" t="e">
        <f>HLOOKUP($A$1,$AW$1:$BH$400,ROW(),0)-SUM(AI44:AJ44)</f>
        <v>#N/A</v>
      </c>
    </row>
    <row r="45" spans="1:83" ht="18" customHeight="1" x14ac:dyDescent="0.55000000000000004">
      <c r="A45" s="7167"/>
      <c r="B45" s="7168"/>
      <c r="C45" s="3311" t="s">
        <v>50</v>
      </c>
      <c r="D45" s="685"/>
      <c r="E45" s="2928"/>
      <c r="F45" s="2929">
        <f t="shared" ref="F45:Q45" si="201">F36-E36</f>
        <v>-14615</v>
      </c>
      <c r="G45" s="2928">
        <f t="shared" si="201"/>
        <v>-29442</v>
      </c>
      <c r="H45" s="2928">
        <f t="shared" si="201"/>
        <v>-1498</v>
      </c>
      <c r="I45" s="2928">
        <f t="shared" si="201"/>
        <v>-885</v>
      </c>
      <c r="J45" s="2928">
        <f t="shared" si="201"/>
        <v>-893</v>
      </c>
      <c r="K45" s="2928">
        <f t="shared" si="201"/>
        <v>22233</v>
      </c>
      <c r="L45" s="2928">
        <f t="shared" si="201"/>
        <v>-502</v>
      </c>
      <c r="M45" s="2928">
        <f t="shared" si="201"/>
        <v>988</v>
      </c>
      <c r="N45" s="2928">
        <f t="shared" si="201"/>
        <v>20468</v>
      </c>
      <c r="O45" s="2928">
        <f t="shared" si="201"/>
        <v>732</v>
      </c>
      <c r="P45" s="2928">
        <f t="shared" si="201"/>
        <v>296</v>
      </c>
      <c r="Q45" s="2928">
        <f t="shared" si="201"/>
        <v>11624</v>
      </c>
      <c r="R45" s="2928">
        <f t="shared" si="192"/>
        <v>8506</v>
      </c>
      <c r="S45" s="2928">
        <f t="shared" si="195"/>
        <v>708.83333333333337</v>
      </c>
      <c r="T45" s="2929">
        <f>T36-Q36</f>
        <v>-2012</v>
      </c>
      <c r="U45" s="2928">
        <f t="shared" ref="U45:AE45" si="202">U36-T36</f>
        <v>598</v>
      </c>
      <c r="V45" s="2928">
        <f t="shared" si="202"/>
        <v>9052</v>
      </c>
      <c r="W45" s="2928">
        <f t="shared" si="202"/>
        <v>2336</v>
      </c>
      <c r="X45" s="2928">
        <f t="shared" si="202"/>
        <v>-1375</v>
      </c>
      <c r="Y45" s="2928">
        <f t="shared" si="202"/>
        <v>-1454</v>
      </c>
      <c r="Z45" s="2895">
        <f t="shared" si="202"/>
        <v>-2797</v>
      </c>
      <c r="AA45" s="2895">
        <f t="shared" si="202"/>
        <v>-1618</v>
      </c>
      <c r="AB45" s="2895">
        <f t="shared" si="202"/>
        <v>-2737</v>
      </c>
      <c r="AC45" s="2895">
        <f t="shared" si="202"/>
        <v>-2675</v>
      </c>
      <c r="AD45" s="2895">
        <f t="shared" si="202"/>
        <v>-2751</v>
      </c>
      <c r="AE45" s="2895">
        <f t="shared" si="202"/>
        <v>-3248</v>
      </c>
      <c r="AF45" s="2896">
        <f t="shared" si="193"/>
        <v>-8681</v>
      </c>
      <c r="AG45" s="2896">
        <f t="shared" si="194"/>
        <v>-723.41666666666663</v>
      </c>
      <c r="AH45" s="2896"/>
      <c r="AI45" s="3312">
        <v>62</v>
      </c>
      <c r="AJ45" s="2896">
        <v>-295</v>
      </c>
      <c r="AK45" s="2896">
        <v>153</v>
      </c>
      <c r="AL45" s="2896">
        <v>-1766</v>
      </c>
      <c r="AM45" s="2896">
        <v>429</v>
      </c>
      <c r="AN45" s="2896">
        <v>2667</v>
      </c>
      <c r="AO45" s="2896">
        <v>1940</v>
      </c>
      <c r="AP45" s="2896">
        <v>3644</v>
      </c>
      <c r="AQ45" s="2896">
        <v>267</v>
      </c>
      <c r="AR45" s="2896">
        <v>-4668</v>
      </c>
      <c r="AS45" s="2896">
        <v>4506</v>
      </c>
      <c r="AT45" s="2895">
        <v>-195</v>
      </c>
      <c r="AU45" s="2896">
        <f>SUM(AI45:AT45)</f>
        <v>6744</v>
      </c>
      <c r="AV45" s="2898">
        <f>AVERAGE(AI45:AT45)</f>
        <v>562</v>
      </c>
      <c r="AW45" s="4505">
        <f>AW36-AT36</f>
        <v>-3840</v>
      </c>
      <c r="AX45" s="2896">
        <f>AX36-AW36</f>
        <v>979</v>
      </c>
      <c r="AY45" s="2896">
        <f t="shared" ref="AY45:BA45" si="203">AY36-AX36</f>
        <v>-684</v>
      </c>
      <c r="AZ45" s="2896">
        <f t="shared" si="203"/>
        <v>1845</v>
      </c>
      <c r="BA45" s="2896">
        <f t="shared" si="203"/>
        <v>12497</v>
      </c>
      <c r="BB45" s="2896">
        <f t="shared" ref="BB45" si="204">BB36-BA36</f>
        <v>-1698</v>
      </c>
      <c r="BC45" s="2896">
        <f t="shared" ref="BC45" si="205">BC36-BB36</f>
        <v>-2223</v>
      </c>
      <c r="BD45" s="2896">
        <f t="shared" ref="BD45" si="206">BD36-BC36</f>
        <v>-4375</v>
      </c>
      <c r="BE45" s="2896">
        <v>-4705</v>
      </c>
      <c r="BF45" s="2896">
        <f>BF36-BE36</f>
        <v>-5339</v>
      </c>
      <c r="BG45" s="2896">
        <f>BG36-BF36</f>
        <v>-5333</v>
      </c>
      <c r="BH45" s="2896">
        <f>BH36-BG36</f>
        <v>-8140</v>
      </c>
      <c r="BI45" s="2896">
        <f t="shared" si="196"/>
        <v>-21016</v>
      </c>
      <c r="BJ45" s="2898">
        <f>AVERAGE(AW45:BH45)</f>
        <v>-1751.3333333333333</v>
      </c>
      <c r="BK45" s="2895">
        <v>-10298</v>
      </c>
      <c r="BL45" s="2896">
        <v>-7277</v>
      </c>
      <c r="BM45" s="2896"/>
      <c r="BN45" s="2896"/>
      <c r="BO45" s="2896"/>
      <c r="BP45" s="2896"/>
      <c r="BQ45" s="2896"/>
      <c r="BR45" s="2896"/>
      <c r="BS45" s="2896"/>
      <c r="BT45" s="2896"/>
      <c r="BU45" s="2896"/>
      <c r="BV45" s="2896"/>
      <c r="BW45" s="2896">
        <f t="shared" si="197"/>
        <v>-17575</v>
      </c>
      <c r="BX45" s="2898">
        <f>AVERAGE(BK45:BV45)</f>
        <v>-8787.5</v>
      </c>
      <c r="BZ45" s="2860" t="e">
        <f>HLOOKUP($A$1,$AW$1:$BH$400,ROW(),0)-HLOOKUP($A$1,$AI$1:$AT$400,ROW(),0)</f>
        <v>#N/A</v>
      </c>
      <c r="CA45" s="2860">
        <f>BJ45-AV45</f>
        <v>-2313.333333333333</v>
      </c>
      <c r="CB45" s="2881" t="e">
        <f>HLOOKUP($A$1,$AW$1:$BH$400,ROW(),0)-SUM(AI45:AJ45)</f>
        <v>#N/A</v>
      </c>
    </row>
    <row r="46" spans="1:83" ht="17.5" customHeight="1" x14ac:dyDescent="0.55000000000000004">
      <c r="A46" s="7157" t="s">
        <v>1005</v>
      </c>
      <c r="B46" s="7158"/>
      <c r="C46" s="3313" t="s">
        <v>43</v>
      </c>
      <c r="D46" s="3314"/>
      <c r="E46" s="3315">
        <v>782978</v>
      </c>
      <c r="F46" s="3316">
        <v>768363</v>
      </c>
      <c r="G46" s="3315">
        <v>738921</v>
      </c>
      <c r="H46" s="3315">
        <v>737423</v>
      </c>
      <c r="I46" s="3315">
        <v>736538</v>
      </c>
      <c r="J46" s="3315">
        <v>735645</v>
      </c>
      <c r="K46" s="3315">
        <v>757878</v>
      </c>
      <c r="L46" s="3315">
        <v>757376</v>
      </c>
      <c r="M46" s="3315">
        <v>758364</v>
      </c>
      <c r="N46" s="3315">
        <v>778832</v>
      </c>
      <c r="O46" s="3315">
        <v>779564</v>
      </c>
      <c r="P46" s="3315">
        <v>779860</v>
      </c>
      <c r="Q46" s="3315">
        <v>791484</v>
      </c>
      <c r="R46" s="3315">
        <v>791484</v>
      </c>
      <c r="S46" s="3315">
        <f>AVERAGE(F46:Q46)</f>
        <v>760020.66666666663</v>
      </c>
      <c r="T46" s="3316"/>
      <c r="U46" s="3315"/>
      <c r="V46" s="3315"/>
      <c r="W46" s="3315"/>
      <c r="X46" s="3315"/>
      <c r="Y46" s="3315"/>
      <c r="Z46" s="3297"/>
      <c r="AA46" s="3297"/>
      <c r="AB46" s="3297"/>
      <c r="AC46" s="3297"/>
      <c r="AD46" s="3297"/>
      <c r="AE46" s="3297"/>
      <c r="AF46" s="3317"/>
      <c r="AG46" s="3317"/>
      <c r="AH46" s="3317"/>
      <c r="AI46" s="3318">
        <v>33736</v>
      </c>
      <c r="AJ46" s="3297">
        <v>32878</v>
      </c>
      <c r="AK46" s="3297">
        <v>32324</v>
      </c>
      <c r="AL46" s="3297">
        <v>31758</v>
      </c>
      <c r="AM46" s="3297">
        <v>31143</v>
      </c>
      <c r="AN46" s="3297">
        <v>30580</v>
      </c>
      <c r="AO46" s="3297">
        <v>30333</v>
      </c>
      <c r="AP46" s="3297">
        <v>29924</v>
      </c>
      <c r="AQ46" s="3297">
        <v>29357</v>
      </c>
      <c r="AR46" s="3297">
        <v>28795</v>
      </c>
      <c r="AS46" s="3297">
        <v>28123</v>
      </c>
      <c r="AT46" s="3297">
        <v>27438</v>
      </c>
      <c r="AU46" s="3297">
        <f>AT46</f>
        <v>27438</v>
      </c>
      <c r="AV46" s="3301">
        <f>AVERAGE(AI46:AT46)</f>
        <v>30532.416666666668</v>
      </c>
      <c r="AW46" s="4506">
        <v>26924</v>
      </c>
      <c r="AX46" s="3299">
        <v>26456</v>
      </c>
      <c r="AY46" s="3299">
        <v>25615</v>
      </c>
      <c r="AZ46" s="3299">
        <v>25136</v>
      </c>
      <c r="BA46" s="3299">
        <v>24622</v>
      </c>
      <c r="BB46" s="3299">
        <v>24074</v>
      </c>
      <c r="BC46" s="3299">
        <v>23853</v>
      </c>
      <c r="BD46" s="3299">
        <v>23189</v>
      </c>
      <c r="BE46" s="3299">
        <v>22536</v>
      </c>
      <c r="BF46" s="3299">
        <v>21871</v>
      </c>
      <c r="BG46" s="3299">
        <v>21183</v>
      </c>
      <c r="BH46" s="3299">
        <v>20417</v>
      </c>
      <c r="BI46" s="3297">
        <f>INDEX($AW46:$BH46, 1, MATCH(0, $AW46:$BH46, -1))</f>
        <v>20417</v>
      </c>
      <c r="BJ46" s="3301">
        <f>AVERAGE(AW46:BH46)</f>
        <v>23823</v>
      </c>
      <c r="BK46" s="3297">
        <v>17218</v>
      </c>
      <c r="BL46" s="3299">
        <v>16746</v>
      </c>
      <c r="BM46" s="3299"/>
      <c r="BN46" s="3299"/>
      <c r="BO46" s="3299"/>
      <c r="BP46" s="3299"/>
      <c r="BQ46" s="3299"/>
      <c r="BR46" s="3299"/>
      <c r="BS46" s="3299"/>
      <c r="BT46" s="3299"/>
      <c r="BU46" s="3299"/>
      <c r="BV46" s="3299"/>
      <c r="BW46" s="3297">
        <f>INDEX($AW46:$BH46, 1, MATCH(0, $AW46:$BH46, -1))</f>
        <v>20417</v>
      </c>
      <c r="BX46" s="3301">
        <f>AVERAGE(BK46:BV46)</f>
        <v>16982</v>
      </c>
      <c r="BZ46" s="2860" t="e">
        <f>HLOOKUP($A$1,$AW$1:$BH$400,ROW(),0)-HLOOKUP($A$1,$AI$1:$AT$400,ROW(),0)</f>
        <v>#N/A</v>
      </c>
      <c r="CA46" s="2860">
        <f>BJ46-AV46</f>
        <v>-6709.4166666666679</v>
      </c>
      <c r="CB46" s="2861">
        <f>AX46-AJ46</f>
        <v>-6422</v>
      </c>
    </row>
    <row r="47" spans="1:83" ht="18" customHeight="1" x14ac:dyDescent="0.55000000000000004">
      <c r="A47" s="7134"/>
      <c r="B47" s="7135"/>
      <c r="C47" s="1453" t="s">
        <v>56</v>
      </c>
      <c r="D47" s="1347"/>
      <c r="E47" s="2924">
        <f>E48+E49</f>
        <v>18877</v>
      </c>
      <c r="F47" s="2923">
        <f t="shared" ref="F47:S47" si="207">F48+F49</f>
        <v>19153</v>
      </c>
      <c r="G47" s="2924">
        <f t="shared" si="207"/>
        <v>20216</v>
      </c>
      <c r="H47" s="2924">
        <f t="shared" si="207"/>
        <v>18486</v>
      </c>
      <c r="I47" s="2924">
        <f t="shared" si="207"/>
        <v>18602</v>
      </c>
      <c r="J47" s="2924">
        <f t="shared" si="207"/>
        <v>18370</v>
      </c>
      <c r="K47" s="2924">
        <f t="shared" si="207"/>
        <v>20561</v>
      </c>
      <c r="L47" s="2924">
        <f t="shared" si="207"/>
        <v>17116</v>
      </c>
      <c r="M47" s="2924">
        <f t="shared" si="207"/>
        <v>25488</v>
      </c>
      <c r="N47" s="2924">
        <f t="shared" si="207"/>
        <v>16739</v>
      </c>
      <c r="O47" s="2924">
        <f t="shared" si="207"/>
        <v>25748</v>
      </c>
      <c r="P47" s="2924">
        <f t="shared" si="207"/>
        <v>18052</v>
      </c>
      <c r="Q47" s="2924">
        <f t="shared" si="207"/>
        <v>15241</v>
      </c>
      <c r="R47" s="2924">
        <f t="shared" si="207"/>
        <v>233772</v>
      </c>
      <c r="S47" s="2924">
        <f t="shared" si="207"/>
        <v>19481</v>
      </c>
      <c r="T47" s="2923"/>
      <c r="U47" s="2924"/>
      <c r="V47" s="2924"/>
      <c r="W47" s="2924"/>
      <c r="X47" s="2924"/>
      <c r="Y47" s="2924"/>
      <c r="Z47" s="2888"/>
      <c r="AA47" s="2888"/>
      <c r="AB47" s="2888"/>
      <c r="AC47" s="2888"/>
      <c r="AD47" s="2888"/>
      <c r="AE47" s="2888"/>
      <c r="AF47" s="3319"/>
      <c r="AG47" s="3319"/>
      <c r="AH47" s="3319"/>
      <c r="AI47" s="3306">
        <v>190</v>
      </c>
      <c r="AJ47" s="2889">
        <v>177</v>
      </c>
      <c r="AK47" s="2889">
        <v>252</v>
      </c>
      <c r="AL47" s="2889">
        <v>239</v>
      </c>
      <c r="AM47" s="2889">
        <v>324</v>
      </c>
      <c r="AN47" s="2889">
        <v>206</v>
      </c>
      <c r="AO47" s="2889">
        <v>678</v>
      </c>
      <c r="AP47" s="2889">
        <v>205</v>
      </c>
      <c r="AQ47" s="2889">
        <v>251</v>
      </c>
      <c r="AR47" s="2889">
        <v>216.99999999999997</v>
      </c>
      <c r="AS47" s="2889">
        <v>145</v>
      </c>
      <c r="AT47" s="2888">
        <v>110</v>
      </c>
      <c r="AU47" s="2889">
        <f>SUM(AI47:AT47)</f>
        <v>2994</v>
      </c>
      <c r="AV47" s="2891">
        <f>AVERAGE(AI47:AT47)</f>
        <v>249.5</v>
      </c>
      <c r="AW47" s="3414">
        <v>154</v>
      </c>
      <c r="AX47" s="2889">
        <v>399</v>
      </c>
      <c r="AY47" s="2889">
        <v>169</v>
      </c>
      <c r="AZ47" s="2889">
        <v>287</v>
      </c>
      <c r="BA47" s="2889">
        <f>BA48+BA49</f>
        <v>430</v>
      </c>
      <c r="BB47" s="2889">
        <f>BB48+BB49</f>
        <v>191</v>
      </c>
      <c r="BC47" s="2889">
        <v>616</v>
      </c>
      <c r="BD47" s="2889">
        <f>BD48+BD49</f>
        <v>192</v>
      </c>
      <c r="BE47" s="2889">
        <v>307</v>
      </c>
      <c r="BF47" s="2889">
        <f>BF48+BF49</f>
        <v>259</v>
      </c>
      <c r="BG47" s="2889">
        <f>BG48+BG49</f>
        <v>193</v>
      </c>
      <c r="BH47" s="2889">
        <f>BH48+BH49</f>
        <v>103</v>
      </c>
      <c r="BI47" s="2889">
        <f>SUM(AW47:BH47)</f>
        <v>3300</v>
      </c>
      <c r="BJ47" s="2891">
        <f>AVERAGE(AW47:BE47)</f>
        <v>305</v>
      </c>
      <c r="BK47" s="2888">
        <v>267</v>
      </c>
      <c r="BL47" s="2889">
        <v>147</v>
      </c>
      <c r="BM47" s="2889"/>
      <c r="BN47" s="2889"/>
      <c r="BO47" s="2889"/>
      <c r="BP47" s="2889"/>
      <c r="BQ47" s="2889"/>
      <c r="BR47" s="2889"/>
      <c r="BS47" s="2889"/>
      <c r="BT47" s="2889"/>
      <c r="BU47" s="2889"/>
      <c r="BV47" s="2889"/>
      <c r="BW47" s="2889">
        <f>SUM(BK47:BV47)</f>
        <v>414</v>
      </c>
      <c r="BX47" s="2891">
        <f>AVERAGE(BK47:BS47)</f>
        <v>207</v>
      </c>
      <c r="BZ47" s="2860" t="e">
        <f>HLOOKUP($A$1,$AW$1:$BH$400,ROW(),0)-HLOOKUP($A$1,$AI$1:$AT$400,ROW(),0)</f>
        <v>#N/A</v>
      </c>
      <c r="CA47" s="2860">
        <f>BJ47-AV47</f>
        <v>55.5</v>
      </c>
      <c r="CB47" s="2881" t="e">
        <f>HLOOKUP($A$1,$AW$1:$BH$400,ROW(),0)-SUM(AI47:AJ47)</f>
        <v>#N/A</v>
      </c>
    </row>
    <row r="48" spans="1:83" ht="18" hidden="1" customHeight="1" x14ac:dyDescent="0.55000000000000004">
      <c r="A48" s="7134"/>
      <c r="B48" s="7135"/>
      <c r="C48" s="681"/>
      <c r="D48" s="681" t="s">
        <v>46</v>
      </c>
      <c r="E48" s="3308">
        <v>4416</v>
      </c>
      <c r="F48" s="2921">
        <v>4706</v>
      </c>
      <c r="G48" s="2922">
        <v>4977</v>
      </c>
      <c r="H48" s="2922">
        <v>4941</v>
      </c>
      <c r="I48" s="2922">
        <v>4319</v>
      </c>
      <c r="J48" s="2922">
        <v>4687</v>
      </c>
      <c r="K48" s="2922">
        <v>4632</v>
      </c>
      <c r="L48" s="2922">
        <v>4330</v>
      </c>
      <c r="M48" s="2922">
        <v>4822</v>
      </c>
      <c r="N48" s="2922">
        <v>4715</v>
      </c>
      <c r="O48" s="2922">
        <v>5166</v>
      </c>
      <c r="P48" s="2922">
        <v>4798</v>
      </c>
      <c r="Q48" s="2922">
        <v>4243</v>
      </c>
      <c r="R48" s="2922">
        <f t="shared" ref="R48:R54" si="208">SUM(F48:Q48)</f>
        <v>56336</v>
      </c>
      <c r="S48" s="2922">
        <f t="shared" ref="S48:S54" si="209">AVERAGE(F48:Q48)</f>
        <v>4694.666666666667</v>
      </c>
      <c r="T48" s="2921"/>
      <c r="U48" s="2922"/>
      <c r="V48" s="2922"/>
      <c r="W48" s="2922"/>
      <c r="X48" s="2922"/>
      <c r="Y48" s="2922"/>
      <c r="Z48" s="1102"/>
      <c r="AA48" s="1102"/>
      <c r="AB48" s="1102"/>
      <c r="AC48" s="1102"/>
      <c r="AD48" s="1102"/>
      <c r="AE48" s="1102"/>
      <c r="AF48" s="3319"/>
      <c r="AG48" s="3319"/>
      <c r="AH48" s="3319"/>
      <c r="AI48" s="3319"/>
      <c r="AJ48" s="3319"/>
      <c r="AK48" s="3319"/>
      <c r="AL48" s="3319"/>
      <c r="AM48" s="3319"/>
      <c r="AN48" s="3319"/>
      <c r="AO48" s="3319"/>
      <c r="AP48" s="3319"/>
      <c r="AQ48" s="3319"/>
      <c r="AR48" s="3319"/>
      <c r="AS48" s="3319"/>
      <c r="AT48" s="3319"/>
      <c r="AU48" s="3319"/>
      <c r="AV48" s="4501"/>
      <c r="AW48" s="2968">
        <v>86</v>
      </c>
      <c r="AX48" s="2883">
        <v>109</v>
      </c>
      <c r="AY48" s="2883">
        <v>89</v>
      </c>
      <c r="AZ48" s="2883">
        <v>208</v>
      </c>
      <c r="BA48" s="2883">
        <v>333</v>
      </c>
      <c r="BB48" s="2883">
        <v>118</v>
      </c>
      <c r="BC48" s="2883">
        <v>474</v>
      </c>
      <c r="BD48" s="2918">
        <v>117</v>
      </c>
      <c r="BE48" s="2883">
        <v>145</v>
      </c>
      <c r="BF48" s="2883">
        <v>107</v>
      </c>
      <c r="BG48" s="1102">
        <v>91</v>
      </c>
      <c r="BH48" s="3320">
        <v>41</v>
      </c>
      <c r="BI48" s="2883">
        <f>SUM(AW48:BE48)</f>
        <v>1679</v>
      </c>
      <c r="BJ48" s="2885">
        <f>AVERAGE(AW48:BH48)</f>
        <v>159.83333333333334</v>
      </c>
      <c r="BK48" s="1102">
        <v>108</v>
      </c>
      <c r="BL48" s="2883">
        <v>92</v>
      </c>
      <c r="BM48" s="2883"/>
      <c r="BN48" s="2883"/>
      <c r="BO48" s="2883"/>
      <c r="BP48" s="2883"/>
      <c r="BQ48" s="2883"/>
      <c r="BR48" s="2918"/>
      <c r="BS48" s="2883"/>
      <c r="BT48" s="2883"/>
      <c r="BU48" s="1102"/>
      <c r="BV48" s="3320"/>
      <c r="BW48" s="2883">
        <f>SUM(BK48:BS48)</f>
        <v>200</v>
      </c>
      <c r="BX48" s="2885">
        <f>AVERAGE(BK48:BV48)</f>
        <v>100</v>
      </c>
      <c r="BZ48" s="2860" t="e">
        <f>HLOOKUP($A$1,$AW$1:$BH$400,ROW(),0)-HLOOKUP($A$1,$AI$1:$AT$400,ROW(),0)</f>
        <v>#N/A</v>
      </c>
      <c r="CA48" s="2860">
        <f>BJ48-AV48</f>
        <v>159.83333333333334</v>
      </c>
      <c r="CB48" s="2881" t="e">
        <f>HLOOKUP($A$1,$AW$1:$BH$400,ROW(),0)-SUM(AI48:AJ48)</f>
        <v>#N/A</v>
      </c>
    </row>
    <row r="49" spans="1:80" ht="17.05" hidden="1" customHeight="1" x14ac:dyDescent="0.55000000000000004">
      <c r="A49" s="7134"/>
      <c r="B49" s="7135"/>
      <c r="C49" s="681"/>
      <c r="D49" s="681" t="s">
        <v>55</v>
      </c>
      <c r="E49" s="3308">
        <v>14461</v>
      </c>
      <c r="F49" s="2921">
        <v>14447</v>
      </c>
      <c r="G49" s="2922">
        <v>15239</v>
      </c>
      <c r="H49" s="2922">
        <v>13545</v>
      </c>
      <c r="I49" s="2922">
        <v>14283</v>
      </c>
      <c r="J49" s="2922">
        <v>13683</v>
      </c>
      <c r="K49" s="2922">
        <v>15929</v>
      </c>
      <c r="L49" s="2922">
        <v>12786</v>
      </c>
      <c r="M49" s="2922">
        <v>20666</v>
      </c>
      <c r="N49" s="2922">
        <v>12024</v>
      </c>
      <c r="O49" s="2922">
        <v>20582</v>
      </c>
      <c r="P49" s="2922">
        <v>13254</v>
      </c>
      <c r="Q49" s="2922">
        <v>10998</v>
      </c>
      <c r="R49" s="2922">
        <f t="shared" si="208"/>
        <v>177436</v>
      </c>
      <c r="S49" s="2922">
        <f t="shared" si="209"/>
        <v>14786.333333333334</v>
      </c>
      <c r="T49" s="2921"/>
      <c r="U49" s="2922"/>
      <c r="V49" s="2922"/>
      <c r="W49" s="2922"/>
      <c r="X49" s="2922"/>
      <c r="Y49" s="2922"/>
      <c r="Z49" s="1102"/>
      <c r="AA49" s="1102"/>
      <c r="AB49" s="1102"/>
      <c r="AC49" s="1102"/>
      <c r="AD49" s="1102"/>
      <c r="AE49" s="1102"/>
      <c r="AF49" s="3319"/>
      <c r="AG49" s="3319"/>
      <c r="AH49" s="3319"/>
      <c r="AI49" s="3319"/>
      <c r="AJ49" s="3319"/>
      <c r="AK49" s="3319"/>
      <c r="AL49" s="3319"/>
      <c r="AM49" s="3319"/>
      <c r="AN49" s="3319"/>
      <c r="AO49" s="3319"/>
      <c r="AP49" s="3319"/>
      <c r="AQ49" s="3319"/>
      <c r="AR49" s="3319"/>
      <c r="AS49" s="3319"/>
      <c r="AT49" s="3319"/>
      <c r="AU49" s="3319"/>
      <c r="AV49" s="4501"/>
      <c r="AW49" s="2968">
        <v>68</v>
      </c>
      <c r="AX49" s="2883">
        <v>290</v>
      </c>
      <c r="AY49" s="2883">
        <v>80</v>
      </c>
      <c r="AZ49" s="1102">
        <v>79</v>
      </c>
      <c r="BA49" s="2883">
        <v>97</v>
      </c>
      <c r="BB49" s="2883">
        <v>73</v>
      </c>
      <c r="BC49" s="2883">
        <v>142</v>
      </c>
      <c r="BD49" s="2918">
        <v>75</v>
      </c>
      <c r="BE49" s="2883">
        <v>162</v>
      </c>
      <c r="BF49" s="2883">
        <v>152</v>
      </c>
      <c r="BG49" s="1102">
        <v>102</v>
      </c>
      <c r="BH49" s="3320">
        <v>62</v>
      </c>
      <c r="BI49" s="2883">
        <f>SUM(AW49:BF49)</f>
        <v>1218</v>
      </c>
      <c r="BJ49" s="2885">
        <f>AVERAGE(AW49:BH49)</f>
        <v>115.16666666666667</v>
      </c>
      <c r="BK49" s="1102">
        <v>159</v>
      </c>
      <c r="BL49" s="2883">
        <v>55</v>
      </c>
      <c r="BM49" s="2883"/>
      <c r="BN49" s="1102"/>
      <c r="BO49" s="2883"/>
      <c r="BP49" s="2883"/>
      <c r="BQ49" s="2883"/>
      <c r="BR49" s="2918"/>
      <c r="BS49" s="2883"/>
      <c r="BT49" s="2883"/>
      <c r="BU49" s="1102"/>
      <c r="BV49" s="3320"/>
      <c r="BW49" s="2883">
        <f>SUM(BK49:BT49)</f>
        <v>214</v>
      </c>
      <c r="BX49" s="2885">
        <f>AVERAGE(BK49:BV49)</f>
        <v>107</v>
      </c>
      <c r="BZ49" s="2860" t="e">
        <f>HLOOKUP($A$1,$AW$1:$BH$400,ROW(),0)-HLOOKUP($A$1,$AI$1:$AT$400,ROW(),0)</f>
        <v>#N/A</v>
      </c>
      <c r="CA49" s="2860">
        <f>BJ49-AV49</f>
        <v>115.16666666666667</v>
      </c>
      <c r="CB49" s="2881" t="e">
        <f>HLOOKUP($A$1,$AW$1:$BH$400,ROW(),0)-SUM(AI49:AJ49)</f>
        <v>#N/A</v>
      </c>
    </row>
    <row r="50" spans="1:80" ht="18" customHeight="1" x14ac:dyDescent="0.45">
      <c r="A50" s="7134"/>
      <c r="B50" s="7135"/>
      <c r="C50" s="681" t="s">
        <v>47</v>
      </c>
      <c r="D50" s="681"/>
      <c r="E50" s="3308">
        <v>6466</v>
      </c>
      <c r="F50" s="2921">
        <v>5594</v>
      </c>
      <c r="G50" s="2922">
        <v>4497</v>
      </c>
      <c r="H50" s="2922">
        <v>5342</v>
      </c>
      <c r="I50" s="2922">
        <v>4289</v>
      </c>
      <c r="J50" s="2922">
        <v>4393</v>
      </c>
      <c r="K50" s="2922">
        <v>4164</v>
      </c>
      <c r="L50" s="2922">
        <v>4258</v>
      </c>
      <c r="M50" s="2922">
        <v>4593</v>
      </c>
      <c r="N50" s="2922">
        <v>4084</v>
      </c>
      <c r="O50" s="2922">
        <v>4602</v>
      </c>
      <c r="P50" s="2922">
        <v>4325</v>
      </c>
      <c r="Q50" s="2922">
        <v>4931</v>
      </c>
      <c r="R50" s="2922">
        <f t="shared" si="208"/>
        <v>55072</v>
      </c>
      <c r="S50" s="2922">
        <f t="shared" si="209"/>
        <v>4589.333333333333</v>
      </c>
      <c r="T50" s="2921"/>
      <c r="U50" s="2922"/>
      <c r="V50" s="2922"/>
      <c r="W50" s="2922"/>
      <c r="X50" s="2922"/>
      <c r="Y50" s="2922"/>
      <c r="Z50" s="1102"/>
      <c r="AA50" s="1102"/>
      <c r="AB50" s="1102"/>
      <c r="AC50" s="1102"/>
      <c r="AD50" s="1102"/>
      <c r="AE50" s="1102"/>
      <c r="AF50" s="3319"/>
      <c r="AG50" s="3319"/>
      <c r="AH50" s="3319"/>
      <c r="AI50" s="3321">
        <v>412</v>
      </c>
      <c r="AJ50" s="3322">
        <v>365</v>
      </c>
      <c r="AK50" s="3322">
        <v>375</v>
      </c>
      <c r="AL50" s="3322">
        <v>360</v>
      </c>
      <c r="AM50" s="3322">
        <v>344</v>
      </c>
      <c r="AN50" s="3322">
        <v>327</v>
      </c>
      <c r="AO50" s="3322">
        <v>432</v>
      </c>
      <c r="AP50" s="3322">
        <v>338</v>
      </c>
      <c r="AQ50" s="3322">
        <v>333</v>
      </c>
      <c r="AR50" s="3322">
        <v>321</v>
      </c>
      <c r="AS50" s="3322">
        <v>295</v>
      </c>
      <c r="AT50" s="3322">
        <v>314</v>
      </c>
      <c r="AU50" s="2883">
        <f>SUM(AI50:AT50)</f>
        <v>4216</v>
      </c>
      <c r="AV50" s="2885">
        <f>AVERAGE(AI50:AQ50)</f>
        <v>365.11111111111109</v>
      </c>
      <c r="AW50" s="2968">
        <v>269</v>
      </c>
      <c r="AX50" s="2883">
        <v>388</v>
      </c>
      <c r="AY50" s="3322">
        <v>308</v>
      </c>
      <c r="AZ50" s="3322">
        <v>239</v>
      </c>
      <c r="BA50" s="3322">
        <v>212</v>
      </c>
      <c r="BB50" s="3322">
        <v>238</v>
      </c>
      <c r="BC50" s="2883">
        <v>290</v>
      </c>
      <c r="BD50" s="1102">
        <v>213</v>
      </c>
      <c r="BE50" s="2883">
        <v>287</v>
      </c>
      <c r="BF50" s="2883">
        <v>211</v>
      </c>
      <c r="BG50" s="1102">
        <v>192</v>
      </c>
      <c r="BH50" s="2883">
        <v>222</v>
      </c>
      <c r="BI50" s="2883">
        <f>SUM(AW50:BH50)</f>
        <v>3069</v>
      </c>
      <c r="BJ50" s="2885">
        <f>AVERAGE(AW50:BG50)</f>
        <v>258.81818181818181</v>
      </c>
      <c r="BK50" s="1102">
        <v>329</v>
      </c>
      <c r="BL50" s="2883">
        <v>0</v>
      </c>
      <c r="BM50" s="3323"/>
      <c r="BN50" s="3323"/>
      <c r="BO50" s="3323"/>
      <c r="BP50" s="3323"/>
      <c r="BQ50" s="2883"/>
      <c r="BR50" s="1102"/>
      <c r="BS50" s="2883"/>
      <c r="BT50" s="2883"/>
      <c r="BU50" s="1102"/>
      <c r="BV50" s="2883"/>
      <c r="BW50" s="2883">
        <f>SUM(BK50:BV50)</f>
        <v>329</v>
      </c>
      <c r="BX50" s="2885">
        <f>AVERAGE(BK50:BU50)</f>
        <v>164.5</v>
      </c>
      <c r="BZ50" s="2860" t="e">
        <f>HLOOKUP($A$1,$AW$1:$BH$400,ROW(),0)-HLOOKUP($A$1,$AI$1:$AT$400,ROW(),0)</f>
        <v>#N/A</v>
      </c>
      <c r="CA50" s="2860">
        <f>BJ50-AV50</f>
        <v>-106.29292929292927</v>
      </c>
      <c r="CB50" s="2881" t="e">
        <f>HLOOKUP($A$1,$AW$1:$BH$400,ROW(),0)-SUM(AI50:AJ50)</f>
        <v>#N/A</v>
      </c>
    </row>
    <row r="51" spans="1:80" ht="18" customHeight="1" x14ac:dyDescent="0.45">
      <c r="A51" s="7134"/>
      <c r="B51" s="7135"/>
      <c r="C51" s="681" t="s">
        <v>58</v>
      </c>
      <c r="D51" s="681"/>
      <c r="E51" s="3308"/>
      <c r="F51" s="2921">
        <v>568</v>
      </c>
      <c r="G51" s="2922">
        <v>255</v>
      </c>
      <c r="H51" s="2922">
        <v>1042</v>
      </c>
      <c r="I51" s="2922">
        <v>301</v>
      </c>
      <c r="J51" s="2922">
        <v>544</v>
      </c>
      <c r="K51" s="2922">
        <v>485</v>
      </c>
      <c r="L51" s="2922">
        <v>339</v>
      </c>
      <c r="M51" s="2922">
        <v>563</v>
      </c>
      <c r="N51" s="2922">
        <v>390</v>
      </c>
      <c r="O51" s="2922">
        <v>338</v>
      </c>
      <c r="P51" s="2922">
        <v>321</v>
      </c>
      <c r="Q51" s="2922">
        <v>1048</v>
      </c>
      <c r="R51" s="2922">
        <f t="shared" si="208"/>
        <v>6194</v>
      </c>
      <c r="S51" s="2922">
        <f t="shared" si="209"/>
        <v>516.16666666666663</v>
      </c>
      <c r="T51" s="2921"/>
      <c r="U51" s="2922"/>
      <c r="V51" s="2922"/>
      <c r="W51" s="2922"/>
      <c r="X51" s="2922"/>
      <c r="Y51" s="2922"/>
      <c r="Z51" s="1102"/>
      <c r="AA51" s="1102"/>
      <c r="AB51" s="1102"/>
      <c r="AC51" s="1102"/>
      <c r="AD51" s="1102"/>
      <c r="AE51" s="1102"/>
      <c r="AF51" s="3319"/>
      <c r="AG51" s="3319"/>
      <c r="AH51" s="3319"/>
      <c r="AI51" s="3321">
        <v>25</v>
      </c>
      <c r="AJ51" s="3322">
        <v>25</v>
      </c>
      <c r="AK51" s="3322">
        <v>33</v>
      </c>
      <c r="AL51" s="3322">
        <v>30</v>
      </c>
      <c r="AM51" s="3322">
        <v>48</v>
      </c>
      <c r="AN51" s="3322">
        <v>22</v>
      </c>
      <c r="AO51" s="3322">
        <v>38</v>
      </c>
      <c r="AP51" s="3322">
        <v>24</v>
      </c>
      <c r="AQ51" s="3322">
        <v>36</v>
      </c>
      <c r="AR51" s="3322">
        <v>18</v>
      </c>
      <c r="AS51" s="3322">
        <v>20</v>
      </c>
      <c r="AT51" s="3322">
        <v>38</v>
      </c>
      <c r="AU51" s="2883">
        <f>SUM(AI51:AT51)</f>
        <v>357</v>
      </c>
      <c r="AV51" s="2885">
        <f>AVERAGE(AI51:AQ51)</f>
        <v>31.222222222222221</v>
      </c>
      <c r="AW51" s="4508">
        <v>24</v>
      </c>
      <c r="AX51" s="2883">
        <v>15</v>
      </c>
      <c r="AY51" s="3322">
        <v>12</v>
      </c>
      <c r="AZ51" s="3322">
        <v>15</v>
      </c>
      <c r="BA51" s="3322">
        <v>21</v>
      </c>
      <c r="BB51" s="3322">
        <v>35</v>
      </c>
      <c r="BC51" s="2883">
        <v>13</v>
      </c>
      <c r="BD51" s="1102">
        <v>16</v>
      </c>
      <c r="BE51" s="2883">
        <v>21</v>
      </c>
      <c r="BF51" s="2883">
        <v>15</v>
      </c>
      <c r="BG51" s="1102">
        <v>6</v>
      </c>
      <c r="BH51" s="2883">
        <v>11</v>
      </c>
      <c r="BI51" s="2883">
        <f>SUM(AW51:BH51)</f>
        <v>204</v>
      </c>
      <c r="BJ51" s="2885">
        <f>AVERAGE(AW51:BG51)</f>
        <v>17.545454545454547</v>
      </c>
      <c r="BK51" s="3322">
        <v>25</v>
      </c>
      <c r="BL51" s="2883">
        <v>0</v>
      </c>
      <c r="BM51" s="3323"/>
      <c r="BN51" s="3323"/>
      <c r="BO51" s="3323"/>
      <c r="BP51" s="3323"/>
      <c r="BQ51" s="2883"/>
      <c r="BR51" s="1102"/>
      <c r="BS51" s="2883"/>
      <c r="BT51" s="2883"/>
      <c r="BU51" s="1102"/>
      <c r="BV51" s="2883"/>
      <c r="BW51" s="2883">
        <f>SUM(BK51:BV51)</f>
        <v>25</v>
      </c>
      <c r="BX51" s="2885">
        <f>AVERAGE(BK51:BU51)</f>
        <v>12.5</v>
      </c>
      <c r="BZ51" s="2860" t="e">
        <f>HLOOKUP($A$1,$AW$1:$BH$400,ROW(),0)-HLOOKUP($A$1,$AI$1:$AT$400,ROW(),0)</f>
        <v>#N/A</v>
      </c>
      <c r="CA51" s="2860">
        <f>BJ51-AV51</f>
        <v>-13.676767676767675</v>
      </c>
      <c r="CB51" s="2881" t="e">
        <f>HLOOKUP($A$1,$AW$1:$BH$400,ROW(),0)-SUM(AI51:AJ51)</f>
        <v>#N/A</v>
      </c>
    </row>
    <row r="52" spans="1:80" ht="18" customHeight="1" x14ac:dyDescent="0.45">
      <c r="A52" s="7134"/>
      <c r="B52" s="7135"/>
      <c r="C52" s="681" t="s">
        <v>48</v>
      </c>
      <c r="D52" s="681"/>
      <c r="E52" s="3308"/>
      <c r="F52" s="2921"/>
      <c r="G52" s="2922"/>
      <c r="H52" s="2922"/>
      <c r="I52" s="2922"/>
      <c r="J52" s="2922"/>
      <c r="K52" s="2922"/>
      <c r="L52" s="2922"/>
      <c r="M52" s="2922"/>
      <c r="N52" s="2922"/>
      <c r="O52" s="2922"/>
      <c r="P52" s="2922"/>
      <c r="Q52" s="2922"/>
      <c r="R52" s="2922">
        <f t="shared" si="208"/>
        <v>0</v>
      </c>
      <c r="S52" s="2922" t="e">
        <f t="shared" si="209"/>
        <v>#DIV/0!</v>
      </c>
      <c r="T52" s="2921"/>
      <c r="U52" s="2922"/>
      <c r="V52" s="2922"/>
      <c r="W52" s="2922"/>
      <c r="X52" s="2922"/>
      <c r="Y52" s="2922"/>
      <c r="Z52" s="1102"/>
      <c r="AA52" s="1102"/>
      <c r="AB52" s="1102"/>
      <c r="AC52" s="1102"/>
      <c r="AD52" s="1102"/>
      <c r="AE52" s="1102"/>
      <c r="AF52" s="3319"/>
      <c r="AG52" s="3319"/>
      <c r="AH52" s="3319"/>
      <c r="AI52" s="3321">
        <f>-(AI54-(AI47-AI50-AI53))</f>
        <v>0</v>
      </c>
      <c r="AJ52" s="2883">
        <v>597</v>
      </c>
      <c r="AK52" s="2883">
        <v>371</v>
      </c>
      <c r="AL52" s="2883">
        <v>406</v>
      </c>
      <c r="AM52" s="2883">
        <v>582</v>
      </c>
      <c r="AN52" s="2883">
        <v>423</v>
      </c>
      <c r="AO52" s="2883">
        <v>474</v>
      </c>
      <c r="AP52" s="2883">
        <v>460</v>
      </c>
      <c r="AQ52" s="2883">
        <v>449</v>
      </c>
      <c r="AR52" s="2883">
        <v>372</v>
      </c>
      <c r="AS52" s="2883">
        <v>455</v>
      </c>
      <c r="AT52" s="2883">
        <v>1011</v>
      </c>
      <c r="AU52" s="2883">
        <f>SUM(AI52:AT52)</f>
        <v>5600</v>
      </c>
      <c r="AV52" s="2885">
        <f>AVERAGE(AI52:AQ52)</f>
        <v>418</v>
      </c>
      <c r="AW52" s="4507">
        <f>-(AW54-(AW47-AW50-AW53))</f>
        <v>280</v>
      </c>
      <c r="AX52" s="2903">
        <f t="shared" ref="AX52:BL52" si="210">-(AX54-(AX47-AX50-AX53))</f>
        <v>342</v>
      </c>
      <c r="AY52" s="2903">
        <f t="shared" si="210"/>
        <v>516</v>
      </c>
      <c r="AZ52" s="2903">
        <f t="shared" si="210"/>
        <v>376</v>
      </c>
      <c r="BA52" s="2903">
        <f t="shared" si="210"/>
        <v>350</v>
      </c>
      <c r="BB52" s="2903">
        <f t="shared" si="210"/>
        <v>333</v>
      </c>
      <c r="BC52" s="2903">
        <f t="shared" si="210"/>
        <v>356</v>
      </c>
      <c r="BD52" s="2903">
        <f t="shared" si="210"/>
        <v>414</v>
      </c>
      <c r="BE52" s="2903">
        <f t="shared" si="210"/>
        <v>420</v>
      </c>
      <c r="BF52" s="2903">
        <f t="shared" si="210"/>
        <v>582</v>
      </c>
      <c r="BG52" s="2903">
        <f t="shared" si="210"/>
        <v>359</v>
      </c>
      <c r="BH52" s="2903">
        <f t="shared" si="210"/>
        <v>273</v>
      </c>
      <c r="BI52" s="2883">
        <f t="shared" si="210"/>
        <v>4601</v>
      </c>
      <c r="BJ52" s="2885">
        <f t="shared" si="210"/>
        <v>424.26515151515156</v>
      </c>
      <c r="BK52" s="2903">
        <f t="shared" si="210"/>
        <v>2768</v>
      </c>
      <c r="BL52" s="2903">
        <f t="shared" si="210"/>
        <v>283</v>
      </c>
      <c r="BM52" s="2903"/>
      <c r="BN52" s="2903"/>
      <c r="BO52" s="2903"/>
      <c r="BP52" s="2903"/>
      <c r="BQ52" s="2903"/>
      <c r="BR52" s="2903"/>
      <c r="BS52" s="2903"/>
      <c r="BT52" s="2903"/>
      <c r="BU52" s="2903"/>
      <c r="BV52" s="2903"/>
      <c r="BW52" s="2883">
        <f>SUM(BK52:BV52)</f>
        <v>3051</v>
      </c>
      <c r="BX52" s="2885">
        <f>AVERAGE(BK52:BU52)</f>
        <v>1525.5</v>
      </c>
      <c r="BZ52" s="2860" t="e">
        <f>HLOOKUP($A$1,$AW$1:$BH$400,ROW(),0)-HLOOKUP($A$1,$AI$1:$AT$400,ROW(),0)</f>
        <v>#N/A</v>
      </c>
      <c r="CA52" s="2860">
        <f>BJ52-AV52</f>
        <v>6.2651515151515582</v>
      </c>
      <c r="CB52" s="2881" t="e">
        <f>HLOOKUP($A$1,$AW$1:$BH$400,ROW(),0)-SUM(AI52:AJ52)</f>
        <v>#N/A</v>
      </c>
    </row>
    <row r="53" spans="1:80" ht="18" customHeight="1" x14ac:dyDescent="0.45">
      <c r="A53" s="7134"/>
      <c r="B53" s="7135"/>
      <c r="C53" s="681" t="s">
        <v>49</v>
      </c>
      <c r="D53" s="681"/>
      <c r="E53" s="3308"/>
      <c r="F53" s="2921"/>
      <c r="G53" s="2922"/>
      <c r="H53" s="2922"/>
      <c r="I53" s="2922"/>
      <c r="J53" s="2922">
        <v>9965</v>
      </c>
      <c r="K53" s="2922">
        <v>8567</v>
      </c>
      <c r="L53" s="2922">
        <v>9023</v>
      </c>
      <c r="M53" s="2922">
        <v>10343</v>
      </c>
      <c r="N53" s="2922">
        <v>8724</v>
      </c>
      <c r="O53" s="2922">
        <v>10850</v>
      </c>
      <c r="P53" s="2922">
        <v>9180</v>
      </c>
      <c r="Q53" s="2922">
        <v>8267</v>
      </c>
      <c r="R53" s="2922">
        <f t="shared" si="208"/>
        <v>74919</v>
      </c>
      <c r="S53" s="2922">
        <f t="shared" si="209"/>
        <v>9364.875</v>
      </c>
      <c r="T53" s="2921"/>
      <c r="U53" s="2922"/>
      <c r="V53" s="2922"/>
      <c r="W53" s="2922"/>
      <c r="X53" s="2922"/>
      <c r="Y53" s="2922"/>
      <c r="Z53" s="1102"/>
      <c r="AA53" s="1102"/>
      <c r="AB53" s="1102"/>
      <c r="AC53" s="1102"/>
      <c r="AD53" s="1102"/>
      <c r="AE53" s="1102"/>
      <c r="AF53" s="3319"/>
      <c r="AG53" s="3319"/>
      <c r="AH53" s="3319"/>
      <c r="AI53" s="3321">
        <v>80</v>
      </c>
      <c r="AJ53" s="3322">
        <v>73</v>
      </c>
      <c r="AK53" s="3322">
        <v>60</v>
      </c>
      <c r="AL53" s="3322">
        <v>39</v>
      </c>
      <c r="AM53" s="3322">
        <v>13</v>
      </c>
      <c r="AN53" s="3322">
        <v>19</v>
      </c>
      <c r="AO53" s="3322">
        <v>19</v>
      </c>
      <c r="AP53" s="3322">
        <v>-184</v>
      </c>
      <c r="AQ53" s="3322">
        <v>36</v>
      </c>
      <c r="AR53" s="3322">
        <v>86</v>
      </c>
      <c r="AS53" s="3322">
        <v>67</v>
      </c>
      <c r="AT53" s="3322">
        <v>-530</v>
      </c>
      <c r="AU53" s="2883">
        <f>SUM(AI53:AT53)</f>
        <v>-222</v>
      </c>
      <c r="AV53" s="2885">
        <f>AVERAGE(AI53:AQ53)</f>
        <v>17.222222222222221</v>
      </c>
      <c r="AW53" s="4508">
        <v>119</v>
      </c>
      <c r="AX53" s="2883">
        <v>137</v>
      </c>
      <c r="AY53" s="3322">
        <v>186</v>
      </c>
      <c r="AZ53" s="3322">
        <v>151</v>
      </c>
      <c r="BA53" s="3322">
        <v>382</v>
      </c>
      <c r="BB53" s="3322">
        <v>168</v>
      </c>
      <c r="BC53" s="2883">
        <v>191</v>
      </c>
      <c r="BD53" s="1102">
        <v>229</v>
      </c>
      <c r="BE53" s="2883">
        <v>253</v>
      </c>
      <c r="BF53" s="2883">
        <v>131</v>
      </c>
      <c r="BG53" s="2883">
        <v>330</v>
      </c>
      <c r="BH53" s="2883">
        <v>374</v>
      </c>
      <c r="BI53" s="2883">
        <f>SUM(AW53:BH53)</f>
        <v>2651</v>
      </c>
      <c r="BJ53" s="2885">
        <f>AVERAGE(AW53:BG53)</f>
        <v>207</v>
      </c>
      <c r="BK53" s="3322">
        <v>369</v>
      </c>
      <c r="BL53" s="2883">
        <v>336</v>
      </c>
      <c r="BM53" s="3323"/>
      <c r="BN53" s="3323"/>
      <c r="BO53" s="3323"/>
      <c r="BP53" s="3323"/>
      <c r="BQ53" s="2883"/>
      <c r="BR53" s="1102"/>
      <c r="BS53" s="2883"/>
      <c r="BT53" s="2883"/>
      <c r="BU53" s="2883"/>
      <c r="BV53" s="2883"/>
      <c r="BW53" s="2883">
        <f>SUM(BK53:BV53)</f>
        <v>705</v>
      </c>
      <c r="BX53" s="2885">
        <f>AVERAGE(BK53:BU53)</f>
        <v>352.5</v>
      </c>
      <c r="BZ53" s="2860" t="e">
        <f>HLOOKUP($A$1,$AW$1:$BH$400,ROW(),0)-HLOOKUP($A$1,$AI$1:$AT$400,ROW(),0)</f>
        <v>#N/A</v>
      </c>
      <c r="CA53" s="2860">
        <f>BJ53-AV53</f>
        <v>189.77777777777777</v>
      </c>
      <c r="CB53" s="2881" t="e">
        <f>HLOOKUP($A$1,$AW$1:$BH$400,ROW(),0)-SUM(AI53:AJ53)</f>
        <v>#N/A</v>
      </c>
    </row>
    <row r="54" spans="1:80" ht="18" customHeight="1" thickBot="1" x14ac:dyDescent="0.6">
      <c r="A54" s="7136"/>
      <c r="B54" s="7137"/>
      <c r="C54" s="2969" t="s">
        <v>50</v>
      </c>
      <c r="D54" s="2937"/>
      <c r="E54" s="2948"/>
      <c r="F54" s="2947">
        <f t="shared" ref="F54:Q54" si="211">F46-E46</f>
        <v>-14615</v>
      </c>
      <c r="G54" s="2948">
        <f t="shared" si="211"/>
        <v>-29442</v>
      </c>
      <c r="H54" s="2948">
        <f t="shared" si="211"/>
        <v>-1498</v>
      </c>
      <c r="I54" s="2948">
        <f t="shared" si="211"/>
        <v>-885</v>
      </c>
      <c r="J54" s="2948">
        <f t="shared" si="211"/>
        <v>-893</v>
      </c>
      <c r="K54" s="2948">
        <f t="shared" si="211"/>
        <v>22233</v>
      </c>
      <c r="L54" s="2948">
        <f t="shared" si="211"/>
        <v>-502</v>
      </c>
      <c r="M54" s="2948">
        <f t="shared" si="211"/>
        <v>988</v>
      </c>
      <c r="N54" s="2948">
        <f t="shared" si="211"/>
        <v>20468</v>
      </c>
      <c r="O54" s="2948">
        <f t="shared" si="211"/>
        <v>732</v>
      </c>
      <c r="P54" s="2948">
        <f t="shared" si="211"/>
        <v>296</v>
      </c>
      <c r="Q54" s="2948">
        <f t="shared" si="211"/>
        <v>11624</v>
      </c>
      <c r="R54" s="2948">
        <f t="shared" si="208"/>
        <v>8506</v>
      </c>
      <c r="S54" s="2948">
        <f t="shared" si="209"/>
        <v>708.83333333333337</v>
      </c>
      <c r="T54" s="2947"/>
      <c r="U54" s="2948"/>
      <c r="V54" s="2948"/>
      <c r="W54" s="2948"/>
      <c r="X54" s="2948"/>
      <c r="Y54" s="2948"/>
      <c r="Z54" s="2899"/>
      <c r="AA54" s="2899"/>
      <c r="AB54" s="2899"/>
      <c r="AC54" s="2899"/>
      <c r="AD54" s="2899"/>
      <c r="AE54" s="2899"/>
      <c r="AF54" s="3324"/>
      <c r="AG54" s="3324"/>
      <c r="AH54" s="3324"/>
      <c r="AI54" s="3325">
        <v>-302</v>
      </c>
      <c r="AJ54" s="2942">
        <v>-858</v>
      </c>
      <c r="AK54" s="2942">
        <v>-554</v>
      </c>
      <c r="AL54" s="2942">
        <v>-566</v>
      </c>
      <c r="AM54" s="2942">
        <v>-615</v>
      </c>
      <c r="AN54" s="2942">
        <v>-563</v>
      </c>
      <c r="AO54" s="2942">
        <v>-247</v>
      </c>
      <c r="AP54" s="2942">
        <v>-409</v>
      </c>
      <c r="AQ54" s="2942">
        <v>-567</v>
      </c>
      <c r="AR54" s="2942">
        <v>-562</v>
      </c>
      <c r="AS54" s="2942">
        <v>-672</v>
      </c>
      <c r="AT54" s="2942">
        <v>-685</v>
      </c>
      <c r="AU54" s="2942">
        <f>SUM(AI54:AT54)</f>
        <v>-6600</v>
      </c>
      <c r="AV54" s="2943">
        <f>AVERAGE(AI54:AT54)</f>
        <v>-550</v>
      </c>
      <c r="AW54" s="4505">
        <f>AW46-AT46</f>
        <v>-514</v>
      </c>
      <c r="AX54" s="2896">
        <f>AX46-AW46</f>
        <v>-468</v>
      </c>
      <c r="AY54" s="2896">
        <f t="shared" ref="AY54:BB54" si="212">AY46-AX46</f>
        <v>-841</v>
      </c>
      <c r="AZ54" s="2896">
        <f t="shared" si="212"/>
        <v>-479</v>
      </c>
      <c r="BA54" s="2896">
        <f t="shared" si="212"/>
        <v>-514</v>
      </c>
      <c r="BB54" s="2896">
        <f t="shared" si="212"/>
        <v>-548</v>
      </c>
      <c r="BC54" s="2896">
        <f t="shared" ref="BC54" si="213">BC46-BB46</f>
        <v>-221</v>
      </c>
      <c r="BD54" s="2896">
        <f t="shared" ref="BD54" si="214">BD46-BC46</f>
        <v>-664</v>
      </c>
      <c r="BE54" s="2942">
        <v>-653</v>
      </c>
      <c r="BF54" s="2942">
        <f>BF46-BE46</f>
        <v>-665</v>
      </c>
      <c r="BG54" s="2942">
        <f t="shared" ref="BG54:BH54" si="215">BG46-BF46</f>
        <v>-688</v>
      </c>
      <c r="BH54" s="2942">
        <f t="shared" si="215"/>
        <v>-766</v>
      </c>
      <c r="BI54" s="2942">
        <f>SUM(AW54:BH54)</f>
        <v>-7021</v>
      </c>
      <c r="BJ54" s="2943">
        <f>AVERAGE(AW54:BH54)</f>
        <v>-585.08333333333337</v>
      </c>
      <c r="BK54" s="2895">
        <v>-3199</v>
      </c>
      <c r="BL54" s="2896">
        <v>-472</v>
      </c>
      <c r="BM54" s="2896"/>
      <c r="BN54" s="2896"/>
      <c r="BO54" s="2896"/>
      <c r="BP54" s="2896"/>
      <c r="BQ54" s="2896"/>
      <c r="BR54" s="2896"/>
      <c r="BS54" s="2942"/>
      <c r="BT54" s="2942"/>
      <c r="BU54" s="2942"/>
      <c r="BV54" s="2942"/>
      <c r="BW54" s="2942">
        <f>SUM(BK54:BV54)</f>
        <v>-3671</v>
      </c>
      <c r="BX54" s="2943">
        <f>AVERAGE(BK54:BV54)</f>
        <v>-1835.5</v>
      </c>
      <c r="BZ54" s="2860" t="e">
        <f>HLOOKUP($A$1,$AW$1:$BH$400,ROW(),0)-HLOOKUP($A$1,$AI$1:$AT$400,ROW(),0)</f>
        <v>#N/A</v>
      </c>
      <c r="CA54" s="2860">
        <f>BJ54-AV54</f>
        <v>-35.083333333333371</v>
      </c>
      <c r="CB54" s="2881" t="e">
        <f>HLOOKUP($A$1,$AW$1:$BH$400,ROW(),0)-SUM(AI54:AJ54)</f>
        <v>#N/A</v>
      </c>
    </row>
    <row r="55" spans="1:80" ht="18" customHeight="1" x14ac:dyDescent="0.55000000000000004">
      <c r="A55" s="7169" t="s">
        <v>1105</v>
      </c>
      <c r="B55" s="7170"/>
      <c r="C55" s="3326" t="s">
        <v>43</v>
      </c>
      <c r="D55" s="988"/>
      <c r="E55" s="2960">
        <v>749884</v>
      </c>
      <c r="F55" s="2959">
        <v>748847</v>
      </c>
      <c r="G55" s="2960">
        <v>753014</v>
      </c>
      <c r="H55" s="2960">
        <v>755759</v>
      </c>
      <c r="I55" s="2960">
        <v>761063</v>
      </c>
      <c r="J55" s="2960">
        <v>765856</v>
      </c>
      <c r="K55" s="2960">
        <v>770588</v>
      </c>
      <c r="L55" s="2960">
        <v>773559</v>
      </c>
      <c r="M55" s="2960">
        <v>767192</v>
      </c>
      <c r="N55" s="2960">
        <v>764181</v>
      </c>
      <c r="O55" s="2960">
        <v>767832</v>
      </c>
      <c r="P55" s="2960">
        <v>768365</v>
      </c>
      <c r="Q55" s="2960">
        <v>766636</v>
      </c>
      <c r="R55" s="2960">
        <f>Q55</f>
        <v>766636</v>
      </c>
      <c r="S55" s="2960">
        <f t="shared" si="195"/>
        <v>763574.33333333337</v>
      </c>
      <c r="T55" s="2959">
        <v>766247</v>
      </c>
      <c r="U55" s="2960">
        <v>766640</v>
      </c>
      <c r="V55" s="2960">
        <v>764875</v>
      </c>
      <c r="W55" s="2960">
        <v>763706</v>
      </c>
      <c r="X55" s="2960">
        <v>761365</v>
      </c>
      <c r="Y55" s="2960">
        <v>758681</v>
      </c>
      <c r="Z55" s="2961">
        <v>757611</v>
      </c>
      <c r="AA55" s="2961">
        <v>755174</v>
      </c>
      <c r="AB55" s="2961">
        <v>754842</v>
      </c>
      <c r="AC55" s="2961">
        <v>748949</v>
      </c>
      <c r="AD55" s="2961">
        <v>746076</v>
      </c>
      <c r="AE55" s="2961">
        <v>741959</v>
      </c>
      <c r="AF55" s="2962">
        <v>741959</v>
      </c>
      <c r="AG55" s="2962">
        <f>AVERAGE(T55:AE55)</f>
        <v>757177.08333333337</v>
      </c>
      <c r="AH55" s="2962"/>
      <c r="AI55" s="2963">
        <v>738128</v>
      </c>
      <c r="AJ55" s="2962">
        <v>732399</v>
      </c>
      <c r="AK55" s="2962">
        <v>723831</v>
      </c>
      <c r="AL55" s="2962">
        <v>715204</v>
      </c>
      <c r="AM55" s="2962">
        <v>705819</v>
      </c>
      <c r="AN55" s="2962">
        <v>698238</v>
      </c>
      <c r="AO55" s="2962">
        <v>686150</v>
      </c>
      <c r="AP55" s="2962">
        <v>670865</v>
      </c>
      <c r="AQ55" s="2962">
        <v>652608</v>
      </c>
      <c r="AR55" s="2962">
        <v>634016</v>
      </c>
      <c r="AS55" s="2962">
        <v>615884</v>
      </c>
      <c r="AT55" s="2961">
        <v>598559</v>
      </c>
      <c r="AU55" s="2962">
        <f>INDEX($AI55:$AT55, 1, MATCH(0, $AI55:$AT55, -1))</f>
        <v>598559</v>
      </c>
      <c r="AV55" s="2964">
        <f>AVERAGE(AI55:AT55)</f>
        <v>680975.08333333337</v>
      </c>
      <c r="AW55" s="3302">
        <v>582656</v>
      </c>
      <c r="AX55" s="2962">
        <v>559407</v>
      </c>
      <c r="AY55" s="2962">
        <v>541478</v>
      </c>
      <c r="AZ55" s="2962">
        <v>523578</v>
      </c>
      <c r="BA55" s="2962">
        <v>505468</v>
      </c>
      <c r="BB55" s="2962">
        <v>486487</v>
      </c>
      <c r="BC55" s="2962">
        <v>461592</v>
      </c>
      <c r="BD55" s="2962">
        <v>440697</v>
      </c>
      <c r="BE55" s="2962">
        <v>420214</v>
      </c>
      <c r="BF55" s="2962">
        <v>401593</v>
      </c>
      <c r="BG55" s="2962">
        <v>384875</v>
      </c>
      <c r="BH55" s="2962">
        <v>367479</v>
      </c>
      <c r="BI55" s="2961">
        <f>INDEX($AW55:$BH55, 1, MATCH(0, $AW55:$BH55, -1))</f>
        <v>367479</v>
      </c>
      <c r="BJ55" s="2964">
        <f>AVERAGE(AW55:BH55)</f>
        <v>472960.33333333331</v>
      </c>
      <c r="BK55" s="2961">
        <v>340383</v>
      </c>
      <c r="BL55" s="2962">
        <v>325994</v>
      </c>
      <c r="BM55" s="2962"/>
      <c r="BN55" s="2962"/>
      <c r="BO55" s="2962"/>
      <c r="BP55" s="2962"/>
      <c r="BQ55" s="2962"/>
      <c r="BR55" s="2962"/>
      <c r="BS55" s="2962"/>
      <c r="BT55" s="2962"/>
      <c r="BU55" s="2962"/>
      <c r="BV55" s="2962"/>
      <c r="BW55" s="2961">
        <f>INDEX($AW55:$BH55, 1, MATCH(0, $AW55:$BH55, -1))</f>
        <v>367479</v>
      </c>
      <c r="BX55" s="2964">
        <f>AVERAGE(BK55:BV55)</f>
        <v>333188.5</v>
      </c>
      <c r="BZ55" s="2860" t="e">
        <f>HLOOKUP($A$1,$AW$1:$BH$400,ROW(),0)-HLOOKUP($A$1,$AI$1:$AT$400,ROW(),0)</f>
        <v>#N/A</v>
      </c>
      <c r="CA55" s="2860">
        <f>BJ55-AV55</f>
        <v>-208014.75000000006</v>
      </c>
      <c r="CB55" s="2861">
        <f>AX55-AJ55</f>
        <v>-172992</v>
      </c>
    </row>
    <row r="56" spans="1:80" ht="18" customHeight="1" x14ac:dyDescent="0.55000000000000004">
      <c r="A56" s="7134"/>
      <c r="B56" s="7135"/>
      <c r="C56" s="1453" t="s">
        <v>56</v>
      </c>
      <c r="D56" s="1347"/>
      <c r="E56" s="2924">
        <v>22508</v>
      </c>
      <c r="F56" s="2923">
        <v>23473</v>
      </c>
      <c r="G56" s="2924">
        <v>28578</v>
      </c>
      <c r="H56" s="2924">
        <v>25270</v>
      </c>
      <c r="I56" s="2924">
        <v>26700</v>
      </c>
      <c r="J56" s="2924">
        <v>27908</v>
      </c>
      <c r="K56" s="2924">
        <v>25803</v>
      </c>
      <c r="L56" s="2924">
        <v>23884</v>
      </c>
      <c r="M56" s="2924">
        <v>27011</v>
      </c>
      <c r="N56" s="2924">
        <v>19221</v>
      </c>
      <c r="O56" s="2924">
        <v>27425</v>
      </c>
      <c r="P56" s="2924">
        <v>20517</v>
      </c>
      <c r="Q56" s="2924">
        <v>17662</v>
      </c>
      <c r="R56" s="2924">
        <f t="shared" si="192"/>
        <v>293452</v>
      </c>
      <c r="S56" s="2924">
        <f t="shared" si="195"/>
        <v>24454.333333333332</v>
      </c>
      <c r="T56" s="2923">
        <v>19123</v>
      </c>
      <c r="U56" s="2924">
        <v>22637</v>
      </c>
      <c r="V56" s="2924">
        <v>18126</v>
      </c>
      <c r="W56" s="2924">
        <v>17598</v>
      </c>
      <c r="X56" s="2924">
        <v>17909</v>
      </c>
      <c r="Y56" s="2924">
        <v>16554</v>
      </c>
      <c r="Z56" s="2888">
        <v>18859</v>
      </c>
      <c r="AA56" s="2888">
        <v>24418</v>
      </c>
      <c r="AB56" s="2888">
        <v>17028</v>
      </c>
      <c r="AC56" s="2888">
        <v>22675</v>
      </c>
      <c r="AD56" s="2888">
        <v>16998</v>
      </c>
      <c r="AE56" s="2888">
        <v>14092</v>
      </c>
      <c r="AF56" s="2889">
        <f>SUM(T56:AE56)</f>
        <v>226017</v>
      </c>
      <c r="AG56" s="2889">
        <f>AVERAGE(T56:AE56)</f>
        <v>18834.75</v>
      </c>
      <c r="AH56" s="2889"/>
      <c r="AI56" s="2890">
        <v>21687</v>
      </c>
      <c r="AJ56" s="2889">
        <v>17436</v>
      </c>
      <c r="AK56" s="2889">
        <v>19339</v>
      </c>
      <c r="AL56" s="2889">
        <v>19225</v>
      </c>
      <c r="AM56" s="2889">
        <v>20961</v>
      </c>
      <c r="AN56" s="2889">
        <v>19410</v>
      </c>
      <c r="AO56" s="2889">
        <v>23051</v>
      </c>
      <c r="AP56" s="2889">
        <v>18664</v>
      </c>
      <c r="AQ56" s="2889">
        <v>21144</v>
      </c>
      <c r="AR56" s="2889">
        <v>20713</v>
      </c>
      <c r="AS56" s="2889">
        <v>21064</v>
      </c>
      <c r="AT56" s="2888">
        <v>17789</v>
      </c>
      <c r="AU56" s="2889">
        <f>SUM(AI56:AT56)</f>
        <v>240483</v>
      </c>
      <c r="AV56" s="2891">
        <f>AVERAGE(AI56:AT56)</f>
        <v>20040.25</v>
      </c>
      <c r="AW56" s="3414">
        <v>17239</v>
      </c>
      <c r="AX56" s="2889">
        <v>25984</v>
      </c>
      <c r="AY56" s="2889">
        <v>19298</v>
      </c>
      <c r="AZ56" s="2889">
        <v>24280</v>
      </c>
      <c r="BA56" s="2889">
        <f>BA57+BA58</f>
        <v>36457</v>
      </c>
      <c r="BB56" s="2889">
        <f t="shared" ref="BB56:BH56" si="216">BB57+BB58</f>
        <v>28356</v>
      </c>
      <c r="BC56" s="2889">
        <v>32840</v>
      </c>
      <c r="BD56" s="2889">
        <v>24783</v>
      </c>
      <c r="BE56" s="2889">
        <v>27158</v>
      </c>
      <c r="BF56" s="2889">
        <f>BF57+BF58</f>
        <v>26854</v>
      </c>
      <c r="BG56" s="2889">
        <f t="shared" si="216"/>
        <v>22592</v>
      </c>
      <c r="BH56" s="2889">
        <f t="shared" si="216"/>
        <v>24140</v>
      </c>
      <c r="BI56" s="2889">
        <f>SUM(AW56:BH56)</f>
        <v>309981</v>
      </c>
      <c r="BJ56" s="2891">
        <f>AVERAGE(AW56:BE56)</f>
        <v>26266.111111111109</v>
      </c>
      <c r="BK56" s="2888">
        <v>0</v>
      </c>
      <c r="BL56" s="2889">
        <v>0</v>
      </c>
      <c r="BM56" s="2889"/>
      <c r="BN56" s="2889"/>
      <c r="BO56" s="2889"/>
      <c r="BP56" s="2889"/>
      <c r="BQ56" s="2889"/>
      <c r="BR56" s="2889"/>
      <c r="BS56" s="2889"/>
      <c r="BT56" s="2889"/>
      <c r="BU56" s="2889"/>
      <c r="BV56" s="2889"/>
      <c r="BW56" s="2889">
        <f>SUM(BK56:BV56)</f>
        <v>0</v>
      </c>
      <c r="BX56" s="2891">
        <f>AVERAGE(BK56:BS56)</f>
        <v>0</v>
      </c>
      <c r="BZ56" s="2860" t="e">
        <f>HLOOKUP($A$1,$AW$1:$BH$400,ROW(),0)-HLOOKUP($A$1,$AI$1:$AT$400,ROW(),0)</f>
        <v>#N/A</v>
      </c>
      <c r="CA56" s="2860">
        <f>BJ56-AV56</f>
        <v>6225.8611111111095</v>
      </c>
      <c r="CB56" s="2881" t="e">
        <f>HLOOKUP($A$1,$AW$1:$BH$400,ROW(),0)-SUM(AI56:AJ56)</f>
        <v>#N/A</v>
      </c>
    </row>
    <row r="57" spans="1:80" ht="18" hidden="1" customHeight="1" x14ac:dyDescent="0.55000000000000004">
      <c r="A57" s="7134"/>
      <c r="B57" s="7135"/>
      <c r="C57" s="681"/>
      <c r="D57" s="681" t="s">
        <v>46</v>
      </c>
      <c r="E57" s="3308">
        <v>10838</v>
      </c>
      <c r="F57" s="2921">
        <v>11180</v>
      </c>
      <c r="G57" s="2922">
        <v>10428</v>
      </c>
      <c r="H57" s="2922">
        <v>11202</v>
      </c>
      <c r="I57" s="2922">
        <v>9711</v>
      </c>
      <c r="J57" s="2922">
        <v>9799</v>
      </c>
      <c r="K57" s="2922">
        <v>8943</v>
      </c>
      <c r="L57" s="2922">
        <v>8292</v>
      </c>
      <c r="M57" s="2922">
        <v>7897</v>
      </c>
      <c r="N57" s="2922">
        <v>7552</v>
      </c>
      <c r="O57" s="2922">
        <v>10337</v>
      </c>
      <c r="P57" s="2922">
        <v>8769</v>
      </c>
      <c r="Q57" s="2922">
        <v>7260</v>
      </c>
      <c r="R57" s="2922">
        <f t="shared" si="192"/>
        <v>111370</v>
      </c>
      <c r="S57" s="2922">
        <f t="shared" si="195"/>
        <v>9280.8333333333339</v>
      </c>
      <c r="T57" s="2921">
        <v>6791</v>
      </c>
      <c r="U57" s="2922">
        <v>7315</v>
      </c>
      <c r="V57" s="2922">
        <v>7375</v>
      </c>
      <c r="W57" s="2922">
        <v>7020</v>
      </c>
      <c r="X57" s="2922">
        <v>8635</v>
      </c>
      <c r="Y57" s="2922">
        <v>8142</v>
      </c>
      <c r="Z57" s="1102">
        <v>10233</v>
      </c>
      <c r="AA57" s="1102">
        <v>9653</v>
      </c>
      <c r="AB57" s="1102">
        <v>9475</v>
      </c>
      <c r="AC57" s="1102">
        <v>10045</v>
      </c>
      <c r="AD57" s="1102">
        <v>8647</v>
      </c>
      <c r="AE57" s="1102">
        <v>7335</v>
      </c>
      <c r="AF57" s="2883">
        <f t="shared" ref="AF57:AF64" si="217">SUM(T57:AE57)</f>
        <v>100666</v>
      </c>
      <c r="AG57" s="2883">
        <f t="shared" ref="AG57:AG64" si="218">AVERAGE(T57:AE57)</f>
        <v>8388.8333333333339</v>
      </c>
      <c r="AH57" s="2883"/>
      <c r="AI57" s="2884">
        <v>8205</v>
      </c>
      <c r="AJ57" s="2883">
        <v>8309</v>
      </c>
      <c r="AK57" s="2883">
        <v>9958</v>
      </c>
      <c r="AL57" s="2883">
        <v>10485</v>
      </c>
      <c r="AM57" s="2883">
        <v>12911</v>
      </c>
      <c r="AN57" s="2883">
        <v>11909</v>
      </c>
      <c r="AO57" s="2883">
        <v>10832</v>
      </c>
      <c r="AP57" s="2883">
        <v>9383</v>
      </c>
      <c r="AQ57" s="2883">
        <v>9138</v>
      </c>
      <c r="AR57" s="2883">
        <v>10132</v>
      </c>
      <c r="AS57" s="2883">
        <v>11663</v>
      </c>
      <c r="AT57" s="1102"/>
      <c r="AU57" s="2883">
        <f>SUM(AI57:AQ57)</f>
        <v>91130</v>
      </c>
      <c r="AV57" s="2885">
        <f>AVERAGE(AI57:AT57)</f>
        <v>10265.90909090909</v>
      </c>
      <c r="AW57" s="4509">
        <v>9320</v>
      </c>
      <c r="AX57" s="2918">
        <v>11071</v>
      </c>
      <c r="AY57" s="2918">
        <v>9617</v>
      </c>
      <c r="AZ57" s="2918">
        <v>13587</v>
      </c>
      <c r="BA57" s="2918">
        <v>24769</v>
      </c>
      <c r="BB57" s="2918">
        <v>16472</v>
      </c>
      <c r="BC57" s="2918">
        <v>16993</v>
      </c>
      <c r="BD57" s="2918">
        <v>9300</v>
      </c>
      <c r="BE57" s="2918">
        <v>11692</v>
      </c>
      <c r="BF57" s="2918">
        <v>10771</v>
      </c>
      <c r="BG57" s="2918">
        <v>10180</v>
      </c>
      <c r="BH57" s="2918">
        <v>11032</v>
      </c>
      <c r="BI57" s="2883">
        <f>SUM(AW57:BE57)</f>
        <v>122821</v>
      </c>
      <c r="BJ57" s="2885">
        <f>AVERAGE(AW57:BH57)</f>
        <v>12900.333333333334</v>
      </c>
      <c r="BK57" s="2918">
        <v>0</v>
      </c>
      <c r="BL57" s="2918">
        <v>0</v>
      </c>
      <c r="BM57" s="2918"/>
      <c r="BN57" s="2918"/>
      <c r="BO57" s="2918"/>
      <c r="BP57" s="2918"/>
      <c r="BQ57" s="2918"/>
      <c r="BR57" s="2918"/>
      <c r="BS57" s="2918"/>
      <c r="BT57" s="2918"/>
      <c r="BU57" s="2918"/>
      <c r="BV57" s="2918"/>
      <c r="BW57" s="2883">
        <f>SUM(BK57:BS57)</f>
        <v>0</v>
      </c>
      <c r="BX57" s="2885">
        <f>AVERAGE(BK57:BV57)</f>
        <v>0</v>
      </c>
      <c r="BZ57" s="2860" t="e">
        <f>HLOOKUP($A$1,$AW$1:$BH$400,ROW(),0)-HLOOKUP($A$1,$AI$1:$AT$400,ROW(),0)</f>
        <v>#N/A</v>
      </c>
      <c r="CA57" s="2860">
        <f>BJ57-AV57</f>
        <v>2634.4242424242439</v>
      </c>
      <c r="CB57" s="2881" t="e">
        <f>HLOOKUP($A$1,$AW$1:$BH$400,ROW(),0)-SUM(AI57:AJ57)</f>
        <v>#N/A</v>
      </c>
    </row>
    <row r="58" spans="1:80" ht="18" hidden="1" customHeight="1" x14ac:dyDescent="0.55000000000000004">
      <c r="A58" s="7134"/>
      <c r="B58" s="7135"/>
      <c r="C58" s="681"/>
      <c r="D58" s="681" t="s">
        <v>55</v>
      </c>
      <c r="E58" s="3308">
        <v>11670</v>
      </c>
      <c r="F58" s="2921">
        <v>12293</v>
      </c>
      <c r="G58" s="2922">
        <v>18150</v>
      </c>
      <c r="H58" s="2922">
        <v>14068</v>
      </c>
      <c r="I58" s="2922">
        <v>16989</v>
      </c>
      <c r="J58" s="2922">
        <v>18109</v>
      </c>
      <c r="K58" s="2922">
        <v>16860</v>
      </c>
      <c r="L58" s="2922">
        <v>15592</v>
      </c>
      <c r="M58" s="2922">
        <v>19114</v>
      </c>
      <c r="N58" s="2922">
        <v>11669</v>
      </c>
      <c r="O58" s="2922">
        <v>17088</v>
      </c>
      <c r="P58" s="2922">
        <v>11748</v>
      </c>
      <c r="Q58" s="2922">
        <v>10402</v>
      </c>
      <c r="R58" s="2922">
        <f t="shared" si="192"/>
        <v>182082</v>
      </c>
      <c r="S58" s="2922">
        <f t="shared" si="195"/>
        <v>15173.5</v>
      </c>
      <c r="T58" s="2921">
        <v>12332</v>
      </c>
      <c r="U58" s="2922">
        <v>15322</v>
      </c>
      <c r="V58" s="2922">
        <v>10752</v>
      </c>
      <c r="W58" s="2922">
        <v>10578</v>
      </c>
      <c r="X58" s="2922">
        <v>9274</v>
      </c>
      <c r="Y58" s="2922">
        <v>8412</v>
      </c>
      <c r="Z58" s="1102">
        <v>8626</v>
      </c>
      <c r="AA58" s="1102">
        <v>14765</v>
      </c>
      <c r="AB58" s="1102">
        <v>7553</v>
      </c>
      <c r="AC58" s="1102">
        <v>12631</v>
      </c>
      <c r="AD58" s="1102">
        <v>8351</v>
      </c>
      <c r="AE58" s="1102">
        <v>6759</v>
      </c>
      <c r="AF58" s="2883">
        <f t="shared" si="217"/>
        <v>125355</v>
      </c>
      <c r="AG58" s="2883">
        <f t="shared" si="218"/>
        <v>10446.25</v>
      </c>
      <c r="AH58" s="2883"/>
      <c r="AI58" s="2884">
        <v>12676</v>
      </c>
      <c r="AJ58" s="2883">
        <v>8376</v>
      </c>
      <c r="AK58" s="2883">
        <v>9381</v>
      </c>
      <c r="AL58" s="2883">
        <v>8740</v>
      </c>
      <c r="AM58" s="2883">
        <v>8050</v>
      </c>
      <c r="AN58" s="2883">
        <v>7502</v>
      </c>
      <c r="AO58" s="2883">
        <v>12219</v>
      </c>
      <c r="AP58" s="2883">
        <v>9282</v>
      </c>
      <c r="AQ58" s="2883">
        <v>12007</v>
      </c>
      <c r="AR58" s="2883">
        <v>10581</v>
      </c>
      <c r="AS58" s="2883">
        <v>9401</v>
      </c>
      <c r="AT58" s="1102"/>
      <c r="AU58" s="2883">
        <f>SUM(AI58:AQ58)</f>
        <v>88233</v>
      </c>
      <c r="AV58" s="2885">
        <f>AVERAGE(AI58:AT58)</f>
        <v>9837.7272727272721</v>
      </c>
      <c r="AW58" s="4509">
        <v>7919</v>
      </c>
      <c r="AX58" s="2918">
        <v>14913</v>
      </c>
      <c r="AY58" s="2918">
        <v>9681</v>
      </c>
      <c r="AZ58" s="2918">
        <v>10693</v>
      </c>
      <c r="BA58" s="2918">
        <v>11688</v>
      </c>
      <c r="BB58" s="2918">
        <v>11884</v>
      </c>
      <c r="BC58" s="2918">
        <v>15839</v>
      </c>
      <c r="BD58" s="2918">
        <v>15483</v>
      </c>
      <c r="BE58" s="2918">
        <v>15466</v>
      </c>
      <c r="BF58" s="2918">
        <v>16083</v>
      </c>
      <c r="BG58" s="2918">
        <v>12412</v>
      </c>
      <c r="BH58" s="2918">
        <v>13108</v>
      </c>
      <c r="BI58" s="2883">
        <f>SUM(AW58:BE58)</f>
        <v>113566</v>
      </c>
      <c r="BJ58" s="2885">
        <f>AVERAGE(AW58:BH58)</f>
        <v>12930.75</v>
      </c>
      <c r="BK58" s="2918">
        <v>0</v>
      </c>
      <c r="BL58" s="2918">
        <v>0</v>
      </c>
      <c r="BM58" s="2918"/>
      <c r="BN58" s="2918"/>
      <c r="BO58" s="2918"/>
      <c r="BP58" s="2918"/>
      <c r="BQ58" s="2918"/>
      <c r="BR58" s="2918"/>
      <c r="BS58" s="2918"/>
      <c r="BT58" s="2918"/>
      <c r="BU58" s="2918"/>
      <c r="BV58" s="2918"/>
      <c r="BW58" s="2883">
        <f>SUM(BK58:BS58)</f>
        <v>0</v>
      </c>
      <c r="BX58" s="2885">
        <f>AVERAGE(BK58:BV58)</f>
        <v>0</v>
      </c>
      <c r="BZ58" s="2860" t="e">
        <f>HLOOKUP($A$1,$AW$1:$BH$400,ROW(),0)-HLOOKUP($A$1,$AI$1:$AT$400,ROW(),0)</f>
        <v>#N/A</v>
      </c>
      <c r="CA58" s="2860">
        <f>BJ58-AV58</f>
        <v>3093.0227272727279</v>
      </c>
      <c r="CB58" s="2881" t="e">
        <f>HLOOKUP($A$1,$AW$1:$BH$400,ROW(),0)-SUM(AI58:AJ58)</f>
        <v>#N/A</v>
      </c>
    </row>
    <row r="59" spans="1:80" ht="18" customHeight="1" x14ac:dyDescent="0.55000000000000004">
      <c r="A59" s="7134"/>
      <c r="B59" s="7135"/>
      <c r="C59" s="681" t="s">
        <v>47</v>
      </c>
      <c r="D59" s="681"/>
      <c r="E59" s="3308">
        <v>11399</v>
      </c>
      <c r="F59" s="2921">
        <v>10669</v>
      </c>
      <c r="G59" s="2922">
        <v>8216</v>
      </c>
      <c r="H59" s="2922">
        <v>8707</v>
      </c>
      <c r="I59" s="2922">
        <v>7210</v>
      </c>
      <c r="J59" s="2922">
        <v>7794</v>
      </c>
      <c r="K59" s="2922">
        <v>7101</v>
      </c>
      <c r="L59" s="2922">
        <v>6617</v>
      </c>
      <c r="M59" s="2922">
        <v>7059</v>
      </c>
      <c r="N59" s="2922">
        <v>6058</v>
      </c>
      <c r="O59" s="2922">
        <v>7120</v>
      </c>
      <c r="P59" s="2922">
        <v>6743</v>
      </c>
      <c r="Q59" s="2922">
        <v>7510</v>
      </c>
      <c r="R59" s="2922">
        <f t="shared" si="192"/>
        <v>90804</v>
      </c>
      <c r="S59" s="2922">
        <f t="shared" si="195"/>
        <v>7567</v>
      </c>
      <c r="T59" s="2921">
        <v>6749</v>
      </c>
      <c r="U59" s="2922">
        <v>6993</v>
      </c>
      <c r="V59" s="2922">
        <v>7106</v>
      </c>
      <c r="W59" s="2922">
        <v>7095</v>
      </c>
      <c r="X59" s="2922">
        <v>8399</v>
      </c>
      <c r="Y59" s="2922">
        <v>8129</v>
      </c>
      <c r="Z59" s="1102">
        <v>8526</v>
      </c>
      <c r="AA59" s="1102">
        <v>9294</v>
      </c>
      <c r="AB59" s="1102">
        <v>7662</v>
      </c>
      <c r="AC59" s="1102">
        <v>8640</v>
      </c>
      <c r="AD59" s="1102">
        <v>8166</v>
      </c>
      <c r="AE59" s="1102">
        <v>8139</v>
      </c>
      <c r="AF59" s="2883">
        <f t="shared" si="217"/>
        <v>94898</v>
      </c>
      <c r="AG59" s="2883">
        <f t="shared" si="218"/>
        <v>7908.166666666667</v>
      </c>
      <c r="AH59" s="2883"/>
      <c r="AI59" s="2884">
        <v>8194</v>
      </c>
      <c r="AJ59" s="2883">
        <v>7497</v>
      </c>
      <c r="AK59" s="2883">
        <v>7951</v>
      </c>
      <c r="AL59" s="2883">
        <v>8288</v>
      </c>
      <c r="AM59" s="2883">
        <v>9548</v>
      </c>
      <c r="AN59" s="2883">
        <v>7915</v>
      </c>
      <c r="AO59" s="2883">
        <v>8974</v>
      </c>
      <c r="AP59" s="2883">
        <v>8356</v>
      </c>
      <c r="AQ59" s="2883">
        <v>7774</v>
      </c>
      <c r="AR59" s="2883">
        <v>8091</v>
      </c>
      <c r="AS59" s="2883">
        <v>8568</v>
      </c>
      <c r="AT59" s="1102">
        <v>9038</v>
      </c>
      <c r="AU59" s="2883">
        <f>SUM(AI59:AT59)</f>
        <v>100194</v>
      </c>
      <c r="AV59" s="2885">
        <f>AVERAGE(AI59:AS59)</f>
        <v>8286.9090909090901</v>
      </c>
      <c r="AW59" s="2968">
        <v>6839</v>
      </c>
      <c r="AX59" s="2883">
        <v>8133</v>
      </c>
      <c r="AY59" s="2883">
        <v>7281</v>
      </c>
      <c r="AZ59" s="2883">
        <v>7309</v>
      </c>
      <c r="BA59" s="2883">
        <v>5773</v>
      </c>
      <c r="BB59" s="2883">
        <v>7708</v>
      </c>
      <c r="BC59" s="2883">
        <v>11168</v>
      </c>
      <c r="BD59" s="2883">
        <v>6866</v>
      </c>
      <c r="BE59" s="2883">
        <v>6849</v>
      </c>
      <c r="BF59" s="2883">
        <v>5779</v>
      </c>
      <c r="BG59" s="2883">
        <v>5520</v>
      </c>
      <c r="BH59" s="2883">
        <v>5664</v>
      </c>
      <c r="BI59" s="2883">
        <f>SUM(AW59:BH59)</f>
        <v>84889</v>
      </c>
      <c r="BJ59" s="2885">
        <f>AVERAGE(AW59:BG59)</f>
        <v>7202.272727272727</v>
      </c>
      <c r="BK59" s="1102">
        <v>12727</v>
      </c>
      <c r="BL59" s="2883">
        <v>4651</v>
      </c>
      <c r="BM59" s="2883"/>
      <c r="BN59" s="2883"/>
      <c r="BO59" s="2883"/>
      <c r="BP59" s="2883"/>
      <c r="BQ59" s="2883"/>
      <c r="BR59" s="2883"/>
      <c r="BS59" s="2883"/>
      <c r="BT59" s="2883"/>
      <c r="BU59" s="2883"/>
      <c r="BV59" s="2883"/>
      <c r="BW59" s="2883">
        <f>SUM(BK59:BV59)</f>
        <v>17378</v>
      </c>
      <c r="BX59" s="2885">
        <f>AVERAGE(BK59:BU59)</f>
        <v>8689</v>
      </c>
      <c r="BZ59" s="2860" t="e">
        <f>HLOOKUP($A$1,$AW$1:$BH$400,ROW(),0)-HLOOKUP($A$1,$AI$1:$AT$400,ROW(),0)</f>
        <v>#N/A</v>
      </c>
      <c r="CA59" s="2860">
        <f>BJ59-AV59</f>
        <v>-1084.6363636363631</v>
      </c>
      <c r="CB59" s="2881" t="e">
        <f>HLOOKUP($A$1,$AW$1:$BH$400,ROW(),0)-SUM(AI59:AJ59)</f>
        <v>#N/A</v>
      </c>
    </row>
    <row r="60" spans="1:80" ht="18" customHeight="1" x14ac:dyDescent="0.55000000000000004">
      <c r="A60" s="7134"/>
      <c r="B60" s="7135"/>
      <c r="C60" s="681" t="s">
        <v>58</v>
      </c>
      <c r="D60" s="681"/>
      <c r="E60" s="3308"/>
      <c r="F60" s="2921">
        <v>1047</v>
      </c>
      <c r="G60" s="2922">
        <v>388</v>
      </c>
      <c r="H60" s="2922">
        <v>1268</v>
      </c>
      <c r="I60" s="2922">
        <v>447</v>
      </c>
      <c r="J60" s="2922">
        <v>1048</v>
      </c>
      <c r="K60" s="2922">
        <v>786</v>
      </c>
      <c r="L60" s="2922">
        <v>471</v>
      </c>
      <c r="M60" s="2922">
        <v>902</v>
      </c>
      <c r="N60" s="2922">
        <v>491</v>
      </c>
      <c r="O60" s="2922">
        <v>446</v>
      </c>
      <c r="P60" s="2922">
        <v>467</v>
      </c>
      <c r="Q60" s="2922">
        <v>1309</v>
      </c>
      <c r="R60" s="2922">
        <f t="shared" si="192"/>
        <v>9070</v>
      </c>
      <c r="S60" s="2922">
        <f t="shared" si="195"/>
        <v>755.83333333333337</v>
      </c>
      <c r="T60" s="2921">
        <v>457</v>
      </c>
      <c r="U60" s="2922">
        <v>445</v>
      </c>
      <c r="V60" s="2922">
        <v>486</v>
      </c>
      <c r="W60" s="2922">
        <v>453</v>
      </c>
      <c r="X60" s="2922">
        <v>1103</v>
      </c>
      <c r="Y60" s="2922">
        <v>564</v>
      </c>
      <c r="Z60" s="1102">
        <v>467</v>
      </c>
      <c r="AA60" s="1102">
        <v>515</v>
      </c>
      <c r="AB60" s="1102">
        <v>800</v>
      </c>
      <c r="AC60" s="1102">
        <v>440</v>
      </c>
      <c r="AD60" s="1102">
        <v>515</v>
      </c>
      <c r="AE60" s="1102">
        <v>1171</v>
      </c>
      <c r="AF60" s="2883">
        <f t="shared" si="217"/>
        <v>7416</v>
      </c>
      <c r="AG60" s="2883">
        <f t="shared" si="218"/>
        <v>618</v>
      </c>
      <c r="AH60" s="2883"/>
      <c r="AI60" s="2884">
        <v>435</v>
      </c>
      <c r="AJ60" s="2883">
        <v>473</v>
      </c>
      <c r="AK60" s="2883">
        <v>590</v>
      </c>
      <c r="AL60" s="2883">
        <v>512</v>
      </c>
      <c r="AM60" s="2883">
        <v>981</v>
      </c>
      <c r="AN60" s="2883">
        <v>496</v>
      </c>
      <c r="AO60" s="2883">
        <v>502</v>
      </c>
      <c r="AP60" s="2883">
        <v>582</v>
      </c>
      <c r="AQ60" s="2883">
        <v>709</v>
      </c>
      <c r="AR60" s="2883">
        <v>513</v>
      </c>
      <c r="AS60" s="2883">
        <v>550</v>
      </c>
      <c r="AT60" s="1102">
        <v>1365</v>
      </c>
      <c r="AU60" s="2883">
        <f>SUM(AI60:AT60)</f>
        <v>7708</v>
      </c>
      <c r="AV60" s="2885">
        <f>AVERAGE(AI60:AS60)</f>
        <v>576.63636363636363</v>
      </c>
      <c r="AW60" s="2968">
        <v>421</v>
      </c>
      <c r="AX60" s="2883">
        <v>406</v>
      </c>
      <c r="AY60" s="2883">
        <v>397</v>
      </c>
      <c r="AZ60" s="2883">
        <v>397</v>
      </c>
      <c r="BA60" s="2883">
        <v>433</v>
      </c>
      <c r="BB60" s="2883">
        <v>840</v>
      </c>
      <c r="BC60" s="2883">
        <v>317</v>
      </c>
      <c r="BD60" s="2883">
        <v>330</v>
      </c>
      <c r="BE60" s="2883">
        <v>313</v>
      </c>
      <c r="BF60" s="2883">
        <v>277</v>
      </c>
      <c r="BG60" s="2883">
        <v>229</v>
      </c>
      <c r="BH60" s="2883">
        <v>222</v>
      </c>
      <c r="BI60" s="2883">
        <f>SUM(AW60:BH60)</f>
        <v>4582</v>
      </c>
      <c r="BJ60" s="2885">
        <f>AVERAGE(AW60:BG60)</f>
        <v>396.36363636363637</v>
      </c>
      <c r="BK60" s="1102">
        <v>685</v>
      </c>
      <c r="BL60" s="2883">
        <v>190</v>
      </c>
      <c r="BM60" s="2883"/>
      <c r="BN60" s="2883"/>
      <c r="BO60" s="2883"/>
      <c r="BP60" s="2883"/>
      <c r="BQ60" s="2883"/>
      <c r="BR60" s="2883"/>
      <c r="BS60" s="2883"/>
      <c r="BT60" s="2883"/>
      <c r="BU60" s="2883"/>
      <c r="BV60" s="2883"/>
      <c r="BW60" s="2883">
        <f>SUM(BK60:BV60)</f>
        <v>875</v>
      </c>
      <c r="BX60" s="2885">
        <f>AVERAGE(BK60:BU60)</f>
        <v>437.5</v>
      </c>
      <c r="BZ60" s="2860" t="e">
        <f>HLOOKUP($A$1,$AW$1:$BH$400,ROW(),0)-HLOOKUP($A$1,$AI$1:$AT$400,ROW(),0)</f>
        <v>#N/A</v>
      </c>
      <c r="CA60" s="2860">
        <f>BJ60-AV60</f>
        <v>-180.27272727272725</v>
      </c>
      <c r="CB60" s="2881" t="e">
        <f>HLOOKUP($A$1,$AW$1:$BH$400,ROW(),0)-SUM(AI60:AJ60)</f>
        <v>#N/A</v>
      </c>
    </row>
    <row r="61" spans="1:80" ht="17.05" customHeight="1" x14ac:dyDescent="0.55000000000000004">
      <c r="A61" s="7134"/>
      <c r="B61" s="7135"/>
      <c r="C61" s="681" t="s">
        <v>48</v>
      </c>
      <c r="D61" s="681"/>
      <c r="E61" s="3308"/>
      <c r="F61" s="2921"/>
      <c r="G61" s="2922"/>
      <c r="H61" s="2922"/>
      <c r="I61" s="2922"/>
      <c r="J61" s="2922"/>
      <c r="K61" s="2922"/>
      <c r="L61" s="2922"/>
      <c r="M61" s="2922"/>
      <c r="N61" s="2922"/>
      <c r="O61" s="2922"/>
      <c r="P61" s="2922"/>
      <c r="Q61" s="2922"/>
      <c r="R61" s="2922">
        <f t="shared" si="192"/>
        <v>0</v>
      </c>
      <c r="S61" s="2922" t="e">
        <f t="shared" si="195"/>
        <v>#DIV/0!</v>
      </c>
      <c r="T61" s="2921">
        <f t="shared" ref="T61:AE61" si="219">T56-T59-T62-T64</f>
        <v>9714</v>
      </c>
      <c r="U61" s="2922">
        <f t="shared" si="219"/>
        <v>12624</v>
      </c>
      <c r="V61" s="2922">
        <f t="shared" si="219"/>
        <v>9828</v>
      </c>
      <c r="W61" s="2922">
        <f t="shared" si="219"/>
        <v>9350</v>
      </c>
      <c r="X61" s="2922">
        <f t="shared" si="219"/>
        <v>9382</v>
      </c>
      <c r="Y61" s="2922">
        <f t="shared" si="219"/>
        <v>8585</v>
      </c>
      <c r="Z61" s="1102">
        <f t="shared" si="219"/>
        <v>8943</v>
      </c>
      <c r="AA61" s="1102">
        <f t="shared" si="219"/>
        <v>14919</v>
      </c>
      <c r="AB61" s="1102">
        <f t="shared" si="219"/>
        <v>7339</v>
      </c>
      <c r="AC61" s="1102">
        <f t="shared" si="219"/>
        <v>12617</v>
      </c>
      <c r="AD61" s="1102">
        <f t="shared" si="219"/>
        <v>8764</v>
      </c>
      <c r="AE61" s="1102">
        <f t="shared" si="219"/>
        <v>7618</v>
      </c>
      <c r="AF61" s="2883">
        <f t="shared" si="217"/>
        <v>119683</v>
      </c>
      <c r="AG61" s="2883">
        <f t="shared" si="218"/>
        <v>9973.5833333333339</v>
      </c>
      <c r="AH61" s="2883"/>
      <c r="AI61" s="2884">
        <f t="shared" ref="AI61:AT61" si="220">-(AI64-(AI56-AI59-AI62))</f>
        <v>14790</v>
      </c>
      <c r="AJ61" s="2903">
        <f t="shared" si="220"/>
        <v>13459</v>
      </c>
      <c r="AK61" s="2903">
        <f t="shared" si="220"/>
        <v>17547</v>
      </c>
      <c r="AL61" s="2903">
        <f t="shared" si="220"/>
        <v>17209</v>
      </c>
      <c r="AM61" s="2903">
        <f t="shared" si="220"/>
        <v>18142</v>
      </c>
      <c r="AN61" s="2903">
        <f t="shared" si="220"/>
        <v>16602</v>
      </c>
      <c r="AO61" s="2903">
        <f t="shared" si="220"/>
        <v>22824</v>
      </c>
      <c r="AP61" s="2903">
        <f t="shared" si="220"/>
        <v>21446</v>
      </c>
      <c r="AQ61" s="2903">
        <f t="shared" si="220"/>
        <v>28156</v>
      </c>
      <c r="AR61" s="2903">
        <f t="shared" si="220"/>
        <v>27623</v>
      </c>
      <c r="AS61" s="2903">
        <f t="shared" si="220"/>
        <v>26924</v>
      </c>
      <c r="AT61" s="2903">
        <f t="shared" si="220"/>
        <v>22428</v>
      </c>
      <c r="AU61" s="2883">
        <f>SUM(AI61:AT61)</f>
        <v>247150</v>
      </c>
      <c r="AV61" s="2885">
        <f>AVERAGE(AI61:AS61)</f>
        <v>20429.272727272728</v>
      </c>
      <c r="AW61" s="4507">
        <f>-(AW64-(AW56-AW59-AW62))</f>
        <v>23006</v>
      </c>
      <c r="AX61" s="2903">
        <f t="shared" ref="AX61:BL61" si="221">-(AX64-(AX56-AX59-AX62))</f>
        <v>37790</v>
      </c>
      <c r="AY61" s="2903">
        <f t="shared" si="221"/>
        <v>26655</v>
      </c>
      <c r="AZ61" s="2903">
        <f t="shared" si="221"/>
        <v>31815</v>
      </c>
      <c r="BA61" s="2903">
        <f t="shared" si="221"/>
        <v>44913</v>
      </c>
      <c r="BB61" s="2903">
        <f t="shared" si="221"/>
        <v>35966</v>
      </c>
      <c r="BC61" s="2903">
        <f t="shared" si="221"/>
        <v>43393</v>
      </c>
      <c r="BD61" s="2903">
        <f t="shared" si="221"/>
        <v>34002</v>
      </c>
      <c r="BE61" s="2903">
        <f t="shared" si="221"/>
        <v>37353</v>
      </c>
      <c r="BF61" s="2903">
        <f t="shared" si="221"/>
        <v>35752</v>
      </c>
      <c r="BG61" s="2903">
        <f t="shared" si="221"/>
        <v>29637</v>
      </c>
      <c r="BH61" s="2903">
        <f t="shared" si="221"/>
        <v>31416</v>
      </c>
      <c r="BI61" s="2883">
        <f t="shared" si="221"/>
        <v>411698</v>
      </c>
      <c r="BJ61" s="2885">
        <f t="shared" si="221"/>
        <v>34682.505050505046</v>
      </c>
      <c r="BK61" s="2903">
        <f t="shared" si="221"/>
        <v>9045</v>
      </c>
      <c r="BL61" s="2903">
        <f t="shared" si="221"/>
        <v>4654</v>
      </c>
      <c r="BM61" s="2903"/>
      <c r="BN61" s="2903"/>
      <c r="BO61" s="2903"/>
      <c r="BP61" s="2903"/>
      <c r="BQ61" s="2903"/>
      <c r="BR61" s="2903"/>
      <c r="BS61" s="2903"/>
      <c r="BT61" s="2903"/>
      <c r="BU61" s="2903"/>
      <c r="BV61" s="2903"/>
      <c r="BW61" s="2883">
        <f>SUM(BK61:BV61)</f>
        <v>13699</v>
      </c>
      <c r="BX61" s="2885">
        <f>AVERAGE(BK61:BU61)</f>
        <v>6849.5</v>
      </c>
      <c r="BZ61" s="2860" t="e">
        <f>HLOOKUP($A$1,$AW$1:$BH$400,ROW(),0)-HLOOKUP($A$1,$AI$1:$AT$400,ROW(),0)</f>
        <v>#N/A</v>
      </c>
      <c r="CA61" s="2860">
        <f>BJ61-AV61</f>
        <v>14253.232323232318</v>
      </c>
      <c r="CB61" s="2881" t="e">
        <f>HLOOKUP($A$1,$AW$1:$BH$400,ROW(),0)-SUM(AI61:AJ61)</f>
        <v>#N/A</v>
      </c>
    </row>
    <row r="62" spans="1:80" ht="18" customHeight="1" x14ac:dyDescent="0.55000000000000004">
      <c r="A62" s="7134"/>
      <c r="B62" s="7135"/>
      <c r="C62" s="681" t="s">
        <v>49</v>
      </c>
      <c r="D62" s="681"/>
      <c r="E62" s="3308"/>
      <c r="F62" s="3327"/>
      <c r="G62" s="3328"/>
      <c r="H62" s="3328"/>
      <c r="I62" s="3328"/>
      <c r="J62" s="2922">
        <v>11110</v>
      </c>
      <c r="K62" s="2922">
        <v>9749</v>
      </c>
      <c r="L62" s="2922">
        <v>10575</v>
      </c>
      <c r="M62" s="2922">
        <v>20583</v>
      </c>
      <c r="N62" s="2922">
        <v>13069</v>
      </c>
      <c r="O62" s="2922">
        <v>11504</v>
      </c>
      <c r="P62" s="2922">
        <v>10092</v>
      </c>
      <c r="Q62" s="2922">
        <v>9168</v>
      </c>
      <c r="R62" s="2922">
        <f t="shared" si="192"/>
        <v>95850</v>
      </c>
      <c r="S62" s="2922">
        <f t="shared" si="195"/>
        <v>11981.25</v>
      </c>
      <c r="T62" s="2921">
        <v>3049</v>
      </c>
      <c r="U62" s="2922">
        <v>2627</v>
      </c>
      <c r="V62" s="2922">
        <v>2957</v>
      </c>
      <c r="W62" s="2922">
        <v>2322</v>
      </c>
      <c r="X62" s="2922">
        <v>2469</v>
      </c>
      <c r="Y62" s="2922">
        <v>2524</v>
      </c>
      <c r="Z62" s="1102">
        <v>2460</v>
      </c>
      <c r="AA62" s="1102">
        <v>2642</v>
      </c>
      <c r="AB62" s="1102">
        <v>2359</v>
      </c>
      <c r="AC62" s="1102">
        <v>7311</v>
      </c>
      <c r="AD62" s="1102">
        <v>2941</v>
      </c>
      <c r="AE62" s="1102">
        <v>2452</v>
      </c>
      <c r="AF62" s="2883">
        <f t="shared" si="217"/>
        <v>36113</v>
      </c>
      <c r="AG62" s="2883">
        <f t="shared" si="218"/>
        <v>3009.4166666666665</v>
      </c>
      <c r="AH62" s="2883"/>
      <c r="AI62" s="2884">
        <v>2534</v>
      </c>
      <c r="AJ62" s="2883">
        <v>2209</v>
      </c>
      <c r="AK62" s="2883">
        <v>2409</v>
      </c>
      <c r="AL62" s="2883">
        <v>2355</v>
      </c>
      <c r="AM62" s="2883">
        <v>2656</v>
      </c>
      <c r="AN62" s="2883">
        <v>2474</v>
      </c>
      <c r="AO62" s="2883">
        <v>3341</v>
      </c>
      <c r="AP62" s="2883">
        <v>4147</v>
      </c>
      <c r="AQ62" s="2883">
        <v>3471</v>
      </c>
      <c r="AR62" s="2883">
        <v>3591</v>
      </c>
      <c r="AS62" s="2883">
        <v>3704</v>
      </c>
      <c r="AT62" s="1102">
        <v>3648</v>
      </c>
      <c r="AU62" s="2883">
        <f>SUM(AI62:AT62)</f>
        <v>36539</v>
      </c>
      <c r="AV62" s="2885">
        <f>AVERAGE(AI62:AS62)</f>
        <v>2990.090909090909</v>
      </c>
      <c r="AW62" s="4510">
        <v>3297</v>
      </c>
      <c r="AX62" s="2903">
        <v>3310</v>
      </c>
      <c r="AY62" s="2903">
        <v>3291</v>
      </c>
      <c r="AZ62" s="2903">
        <v>3056</v>
      </c>
      <c r="BA62" s="2903">
        <v>3881</v>
      </c>
      <c r="BB62" s="2903">
        <v>3663</v>
      </c>
      <c r="BC62" s="2883">
        <v>3174</v>
      </c>
      <c r="BD62" s="2883">
        <v>4810</v>
      </c>
      <c r="BE62" s="2883">
        <v>3439</v>
      </c>
      <c r="BF62" s="2883">
        <v>3944</v>
      </c>
      <c r="BG62" s="2883">
        <v>4153</v>
      </c>
      <c r="BH62" s="2883">
        <v>4456</v>
      </c>
      <c r="BI62" s="2883">
        <f>SUM(AW62:BH62)</f>
        <v>44474</v>
      </c>
      <c r="BJ62" s="2885">
        <f>AVERAGE(AW62:BG62)</f>
        <v>3638</v>
      </c>
      <c r="BK62" s="3304">
        <v>5324</v>
      </c>
      <c r="BL62" s="2903">
        <v>5084</v>
      </c>
      <c r="BM62" s="2903"/>
      <c r="BN62" s="2903"/>
      <c r="BO62" s="2903"/>
      <c r="BP62" s="2903"/>
      <c r="BQ62" s="2883"/>
      <c r="BR62" s="2883"/>
      <c r="BS62" s="2883"/>
      <c r="BT62" s="2883"/>
      <c r="BU62" s="2883"/>
      <c r="BV62" s="2883"/>
      <c r="BW62" s="2883">
        <f>SUM(BK62:BV62)</f>
        <v>10408</v>
      </c>
      <c r="BX62" s="2885">
        <f>AVERAGE(BK62:BU62)</f>
        <v>5204</v>
      </c>
      <c r="BZ62" s="2860" t="e">
        <f>HLOOKUP($A$1,$AW$1:$BH$400,ROW(),0)-HLOOKUP($A$1,$AI$1:$AT$400,ROW(),0)</f>
        <v>#N/A</v>
      </c>
      <c r="CA62" s="2860">
        <f>BJ62-AV62</f>
        <v>647.90909090909099</v>
      </c>
      <c r="CB62" s="2881" t="e">
        <f>HLOOKUP($A$1,$AW$1:$BH$400,ROW(),0)-SUM(AI62:AJ62)</f>
        <v>#N/A</v>
      </c>
    </row>
    <row r="63" spans="1:80" ht="18" hidden="1" customHeight="1" x14ac:dyDescent="0.55000000000000004">
      <c r="A63" s="7134"/>
      <c r="B63" s="7135"/>
      <c r="C63" s="681" t="s">
        <v>714</v>
      </c>
      <c r="D63" s="681"/>
      <c r="E63" s="3308"/>
      <c r="F63" s="2921"/>
      <c r="G63" s="2922"/>
      <c r="H63" s="2922"/>
      <c r="I63" s="2922"/>
      <c r="J63" s="2922"/>
      <c r="K63" s="2922"/>
      <c r="L63" s="2922"/>
      <c r="M63" s="2922"/>
      <c r="N63" s="2922"/>
      <c r="O63" s="2922"/>
      <c r="P63" s="2922"/>
      <c r="Q63" s="2922"/>
      <c r="R63" s="2922">
        <f t="shared" si="192"/>
        <v>0</v>
      </c>
      <c r="S63" s="2922" t="e">
        <f t="shared" si="195"/>
        <v>#DIV/0!</v>
      </c>
      <c r="T63" s="2921"/>
      <c r="U63" s="2922"/>
      <c r="V63" s="2922"/>
      <c r="W63" s="2922"/>
      <c r="X63" s="2922"/>
      <c r="Y63" s="2922"/>
      <c r="Z63" s="1102"/>
      <c r="AA63" s="1102"/>
      <c r="AB63" s="1102"/>
      <c r="AC63" s="1102"/>
      <c r="AD63" s="1102"/>
      <c r="AE63" s="1102"/>
      <c r="AF63" s="2883"/>
      <c r="AG63" s="3309"/>
      <c r="AH63" s="2883"/>
      <c r="AI63" s="2884"/>
      <c r="AJ63" s="2883"/>
      <c r="AK63" s="2883"/>
      <c r="AL63" s="2883"/>
      <c r="AM63" s="2883"/>
      <c r="AN63" s="2883"/>
      <c r="AO63" s="2883"/>
      <c r="AP63" s="2883"/>
      <c r="AQ63" s="2883"/>
      <c r="AR63" s="2883"/>
      <c r="AS63" s="2883"/>
      <c r="AT63" s="1102"/>
      <c r="AU63" s="2883"/>
      <c r="AV63" s="3310"/>
      <c r="AW63" s="2968"/>
      <c r="AX63" s="2883"/>
      <c r="AY63" s="2883"/>
      <c r="AZ63" s="2883"/>
      <c r="BA63" s="2883"/>
      <c r="BB63" s="2883"/>
      <c r="BC63" s="2883"/>
      <c r="BD63" s="2883"/>
      <c r="BE63" s="2883"/>
      <c r="BF63" s="2883"/>
      <c r="BG63" s="2883"/>
      <c r="BH63" s="2883"/>
      <c r="BI63" s="2883"/>
      <c r="BJ63" s="3310"/>
      <c r="BK63" s="1102"/>
      <c r="BL63" s="2883"/>
      <c r="BM63" s="2883"/>
      <c r="BN63" s="2883"/>
      <c r="BO63" s="2883"/>
      <c r="BP63" s="2883"/>
      <c r="BQ63" s="2883"/>
      <c r="BR63" s="2883"/>
      <c r="BS63" s="2883"/>
      <c r="BT63" s="2883"/>
      <c r="BU63" s="2883"/>
      <c r="BV63" s="2883"/>
      <c r="BW63" s="2883"/>
      <c r="BX63" s="3310"/>
      <c r="BZ63" s="2860" t="e">
        <f>HLOOKUP($A$1,$AW$1:$BH$400,ROW(),0)-HLOOKUP($A$1,$AI$1:$AT$400,ROW(),0)</f>
        <v>#N/A</v>
      </c>
      <c r="CA63" s="2860">
        <f>BJ63-AV63</f>
        <v>0</v>
      </c>
      <c r="CB63" s="2881" t="e">
        <f>HLOOKUP($A$1,$AW$1:$BH$400,ROW(),0)-SUM(AI63:AJ63)</f>
        <v>#N/A</v>
      </c>
    </row>
    <row r="64" spans="1:80" ht="18" customHeight="1" x14ac:dyDescent="0.55000000000000004">
      <c r="A64" s="7167"/>
      <c r="B64" s="7168"/>
      <c r="C64" s="3311" t="s">
        <v>50</v>
      </c>
      <c r="D64" s="685"/>
      <c r="E64" s="2928"/>
      <c r="F64" s="2929"/>
      <c r="G64" s="2928"/>
      <c r="H64" s="2928"/>
      <c r="I64" s="2928"/>
      <c r="J64" s="2928"/>
      <c r="K64" s="2928"/>
      <c r="L64" s="2928"/>
      <c r="M64" s="2928"/>
      <c r="N64" s="2928"/>
      <c r="O64" s="2928"/>
      <c r="P64" s="2928"/>
      <c r="Q64" s="2928"/>
      <c r="R64" s="2928">
        <f t="shared" si="192"/>
        <v>0</v>
      </c>
      <c r="S64" s="2928" t="e">
        <f t="shared" si="195"/>
        <v>#DIV/0!</v>
      </c>
      <c r="T64" s="2929">
        <f>T55-Q55</f>
        <v>-389</v>
      </c>
      <c r="U64" s="2928">
        <f t="shared" ref="U64:AE64" si="222">U55-T55</f>
        <v>393</v>
      </c>
      <c r="V64" s="2928">
        <f t="shared" si="222"/>
        <v>-1765</v>
      </c>
      <c r="W64" s="2928">
        <f t="shared" si="222"/>
        <v>-1169</v>
      </c>
      <c r="X64" s="2928">
        <f t="shared" si="222"/>
        <v>-2341</v>
      </c>
      <c r="Y64" s="2928">
        <f t="shared" si="222"/>
        <v>-2684</v>
      </c>
      <c r="Z64" s="2895">
        <f t="shared" si="222"/>
        <v>-1070</v>
      </c>
      <c r="AA64" s="2895">
        <f t="shared" si="222"/>
        <v>-2437</v>
      </c>
      <c r="AB64" s="2895">
        <f t="shared" si="222"/>
        <v>-332</v>
      </c>
      <c r="AC64" s="2895">
        <f t="shared" si="222"/>
        <v>-5893</v>
      </c>
      <c r="AD64" s="2895">
        <f t="shared" si="222"/>
        <v>-2873</v>
      </c>
      <c r="AE64" s="2895">
        <f t="shared" si="222"/>
        <v>-4117</v>
      </c>
      <c r="AF64" s="2896">
        <f t="shared" si="217"/>
        <v>-24677</v>
      </c>
      <c r="AG64" s="2896">
        <f t="shared" si="218"/>
        <v>-2056.4166666666665</v>
      </c>
      <c r="AH64" s="2896"/>
      <c r="AI64" s="2919">
        <v>-3831</v>
      </c>
      <c r="AJ64" s="2896">
        <v>-5729</v>
      </c>
      <c r="AK64" s="2896">
        <v>-8568</v>
      </c>
      <c r="AL64" s="2896">
        <v>-8627</v>
      </c>
      <c r="AM64" s="2896">
        <v>-9385</v>
      </c>
      <c r="AN64" s="2896">
        <v>-7581</v>
      </c>
      <c r="AO64" s="2896">
        <v>-12088</v>
      </c>
      <c r="AP64" s="2896">
        <v>-15285</v>
      </c>
      <c r="AQ64" s="2896">
        <v>-18257</v>
      </c>
      <c r="AR64" s="2896">
        <v>-18592</v>
      </c>
      <c r="AS64" s="2896">
        <v>-18132</v>
      </c>
      <c r="AT64" s="2895">
        <v>-17325</v>
      </c>
      <c r="AU64" s="2896">
        <f>SUM(AI64:AT64)</f>
        <v>-143400</v>
      </c>
      <c r="AV64" s="2898">
        <f>AVERAGE(AI64:AT64)</f>
        <v>-11950</v>
      </c>
      <c r="AW64" s="4505">
        <f>AW55-AU55</f>
        <v>-15903</v>
      </c>
      <c r="AX64" s="2896">
        <f>AX55-AW55</f>
        <v>-23249</v>
      </c>
      <c r="AY64" s="2896">
        <f t="shared" ref="AY64:BH64" si="223">AY55-AX55</f>
        <v>-17929</v>
      </c>
      <c r="AZ64" s="2896">
        <f t="shared" si="223"/>
        <v>-17900</v>
      </c>
      <c r="BA64" s="2896">
        <f t="shared" si="223"/>
        <v>-18110</v>
      </c>
      <c r="BB64" s="2896">
        <f t="shared" si="223"/>
        <v>-18981</v>
      </c>
      <c r="BC64" s="2896">
        <f t="shared" si="223"/>
        <v>-24895</v>
      </c>
      <c r="BD64" s="2896">
        <f t="shared" si="223"/>
        <v>-20895</v>
      </c>
      <c r="BE64" s="2896">
        <f t="shared" si="223"/>
        <v>-20483</v>
      </c>
      <c r="BF64" s="2896">
        <f t="shared" si="223"/>
        <v>-18621</v>
      </c>
      <c r="BG64" s="2896">
        <f t="shared" si="223"/>
        <v>-16718</v>
      </c>
      <c r="BH64" s="2896">
        <f t="shared" si="223"/>
        <v>-17396</v>
      </c>
      <c r="BI64" s="2896">
        <f>SUM(AW64:BH64)</f>
        <v>-231080</v>
      </c>
      <c r="BJ64" s="2898">
        <f>AVERAGE(AW64:BH64)</f>
        <v>-19256.666666666668</v>
      </c>
      <c r="BK64" s="2895">
        <v>-27096</v>
      </c>
      <c r="BL64" s="2896">
        <v>-14389</v>
      </c>
      <c r="BM64" s="2896"/>
      <c r="BN64" s="2896"/>
      <c r="BO64" s="2896"/>
      <c r="BP64" s="2896"/>
      <c r="BQ64" s="2896"/>
      <c r="BR64" s="2896"/>
      <c r="BS64" s="2896"/>
      <c r="BT64" s="2896"/>
      <c r="BU64" s="2896"/>
      <c r="BV64" s="2896"/>
      <c r="BW64" s="2896">
        <f>SUM(BK64:BV64)</f>
        <v>-41485</v>
      </c>
      <c r="BX64" s="2898">
        <f>AVERAGE(BK64:BV64)</f>
        <v>-20742.5</v>
      </c>
      <c r="BZ64" s="2860" t="e">
        <f>HLOOKUP($A$1,$AW$1:$BH$400,ROW(),0)-HLOOKUP($A$1,$AI$1:$AT$400,ROW(),0)</f>
        <v>#N/A</v>
      </c>
      <c r="CA64" s="2860">
        <f>BJ64-AV64</f>
        <v>-7306.6666666666679</v>
      </c>
      <c r="CB64" s="2881" t="e">
        <f>HLOOKUP($A$1,$AW$1:$BH$400,ROW(),0)-SUM(AI64:AJ64)</f>
        <v>#N/A</v>
      </c>
    </row>
    <row r="65" spans="1:80" ht="18" customHeight="1" x14ac:dyDescent="0.55000000000000004">
      <c r="A65" s="7157" t="s">
        <v>809</v>
      </c>
      <c r="B65" s="7158"/>
      <c r="C65" s="3313" t="s">
        <v>43</v>
      </c>
      <c r="D65" s="3314"/>
      <c r="E65" s="3315"/>
      <c r="F65" s="3316"/>
      <c r="G65" s="3315">
        <v>38454</v>
      </c>
      <c r="H65" s="3315">
        <v>37438</v>
      </c>
      <c r="I65" s="3315">
        <v>36442</v>
      </c>
      <c r="J65" s="3315">
        <v>35393</v>
      </c>
      <c r="K65" s="3315">
        <v>59493</v>
      </c>
      <c r="L65" s="3315">
        <v>57833</v>
      </c>
      <c r="M65" s="3315">
        <v>56264</v>
      </c>
      <c r="N65" s="3315">
        <v>75025</v>
      </c>
      <c r="O65" s="3315">
        <v>72699</v>
      </c>
      <c r="P65" s="3315">
        <v>70821</v>
      </c>
      <c r="Q65" s="3315">
        <v>84365</v>
      </c>
      <c r="R65" s="3315">
        <f>Q65</f>
        <v>84365</v>
      </c>
      <c r="S65" s="3315">
        <f t="shared" si="195"/>
        <v>56747.909090909088</v>
      </c>
      <c r="T65" s="3316">
        <v>82280</v>
      </c>
      <c r="U65" s="3315">
        <v>80076</v>
      </c>
      <c r="V65" s="3315">
        <v>88717</v>
      </c>
      <c r="W65" s="3315">
        <v>90391</v>
      </c>
      <c r="X65" s="3315">
        <v>88209</v>
      </c>
      <c r="Y65" s="3315">
        <v>86077</v>
      </c>
      <c r="Z65" s="3297">
        <v>83866</v>
      </c>
      <c r="AA65" s="3297">
        <v>81690</v>
      </c>
      <c r="AB65" s="3297">
        <v>80111</v>
      </c>
      <c r="AC65" s="3297">
        <v>78079</v>
      </c>
      <c r="AD65" s="3297">
        <v>76444</v>
      </c>
      <c r="AE65" s="3297">
        <v>74960</v>
      </c>
      <c r="AF65" s="3299">
        <v>74960</v>
      </c>
      <c r="AG65" s="3299">
        <f>AVERAGE(T65:AE65)</f>
        <v>82575</v>
      </c>
      <c r="AH65" s="3299"/>
      <c r="AI65" s="3300">
        <v>73167</v>
      </c>
      <c r="AJ65" s="3299">
        <v>71769</v>
      </c>
      <c r="AK65" s="3299">
        <v>70348</v>
      </c>
      <c r="AL65" s="3299">
        <v>68999</v>
      </c>
      <c r="AM65" s="3299">
        <v>67723</v>
      </c>
      <c r="AN65" s="3299">
        <v>66586</v>
      </c>
      <c r="AO65" s="3299">
        <v>67323</v>
      </c>
      <c r="AP65" s="3299">
        <v>71398</v>
      </c>
      <c r="AQ65" s="3299">
        <v>70622</v>
      </c>
      <c r="AR65" s="3299">
        <v>69381</v>
      </c>
      <c r="AS65" s="3299">
        <v>68650</v>
      </c>
      <c r="AT65" s="3297">
        <v>67590</v>
      </c>
      <c r="AU65" s="3299">
        <f>INDEX($AI65:$AT65, 1, MATCH(0, $AI65:$AT65, -1))</f>
        <v>67590</v>
      </c>
      <c r="AV65" s="3301">
        <f>AVERAGE(AI65:AT65)</f>
        <v>69463</v>
      </c>
      <c r="AW65" s="4506">
        <v>66322</v>
      </c>
      <c r="AX65" s="3299">
        <v>64615</v>
      </c>
      <c r="AY65" s="3299">
        <v>63539</v>
      </c>
      <c r="AZ65" s="3299">
        <v>62009</v>
      </c>
      <c r="BA65" s="3299">
        <v>61102</v>
      </c>
      <c r="BB65" s="3299">
        <v>59733</v>
      </c>
      <c r="BC65" s="3299">
        <v>57967</v>
      </c>
      <c r="BD65" s="3299">
        <v>56554</v>
      </c>
      <c r="BE65" s="3299">
        <v>54874</v>
      </c>
      <c r="BF65" s="3299">
        <v>53548</v>
      </c>
      <c r="BG65" s="3299">
        <v>52451</v>
      </c>
      <c r="BH65" s="3299">
        <v>51216</v>
      </c>
      <c r="BI65" s="3297">
        <f>INDEX($AW65:$BH65, 1, MATCH(0, $AW65:$BH65, -1))</f>
        <v>51216</v>
      </c>
      <c r="BJ65" s="3301">
        <f>AVERAGE(AW65:BH65)</f>
        <v>58660.833333333336</v>
      </c>
      <c r="BK65" s="3297">
        <v>49272</v>
      </c>
      <c r="BL65" s="3299">
        <v>47994</v>
      </c>
      <c r="BM65" s="3299"/>
      <c r="BN65" s="3299"/>
      <c r="BO65" s="3299"/>
      <c r="BP65" s="3299"/>
      <c r="BQ65" s="3299"/>
      <c r="BR65" s="3299"/>
      <c r="BS65" s="3299"/>
      <c r="BT65" s="3299"/>
      <c r="BU65" s="3299"/>
      <c r="BV65" s="3299"/>
      <c r="BW65" s="3297">
        <f>INDEX($AW65:$BH65, 1, MATCH(0, $AW65:$BH65, -1))</f>
        <v>51216</v>
      </c>
      <c r="BX65" s="3301">
        <f>AVERAGE(BK65:BV65)</f>
        <v>48633</v>
      </c>
      <c r="BZ65" s="2860" t="e">
        <f>HLOOKUP($A$1,$AW$1:$BH$400,ROW(),0)-HLOOKUP($A$1,$AI$1:$AT$400,ROW(),0)</f>
        <v>#N/A</v>
      </c>
      <c r="CA65" s="2860">
        <f>BJ65-AV65</f>
        <v>-10802.166666666664</v>
      </c>
      <c r="CB65" s="2861">
        <f>AX65-AJ65</f>
        <v>-7154</v>
      </c>
    </row>
    <row r="66" spans="1:80" ht="34.75" hidden="1" customHeight="1" x14ac:dyDescent="0.55000000000000004">
      <c r="A66" s="7134"/>
      <c r="B66" s="7135"/>
      <c r="C66" s="3329" t="s">
        <v>56</v>
      </c>
      <c r="D66" s="3330"/>
      <c r="E66" s="3331"/>
      <c r="F66" s="3332"/>
      <c r="G66" s="3331"/>
      <c r="H66" s="3331"/>
      <c r="I66" s="3331"/>
      <c r="J66" s="3331"/>
      <c r="K66" s="3331"/>
      <c r="L66" s="3331"/>
      <c r="M66" s="3331"/>
      <c r="N66" s="3331"/>
      <c r="O66" s="3331"/>
      <c r="P66" s="3331"/>
      <c r="Q66" s="3331"/>
      <c r="R66" s="3331">
        <f t="shared" si="192"/>
        <v>0</v>
      </c>
      <c r="S66" s="3331" t="e">
        <f t="shared" si="195"/>
        <v>#DIV/0!</v>
      </c>
      <c r="T66" s="3332"/>
      <c r="U66" s="3331"/>
      <c r="V66" s="3331"/>
      <c r="W66" s="3331"/>
      <c r="X66" s="3331"/>
      <c r="Y66" s="3331"/>
      <c r="Z66" s="3333"/>
      <c r="AA66" s="3333"/>
      <c r="AB66" s="3333"/>
      <c r="AC66" s="3333"/>
      <c r="AD66" s="3333"/>
      <c r="AE66" s="3333"/>
      <c r="AF66" s="3334"/>
      <c r="AG66" s="3334"/>
      <c r="AH66" s="3334"/>
      <c r="AI66" s="3335"/>
      <c r="AJ66" s="3334"/>
      <c r="AK66" s="3334"/>
      <c r="AL66" s="3334"/>
      <c r="AM66" s="3334"/>
      <c r="AN66" s="3334"/>
      <c r="AO66" s="3334"/>
      <c r="AP66" s="3334"/>
      <c r="AQ66" s="3334"/>
      <c r="AR66" s="3334"/>
      <c r="AS66" s="3334"/>
      <c r="AT66" s="3333"/>
      <c r="AU66" s="3334">
        <f>SUM(AI66:AQ66)</f>
        <v>0</v>
      </c>
      <c r="AV66" s="3336" t="s">
        <v>462</v>
      </c>
      <c r="AW66" s="4511">
        <f>AW67+AW68</f>
        <v>0</v>
      </c>
      <c r="AX66" s="3334"/>
      <c r="AY66" s="3334"/>
      <c r="AZ66" s="3334"/>
      <c r="BA66" s="3334"/>
      <c r="BB66" s="3334"/>
      <c r="BC66" s="3334"/>
      <c r="BD66" s="3334"/>
      <c r="BE66" s="3334"/>
      <c r="BF66" s="3334"/>
      <c r="BG66" s="3334"/>
      <c r="BH66" s="3334"/>
      <c r="BI66" s="3334">
        <f>SUM(AW66:BE66)</f>
        <v>0</v>
      </c>
      <c r="BJ66" s="3336" t="s">
        <v>462</v>
      </c>
      <c r="BK66" s="3333">
        <v>0</v>
      </c>
      <c r="BL66" s="3334">
        <v>0</v>
      </c>
      <c r="BM66" s="3334"/>
      <c r="BN66" s="3334"/>
      <c r="BO66" s="3334"/>
      <c r="BP66" s="3334"/>
      <c r="BQ66" s="3334"/>
      <c r="BR66" s="3334"/>
      <c r="BS66" s="3334"/>
      <c r="BT66" s="3334"/>
      <c r="BU66" s="3334"/>
      <c r="BV66" s="3334"/>
      <c r="BW66" s="3334">
        <f>SUM(BK66:BS66)</f>
        <v>0</v>
      </c>
      <c r="BX66" s="3336" t="s">
        <v>462</v>
      </c>
      <c r="BZ66" s="2860" t="e">
        <f>HLOOKUP($A$1,$AW$1:$BH$400,ROW(),0)-HLOOKUP($A$1,$AI$1:$AT$400,ROW(),0)</f>
        <v>#N/A</v>
      </c>
      <c r="CA66" s="2860" t="e">
        <f>BJ66-AV66</f>
        <v>#VALUE!</v>
      </c>
      <c r="CB66" s="2881" t="e">
        <f>HLOOKUP($A$1,$AW$1:$BH$400,ROW(),0)-SUM(AI66:AJ66)</f>
        <v>#N/A</v>
      </c>
    </row>
    <row r="67" spans="1:80" ht="18" hidden="1" customHeight="1" x14ac:dyDescent="0.55000000000000004">
      <c r="A67" s="7134"/>
      <c r="B67" s="7135"/>
      <c r="C67" s="681"/>
      <c r="D67" s="681" t="s">
        <v>46</v>
      </c>
      <c r="E67" s="3308"/>
      <c r="F67" s="2921"/>
      <c r="G67" s="2922"/>
      <c r="H67" s="2922"/>
      <c r="I67" s="2922"/>
      <c r="J67" s="2922"/>
      <c r="K67" s="2922"/>
      <c r="L67" s="2922"/>
      <c r="M67" s="2922"/>
      <c r="N67" s="2922"/>
      <c r="O67" s="2922"/>
      <c r="P67" s="2922"/>
      <c r="Q67" s="2922"/>
      <c r="R67" s="2922">
        <f t="shared" si="192"/>
        <v>0</v>
      </c>
      <c r="S67" s="2922" t="e">
        <f t="shared" si="195"/>
        <v>#DIV/0!</v>
      </c>
      <c r="T67" s="2921"/>
      <c r="U67" s="2922"/>
      <c r="V67" s="2922"/>
      <c r="W67" s="2922"/>
      <c r="X67" s="2922"/>
      <c r="Y67" s="2922"/>
      <c r="Z67" s="1102"/>
      <c r="AA67" s="1102"/>
      <c r="AB67" s="1102"/>
      <c r="AC67" s="1102"/>
      <c r="AD67" s="1102"/>
      <c r="AE67" s="1102"/>
      <c r="AF67" s="2883"/>
      <c r="AG67" s="2883"/>
      <c r="AH67" s="2883"/>
      <c r="AI67" s="2884"/>
      <c r="AJ67" s="2883"/>
      <c r="AK67" s="2883"/>
      <c r="AL67" s="2883"/>
      <c r="AM67" s="2883"/>
      <c r="AN67" s="2883"/>
      <c r="AO67" s="2883"/>
      <c r="AP67" s="2883"/>
      <c r="AQ67" s="2883"/>
      <c r="AR67" s="2883"/>
      <c r="AS67" s="2883"/>
      <c r="AT67" s="1102"/>
      <c r="AU67" s="2883">
        <f>SUM(AI67:AQ67)</f>
        <v>0</v>
      </c>
      <c r="AV67" s="3310" t="s">
        <v>462</v>
      </c>
      <c r="AW67" s="2968"/>
      <c r="AX67" s="2883"/>
      <c r="AY67" s="2883"/>
      <c r="AZ67" s="2883"/>
      <c r="BA67" s="2883"/>
      <c r="BB67" s="2883"/>
      <c r="BC67" s="2883"/>
      <c r="BD67" s="2883"/>
      <c r="BE67" s="2883"/>
      <c r="BF67" s="2883"/>
      <c r="BG67" s="2883"/>
      <c r="BH67" s="2883"/>
      <c r="BI67" s="2883">
        <f>SUM(AW67:BE67)</f>
        <v>0</v>
      </c>
      <c r="BJ67" s="3310" t="s">
        <v>462</v>
      </c>
      <c r="BK67" s="1102">
        <v>0</v>
      </c>
      <c r="BL67" s="2883">
        <v>0</v>
      </c>
      <c r="BM67" s="2883"/>
      <c r="BN67" s="2883"/>
      <c r="BO67" s="2883"/>
      <c r="BP67" s="2883"/>
      <c r="BQ67" s="2883"/>
      <c r="BR67" s="2883"/>
      <c r="BS67" s="2883"/>
      <c r="BT67" s="2883"/>
      <c r="BU67" s="2883"/>
      <c r="BV67" s="2883"/>
      <c r="BW67" s="2883">
        <f>SUM(BK67:BS67)</f>
        <v>0</v>
      </c>
      <c r="BX67" s="3310" t="s">
        <v>462</v>
      </c>
      <c r="BZ67" s="2860" t="e">
        <f>HLOOKUP($A$1,$AW$1:$BH$400,ROW(),0)-HLOOKUP($A$1,$AI$1:$AT$400,ROW(),0)</f>
        <v>#N/A</v>
      </c>
      <c r="CA67" s="2860" t="e">
        <f>BJ67-AV67</f>
        <v>#VALUE!</v>
      </c>
      <c r="CB67" s="2881" t="e">
        <f>HLOOKUP($A$1,$AW$1:$BH$400,ROW(),0)-SUM(AI67:AJ67)</f>
        <v>#N/A</v>
      </c>
    </row>
    <row r="68" spans="1:80" ht="18" hidden="1" customHeight="1" x14ac:dyDescent="0.55000000000000004">
      <c r="A68" s="7134"/>
      <c r="B68" s="7135"/>
      <c r="C68" s="681"/>
      <c r="D68" s="681" t="s">
        <v>55</v>
      </c>
      <c r="E68" s="3308"/>
      <c r="F68" s="2921"/>
      <c r="G68" s="2922"/>
      <c r="H68" s="2922"/>
      <c r="I68" s="2922"/>
      <c r="J68" s="2922"/>
      <c r="K68" s="2922"/>
      <c r="L68" s="2922"/>
      <c r="M68" s="2922"/>
      <c r="N68" s="2922"/>
      <c r="O68" s="2922"/>
      <c r="P68" s="2922"/>
      <c r="Q68" s="2922"/>
      <c r="R68" s="2922">
        <f t="shared" si="192"/>
        <v>0</v>
      </c>
      <c r="S68" s="2922" t="e">
        <f t="shared" si="195"/>
        <v>#DIV/0!</v>
      </c>
      <c r="T68" s="2921"/>
      <c r="U68" s="2922"/>
      <c r="V68" s="2922"/>
      <c r="W68" s="2922"/>
      <c r="X68" s="2922"/>
      <c r="Y68" s="2922"/>
      <c r="Z68" s="1102"/>
      <c r="AA68" s="1102"/>
      <c r="AB68" s="1102"/>
      <c r="AC68" s="1102"/>
      <c r="AD68" s="1102"/>
      <c r="AE68" s="1102"/>
      <c r="AF68" s="2883"/>
      <c r="AG68" s="2883"/>
      <c r="AH68" s="2883"/>
      <c r="AI68" s="2884"/>
      <c r="AJ68" s="2883"/>
      <c r="AK68" s="2883"/>
      <c r="AL68" s="2883"/>
      <c r="AM68" s="2883"/>
      <c r="AN68" s="2883"/>
      <c r="AO68" s="2883"/>
      <c r="AP68" s="2883"/>
      <c r="AQ68" s="2883"/>
      <c r="AR68" s="2883"/>
      <c r="AS68" s="2883"/>
      <c r="AT68" s="1102"/>
      <c r="AU68" s="2883">
        <f>SUM(AI68:AQ68)</f>
        <v>0</v>
      </c>
      <c r="AV68" s="3310" t="s">
        <v>462</v>
      </c>
      <c r="AW68" s="2968"/>
      <c r="AX68" s="2883"/>
      <c r="AY68" s="2883"/>
      <c r="AZ68" s="2883"/>
      <c r="BA68" s="2883"/>
      <c r="BB68" s="2883"/>
      <c r="BC68" s="2883"/>
      <c r="BD68" s="2883"/>
      <c r="BE68" s="2883"/>
      <c r="BF68" s="2883"/>
      <c r="BG68" s="2883"/>
      <c r="BH68" s="2883"/>
      <c r="BI68" s="2883">
        <f>SUM(AW68:BE68)</f>
        <v>0</v>
      </c>
      <c r="BJ68" s="3310" t="s">
        <v>462</v>
      </c>
      <c r="BK68" s="1102">
        <v>0</v>
      </c>
      <c r="BL68" s="2883">
        <v>0</v>
      </c>
      <c r="BM68" s="2883"/>
      <c r="BN68" s="2883"/>
      <c r="BO68" s="2883"/>
      <c r="BP68" s="2883"/>
      <c r="BQ68" s="2883"/>
      <c r="BR68" s="2883"/>
      <c r="BS68" s="2883"/>
      <c r="BT68" s="2883"/>
      <c r="BU68" s="2883"/>
      <c r="BV68" s="2883"/>
      <c r="BW68" s="2883">
        <f>SUM(BK68:BS68)</f>
        <v>0</v>
      </c>
      <c r="BX68" s="3310" t="s">
        <v>462</v>
      </c>
      <c r="BZ68" s="2860" t="e">
        <f>HLOOKUP($A$1,$AW$1:$BH$400,ROW(),0)-HLOOKUP($A$1,$AI$1:$AT$400,ROW(),0)</f>
        <v>#N/A</v>
      </c>
      <c r="CA68" s="2860" t="e">
        <f>BJ68-AV68</f>
        <v>#VALUE!</v>
      </c>
      <c r="CB68" s="2881" t="e">
        <f>HLOOKUP($A$1,$AW$1:$BH$400,ROW(),0)-SUM(AI68:AJ68)</f>
        <v>#N/A</v>
      </c>
    </row>
    <row r="69" spans="1:80" ht="18" customHeight="1" x14ac:dyDescent="0.55000000000000004">
      <c r="A69" s="7134"/>
      <c r="B69" s="7135"/>
      <c r="C69" s="681" t="s">
        <v>47</v>
      </c>
      <c r="D69" s="681"/>
      <c r="E69" s="3308"/>
      <c r="F69" s="2921"/>
      <c r="G69" s="2922">
        <v>176</v>
      </c>
      <c r="H69" s="2922">
        <v>334</v>
      </c>
      <c r="I69" s="2922">
        <v>280</v>
      </c>
      <c r="J69" s="2922">
        <v>287</v>
      </c>
      <c r="K69" s="2922">
        <v>324</v>
      </c>
      <c r="L69" s="2922">
        <v>461</v>
      </c>
      <c r="M69" s="2922">
        <v>459</v>
      </c>
      <c r="N69" s="2922">
        <v>444</v>
      </c>
      <c r="O69" s="2922">
        <v>634</v>
      </c>
      <c r="P69" s="2922">
        <v>545</v>
      </c>
      <c r="Q69" s="2922">
        <v>606</v>
      </c>
      <c r="R69" s="2922">
        <f t="shared" si="192"/>
        <v>4550</v>
      </c>
      <c r="S69" s="2922">
        <f t="shared" si="195"/>
        <v>413.63636363636363</v>
      </c>
      <c r="T69" s="2921">
        <v>634</v>
      </c>
      <c r="U69" s="2922">
        <v>710</v>
      </c>
      <c r="V69" s="2922">
        <v>612</v>
      </c>
      <c r="W69" s="2922">
        <v>645</v>
      </c>
      <c r="X69" s="2922">
        <v>881</v>
      </c>
      <c r="Y69" s="2922">
        <v>830</v>
      </c>
      <c r="Z69" s="1102">
        <v>914</v>
      </c>
      <c r="AA69" s="1102">
        <v>867</v>
      </c>
      <c r="AB69" s="1102">
        <v>687</v>
      </c>
      <c r="AC69" s="1102">
        <v>757</v>
      </c>
      <c r="AD69" s="1102">
        <v>709</v>
      </c>
      <c r="AE69" s="1102">
        <v>659</v>
      </c>
      <c r="AF69" s="2883">
        <f t="shared" ref="AF69:AF74" si="224">SUM(T69:AE69)</f>
        <v>8905</v>
      </c>
      <c r="AG69" s="2883">
        <f t="shared" ref="AG69:AG74" si="225">AVERAGE(T69:AE69)</f>
        <v>742.08333333333337</v>
      </c>
      <c r="AH69" s="2883"/>
      <c r="AI69" s="2884">
        <v>654</v>
      </c>
      <c r="AJ69" s="2883">
        <v>592</v>
      </c>
      <c r="AK69" s="2883">
        <v>635</v>
      </c>
      <c r="AL69" s="2883">
        <v>530</v>
      </c>
      <c r="AM69" s="2883">
        <v>543</v>
      </c>
      <c r="AN69" s="2883">
        <v>487</v>
      </c>
      <c r="AO69" s="2883">
        <v>537</v>
      </c>
      <c r="AP69" s="2883">
        <v>561</v>
      </c>
      <c r="AQ69" s="2883">
        <v>468</v>
      </c>
      <c r="AR69" s="2883">
        <v>527</v>
      </c>
      <c r="AS69" s="2883">
        <v>573</v>
      </c>
      <c r="AT69" s="1102">
        <v>537</v>
      </c>
      <c r="AU69" s="2883">
        <f>SUM(AI69:AT69)</f>
        <v>6644</v>
      </c>
      <c r="AV69" s="2885">
        <f>AVERAGE(AI69:AS69)</f>
        <v>555.18181818181813</v>
      </c>
      <c r="AW69" s="2968">
        <v>468</v>
      </c>
      <c r="AX69" s="2883">
        <v>550</v>
      </c>
      <c r="AY69" s="2883">
        <v>499</v>
      </c>
      <c r="AZ69" s="2883">
        <v>471</v>
      </c>
      <c r="BA69" s="2883">
        <v>325</v>
      </c>
      <c r="BB69" s="2883">
        <v>355</v>
      </c>
      <c r="BC69" s="2883">
        <v>510</v>
      </c>
      <c r="BD69" s="2883">
        <v>412</v>
      </c>
      <c r="BE69" s="2883">
        <v>423</v>
      </c>
      <c r="BF69" s="2883">
        <v>350</v>
      </c>
      <c r="BG69" s="2883">
        <v>347</v>
      </c>
      <c r="BH69" s="2883">
        <v>354</v>
      </c>
      <c r="BI69" s="2883">
        <f>SUM(AW69:BH69)</f>
        <v>5064</v>
      </c>
      <c r="BJ69" s="2885">
        <f>AVERAGE(AW69:BG69)</f>
        <v>428.18181818181819</v>
      </c>
      <c r="BK69" s="1102">
        <v>659</v>
      </c>
      <c r="BL69" s="2883">
        <v>243</v>
      </c>
      <c r="BM69" s="2883"/>
      <c r="BN69" s="2883"/>
      <c r="BO69" s="2883"/>
      <c r="BP69" s="2883"/>
      <c r="BQ69" s="2883"/>
      <c r="BR69" s="2883"/>
      <c r="BS69" s="2883"/>
      <c r="BT69" s="2883"/>
      <c r="BU69" s="2883"/>
      <c r="BV69" s="2883"/>
      <c r="BW69" s="2883">
        <f>SUM(BK69:BV69)</f>
        <v>902</v>
      </c>
      <c r="BX69" s="2885">
        <f>AVERAGE(BK69:BU69)</f>
        <v>451</v>
      </c>
      <c r="BZ69" s="2860" t="e">
        <f>HLOOKUP($A$1,$AW$1:$BH$400,ROW(),0)-HLOOKUP($A$1,$AI$1:$AT$400,ROW(),0)</f>
        <v>#N/A</v>
      </c>
      <c r="CA69" s="2860">
        <f>BJ69-AV69</f>
        <v>-126.99999999999994</v>
      </c>
      <c r="CB69" s="2881" t="e">
        <f>HLOOKUP($A$1,$AW$1:$BH$400,ROW(),0)-SUM(AI69:AJ69)</f>
        <v>#N/A</v>
      </c>
    </row>
    <row r="70" spans="1:80" ht="18" customHeight="1" x14ac:dyDescent="0.55000000000000004">
      <c r="A70" s="7134"/>
      <c r="B70" s="7135"/>
      <c r="C70" s="681" t="s">
        <v>58</v>
      </c>
      <c r="D70" s="681"/>
      <c r="E70" s="3308"/>
      <c r="F70" s="2921"/>
      <c r="G70" s="2922"/>
      <c r="H70" s="2922">
        <v>2</v>
      </c>
      <c r="I70" s="2922">
        <v>1</v>
      </c>
      <c r="J70" s="2922">
        <v>10</v>
      </c>
      <c r="K70" s="2922">
        <v>1</v>
      </c>
      <c r="L70" s="2922">
        <v>1</v>
      </c>
      <c r="M70" s="2922">
        <v>2</v>
      </c>
      <c r="N70" s="2922">
        <v>3</v>
      </c>
      <c r="O70" s="2922">
        <v>2</v>
      </c>
      <c r="P70" s="2922">
        <v>2</v>
      </c>
      <c r="Q70" s="2922">
        <v>23</v>
      </c>
      <c r="R70" s="2922">
        <f t="shared" si="192"/>
        <v>47</v>
      </c>
      <c r="S70" s="2922">
        <f t="shared" si="195"/>
        <v>4.7</v>
      </c>
      <c r="T70" s="2921">
        <v>0</v>
      </c>
      <c r="U70" s="2922">
        <v>1</v>
      </c>
      <c r="V70" s="2922">
        <v>2</v>
      </c>
      <c r="W70" s="2922">
        <v>1</v>
      </c>
      <c r="X70" s="2922">
        <v>20</v>
      </c>
      <c r="Y70" s="2922">
        <v>3</v>
      </c>
      <c r="Z70" s="1102">
        <v>1</v>
      </c>
      <c r="AA70" s="1102">
        <v>2</v>
      </c>
      <c r="AB70" s="1102">
        <v>2</v>
      </c>
      <c r="AC70" s="1102">
        <v>0</v>
      </c>
      <c r="AD70" s="1102">
        <v>3</v>
      </c>
      <c r="AE70" s="1102">
        <v>37</v>
      </c>
      <c r="AF70" s="2883">
        <f t="shared" si="224"/>
        <v>72</v>
      </c>
      <c r="AG70" s="2883">
        <f t="shared" si="225"/>
        <v>6</v>
      </c>
      <c r="AH70" s="2883"/>
      <c r="AI70" s="2884">
        <v>2</v>
      </c>
      <c r="AJ70" s="2883">
        <v>4</v>
      </c>
      <c r="AK70" s="2883">
        <v>3</v>
      </c>
      <c r="AL70" s="2883">
        <v>4</v>
      </c>
      <c r="AM70" s="2883">
        <v>26</v>
      </c>
      <c r="AN70" s="2883">
        <v>5</v>
      </c>
      <c r="AO70" s="2883">
        <v>2</v>
      </c>
      <c r="AP70" s="2883">
        <v>6</v>
      </c>
      <c r="AQ70" s="2883">
        <v>3</v>
      </c>
      <c r="AR70" s="2883">
        <v>4</v>
      </c>
      <c r="AS70" s="2883">
        <v>4</v>
      </c>
      <c r="AT70" s="1102">
        <v>26</v>
      </c>
      <c r="AU70" s="2883">
        <f>SUM(AI70:AT70)</f>
        <v>89</v>
      </c>
      <c r="AV70" s="2885">
        <f>AVERAGE(AI70:AS70)</f>
        <v>5.7272727272727275</v>
      </c>
      <c r="AW70" s="2968">
        <v>8</v>
      </c>
      <c r="AX70" s="2883">
        <v>6</v>
      </c>
      <c r="AY70" s="2883">
        <v>2</v>
      </c>
      <c r="AZ70" s="2883">
        <v>3</v>
      </c>
      <c r="BA70" s="2883">
        <v>1</v>
      </c>
      <c r="BB70" s="2883">
        <v>25</v>
      </c>
      <c r="BC70" s="2883">
        <v>2</v>
      </c>
      <c r="BD70" s="2883">
        <v>2</v>
      </c>
      <c r="BE70" s="2883">
        <v>2</v>
      </c>
      <c r="BF70" s="2883">
        <v>2</v>
      </c>
      <c r="BG70" s="2883">
        <v>6</v>
      </c>
      <c r="BH70" s="2883">
        <v>0</v>
      </c>
      <c r="BI70" s="2883">
        <f>SUM(AW70:BH70)</f>
        <v>59</v>
      </c>
      <c r="BJ70" s="2885">
        <f>AVERAGE(AW70:BG70)</f>
        <v>5.3636363636363633</v>
      </c>
      <c r="BK70" s="1102">
        <v>22</v>
      </c>
      <c r="BL70" s="2883">
        <v>4</v>
      </c>
      <c r="BM70" s="2883"/>
      <c r="BN70" s="2883"/>
      <c r="BO70" s="2883"/>
      <c r="BP70" s="2883"/>
      <c r="BQ70" s="2883"/>
      <c r="BR70" s="2883"/>
      <c r="BS70" s="2883"/>
      <c r="BT70" s="2883"/>
      <c r="BU70" s="2883"/>
      <c r="BV70" s="2883"/>
      <c r="BW70" s="2883">
        <f>SUM(BK70:BV70)</f>
        <v>26</v>
      </c>
      <c r="BX70" s="2885">
        <f>AVERAGE(BK70:BU70)</f>
        <v>13</v>
      </c>
      <c r="BZ70" s="2860" t="e">
        <f>HLOOKUP($A$1,$AW$1:$BH$400,ROW(),0)-HLOOKUP($A$1,$AI$1:$AT$400,ROW(),0)</f>
        <v>#N/A</v>
      </c>
      <c r="CA70" s="2860">
        <f>BJ70-AV70</f>
        <v>-0.3636363636363642</v>
      </c>
      <c r="CB70" s="2881" t="e">
        <f>HLOOKUP($A$1,$AW$1:$BH$400,ROW(),0)-SUM(AI70:AJ70)</f>
        <v>#N/A</v>
      </c>
    </row>
    <row r="71" spans="1:80" ht="18" customHeight="1" x14ac:dyDescent="0.55000000000000004">
      <c r="A71" s="7134"/>
      <c r="B71" s="7135"/>
      <c r="C71" s="681" t="s">
        <v>48</v>
      </c>
      <c r="D71" s="681"/>
      <c r="E71" s="3308"/>
      <c r="F71" s="2921"/>
      <c r="G71" s="2922"/>
      <c r="H71" s="2922"/>
      <c r="I71" s="2922"/>
      <c r="J71" s="2922"/>
      <c r="K71" s="2922"/>
      <c r="L71" s="2922"/>
      <c r="M71" s="2922"/>
      <c r="N71" s="2922"/>
      <c r="O71" s="2922"/>
      <c r="P71" s="2922"/>
      <c r="Q71" s="2922"/>
      <c r="R71" s="2922">
        <f t="shared" si="192"/>
        <v>0</v>
      </c>
      <c r="S71" s="2922" t="e">
        <f t="shared" si="195"/>
        <v>#DIV/0!</v>
      </c>
      <c r="T71" s="2921">
        <f>T66-T69-T72-T74</f>
        <v>1451</v>
      </c>
      <c r="U71" s="2922">
        <f>U66-U69-U72-U74</f>
        <v>1494</v>
      </c>
      <c r="V71" s="2922">
        <f>V66-V69-V72-V74</f>
        <v>-9254</v>
      </c>
      <c r="W71" s="2922">
        <f>W66-W69-W72-W74</f>
        <v>-2336</v>
      </c>
      <c r="X71" s="2922">
        <f t="shared" ref="X71:AE71" si="226">X66-X69-X72-X74</f>
        <v>1300</v>
      </c>
      <c r="Y71" s="2922">
        <f t="shared" si="226"/>
        <v>1228</v>
      </c>
      <c r="Z71" s="1102">
        <f t="shared" si="226"/>
        <v>1296</v>
      </c>
      <c r="AA71" s="1102">
        <f t="shared" si="226"/>
        <v>1303</v>
      </c>
      <c r="AB71" s="1102">
        <f t="shared" si="226"/>
        <v>875</v>
      </c>
      <c r="AC71" s="1102">
        <f t="shared" si="226"/>
        <v>1268</v>
      </c>
      <c r="AD71" s="1102">
        <f t="shared" si="226"/>
        <v>914</v>
      </c>
      <c r="AE71" s="1102">
        <f t="shared" si="226"/>
        <v>814</v>
      </c>
      <c r="AF71" s="2883">
        <f t="shared" si="224"/>
        <v>353</v>
      </c>
      <c r="AG71" s="2883">
        <f t="shared" si="225"/>
        <v>29.416666666666668</v>
      </c>
      <c r="AH71" s="2883"/>
      <c r="AI71" s="2884">
        <f t="shared" ref="AI71:AT71" si="227">-(AI74-(-AI69-AI72))</f>
        <v>1117</v>
      </c>
      <c r="AJ71" s="2903">
        <f t="shared" si="227"/>
        <v>790</v>
      </c>
      <c r="AK71" s="2903">
        <f t="shared" si="227"/>
        <v>759</v>
      </c>
      <c r="AL71" s="2903">
        <f t="shared" si="227"/>
        <v>791</v>
      </c>
      <c r="AM71" s="2903">
        <f t="shared" si="227"/>
        <v>712</v>
      </c>
      <c r="AN71" s="2903">
        <f t="shared" si="227"/>
        <v>632</v>
      </c>
      <c r="AO71" s="2903">
        <f t="shared" si="227"/>
        <v>-1294</v>
      </c>
      <c r="AP71" s="2903">
        <f t="shared" si="227"/>
        <v>-4658</v>
      </c>
      <c r="AQ71" s="2903">
        <f t="shared" si="227"/>
        <v>-98</v>
      </c>
      <c r="AR71" s="2903">
        <f t="shared" si="227"/>
        <v>254</v>
      </c>
      <c r="AS71" s="2903">
        <f t="shared" si="227"/>
        <v>-97</v>
      </c>
      <c r="AT71" s="2903">
        <f t="shared" si="227"/>
        <v>287</v>
      </c>
      <c r="AU71" s="2883">
        <f>SUM(AI71:AT71)</f>
        <v>-805</v>
      </c>
      <c r="AV71" s="2885">
        <f>AVERAGE(AI71:AS71)</f>
        <v>-99.272727272727266</v>
      </c>
      <c r="AW71" s="4507">
        <f>-(AW74-(-AW69-AW72))</f>
        <v>496</v>
      </c>
      <c r="AX71" s="2903">
        <f t="shared" ref="AX71:BL71" si="228">-(AX74-(-AX69-AX72))</f>
        <v>846</v>
      </c>
      <c r="AY71" s="2903">
        <f t="shared" si="228"/>
        <v>574</v>
      </c>
      <c r="AZ71" s="2903">
        <f t="shared" si="228"/>
        <v>616</v>
      </c>
      <c r="BA71" s="2903">
        <f t="shared" si="228"/>
        <v>581</v>
      </c>
      <c r="BB71" s="2903">
        <f t="shared" si="228"/>
        <v>589</v>
      </c>
      <c r="BC71" s="2903">
        <f t="shared" si="228"/>
        <v>611</v>
      </c>
      <c r="BD71" s="2903">
        <f t="shared" si="228"/>
        <v>650</v>
      </c>
      <c r="BE71" s="2903">
        <f t="shared" si="228"/>
        <v>717</v>
      </c>
      <c r="BF71" s="2903">
        <f t="shared" si="228"/>
        <v>651</v>
      </c>
      <c r="BG71" s="2903">
        <f t="shared" si="228"/>
        <v>458</v>
      </c>
      <c r="BH71" s="2903">
        <f t="shared" si="228"/>
        <v>510</v>
      </c>
      <c r="BI71" s="2883">
        <f t="shared" si="228"/>
        <v>7299</v>
      </c>
      <c r="BJ71" s="2885">
        <f t="shared" si="228"/>
        <v>605.40909090909088</v>
      </c>
      <c r="BK71" s="2903">
        <f t="shared" si="228"/>
        <v>704</v>
      </c>
      <c r="BL71" s="2903">
        <f t="shared" si="228"/>
        <v>327</v>
      </c>
      <c r="BM71" s="2903"/>
      <c r="BN71" s="2903"/>
      <c r="BO71" s="2903"/>
      <c r="BP71" s="2903"/>
      <c r="BQ71" s="2903"/>
      <c r="BR71" s="2903"/>
      <c r="BS71" s="2903"/>
      <c r="BT71" s="2903"/>
      <c r="BU71" s="2903"/>
      <c r="BV71" s="2903"/>
      <c r="BW71" s="2883">
        <f>SUM(BK71:BV71)</f>
        <v>1031</v>
      </c>
      <c r="BX71" s="2885">
        <f>AVERAGE(BK71:BU71)</f>
        <v>515.5</v>
      </c>
      <c r="BZ71" s="2860" t="e">
        <f>HLOOKUP($A$1,$AW$1:$BH$400,ROW(),0)-HLOOKUP($A$1,$AI$1:$AT$400,ROW(),0)</f>
        <v>#N/A</v>
      </c>
      <c r="CA71" s="2860">
        <f>BJ71-AV71</f>
        <v>704.68181818181813</v>
      </c>
      <c r="CB71" s="2881" t="e">
        <f>HLOOKUP($A$1,$AW$1:$BH$400,ROW(),0)-SUM(AI71:AJ71)</f>
        <v>#N/A</v>
      </c>
    </row>
    <row r="72" spans="1:80" ht="18" customHeight="1" x14ac:dyDescent="0.55000000000000004">
      <c r="A72" s="7134"/>
      <c r="B72" s="7135"/>
      <c r="C72" s="681" t="s">
        <v>49</v>
      </c>
      <c r="D72" s="681"/>
      <c r="E72" s="3308"/>
      <c r="F72" s="2921"/>
      <c r="G72" s="2922"/>
      <c r="H72" s="2922"/>
      <c r="I72" s="2922"/>
      <c r="J72" s="2922">
        <v>605</v>
      </c>
      <c r="K72" s="2922">
        <v>708</v>
      </c>
      <c r="L72" s="2922">
        <v>972</v>
      </c>
      <c r="M72" s="2922">
        <v>873</v>
      </c>
      <c r="N72" s="2922">
        <v>784</v>
      </c>
      <c r="O72" s="2922">
        <v>1322</v>
      </c>
      <c r="P72" s="2922">
        <v>1090</v>
      </c>
      <c r="Q72" s="2922">
        <v>1046</v>
      </c>
      <c r="R72" s="2922">
        <f t="shared" si="192"/>
        <v>7400</v>
      </c>
      <c r="S72" s="2922">
        <f t="shared" si="195"/>
        <v>925</v>
      </c>
      <c r="T72" s="2921">
        <v>0</v>
      </c>
      <c r="U72" s="2922">
        <v>0</v>
      </c>
      <c r="V72" s="2922">
        <v>1</v>
      </c>
      <c r="W72" s="2922">
        <v>17</v>
      </c>
      <c r="X72" s="2922">
        <v>1</v>
      </c>
      <c r="Y72" s="2922">
        <v>74</v>
      </c>
      <c r="Z72" s="1102">
        <v>1</v>
      </c>
      <c r="AA72" s="1102">
        <v>6</v>
      </c>
      <c r="AB72" s="1102">
        <v>17</v>
      </c>
      <c r="AC72" s="1102">
        <v>7</v>
      </c>
      <c r="AD72" s="1102">
        <v>12</v>
      </c>
      <c r="AE72" s="1102">
        <v>11</v>
      </c>
      <c r="AF72" s="2883">
        <f t="shared" si="224"/>
        <v>147</v>
      </c>
      <c r="AG72" s="2883">
        <f t="shared" si="225"/>
        <v>12.25</v>
      </c>
      <c r="AH72" s="2883"/>
      <c r="AI72" s="2884">
        <v>22</v>
      </c>
      <c r="AJ72" s="2883">
        <v>16</v>
      </c>
      <c r="AK72" s="2883">
        <v>27</v>
      </c>
      <c r="AL72" s="2883">
        <v>28</v>
      </c>
      <c r="AM72" s="2883">
        <v>21</v>
      </c>
      <c r="AN72" s="2883">
        <v>18</v>
      </c>
      <c r="AO72" s="2883">
        <v>20</v>
      </c>
      <c r="AP72" s="2883">
        <v>22</v>
      </c>
      <c r="AQ72" s="2883">
        <v>406</v>
      </c>
      <c r="AR72" s="2883">
        <v>460</v>
      </c>
      <c r="AS72" s="2883">
        <v>255</v>
      </c>
      <c r="AT72" s="1102">
        <v>236</v>
      </c>
      <c r="AU72" s="2883">
        <f>SUM(AI72:AT72)</f>
        <v>1531</v>
      </c>
      <c r="AV72" s="2885">
        <f>AVERAGE(AI72:AS72)</f>
        <v>117.72727272727273</v>
      </c>
      <c r="AW72" s="2968">
        <v>304</v>
      </c>
      <c r="AX72" s="2883">
        <v>311</v>
      </c>
      <c r="AY72" s="2883">
        <v>3</v>
      </c>
      <c r="AZ72" s="2883">
        <v>443</v>
      </c>
      <c r="BA72" s="2883">
        <v>1</v>
      </c>
      <c r="BB72" s="2883">
        <v>425</v>
      </c>
      <c r="BC72" s="2883">
        <v>645</v>
      </c>
      <c r="BD72" s="2883">
        <v>351</v>
      </c>
      <c r="BE72" s="2883">
        <v>540</v>
      </c>
      <c r="BF72" s="2883">
        <v>325</v>
      </c>
      <c r="BG72" s="2883">
        <v>292</v>
      </c>
      <c r="BH72" s="2883">
        <v>371</v>
      </c>
      <c r="BI72" s="2883">
        <f>SUM(AW72:BH72)</f>
        <v>4011</v>
      </c>
      <c r="BJ72" s="2885">
        <f>AVERAGE(AW72:BG72)</f>
        <v>330.90909090909093</v>
      </c>
      <c r="BK72" s="1102">
        <v>581</v>
      </c>
      <c r="BL72" s="2883">
        <v>708</v>
      </c>
      <c r="BM72" s="2883"/>
      <c r="BN72" s="2883"/>
      <c r="BO72" s="2883"/>
      <c r="BP72" s="2883"/>
      <c r="BQ72" s="2883"/>
      <c r="BR72" s="2883"/>
      <c r="BS72" s="2883"/>
      <c r="BT72" s="2883"/>
      <c r="BU72" s="2883"/>
      <c r="BV72" s="2883"/>
      <c r="BW72" s="2883">
        <f>SUM(BK72:BV72)</f>
        <v>1289</v>
      </c>
      <c r="BX72" s="2885">
        <f>AVERAGE(BK72:BU72)</f>
        <v>644.5</v>
      </c>
      <c r="BZ72" s="2860" t="e">
        <f>HLOOKUP($A$1,$AW$1:$BH$400,ROW(),0)-HLOOKUP($A$1,$AI$1:$AT$400,ROW(),0)</f>
        <v>#N/A</v>
      </c>
      <c r="CA72" s="2860">
        <f>BJ72-AV72</f>
        <v>213.18181818181819</v>
      </c>
      <c r="CB72" s="2881" t="e">
        <f>HLOOKUP($A$1,$AW$1:$BH$400,ROW(),0)-SUM(AI72:AJ72)</f>
        <v>#N/A</v>
      </c>
    </row>
    <row r="73" spans="1:80" ht="18" hidden="1" customHeight="1" x14ac:dyDescent="0.55000000000000004">
      <c r="A73" s="7134"/>
      <c r="B73" s="7135"/>
      <c r="C73" s="681" t="s">
        <v>714</v>
      </c>
      <c r="D73" s="681"/>
      <c r="E73" s="3308"/>
      <c r="F73" s="2921"/>
      <c r="G73" s="2922"/>
      <c r="H73" s="2922"/>
      <c r="I73" s="2922"/>
      <c r="J73" s="2922"/>
      <c r="K73" s="2922"/>
      <c r="L73" s="2922"/>
      <c r="M73" s="2922"/>
      <c r="N73" s="2922"/>
      <c r="O73" s="2922"/>
      <c r="P73" s="2922"/>
      <c r="Q73" s="2922"/>
      <c r="R73" s="2922">
        <f t="shared" si="192"/>
        <v>0</v>
      </c>
      <c r="S73" s="2922" t="e">
        <f t="shared" si="195"/>
        <v>#DIV/0!</v>
      </c>
      <c r="T73" s="2921"/>
      <c r="U73" s="2922"/>
      <c r="V73" s="2922"/>
      <c r="W73" s="2922"/>
      <c r="X73" s="2922"/>
      <c r="Y73" s="2922"/>
      <c r="Z73" s="1102"/>
      <c r="AA73" s="1102"/>
      <c r="AB73" s="1102"/>
      <c r="AC73" s="1102"/>
      <c r="AD73" s="1102"/>
      <c r="AE73" s="1102"/>
      <c r="AF73" s="2883"/>
      <c r="AG73" s="3309"/>
      <c r="AH73" s="2883"/>
      <c r="AI73" s="2884"/>
      <c r="AJ73" s="2883"/>
      <c r="AK73" s="2883"/>
      <c r="AL73" s="2883"/>
      <c r="AM73" s="2883"/>
      <c r="AN73" s="2883"/>
      <c r="AO73" s="2883"/>
      <c r="AP73" s="2883"/>
      <c r="AQ73" s="2883"/>
      <c r="AR73" s="2883"/>
      <c r="AS73" s="2883"/>
      <c r="AT73" s="1102"/>
      <c r="AU73" s="2883"/>
      <c r="AV73" s="3310"/>
      <c r="AW73" s="2968"/>
      <c r="AX73" s="2883"/>
      <c r="AY73" s="2883"/>
      <c r="AZ73" s="2883"/>
      <c r="BA73" s="2883"/>
      <c r="BB73" s="2883"/>
      <c r="BC73" s="2883"/>
      <c r="BD73" s="2883"/>
      <c r="BE73" s="2883"/>
      <c r="BF73" s="2883"/>
      <c r="BG73" s="2883"/>
      <c r="BH73" s="2883"/>
      <c r="BI73" s="2883"/>
      <c r="BJ73" s="3310"/>
      <c r="BK73" s="1102"/>
      <c r="BL73" s="2883"/>
      <c r="BM73" s="2883"/>
      <c r="BN73" s="2883"/>
      <c r="BO73" s="2883"/>
      <c r="BP73" s="2883"/>
      <c r="BQ73" s="2883"/>
      <c r="BR73" s="2883"/>
      <c r="BS73" s="2883"/>
      <c r="BT73" s="2883"/>
      <c r="BU73" s="2883"/>
      <c r="BV73" s="2883"/>
      <c r="BW73" s="2883"/>
      <c r="BX73" s="3310"/>
      <c r="BZ73" s="2860" t="e">
        <f>HLOOKUP($A$1,$AW$1:$BH$400,ROW(),0)-HLOOKUP($A$1,$AI$1:$AT$400,ROW(),0)</f>
        <v>#N/A</v>
      </c>
      <c r="CA73" s="2860">
        <f>BJ73-AV73</f>
        <v>0</v>
      </c>
      <c r="CB73" s="2881" t="e">
        <f>HLOOKUP($A$1,$AW$1:$BH$400,ROW(),0)-SUM(AI73:AJ73)</f>
        <v>#N/A</v>
      </c>
    </row>
    <row r="74" spans="1:80" ht="18" customHeight="1" x14ac:dyDescent="0.55000000000000004">
      <c r="A74" s="7171"/>
      <c r="B74" s="7172"/>
      <c r="C74" s="3337" t="s">
        <v>50</v>
      </c>
      <c r="D74" s="3338"/>
      <c r="E74" s="3339"/>
      <c r="F74" s="3340"/>
      <c r="G74" s="3339"/>
      <c r="H74" s="3339"/>
      <c r="I74" s="3339"/>
      <c r="J74" s="3339"/>
      <c r="K74" s="3339"/>
      <c r="L74" s="3339"/>
      <c r="M74" s="3339"/>
      <c r="N74" s="3339"/>
      <c r="O74" s="3339"/>
      <c r="P74" s="3339"/>
      <c r="Q74" s="3339"/>
      <c r="R74" s="3339">
        <f t="shared" si="192"/>
        <v>0</v>
      </c>
      <c r="S74" s="3339" t="e">
        <f t="shared" si="195"/>
        <v>#DIV/0!</v>
      </c>
      <c r="T74" s="3340">
        <f>T65-Q65</f>
        <v>-2085</v>
      </c>
      <c r="U74" s="3339">
        <f t="shared" ref="U74:AE74" si="229">U65-T65</f>
        <v>-2204</v>
      </c>
      <c r="V74" s="3339">
        <f t="shared" si="229"/>
        <v>8641</v>
      </c>
      <c r="W74" s="3339">
        <f t="shared" si="229"/>
        <v>1674</v>
      </c>
      <c r="X74" s="3339">
        <f t="shared" si="229"/>
        <v>-2182</v>
      </c>
      <c r="Y74" s="3339">
        <f t="shared" si="229"/>
        <v>-2132</v>
      </c>
      <c r="Z74" s="3341">
        <f t="shared" si="229"/>
        <v>-2211</v>
      </c>
      <c r="AA74" s="3341">
        <f t="shared" si="229"/>
        <v>-2176</v>
      </c>
      <c r="AB74" s="3341">
        <f t="shared" si="229"/>
        <v>-1579</v>
      </c>
      <c r="AC74" s="3341">
        <f t="shared" si="229"/>
        <v>-2032</v>
      </c>
      <c r="AD74" s="3341">
        <f t="shared" si="229"/>
        <v>-1635</v>
      </c>
      <c r="AE74" s="3341">
        <f t="shared" si="229"/>
        <v>-1484</v>
      </c>
      <c r="AF74" s="3342">
        <f t="shared" si="224"/>
        <v>-9405</v>
      </c>
      <c r="AG74" s="3342">
        <f t="shared" si="225"/>
        <v>-783.75</v>
      </c>
      <c r="AH74" s="3342"/>
      <c r="AI74" s="3343">
        <v>-1793</v>
      </c>
      <c r="AJ74" s="3342">
        <v>-1398</v>
      </c>
      <c r="AK74" s="3342">
        <v>-1421</v>
      </c>
      <c r="AL74" s="3342">
        <v>-1349</v>
      </c>
      <c r="AM74" s="3342">
        <v>-1276</v>
      </c>
      <c r="AN74" s="3342">
        <v>-1137</v>
      </c>
      <c r="AO74" s="3342">
        <v>737</v>
      </c>
      <c r="AP74" s="3342">
        <v>4075</v>
      </c>
      <c r="AQ74" s="3342">
        <v>-776</v>
      </c>
      <c r="AR74" s="3342">
        <v>-1241</v>
      </c>
      <c r="AS74" s="3342">
        <v>-731</v>
      </c>
      <c r="AT74" s="3341">
        <v>-1060</v>
      </c>
      <c r="AU74" s="3342">
        <f>SUM(AI74:AT74)</f>
        <v>-7370</v>
      </c>
      <c r="AV74" s="3344">
        <f>AVERAGE(AI74:AT74)</f>
        <v>-614.16666666666663</v>
      </c>
      <c r="AW74" s="4512">
        <f>AW65-AU65</f>
        <v>-1268</v>
      </c>
      <c r="AX74" s="3342">
        <f>AX65-AW65</f>
        <v>-1707</v>
      </c>
      <c r="AY74" s="3342">
        <f>AY65-AX65</f>
        <v>-1076</v>
      </c>
      <c r="AZ74" s="3342">
        <v>-1530</v>
      </c>
      <c r="BA74" s="3342">
        <f>BA65-AZ65</f>
        <v>-907</v>
      </c>
      <c r="BB74" s="3342">
        <f>BB65-BA65</f>
        <v>-1369</v>
      </c>
      <c r="BC74" s="3342">
        <f t="shared" ref="BC74" si="230">BC65-BB65</f>
        <v>-1766</v>
      </c>
      <c r="BD74" s="3342">
        <v>-1413</v>
      </c>
      <c r="BE74" s="3342">
        <v>-1680</v>
      </c>
      <c r="BF74" s="3342">
        <f>BF65-BE65</f>
        <v>-1326</v>
      </c>
      <c r="BG74" s="3342">
        <f>BG65-BF65</f>
        <v>-1097</v>
      </c>
      <c r="BH74" s="3342">
        <f>BH65-BG65</f>
        <v>-1235</v>
      </c>
      <c r="BI74" s="3342">
        <f>SUM(AW74:BH74)</f>
        <v>-16374</v>
      </c>
      <c r="BJ74" s="3344">
        <f>AVERAGE(AW74:BH74)</f>
        <v>-1364.5</v>
      </c>
      <c r="BK74" s="3341">
        <v>-1944</v>
      </c>
      <c r="BL74" s="3342">
        <v>-1278</v>
      </c>
      <c r="BM74" s="3342"/>
      <c r="BN74" s="3342"/>
      <c r="BO74" s="3342"/>
      <c r="BP74" s="3342"/>
      <c r="BQ74" s="3342"/>
      <c r="BR74" s="3342"/>
      <c r="BS74" s="3342"/>
      <c r="BT74" s="3342"/>
      <c r="BU74" s="3342"/>
      <c r="BV74" s="3342"/>
      <c r="BW74" s="3342">
        <f>SUM(BK74:BV74)</f>
        <v>-3222</v>
      </c>
      <c r="BX74" s="3344">
        <f>AVERAGE(BK74:BV74)</f>
        <v>-1611</v>
      </c>
      <c r="BZ74" s="2860" t="e">
        <f>HLOOKUP($A$1,$AW$1:$BH$400,ROW(),0)-HLOOKUP($A$1,$AI$1:$AT$400,ROW(),0)</f>
        <v>#N/A</v>
      </c>
      <c r="CA74" s="2860">
        <f>BJ74-AV74</f>
        <v>-750.33333333333337</v>
      </c>
      <c r="CB74" s="2881" t="e">
        <f>HLOOKUP($A$1,$AW$1:$BH$400,ROW(),0)-SUM(AI74:AJ74)</f>
        <v>#N/A</v>
      </c>
    </row>
    <row r="75" spans="1:80" ht="18" customHeight="1" x14ac:dyDescent="0.55000000000000004">
      <c r="A75" s="7157" t="s">
        <v>1039</v>
      </c>
      <c r="B75" s="7158"/>
      <c r="C75" s="3313" t="s">
        <v>43</v>
      </c>
      <c r="D75" s="3314"/>
      <c r="E75" s="3315">
        <v>124539</v>
      </c>
      <c r="F75" s="3316">
        <v>123412</v>
      </c>
      <c r="G75" s="3315">
        <v>124937</v>
      </c>
      <c r="H75" s="3315">
        <v>125987</v>
      </c>
      <c r="I75" s="3315">
        <v>125855</v>
      </c>
      <c r="J75" s="3315">
        <v>126978</v>
      </c>
      <c r="K75" s="3315">
        <v>126764</v>
      </c>
      <c r="L75" s="3315">
        <v>126613</v>
      </c>
      <c r="M75" s="3315">
        <v>127874</v>
      </c>
      <c r="N75" s="3315">
        <v>128058</v>
      </c>
      <c r="O75" s="3315">
        <v>133746</v>
      </c>
      <c r="P75" s="3315">
        <v>135002</v>
      </c>
      <c r="Q75" s="3315">
        <v>134859</v>
      </c>
      <c r="R75" s="3315">
        <f>Q75</f>
        <v>134859</v>
      </c>
      <c r="S75" s="3315">
        <f t="shared" si="195"/>
        <v>128340.41666666667</v>
      </c>
      <c r="T75" s="3316">
        <v>135167</v>
      </c>
      <c r="U75" s="3315">
        <v>135795</v>
      </c>
      <c r="V75" s="3315">
        <v>135492</v>
      </c>
      <c r="W75" s="3315">
        <v>135830</v>
      </c>
      <c r="X75" s="3315">
        <v>136405</v>
      </c>
      <c r="Y75" s="3315">
        <v>137059</v>
      </c>
      <c r="Z75" s="3297">
        <v>137201</v>
      </c>
      <c r="AA75" s="3297">
        <v>138237</v>
      </c>
      <c r="AB75" s="3297">
        <v>137466</v>
      </c>
      <c r="AC75" s="3297">
        <v>137850</v>
      </c>
      <c r="AD75" s="3297">
        <v>137443</v>
      </c>
      <c r="AE75" s="3297">
        <v>136942</v>
      </c>
      <c r="AF75" s="3299">
        <v>136942</v>
      </c>
      <c r="AG75" s="3299">
        <f>AVERAGE(T75:AE75)</f>
        <v>136740.58333333334</v>
      </c>
      <c r="AH75" s="3299"/>
      <c r="AI75" s="3300">
        <v>137736</v>
      </c>
      <c r="AJ75" s="3299">
        <v>134679</v>
      </c>
      <c r="AK75" s="3299">
        <v>131171</v>
      </c>
      <c r="AL75" s="3299">
        <v>129503</v>
      </c>
      <c r="AM75" s="3299">
        <v>127815</v>
      </c>
      <c r="AN75" s="3299">
        <v>126326</v>
      </c>
      <c r="AO75" s="3299">
        <v>123885</v>
      </c>
      <c r="AP75" s="3299">
        <v>121768</v>
      </c>
      <c r="AQ75" s="3299">
        <v>117729</v>
      </c>
      <c r="AR75" s="3299">
        <v>114308</v>
      </c>
      <c r="AS75" s="3299">
        <v>111904</v>
      </c>
      <c r="AT75" s="3297">
        <v>109489</v>
      </c>
      <c r="AU75" s="3299">
        <f>INDEX($AI75:$AT75, 1, MATCH(0, $AI75:$AT75, -1))</f>
        <v>109489</v>
      </c>
      <c r="AV75" s="3301">
        <f>AVERAGE(AI75:AT75)</f>
        <v>123859.41666666667</v>
      </c>
      <c r="AW75" s="4506">
        <v>107127</v>
      </c>
      <c r="AX75" s="3299">
        <v>102207</v>
      </c>
      <c r="AY75" s="3299">
        <v>99447</v>
      </c>
      <c r="AZ75" s="3299">
        <v>96649</v>
      </c>
      <c r="BA75" s="3299">
        <v>93912</v>
      </c>
      <c r="BB75" s="3299">
        <v>91452</v>
      </c>
      <c r="BC75" s="3299">
        <v>87993</v>
      </c>
      <c r="BD75" s="3299">
        <v>84372</v>
      </c>
      <c r="BE75" s="3299">
        <v>79564</v>
      </c>
      <c r="BF75" s="3299">
        <v>75358</v>
      </c>
      <c r="BG75" s="3299">
        <v>71471</v>
      </c>
      <c r="BH75" s="3299">
        <v>68147</v>
      </c>
      <c r="BI75" s="3297">
        <f>INDEX($AW75:$BH75, 1, MATCH(0, $AW75:$BH75, -1))</f>
        <v>68147</v>
      </c>
      <c r="BJ75" s="3301">
        <f>AVERAGE(AW75:BH75)</f>
        <v>88141.583333333328</v>
      </c>
      <c r="BK75" s="3297">
        <v>63221</v>
      </c>
      <c r="BL75" s="3299">
        <v>61010</v>
      </c>
      <c r="BM75" s="3299"/>
      <c r="BN75" s="3299"/>
      <c r="BO75" s="3299"/>
      <c r="BP75" s="3299"/>
      <c r="BQ75" s="3299"/>
      <c r="BR75" s="3299"/>
      <c r="BS75" s="3299"/>
      <c r="BT75" s="3299"/>
      <c r="BU75" s="3299"/>
      <c r="BV75" s="3299"/>
      <c r="BW75" s="3297">
        <f>INDEX($AW75:$BH75, 1, MATCH(0, $AW75:$BH75, -1))</f>
        <v>68147</v>
      </c>
      <c r="BX75" s="3301">
        <f>AVERAGE(BK75:BV75)</f>
        <v>62115.5</v>
      </c>
      <c r="BZ75" s="2860" t="e">
        <f>HLOOKUP($A$1,$AW$1:$BH$400,ROW(),0)-HLOOKUP($A$1,$AI$1:$AT$400,ROW(),0)</f>
        <v>#N/A</v>
      </c>
      <c r="CA75" s="2860">
        <f>BJ75-AV75</f>
        <v>-35717.833333333343</v>
      </c>
      <c r="CB75" s="2861">
        <f>AX75-AJ75</f>
        <v>-32472</v>
      </c>
    </row>
    <row r="76" spans="1:80" ht="18" hidden="1" customHeight="1" x14ac:dyDescent="0.55000000000000004">
      <c r="A76" s="7134"/>
      <c r="B76" s="7135"/>
      <c r="C76" s="1453" t="s">
        <v>56</v>
      </c>
      <c r="D76" s="1347"/>
      <c r="E76" s="2924">
        <v>22508</v>
      </c>
      <c r="F76" s="2924">
        <f>F77+F78</f>
        <v>3092</v>
      </c>
      <c r="G76" s="2924">
        <f t="shared" ref="G76:Q76" si="231">G77+G78</f>
        <v>5669</v>
      </c>
      <c r="H76" s="2924">
        <f t="shared" si="231"/>
        <v>5669</v>
      </c>
      <c r="I76" s="2924">
        <f t="shared" si="231"/>
        <v>4687</v>
      </c>
      <c r="J76" s="2924">
        <f t="shared" si="231"/>
        <v>5186</v>
      </c>
      <c r="K76" s="2924">
        <f t="shared" si="231"/>
        <v>3564</v>
      </c>
      <c r="L76" s="2924">
        <f t="shared" si="231"/>
        <v>3140</v>
      </c>
      <c r="M76" s="2924">
        <f t="shared" si="231"/>
        <v>5444</v>
      </c>
      <c r="N76" s="2924">
        <f t="shared" si="231"/>
        <v>3212</v>
      </c>
      <c r="O76" s="2924">
        <f t="shared" si="231"/>
        <v>10896</v>
      </c>
      <c r="P76" s="2924">
        <f t="shared" si="231"/>
        <v>4854</v>
      </c>
      <c r="Q76" s="2924">
        <f t="shared" si="231"/>
        <v>2828</v>
      </c>
      <c r="R76" s="2924">
        <f t="shared" si="192"/>
        <v>58241</v>
      </c>
      <c r="S76" s="2924">
        <f t="shared" si="195"/>
        <v>4853.416666666667</v>
      </c>
      <c r="T76" s="2923">
        <v>4018</v>
      </c>
      <c r="U76" s="2924">
        <v>6275</v>
      </c>
      <c r="V76" s="2924">
        <v>4054</v>
      </c>
      <c r="W76" s="2924">
        <v>3807</v>
      </c>
      <c r="X76" s="2924">
        <v>5347</v>
      </c>
      <c r="Y76" s="2924">
        <v>4845</v>
      </c>
      <c r="Z76" s="2888">
        <v>4037</v>
      </c>
      <c r="AA76" s="2888">
        <v>6260</v>
      </c>
      <c r="AB76" s="2888">
        <v>2151</v>
      </c>
      <c r="AC76" s="2888">
        <v>7045</v>
      </c>
      <c r="AD76" s="2888">
        <v>3112</v>
      </c>
      <c r="AE76" s="2888">
        <v>2573</v>
      </c>
      <c r="AF76" s="2889">
        <f>SUM(T76:AE76)</f>
        <v>53524</v>
      </c>
      <c r="AG76" s="2889">
        <f>AVERAGE(T76:AE76)</f>
        <v>4460.333333333333</v>
      </c>
      <c r="AH76" s="2889"/>
      <c r="AI76" s="2890">
        <v>4643</v>
      </c>
      <c r="AJ76" s="2889">
        <v>3289</v>
      </c>
      <c r="AK76" s="2889">
        <v>1217</v>
      </c>
      <c r="AL76" s="2889">
        <v>1403</v>
      </c>
      <c r="AM76" s="2889">
        <v>1499</v>
      </c>
      <c r="AN76" s="2889">
        <v>888</v>
      </c>
      <c r="AO76" s="2889">
        <v>1074</v>
      </c>
      <c r="AP76" s="2889">
        <v>1283</v>
      </c>
      <c r="AQ76" s="2889">
        <v>810</v>
      </c>
      <c r="AR76" s="2889">
        <v>802</v>
      </c>
      <c r="AS76" s="2889">
        <v>597</v>
      </c>
      <c r="AT76" s="2888">
        <v>529</v>
      </c>
      <c r="AU76" s="2889">
        <f>SUM(AI76:AT76)</f>
        <v>18034</v>
      </c>
      <c r="AV76" s="2891">
        <f>AVERAGE(AI76:AT76)</f>
        <v>1502.8333333333333</v>
      </c>
      <c r="AW76" s="3414">
        <v>-1</v>
      </c>
      <c r="AX76" s="2889">
        <v>0</v>
      </c>
      <c r="AY76" s="2889">
        <v>0</v>
      </c>
      <c r="AZ76" s="2889">
        <v>0</v>
      </c>
      <c r="BA76" s="2889">
        <v>0</v>
      </c>
      <c r="BB76" s="2889">
        <v>0</v>
      </c>
      <c r="BC76" s="2889">
        <v>0</v>
      </c>
      <c r="BD76" s="2889">
        <v>0</v>
      </c>
      <c r="BE76" s="2889">
        <v>0</v>
      </c>
      <c r="BF76" s="2889">
        <v>0</v>
      </c>
      <c r="BG76" s="2889"/>
      <c r="BH76" s="2889"/>
      <c r="BI76" s="2889">
        <f>SUM(AW76:BH76)</f>
        <v>-1</v>
      </c>
      <c r="BJ76" s="2891">
        <f>AVERAGE(AW76:BE76)</f>
        <v>-0.1111111111111111</v>
      </c>
      <c r="BK76" s="2888">
        <v>0</v>
      </c>
      <c r="BL76" s="2889">
        <v>0</v>
      </c>
      <c r="BM76" s="2889"/>
      <c r="BN76" s="2889"/>
      <c r="BO76" s="2889"/>
      <c r="BP76" s="2889"/>
      <c r="BQ76" s="2889"/>
      <c r="BR76" s="2889"/>
      <c r="BS76" s="2889"/>
      <c r="BT76" s="2889"/>
      <c r="BU76" s="2889"/>
      <c r="BV76" s="2889"/>
      <c r="BW76" s="2889">
        <f>SUM(BK76:BV76)</f>
        <v>0</v>
      </c>
      <c r="BX76" s="2891">
        <f>AVERAGE(BK76:BS76)</f>
        <v>0</v>
      </c>
      <c r="BZ76" s="2860" t="e">
        <f>HLOOKUP($A$1,$AW$1:$BH$400,ROW(),0)-HLOOKUP($A$1,$AI$1:$AT$400,ROW(),0)</f>
        <v>#N/A</v>
      </c>
      <c r="CA76" s="2860">
        <f>BJ76-AV76</f>
        <v>-1502.9444444444443</v>
      </c>
      <c r="CB76" s="2881" t="e">
        <f>HLOOKUP($A$1,$AW$1:$BH$400,ROW(),0)-SUM(AI76:AJ76)</f>
        <v>#N/A</v>
      </c>
    </row>
    <row r="77" spans="1:80" ht="18" hidden="1" customHeight="1" x14ac:dyDescent="0.55000000000000004">
      <c r="A77" s="7134"/>
      <c r="B77" s="7135"/>
      <c r="C77" s="681"/>
      <c r="D77" s="681" t="s">
        <v>46</v>
      </c>
      <c r="E77" s="3308">
        <v>499</v>
      </c>
      <c r="F77" s="2921">
        <v>686</v>
      </c>
      <c r="G77" s="2922">
        <v>911</v>
      </c>
      <c r="H77" s="2922">
        <v>1604</v>
      </c>
      <c r="I77" s="2922">
        <v>805</v>
      </c>
      <c r="J77" s="2922">
        <v>1014</v>
      </c>
      <c r="K77" s="2922">
        <v>501</v>
      </c>
      <c r="L77" s="2922">
        <v>417</v>
      </c>
      <c r="M77" s="2922">
        <v>523</v>
      </c>
      <c r="N77" s="2922">
        <v>487</v>
      </c>
      <c r="O77" s="2922">
        <v>929</v>
      </c>
      <c r="P77" s="2922">
        <v>1042</v>
      </c>
      <c r="Q77" s="2922">
        <v>511</v>
      </c>
      <c r="R77" s="2922">
        <f t="shared" si="192"/>
        <v>9430</v>
      </c>
      <c r="S77" s="2922">
        <f t="shared" si="195"/>
        <v>785.83333333333337</v>
      </c>
      <c r="T77" s="2921">
        <v>780</v>
      </c>
      <c r="U77" s="2922">
        <v>709</v>
      </c>
      <c r="V77" s="2922">
        <v>599</v>
      </c>
      <c r="W77" s="2922">
        <v>750</v>
      </c>
      <c r="X77" s="2922">
        <v>1553</v>
      </c>
      <c r="Y77" s="2922">
        <v>1248</v>
      </c>
      <c r="Z77" s="1102">
        <v>776</v>
      </c>
      <c r="AA77" s="1102">
        <v>615</v>
      </c>
      <c r="AB77" s="1102">
        <v>412</v>
      </c>
      <c r="AC77" s="1102">
        <v>527</v>
      </c>
      <c r="AD77" s="1102">
        <v>371</v>
      </c>
      <c r="AE77" s="1102">
        <v>306</v>
      </c>
      <c r="AF77" s="2903">
        <f t="shared" ref="AF77:AF84" si="232">SUM(T77:AE77)</f>
        <v>8646</v>
      </c>
      <c r="AG77" s="2903">
        <f t="shared" ref="AG77:AG84" si="233">AVERAGE(T77:AE77)</f>
        <v>720.5</v>
      </c>
      <c r="AH77" s="2883"/>
      <c r="AI77" s="2884">
        <v>559</v>
      </c>
      <c r="AJ77" s="2883">
        <v>652</v>
      </c>
      <c r="AK77" s="2883">
        <v>280</v>
      </c>
      <c r="AL77" s="2883">
        <v>370</v>
      </c>
      <c r="AM77" s="2883">
        <v>600</v>
      </c>
      <c r="AN77" s="2883">
        <v>497</v>
      </c>
      <c r="AO77" s="2883">
        <v>487</v>
      </c>
      <c r="AP77" s="2883">
        <v>555</v>
      </c>
      <c r="AQ77" s="2883">
        <v>397</v>
      </c>
      <c r="AR77" s="2883">
        <v>370</v>
      </c>
      <c r="AS77" s="2883">
        <v>326</v>
      </c>
      <c r="AT77" s="1102"/>
      <c r="AU77" s="2883">
        <f>SUM(AI77:AS77)</f>
        <v>5093</v>
      </c>
      <c r="AV77" s="2885">
        <f>AVERAGE(AI77:AT77)</f>
        <v>463</v>
      </c>
      <c r="AW77" s="2968">
        <v>-1</v>
      </c>
      <c r="AX77" s="2883"/>
      <c r="AY77" s="2883"/>
      <c r="AZ77" s="2883"/>
      <c r="BA77" s="2883"/>
      <c r="BB77" s="2883"/>
      <c r="BC77" s="2883"/>
      <c r="BD77" s="2883"/>
      <c r="BE77" s="2883"/>
      <c r="BF77" s="2883"/>
      <c r="BG77" s="2883"/>
      <c r="BH77" s="2883"/>
      <c r="BI77" s="2883">
        <f>SUM(AW77:BG77)</f>
        <v>-1</v>
      </c>
      <c r="BJ77" s="2885">
        <f>AVERAGE(AW77:BH77)</f>
        <v>-1</v>
      </c>
      <c r="BK77" s="1102">
        <v>0</v>
      </c>
      <c r="BL77" s="2883">
        <v>0</v>
      </c>
      <c r="BM77" s="2883"/>
      <c r="BN77" s="2883"/>
      <c r="BO77" s="2883"/>
      <c r="BP77" s="2883"/>
      <c r="BQ77" s="2883"/>
      <c r="BR77" s="2883"/>
      <c r="BS77" s="2883"/>
      <c r="BT77" s="2883"/>
      <c r="BU77" s="2883"/>
      <c r="BV77" s="2883"/>
      <c r="BW77" s="2883">
        <f>SUM(BK77:BU77)</f>
        <v>0</v>
      </c>
      <c r="BX77" s="2885">
        <f>AVERAGE(BK77:BV77)</f>
        <v>0</v>
      </c>
      <c r="BZ77" s="2860" t="e">
        <f>HLOOKUP($A$1,$AW$1:$BH$400,ROW(),0)-HLOOKUP($A$1,$AI$1:$AT$400,ROW(),0)</f>
        <v>#N/A</v>
      </c>
      <c r="CA77" s="2860">
        <f>BJ77-AV77</f>
        <v>-464</v>
      </c>
      <c r="CB77" s="2881" t="e">
        <f>HLOOKUP($A$1,$AW$1:$BH$400,ROW(),0)-SUM(AI77:AJ77)</f>
        <v>#N/A</v>
      </c>
    </row>
    <row r="78" spans="1:80" ht="18" hidden="1" customHeight="1" x14ac:dyDescent="0.55000000000000004">
      <c r="A78" s="7134"/>
      <c r="B78" s="7135"/>
      <c r="C78" s="681"/>
      <c r="D78" s="681" t="s">
        <v>55</v>
      </c>
      <c r="E78" s="3308">
        <v>2494</v>
      </c>
      <c r="F78" s="2921">
        <v>2406</v>
      </c>
      <c r="G78" s="2922">
        <v>4758</v>
      </c>
      <c r="H78" s="2922">
        <v>4065</v>
      </c>
      <c r="I78" s="2922">
        <v>3882</v>
      </c>
      <c r="J78" s="2922">
        <v>4172</v>
      </c>
      <c r="K78" s="2922">
        <v>3063</v>
      </c>
      <c r="L78" s="2922">
        <v>2723</v>
      </c>
      <c r="M78" s="2922">
        <v>4921</v>
      </c>
      <c r="N78" s="2922">
        <v>2725</v>
      </c>
      <c r="O78" s="2922">
        <v>9967</v>
      </c>
      <c r="P78" s="2922">
        <v>3812</v>
      </c>
      <c r="Q78" s="2922">
        <v>2317</v>
      </c>
      <c r="R78" s="2922">
        <f t="shared" si="192"/>
        <v>48811</v>
      </c>
      <c r="S78" s="2922">
        <f t="shared" si="195"/>
        <v>4067.5833333333335</v>
      </c>
      <c r="T78" s="2921">
        <v>2699</v>
      </c>
      <c r="U78" s="2922">
        <v>3920</v>
      </c>
      <c r="V78" s="2922">
        <v>2479</v>
      </c>
      <c r="W78" s="2922">
        <v>2283</v>
      </c>
      <c r="X78" s="2922">
        <v>3119</v>
      </c>
      <c r="Y78" s="2922">
        <v>2960</v>
      </c>
      <c r="Z78" s="1102">
        <v>2688</v>
      </c>
      <c r="AA78" s="1102">
        <v>5007</v>
      </c>
      <c r="AB78" s="1102">
        <v>1434</v>
      </c>
      <c r="AC78" s="1102">
        <v>5860</v>
      </c>
      <c r="AD78" s="1102">
        <v>2556</v>
      </c>
      <c r="AE78" s="1102">
        <v>1918</v>
      </c>
      <c r="AF78" s="2883">
        <f t="shared" si="232"/>
        <v>36923</v>
      </c>
      <c r="AG78" s="2883">
        <f t="shared" si="233"/>
        <v>3076.9166666666665</v>
      </c>
      <c r="AH78" s="2883"/>
      <c r="AI78" s="2884">
        <v>4084</v>
      </c>
      <c r="AJ78" s="2883">
        <v>2328</v>
      </c>
      <c r="AK78" s="2883">
        <v>937</v>
      </c>
      <c r="AL78" s="2883">
        <v>1033</v>
      </c>
      <c r="AM78" s="2883">
        <v>899</v>
      </c>
      <c r="AN78" s="2883">
        <v>391</v>
      </c>
      <c r="AO78" s="2883">
        <v>590</v>
      </c>
      <c r="AP78" s="2883">
        <v>729</v>
      </c>
      <c r="AQ78" s="2883">
        <v>415</v>
      </c>
      <c r="AR78" s="2883">
        <v>434</v>
      </c>
      <c r="AS78" s="2883">
        <v>271</v>
      </c>
      <c r="AT78" s="1102"/>
      <c r="AU78" s="2883">
        <f>SUM(AI78:AS78)</f>
        <v>12111</v>
      </c>
      <c r="AV78" s="2885">
        <f>AVERAGE(AI78:AT78)</f>
        <v>1101</v>
      </c>
      <c r="AW78" s="2968"/>
      <c r="AX78" s="2883"/>
      <c r="AY78" s="2883"/>
      <c r="AZ78" s="2883"/>
      <c r="BA78" s="2883"/>
      <c r="BB78" s="2883"/>
      <c r="BC78" s="2883"/>
      <c r="BD78" s="2883"/>
      <c r="BE78" s="2883"/>
      <c r="BF78" s="2883"/>
      <c r="BG78" s="2883"/>
      <c r="BH78" s="2883"/>
      <c r="BI78" s="2883">
        <f>SUM(AW78:BG78)</f>
        <v>0</v>
      </c>
      <c r="BJ78" s="2885" t="e">
        <f>AVERAGE(AW78:BH78)</f>
        <v>#DIV/0!</v>
      </c>
      <c r="BK78" s="1102">
        <v>0</v>
      </c>
      <c r="BL78" s="2883">
        <v>0</v>
      </c>
      <c r="BM78" s="2883"/>
      <c r="BN78" s="2883"/>
      <c r="BO78" s="2883"/>
      <c r="BP78" s="2883"/>
      <c r="BQ78" s="2883"/>
      <c r="BR78" s="2883"/>
      <c r="BS78" s="2883"/>
      <c r="BT78" s="2883"/>
      <c r="BU78" s="2883"/>
      <c r="BV78" s="2883"/>
      <c r="BW78" s="2883">
        <f>SUM(BK78:BU78)</f>
        <v>0</v>
      </c>
      <c r="BX78" s="2885">
        <f>AVERAGE(BK78:BV78)</f>
        <v>0</v>
      </c>
      <c r="BZ78" s="2860" t="e">
        <f>HLOOKUP($A$1,$AW$1:$BH$400,ROW(),0)-HLOOKUP($A$1,$AI$1:$AT$400,ROW(),0)</f>
        <v>#N/A</v>
      </c>
      <c r="CA78" s="2860" t="e">
        <f>BJ78-AV78</f>
        <v>#DIV/0!</v>
      </c>
      <c r="CB78" s="2881" t="e">
        <f>HLOOKUP($A$1,$AW$1:$BH$400,ROW(),0)-SUM(AI78:AJ78)</f>
        <v>#N/A</v>
      </c>
    </row>
    <row r="79" spans="1:80" ht="18" customHeight="1" x14ac:dyDescent="0.55000000000000004">
      <c r="A79" s="7134"/>
      <c r="B79" s="7135"/>
      <c r="C79" s="681" t="s">
        <v>47</v>
      </c>
      <c r="D79" s="681"/>
      <c r="E79" s="3308">
        <v>1647</v>
      </c>
      <c r="F79" s="2921">
        <v>1376</v>
      </c>
      <c r="G79" s="2922">
        <v>1003</v>
      </c>
      <c r="H79" s="2922">
        <v>1289</v>
      </c>
      <c r="I79" s="2922">
        <v>1608</v>
      </c>
      <c r="J79" s="2922">
        <v>1094</v>
      </c>
      <c r="K79" s="2922">
        <v>1313</v>
      </c>
      <c r="L79" s="2922">
        <v>956</v>
      </c>
      <c r="M79" s="2922">
        <v>954</v>
      </c>
      <c r="N79" s="2922">
        <v>847</v>
      </c>
      <c r="O79" s="2922">
        <v>1090</v>
      </c>
      <c r="P79" s="2922">
        <v>869</v>
      </c>
      <c r="Q79" s="2922">
        <v>957</v>
      </c>
      <c r="R79" s="2922">
        <f t="shared" si="192"/>
        <v>13356</v>
      </c>
      <c r="S79" s="2922">
        <f t="shared" si="195"/>
        <v>1113</v>
      </c>
      <c r="T79" s="2921">
        <v>913</v>
      </c>
      <c r="U79" s="2922">
        <v>1026</v>
      </c>
      <c r="V79" s="2922">
        <v>950</v>
      </c>
      <c r="W79" s="2922">
        <v>917</v>
      </c>
      <c r="X79" s="2922">
        <v>1785</v>
      </c>
      <c r="Y79" s="2922">
        <v>1622</v>
      </c>
      <c r="Z79" s="1102">
        <v>1403</v>
      </c>
      <c r="AA79" s="1102">
        <v>1401</v>
      </c>
      <c r="AB79" s="1102">
        <v>1095</v>
      </c>
      <c r="AC79" s="1102">
        <v>1402</v>
      </c>
      <c r="AD79" s="1102">
        <v>1182</v>
      </c>
      <c r="AE79" s="1102">
        <v>1079</v>
      </c>
      <c r="AF79" s="2883">
        <f t="shared" si="232"/>
        <v>14775</v>
      </c>
      <c r="AG79" s="2883">
        <f t="shared" si="233"/>
        <v>1231.25</v>
      </c>
      <c r="AH79" s="2883"/>
      <c r="AI79" s="2884">
        <v>1260</v>
      </c>
      <c r="AJ79" s="2883">
        <v>1189</v>
      </c>
      <c r="AK79" s="2883">
        <v>929</v>
      </c>
      <c r="AL79" s="2883">
        <v>966</v>
      </c>
      <c r="AM79" s="2883">
        <v>1100</v>
      </c>
      <c r="AN79" s="2883">
        <v>1173</v>
      </c>
      <c r="AO79" s="2883">
        <v>971</v>
      </c>
      <c r="AP79" s="2883">
        <v>894</v>
      </c>
      <c r="AQ79" s="2883">
        <v>894</v>
      </c>
      <c r="AR79" s="2883">
        <v>1086</v>
      </c>
      <c r="AS79" s="2883">
        <v>1013</v>
      </c>
      <c r="AT79" s="1102">
        <v>856</v>
      </c>
      <c r="AU79" s="2883">
        <f t="shared" ref="AU79:AU84" si="234">SUM(AI79:AT79)</f>
        <v>12331</v>
      </c>
      <c r="AV79" s="2885">
        <f>AVERAGE(AI79:AS79)</f>
        <v>1043.1818181818182</v>
      </c>
      <c r="AW79" s="2968">
        <v>925</v>
      </c>
      <c r="AX79" s="2883">
        <v>1079</v>
      </c>
      <c r="AY79" s="2883">
        <v>824</v>
      </c>
      <c r="AZ79" s="2883">
        <v>836</v>
      </c>
      <c r="BA79" s="2883">
        <v>693</v>
      </c>
      <c r="BB79" s="2883">
        <v>807</v>
      </c>
      <c r="BC79" s="2883">
        <v>916</v>
      </c>
      <c r="BD79" s="2883">
        <v>831</v>
      </c>
      <c r="BE79" s="2883">
        <v>840</v>
      </c>
      <c r="BF79" s="2883">
        <v>787</v>
      </c>
      <c r="BG79" s="2883">
        <v>671</v>
      </c>
      <c r="BH79" s="1102">
        <v>700</v>
      </c>
      <c r="BI79" s="2883">
        <f t="shared" ref="BI79:BI84" si="235">SUM(AW79:BH79)</f>
        <v>9909</v>
      </c>
      <c r="BJ79" s="2885">
        <f>AVERAGE(AW79:BG79)</f>
        <v>837.18181818181813</v>
      </c>
      <c r="BK79" s="1102">
        <v>1836</v>
      </c>
      <c r="BL79" s="2883">
        <v>504</v>
      </c>
      <c r="BM79" s="2883"/>
      <c r="BN79" s="2883"/>
      <c r="BO79" s="2883"/>
      <c r="BP79" s="2883"/>
      <c r="BQ79" s="2883"/>
      <c r="BR79" s="2883"/>
      <c r="BS79" s="2883"/>
      <c r="BT79" s="2883"/>
      <c r="BU79" s="2883"/>
      <c r="BV79" s="1102"/>
      <c r="BW79" s="2883">
        <f t="shared" ref="BW79:BW81" si="236">SUM(BK79:BV79)</f>
        <v>2340</v>
      </c>
      <c r="BX79" s="2885">
        <f>AVERAGE(BK79:BU79)</f>
        <v>1170</v>
      </c>
      <c r="BZ79" s="2860" t="e">
        <f>HLOOKUP($A$1,$AW$1:$BH$400,ROW(),0)-HLOOKUP($A$1,$AI$1:$AT$400,ROW(),0)</f>
        <v>#N/A</v>
      </c>
      <c r="CA79" s="2860">
        <f>BJ79-AV79</f>
        <v>-206.00000000000011</v>
      </c>
      <c r="CB79" s="2881" t="e">
        <f>HLOOKUP($A$1,$AW$1:$BH$400,ROW(),0)-SUM(AI79:AJ79)</f>
        <v>#N/A</v>
      </c>
    </row>
    <row r="80" spans="1:80" ht="18" customHeight="1" x14ac:dyDescent="0.55000000000000004">
      <c r="A80" s="7134"/>
      <c r="B80" s="7135"/>
      <c r="C80" s="681" t="s">
        <v>58</v>
      </c>
      <c r="D80" s="681"/>
      <c r="E80" s="3308"/>
      <c r="F80" s="2921">
        <v>98</v>
      </c>
      <c r="G80" s="2922">
        <v>79</v>
      </c>
      <c r="H80" s="2922">
        <v>224</v>
      </c>
      <c r="I80" s="2922">
        <v>120</v>
      </c>
      <c r="J80" s="2922">
        <v>106</v>
      </c>
      <c r="K80" s="2922">
        <v>165</v>
      </c>
      <c r="L80" s="2922">
        <v>101</v>
      </c>
      <c r="M80" s="2922">
        <v>112</v>
      </c>
      <c r="N80" s="2922">
        <v>96</v>
      </c>
      <c r="O80" s="2922">
        <v>112</v>
      </c>
      <c r="P80" s="2922">
        <v>89</v>
      </c>
      <c r="Q80" s="2922">
        <v>188</v>
      </c>
      <c r="R80" s="2922">
        <f t="shared" si="192"/>
        <v>1490</v>
      </c>
      <c r="S80" s="2922">
        <f t="shared" si="195"/>
        <v>124.16666666666667</v>
      </c>
      <c r="T80" s="2921">
        <v>74</v>
      </c>
      <c r="U80" s="2922">
        <v>77</v>
      </c>
      <c r="V80" s="2922">
        <v>114</v>
      </c>
      <c r="W80" s="2922">
        <v>97</v>
      </c>
      <c r="X80" s="2922">
        <v>155</v>
      </c>
      <c r="Y80" s="2922">
        <v>139</v>
      </c>
      <c r="Z80" s="1102">
        <v>96</v>
      </c>
      <c r="AA80" s="1102">
        <v>132</v>
      </c>
      <c r="AB80" s="1102">
        <v>158</v>
      </c>
      <c r="AC80" s="1102">
        <v>112</v>
      </c>
      <c r="AD80" s="1102">
        <v>119</v>
      </c>
      <c r="AE80" s="1102">
        <v>186</v>
      </c>
      <c r="AF80" s="2883">
        <f t="shared" si="232"/>
        <v>1459</v>
      </c>
      <c r="AG80" s="2883">
        <f t="shared" si="233"/>
        <v>121.58333333333333</v>
      </c>
      <c r="AH80" s="2883"/>
      <c r="AI80" s="2884">
        <v>97</v>
      </c>
      <c r="AJ80" s="2883">
        <v>124</v>
      </c>
      <c r="AK80" s="2883">
        <v>128</v>
      </c>
      <c r="AL80" s="2883">
        <v>145</v>
      </c>
      <c r="AM80" s="2883">
        <v>180</v>
      </c>
      <c r="AN80" s="2883">
        <v>103</v>
      </c>
      <c r="AO80" s="2883">
        <v>126</v>
      </c>
      <c r="AP80" s="2883">
        <v>129</v>
      </c>
      <c r="AQ80" s="2883">
        <v>120</v>
      </c>
      <c r="AR80" s="2883">
        <v>109</v>
      </c>
      <c r="AS80" s="2883">
        <v>101</v>
      </c>
      <c r="AT80" s="1102">
        <v>143</v>
      </c>
      <c r="AU80" s="2883">
        <f t="shared" si="234"/>
        <v>1505</v>
      </c>
      <c r="AV80" s="2885">
        <f>AVERAGE(AI80:AS80)</f>
        <v>123.81818181818181</v>
      </c>
      <c r="AW80" s="2968">
        <v>82</v>
      </c>
      <c r="AX80" s="2883">
        <v>80</v>
      </c>
      <c r="AY80" s="2883">
        <v>77</v>
      </c>
      <c r="AZ80" s="2883">
        <v>78</v>
      </c>
      <c r="BA80" s="2883">
        <v>78</v>
      </c>
      <c r="BB80" s="2883">
        <v>86</v>
      </c>
      <c r="BC80" s="2883">
        <v>55</v>
      </c>
      <c r="BD80" s="2883">
        <v>60</v>
      </c>
      <c r="BE80" s="2883">
        <v>52</v>
      </c>
      <c r="BF80" s="2883">
        <v>50</v>
      </c>
      <c r="BG80" s="2883">
        <v>48</v>
      </c>
      <c r="BH80" s="1102">
        <v>47</v>
      </c>
      <c r="BI80" s="2883">
        <f t="shared" si="235"/>
        <v>793</v>
      </c>
      <c r="BJ80" s="2885">
        <f>AVERAGE(AW80:BG80)</f>
        <v>67.818181818181813</v>
      </c>
      <c r="BK80" s="1102">
        <v>78</v>
      </c>
      <c r="BL80" s="2883">
        <v>21</v>
      </c>
      <c r="BM80" s="2883"/>
      <c r="BN80" s="2883"/>
      <c r="BO80" s="2883"/>
      <c r="BP80" s="2883"/>
      <c r="BQ80" s="2883"/>
      <c r="BR80" s="2883"/>
      <c r="BS80" s="2883"/>
      <c r="BT80" s="2883"/>
      <c r="BU80" s="2883"/>
      <c r="BV80" s="1102"/>
      <c r="BW80" s="2883">
        <f t="shared" si="236"/>
        <v>99</v>
      </c>
      <c r="BX80" s="2885">
        <f>AVERAGE(BK80:BU80)</f>
        <v>49.5</v>
      </c>
      <c r="BZ80" s="2860" t="e">
        <f>HLOOKUP($A$1,$AW$1:$BH$400,ROW(),0)-HLOOKUP($A$1,$AI$1:$AT$400,ROW(),0)</f>
        <v>#N/A</v>
      </c>
      <c r="CA80" s="2860">
        <f>BJ80-AV80</f>
        <v>-56</v>
      </c>
      <c r="CB80" s="2881" t="e">
        <f>HLOOKUP($A$1,$AW$1:$BH$400,ROW(),0)-SUM(AI80:AJ80)</f>
        <v>#N/A</v>
      </c>
    </row>
    <row r="81" spans="1:80" ht="18" customHeight="1" x14ac:dyDescent="0.55000000000000004">
      <c r="A81" s="7134"/>
      <c r="B81" s="7135"/>
      <c r="C81" s="681" t="s">
        <v>48</v>
      </c>
      <c r="D81" s="681"/>
      <c r="E81" s="3308"/>
      <c r="F81" s="2921"/>
      <c r="G81" s="2922"/>
      <c r="H81" s="2922"/>
      <c r="I81" s="2922"/>
      <c r="J81" s="2922"/>
      <c r="K81" s="2922"/>
      <c r="L81" s="2922"/>
      <c r="M81" s="2922"/>
      <c r="N81" s="2922"/>
      <c r="O81" s="2922"/>
      <c r="P81" s="2922"/>
      <c r="Q81" s="2922"/>
      <c r="R81" s="2922">
        <f t="shared" si="192"/>
        <v>0</v>
      </c>
      <c r="S81" s="2922" t="e">
        <f t="shared" si="195"/>
        <v>#DIV/0!</v>
      </c>
      <c r="T81" s="2921">
        <f>T76-T79-T82-T84</f>
        <v>1830</v>
      </c>
      <c r="U81" s="2922">
        <f t="shared" ref="U81:AE81" si="237">U76-U79-U82-U84</f>
        <v>3516</v>
      </c>
      <c r="V81" s="2922">
        <f t="shared" si="237"/>
        <v>2281</v>
      </c>
      <c r="W81" s="2922">
        <f t="shared" si="237"/>
        <v>2031</v>
      </c>
      <c r="X81" s="2922">
        <f t="shared" si="237"/>
        <v>2035</v>
      </c>
      <c r="Y81" s="2922">
        <f t="shared" si="237"/>
        <v>1948</v>
      </c>
      <c r="Z81" s="1102">
        <f t="shared" si="237"/>
        <v>1910</v>
      </c>
      <c r="AA81" s="1102">
        <f t="shared" si="237"/>
        <v>3272</v>
      </c>
      <c r="AB81" s="1102">
        <f t="shared" si="237"/>
        <v>1349</v>
      </c>
      <c r="AC81" s="1102">
        <f t="shared" si="237"/>
        <v>4776</v>
      </c>
      <c r="AD81" s="1102">
        <f t="shared" si="237"/>
        <v>1860</v>
      </c>
      <c r="AE81" s="1102">
        <f t="shared" si="237"/>
        <v>1567</v>
      </c>
      <c r="AF81" s="2883">
        <f t="shared" si="232"/>
        <v>28375</v>
      </c>
      <c r="AG81" s="2883">
        <f t="shared" si="233"/>
        <v>2364.5833333333335</v>
      </c>
      <c r="AH81" s="2883"/>
      <c r="AI81" s="2884">
        <f t="shared" ref="AI81" si="238">-(AI84-(AI76-AI79-AI82-AI83))</f>
        <v>2097</v>
      </c>
      <c r="AJ81" s="2883">
        <f>-(AJ84-(AJ76-AJ79-AJ82-AJ83))</f>
        <v>7612</v>
      </c>
      <c r="AK81" s="2883">
        <f t="shared" ref="AK81" si="239">-(AK84-(AK76-AK79-AK82-AK83))</f>
        <v>5043</v>
      </c>
      <c r="AL81" s="2883">
        <f t="shared" ref="AL81" si="240">-(AL84-(AL76-AL79-AL82-AL83))</f>
        <v>1460</v>
      </c>
      <c r="AM81" s="2883">
        <f t="shared" ref="AM81" si="241">-(AM84-(AM76-AM79-AM82-AM83))</f>
        <v>1355</v>
      </c>
      <c r="AN81" s="2883">
        <f t="shared" ref="AN81" si="242">-(AN84-(AN76-AN79-AN82-AN83))</f>
        <v>626</v>
      </c>
      <c r="AO81" s="2883">
        <f t="shared" ref="AO81" si="243">-(AO84-(AO76-AO79-AO82-AO83))</f>
        <v>1894</v>
      </c>
      <c r="AP81" s="2883">
        <f t="shared" ref="AP81" si="244">-(AP84-(AP76-AP79-AP82-AP83))</f>
        <v>1322</v>
      </c>
      <c r="AQ81" s="2883">
        <f t="shared" ref="AQ81" si="245">-(AQ84-(AQ76-AQ79-AQ82-AQ83))</f>
        <v>3281</v>
      </c>
      <c r="AR81" s="2883">
        <f t="shared" ref="AR81" si="246">-(AR84-(AR76-AR79-AR82-AR83))</f>
        <v>2275</v>
      </c>
      <c r="AS81" s="2883">
        <f t="shared" ref="AS81" si="247">-(AS84-(AS76-AS79-AS82-AS83))</f>
        <v>1447</v>
      </c>
      <c r="AT81" s="1102">
        <f t="shared" ref="AT81" si="248">-(AT84-(AT76-AT79-AT82-AT83))</f>
        <v>1449</v>
      </c>
      <c r="AU81" s="2883">
        <f t="shared" si="234"/>
        <v>29861</v>
      </c>
      <c r="AV81" s="2885">
        <f>AVERAGE(AI81:AS81)</f>
        <v>2582.909090909091</v>
      </c>
      <c r="AW81" s="4507">
        <f>-(AW84-(AW76-AW79-AW82))</f>
        <v>1070</v>
      </c>
      <c r="AX81" s="2903">
        <f t="shared" ref="AX81:BL81" si="249">-(AX84-(AX76-AX79-AX82))</f>
        <v>2676</v>
      </c>
      <c r="AY81" s="2903">
        <f t="shared" si="249"/>
        <v>1416</v>
      </c>
      <c r="AZ81" s="2903">
        <f t="shared" si="249"/>
        <v>1541</v>
      </c>
      <c r="BA81" s="2903">
        <f t="shared" si="249"/>
        <v>1546</v>
      </c>
      <c r="BB81" s="2903">
        <f t="shared" si="249"/>
        <v>1278</v>
      </c>
      <c r="BC81" s="2903">
        <f t="shared" si="249"/>
        <v>2103</v>
      </c>
      <c r="BD81" s="2903">
        <f t="shared" si="249"/>
        <v>1628</v>
      </c>
      <c r="BE81" s="2903">
        <f t="shared" si="249"/>
        <v>3420</v>
      </c>
      <c r="BF81" s="2903">
        <f t="shared" si="249"/>
        <v>2103</v>
      </c>
      <c r="BG81" s="2903">
        <f t="shared" si="249"/>
        <v>1365</v>
      </c>
      <c r="BH81" s="2903">
        <f t="shared" si="249"/>
        <v>1301</v>
      </c>
      <c r="BI81" s="2883">
        <f t="shared" si="249"/>
        <v>21447</v>
      </c>
      <c r="BJ81" s="2885">
        <f t="shared" si="249"/>
        <v>1820.4191919191917</v>
      </c>
      <c r="BK81" s="2903">
        <f t="shared" si="249"/>
        <v>1758</v>
      </c>
      <c r="BL81" s="2903">
        <f t="shared" si="249"/>
        <v>840</v>
      </c>
      <c r="BM81" s="2903"/>
      <c r="BN81" s="2903"/>
      <c r="BO81" s="2903"/>
      <c r="BP81" s="2903"/>
      <c r="BQ81" s="2903"/>
      <c r="BR81" s="2903"/>
      <c r="BS81" s="2903"/>
      <c r="BT81" s="2903"/>
      <c r="BU81" s="2903"/>
      <c r="BV81" s="2903"/>
      <c r="BW81" s="2883">
        <f t="shared" si="236"/>
        <v>2598</v>
      </c>
      <c r="BX81" s="2885">
        <f>AVERAGE(BK81:BU81)</f>
        <v>1299</v>
      </c>
      <c r="BZ81" s="2860" t="e">
        <f>HLOOKUP($A$1,$AW$1:$BH$400,ROW(),0)-HLOOKUP($A$1,$AI$1:$AT$400,ROW(),0)</f>
        <v>#N/A</v>
      </c>
      <c r="CA81" s="2860">
        <f>BJ81-AV81</f>
        <v>-762.4898989898993</v>
      </c>
      <c r="CB81" s="2881" t="e">
        <f>HLOOKUP($A$1,$AW$1:$BH$400,ROW(),0)-SUM(AI81:AJ81)</f>
        <v>#N/A</v>
      </c>
    </row>
    <row r="82" spans="1:80" ht="18" customHeight="1" x14ac:dyDescent="0.55000000000000004">
      <c r="A82" s="7134"/>
      <c r="B82" s="7135"/>
      <c r="C82" s="681" t="s">
        <v>49</v>
      </c>
      <c r="D82" s="681"/>
      <c r="E82" s="3308"/>
      <c r="F82" s="2921"/>
      <c r="G82" s="2922"/>
      <c r="H82" s="2922"/>
      <c r="I82" s="2922"/>
      <c r="J82" s="2922">
        <v>2281</v>
      </c>
      <c r="K82" s="2922">
        <v>2064</v>
      </c>
      <c r="L82" s="2922">
        <v>2008</v>
      </c>
      <c r="M82" s="2922">
        <v>2292</v>
      </c>
      <c r="N82" s="2922">
        <v>1851</v>
      </c>
      <c r="O82" s="2922">
        <v>2346</v>
      </c>
      <c r="P82" s="2922">
        <v>2201</v>
      </c>
      <c r="Q82" s="2922">
        <v>1566</v>
      </c>
      <c r="R82" s="2922">
        <f t="shared" si="192"/>
        <v>16609</v>
      </c>
      <c r="S82" s="2922">
        <f t="shared" si="195"/>
        <v>2076.125</v>
      </c>
      <c r="T82" s="2921">
        <v>967</v>
      </c>
      <c r="U82" s="2922">
        <v>1105</v>
      </c>
      <c r="V82" s="2922">
        <v>1126</v>
      </c>
      <c r="W82" s="2922">
        <v>521</v>
      </c>
      <c r="X82" s="2922">
        <v>952</v>
      </c>
      <c r="Y82" s="2922">
        <v>621</v>
      </c>
      <c r="Z82" s="1102">
        <v>582</v>
      </c>
      <c r="AA82" s="1102">
        <v>551</v>
      </c>
      <c r="AB82" s="1102">
        <v>478</v>
      </c>
      <c r="AC82" s="1102">
        <v>483</v>
      </c>
      <c r="AD82" s="1102">
        <v>477</v>
      </c>
      <c r="AE82" s="1102">
        <v>428</v>
      </c>
      <c r="AF82" s="2883">
        <f t="shared" si="232"/>
        <v>8291</v>
      </c>
      <c r="AG82" s="2883">
        <f t="shared" si="233"/>
        <v>690.91666666666663</v>
      </c>
      <c r="AH82" s="2883"/>
      <c r="AI82" s="2884">
        <v>492</v>
      </c>
      <c r="AJ82" s="2883">
        <v>499</v>
      </c>
      <c r="AK82" s="2883">
        <v>679</v>
      </c>
      <c r="AL82" s="2883">
        <v>662</v>
      </c>
      <c r="AM82" s="2883">
        <v>742</v>
      </c>
      <c r="AN82" s="2883">
        <v>590</v>
      </c>
      <c r="AO82" s="2883">
        <v>663</v>
      </c>
      <c r="AP82" s="2883">
        <v>1184</v>
      </c>
      <c r="AQ82" s="2883">
        <v>674</v>
      </c>
      <c r="AR82" s="2883">
        <v>862</v>
      </c>
      <c r="AS82" s="2883">
        <v>541</v>
      </c>
      <c r="AT82" s="1102">
        <v>639</v>
      </c>
      <c r="AU82" s="2883">
        <f t="shared" si="234"/>
        <v>8227</v>
      </c>
      <c r="AV82" s="2885">
        <f>AVERAGE(AI82:AS82)</f>
        <v>689.81818181818187</v>
      </c>
      <c r="AW82" s="2968">
        <v>366</v>
      </c>
      <c r="AX82" s="2883">
        <v>1165</v>
      </c>
      <c r="AY82" s="2883">
        <v>520</v>
      </c>
      <c r="AZ82" s="2883">
        <v>421</v>
      </c>
      <c r="BA82" s="2883">
        <v>498</v>
      </c>
      <c r="BB82" s="2883">
        <v>375</v>
      </c>
      <c r="BC82" s="2883">
        <v>440</v>
      </c>
      <c r="BD82" s="2883">
        <v>1162</v>
      </c>
      <c r="BE82" s="2883">
        <v>548</v>
      </c>
      <c r="BF82" s="2883">
        <v>1316</v>
      </c>
      <c r="BG82" s="2883">
        <v>1851</v>
      </c>
      <c r="BH82" s="1102">
        <v>1323</v>
      </c>
      <c r="BI82" s="2883">
        <f>SUM(AW82:BH82)</f>
        <v>9985</v>
      </c>
      <c r="BJ82" s="2885">
        <f>AVERAGE(AW82:BG82)</f>
        <v>787.4545454545455</v>
      </c>
      <c r="BK82" s="1102">
        <v>1332</v>
      </c>
      <c r="BL82" s="2883">
        <v>867</v>
      </c>
      <c r="BM82" s="2883"/>
      <c r="BN82" s="2883"/>
      <c r="BO82" s="2883"/>
      <c r="BP82" s="2883"/>
      <c r="BQ82" s="2883"/>
      <c r="BR82" s="2883"/>
      <c r="BS82" s="2883"/>
      <c r="BT82" s="2883"/>
      <c r="BU82" s="2883"/>
      <c r="BV82" s="1102"/>
      <c r="BW82" s="2883">
        <f>SUM(BK82:BV82)</f>
        <v>2199</v>
      </c>
      <c r="BX82" s="2885">
        <f>AVERAGE(BK82:BU82)</f>
        <v>1099.5</v>
      </c>
      <c r="BZ82" s="2860" t="e">
        <f>HLOOKUP($A$1,$AW$1:$BH$400,ROW(),0)-HLOOKUP($A$1,$AI$1:$AT$400,ROW(),0)</f>
        <v>#N/A</v>
      </c>
      <c r="CA82" s="2860">
        <f>BJ82-AV82</f>
        <v>97.636363636363626</v>
      </c>
      <c r="CB82" s="2881" t="e">
        <f>HLOOKUP($A$1,$AW$1:$BH$400,ROW(),0)-SUM(AI82:AJ82)</f>
        <v>#N/A</v>
      </c>
    </row>
    <row r="83" spans="1:80" ht="18" hidden="1" customHeight="1" x14ac:dyDescent="0.55000000000000004">
      <c r="A83" s="7134"/>
      <c r="B83" s="7135"/>
      <c r="C83" s="681" t="s">
        <v>714</v>
      </c>
      <c r="D83" s="681"/>
      <c r="E83" s="3308"/>
      <c r="F83" s="2921"/>
      <c r="G83" s="2922"/>
      <c r="H83" s="2922"/>
      <c r="I83" s="2922"/>
      <c r="J83" s="2922"/>
      <c r="K83" s="2922"/>
      <c r="L83" s="2922"/>
      <c r="M83" s="2922"/>
      <c r="N83" s="2922"/>
      <c r="O83" s="2922"/>
      <c r="P83" s="2922"/>
      <c r="Q83" s="2922"/>
      <c r="R83" s="2922">
        <f t="shared" si="192"/>
        <v>0</v>
      </c>
      <c r="S83" s="2922" t="e">
        <f t="shared" si="195"/>
        <v>#DIV/0!</v>
      </c>
      <c r="T83" s="2921">
        <v>0</v>
      </c>
      <c r="U83" s="2922">
        <v>0</v>
      </c>
      <c r="V83" s="2922">
        <v>0</v>
      </c>
      <c r="W83" s="2922">
        <v>0</v>
      </c>
      <c r="X83" s="2922">
        <v>0</v>
      </c>
      <c r="Y83" s="2922">
        <v>0</v>
      </c>
      <c r="Z83" s="1102">
        <v>0</v>
      </c>
      <c r="AA83" s="1102">
        <v>0</v>
      </c>
      <c r="AB83" s="1102">
        <v>0</v>
      </c>
      <c r="AC83" s="1102">
        <v>0</v>
      </c>
      <c r="AD83" s="1102">
        <v>0</v>
      </c>
      <c r="AE83" s="1102">
        <v>0</v>
      </c>
      <c r="AF83" s="2883">
        <f t="shared" si="232"/>
        <v>0</v>
      </c>
      <c r="AG83" s="2883">
        <f t="shared" si="233"/>
        <v>0</v>
      </c>
      <c r="AH83" s="2883"/>
      <c r="AI83" s="2884"/>
      <c r="AJ83" s="2883">
        <f>-AJ93</f>
        <v>-2954</v>
      </c>
      <c r="AK83" s="2883">
        <f t="shared" ref="AK83:AT83" si="250">-AK93</f>
        <v>-1926</v>
      </c>
      <c r="AL83" s="2883">
        <f t="shared" si="250"/>
        <v>-17</v>
      </c>
      <c r="AM83" s="2883">
        <f t="shared" si="250"/>
        <v>-10</v>
      </c>
      <c r="AN83" s="2883">
        <f t="shared" si="250"/>
        <v>-12</v>
      </c>
      <c r="AO83" s="2883">
        <f t="shared" si="250"/>
        <v>-13</v>
      </c>
      <c r="AP83" s="2883">
        <f t="shared" si="250"/>
        <v>0</v>
      </c>
      <c r="AQ83" s="2883">
        <f t="shared" si="250"/>
        <v>0</v>
      </c>
      <c r="AR83" s="2883">
        <f t="shared" si="250"/>
        <v>0</v>
      </c>
      <c r="AS83" s="2883">
        <f t="shared" si="250"/>
        <v>0</v>
      </c>
      <c r="AT83" s="2883">
        <f t="shared" si="250"/>
        <v>0</v>
      </c>
      <c r="AU83" s="2883">
        <f t="shared" si="234"/>
        <v>-4932</v>
      </c>
      <c r="AV83" s="2885">
        <f>AVERAGE(AI83:AS83)</f>
        <v>-493.2</v>
      </c>
      <c r="AW83" s="2968"/>
      <c r="AX83" s="2883"/>
      <c r="AY83" s="2883"/>
      <c r="AZ83" s="2883"/>
      <c r="BA83" s="2883"/>
      <c r="BB83" s="2883"/>
      <c r="BC83" s="2883"/>
      <c r="BD83" s="2883"/>
      <c r="BE83" s="2883"/>
      <c r="BF83" s="2883"/>
      <c r="BG83" s="2883"/>
      <c r="BH83" s="2883"/>
      <c r="BI83" s="2883">
        <f t="shared" si="235"/>
        <v>0</v>
      </c>
      <c r="BJ83" s="2885">
        <v>0</v>
      </c>
      <c r="BK83" s="1102"/>
      <c r="BL83" s="2883"/>
      <c r="BM83" s="2883"/>
      <c r="BN83" s="2883"/>
      <c r="BO83" s="2883"/>
      <c r="BP83" s="2883"/>
      <c r="BQ83" s="2883"/>
      <c r="BR83" s="2883"/>
      <c r="BS83" s="2883"/>
      <c r="BT83" s="2883"/>
      <c r="BU83" s="2883"/>
      <c r="BV83" s="2883"/>
      <c r="BW83" s="2883">
        <f t="shared" ref="BW83:BW84" si="251">SUM(BK83:BV83)</f>
        <v>0</v>
      </c>
      <c r="BX83" s="2885">
        <v>0</v>
      </c>
      <c r="BZ83" s="2860" t="e">
        <f>HLOOKUP($A$1,$AW$1:$BH$400,ROW(),0)-HLOOKUP($A$1,$AI$1:$AT$400,ROW(),0)</f>
        <v>#N/A</v>
      </c>
      <c r="CA83" s="2860">
        <f>BJ83-AV83</f>
        <v>493.2</v>
      </c>
      <c r="CB83" s="2881" t="e">
        <f>HLOOKUP($A$1,$AW$1:$BH$400,ROW(),0)-SUM(AI83:AJ83)</f>
        <v>#N/A</v>
      </c>
    </row>
    <row r="84" spans="1:80" ht="18" customHeight="1" x14ac:dyDescent="0.55000000000000004">
      <c r="A84" s="7167"/>
      <c r="B84" s="7168"/>
      <c r="C84" s="3311" t="s">
        <v>50</v>
      </c>
      <c r="D84" s="685"/>
      <c r="E84" s="2928"/>
      <c r="F84" s="2929"/>
      <c r="G84" s="2928"/>
      <c r="H84" s="2928"/>
      <c r="I84" s="2928"/>
      <c r="J84" s="2928"/>
      <c r="K84" s="2928"/>
      <c r="L84" s="2928"/>
      <c r="M84" s="2928"/>
      <c r="N84" s="2928"/>
      <c r="O84" s="2928"/>
      <c r="P84" s="2928"/>
      <c r="Q84" s="2928"/>
      <c r="R84" s="2928">
        <f t="shared" si="192"/>
        <v>0</v>
      </c>
      <c r="S84" s="2928" t="e">
        <f t="shared" si="195"/>
        <v>#DIV/0!</v>
      </c>
      <c r="T84" s="2929">
        <f>T75-Q75</f>
        <v>308</v>
      </c>
      <c r="U84" s="2928">
        <f t="shared" ref="U84:AE84" si="252">U75-T75</f>
        <v>628</v>
      </c>
      <c r="V84" s="2928">
        <f t="shared" si="252"/>
        <v>-303</v>
      </c>
      <c r="W84" s="2928">
        <f t="shared" si="252"/>
        <v>338</v>
      </c>
      <c r="X84" s="2928">
        <f t="shared" si="252"/>
        <v>575</v>
      </c>
      <c r="Y84" s="2928">
        <f t="shared" si="252"/>
        <v>654</v>
      </c>
      <c r="Z84" s="2895">
        <f t="shared" si="252"/>
        <v>142</v>
      </c>
      <c r="AA84" s="2895">
        <f t="shared" si="252"/>
        <v>1036</v>
      </c>
      <c r="AB84" s="2895">
        <f t="shared" si="252"/>
        <v>-771</v>
      </c>
      <c r="AC84" s="2895">
        <f t="shared" si="252"/>
        <v>384</v>
      </c>
      <c r="AD84" s="2895">
        <f t="shared" si="252"/>
        <v>-407</v>
      </c>
      <c r="AE84" s="2895">
        <f t="shared" si="252"/>
        <v>-501</v>
      </c>
      <c r="AF84" s="2896">
        <f t="shared" si="232"/>
        <v>2083</v>
      </c>
      <c r="AG84" s="2896">
        <f t="shared" si="233"/>
        <v>173.58333333333334</v>
      </c>
      <c r="AH84" s="2896"/>
      <c r="AI84" s="2919">
        <v>794</v>
      </c>
      <c r="AJ84" s="2896">
        <v>-3057</v>
      </c>
      <c r="AK84" s="2896">
        <v>-3508</v>
      </c>
      <c r="AL84" s="2896">
        <v>-1668</v>
      </c>
      <c r="AM84" s="2896">
        <v>-1688</v>
      </c>
      <c r="AN84" s="2896">
        <v>-1489</v>
      </c>
      <c r="AO84" s="2896">
        <v>-2441</v>
      </c>
      <c r="AP84" s="2896">
        <v>-2117</v>
      </c>
      <c r="AQ84" s="2896">
        <v>-4039</v>
      </c>
      <c r="AR84" s="2896">
        <v>-3421</v>
      </c>
      <c r="AS84" s="2896">
        <v>-2404</v>
      </c>
      <c r="AT84" s="2895">
        <v>-2415</v>
      </c>
      <c r="AU84" s="2896">
        <f t="shared" si="234"/>
        <v>-27453</v>
      </c>
      <c r="AV84" s="2898">
        <f>AVERAGE(AI84:AT84)</f>
        <v>-2287.75</v>
      </c>
      <c r="AW84" s="4505">
        <f>AW75-AT75</f>
        <v>-2362</v>
      </c>
      <c r="AX84" s="2896">
        <f>AX75-AW75</f>
        <v>-4920</v>
      </c>
      <c r="AY84" s="2896">
        <f t="shared" ref="AY84:BA84" si="253">AY75-AX75</f>
        <v>-2760</v>
      </c>
      <c r="AZ84" s="2896">
        <f t="shared" si="253"/>
        <v>-2798</v>
      </c>
      <c r="BA84" s="2896">
        <f t="shared" si="253"/>
        <v>-2737</v>
      </c>
      <c r="BB84" s="2896">
        <f>BB75-BA75</f>
        <v>-2460</v>
      </c>
      <c r="BC84" s="2896">
        <f t="shared" ref="BC84" si="254">BC75-BB75</f>
        <v>-3459</v>
      </c>
      <c r="BD84" s="2896">
        <v>-3621</v>
      </c>
      <c r="BE84" s="2896">
        <v>-4808</v>
      </c>
      <c r="BF84" s="2896">
        <f>BF75-BE75</f>
        <v>-4206</v>
      </c>
      <c r="BG84" s="2896">
        <f>BG75-BF75</f>
        <v>-3887</v>
      </c>
      <c r="BH84" s="2896">
        <f>BH75-BG75</f>
        <v>-3324</v>
      </c>
      <c r="BI84" s="2896">
        <f t="shared" si="235"/>
        <v>-41342</v>
      </c>
      <c r="BJ84" s="2898">
        <f>AVERAGE(AW84:BH84)</f>
        <v>-3445.1666666666665</v>
      </c>
      <c r="BK84" s="2895">
        <v>-4926</v>
      </c>
      <c r="BL84" s="2896">
        <v>-2211</v>
      </c>
      <c r="BM84" s="2896"/>
      <c r="BN84" s="2896"/>
      <c r="BO84" s="2896"/>
      <c r="BP84" s="2896"/>
      <c r="BQ84" s="2896"/>
      <c r="BR84" s="2896"/>
      <c r="BS84" s="2896"/>
      <c r="BT84" s="2896"/>
      <c r="BU84" s="2896"/>
      <c r="BV84" s="2896"/>
      <c r="BW84" s="2896">
        <f t="shared" si="251"/>
        <v>-7137</v>
      </c>
      <c r="BX84" s="2898">
        <f>AVERAGE(BK84:BV84)</f>
        <v>-3568.5</v>
      </c>
      <c r="BZ84" s="2860" t="e">
        <f>HLOOKUP($A$1,$AW$1:$BH$400,ROW(),0)-HLOOKUP($A$1,$AI$1:$AT$400,ROW(),0)</f>
        <v>#N/A</v>
      </c>
      <c r="CA84" s="2860">
        <f>BJ84-AV84</f>
        <v>-1157.4166666666665</v>
      </c>
      <c r="CB84" s="2881" t="e">
        <f>HLOOKUP($A$1,$AW$1:$BH$400,ROW(),0)-SUM(AI84:AJ84)</f>
        <v>#N/A</v>
      </c>
    </row>
    <row r="85" spans="1:80" ht="18" customHeight="1" x14ac:dyDescent="0.55000000000000004">
      <c r="A85" s="7157" t="s">
        <v>1106</v>
      </c>
      <c r="B85" s="7158"/>
      <c r="C85" s="3313" t="s">
        <v>43</v>
      </c>
      <c r="D85" s="3314"/>
      <c r="E85" s="3315">
        <v>7305</v>
      </c>
      <c r="F85" s="3316">
        <v>7708</v>
      </c>
      <c r="G85" s="3315">
        <v>8289</v>
      </c>
      <c r="H85" s="3315">
        <v>8820</v>
      </c>
      <c r="I85" s="3315">
        <v>9254</v>
      </c>
      <c r="J85" s="3315">
        <v>9687</v>
      </c>
      <c r="K85" s="3315">
        <v>10138</v>
      </c>
      <c r="L85" s="3315">
        <v>10527</v>
      </c>
      <c r="M85" s="3315">
        <v>11128</v>
      </c>
      <c r="N85" s="3315">
        <v>11793</v>
      </c>
      <c r="O85" s="3315">
        <v>12476</v>
      </c>
      <c r="P85" s="3315">
        <v>12996</v>
      </c>
      <c r="Q85" s="3315">
        <v>13354</v>
      </c>
      <c r="R85" s="3315">
        <f>Q85</f>
        <v>13354</v>
      </c>
      <c r="S85" s="3315">
        <f t="shared" si="195"/>
        <v>10514.166666666666</v>
      </c>
      <c r="T85" s="3316">
        <v>13477</v>
      </c>
      <c r="U85" s="3315">
        <v>14082</v>
      </c>
      <c r="V85" s="3315">
        <v>14763</v>
      </c>
      <c r="W85" s="3315">
        <v>15205</v>
      </c>
      <c r="X85" s="3315">
        <v>15523</v>
      </c>
      <c r="Y85" s="3315">
        <v>15779</v>
      </c>
      <c r="Z85" s="3297">
        <v>16529</v>
      </c>
      <c r="AA85" s="3297">
        <v>18906</v>
      </c>
      <c r="AB85" s="3297">
        <v>19737</v>
      </c>
      <c r="AC85" s="3297">
        <v>29586</v>
      </c>
      <c r="AD85" s="3297">
        <v>31991</v>
      </c>
      <c r="AE85" s="3297">
        <v>33792</v>
      </c>
      <c r="AF85" s="3299">
        <v>33792</v>
      </c>
      <c r="AG85" s="3299">
        <f>AVERAGE(T85:AE85)</f>
        <v>19947.5</v>
      </c>
      <c r="AH85" s="3299"/>
      <c r="AI85" s="3300">
        <v>39059</v>
      </c>
      <c r="AJ85" s="3299">
        <v>47012</v>
      </c>
      <c r="AK85" s="3299">
        <v>54324</v>
      </c>
      <c r="AL85" s="3299">
        <v>60817</v>
      </c>
      <c r="AM85" s="3299">
        <v>67721</v>
      </c>
      <c r="AN85" s="3299">
        <v>72406</v>
      </c>
      <c r="AO85" s="3299">
        <v>81886</v>
      </c>
      <c r="AP85" s="3299">
        <v>88491</v>
      </c>
      <c r="AQ85" s="3299">
        <v>107576</v>
      </c>
      <c r="AR85" s="3299">
        <v>122261</v>
      </c>
      <c r="AS85" s="3299">
        <v>128262</v>
      </c>
      <c r="AT85" s="3297">
        <v>133929</v>
      </c>
      <c r="AU85" s="3299">
        <f>INDEX($AI85:$AT85, 1, MATCH(0, $AI85:$AT85, -1))</f>
        <v>133929</v>
      </c>
      <c r="AV85" s="3301">
        <f>AVERAGE(AI85:AT85)</f>
        <v>83645.333333333328</v>
      </c>
      <c r="AW85" s="4506">
        <v>139462</v>
      </c>
      <c r="AX85" s="3299">
        <v>156756</v>
      </c>
      <c r="AY85" s="3299">
        <v>164695</v>
      </c>
      <c r="AZ85" s="3299">
        <v>176809</v>
      </c>
      <c r="BA85" s="3299">
        <v>204044</v>
      </c>
      <c r="BB85" s="3299">
        <v>216044</v>
      </c>
      <c r="BC85" s="3299">
        <v>239096</v>
      </c>
      <c r="BD85" s="3299">
        <v>247338</v>
      </c>
      <c r="BE85" s="3299">
        <v>262998</v>
      </c>
      <c r="BF85" s="3299">
        <v>272105</v>
      </c>
      <c r="BG85" s="3299">
        <v>277956</v>
      </c>
      <c r="BH85" s="3299">
        <v>284008</v>
      </c>
      <c r="BI85" s="3297">
        <f>INDEX($AW85:$BH85, 1, MATCH(0, $AW85:$BH85, -1))</f>
        <v>284008</v>
      </c>
      <c r="BJ85" s="3301">
        <f>AVERAGE(AW85:BH85)</f>
        <v>220109.25</v>
      </c>
      <c r="BK85" s="3297">
        <v>298198</v>
      </c>
      <c r="BL85" s="3299">
        <v>304951</v>
      </c>
      <c r="BM85" s="3299"/>
      <c r="BN85" s="3299"/>
      <c r="BO85" s="3299"/>
      <c r="BP85" s="3299"/>
      <c r="BQ85" s="3299"/>
      <c r="BR85" s="3299"/>
      <c r="BS85" s="3299"/>
      <c r="BT85" s="3299"/>
      <c r="BU85" s="3299"/>
      <c r="BV85" s="3299"/>
      <c r="BW85" s="3297">
        <f>INDEX($AW85:$BH85, 1, MATCH(0, $AW85:$BH85, -1))</f>
        <v>284008</v>
      </c>
      <c r="BX85" s="3301">
        <f>AVERAGE(BK85:BV85)</f>
        <v>301574.5</v>
      </c>
      <c r="BZ85" s="2860" t="e">
        <f>HLOOKUP($A$1,$AW$1:$BH$400,ROW(),0)-HLOOKUP($A$1,$AI$1:$AT$400,ROW(),0)</f>
        <v>#N/A</v>
      </c>
      <c r="CA85" s="2860">
        <f>BJ85-AV85</f>
        <v>136463.91666666669</v>
      </c>
      <c r="CB85" s="2861">
        <f>AX85-AJ85</f>
        <v>109744</v>
      </c>
    </row>
    <row r="86" spans="1:80" ht="18" customHeight="1" x14ac:dyDescent="0.55000000000000004">
      <c r="A86" s="7134"/>
      <c r="B86" s="7135"/>
      <c r="C86" s="1453" t="s">
        <v>56</v>
      </c>
      <c r="D86" s="1347"/>
      <c r="E86" s="2924">
        <f t="shared" ref="E86:AE86" si="255">E87+E88</f>
        <v>719</v>
      </c>
      <c r="F86" s="2923">
        <f t="shared" si="255"/>
        <v>684</v>
      </c>
      <c r="G86" s="2924">
        <f t="shared" si="255"/>
        <v>839</v>
      </c>
      <c r="H86" s="2924">
        <f t="shared" si="255"/>
        <v>828</v>
      </c>
      <c r="I86" s="2924">
        <f t="shared" si="255"/>
        <v>702</v>
      </c>
      <c r="J86" s="2924">
        <f t="shared" si="255"/>
        <v>728</v>
      </c>
      <c r="K86" s="2924">
        <f t="shared" si="255"/>
        <v>708</v>
      </c>
      <c r="L86" s="2924">
        <f t="shared" si="255"/>
        <v>715</v>
      </c>
      <c r="M86" s="2924">
        <f t="shared" si="255"/>
        <v>970</v>
      </c>
      <c r="N86" s="2924">
        <f t="shared" si="255"/>
        <v>1045</v>
      </c>
      <c r="O86" s="2924">
        <f t="shared" si="255"/>
        <v>1156</v>
      </c>
      <c r="P86" s="2924">
        <f t="shared" si="255"/>
        <v>979</v>
      </c>
      <c r="Q86" s="2924">
        <f t="shared" si="255"/>
        <v>827</v>
      </c>
      <c r="R86" s="2924">
        <f t="shared" si="255"/>
        <v>10181</v>
      </c>
      <c r="S86" s="2924">
        <f t="shared" si="255"/>
        <v>848.41666666666663</v>
      </c>
      <c r="T86" s="2923">
        <f t="shared" si="255"/>
        <v>949</v>
      </c>
      <c r="U86" s="2924">
        <f t="shared" si="255"/>
        <v>1212</v>
      </c>
      <c r="V86" s="2924">
        <f t="shared" si="255"/>
        <v>1172</v>
      </c>
      <c r="W86" s="2924">
        <f t="shared" si="255"/>
        <v>886</v>
      </c>
      <c r="X86" s="2924">
        <f t="shared" si="255"/>
        <v>894</v>
      </c>
      <c r="Y86" s="2924">
        <f t="shared" si="255"/>
        <v>818</v>
      </c>
      <c r="Z86" s="2888">
        <f t="shared" si="255"/>
        <v>1298</v>
      </c>
      <c r="AA86" s="2888">
        <f t="shared" si="255"/>
        <v>3224</v>
      </c>
      <c r="AB86" s="2888">
        <f t="shared" si="255"/>
        <v>2088</v>
      </c>
      <c r="AC86" s="2888">
        <f t="shared" si="255"/>
        <v>11171</v>
      </c>
      <c r="AD86" s="2888">
        <f t="shared" si="255"/>
        <v>3355</v>
      </c>
      <c r="AE86" s="2888">
        <f t="shared" si="255"/>
        <v>2711</v>
      </c>
      <c r="AF86" s="2889">
        <f>SUM(T86:AE86)</f>
        <v>29778</v>
      </c>
      <c r="AG86" s="2889">
        <f>AVERAGE(T86:AE86)</f>
        <v>2481.5</v>
      </c>
      <c r="AH86" s="2889"/>
      <c r="AI86" s="2888">
        <f t="shared" ref="AI86:AS86" si="256">AI87+AI88</f>
        <v>7290</v>
      </c>
      <c r="AJ86" s="2888">
        <f t="shared" si="256"/>
        <v>6225</v>
      </c>
      <c r="AK86" s="2888">
        <f t="shared" si="256"/>
        <v>7634</v>
      </c>
      <c r="AL86" s="2888">
        <f t="shared" si="256"/>
        <v>8675</v>
      </c>
      <c r="AM86" s="2888">
        <f t="shared" si="256"/>
        <v>8632</v>
      </c>
      <c r="AN86" s="2888">
        <f t="shared" si="256"/>
        <v>6590</v>
      </c>
      <c r="AO86" s="2888">
        <f t="shared" si="256"/>
        <v>11547</v>
      </c>
      <c r="AP86" s="2888">
        <f t="shared" si="256"/>
        <v>8374</v>
      </c>
      <c r="AQ86" s="2888">
        <f t="shared" si="256"/>
        <v>21554</v>
      </c>
      <c r="AR86" s="2888">
        <f t="shared" si="256"/>
        <v>17291</v>
      </c>
      <c r="AS86" s="2888">
        <f t="shared" si="256"/>
        <v>8478</v>
      </c>
      <c r="AT86" s="2888">
        <f>AT87+AT88</f>
        <v>7673</v>
      </c>
      <c r="AU86" s="2889">
        <f>SUM(AI86:AT86)</f>
        <v>119963</v>
      </c>
      <c r="AV86" s="2891">
        <f>AVERAGE(AI86:AT86)</f>
        <v>9996.9166666666661</v>
      </c>
      <c r="AW86" s="3414">
        <v>7588</v>
      </c>
      <c r="AX86" s="2889">
        <v>20682</v>
      </c>
      <c r="AY86" s="2889">
        <v>10591</v>
      </c>
      <c r="AZ86" s="2889">
        <v>14687</v>
      </c>
      <c r="BA86" s="2889">
        <f>BA87+BA88</f>
        <v>30235</v>
      </c>
      <c r="BB86" s="2889">
        <f t="shared" ref="BB86" si="257">BB87+BB88</f>
        <v>15026</v>
      </c>
      <c r="BC86" s="2889">
        <v>28501</v>
      </c>
      <c r="BD86" s="2889">
        <v>13256</v>
      </c>
      <c r="BE86" s="2889">
        <v>23139</v>
      </c>
      <c r="BF86" s="2889">
        <f>BF87+BF88</f>
        <v>14766</v>
      </c>
      <c r="BG86" s="2889">
        <f t="shared" ref="BG86:BH86" si="258">BG87+BG88</f>
        <v>11138</v>
      </c>
      <c r="BH86" s="2889">
        <f t="shared" si="258"/>
        <v>12178</v>
      </c>
      <c r="BI86" s="2889">
        <f>SUM(AW86:BH86)</f>
        <v>201787</v>
      </c>
      <c r="BJ86" s="2891">
        <f>AVERAGE(AW86:BE86)</f>
        <v>18189.444444444445</v>
      </c>
      <c r="BK86" s="2888">
        <v>17312</v>
      </c>
      <c r="BL86" s="2889">
        <v>10548</v>
      </c>
      <c r="BM86" s="2889"/>
      <c r="BN86" s="2889"/>
      <c r="BO86" s="2889"/>
      <c r="BP86" s="2889"/>
      <c r="BQ86" s="2889"/>
      <c r="BR86" s="2889"/>
      <c r="BS86" s="2889"/>
      <c r="BT86" s="2889"/>
      <c r="BU86" s="2889"/>
      <c r="BV86" s="2889"/>
      <c r="BW86" s="2889">
        <f>SUM(BK86:BV86)</f>
        <v>27860</v>
      </c>
      <c r="BX86" s="2891">
        <f>AVERAGE(BK86:BS86)</f>
        <v>13930</v>
      </c>
      <c r="BZ86" s="2860" t="e">
        <f>HLOOKUP($A$1,$AW$1:$BH$400,ROW(),0)-HLOOKUP($A$1,$AI$1:$AT$400,ROW(),0)</f>
        <v>#N/A</v>
      </c>
      <c r="CA86" s="2860">
        <f>BJ86-AV86</f>
        <v>8192.5277777777792</v>
      </c>
      <c r="CB86" s="2881" t="e">
        <f>HLOOKUP($A$1,$AW$1:$BH$400,ROW(),0)-SUM(AI86:AJ86)</f>
        <v>#N/A</v>
      </c>
    </row>
    <row r="87" spans="1:80" ht="18" hidden="1" customHeight="1" x14ac:dyDescent="0.55000000000000004">
      <c r="A87" s="7134"/>
      <c r="B87" s="7135"/>
      <c r="C87" s="681"/>
      <c r="D87" s="681" t="s">
        <v>46</v>
      </c>
      <c r="E87" s="3308">
        <v>719</v>
      </c>
      <c r="F87" s="2921">
        <v>684</v>
      </c>
      <c r="G87" s="2922">
        <v>839</v>
      </c>
      <c r="H87" s="2922">
        <v>828</v>
      </c>
      <c r="I87" s="2922">
        <v>702</v>
      </c>
      <c r="J87" s="2922">
        <v>728</v>
      </c>
      <c r="K87" s="2922">
        <v>708</v>
      </c>
      <c r="L87" s="2922">
        <v>715</v>
      </c>
      <c r="M87" s="2922">
        <v>970</v>
      </c>
      <c r="N87" s="2922">
        <v>1045</v>
      </c>
      <c r="O87" s="2922">
        <v>1156</v>
      </c>
      <c r="P87" s="2922">
        <v>979</v>
      </c>
      <c r="Q87" s="2922">
        <v>827</v>
      </c>
      <c r="R87" s="2922">
        <f t="shared" si="192"/>
        <v>10181</v>
      </c>
      <c r="S87" s="2922">
        <f t="shared" si="195"/>
        <v>848.41666666666663</v>
      </c>
      <c r="T87" s="2921">
        <v>949</v>
      </c>
      <c r="U87" s="2922">
        <v>1212</v>
      </c>
      <c r="V87" s="2922">
        <v>1172</v>
      </c>
      <c r="W87" s="2922">
        <v>886</v>
      </c>
      <c r="X87" s="2922">
        <v>894</v>
      </c>
      <c r="Y87" s="2922">
        <v>818</v>
      </c>
      <c r="Z87" s="1102">
        <v>1009</v>
      </c>
      <c r="AA87" s="1102">
        <v>2139</v>
      </c>
      <c r="AB87" s="1102">
        <v>1644</v>
      </c>
      <c r="AC87" s="1102">
        <v>1929</v>
      </c>
      <c r="AD87" s="1102">
        <v>1809</v>
      </c>
      <c r="AE87" s="1102">
        <v>1777</v>
      </c>
      <c r="AF87" s="2883">
        <f t="shared" ref="AF87:AF94" si="259">SUM(T87:AE87)</f>
        <v>16238</v>
      </c>
      <c r="AG87" s="2883">
        <f t="shared" ref="AG87:AG94" si="260">AVERAGE(T87:AE87)</f>
        <v>1353.1666666666667</v>
      </c>
      <c r="AH87" s="2883"/>
      <c r="AI87" s="2884">
        <v>2883</v>
      </c>
      <c r="AJ87" s="2883">
        <v>2785</v>
      </c>
      <c r="AK87" s="2883">
        <v>4362</v>
      </c>
      <c r="AL87" s="2883">
        <v>3756</v>
      </c>
      <c r="AM87" s="2883">
        <v>4322</v>
      </c>
      <c r="AN87" s="2883">
        <v>3608</v>
      </c>
      <c r="AO87" s="2883">
        <v>4010</v>
      </c>
      <c r="AP87" s="2883">
        <v>3447</v>
      </c>
      <c r="AQ87" s="2883">
        <v>3508</v>
      </c>
      <c r="AR87" s="2883">
        <v>4437</v>
      </c>
      <c r="AS87" s="2883">
        <v>2715</v>
      </c>
      <c r="AT87" s="1102">
        <v>2652</v>
      </c>
      <c r="AU87" s="2883">
        <f>SUM(AI87:AS87)</f>
        <v>39833</v>
      </c>
      <c r="AV87" s="2885">
        <f>AVERAGE(AI87:AT87)</f>
        <v>3540.4166666666665</v>
      </c>
      <c r="AW87" s="2968">
        <v>3205</v>
      </c>
      <c r="AX87" s="2883">
        <v>7288</v>
      </c>
      <c r="AY87" s="2883">
        <v>4106</v>
      </c>
      <c r="AZ87" s="2883">
        <v>7767</v>
      </c>
      <c r="BA87" s="2883">
        <v>22582</v>
      </c>
      <c r="BB87" s="2883">
        <v>8475</v>
      </c>
      <c r="BC87" s="2883">
        <v>17402</v>
      </c>
      <c r="BD87" s="2883">
        <v>5056</v>
      </c>
      <c r="BE87" s="2883">
        <v>4800</v>
      </c>
      <c r="BF87" s="2883">
        <v>3964</v>
      </c>
      <c r="BG87" s="2883">
        <v>3588.0000000000005</v>
      </c>
      <c r="BH87" s="2883">
        <v>4590</v>
      </c>
      <c r="BI87" s="2883">
        <f>SUM(AW87:BG87)</f>
        <v>88233</v>
      </c>
      <c r="BJ87" s="2885">
        <f>AVERAGE(AW87:BH87)</f>
        <v>7735.25</v>
      </c>
      <c r="BK87" s="1102">
        <v>7070</v>
      </c>
      <c r="BL87" s="2883">
        <v>4492</v>
      </c>
      <c r="BM87" s="2883"/>
      <c r="BN87" s="2883"/>
      <c r="BO87" s="2883"/>
      <c r="BP87" s="2883"/>
      <c r="BQ87" s="2883"/>
      <c r="BR87" s="2883"/>
      <c r="BS87" s="2883"/>
      <c r="BT87" s="2883"/>
      <c r="BU87" s="2883"/>
      <c r="BV87" s="2883"/>
      <c r="BW87" s="2883">
        <f>SUM(BK87:BU87)</f>
        <v>11562</v>
      </c>
      <c r="BX87" s="2885">
        <f>AVERAGE(BK87:BV87)</f>
        <v>5781</v>
      </c>
      <c r="BZ87" s="2860" t="e">
        <f>HLOOKUP($A$1,$AW$1:$BH$400,ROW(),0)-HLOOKUP($A$1,$AI$1:$AT$400,ROW(),0)</f>
        <v>#N/A</v>
      </c>
      <c r="CA87" s="2860">
        <f>BJ87-AV87</f>
        <v>4194.8333333333339</v>
      </c>
      <c r="CB87" s="2881" t="e">
        <f>HLOOKUP($A$1,$AW$1:$BH$400,ROW(),0)-SUM(AI87:AJ87)</f>
        <v>#N/A</v>
      </c>
    </row>
    <row r="88" spans="1:80" ht="18" hidden="1" customHeight="1" x14ac:dyDescent="0.55000000000000004">
      <c r="A88" s="7134"/>
      <c r="B88" s="7135"/>
      <c r="C88" s="681"/>
      <c r="D88" s="681" t="s">
        <v>55</v>
      </c>
      <c r="E88" s="3308">
        <v>0</v>
      </c>
      <c r="F88" s="2921">
        <v>0</v>
      </c>
      <c r="G88" s="2922">
        <v>0</v>
      </c>
      <c r="H88" s="2922">
        <v>0</v>
      </c>
      <c r="I88" s="2922">
        <v>0</v>
      </c>
      <c r="J88" s="2922">
        <v>0</v>
      </c>
      <c r="K88" s="2922">
        <v>0</v>
      </c>
      <c r="L88" s="2922">
        <v>0</v>
      </c>
      <c r="M88" s="2922">
        <v>0</v>
      </c>
      <c r="N88" s="2922">
        <v>0</v>
      </c>
      <c r="O88" s="2922">
        <v>0</v>
      </c>
      <c r="P88" s="2922">
        <v>0</v>
      </c>
      <c r="Q88" s="2922">
        <v>0</v>
      </c>
      <c r="R88" s="2922">
        <f t="shared" si="192"/>
        <v>0</v>
      </c>
      <c r="S88" s="2922">
        <f t="shared" si="195"/>
        <v>0</v>
      </c>
      <c r="T88" s="2921">
        <v>0</v>
      </c>
      <c r="U88" s="2922">
        <v>0</v>
      </c>
      <c r="V88" s="2922">
        <v>0</v>
      </c>
      <c r="W88" s="2922">
        <v>0</v>
      </c>
      <c r="X88" s="2922">
        <v>0</v>
      </c>
      <c r="Y88" s="2922">
        <v>0</v>
      </c>
      <c r="Z88" s="1102">
        <v>289</v>
      </c>
      <c r="AA88" s="1102">
        <v>1085</v>
      </c>
      <c r="AB88" s="1102">
        <v>444</v>
      </c>
      <c r="AC88" s="1102">
        <v>9242</v>
      </c>
      <c r="AD88" s="1102">
        <v>1546</v>
      </c>
      <c r="AE88" s="1102">
        <v>934</v>
      </c>
      <c r="AF88" s="2883">
        <f t="shared" si="259"/>
        <v>13540</v>
      </c>
      <c r="AG88" s="2883">
        <f t="shared" si="260"/>
        <v>1128.3333333333333</v>
      </c>
      <c r="AH88" s="2883"/>
      <c r="AI88" s="2884">
        <v>4407</v>
      </c>
      <c r="AJ88" s="2883">
        <v>3440</v>
      </c>
      <c r="AK88" s="2883">
        <v>3272</v>
      </c>
      <c r="AL88" s="2883">
        <v>4919</v>
      </c>
      <c r="AM88" s="2883">
        <v>4310</v>
      </c>
      <c r="AN88" s="2883">
        <v>2982</v>
      </c>
      <c r="AO88" s="2883">
        <v>7537</v>
      </c>
      <c r="AP88" s="2883">
        <v>4927</v>
      </c>
      <c r="AQ88" s="2883">
        <v>18046</v>
      </c>
      <c r="AR88" s="2883">
        <v>12854</v>
      </c>
      <c r="AS88" s="2883">
        <v>5763</v>
      </c>
      <c r="AT88" s="1102">
        <v>5021</v>
      </c>
      <c r="AU88" s="2883">
        <f>SUM(AI88:AS88)</f>
        <v>72457</v>
      </c>
      <c r="AV88" s="2885">
        <f>AVERAGE(AI88:AT88)</f>
        <v>6456.5</v>
      </c>
      <c r="AW88" s="2968">
        <v>4383</v>
      </c>
      <c r="AX88" s="2883">
        <v>13394</v>
      </c>
      <c r="AY88" s="2883">
        <v>6485</v>
      </c>
      <c r="AZ88" s="2883">
        <v>6920</v>
      </c>
      <c r="BA88" s="2883">
        <v>7653</v>
      </c>
      <c r="BB88" s="2883">
        <v>6551</v>
      </c>
      <c r="BC88" s="2883">
        <v>11099</v>
      </c>
      <c r="BD88" s="2883">
        <v>8200</v>
      </c>
      <c r="BE88" s="2883">
        <v>18339</v>
      </c>
      <c r="BF88" s="2883">
        <v>10802</v>
      </c>
      <c r="BG88" s="2883">
        <v>7550</v>
      </c>
      <c r="BH88" s="2883">
        <v>7588</v>
      </c>
      <c r="BI88" s="2883">
        <f>SUM(AW88:BG88)</f>
        <v>101376</v>
      </c>
      <c r="BJ88" s="2885">
        <f>AVERAGE(AW88:BH88)</f>
        <v>9080.3333333333339</v>
      </c>
      <c r="BK88" s="1102">
        <v>10242</v>
      </c>
      <c r="BL88" s="2883">
        <v>6056</v>
      </c>
      <c r="BM88" s="2883"/>
      <c r="BN88" s="2883"/>
      <c r="BO88" s="2883"/>
      <c r="BP88" s="2883"/>
      <c r="BQ88" s="2883"/>
      <c r="BR88" s="2883"/>
      <c r="BS88" s="2883"/>
      <c r="BT88" s="2883"/>
      <c r="BU88" s="2883"/>
      <c r="BV88" s="2883"/>
      <c r="BW88" s="2883">
        <f>SUM(BK88:BU88)</f>
        <v>16298</v>
      </c>
      <c r="BX88" s="2885">
        <f>AVERAGE(BK88:BV88)</f>
        <v>8149</v>
      </c>
      <c r="BZ88" s="2860" t="e">
        <f>HLOOKUP($A$1,$AW$1:$BH$400,ROW(),0)-HLOOKUP($A$1,$AI$1:$AT$400,ROW(),0)</f>
        <v>#N/A</v>
      </c>
      <c r="CA88" s="2860">
        <f>BJ88-AV88</f>
        <v>2623.8333333333339</v>
      </c>
      <c r="CB88" s="2881" t="e">
        <f>HLOOKUP($A$1,$AW$1:$BH$400,ROW(),0)-SUM(AI88:AJ88)</f>
        <v>#N/A</v>
      </c>
    </row>
    <row r="89" spans="1:80" ht="18" customHeight="1" x14ac:dyDescent="0.55000000000000004">
      <c r="A89" s="7134"/>
      <c r="B89" s="7135"/>
      <c r="C89" s="681" t="s">
        <v>47</v>
      </c>
      <c r="D89" s="681"/>
      <c r="E89" s="3308">
        <v>255</v>
      </c>
      <c r="F89" s="2921">
        <v>232</v>
      </c>
      <c r="G89" s="2922">
        <v>209</v>
      </c>
      <c r="H89" s="2922">
        <v>257</v>
      </c>
      <c r="I89" s="2922">
        <v>207</v>
      </c>
      <c r="J89" s="2922">
        <v>228</v>
      </c>
      <c r="K89" s="2922">
        <v>230</v>
      </c>
      <c r="L89" s="2922">
        <v>273</v>
      </c>
      <c r="M89" s="2922">
        <v>308</v>
      </c>
      <c r="N89" s="2922">
        <v>321</v>
      </c>
      <c r="O89" s="2922">
        <v>345</v>
      </c>
      <c r="P89" s="2922">
        <v>385</v>
      </c>
      <c r="Q89" s="2922">
        <v>393</v>
      </c>
      <c r="R89" s="2922">
        <f t="shared" si="192"/>
        <v>3388</v>
      </c>
      <c r="S89" s="2922">
        <f t="shared" si="195"/>
        <v>282.33333333333331</v>
      </c>
      <c r="T89" s="2921">
        <v>755</v>
      </c>
      <c r="U89" s="2922">
        <v>531</v>
      </c>
      <c r="V89" s="2922">
        <v>416</v>
      </c>
      <c r="W89" s="2922">
        <v>370</v>
      </c>
      <c r="X89" s="2922">
        <v>490</v>
      </c>
      <c r="Y89" s="2922">
        <v>490</v>
      </c>
      <c r="Z89" s="1102">
        <v>462</v>
      </c>
      <c r="AA89" s="1102">
        <v>654</v>
      </c>
      <c r="AB89" s="1102">
        <v>1163</v>
      </c>
      <c r="AC89" s="1102">
        <v>879</v>
      </c>
      <c r="AD89" s="1102">
        <v>779</v>
      </c>
      <c r="AE89" s="1102">
        <v>762</v>
      </c>
      <c r="AF89" s="2883">
        <f t="shared" si="259"/>
        <v>7751</v>
      </c>
      <c r="AG89" s="2883">
        <f t="shared" si="260"/>
        <v>645.91666666666663</v>
      </c>
      <c r="AH89" s="2883"/>
      <c r="AI89" s="2884">
        <v>1224</v>
      </c>
      <c r="AJ89" s="2883">
        <v>949</v>
      </c>
      <c r="AK89" s="2883">
        <v>1594</v>
      </c>
      <c r="AL89" s="2883">
        <v>1343</v>
      </c>
      <c r="AM89" s="2883">
        <v>1035</v>
      </c>
      <c r="AN89" s="2883">
        <v>1170</v>
      </c>
      <c r="AO89" s="2883">
        <v>1145</v>
      </c>
      <c r="AP89" s="2883">
        <v>1146</v>
      </c>
      <c r="AQ89" s="2883">
        <v>1117</v>
      </c>
      <c r="AR89" s="2883">
        <v>1451</v>
      </c>
      <c r="AS89" s="2883">
        <v>1863</v>
      </c>
      <c r="AT89" s="1102">
        <v>1493</v>
      </c>
      <c r="AU89" s="2883">
        <f t="shared" ref="AU89:AU94" si="261">SUM(AI89:AT89)</f>
        <v>15530</v>
      </c>
      <c r="AV89" s="2885">
        <f>AVERAGE(AI89:AS89)</f>
        <v>1276.090909090909</v>
      </c>
      <c r="AW89" s="2968">
        <v>1566</v>
      </c>
      <c r="AX89" s="2883">
        <v>2231</v>
      </c>
      <c r="AY89" s="2883">
        <v>1837</v>
      </c>
      <c r="AZ89" s="2883">
        <v>1755</v>
      </c>
      <c r="BA89" s="2883">
        <v>2002</v>
      </c>
      <c r="BB89" s="2883">
        <v>1980</v>
      </c>
      <c r="BC89" s="2883">
        <v>3392</v>
      </c>
      <c r="BD89" s="2883">
        <v>3273</v>
      </c>
      <c r="BE89" s="2883">
        <v>3696</v>
      </c>
      <c r="BF89" s="2883">
        <v>3050</v>
      </c>
      <c r="BG89" s="2883">
        <v>3187</v>
      </c>
      <c r="BH89" s="2883">
        <v>3903</v>
      </c>
      <c r="BI89" s="2883">
        <f t="shared" ref="BI89:BI94" si="262">SUM(AW89:BH89)</f>
        <v>31872</v>
      </c>
      <c r="BJ89" s="2885">
        <f>AVERAGE(AW89:BG89)</f>
        <v>2542.6363636363635</v>
      </c>
      <c r="BK89" s="1102">
        <v>8980</v>
      </c>
      <c r="BL89" s="2883">
        <v>2581</v>
      </c>
      <c r="BM89" s="2883"/>
      <c r="BN89" s="2883"/>
      <c r="BO89" s="2883"/>
      <c r="BP89" s="2883"/>
      <c r="BQ89" s="2883"/>
      <c r="BR89" s="2883"/>
      <c r="BS89" s="2883"/>
      <c r="BT89" s="2883"/>
      <c r="BU89" s="2883"/>
      <c r="BV89" s="2883"/>
      <c r="BW89" s="2883">
        <f t="shared" ref="BW89:BW94" si="263">SUM(BK89:BV89)</f>
        <v>11561</v>
      </c>
      <c r="BX89" s="2885">
        <f>AVERAGE(BK89:BU89)</f>
        <v>5780.5</v>
      </c>
      <c r="BZ89" s="2860" t="e">
        <f>HLOOKUP($A$1,$AW$1:$BH$400,ROW(),0)-HLOOKUP($A$1,$AI$1:$AT$400,ROW(),0)</f>
        <v>#N/A</v>
      </c>
      <c r="CA89" s="2860">
        <f>BJ89-AV89</f>
        <v>1266.5454545454545</v>
      </c>
      <c r="CB89" s="2881" t="e">
        <f>HLOOKUP($A$1,$AW$1:$BH$400,ROW(),0)-SUM(AI89:AJ89)</f>
        <v>#N/A</v>
      </c>
    </row>
    <row r="90" spans="1:80" ht="17.05" customHeight="1" x14ac:dyDescent="0.55000000000000004">
      <c r="A90" s="7134"/>
      <c r="B90" s="7135"/>
      <c r="C90" s="681" t="s">
        <v>58</v>
      </c>
      <c r="D90" s="681"/>
      <c r="E90" s="3308"/>
      <c r="F90" s="2921">
        <v>29</v>
      </c>
      <c r="G90" s="2922">
        <v>6</v>
      </c>
      <c r="H90" s="2922">
        <v>28</v>
      </c>
      <c r="I90" s="2922">
        <v>12</v>
      </c>
      <c r="J90" s="2922">
        <v>12</v>
      </c>
      <c r="K90" s="2922">
        <v>23</v>
      </c>
      <c r="L90" s="2922">
        <v>14</v>
      </c>
      <c r="M90" s="2922">
        <v>24</v>
      </c>
      <c r="N90" s="2922">
        <v>17</v>
      </c>
      <c r="O90" s="2922">
        <v>28</v>
      </c>
      <c r="P90" s="2922">
        <v>38</v>
      </c>
      <c r="Q90" s="2922">
        <v>34</v>
      </c>
      <c r="R90" s="2922">
        <f t="shared" si="192"/>
        <v>265</v>
      </c>
      <c r="S90" s="2922">
        <f t="shared" si="195"/>
        <v>22.083333333333332</v>
      </c>
      <c r="T90" s="2921">
        <v>25</v>
      </c>
      <c r="U90" s="2922">
        <v>26</v>
      </c>
      <c r="V90" s="2922">
        <v>28</v>
      </c>
      <c r="W90" s="2922">
        <v>38</v>
      </c>
      <c r="X90" s="2922">
        <v>34</v>
      </c>
      <c r="Y90" s="2922">
        <v>54</v>
      </c>
      <c r="Z90" s="1102">
        <v>43</v>
      </c>
      <c r="AA90" s="1102">
        <v>30</v>
      </c>
      <c r="AB90" s="1102">
        <v>33</v>
      </c>
      <c r="AC90" s="1102">
        <v>50</v>
      </c>
      <c r="AD90" s="1102">
        <v>29</v>
      </c>
      <c r="AE90" s="1102">
        <v>76</v>
      </c>
      <c r="AF90" s="2883">
        <f t="shared" si="259"/>
        <v>466</v>
      </c>
      <c r="AG90" s="2883">
        <f t="shared" si="260"/>
        <v>38.833333333333336</v>
      </c>
      <c r="AH90" s="2883"/>
      <c r="AI90" s="2884">
        <v>30</v>
      </c>
      <c r="AJ90" s="2883">
        <v>31</v>
      </c>
      <c r="AK90" s="2883">
        <v>5</v>
      </c>
      <c r="AL90" s="2883">
        <v>41</v>
      </c>
      <c r="AM90" s="2883">
        <v>59</v>
      </c>
      <c r="AN90" s="2883">
        <v>55</v>
      </c>
      <c r="AO90" s="2883">
        <v>65</v>
      </c>
      <c r="AP90" s="2883">
        <v>76</v>
      </c>
      <c r="AQ90" s="2883">
        <v>97</v>
      </c>
      <c r="AR90" s="2883">
        <v>166</v>
      </c>
      <c r="AS90" s="2883">
        <v>389</v>
      </c>
      <c r="AT90" s="1102">
        <v>340</v>
      </c>
      <c r="AU90" s="2883">
        <f t="shared" si="261"/>
        <v>1354</v>
      </c>
      <c r="AV90" s="2885">
        <f>AVERAGE(AI90:AS90)</f>
        <v>92.181818181818187</v>
      </c>
      <c r="AW90" s="2968">
        <v>396</v>
      </c>
      <c r="AX90" s="2883">
        <v>249</v>
      </c>
      <c r="AY90" s="2883">
        <v>230</v>
      </c>
      <c r="AZ90" s="2883">
        <v>273</v>
      </c>
      <c r="BA90" s="2883">
        <v>263</v>
      </c>
      <c r="BB90" s="2883">
        <v>300</v>
      </c>
      <c r="BC90" s="2883">
        <v>386</v>
      </c>
      <c r="BD90" s="2883">
        <v>423</v>
      </c>
      <c r="BE90" s="2883">
        <v>280</v>
      </c>
      <c r="BF90" s="2883">
        <v>317</v>
      </c>
      <c r="BG90" s="2883">
        <v>341</v>
      </c>
      <c r="BH90" s="2883">
        <v>436</v>
      </c>
      <c r="BI90" s="2883">
        <f t="shared" si="262"/>
        <v>3894</v>
      </c>
      <c r="BJ90" s="2885">
        <f>AVERAGE(AW90:BG90)</f>
        <v>314.36363636363637</v>
      </c>
      <c r="BK90" s="1102">
        <v>356</v>
      </c>
      <c r="BL90" s="2883">
        <v>284</v>
      </c>
      <c r="BM90" s="2883"/>
      <c r="BN90" s="2883"/>
      <c r="BO90" s="2883"/>
      <c r="BP90" s="2883"/>
      <c r="BQ90" s="2883"/>
      <c r="BR90" s="2883"/>
      <c r="BS90" s="2883"/>
      <c r="BT90" s="2883"/>
      <c r="BU90" s="2883"/>
      <c r="BV90" s="2883"/>
      <c r="BW90" s="2883">
        <f t="shared" si="263"/>
        <v>640</v>
      </c>
      <c r="BX90" s="2885">
        <f>AVERAGE(BK90:BU90)</f>
        <v>320</v>
      </c>
      <c r="BZ90" s="2860" t="e">
        <f>HLOOKUP($A$1,$AW$1:$BH$400,ROW(),0)-HLOOKUP($A$1,$AI$1:$AT$400,ROW(),0)</f>
        <v>#N/A</v>
      </c>
      <c r="CA90" s="2860">
        <f>BJ90-AV90</f>
        <v>222.18181818181819</v>
      </c>
      <c r="CB90" s="2881" t="e">
        <f>HLOOKUP($A$1,$AW$1:$BH$400,ROW(),0)-SUM(AI90:AJ90)</f>
        <v>#N/A</v>
      </c>
    </row>
    <row r="91" spans="1:80" ht="18" customHeight="1" x14ac:dyDescent="0.55000000000000004">
      <c r="A91" s="7134"/>
      <c r="B91" s="7135"/>
      <c r="C91" s="681" t="s">
        <v>48</v>
      </c>
      <c r="D91" s="681"/>
      <c r="E91" s="3308"/>
      <c r="F91" s="2921"/>
      <c r="G91" s="2922"/>
      <c r="H91" s="2922"/>
      <c r="I91" s="2922"/>
      <c r="J91" s="2922"/>
      <c r="K91" s="2922"/>
      <c r="L91" s="2922"/>
      <c r="M91" s="2922"/>
      <c r="N91" s="2922"/>
      <c r="O91" s="2922"/>
      <c r="P91" s="2922"/>
      <c r="Q91" s="2922"/>
      <c r="R91" s="2922">
        <f t="shared" si="192"/>
        <v>0</v>
      </c>
      <c r="S91" s="2922" t="e">
        <f t="shared" si="195"/>
        <v>#DIV/0!</v>
      </c>
      <c r="T91" s="2921">
        <f t="shared" ref="T91:AE91" si="264">T86-T89-T92-T94-T93</f>
        <v>-2978</v>
      </c>
      <c r="U91" s="2922">
        <f t="shared" si="264"/>
        <v>-2551</v>
      </c>
      <c r="V91" s="2922">
        <f t="shared" si="264"/>
        <v>-2882</v>
      </c>
      <c r="W91" s="2922">
        <f t="shared" si="264"/>
        <v>-2248</v>
      </c>
      <c r="X91" s="2922">
        <f t="shared" si="264"/>
        <v>-2383</v>
      </c>
      <c r="Y91" s="2922">
        <f t="shared" si="264"/>
        <v>-2455</v>
      </c>
      <c r="Z91" s="1102">
        <f t="shared" si="264"/>
        <v>-2374</v>
      </c>
      <c r="AA91" s="1102">
        <f t="shared" si="264"/>
        <v>-2449</v>
      </c>
      <c r="AB91" s="1102">
        <f t="shared" si="264"/>
        <v>-2265</v>
      </c>
      <c r="AC91" s="1102">
        <f t="shared" si="264"/>
        <v>-6868</v>
      </c>
      <c r="AD91" s="1102">
        <f t="shared" si="264"/>
        <v>-2770</v>
      </c>
      <c r="AE91" s="1102">
        <f t="shared" si="264"/>
        <v>-2304</v>
      </c>
      <c r="AF91" s="2883">
        <f t="shared" si="259"/>
        <v>-34527</v>
      </c>
      <c r="AG91" s="2883">
        <f t="shared" si="260"/>
        <v>-2877.25</v>
      </c>
      <c r="AH91" s="2883"/>
      <c r="AI91" s="2884">
        <f t="shared" ref="AI91:AT91" si="265">-(AI94-(AI86-AI89-AI92-AI93))</f>
        <v>643</v>
      </c>
      <c r="AJ91" s="2883">
        <f>-(AJ94-(AJ86-AJ89-AJ92-AJ93))</f>
        <v>-5631</v>
      </c>
      <c r="AK91" s="2883">
        <f t="shared" si="265"/>
        <v>-3198</v>
      </c>
      <c r="AL91" s="2883">
        <f t="shared" si="265"/>
        <v>822</v>
      </c>
      <c r="AM91" s="2883">
        <f t="shared" si="265"/>
        <v>683</v>
      </c>
      <c r="AN91" s="2883">
        <f t="shared" si="265"/>
        <v>723</v>
      </c>
      <c r="AO91" s="2883">
        <f t="shared" si="265"/>
        <v>907</v>
      </c>
      <c r="AP91" s="2883">
        <f t="shared" si="265"/>
        <v>623</v>
      </c>
      <c r="AQ91" s="2883">
        <f t="shared" si="265"/>
        <v>1348</v>
      </c>
      <c r="AR91" s="2883">
        <f t="shared" si="265"/>
        <v>1150</v>
      </c>
      <c r="AS91" s="2883">
        <f t="shared" si="265"/>
        <v>613</v>
      </c>
      <c r="AT91" s="1102">
        <f t="shared" si="265"/>
        <v>511</v>
      </c>
      <c r="AU91" s="2883">
        <f t="shared" si="261"/>
        <v>-806</v>
      </c>
      <c r="AV91" s="2885">
        <f>AVERAGE(AI91:AS91)</f>
        <v>-119.72727272727273</v>
      </c>
      <c r="AW91" s="4507">
        <f>-(AW94-(AW86-AW89-AW92-AW93))</f>
        <v>461</v>
      </c>
      <c r="AX91" s="2903">
        <f t="shared" ref="AX91:BL91" si="266">-(AX94-(AX86-AX89-AX92-AX93))</f>
        <v>1150</v>
      </c>
      <c r="AY91" s="2903">
        <f t="shared" si="266"/>
        <v>731</v>
      </c>
      <c r="AZ91" s="2903">
        <f t="shared" si="266"/>
        <v>756</v>
      </c>
      <c r="BA91" s="2903">
        <f t="shared" si="266"/>
        <v>864</v>
      </c>
      <c r="BB91" s="2903">
        <f t="shared" si="266"/>
        <v>855</v>
      </c>
      <c r="BC91" s="2903">
        <f t="shared" si="266"/>
        <v>1783</v>
      </c>
      <c r="BD91" s="2903">
        <f t="shared" si="266"/>
        <v>1304</v>
      </c>
      <c r="BE91" s="2903">
        <f t="shared" si="266"/>
        <v>3225</v>
      </c>
      <c r="BF91" s="2903">
        <f t="shared" si="266"/>
        <v>2013</v>
      </c>
      <c r="BG91" s="2903">
        <f t="shared" si="266"/>
        <v>1485</v>
      </c>
      <c r="BH91" s="2903">
        <f t="shared" si="266"/>
        <v>1372</v>
      </c>
      <c r="BI91" s="2883">
        <f t="shared" si="266"/>
        <v>15999</v>
      </c>
      <c r="BJ91" s="2885">
        <f t="shared" si="266"/>
        <v>2866.4974747474753</v>
      </c>
      <c r="BK91" s="2903">
        <f t="shared" si="266"/>
        <v>-6967</v>
      </c>
      <c r="BL91" s="2903">
        <f t="shared" si="266"/>
        <v>-350</v>
      </c>
      <c r="BM91" s="2903"/>
      <c r="BN91" s="2903"/>
      <c r="BO91" s="2903"/>
      <c r="BP91" s="2903"/>
      <c r="BQ91" s="2903"/>
      <c r="BR91" s="2903"/>
      <c r="BS91" s="2903"/>
      <c r="BT91" s="2903"/>
      <c r="BU91" s="2903"/>
      <c r="BV91" s="2903"/>
      <c r="BW91" s="2883">
        <f t="shared" si="263"/>
        <v>-7317</v>
      </c>
      <c r="BX91" s="2885">
        <f>AVERAGE(BK91:BU91)</f>
        <v>-3658.5</v>
      </c>
      <c r="BZ91" s="2860" t="e">
        <f>HLOOKUP($A$1,$AW$1:$BH$400,ROW(),0)-HLOOKUP($A$1,$AI$1:$AT$400,ROW(),0)</f>
        <v>#N/A</v>
      </c>
      <c r="CA91" s="2860">
        <f>BJ91-AV91</f>
        <v>2986.2247474747478</v>
      </c>
      <c r="CB91" s="2881" t="e">
        <f>HLOOKUP($A$1,$AW$1:$BH$400,ROW(),0)-SUM(AI91:AJ91)</f>
        <v>#N/A</v>
      </c>
    </row>
    <row r="92" spans="1:80" ht="18" customHeight="1" x14ac:dyDescent="0.55000000000000004">
      <c r="A92" s="7134"/>
      <c r="B92" s="7135"/>
      <c r="C92" s="681" t="s">
        <v>49</v>
      </c>
      <c r="D92" s="681"/>
      <c r="E92" s="3308"/>
      <c r="F92" s="3327"/>
      <c r="G92" s="3328"/>
      <c r="H92" s="3328"/>
      <c r="I92" s="3328"/>
      <c r="J92" s="2922">
        <v>44</v>
      </c>
      <c r="K92" s="2922">
        <v>23</v>
      </c>
      <c r="L92" s="2922">
        <v>41</v>
      </c>
      <c r="M92" s="2922">
        <v>47</v>
      </c>
      <c r="N92" s="2922">
        <v>36</v>
      </c>
      <c r="O92" s="2922">
        <v>78</v>
      </c>
      <c r="P92" s="2922">
        <v>41</v>
      </c>
      <c r="Q92" s="2922">
        <v>33</v>
      </c>
      <c r="R92" s="2922">
        <f t="shared" si="192"/>
        <v>343</v>
      </c>
      <c r="S92" s="2922">
        <f t="shared" si="195"/>
        <v>42.875</v>
      </c>
      <c r="T92" s="2921">
        <v>3049</v>
      </c>
      <c r="U92" s="2922">
        <v>2627</v>
      </c>
      <c r="V92" s="2922">
        <v>2957</v>
      </c>
      <c r="W92" s="2922">
        <v>2322</v>
      </c>
      <c r="X92" s="2922">
        <v>2469</v>
      </c>
      <c r="Y92" s="2922">
        <v>2527</v>
      </c>
      <c r="Z92" s="1102">
        <v>2460</v>
      </c>
      <c r="AA92" s="1102">
        <v>2642</v>
      </c>
      <c r="AB92" s="1102">
        <v>2359</v>
      </c>
      <c r="AC92" s="1102">
        <v>7311</v>
      </c>
      <c r="AD92" s="1102">
        <v>2941</v>
      </c>
      <c r="AE92" s="1102">
        <v>2452</v>
      </c>
      <c r="AF92" s="2883">
        <f t="shared" si="259"/>
        <v>36116</v>
      </c>
      <c r="AG92" s="2883">
        <f t="shared" si="260"/>
        <v>3009.6666666666665</v>
      </c>
      <c r="AH92" s="2883"/>
      <c r="AI92" s="2884">
        <v>156</v>
      </c>
      <c r="AJ92" s="2883">
        <v>0</v>
      </c>
      <c r="AK92" s="2883">
        <v>0</v>
      </c>
      <c r="AL92" s="2883">
        <v>0</v>
      </c>
      <c r="AM92" s="2883">
        <v>0</v>
      </c>
      <c r="AN92" s="2883">
        <v>0</v>
      </c>
      <c r="AO92" s="2883">
        <v>2</v>
      </c>
      <c r="AP92" s="2883">
        <v>0</v>
      </c>
      <c r="AQ92" s="2883">
        <v>4</v>
      </c>
      <c r="AR92" s="2883">
        <v>5</v>
      </c>
      <c r="AS92" s="2883">
        <v>1</v>
      </c>
      <c r="AT92" s="1102">
        <v>2</v>
      </c>
      <c r="AU92" s="2883">
        <f t="shared" si="261"/>
        <v>170</v>
      </c>
      <c r="AV92" s="2885">
        <f>AVERAGE(AI92:AS92)</f>
        <v>15.272727272727273</v>
      </c>
      <c r="AW92" s="4510">
        <v>28</v>
      </c>
      <c r="AX92" s="2903">
        <v>17</v>
      </c>
      <c r="AY92" s="2903">
        <v>91</v>
      </c>
      <c r="AZ92" s="2903">
        <v>63</v>
      </c>
      <c r="BA92" s="2903">
        <v>138</v>
      </c>
      <c r="BB92" s="2903">
        <v>194</v>
      </c>
      <c r="BC92" s="2883">
        <v>274</v>
      </c>
      <c r="BD92" s="2883">
        <v>437</v>
      </c>
      <c r="BE92" s="2883">
        <v>558</v>
      </c>
      <c r="BF92" s="2883">
        <v>596</v>
      </c>
      <c r="BG92" s="2883">
        <v>615</v>
      </c>
      <c r="BH92" s="2883">
        <v>851</v>
      </c>
      <c r="BI92" s="2883">
        <f t="shared" si="262"/>
        <v>3862</v>
      </c>
      <c r="BJ92" s="2885">
        <f>AVERAGE(AW92:BG92)</f>
        <v>273.72727272727275</v>
      </c>
      <c r="BK92" s="3304">
        <v>1109</v>
      </c>
      <c r="BL92" s="2903">
        <v>1564</v>
      </c>
      <c r="BM92" s="2903"/>
      <c r="BN92" s="2903"/>
      <c r="BO92" s="2903"/>
      <c r="BP92" s="2903"/>
      <c r="BQ92" s="2883"/>
      <c r="BR92" s="2883"/>
      <c r="BS92" s="2883"/>
      <c r="BT92" s="2883"/>
      <c r="BU92" s="2883"/>
      <c r="BV92" s="2883"/>
      <c r="BW92" s="2883">
        <f t="shared" si="263"/>
        <v>2673</v>
      </c>
      <c r="BX92" s="2885">
        <f>AVERAGE(BK92:BU92)</f>
        <v>1336.5</v>
      </c>
      <c r="BZ92" s="2860" t="e">
        <f>HLOOKUP($A$1,$AW$1:$BH$400,ROW(),0)-HLOOKUP($A$1,$AI$1:$AT$400,ROW(),0)</f>
        <v>#N/A</v>
      </c>
      <c r="CA92" s="2860">
        <f>BJ92-AV92</f>
        <v>258.4545454545455</v>
      </c>
      <c r="CB92" s="2881" t="e">
        <f>HLOOKUP($A$1,$AW$1:$BH$400,ROW(),0)-SUM(AI92:AJ92)</f>
        <v>#N/A</v>
      </c>
    </row>
    <row r="93" spans="1:80" ht="18" customHeight="1" x14ac:dyDescent="0.55000000000000004">
      <c r="A93" s="7134"/>
      <c r="B93" s="7135"/>
      <c r="C93" s="681" t="s">
        <v>714</v>
      </c>
      <c r="D93" s="681"/>
      <c r="E93" s="3308"/>
      <c r="F93" s="2921"/>
      <c r="G93" s="2922"/>
      <c r="H93" s="2922"/>
      <c r="I93" s="2922"/>
      <c r="J93" s="2922"/>
      <c r="K93" s="2922"/>
      <c r="L93" s="2922"/>
      <c r="M93" s="2922"/>
      <c r="N93" s="2922"/>
      <c r="O93" s="2922"/>
      <c r="P93" s="2922"/>
      <c r="Q93" s="2922"/>
      <c r="R93" s="2922">
        <f t="shared" si="192"/>
        <v>0</v>
      </c>
      <c r="S93" s="2922" t="e">
        <f t="shared" si="195"/>
        <v>#DIV/0!</v>
      </c>
      <c r="T93" s="2921">
        <v>0</v>
      </c>
      <c r="U93" s="2922">
        <v>0</v>
      </c>
      <c r="V93" s="2922">
        <v>0</v>
      </c>
      <c r="W93" s="2922">
        <v>0</v>
      </c>
      <c r="X93" s="2922">
        <v>0</v>
      </c>
      <c r="Y93" s="2922">
        <v>0</v>
      </c>
      <c r="Z93" s="1102">
        <v>0</v>
      </c>
      <c r="AA93" s="1102">
        <v>0</v>
      </c>
      <c r="AB93" s="1102">
        <v>0</v>
      </c>
      <c r="AC93" s="1102">
        <v>0</v>
      </c>
      <c r="AD93" s="1102">
        <v>0</v>
      </c>
      <c r="AE93" s="1102">
        <v>0</v>
      </c>
      <c r="AF93" s="2883">
        <f t="shared" si="259"/>
        <v>0</v>
      </c>
      <c r="AG93" s="2883">
        <f t="shared" si="260"/>
        <v>0</v>
      </c>
      <c r="AH93" s="2883"/>
      <c r="AI93" s="2884"/>
      <c r="AJ93" s="2883">
        <v>2954</v>
      </c>
      <c r="AK93" s="2883">
        <v>1926</v>
      </c>
      <c r="AL93" s="2883">
        <v>17</v>
      </c>
      <c r="AM93" s="2883">
        <v>10</v>
      </c>
      <c r="AN93" s="2883">
        <v>12</v>
      </c>
      <c r="AO93" s="2883">
        <v>13</v>
      </c>
      <c r="AP93" s="2883">
        <v>0</v>
      </c>
      <c r="AQ93" s="2883">
        <v>0</v>
      </c>
      <c r="AR93" s="2883">
        <v>0</v>
      </c>
      <c r="AS93" s="2883">
        <v>0</v>
      </c>
      <c r="AT93" s="2883">
        <v>0</v>
      </c>
      <c r="AU93" s="2883">
        <f t="shared" si="261"/>
        <v>4932</v>
      </c>
      <c r="AV93" s="2885">
        <f>AVERAGE(AI93:AS93)</f>
        <v>493.2</v>
      </c>
      <c r="AW93" s="2968">
        <v>0</v>
      </c>
      <c r="AX93" s="2883">
        <f>-AX44</f>
        <v>-10</v>
      </c>
      <c r="AY93" s="2883">
        <f t="shared" ref="AY93:BB93" si="267">-AY44</f>
        <v>-7</v>
      </c>
      <c r="AZ93" s="2883">
        <f t="shared" si="267"/>
        <v>-1</v>
      </c>
      <c r="BA93" s="2883">
        <f t="shared" si="267"/>
        <v>-4</v>
      </c>
      <c r="BB93" s="2883">
        <f t="shared" si="267"/>
        <v>-3</v>
      </c>
      <c r="BC93" s="2883">
        <v>0</v>
      </c>
      <c r="BD93" s="2883">
        <v>0</v>
      </c>
      <c r="BE93" s="2883">
        <v>0</v>
      </c>
      <c r="BF93" s="2883">
        <v>0</v>
      </c>
      <c r="BG93" s="2883">
        <v>0</v>
      </c>
      <c r="BH93" s="2883">
        <v>0</v>
      </c>
      <c r="BI93" s="2883">
        <f t="shared" si="262"/>
        <v>-25</v>
      </c>
      <c r="BJ93" s="2885">
        <v>0</v>
      </c>
      <c r="BK93" s="1102"/>
      <c r="BL93" s="2883"/>
      <c r="BM93" s="2883"/>
      <c r="BN93" s="2883"/>
      <c r="BO93" s="2883"/>
      <c r="BP93" s="2883"/>
      <c r="BQ93" s="2883"/>
      <c r="BR93" s="2883"/>
      <c r="BS93" s="2883"/>
      <c r="BT93" s="2883"/>
      <c r="BU93" s="2883"/>
      <c r="BV93" s="2883"/>
      <c r="BW93" s="2883">
        <f t="shared" si="263"/>
        <v>0</v>
      </c>
      <c r="BX93" s="2885">
        <v>0</v>
      </c>
      <c r="BZ93" s="2860" t="e">
        <f>HLOOKUP($A$1,$AW$1:$BH$400,ROW(),0)-HLOOKUP($A$1,$AI$1:$AT$400,ROW(),0)</f>
        <v>#N/A</v>
      </c>
      <c r="CA93" s="2860">
        <f>BJ93-AV93</f>
        <v>-493.2</v>
      </c>
      <c r="CB93" s="2881" t="e">
        <f>HLOOKUP($A$1,$AW$1:$BH$400,ROW(),0)-SUM(AI93:AJ93)</f>
        <v>#N/A</v>
      </c>
    </row>
    <row r="94" spans="1:80" ht="18" customHeight="1" x14ac:dyDescent="0.55000000000000004">
      <c r="A94" s="7167"/>
      <c r="B94" s="7168"/>
      <c r="C94" s="3311" t="s">
        <v>50</v>
      </c>
      <c r="D94" s="685"/>
      <c r="E94" s="2928"/>
      <c r="F94" s="2929"/>
      <c r="G94" s="2928"/>
      <c r="H94" s="2928"/>
      <c r="I94" s="2928"/>
      <c r="J94" s="2928"/>
      <c r="K94" s="2928"/>
      <c r="L94" s="2928"/>
      <c r="M94" s="2928"/>
      <c r="N94" s="2928"/>
      <c r="O94" s="2928"/>
      <c r="P94" s="2928"/>
      <c r="Q94" s="2928"/>
      <c r="R94" s="2928">
        <f t="shared" si="192"/>
        <v>0</v>
      </c>
      <c r="S94" s="2928" t="e">
        <f t="shared" si="195"/>
        <v>#DIV/0!</v>
      </c>
      <c r="T94" s="2929">
        <f>T85-Q85</f>
        <v>123</v>
      </c>
      <c r="U94" s="2928">
        <f t="shared" ref="U94:AE94" si="268">U85-T85</f>
        <v>605</v>
      </c>
      <c r="V94" s="2928">
        <f t="shared" si="268"/>
        <v>681</v>
      </c>
      <c r="W94" s="2928">
        <f t="shared" si="268"/>
        <v>442</v>
      </c>
      <c r="X94" s="2928">
        <f t="shared" si="268"/>
        <v>318</v>
      </c>
      <c r="Y94" s="2928">
        <f t="shared" si="268"/>
        <v>256</v>
      </c>
      <c r="Z94" s="2895">
        <f t="shared" si="268"/>
        <v>750</v>
      </c>
      <c r="AA94" s="2895">
        <f t="shared" si="268"/>
        <v>2377</v>
      </c>
      <c r="AB94" s="2895">
        <f t="shared" si="268"/>
        <v>831</v>
      </c>
      <c r="AC94" s="2895">
        <f t="shared" si="268"/>
        <v>9849</v>
      </c>
      <c r="AD94" s="2895">
        <f t="shared" si="268"/>
        <v>2405</v>
      </c>
      <c r="AE94" s="2895">
        <f t="shared" si="268"/>
        <v>1801</v>
      </c>
      <c r="AF94" s="2896">
        <f t="shared" si="259"/>
        <v>20438</v>
      </c>
      <c r="AG94" s="2896">
        <f t="shared" si="260"/>
        <v>1703.1666666666667</v>
      </c>
      <c r="AH94" s="2896"/>
      <c r="AI94" s="2919">
        <v>5267</v>
      </c>
      <c r="AJ94" s="2896">
        <f>AJ85-AI85</f>
        <v>7953</v>
      </c>
      <c r="AK94" s="2896">
        <f t="shared" ref="AK94:AT94" si="269">AK85-AJ85</f>
        <v>7312</v>
      </c>
      <c r="AL94" s="2896">
        <f t="shared" si="269"/>
        <v>6493</v>
      </c>
      <c r="AM94" s="2896">
        <f t="shared" si="269"/>
        <v>6904</v>
      </c>
      <c r="AN94" s="2896">
        <f t="shared" si="269"/>
        <v>4685</v>
      </c>
      <c r="AO94" s="2896">
        <f t="shared" si="269"/>
        <v>9480</v>
      </c>
      <c r="AP94" s="2896">
        <f t="shared" si="269"/>
        <v>6605</v>
      </c>
      <c r="AQ94" s="2896">
        <f t="shared" si="269"/>
        <v>19085</v>
      </c>
      <c r="AR94" s="2896">
        <f t="shared" si="269"/>
        <v>14685</v>
      </c>
      <c r="AS94" s="2896">
        <f t="shared" si="269"/>
        <v>6001</v>
      </c>
      <c r="AT94" s="2896">
        <f t="shared" si="269"/>
        <v>5667</v>
      </c>
      <c r="AU94" s="2896">
        <f t="shared" si="261"/>
        <v>100137</v>
      </c>
      <c r="AV94" s="2898">
        <f>AVERAGE(AI94:AT94)</f>
        <v>8344.75</v>
      </c>
      <c r="AW94" s="4505">
        <v>5533</v>
      </c>
      <c r="AX94" s="2896">
        <f>AX85-AW85</f>
        <v>17294</v>
      </c>
      <c r="AY94" s="2896">
        <f>AY85-AX85</f>
        <v>7939</v>
      </c>
      <c r="AZ94" s="2896">
        <v>12114</v>
      </c>
      <c r="BA94" s="2896">
        <f>BA85-AZ85</f>
        <v>27235</v>
      </c>
      <c r="BB94" s="2896">
        <f>BB85-BA85</f>
        <v>12000</v>
      </c>
      <c r="BC94" s="2896">
        <f t="shared" ref="BC94" si="270">BC85-BB85</f>
        <v>23052</v>
      </c>
      <c r="BD94" s="2896">
        <v>8242</v>
      </c>
      <c r="BE94" s="2896">
        <v>15660</v>
      </c>
      <c r="BF94" s="2896">
        <f>BF85-BE85</f>
        <v>9107</v>
      </c>
      <c r="BG94" s="2896">
        <f>BG85-BF85</f>
        <v>5851</v>
      </c>
      <c r="BH94" s="2896">
        <f>BH85-BG85</f>
        <v>6052</v>
      </c>
      <c r="BI94" s="2896">
        <f t="shared" si="262"/>
        <v>150079</v>
      </c>
      <c r="BJ94" s="2898">
        <f>AVERAGE(AW94:BH94)</f>
        <v>12506.583333333334</v>
      </c>
      <c r="BK94" s="2895">
        <v>14190</v>
      </c>
      <c r="BL94" s="2896">
        <v>6753</v>
      </c>
      <c r="BM94" s="2896"/>
      <c r="BN94" s="2896"/>
      <c r="BO94" s="2896"/>
      <c r="BP94" s="2896"/>
      <c r="BQ94" s="2896"/>
      <c r="BR94" s="2896"/>
      <c r="BS94" s="2896"/>
      <c r="BT94" s="2896"/>
      <c r="BU94" s="2896"/>
      <c r="BV94" s="2896"/>
      <c r="BW94" s="2896">
        <f t="shared" si="263"/>
        <v>20943</v>
      </c>
      <c r="BX94" s="2898">
        <f>AVERAGE(BK94:BV94)</f>
        <v>10471.5</v>
      </c>
      <c r="BZ94" s="2860" t="e">
        <f>HLOOKUP($A$1,$AW$1:$BH$400,ROW(),0)-HLOOKUP($A$1,$AI$1:$AT$400,ROW(),0)</f>
        <v>#N/A</v>
      </c>
      <c r="CA94" s="2860">
        <f>BJ94-AV94</f>
        <v>4161.8333333333339</v>
      </c>
      <c r="CB94" s="2881" t="e">
        <f>HLOOKUP($A$1,$AW$1:$BH$400,ROW(),0)-SUM(AI94:AJ94)</f>
        <v>#N/A</v>
      </c>
    </row>
    <row r="95" spans="1:80" ht="18" customHeight="1" x14ac:dyDescent="0.55000000000000004">
      <c r="A95" s="7157" t="s">
        <v>716</v>
      </c>
      <c r="B95" s="7158"/>
      <c r="C95" s="3313" t="s">
        <v>43</v>
      </c>
      <c r="D95" s="3314"/>
      <c r="E95" s="3315">
        <v>111715</v>
      </c>
      <c r="F95" s="3316">
        <v>112728</v>
      </c>
      <c r="G95" s="3315">
        <v>114001</v>
      </c>
      <c r="H95" s="3315">
        <v>115474</v>
      </c>
      <c r="I95" s="3315">
        <v>116950</v>
      </c>
      <c r="J95" s="3315">
        <v>119166</v>
      </c>
      <c r="K95" s="3315">
        <v>120686</v>
      </c>
      <c r="L95" s="3315">
        <v>122388</v>
      </c>
      <c r="M95" s="3315">
        <v>124043</v>
      </c>
      <c r="N95" s="3315">
        <v>128410</v>
      </c>
      <c r="O95" s="3315">
        <v>131380</v>
      </c>
      <c r="P95" s="3315">
        <v>131733</v>
      </c>
      <c r="Q95" s="3315">
        <v>131402</v>
      </c>
      <c r="R95" s="3315">
        <f>Q95</f>
        <v>131402</v>
      </c>
      <c r="S95" s="3315">
        <f t="shared" si="195"/>
        <v>122363.41666666667</v>
      </c>
      <c r="T95" s="3316">
        <v>131876</v>
      </c>
      <c r="U95" s="3315">
        <v>133518</v>
      </c>
      <c r="V95" s="3315">
        <v>135123</v>
      </c>
      <c r="W95" s="3315">
        <v>135810</v>
      </c>
      <c r="X95" s="3315">
        <v>137831</v>
      </c>
      <c r="Y95" s="3315">
        <v>140015</v>
      </c>
      <c r="Z95" s="3297">
        <v>140283</v>
      </c>
      <c r="AA95" s="3297">
        <v>139734</v>
      </c>
      <c r="AB95" s="3297">
        <v>139950</v>
      </c>
      <c r="AC95" s="3297">
        <v>140703</v>
      </c>
      <c r="AD95" s="3297">
        <v>140155</v>
      </c>
      <c r="AE95" s="3297">
        <v>140550</v>
      </c>
      <c r="AF95" s="3299">
        <v>140550</v>
      </c>
      <c r="AG95" s="3299">
        <f>AVERAGE(T95:AE95)</f>
        <v>137962.33333333334</v>
      </c>
      <c r="AH95" s="3299"/>
      <c r="AI95" s="3300">
        <v>140810</v>
      </c>
      <c r="AJ95" s="3299">
        <v>139956</v>
      </c>
      <c r="AK95" s="3299">
        <v>139120</v>
      </c>
      <c r="AL95" s="3299">
        <v>138449</v>
      </c>
      <c r="AM95" s="3299">
        <v>136720</v>
      </c>
      <c r="AN95" s="3299">
        <v>136402</v>
      </c>
      <c r="AO95" s="3299">
        <v>136233</v>
      </c>
      <c r="AP95" s="3299">
        <v>136534</v>
      </c>
      <c r="AQ95" s="3299">
        <v>136844</v>
      </c>
      <c r="AR95" s="3299">
        <v>135018</v>
      </c>
      <c r="AS95" s="3299">
        <v>130364</v>
      </c>
      <c r="AT95" s="3297">
        <v>129663</v>
      </c>
      <c r="AU95" s="3299">
        <f>INDEX($AI95:$AT95, 1, MATCH(0, $AI95:$AT95, -1))</f>
        <v>129663</v>
      </c>
      <c r="AV95" s="3301">
        <f>AVERAGE(AI95:AT95)</f>
        <v>136342.75</v>
      </c>
      <c r="AW95" s="4506">
        <v>129118</v>
      </c>
      <c r="AX95" s="3299">
        <v>127813</v>
      </c>
      <c r="AY95" s="3299">
        <v>128150</v>
      </c>
      <c r="AZ95" s="3299">
        <v>127290</v>
      </c>
      <c r="BA95" s="3299">
        <v>126975</v>
      </c>
      <c r="BB95" s="3299">
        <v>125769</v>
      </c>
      <c r="BC95" s="3299">
        <v>126809</v>
      </c>
      <c r="BD95" s="3299">
        <v>124728</v>
      </c>
      <c r="BE95" s="3299">
        <v>123444</v>
      </c>
      <c r="BF95" s="3299">
        <v>120873</v>
      </c>
      <c r="BG95" s="3299">
        <v>121418</v>
      </c>
      <c r="BH95" s="3299">
        <v>121737</v>
      </c>
      <c r="BI95" s="3297">
        <f>INDEX($AW95:$BH95, 1, MATCH(0, $AW95:$BH95, -1))</f>
        <v>121737</v>
      </c>
      <c r="BJ95" s="3301">
        <f>AVERAGE(AW95:BH95)</f>
        <v>125343.66666666667</v>
      </c>
      <c r="BK95" s="3297">
        <v>121594</v>
      </c>
      <c r="BL95" s="3299">
        <v>122330</v>
      </c>
      <c r="BM95" s="3299"/>
      <c r="BN95" s="3299"/>
      <c r="BO95" s="3299"/>
      <c r="BP95" s="3299"/>
      <c r="BQ95" s="3299"/>
      <c r="BR95" s="3299"/>
      <c r="BS95" s="3299"/>
      <c r="BT95" s="3299"/>
      <c r="BU95" s="3299"/>
      <c r="BV95" s="3299"/>
      <c r="BW95" s="3297">
        <f>INDEX($AW95:$BH95, 1, MATCH(0, $AW95:$BH95, -1))</f>
        <v>121737</v>
      </c>
      <c r="BX95" s="3301">
        <f>AVERAGE(BK95:BV95)</f>
        <v>121962</v>
      </c>
      <c r="BZ95" s="2860" t="e">
        <f>HLOOKUP($A$1,$AW$1:$BH$400,ROW(),0)-HLOOKUP($A$1,$AI$1:$AT$400,ROW(),0)</f>
        <v>#N/A</v>
      </c>
      <c r="CA95" s="2860">
        <f>BJ95-AV95</f>
        <v>-10999.083333333328</v>
      </c>
      <c r="CB95" s="2861">
        <f>AX95-AJ95</f>
        <v>-12143</v>
      </c>
    </row>
    <row r="96" spans="1:80" ht="18" customHeight="1" x14ac:dyDescent="0.55000000000000004">
      <c r="A96" s="7134"/>
      <c r="B96" s="7135"/>
      <c r="C96" s="1453" t="s">
        <v>56</v>
      </c>
      <c r="D96" s="1347"/>
      <c r="E96" s="2924">
        <f t="shared" ref="E96:S96" si="271">E97+E98</f>
        <v>3909</v>
      </c>
      <c r="F96" s="2923">
        <f t="shared" si="271"/>
        <v>4855</v>
      </c>
      <c r="G96" s="2924">
        <f t="shared" si="271"/>
        <v>5412</v>
      </c>
      <c r="H96" s="2924">
        <f t="shared" si="271"/>
        <v>5081</v>
      </c>
      <c r="I96" s="2924">
        <f t="shared" si="271"/>
        <v>4556</v>
      </c>
      <c r="J96" s="2924">
        <f t="shared" si="271"/>
        <v>5665</v>
      </c>
      <c r="K96" s="2924">
        <f t="shared" si="271"/>
        <v>5165</v>
      </c>
      <c r="L96" s="2924">
        <f t="shared" si="271"/>
        <v>5879</v>
      </c>
      <c r="M96" s="2924">
        <f t="shared" si="271"/>
        <v>5182</v>
      </c>
      <c r="N96" s="2924">
        <f t="shared" si="271"/>
        <v>7519</v>
      </c>
      <c r="O96" s="2924">
        <f t="shared" si="271"/>
        <v>6164</v>
      </c>
      <c r="P96" s="2924">
        <f t="shared" si="271"/>
        <v>4628</v>
      </c>
      <c r="Q96" s="2924">
        <f t="shared" si="271"/>
        <v>3315</v>
      </c>
      <c r="R96" s="2924">
        <f t="shared" si="271"/>
        <v>63421</v>
      </c>
      <c r="S96" s="2924">
        <f t="shared" si="271"/>
        <v>5285.0833333333339</v>
      </c>
      <c r="T96" s="2923">
        <v>4600</v>
      </c>
      <c r="U96" s="2924">
        <v>5781</v>
      </c>
      <c r="V96" s="2924">
        <v>5132</v>
      </c>
      <c r="W96" s="2924">
        <v>3814</v>
      </c>
      <c r="X96" s="2924">
        <v>4886</v>
      </c>
      <c r="Y96" s="2924">
        <v>4488</v>
      </c>
      <c r="Z96" s="2888">
        <v>3636</v>
      </c>
      <c r="AA96" s="2888">
        <v>3646</v>
      </c>
      <c r="AB96" s="2888">
        <v>5804</v>
      </c>
      <c r="AC96" s="2888">
        <v>7253</v>
      </c>
      <c r="AD96" s="2888">
        <v>2706</v>
      </c>
      <c r="AE96" s="2888">
        <v>2251</v>
      </c>
      <c r="AF96" s="2889">
        <f>SUM(T96:AE96)</f>
        <v>53997</v>
      </c>
      <c r="AG96" s="2889">
        <f>AVERAGE(T96:AE96)</f>
        <v>4499.75</v>
      </c>
      <c r="AH96" s="2889"/>
      <c r="AI96" s="2890">
        <v>3260</v>
      </c>
      <c r="AJ96" s="2889">
        <v>2214</v>
      </c>
      <c r="AK96" s="2889">
        <v>1632</v>
      </c>
      <c r="AL96" s="2889">
        <v>2415</v>
      </c>
      <c r="AM96" s="2889">
        <v>1540</v>
      </c>
      <c r="AN96" s="2889">
        <v>2359</v>
      </c>
      <c r="AO96" s="2889">
        <v>2875</v>
      </c>
      <c r="AP96" s="2889">
        <v>2958</v>
      </c>
      <c r="AQ96" s="2889">
        <v>3119</v>
      </c>
      <c r="AR96" s="2889">
        <v>6253</v>
      </c>
      <c r="AS96" s="2889">
        <v>2707</v>
      </c>
      <c r="AT96" s="2888">
        <v>1833.9999999999998</v>
      </c>
      <c r="AU96" s="2889">
        <f>SUM(AI96:AT96)</f>
        <v>33166</v>
      </c>
      <c r="AV96" s="2891">
        <f>AVERAGE(AI96:AT96)</f>
        <v>2763.8333333333335</v>
      </c>
      <c r="AW96" s="3414">
        <v>1912</v>
      </c>
      <c r="AX96" s="2889">
        <v>2778</v>
      </c>
      <c r="AY96" s="2889">
        <v>3485</v>
      </c>
      <c r="AZ96" s="2889">
        <v>2478</v>
      </c>
      <c r="BA96" s="2889">
        <f>BA97+BA98</f>
        <v>2591</v>
      </c>
      <c r="BB96" s="2889">
        <f>BB97+BB98</f>
        <v>1942</v>
      </c>
      <c r="BC96" s="2889">
        <v>4860</v>
      </c>
      <c r="BD96" s="2889">
        <v>1543</v>
      </c>
      <c r="BE96" s="2889">
        <v>2494</v>
      </c>
      <c r="BF96" s="2889">
        <f>BF97+BF98</f>
        <v>5265</v>
      </c>
      <c r="BG96" s="2889">
        <f t="shared" ref="BG96:BH96" si="272">BG97+BG98</f>
        <v>5004</v>
      </c>
      <c r="BH96" s="2889">
        <f t="shared" si="272"/>
        <v>3497</v>
      </c>
      <c r="BI96" s="2889">
        <f>SUM(AW96:BH96)</f>
        <v>37849</v>
      </c>
      <c r="BJ96" s="2891">
        <f>AVERAGE(AW96:BH96)</f>
        <v>3154.0833333333335</v>
      </c>
      <c r="BK96" s="2888">
        <v>3919</v>
      </c>
      <c r="BL96" s="2889">
        <v>2925</v>
      </c>
      <c r="BM96" s="2889"/>
      <c r="BN96" s="2889"/>
      <c r="BO96" s="2889"/>
      <c r="BP96" s="2889"/>
      <c r="BQ96" s="2889"/>
      <c r="BR96" s="2889"/>
      <c r="BS96" s="2889"/>
      <c r="BT96" s="2889"/>
      <c r="BU96" s="2889"/>
      <c r="BV96" s="2889"/>
      <c r="BW96" s="2889">
        <f>SUM(BK96:BV96)</f>
        <v>6844</v>
      </c>
      <c r="BX96" s="2891">
        <f>AVERAGE(BK96:BV96)</f>
        <v>3422</v>
      </c>
      <c r="BZ96" s="2860" t="e">
        <f>HLOOKUP($A$1,$AW$1:$BH$400,ROW(),0)-HLOOKUP($A$1,$AI$1:$AT$400,ROW(),0)</f>
        <v>#N/A</v>
      </c>
      <c r="CA96" s="2860">
        <f>BJ96-AV96</f>
        <v>390.25</v>
      </c>
      <c r="CB96" s="2881" t="e">
        <f>HLOOKUP($A$1,$AW$1:$BH$400,ROW(),0)-SUM(AI96:AJ96)</f>
        <v>#N/A</v>
      </c>
    </row>
    <row r="97" spans="1:80" ht="18" hidden="1" customHeight="1" x14ac:dyDescent="0.55000000000000004">
      <c r="A97" s="7134"/>
      <c r="B97" s="7135"/>
      <c r="C97" s="681"/>
      <c r="D97" s="681" t="s">
        <v>46</v>
      </c>
      <c r="E97" s="3308">
        <v>1717</v>
      </c>
      <c r="F97" s="2921">
        <v>2343</v>
      </c>
      <c r="G97" s="2922">
        <v>1988</v>
      </c>
      <c r="H97" s="2922">
        <v>2123</v>
      </c>
      <c r="I97" s="2922">
        <v>2005</v>
      </c>
      <c r="J97" s="2922">
        <v>3171</v>
      </c>
      <c r="K97" s="2922">
        <v>2269</v>
      </c>
      <c r="L97" s="2922">
        <v>3172</v>
      </c>
      <c r="M97" s="2922">
        <v>1824</v>
      </c>
      <c r="N97" s="2922">
        <v>4945</v>
      </c>
      <c r="O97" s="2922">
        <v>3984</v>
      </c>
      <c r="P97" s="2922">
        <v>2380</v>
      </c>
      <c r="Q97" s="2922">
        <v>1957</v>
      </c>
      <c r="R97" s="2922">
        <f t="shared" si="192"/>
        <v>32161</v>
      </c>
      <c r="S97" s="2922">
        <f t="shared" si="195"/>
        <v>2680.0833333333335</v>
      </c>
      <c r="T97" s="2921">
        <v>2898</v>
      </c>
      <c r="U97" s="2922">
        <v>2524</v>
      </c>
      <c r="V97" s="2922">
        <v>2006</v>
      </c>
      <c r="W97" s="2922">
        <v>1362</v>
      </c>
      <c r="X97" s="2922">
        <v>1652</v>
      </c>
      <c r="Y97" s="2922">
        <v>1824</v>
      </c>
      <c r="Z97" s="1102">
        <v>937</v>
      </c>
      <c r="AA97" s="1102">
        <v>1378</v>
      </c>
      <c r="AB97" s="1102">
        <v>604</v>
      </c>
      <c r="AC97" s="1102">
        <v>848</v>
      </c>
      <c r="AD97" s="1102">
        <v>676</v>
      </c>
      <c r="AE97" s="1102">
        <v>596</v>
      </c>
      <c r="AF97" s="2883">
        <f t="shared" ref="AF97:AF104" si="273">SUM(T97:AE97)</f>
        <v>17305</v>
      </c>
      <c r="AG97" s="2883">
        <f t="shared" ref="AG97:AG104" si="274">AVERAGE(T97:AE97)</f>
        <v>1442.0833333333333</v>
      </c>
      <c r="AH97" s="2883"/>
      <c r="AI97" s="2884">
        <v>1633</v>
      </c>
      <c r="AJ97" s="2883">
        <v>1327</v>
      </c>
      <c r="AK97" s="2883">
        <v>911</v>
      </c>
      <c r="AL97" s="2883">
        <v>711</v>
      </c>
      <c r="AM97" s="2883">
        <v>745</v>
      </c>
      <c r="AN97" s="2883">
        <v>1221</v>
      </c>
      <c r="AO97" s="2883">
        <v>1314</v>
      </c>
      <c r="AP97" s="2883">
        <v>2160</v>
      </c>
      <c r="AQ97" s="2883">
        <v>1701</v>
      </c>
      <c r="AR97" s="2883">
        <v>1178</v>
      </c>
      <c r="AS97" s="2883">
        <v>1007</v>
      </c>
      <c r="AT97" s="1102"/>
      <c r="AU97" s="2883">
        <f>SUM(AI97:AQ97)</f>
        <v>11723</v>
      </c>
      <c r="AV97" s="2885">
        <f t="shared" ref="AV97:AV104" si="275">AVERAGE(AI97:AT97)</f>
        <v>1264.3636363636363</v>
      </c>
      <c r="AW97" s="2968">
        <v>1049</v>
      </c>
      <c r="AX97" s="2883">
        <v>927</v>
      </c>
      <c r="AY97" s="2883">
        <v>2829</v>
      </c>
      <c r="AZ97" s="2883">
        <v>1630</v>
      </c>
      <c r="BA97" s="2883">
        <v>1679</v>
      </c>
      <c r="BB97" s="2883">
        <v>1191</v>
      </c>
      <c r="BC97" s="2883">
        <v>3981</v>
      </c>
      <c r="BD97" s="2883">
        <v>905</v>
      </c>
      <c r="BE97" s="2883">
        <v>1546</v>
      </c>
      <c r="BF97" s="1102">
        <v>1406</v>
      </c>
      <c r="BG97" s="2883">
        <v>4110</v>
      </c>
      <c r="BH97" s="2883">
        <v>2714</v>
      </c>
      <c r="BI97" s="2883">
        <f>SUM(AW97:BE97)</f>
        <v>15737</v>
      </c>
      <c r="BJ97" s="2885">
        <f>AVERAGE(AW97:BH97)</f>
        <v>1997.25</v>
      </c>
      <c r="BK97" s="1102">
        <v>1608</v>
      </c>
      <c r="BL97" s="2883">
        <v>752</v>
      </c>
      <c r="BM97" s="2883"/>
      <c r="BN97" s="2883"/>
      <c r="BO97" s="2883"/>
      <c r="BP97" s="2883"/>
      <c r="BQ97" s="2883"/>
      <c r="BR97" s="2883"/>
      <c r="BS97" s="2883"/>
      <c r="BT97" s="1102"/>
      <c r="BU97" s="2883"/>
      <c r="BV97" s="2883"/>
      <c r="BW97" s="2883">
        <f>SUM(BK97:BS97)</f>
        <v>2360</v>
      </c>
      <c r="BX97" s="2885">
        <f>AVERAGE(BK97:BV97)</f>
        <v>1180</v>
      </c>
      <c r="BZ97" s="2860" t="e">
        <f>HLOOKUP($A$1,$AW$1:$BH$400,ROW(),0)-HLOOKUP($A$1,$AI$1:$AT$400,ROW(),0)</f>
        <v>#N/A</v>
      </c>
      <c r="CA97" s="2860">
        <f>BJ97-AV97</f>
        <v>732.88636363636374</v>
      </c>
      <c r="CB97" s="2881" t="e">
        <f>HLOOKUP($A$1,$AW$1:$BH$400,ROW(),0)-SUM(AI97:AJ97)</f>
        <v>#N/A</v>
      </c>
    </row>
    <row r="98" spans="1:80" ht="18" hidden="1" customHeight="1" x14ac:dyDescent="0.55000000000000004">
      <c r="A98" s="7134"/>
      <c r="B98" s="7135"/>
      <c r="C98" s="681"/>
      <c r="D98" s="681" t="s">
        <v>55</v>
      </c>
      <c r="E98" s="3308">
        <v>2192</v>
      </c>
      <c r="F98" s="2921">
        <v>2512</v>
      </c>
      <c r="G98" s="2922">
        <v>3424</v>
      </c>
      <c r="H98" s="2922">
        <v>2958</v>
      </c>
      <c r="I98" s="2922">
        <v>2551</v>
      </c>
      <c r="J98" s="2922">
        <v>2494</v>
      </c>
      <c r="K98" s="2922">
        <v>2896</v>
      </c>
      <c r="L98" s="2922">
        <v>2707</v>
      </c>
      <c r="M98" s="2922">
        <v>3358</v>
      </c>
      <c r="N98" s="2922">
        <v>2574</v>
      </c>
      <c r="O98" s="2922">
        <v>2180</v>
      </c>
      <c r="P98" s="2922">
        <v>2248</v>
      </c>
      <c r="Q98" s="2922">
        <v>1358</v>
      </c>
      <c r="R98" s="2922">
        <f t="shared" si="192"/>
        <v>31260</v>
      </c>
      <c r="S98" s="2922">
        <f t="shared" si="195"/>
        <v>2605</v>
      </c>
      <c r="T98" s="2921">
        <v>1703</v>
      </c>
      <c r="U98" s="2922">
        <v>3257</v>
      </c>
      <c r="V98" s="2922">
        <v>3129</v>
      </c>
      <c r="W98" s="2922">
        <v>2458</v>
      </c>
      <c r="X98" s="2922">
        <v>3234</v>
      </c>
      <c r="Y98" s="2922">
        <v>2674</v>
      </c>
      <c r="Z98" s="1102">
        <v>2700</v>
      </c>
      <c r="AA98" s="1102">
        <v>2271</v>
      </c>
      <c r="AB98" s="1102">
        <v>5216</v>
      </c>
      <c r="AC98" s="1102">
        <v>6418</v>
      </c>
      <c r="AD98" s="1102">
        <v>2031</v>
      </c>
      <c r="AE98" s="1102">
        <v>1658</v>
      </c>
      <c r="AF98" s="2883">
        <f t="shared" si="273"/>
        <v>36749</v>
      </c>
      <c r="AG98" s="2883">
        <f t="shared" si="274"/>
        <v>3062.4166666666665</v>
      </c>
      <c r="AH98" s="2883"/>
      <c r="AI98" s="2884">
        <v>1627</v>
      </c>
      <c r="AJ98" s="2883">
        <v>887</v>
      </c>
      <c r="AK98" s="2883">
        <v>721</v>
      </c>
      <c r="AL98" s="2883">
        <v>1774</v>
      </c>
      <c r="AM98" s="2883">
        <v>847</v>
      </c>
      <c r="AN98" s="2883">
        <v>1189</v>
      </c>
      <c r="AO98" s="2883">
        <v>1606</v>
      </c>
      <c r="AP98" s="2883">
        <v>820</v>
      </c>
      <c r="AQ98" s="2883">
        <v>1418</v>
      </c>
      <c r="AR98" s="2883">
        <v>5075</v>
      </c>
      <c r="AS98" s="2883">
        <v>1700</v>
      </c>
      <c r="AT98" s="1102"/>
      <c r="AU98" s="2883">
        <f>SUM(AI98:AS98)</f>
        <v>17664</v>
      </c>
      <c r="AV98" s="2885">
        <f t="shared" si="275"/>
        <v>1605.8181818181818</v>
      </c>
      <c r="AW98" s="2968">
        <v>863</v>
      </c>
      <c r="AX98" s="2883">
        <v>1851</v>
      </c>
      <c r="AY98" s="2883">
        <v>656</v>
      </c>
      <c r="AZ98" s="2883">
        <v>848</v>
      </c>
      <c r="BA98" s="2883">
        <v>912</v>
      </c>
      <c r="BB98" s="2883">
        <v>751</v>
      </c>
      <c r="BC98" s="2883">
        <v>879</v>
      </c>
      <c r="BD98" s="2883">
        <v>638</v>
      </c>
      <c r="BE98" s="2883">
        <v>948</v>
      </c>
      <c r="BF98" s="1102">
        <v>3859</v>
      </c>
      <c r="BG98" s="2883">
        <v>894</v>
      </c>
      <c r="BH98" s="2883">
        <v>783</v>
      </c>
      <c r="BI98" s="2883">
        <f>SUM(AW98:BH98)</f>
        <v>13882</v>
      </c>
      <c r="BJ98" s="2885">
        <f>AVERAGE(AW98:BH98)</f>
        <v>1156.8333333333333</v>
      </c>
      <c r="BK98" s="1102">
        <v>2311</v>
      </c>
      <c r="BL98" s="2883">
        <v>2173</v>
      </c>
      <c r="BM98" s="2883"/>
      <c r="BN98" s="2883"/>
      <c r="BO98" s="2883"/>
      <c r="BP98" s="2883"/>
      <c r="BQ98" s="2883"/>
      <c r="BR98" s="2883"/>
      <c r="BS98" s="2883"/>
      <c r="BT98" s="1102"/>
      <c r="BU98" s="2883"/>
      <c r="BV98" s="2883"/>
      <c r="BW98" s="2883">
        <f>SUM(BK98:BV98)</f>
        <v>4484</v>
      </c>
      <c r="BX98" s="2885">
        <f>AVERAGE(BK98:BV98)</f>
        <v>2242</v>
      </c>
      <c r="BZ98" s="2860" t="e">
        <f>HLOOKUP($A$1,$AW$1:$BH$400,ROW(),0)-HLOOKUP($A$1,$AI$1:$AT$400,ROW(),0)</f>
        <v>#N/A</v>
      </c>
      <c r="CA98" s="2860">
        <f>BJ98-AV98</f>
        <v>-448.9848484848485</v>
      </c>
      <c r="CB98" s="2881" t="e">
        <f>HLOOKUP($A$1,$AW$1:$BH$400,ROW(),0)-SUM(AI98:AJ98)</f>
        <v>#N/A</v>
      </c>
    </row>
    <row r="99" spans="1:80" ht="16.75" customHeight="1" x14ac:dyDescent="0.55000000000000004">
      <c r="A99" s="7134"/>
      <c r="B99" s="7135"/>
      <c r="C99" s="681" t="s">
        <v>47</v>
      </c>
      <c r="D99" s="681"/>
      <c r="E99" s="3308">
        <v>1344</v>
      </c>
      <c r="F99" s="2921">
        <v>1163</v>
      </c>
      <c r="G99" s="2922">
        <v>1267</v>
      </c>
      <c r="H99" s="2922">
        <v>1372</v>
      </c>
      <c r="I99" s="2922">
        <v>1296</v>
      </c>
      <c r="J99" s="2922">
        <v>1410</v>
      </c>
      <c r="K99" s="2922">
        <v>1506</v>
      </c>
      <c r="L99" s="2922">
        <v>1809</v>
      </c>
      <c r="M99" s="2922">
        <v>1305</v>
      </c>
      <c r="N99" s="2922">
        <v>1176</v>
      </c>
      <c r="O99" s="2922">
        <v>1132</v>
      </c>
      <c r="P99" s="2922">
        <v>1390</v>
      </c>
      <c r="Q99" s="2922">
        <v>2206</v>
      </c>
      <c r="R99" s="2922">
        <f t="shared" si="192"/>
        <v>17032</v>
      </c>
      <c r="S99" s="2922">
        <f t="shared" si="195"/>
        <v>1419.3333333333333</v>
      </c>
      <c r="T99" s="2921">
        <v>1829</v>
      </c>
      <c r="U99" s="2922">
        <v>1515</v>
      </c>
      <c r="V99" s="2922">
        <v>1735</v>
      </c>
      <c r="W99" s="2922">
        <v>1380</v>
      </c>
      <c r="X99" s="2922">
        <v>1022</v>
      </c>
      <c r="Y99" s="2922">
        <v>766</v>
      </c>
      <c r="Z99" s="1102">
        <v>1886</v>
      </c>
      <c r="AA99" s="1102">
        <v>2000</v>
      </c>
      <c r="AB99" s="1102">
        <v>905</v>
      </c>
      <c r="AC99" s="1102">
        <v>1139</v>
      </c>
      <c r="AD99" s="1102">
        <v>1056</v>
      </c>
      <c r="AE99" s="1102">
        <v>648</v>
      </c>
      <c r="AF99" s="2883">
        <f t="shared" si="273"/>
        <v>15881</v>
      </c>
      <c r="AG99" s="2883">
        <f t="shared" si="274"/>
        <v>1323.4166666666667</v>
      </c>
      <c r="AH99" s="2883"/>
      <c r="AI99" s="2884">
        <v>676</v>
      </c>
      <c r="AJ99" s="2883">
        <v>1566</v>
      </c>
      <c r="AK99" s="2883">
        <v>865</v>
      </c>
      <c r="AL99" s="2883">
        <v>1386</v>
      </c>
      <c r="AM99" s="2883">
        <v>860</v>
      </c>
      <c r="AN99" s="2883">
        <v>798</v>
      </c>
      <c r="AO99" s="2883">
        <v>805</v>
      </c>
      <c r="AP99" s="2883">
        <v>758</v>
      </c>
      <c r="AQ99" s="2883">
        <v>607</v>
      </c>
      <c r="AR99" s="2883">
        <v>671</v>
      </c>
      <c r="AS99" s="2883">
        <v>825</v>
      </c>
      <c r="AT99" s="1102">
        <v>1191</v>
      </c>
      <c r="AU99" s="2883">
        <f t="shared" ref="AU99:AU104" si="276">SUM(AI99:AT99)</f>
        <v>11008</v>
      </c>
      <c r="AV99" s="2885">
        <f>AVERAGE(AI99:AS99)</f>
        <v>892.4545454545455</v>
      </c>
      <c r="AW99" s="2968">
        <v>664</v>
      </c>
      <c r="AX99" s="2883">
        <v>750</v>
      </c>
      <c r="AY99" s="2883">
        <v>1353</v>
      </c>
      <c r="AZ99" s="2883">
        <v>1158</v>
      </c>
      <c r="BA99" s="2883">
        <v>1002</v>
      </c>
      <c r="BB99" s="2883">
        <v>713</v>
      </c>
      <c r="BC99" s="2883">
        <v>1667</v>
      </c>
      <c r="BD99" s="2883">
        <v>984</v>
      </c>
      <c r="BE99" s="2883">
        <v>680</v>
      </c>
      <c r="BF99" s="2774">
        <v>1074</v>
      </c>
      <c r="BG99" s="2883">
        <v>1148</v>
      </c>
      <c r="BH99" s="2883">
        <v>1022</v>
      </c>
      <c r="BI99" s="2883">
        <f t="shared" ref="BI99:BI104" si="277">SUM(AW99:BH99)</f>
        <v>12215</v>
      </c>
      <c r="BJ99" s="2885">
        <f>AVERAGE(AW99:BG99)</f>
        <v>1017.5454545454545</v>
      </c>
      <c r="BK99" s="1102">
        <v>1156</v>
      </c>
      <c r="BL99" s="2883">
        <v>696</v>
      </c>
      <c r="BM99" s="2883"/>
      <c r="BN99" s="2883"/>
      <c r="BO99" s="2883"/>
      <c r="BP99" s="2883"/>
      <c r="BQ99" s="2883"/>
      <c r="BR99" s="2883"/>
      <c r="BS99" s="2883"/>
      <c r="BT99" s="905"/>
      <c r="BU99" s="2883"/>
      <c r="BV99" s="2883"/>
      <c r="BW99" s="2883">
        <f t="shared" ref="BW99:BW104" si="278">SUM(BK99:BV99)</f>
        <v>1852</v>
      </c>
      <c r="BX99" s="2885">
        <f>AVERAGE(BK99:BU99)</f>
        <v>926</v>
      </c>
      <c r="BZ99" s="2860" t="e">
        <f>HLOOKUP($A$1,$AW$1:$BH$400,ROW(),0)-HLOOKUP($A$1,$AI$1:$AT$400,ROW(),0)</f>
        <v>#N/A</v>
      </c>
      <c r="CA99" s="2860">
        <f>BJ99-AV99</f>
        <v>125.09090909090901</v>
      </c>
      <c r="CB99" s="2881" t="e">
        <f>HLOOKUP($A$1,$AW$1:$BH$400,ROW(),0)-SUM(AI99:AJ99)</f>
        <v>#N/A</v>
      </c>
    </row>
    <row r="100" spans="1:80" ht="17.05" customHeight="1" x14ac:dyDescent="0.55000000000000004">
      <c r="A100" s="7134"/>
      <c r="B100" s="7135"/>
      <c r="C100" s="681" t="s">
        <v>58</v>
      </c>
      <c r="D100" s="681"/>
      <c r="E100" s="3308"/>
      <c r="F100" s="2921">
        <v>40</v>
      </c>
      <c r="G100" s="2922">
        <v>9</v>
      </c>
      <c r="H100" s="2922">
        <v>128</v>
      </c>
      <c r="I100" s="2922">
        <v>13</v>
      </c>
      <c r="J100" s="2922">
        <v>32</v>
      </c>
      <c r="K100" s="2922">
        <v>28</v>
      </c>
      <c r="L100" s="2922">
        <v>14</v>
      </c>
      <c r="M100" s="2922">
        <v>9</v>
      </c>
      <c r="N100" s="2922">
        <v>24</v>
      </c>
      <c r="O100" s="2922">
        <v>11</v>
      </c>
      <c r="P100" s="2922">
        <v>23</v>
      </c>
      <c r="Q100" s="2922">
        <v>167</v>
      </c>
      <c r="R100" s="2922">
        <f t="shared" si="192"/>
        <v>498</v>
      </c>
      <c r="S100" s="2922">
        <f t="shared" si="195"/>
        <v>41.5</v>
      </c>
      <c r="T100" s="2921">
        <v>22</v>
      </c>
      <c r="U100" s="2922">
        <v>16</v>
      </c>
      <c r="V100" s="2922">
        <v>22</v>
      </c>
      <c r="W100" s="2922">
        <v>16</v>
      </c>
      <c r="X100" s="2922">
        <v>60</v>
      </c>
      <c r="Y100" s="2922">
        <v>28</v>
      </c>
      <c r="Z100" s="1102">
        <v>23</v>
      </c>
      <c r="AA100" s="1102">
        <v>14</v>
      </c>
      <c r="AB100" s="1102">
        <v>25</v>
      </c>
      <c r="AC100" s="1102">
        <v>17</v>
      </c>
      <c r="AD100" s="1102">
        <v>54</v>
      </c>
      <c r="AE100" s="1102">
        <v>49</v>
      </c>
      <c r="AF100" s="2883">
        <f t="shared" si="273"/>
        <v>346</v>
      </c>
      <c r="AG100" s="2883">
        <f t="shared" si="274"/>
        <v>28.833333333333332</v>
      </c>
      <c r="AH100" s="2883"/>
      <c r="AI100" s="2884">
        <v>11</v>
      </c>
      <c r="AJ100" s="2883">
        <v>20</v>
      </c>
      <c r="AK100" s="2883">
        <v>35</v>
      </c>
      <c r="AL100" s="2883">
        <v>178</v>
      </c>
      <c r="AM100" s="2883">
        <v>167</v>
      </c>
      <c r="AN100" s="2883">
        <v>103</v>
      </c>
      <c r="AO100" s="2883">
        <v>29</v>
      </c>
      <c r="AP100" s="2883">
        <v>56</v>
      </c>
      <c r="AQ100" s="2883">
        <v>34</v>
      </c>
      <c r="AR100" s="2883">
        <v>85</v>
      </c>
      <c r="AS100" s="2883">
        <v>23</v>
      </c>
      <c r="AT100" s="1102">
        <v>564</v>
      </c>
      <c r="AU100" s="2883">
        <f t="shared" si="276"/>
        <v>1305</v>
      </c>
      <c r="AV100" s="2885">
        <f>AVERAGE(AI100:AS100)</f>
        <v>67.36363636363636</v>
      </c>
      <c r="AW100" s="2968">
        <v>14</v>
      </c>
      <c r="AX100" s="2883">
        <v>23</v>
      </c>
      <c r="AY100" s="2883">
        <v>18</v>
      </c>
      <c r="AZ100" s="2883">
        <v>15</v>
      </c>
      <c r="BA100" s="2883">
        <v>16</v>
      </c>
      <c r="BB100" s="2883">
        <v>69</v>
      </c>
      <c r="BC100" s="2883">
        <v>11</v>
      </c>
      <c r="BD100" s="2883">
        <v>18</v>
      </c>
      <c r="BE100" s="2883">
        <v>29</v>
      </c>
      <c r="BF100" s="2774">
        <v>10</v>
      </c>
      <c r="BG100" s="2883">
        <v>15</v>
      </c>
      <c r="BH100" s="2883">
        <v>44</v>
      </c>
      <c r="BI100" s="2883">
        <f t="shared" si="277"/>
        <v>282</v>
      </c>
      <c r="BJ100" s="2885">
        <f>AVERAGE(AW100:BG100)</f>
        <v>21.636363636363637</v>
      </c>
      <c r="BK100" s="1102">
        <v>58</v>
      </c>
      <c r="BL100" s="2883">
        <v>20</v>
      </c>
      <c r="BM100" s="2883"/>
      <c r="BN100" s="2883"/>
      <c r="BO100" s="2883"/>
      <c r="BP100" s="2883"/>
      <c r="BQ100" s="2883"/>
      <c r="BR100" s="2883"/>
      <c r="BS100" s="2883"/>
      <c r="BT100" s="905"/>
      <c r="BU100" s="2883"/>
      <c r="BV100" s="2883"/>
      <c r="BW100" s="2883">
        <f t="shared" si="278"/>
        <v>78</v>
      </c>
      <c r="BX100" s="2885">
        <f>AVERAGE(BK100:BU100)</f>
        <v>39</v>
      </c>
      <c r="BZ100" s="2860" t="e">
        <f>HLOOKUP($A$1,$AW$1:$BH$400,ROW(),0)-HLOOKUP($A$1,$AI$1:$AT$400,ROW(),0)</f>
        <v>#N/A</v>
      </c>
      <c r="CA100" s="2860">
        <f>BJ100-AV100</f>
        <v>-45.72727272727272</v>
      </c>
      <c r="CB100" s="2881" t="e">
        <f>HLOOKUP($A$1,$AW$1:$BH$400,ROW(),0)-SUM(AI100:AJ100)</f>
        <v>#N/A</v>
      </c>
    </row>
    <row r="101" spans="1:80" ht="17.05" customHeight="1" x14ac:dyDescent="0.55000000000000004">
      <c r="A101" s="7134"/>
      <c r="B101" s="7135"/>
      <c r="C101" s="681" t="s">
        <v>48</v>
      </c>
      <c r="D101" s="681"/>
      <c r="E101" s="3308"/>
      <c r="F101" s="2921"/>
      <c r="G101" s="2922"/>
      <c r="H101" s="2922"/>
      <c r="I101" s="2922"/>
      <c r="J101" s="2922"/>
      <c r="K101" s="2922"/>
      <c r="L101" s="2922"/>
      <c r="M101" s="2922"/>
      <c r="N101" s="2922"/>
      <c r="O101" s="2922"/>
      <c r="P101" s="2922"/>
      <c r="Q101" s="2922"/>
      <c r="R101" s="2922">
        <f t="shared" si="192"/>
        <v>0</v>
      </c>
      <c r="S101" s="2922" t="e">
        <f t="shared" si="195"/>
        <v>#DIV/0!</v>
      </c>
      <c r="T101" s="2921">
        <f>T96-T99-T102-T104-T103</f>
        <v>1344</v>
      </c>
      <c r="U101" s="2922">
        <f t="shared" ref="U101:AE101" si="279">U96-U99-U102-U104-U103</f>
        <v>1929</v>
      </c>
      <c r="V101" s="2922">
        <f t="shared" si="279"/>
        <v>1200</v>
      </c>
      <c r="W101" s="2922">
        <f t="shared" si="279"/>
        <v>1175</v>
      </c>
      <c r="X101" s="2922">
        <f t="shared" si="279"/>
        <v>1342</v>
      </c>
      <c r="Y101" s="2922">
        <f t="shared" si="279"/>
        <v>1021</v>
      </c>
      <c r="Z101" s="1102">
        <f t="shared" si="279"/>
        <v>1067</v>
      </c>
      <c r="AA101" s="1102">
        <f t="shared" si="279"/>
        <v>1774</v>
      </c>
      <c r="AB101" s="1102">
        <f t="shared" si="279"/>
        <v>4313</v>
      </c>
      <c r="AC101" s="1102">
        <f t="shared" si="279"/>
        <v>5041</v>
      </c>
      <c r="AD101" s="1102">
        <f t="shared" si="279"/>
        <v>1157</v>
      </c>
      <c r="AE101" s="1102">
        <f t="shared" si="279"/>
        <v>869</v>
      </c>
      <c r="AF101" s="2883">
        <f t="shared" si="273"/>
        <v>22232</v>
      </c>
      <c r="AG101" s="2883">
        <f t="shared" si="274"/>
        <v>1852.6666666666667</v>
      </c>
      <c r="AH101" s="2883"/>
      <c r="AI101" s="2884">
        <v>1952</v>
      </c>
      <c r="AJ101" s="2883">
        <v>1138</v>
      </c>
      <c r="AK101" s="2883">
        <v>1191</v>
      </c>
      <c r="AL101" s="2883">
        <v>1161</v>
      </c>
      <c r="AM101" s="2883">
        <v>1116</v>
      </c>
      <c r="AN101" s="2883">
        <v>1060</v>
      </c>
      <c r="AO101" s="2883">
        <v>1790</v>
      </c>
      <c r="AP101" s="2883">
        <v>1035</v>
      </c>
      <c r="AQ101" s="2883">
        <v>1508</v>
      </c>
      <c r="AR101" s="2883">
        <v>3840</v>
      </c>
      <c r="AS101" s="2883">
        <v>1787</v>
      </c>
      <c r="AT101" s="1102">
        <v>859.99999999999977</v>
      </c>
      <c r="AU101" s="2883">
        <f t="shared" si="276"/>
        <v>18438</v>
      </c>
      <c r="AV101" s="2885">
        <f>AVERAGE(AI101:AS101)</f>
        <v>1598</v>
      </c>
      <c r="AW101" s="4507">
        <f>-(AW104-(AW96-AW99-AW102))</f>
        <v>1094</v>
      </c>
      <c r="AX101" s="2903">
        <f t="shared" ref="AX101:BL101" si="280">-(AX104-(AX96-AX99-AX102))</f>
        <v>1744</v>
      </c>
      <c r="AY101" s="2903">
        <f t="shared" si="280"/>
        <v>1169</v>
      </c>
      <c r="AZ101" s="2903">
        <f t="shared" si="280"/>
        <v>1571</v>
      </c>
      <c r="BA101" s="2903">
        <f t="shared" si="280"/>
        <v>1273</v>
      </c>
      <c r="BB101" s="2903">
        <f t="shared" si="280"/>
        <v>1278</v>
      </c>
      <c r="BC101" s="2903">
        <f t="shared" si="280"/>
        <v>1623</v>
      </c>
      <c r="BD101" s="2903">
        <f t="shared" si="280"/>
        <v>1434</v>
      </c>
      <c r="BE101" s="2903">
        <f t="shared" si="280"/>
        <v>2102</v>
      </c>
      <c r="BF101" s="3304">
        <f t="shared" si="280"/>
        <v>2277</v>
      </c>
      <c r="BG101" s="3304">
        <f t="shared" si="280"/>
        <v>1541</v>
      </c>
      <c r="BH101" s="3304">
        <f t="shared" si="280"/>
        <v>1209</v>
      </c>
      <c r="BI101" s="2883">
        <f t="shared" si="280"/>
        <v>18315</v>
      </c>
      <c r="BJ101" s="2885">
        <f t="shared" si="280"/>
        <v>1502.977272727273</v>
      </c>
      <c r="BK101" s="2903">
        <f t="shared" si="280"/>
        <v>1896</v>
      </c>
      <c r="BL101" s="2903">
        <f t="shared" si="280"/>
        <v>757</v>
      </c>
      <c r="BM101" s="2903"/>
      <c r="BN101" s="2903"/>
      <c r="BO101" s="2903"/>
      <c r="BP101" s="2903"/>
      <c r="BQ101" s="2903"/>
      <c r="BR101" s="2903"/>
      <c r="BS101" s="2903"/>
      <c r="BT101" s="3304"/>
      <c r="BU101" s="3304"/>
      <c r="BV101" s="3304"/>
      <c r="BW101" s="2883">
        <f t="shared" si="278"/>
        <v>2653</v>
      </c>
      <c r="BX101" s="2885">
        <f>AVERAGE(BK101:BU101)</f>
        <v>1326.5</v>
      </c>
      <c r="BZ101" s="2860" t="e">
        <f>HLOOKUP($A$1,$AW$1:$BH$400,ROW(),0)-HLOOKUP($A$1,$AI$1:$AT$400,ROW(),0)</f>
        <v>#N/A</v>
      </c>
      <c r="CA101" s="2860">
        <f>BJ101-AV101</f>
        <v>-95.022727272727025</v>
      </c>
      <c r="CB101" s="2881" t="e">
        <f>HLOOKUP($A$1,$AW$1:$BH$400,ROW(),0)-SUM(AI101:AJ101)</f>
        <v>#N/A</v>
      </c>
    </row>
    <row r="102" spans="1:80" ht="17.05" customHeight="1" x14ac:dyDescent="0.55000000000000004">
      <c r="A102" s="7134"/>
      <c r="B102" s="7135"/>
      <c r="C102" s="681" t="s">
        <v>49</v>
      </c>
      <c r="D102" s="681"/>
      <c r="E102" s="3308"/>
      <c r="F102" s="2921"/>
      <c r="G102" s="2922"/>
      <c r="H102" s="2922"/>
      <c r="I102" s="2922"/>
      <c r="J102" s="2922">
        <v>1598</v>
      </c>
      <c r="K102" s="2922">
        <v>1531</v>
      </c>
      <c r="L102" s="2922">
        <v>1269</v>
      </c>
      <c r="M102" s="2922">
        <v>1754</v>
      </c>
      <c r="N102" s="2922">
        <v>1428</v>
      </c>
      <c r="O102" s="2922">
        <v>1553</v>
      </c>
      <c r="P102" s="2922">
        <v>2549</v>
      </c>
      <c r="Q102" s="2922">
        <v>1140</v>
      </c>
      <c r="R102" s="2922">
        <f t="shared" si="192"/>
        <v>12822</v>
      </c>
      <c r="S102" s="2922">
        <f t="shared" si="195"/>
        <v>1602.75</v>
      </c>
      <c r="T102" s="2921">
        <v>953</v>
      </c>
      <c r="U102" s="2922">
        <v>695</v>
      </c>
      <c r="V102" s="2922">
        <v>592</v>
      </c>
      <c r="W102" s="2922">
        <v>572</v>
      </c>
      <c r="X102" s="2922">
        <v>501</v>
      </c>
      <c r="Y102" s="2922">
        <v>517</v>
      </c>
      <c r="Z102" s="1102">
        <v>415</v>
      </c>
      <c r="AA102" s="1102">
        <v>421</v>
      </c>
      <c r="AB102" s="1102">
        <v>370</v>
      </c>
      <c r="AC102" s="1102">
        <v>320</v>
      </c>
      <c r="AD102" s="1102">
        <v>1041</v>
      </c>
      <c r="AE102" s="1102">
        <v>339</v>
      </c>
      <c r="AF102" s="2883">
        <f t="shared" si="273"/>
        <v>6736</v>
      </c>
      <c r="AG102" s="2883">
        <f t="shared" si="274"/>
        <v>561.33333333333337</v>
      </c>
      <c r="AH102" s="2883"/>
      <c r="AI102" s="2884">
        <v>372</v>
      </c>
      <c r="AJ102" s="2883">
        <v>364</v>
      </c>
      <c r="AK102" s="2883">
        <v>412</v>
      </c>
      <c r="AL102" s="2883">
        <v>539</v>
      </c>
      <c r="AM102" s="2883">
        <v>1293</v>
      </c>
      <c r="AN102" s="2883">
        <v>819</v>
      </c>
      <c r="AO102" s="2883">
        <v>449</v>
      </c>
      <c r="AP102" s="2883">
        <v>864</v>
      </c>
      <c r="AQ102" s="2883">
        <v>694</v>
      </c>
      <c r="AR102" s="2883">
        <v>3568</v>
      </c>
      <c r="AS102" s="2883">
        <v>4749</v>
      </c>
      <c r="AT102" s="1102">
        <v>484</v>
      </c>
      <c r="AU102" s="2883">
        <f t="shared" si="276"/>
        <v>14607</v>
      </c>
      <c r="AV102" s="2885">
        <f>AVERAGE(AI102:AS102)</f>
        <v>1283.909090909091</v>
      </c>
      <c r="AW102" s="2968">
        <v>699</v>
      </c>
      <c r="AX102" s="2883">
        <v>829</v>
      </c>
      <c r="AY102" s="2883">
        <v>626</v>
      </c>
      <c r="AZ102" s="2883">
        <v>609</v>
      </c>
      <c r="BA102" s="2883">
        <v>631</v>
      </c>
      <c r="BB102" s="2883">
        <v>1157</v>
      </c>
      <c r="BC102" s="2883">
        <v>530</v>
      </c>
      <c r="BD102" s="2883">
        <v>1206</v>
      </c>
      <c r="BE102" s="2883">
        <v>996</v>
      </c>
      <c r="BF102" s="1102">
        <v>4485</v>
      </c>
      <c r="BG102" s="2883">
        <v>1770</v>
      </c>
      <c r="BH102" s="2883">
        <v>947</v>
      </c>
      <c r="BI102" s="2883">
        <f t="shared" si="277"/>
        <v>14485</v>
      </c>
      <c r="BJ102" s="2885">
        <f>AVERAGE(AW102:BG102)</f>
        <v>1230.7272727272727</v>
      </c>
      <c r="BK102" s="1102">
        <v>1010</v>
      </c>
      <c r="BL102" s="2883">
        <v>736</v>
      </c>
      <c r="BM102" s="2883"/>
      <c r="BN102" s="2883"/>
      <c r="BO102" s="2883"/>
      <c r="BP102" s="2883"/>
      <c r="BQ102" s="2883"/>
      <c r="BR102" s="2883"/>
      <c r="BS102" s="2883"/>
      <c r="BT102" s="1102"/>
      <c r="BU102" s="2883"/>
      <c r="BV102" s="2883"/>
      <c r="BW102" s="2883">
        <f t="shared" si="278"/>
        <v>1746</v>
      </c>
      <c r="BX102" s="2885">
        <f>AVERAGE(BK102:BU102)</f>
        <v>873</v>
      </c>
      <c r="BZ102" s="2860" t="e">
        <f>HLOOKUP($A$1,$AW$1:$BH$400,ROW(),0)-HLOOKUP($A$1,$AI$1:$AT$400,ROW(),0)</f>
        <v>#N/A</v>
      </c>
      <c r="CA102" s="2860">
        <f>BJ102-AV102</f>
        <v>-53.181818181818244</v>
      </c>
      <c r="CB102" s="2881" t="e">
        <f>HLOOKUP($A$1,$AW$1:$BH$400,ROW(),0)-SUM(AI102:AJ102)</f>
        <v>#N/A</v>
      </c>
    </row>
    <row r="103" spans="1:80" ht="17.05" hidden="1" customHeight="1" x14ac:dyDescent="0.55000000000000004">
      <c r="A103" s="7134"/>
      <c r="B103" s="7135"/>
      <c r="C103" s="681" t="s">
        <v>714</v>
      </c>
      <c r="D103" s="681"/>
      <c r="E103" s="3308"/>
      <c r="F103" s="2921"/>
      <c r="G103" s="2922"/>
      <c r="H103" s="2922"/>
      <c r="I103" s="2922"/>
      <c r="J103" s="2922"/>
      <c r="K103" s="2922"/>
      <c r="L103" s="2922"/>
      <c r="M103" s="2922"/>
      <c r="N103" s="2922"/>
      <c r="O103" s="2922"/>
      <c r="P103" s="2922"/>
      <c r="Q103" s="2922"/>
      <c r="R103" s="2922">
        <f t="shared" si="192"/>
        <v>0</v>
      </c>
      <c r="S103" s="2922" t="e">
        <f t="shared" si="195"/>
        <v>#DIV/0!</v>
      </c>
      <c r="T103" s="2921">
        <v>0</v>
      </c>
      <c r="U103" s="2922">
        <v>0</v>
      </c>
      <c r="V103" s="2922">
        <v>0</v>
      </c>
      <c r="W103" s="2922">
        <v>0</v>
      </c>
      <c r="X103" s="2922">
        <v>0</v>
      </c>
      <c r="Y103" s="2922">
        <v>0</v>
      </c>
      <c r="Z103" s="1102">
        <v>0</v>
      </c>
      <c r="AA103" s="1102">
        <v>0</v>
      </c>
      <c r="AB103" s="1102">
        <v>0</v>
      </c>
      <c r="AC103" s="1102">
        <v>0</v>
      </c>
      <c r="AD103" s="1102">
        <v>0</v>
      </c>
      <c r="AE103" s="1102">
        <v>0</v>
      </c>
      <c r="AF103" s="2883">
        <f t="shared" si="273"/>
        <v>0</v>
      </c>
      <c r="AG103" s="2883">
        <f t="shared" si="274"/>
        <v>0</v>
      </c>
      <c r="AH103" s="2883"/>
      <c r="AI103" s="2884">
        <v>0</v>
      </c>
      <c r="AJ103" s="2883">
        <v>0</v>
      </c>
      <c r="AK103" s="2883">
        <v>0</v>
      </c>
      <c r="AL103" s="2883">
        <v>0</v>
      </c>
      <c r="AM103" s="2883">
        <v>0</v>
      </c>
      <c r="AN103" s="2883">
        <v>0</v>
      </c>
      <c r="AO103" s="2883">
        <v>0</v>
      </c>
      <c r="AP103" s="2883">
        <v>0</v>
      </c>
      <c r="AQ103" s="2883">
        <v>0</v>
      </c>
      <c r="AR103" s="2883">
        <v>0</v>
      </c>
      <c r="AS103" s="2883">
        <v>0</v>
      </c>
      <c r="AT103" s="2883">
        <v>0</v>
      </c>
      <c r="AU103" s="2883">
        <f t="shared" si="276"/>
        <v>0</v>
      </c>
      <c r="AV103" s="2885">
        <f>AVERAGE(AI103:AS103)</f>
        <v>0</v>
      </c>
      <c r="AW103" s="2968"/>
      <c r="AX103" s="2883"/>
      <c r="AY103" s="2883"/>
      <c r="AZ103" s="2883"/>
      <c r="BA103" s="2883"/>
      <c r="BB103" s="2883"/>
      <c r="BC103" s="2883"/>
      <c r="BD103" s="2883"/>
      <c r="BE103" s="2883"/>
      <c r="BF103" s="2883"/>
      <c r="BG103" s="2883"/>
      <c r="BH103" s="2883"/>
      <c r="BI103" s="2883">
        <f t="shared" si="277"/>
        <v>0</v>
      </c>
      <c r="BJ103" s="2885" t="e">
        <f>AVERAGE(AW103:BG103)</f>
        <v>#DIV/0!</v>
      </c>
      <c r="BK103" s="1102"/>
      <c r="BL103" s="2883"/>
      <c r="BM103" s="2883"/>
      <c r="BN103" s="2883"/>
      <c r="BO103" s="2883"/>
      <c r="BP103" s="2883"/>
      <c r="BQ103" s="2883"/>
      <c r="BR103" s="2883"/>
      <c r="BS103" s="2883"/>
      <c r="BT103" s="2883"/>
      <c r="BU103" s="2883"/>
      <c r="BV103" s="2883"/>
      <c r="BW103" s="2883">
        <f t="shared" si="278"/>
        <v>0</v>
      </c>
      <c r="BX103" s="2885" t="e">
        <f>AVERAGE(BK103:BU103)</f>
        <v>#DIV/0!</v>
      </c>
      <c r="BZ103" s="2860" t="e">
        <f>HLOOKUP($A$1,$AW$1:$BH$400,ROW(),0)-HLOOKUP($A$1,$AI$1:$AT$400,ROW(),0)</f>
        <v>#N/A</v>
      </c>
      <c r="CA103" s="2860" t="e">
        <f>BJ103-AV103</f>
        <v>#DIV/0!</v>
      </c>
      <c r="CB103" s="2881" t="e">
        <f>HLOOKUP($A$1,$AW$1:$BH$400,ROW(),0)-SUM(AI103:AJ103)</f>
        <v>#N/A</v>
      </c>
    </row>
    <row r="104" spans="1:80" ht="17.05" customHeight="1" thickBot="1" x14ac:dyDescent="0.6">
      <c r="A104" s="7136"/>
      <c r="B104" s="7137"/>
      <c r="C104" s="2969" t="s">
        <v>50</v>
      </c>
      <c r="D104" s="2937"/>
      <c r="E104" s="2948"/>
      <c r="F104" s="2947"/>
      <c r="G104" s="2948"/>
      <c r="H104" s="2948"/>
      <c r="I104" s="2948"/>
      <c r="J104" s="2948"/>
      <c r="K104" s="2948"/>
      <c r="L104" s="2948"/>
      <c r="M104" s="2948"/>
      <c r="N104" s="2948"/>
      <c r="O104" s="2948"/>
      <c r="P104" s="2948"/>
      <c r="Q104" s="2948"/>
      <c r="R104" s="2948">
        <f t="shared" si="192"/>
        <v>0</v>
      </c>
      <c r="S104" s="2948" t="e">
        <f t="shared" si="195"/>
        <v>#DIV/0!</v>
      </c>
      <c r="T104" s="2947">
        <f>T95-Q95</f>
        <v>474</v>
      </c>
      <c r="U104" s="2948">
        <f t="shared" ref="U104:AE104" si="281">U95-T95</f>
        <v>1642</v>
      </c>
      <c r="V104" s="2948">
        <f t="shared" si="281"/>
        <v>1605</v>
      </c>
      <c r="W104" s="2948">
        <f t="shared" si="281"/>
        <v>687</v>
      </c>
      <c r="X104" s="2948">
        <f t="shared" si="281"/>
        <v>2021</v>
      </c>
      <c r="Y104" s="2948">
        <f t="shared" si="281"/>
        <v>2184</v>
      </c>
      <c r="Z104" s="2899">
        <f t="shared" si="281"/>
        <v>268</v>
      </c>
      <c r="AA104" s="2899">
        <f t="shared" si="281"/>
        <v>-549</v>
      </c>
      <c r="AB104" s="2899">
        <f t="shared" si="281"/>
        <v>216</v>
      </c>
      <c r="AC104" s="2899">
        <f t="shared" si="281"/>
        <v>753</v>
      </c>
      <c r="AD104" s="2899">
        <f t="shared" si="281"/>
        <v>-548</v>
      </c>
      <c r="AE104" s="2899">
        <f t="shared" si="281"/>
        <v>395</v>
      </c>
      <c r="AF104" s="2942">
        <f t="shared" si="273"/>
        <v>9148</v>
      </c>
      <c r="AG104" s="2942">
        <f t="shared" si="274"/>
        <v>762.33333333333337</v>
      </c>
      <c r="AH104" s="2942"/>
      <c r="AI104" s="2941">
        <v>260</v>
      </c>
      <c r="AJ104" s="2942">
        <v>-854</v>
      </c>
      <c r="AK104" s="2942">
        <v>-836</v>
      </c>
      <c r="AL104" s="2942">
        <v>-671</v>
      </c>
      <c r="AM104" s="2942">
        <v>-1729</v>
      </c>
      <c r="AN104" s="2942">
        <v>-318</v>
      </c>
      <c r="AO104" s="2942">
        <v>-169</v>
      </c>
      <c r="AP104" s="2942">
        <v>301</v>
      </c>
      <c r="AQ104" s="2942">
        <v>310</v>
      </c>
      <c r="AR104" s="2942">
        <v>-1826</v>
      </c>
      <c r="AS104" s="2942">
        <v>-4654</v>
      </c>
      <c r="AT104" s="2899">
        <v>-701</v>
      </c>
      <c r="AU104" s="2942">
        <f t="shared" si="276"/>
        <v>-10887</v>
      </c>
      <c r="AV104" s="2943">
        <f t="shared" si="275"/>
        <v>-907.25</v>
      </c>
      <c r="AW104" s="2972">
        <v>-545</v>
      </c>
      <c r="AX104" s="2942">
        <v>-545</v>
      </c>
      <c r="AY104" s="2942">
        <f>AY95-AX95</f>
        <v>337</v>
      </c>
      <c r="AZ104" s="2942">
        <v>-860</v>
      </c>
      <c r="BA104" s="2942">
        <f>BA95-AZ95</f>
        <v>-315</v>
      </c>
      <c r="BB104" s="2942">
        <f>BB95-BA95</f>
        <v>-1206</v>
      </c>
      <c r="BC104" s="2942">
        <f t="shared" ref="BC104" si="282">BC95-BB95</f>
        <v>1040</v>
      </c>
      <c r="BD104" s="2942">
        <v>-2081</v>
      </c>
      <c r="BE104" s="2942">
        <v>-1284</v>
      </c>
      <c r="BF104" s="2942">
        <f>BF95-BE95</f>
        <v>-2571</v>
      </c>
      <c r="BG104" s="2942">
        <f>BG95-BF95</f>
        <v>545</v>
      </c>
      <c r="BH104" s="2942">
        <f>BH95-BG95</f>
        <v>319</v>
      </c>
      <c r="BI104" s="2942">
        <f t="shared" si="277"/>
        <v>-7166</v>
      </c>
      <c r="BJ104" s="2943">
        <f>AVERAGE(AW104:BH104)</f>
        <v>-597.16666666666663</v>
      </c>
      <c r="BK104" s="2899">
        <v>-143</v>
      </c>
      <c r="BL104" s="2942">
        <v>736</v>
      </c>
      <c r="BM104" s="2942"/>
      <c r="BN104" s="2942"/>
      <c r="BO104" s="2942"/>
      <c r="BP104" s="2942"/>
      <c r="BQ104" s="2942"/>
      <c r="BR104" s="2942"/>
      <c r="BS104" s="2942"/>
      <c r="BT104" s="2942"/>
      <c r="BU104" s="2942"/>
      <c r="BV104" s="2942"/>
      <c r="BW104" s="2942">
        <f t="shared" si="278"/>
        <v>593</v>
      </c>
      <c r="BX104" s="2943">
        <f>AVERAGE(BK104:BV104)</f>
        <v>296.5</v>
      </c>
      <c r="BZ104" s="2860" t="e">
        <f>HLOOKUP($A$1,$AW$1:$BH$400,ROW(),0)-HLOOKUP($A$1,$AI$1:$AT$400,ROW(),0)</f>
        <v>#N/A</v>
      </c>
      <c r="CA104" s="2860">
        <f>BJ104-AV104</f>
        <v>310.08333333333337</v>
      </c>
      <c r="CB104" s="2881" t="e">
        <f>HLOOKUP($A$1,$AW$1:$BH$400,ROW(),0)-SUM(AI104:AJ104)</f>
        <v>#N/A</v>
      </c>
    </row>
    <row r="105" spans="1:80" ht="6.55" customHeight="1" x14ac:dyDescent="0.55000000000000004">
      <c r="A105" s="4347"/>
      <c r="B105" s="755"/>
      <c r="C105" s="681"/>
      <c r="D105" s="681"/>
      <c r="E105" s="3308"/>
      <c r="F105" s="3308"/>
      <c r="G105" s="3308"/>
      <c r="H105" s="3308"/>
      <c r="I105" s="3308"/>
      <c r="J105" s="3308"/>
      <c r="K105" s="3308"/>
      <c r="L105" s="3308"/>
      <c r="M105" s="3308"/>
      <c r="N105" s="3308"/>
      <c r="O105" s="3308"/>
      <c r="P105" s="3308"/>
      <c r="Q105" s="3308"/>
      <c r="R105" s="3308">
        <f t="shared" si="192"/>
        <v>0</v>
      </c>
      <c r="S105" s="3308" t="e">
        <f t="shared" si="195"/>
        <v>#DIV/0!</v>
      </c>
      <c r="T105" s="3308"/>
      <c r="U105" s="3308"/>
      <c r="V105" s="3308"/>
      <c r="W105" s="3308"/>
      <c r="X105" s="3308"/>
      <c r="Y105" s="3308"/>
      <c r="Z105" s="2774"/>
      <c r="AA105" s="2774"/>
      <c r="AB105" s="2774"/>
      <c r="AC105" s="2774"/>
      <c r="AD105" s="2774"/>
      <c r="AE105" s="2774"/>
      <c r="AF105" s="3345"/>
      <c r="AG105" s="3345"/>
      <c r="AH105" s="3345"/>
      <c r="AI105" s="3345"/>
      <c r="AJ105" s="3345"/>
      <c r="AK105" s="3345"/>
      <c r="AL105" s="3345"/>
      <c r="AM105" s="3345"/>
      <c r="AN105" s="3345"/>
      <c r="AO105" s="3345"/>
      <c r="AP105" s="3345"/>
      <c r="AQ105" s="3345"/>
      <c r="AR105" s="3345"/>
      <c r="AS105" s="3345"/>
      <c r="AT105" s="2774"/>
      <c r="AU105" s="3345"/>
      <c r="AV105" s="4502"/>
      <c r="AW105" s="4513"/>
      <c r="AX105" s="3345"/>
      <c r="AY105" s="3345"/>
      <c r="AZ105" s="3345"/>
      <c r="BA105" s="3345"/>
      <c r="BB105" s="3345"/>
      <c r="BC105" s="3345"/>
      <c r="BD105" s="3345"/>
      <c r="BE105" s="3345"/>
      <c r="BF105" s="3345"/>
      <c r="BG105" s="3345"/>
      <c r="BH105" s="3345"/>
      <c r="BI105" s="3345"/>
      <c r="BJ105" s="4502"/>
      <c r="BK105" s="3345"/>
      <c r="BL105" s="3345"/>
      <c r="BM105" s="3345"/>
      <c r="BN105" s="3345"/>
      <c r="BO105" s="3345"/>
      <c r="BP105" s="3345"/>
      <c r="BQ105" s="3345"/>
      <c r="BR105" s="3345"/>
      <c r="BS105" s="3345"/>
      <c r="BT105" s="3345"/>
      <c r="BU105" s="3345"/>
      <c r="BV105" s="3345"/>
      <c r="BW105" s="3345"/>
      <c r="BX105" s="3345"/>
      <c r="BZ105" s="2860" t="e">
        <f>HLOOKUP($A$1,$AW$1:$BH$400,ROW(),0)-HLOOKUP($A$1,$AI$1:$AT$400,ROW(),0)</f>
        <v>#N/A</v>
      </c>
      <c r="CA105" s="2860">
        <f>BJ105-AV105</f>
        <v>0</v>
      </c>
      <c r="CB105" s="2861">
        <f>AW105-AI105</f>
        <v>0</v>
      </c>
    </row>
    <row r="106" spans="1:80" x14ac:dyDescent="0.55000000000000004">
      <c r="A106" s="7159" t="s">
        <v>52</v>
      </c>
      <c r="B106" s="7160"/>
      <c r="C106" s="3313" t="s">
        <v>43</v>
      </c>
      <c r="D106" s="3314"/>
      <c r="E106" s="3315">
        <v>507003</v>
      </c>
      <c r="F106" s="3316">
        <v>502982</v>
      </c>
      <c r="G106" s="3315">
        <v>497847</v>
      </c>
      <c r="H106" s="3315">
        <v>486092</v>
      </c>
      <c r="I106" s="3315">
        <v>478715</v>
      </c>
      <c r="J106" s="3315">
        <v>476087</v>
      </c>
      <c r="K106" s="3315">
        <v>466804</v>
      </c>
      <c r="L106" s="3315">
        <v>459112</v>
      </c>
      <c r="M106" s="3315">
        <v>454681</v>
      </c>
      <c r="N106" s="3315">
        <v>443137</v>
      </c>
      <c r="O106" s="3315">
        <v>427592</v>
      </c>
      <c r="P106" s="3315">
        <v>408463</v>
      </c>
      <c r="Q106" s="3315">
        <v>419278</v>
      </c>
      <c r="R106" s="3315">
        <v>419278</v>
      </c>
      <c r="S106" s="3315">
        <v>460065.83333333331</v>
      </c>
      <c r="T106" s="3316">
        <v>411876</v>
      </c>
      <c r="U106" s="3315">
        <v>406172</v>
      </c>
      <c r="V106" s="3315">
        <v>394966</v>
      </c>
      <c r="W106" s="3315">
        <v>397471</v>
      </c>
      <c r="X106" s="3315">
        <v>397780</v>
      </c>
      <c r="Y106" s="3315">
        <v>398545</v>
      </c>
      <c r="Z106" s="3297">
        <v>400986</v>
      </c>
      <c r="AA106" s="3297">
        <v>404550</v>
      </c>
      <c r="AB106" s="3297">
        <v>410132</v>
      </c>
      <c r="AC106" s="3297">
        <v>413864</v>
      </c>
      <c r="AD106" s="3297">
        <v>419133</v>
      </c>
      <c r="AE106" s="3297">
        <v>422904</v>
      </c>
      <c r="AF106" s="3299">
        <v>422904</v>
      </c>
      <c r="AG106" s="3299">
        <v>406531.58333333331</v>
      </c>
      <c r="AH106" s="3299"/>
      <c r="AI106" s="3298">
        <v>423790</v>
      </c>
      <c r="AJ106" s="3297">
        <v>407221</v>
      </c>
      <c r="AK106" s="3297">
        <v>406627</v>
      </c>
      <c r="AL106" s="3297">
        <v>387138</v>
      </c>
      <c r="AM106" s="3297">
        <v>374845</v>
      </c>
      <c r="AN106" s="3297">
        <v>374952</v>
      </c>
      <c r="AO106" s="3297">
        <v>370571</v>
      </c>
      <c r="AP106" s="3297">
        <v>362880</v>
      </c>
      <c r="AQ106" s="3297">
        <v>360824</v>
      </c>
      <c r="AR106" s="3297">
        <v>360009</v>
      </c>
      <c r="AS106" s="3297">
        <v>354826</v>
      </c>
      <c r="AT106" s="3297">
        <v>356314</v>
      </c>
      <c r="AU106" s="3299">
        <f>INDEX($AI106:$AT106, 1, MATCH(0, $AI106:$AT106, -1))</f>
        <v>356314</v>
      </c>
      <c r="AV106" s="3301">
        <f>AVERAGE(AI106:AT106)</f>
        <v>378333.08333333331</v>
      </c>
      <c r="AW106" s="4506">
        <v>357494</v>
      </c>
      <c r="AX106" s="3297">
        <v>354156</v>
      </c>
      <c r="AY106" s="3297">
        <v>348871</v>
      </c>
      <c r="AZ106" s="3297">
        <v>353902</v>
      </c>
      <c r="BA106" s="3297">
        <v>355492</v>
      </c>
      <c r="BB106" s="3297">
        <v>351132</v>
      </c>
      <c r="BC106" s="3299">
        <v>351748</v>
      </c>
      <c r="BD106" s="3299">
        <v>350150</v>
      </c>
      <c r="BE106" s="3299">
        <v>354955</v>
      </c>
      <c r="BF106" s="3299">
        <v>352521</v>
      </c>
      <c r="BG106" s="3299">
        <v>351881</v>
      </c>
      <c r="BH106" s="3299">
        <v>352210</v>
      </c>
      <c r="BI106" s="3297">
        <f>INDEX($AW106:$BH106, 1, MATCH(0, $AW106:$BH106, -1))</f>
        <v>352210</v>
      </c>
      <c r="BJ106" s="3301">
        <f>AVERAGE(AW106:BH106)</f>
        <v>352876</v>
      </c>
      <c r="BK106" s="3297">
        <v>354082</v>
      </c>
      <c r="BL106" s="3297">
        <v>354139</v>
      </c>
      <c r="BM106" s="3297"/>
      <c r="BN106" s="3297"/>
      <c r="BO106" s="3297"/>
      <c r="BP106" s="3297"/>
      <c r="BQ106" s="3299"/>
      <c r="BR106" s="3299"/>
      <c r="BS106" s="3299"/>
      <c r="BT106" s="3299"/>
      <c r="BU106" s="3299"/>
      <c r="BV106" s="3299"/>
      <c r="BW106" s="3297">
        <f>INDEX($AW106:$BH106, 1, MATCH(0, $AW106:$BH106, -1))</f>
        <v>352210</v>
      </c>
      <c r="BX106" s="3299">
        <f>AVERAGE(BK106:BV106)</f>
        <v>354110.5</v>
      </c>
      <c r="BZ106" s="2860" t="e">
        <f>HLOOKUP($A$1,$AW$1:$BH$400,ROW(),0)-HLOOKUP($A$1,$AI$1:$AT$400,ROW(),0)</f>
        <v>#N/A</v>
      </c>
      <c r="CA106" s="2860">
        <f>BJ106-AV106</f>
        <v>-25457.083333333314</v>
      </c>
      <c r="CB106" s="2861">
        <f>AX106-AJ106</f>
        <v>-53065</v>
      </c>
    </row>
    <row r="107" spans="1:80" x14ac:dyDescent="0.55000000000000004">
      <c r="A107" s="7161"/>
      <c r="B107" s="7162"/>
      <c r="C107" s="681" t="s">
        <v>46</v>
      </c>
      <c r="D107" s="681"/>
      <c r="E107" s="681"/>
      <c r="F107" s="2921">
        <v>10034</v>
      </c>
      <c r="G107" s="2922">
        <v>12077</v>
      </c>
      <c r="H107" s="2922">
        <v>12628</v>
      </c>
      <c r="I107" s="2922">
        <v>9921</v>
      </c>
      <c r="J107" s="2922">
        <v>10589</v>
      </c>
      <c r="K107" s="2922">
        <v>9739</v>
      </c>
      <c r="L107" s="2922">
        <v>10675</v>
      </c>
      <c r="M107" s="2922">
        <v>7347</v>
      </c>
      <c r="N107" s="2922">
        <v>6973</v>
      </c>
      <c r="O107" s="2922">
        <v>6648</v>
      </c>
      <c r="P107" s="2922">
        <v>8848</v>
      </c>
      <c r="Q107" s="2922">
        <v>21209</v>
      </c>
      <c r="R107" s="2922">
        <v>126688</v>
      </c>
      <c r="S107" s="2922">
        <v>10557.333333333334</v>
      </c>
      <c r="T107" s="2921">
        <v>10932</v>
      </c>
      <c r="U107" s="2922">
        <v>5657</v>
      </c>
      <c r="V107" s="2922">
        <v>5068</v>
      </c>
      <c r="W107" s="2922">
        <v>10620</v>
      </c>
      <c r="X107" s="2922">
        <v>5758</v>
      </c>
      <c r="Y107" s="2922">
        <v>9038</v>
      </c>
      <c r="Z107" s="1102">
        <v>8317</v>
      </c>
      <c r="AA107" s="1102">
        <v>10015</v>
      </c>
      <c r="AB107" s="1102">
        <v>11650</v>
      </c>
      <c r="AC107" s="1102">
        <v>7865</v>
      </c>
      <c r="AD107" s="1102">
        <v>9912</v>
      </c>
      <c r="AE107" s="1102">
        <v>8568</v>
      </c>
      <c r="AF107" s="2883">
        <v>103400</v>
      </c>
      <c r="AG107" s="2883">
        <v>8616.6666666666661</v>
      </c>
      <c r="AH107" s="2883"/>
      <c r="AI107" s="2884">
        <v>10975</v>
      </c>
      <c r="AJ107" s="2883">
        <v>3910</v>
      </c>
      <c r="AK107" s="2883">
        <v>5347</v>
      </c>
      <c r="AL107" s="2883">
        <v>2829</v>
      </c>
      <c r="AM107" s="2883">
        <v>5359</v>
      </c>
      <c r="AN107" s="2883">
        <v>4278</v>
      </c>
      <c r="AO107" s="2883">
        <v>5171</v>
      </c>
      <c r="AP107" s="2883">
        <v>5224</v>
      </c>
      <c r="AQ107" s="2883">
        <v>3683</v>
      </c>
      <c r="AR107" s="2883">
        <v>4845</v>
      </c>
      <c r="AS107" s="2883">
        <v>5666</v>
      </c>
      <c r="AT107" s="1102">
        <v>6485</v>
      </c>
      <c r="AU107" s="2883">
        <f>SUM(AI107:AT107)</f>
        <v>63772</v>
      </c>
      <c r="AV107" s="2885">
        <f>AVERAGE(AI107:AT107)</f>
        <v>5314.333333333333</v>
      </c>
      <c r="AW107" s="3420">
        <v>5549</v>
      </c>
      <c r="AX107" s="2883">
        <v>3086</v>
      </c>
      <c r="AY107" s="2883">
        <v>2916</v>
      </c>
      <c r="AZ107" s="2883">
        <v>11432</v>
      </c>
      <c r="BA107" s="2883">
        <v>7680</v>
      </c>
      <c r="BB107" s="2883">
        <v>7724</v>
      </c>
      <c r="BC107" s="2883">
        <v>6988</v>
      </c>
      <c r="BD107" s="2883">
        <v>5537</v>
      </c>
      <c r="BE107" s="2883">
        <v>8871</v>
      </c>
      <c r="BF107" s="1102">
        <v>3123</v>
      </c>
      <c r="BG107" s="2883">
        <v>4673</v>
      </c>
      <c r="BH107" s="2883">
        <v>4972</v>
      </c>
      <c r="BI107" s="2883">
        <f>SUM(AW107:BH107)</f>
        <v>72551</v>
      </c>
      <c r="BJ107" s="2885">
        <f>AVERAGE(AW107:BH107)</f>
        <v>6045.916666666667</v>
      </c>
      <c r="BK107" s="2883">
        <v>8992</v>
      </c>
      <c r="BL107" s="2883">
        <v>2957</v>
      </c>
      <c r="BM107" s="2883"/>
      <c r="BN107" s="2883"/>
      <c r="BO107" s="2883"/>
      <c r="BP107" s="2883"/>
      <c r="BQ107" s="2883"/>
      <c r="BR107" s="2883"/>
      <c r="BS107" s="2883"/>
      <c r="BT107" s="1102"/>
      <c r="BU107" s="2883"/>
      <c r="BV107" s="2883"/>
      <c r="BW107" s="2883">
        <f>SUM(BK107:BV107)</f>
        <v>11949</v>
      </c>
      <c r="BX107" s="2883">
        <f>AVERAGE(BK107:BV107)</f>
        <v>5974.5</v>
      </c>
      <c r="BZ107" s="2860" t="e">
        <f>HLOOKUP($A$1,$AW$1:$BH$400,ROW(),0)-HLOOKUP($A$1,$AI$1:$AT$400,ROW(),0)</f>
        <v>#N/A</v>
      </c>
      <c r="CA107" s="2860">
        <f>BJ107-AV107</f>
        <v>731.58333333333394</v>
      </c>
      <c r="CB107" s="2881" t="e">
        <f>HLOOKUP($A$1,$AW$1:$BH$400,ROW(),0)-SUM(AI107:AJ107)</f>
        <v>#N/A</v>
      </c>
    </row>
    <row r="108" spans="1:80" x14ac:dyDescent="0.55000000000000004">
      <c r="A108" s="7161"/>
      <c r="B108" s="7163"/>
      <c r="C108" s="594" t="s">
        <v>47</v>
      </c>
      <c r="D108" s="594"/>
      <c r="E108" s="594">
        <v>3222</v>
      </c>
      <c r="F108" s="2882">
        <v>1321</v>
      </c>
      <c r="G108" s="1102">
        <v>4194</v>
      </c>
      <c r="H108" s="1102">
        <v>7088</v>
      </c>
      <c r="I108" s="1102">
        <v>3272</v>
      </c>
      <c r="J108" s="1102">
        <v>3542</v>
      </c>
      <c r="K108" s="1102">
        <v>3294</v>
      </c>
      <c r="L108" s="1102">
        <v>2873</v>
      </c>
      <c r="M108" s="1102">
        <v>3523</v>
      </c>
      <c r="N108" s="1102">
        <v>7831</v>
      </c>
      <c r="O108" s="1102">
        <v>3251</v>
      </c>
      <c r="P108" s="1102">
        <v>6226</v>
      </c>
      <c r="Q108" s="1102">
        <v>7540</v>
      </c>
      <c r="R108" s="1102">
        <v>53955</v>
      </c>
      <c r="S108" s="1102">
        <v>4496.25</v>
      </c>
      <c r="T108" s="2882">
        <v>4705</v>
      </c>
      <c r="U108" s="1102">
        <v>1384</v>
      </c>
      <c r="V108" s="1102">
        <v>1404</v>
      </c>
      <c r="W108" s="1102">
        <v>5086</v>
      </c>
      <c r="X108" s="1102">
        <v>3148</v>
      </c>
      <c r="Y108" s="1102">
        <v>4591</v>
      </c>
      <c r="Z108" s="1102">
        <v>2765</v>
      </c>
      <c r="AA108" s="1102">
        <v>3611</v>
      </c>
      <c r="AB108" s="1102">
        <v>2690</v>
      </c>
      <c r="AC108" s="1102">
        <v>1570</v>
      </c>
      <c r="AD108" s="1102">
        <v>1845</v>
      </c>
      <c r="AE108" s="1102">
        <v>2257</v>
      </c>
      <c r="AF108" s="2883">
        <v>35056</v>
      </c>
      <c r="AG108" s="2883">
        <v>2921.3333333333335</v>
      </c>
      <c r="AH108" s="2883"/>
      <c r="AI108" s="2884">
        <v>8263</v>
      </c>
      <c r="AJ108" s="2883">
        <v>3358</v>
      </c>
      <c r="AK108" s="2883">
        <v>3622</v>
      </c>
      <c r="AL108" s="2883">
        <v>14616</v>
      </c>
      <c r="AM108" s="2883">
        <v>14650</v>
      </c>
      <c r="AN108" s="2883">
        <v>1313</v>
      </c>
      <c r="AO108" s="2883">
        <v>4431</v>
      </c>
      <c r="AP108" s="2883">
        <v>6103</v>
      </c>
      <c r="AQ108" s="2883">
        <v>3901</v>
      </c>
      <c r="AR108" s="2883">
        <v>2147</v>
      </c>
      <c r="AS108" s="2883">
        <v>6285</v>
      </c>
      <c r="AT108" s="1102">
        <v>1588</v>
      </c>
      <c r="AU108" s="2883">
        <f>SUM(AI108:AT108)</f>
        <v>70277</v>
      </c>
      <c r="AV108" s="2885">
        <f>AVERAGE(AI108:AT108)</f>
        <v>5856.416666666667</v>
      </c>
      <c r="AW108" s="4507">
        <v>2104</v>
      </c>
      <c r="AX108" s="2883">
        <v>3509</v>
      </c>
      <c r="AY108" s="2883">
        <v>5605</v>
      </c>
      <c r="AZ108" s="2883">
        <v>3976</v>
      </c>
      <c r="BA108" s="2883">
        <v>2630</v>
      </c>
      <c r="BB108" s="2883">
        <v>8919</v>
      </c>
      <c r="BC108" s="2883">
        <v>1746</v>
      </c>
      <c r="BD108" s="2883">
        <v>4075</v>
      </c>
      <c r="BE108" s="2883">
        <v>1519</v>
      </c>
      <c r="BF108" s="1102">
        <v>1638</v>
      </c>
      <c r="BG108" s="2883">
        <v>1842</v>
      </c>
      <c r="BH108" s="2883">
        <v>1524</v>
      </c>
      <c r="BI108" s="2883">
        <f>SUM(AW108:BH108)</f>
        <v>39087</v>
      </c>
      <c r="BJ108" s="2885">
        <f>AVERAGE(AW108:BH108)</f>
        <v>3257.25</v>
      </c>
      <c r="BK108" s="2903">
        <v>4501</v>
      </c>
      <c r="BL108" s="2883">
        <v>1010</v>
      </c>
      <c r="BM108" s="2883"/>
      <c r="BN108" s="2883"/>
      <c r="BO108" s="2883"/>
      <c r="BP108" s="2883"/>
      <c r="BQ108" s="2883"/>
      <c r="BR108" s="2883"/>
      <c r="BS108" s="2883"/>
      <c r="BT108" s="1102"/>
      <c r="BU108" s="2883"/>
      <c r="BV108" s="2883"/>
      <c r="BW108" s="2883">
        <f>SUM(BK108:BV108)</f>
        <v>5511</v>
      </c>
      <c r="BX108" s="2883">
        <f>AVERAGE(BK108:BV108)</f>
        <v>2755.5</v>
      </c>
      <c r="BZ108" s="2860" t="e">
        <f>HLOOKUP($A$1,$AW$1:$BH$400,ROW(),0)-HLOOKUP($A$1,$AI$1:$AT$400,ROW(),0)</f>
        <v>#N/A</v>
      </c>
      <c r="CA108" s="2860">
        <f>BJ108-AV108</f>
        <v>-2599.166666666667</v>
      </c>
      <c r="CB108" s="2881" t="e">
        <f>HLOOKUP($A$1,$AW$1:$BH$400,ROW(),0)-SUM(AI108:AJ108)</f>
        <v>#N/A</v>
      </c>
    </row>
    <row r="109" spans="1:80" x14ac:dyDescent="0.55000000000000004">
      <c r="A109" s="7161"/>
      <c r="B109" s="7163"/>
      <c r="C109" s="594" t="s">
        <v>49</v>
      </c>
      <c r="D109" s="594"/>
      <c r="E109" s="594"/>
      <c r="F109" s="2882">
        <v>11075</v>
      </c>
      <c r="G109" s="1102">
        <v>13018</v>
      </c>
      <c r="H109" s="1102">
        <v>17295</v>
      </c>
      <c r="I109" s="1102">
        <v>14026</v>
      </c>
      <c r="J109" s="1102">
        <v>9675</v>
      </c>
      <c r="K109" s="1102">
        <v>15728</v>
      </c>
      <c r="L109" s="1102">
        <v>15494</v>
      </c>
      <c r="M109" s="1102">
        <v>8255</v>
      </c>
      <c r="N109" s="1102">
        <v>10686</v>
      </c>
      <c r="O109" s="1102">
        <v>18942</v>
      </c>
      <c r="P109" s="1102">
        <v>21751</v>
      </c>
      <c r="Q109" s="1102">
        <v>2854</v>
      </c>
      <c r="R109" s="1102">
        <v>158799</v>
      </c>
      <c r="S109" s="1102">
        <v>13233.25</v>
      </c>
      <c r="T109" s="2882">
        <v>13629</v>
      </c>
      <c r="U109" s="1102">
        <v>9977</v>
      </c>
      <c r="V109" s="1102">
        <v>14870</v>
      </c>
      <c r="W109" s="1102">
        <v>3029</v>
      </c>
      <c r="X109" s="1102">
        <v>2301</v>
      </c>
      <c r="Y109" s="1102">
        <v>3682</v>
      </c>
      <c r="Z109" s="1102">
        <v>3111</v>
      </c>
      <c r="AA109" s="1102">
        <v>2840</v>
      </c>
      <c r="AB109" s="1102">
        <v>3378</v>
      </c>
      <c r="AC109" s="1102">
        <v>2563</v>
      </c>
      <c r="AD109" s="1102">
        <v>2798</v>
      </c>
      <c r="AE109" s="1102">
        <v>2540</v>
      </c>
      <c r="AF109" s="2883">
        <v>64718</v>
      </c>
      <c r="AG109" s="2883">
        <v>5393.166666666667</v>
      </c>
      <c r="AH109" s="2883"/>
      <c r="AI109" s="2884">
        <v>1826</v>
      </c>
      <c r="AJ109" s="2883">
        <v>17121</v>
      </c>
      <c r="AK109" s="2883">
        <v>1849</v>
      </c>
      <c r="AL109" s="2883">
        <v>8127</v>
      </c>
      <c r="AM109" s="2883">
        <v>3004</v>
      </c>
      <c r="AN109" s="2883">
        <v>2859</v>
      </c>
      <c r="AO109" s="2883">
        <v>5121</v>
      </c>
      <c r="AP109" s="2883">
        <v>6812</v>
      </c>
      <c r="AQ109" s="2883">
        <v>1839</v>
      </c>
      <c r="AR109" s="2883">
        <v>4755</v>
      </c>
      <c r="AS109" s="2883">
        <v>-5801</v>
      </c>
      <c r="AT109" s="1102">
        <v>6385</v>
      </c>
      <c r="AU109" s="2883">
        <f>SUM(AI109:AT109)</f>
        <v>53897</v>
      </c>
      <c r="AV109" s="2885">
        <f>AVERAGE(AI109:AT109)</f>
        <v>4491.416666666667</v>
      </c>
      <c r="AW109" s="3420">
        <f t="shared" ref="AW109:BF109" si="283">AW107-AW108-AW110</f>
        <v>4625</v>
      </c>
      <c r="AX109" s="2883">
        <f t="shared" si="283"/>
        <v>2915</v>
      </c>
      <c r="AY109" s="2883">
        <f t="shared" si="283"/>
        <v>2596</v>
      </c>
      <c r="AZ109" s="2883">
        <f t="shared" si="283"/>
        <v>2424</v>
      </c>
      <c r="BA109" s="2883">
        <f t="shared" si="283"/>
        <v>3460</v>
      </c>
      <c r="BB109" s="2883">
        <f t="shared" si="283"/>
        <v>3165</v>
      </c>
      <c r="BC109" s="2883">
        <f t="shared" si="283"/>
        <v>4626</v>
      </c>
      <c r="BD109" s="2883">
        <f t="shared" si="283"/>
        <v>3060</v>
      </c>
      <c r="BE109" s="2883">
        <f t="shared" si="283"/>
        <v>2547</v>
      </c>
      <c r="BF109" s="2883">
        <f t="shared" si="283"/>
        <v>3919</v>
      </c>
      <c r="BG109" s="2883">
        <v>3471</v>
      </c>
      <c r="BH109" s="2883">
        <v>3119</v>
      </c>
      <c r="BI109" s="2883">
        <f>SUM(AW109:BH109)</f>
        <v>39927</v>
      </c>
      <c r="BJ109" s="2885">
        <f>AVERAGE(AW109:BH109)</f>
        <v>3327.25</v>
      </c>
      <c r="BK109" s="2883">
        <v>2621</v>
      </c>
      <c r="BL109" s="2883">
        <v>2120</v>
      </c>
      <c r="BM109" s="2883"/>
      <c r="BN109" s="2883"/>
      <c r="BO109" s="2883"/>
      <c r="BP109" s="2883"/>
      <c r="BQ109" s="2883"/>
      <c r="BR109" s="2883"/>
      <c r="BS109" s="2883"/>
      <c r="BT109" s="2883"/>
      <c r="BU109" s="2883"/>
      <c r="BV109" s="2883"/>
      <c r="BW109" s="2883">
        <f>SUM(BK109:BV109)</f>
        <v>4741</v>
      </c>
      <c r="BX109" s="2883">
        <f>AVERAGE(BK109:BV109)</f>
        <v>2370.5</v>
      </c>
      <c r="BZ109" s="2860" t="e">
        <f>HLOOKUP($A$1,$AW$1:$BH$400,ROW(),0)-HLOOKUP($A$1,$AI$1:$AT$400,ROW(),0)</f>
        <v>#N/A</v>
      </c>
      <c r="CA109" s="2860">
        <f>BJ109-AV109</f>
        <v>-1164.166666666667</v>
      </c>
      <c r="CB109" s="2881" t="e">
        <f>HLOOKUP($A$1,$AW$1:$BH$400,ROW(),0)-SUM(AI109:AJ109)</f>
        <v>#N/A</v>
      </c>
    </row>
    <row r="110" spans="1:80" ht="15.45" thickBot="1" x14ac:dyDescent="0.6">
      <c r="A110" s="7164"/>
      <c r="B110" s="7165"/>
      <c r="C110" s="4503" t="s">
        <v>50</v>
      </c>
      <c r="D110" s="4504"/>
      <c r="E110" s="4504"/>
      <c r="F110" s="2974">
        <v>-2362</v>
      </c>
      <c r="G110" s="2899">
        <v>-5135</v>
      </c>
      <c r="H110" s="2899">
        <v>-11755</v>
      </c>
      <c r="I110" s="2899">
        <v>-7377</v>
      </c>
      <c r="J110" s="2899">
        <v>-2628</v>
      </c>
      <c r="K110" s="2899">
        <v>-9283</v>
      </c>
      <c r="L110" s="2899">
        <v>-7692</v>
      </c>
      <c r="M110" s="2899">
        <v>-4431</v>
      </c>
      <c r="N110" s="2899">
        <v>-11544</v>
      </c>
      <c r="O110" s="2899">
        <v>-15545</v>
      </c>
      <c r="P110" s="2899">
        <v>-19129</v>
      </c>
      <c r="Q110" s="2899">
        <v>10815</v>
      </c>
      <c r="R110" s="2899">
        <v>-86066</v>
      </c>
      <c r="S110" s="2899">
        <v>-7172.166666666667</v>
      </c>
      <c r="T110" s="2899">
        <v>-7402</v>
      </c>
      <c r="U110" s="2899">
        <v>-5704</v>
      </c>
      <c r="V110" s="2899">
        <v>-11206</v>
      </c>
      <c r="W110" s="2899">
        <v>2505</v>
      </c>
      <c r="X110" s="2899">
        <v>309</v>
      </c>
      <c r="Y110" s="2899">
        <v>765</v>
      </c>
      <c r="Z110" s="2899">
        <v>2441</v>
      </c>
      <c r="AA110" s="2899">
        <v>3564</v>
      </c>
      <c r="AB110" s="2899">
        <v>5582</v>
      </c>
      <c r="AC110" s="2899">
        <v>3732</v>
      </c>
      <c r="AD110" s="2899">
        <v>5269</v>
      </c>
      <c r="AE110" s="2899">
        <v>3771</v>
      </c>
      <c r="AF110" s="2942">
        <v>3626</v>
      </c>
      <c r="AG110" s="2942">
        <v>302.16666666666669</v>
      </c>
      <c r="AH110" s="2942"/>
      <c r="AI110" s="2941">
        <v>886</v>
      </c>
      <c r="AJ110" s="2942">
        <v>-16569</v>
      </c>
      <c r="AK110" s="2942">
        <v>-124</v>
      </c>
      <c r="AL110" s="2942">
        <v>-19914</v>
      </c>
      <c r="AM110" s="2942">
        <v>-12295</v>
      </c>
      <c r="AN110" s="2942">
        <v>106</v>
      </c>
      <c r="AO110" s="2942">
        <v>-4381</v>
      </c>
      <c r="AP110" s="2942">
        <v>-7691</v>
      </c>
      <c r="AQ110" s="2942">
        <v>-2057</v>
      </c>
      <c r="AR110" s="2942">
        <v>-2057</v>
      </c>
      <c r="AS110" s="2942">
        <v>5182</v>
      </c>
      <c r="AT110" s="2942">
        <v>-1488</v>
      </c>
      <c r="AU110" s="2942">
        <f>SUM(AI110:AT110)</f>
        <v>-60402</v>
      </c>
      <c r="AV110" s="2943">
        <f>AVERAGE(AI110:AT110)</f>
        <v>-5033.5</v>
      </c>
      <c r="AW110" s="4514">
        <f>AT106-AW106</f>
        <v>-1180</v>
      </c>
      <c r="AX110" s="2942">
        <f>AX106-AW106</f>
        <v>-3338</v>
      </c>
      <c r="AY110" s="2942">
        <f>AY106-AX106</f>
        <v>-5285</v>
      </c>
      <c r="AZ110" s="2942">
        <v>5032</v>
      </c>
      <c r="BA110" s="2942">
        <f>BA106-AZ106</f>
        <v>1590</v>
      </c>
      <c r="BB110" s="2942">
        <f t="shared" ref="BB110" si="284">BB106-BA106</f>
        <v>-4360</v>
      </c>
      <c r="BC110" s="2942">
        <f t="shared" ref="BC110" si="285">BC106-BB106</f>
        <v>616</v>
      </c>
      <c r="BD110" s="2942">
        <v>-1598</v>
      </c>
      <c r="BE110" s="2942">
        <v>4805</v>
      </c>
      <c r="BF110" s="2942">
        <f>BF106-BE106</f>
        <v>-2434</v>
      </c>
      <c r="BG110" s="2942">
        <v>-640</v>
      </c>
      <c r="BH110" s="2942">
        <v>329</v>
      </c>
      <c r="BI110" s="2942">
        <f>SUM(AW110:BH110)</f>
        <v>-6463</v>
      </c>
      <c r="BJ110" s="2943">
        <f>AVERAGE(AW110:BH110)</f>
        <v>-538.58333333333337</v>
      </c>
      <c r="BK110" s="3346">
        <v>1872</v>
      </c>
      <c r="BL110" s="3346">
        <v>57</v>
      </c>
      <c r="BM110" s="3346"/>
      <c r="BN110" s="3346"/>
      <c r="BO110" s="3346"/>
      <c r="BP110" s="3346"/>
      <c r="BQ110" s="3346"/>
      <c r="BR110" s="3346"/>
      <c r="BS110" s="3346"/>
      <c r="BT110" s="3346"/>
      <c r="BU110" s="3346"/>
      <c r="BV110" s="3346"/>
      <c r="BW110" s="3346">
        <f>SUM(BK110:BV110)</f>
        <v>1929</v>
      </c>
      <c r="BX110" s="3346">
        <f>AVERAGE(BK110:BV110)</f>
        <v>964.5</v>
      </c>
      <c r="BZ110" s="2860" t="e">
        <f>HLOOKUP($A$1,$AW$1:$BH$400,ROW(),0)-HLOOKUP($A$1,$AI$1:$AT$400,ROW(),0)</f>
        <v>#N/A</v>
      </c>
      <c r="CA110" s="2860">
        <f>BJ110-AV110</f>
        <v>4494.916666666667</v>
      </c>
      <c r="CB110" s="2881" t="e">
        <f>HLOOKUP($A$1,$AW$1:$BH$400,ROW(),0)-SUM(AI110:AJ110)</f>
        <v>#N/A</v>
      </c>
    </row>
    <row r="111" spans="1:80" ht="10.3" customHeight="1" x14ac:dyDescent="0.55000000000000004">
      <c r="A111" s="2771"/>
      <c r="B111" s="2771"/>
      <c r="AG111" s="1150"/>
      <c r="AH111" s="1150"/>
      <c r="AI111" s="3347" t="b">
        <v>1</v>
      </c>
      <c r="AJ111" s="3347" t="b">
        <v>1</v>
      </c>
      <c r="AK111" s="3347" t="b">
        <v>1</v>
      </c>
      <c r="AL111" s="3347" t="b">
        <v>1</v>
      </c>
      <c r="AM111" s="3347" t="b">
        <v>1</v>
      </c>
      <c r="AN111" s="3347" t="b">
        <v>1</v>
      </c>
      <c r="AO111" s="3347" t="b">
        <v>1</v>
      </c>
      <c r="AP111" s="3347" t="b">
        <v>1</v>
      </c>
      <c r="AQ111" s="3347" t="b">
        <v>1</v>
      </c>
      <c r="AR111" s="3347" t="b">
        <v>1</v>
      </c>
      <c r="AS111" s="3347" t="b">
        <v>1</v>
      </c>
      <c r="AT111" s="3347" t="b">
        <v>1</v>
      </c>
      <c r="AU111" s="3347" t="b">
        <f t="shared" ref="AU111:AX111" si="286">AU107-AU108-AU109=AU110</f>
        <v>1</v>
      </c>
      <c r="AV111" s="3347" t="b">
        <f t="shared" si="286"/>
        <v>1</v>
      </c>
      <c r="AW111" s="3347" t="b">
        <f>AW107-AW108-AW109=AW110</f>
        <v>1</v>
      </c>
      <c r="AX111" s="3347" t="b">
        <f t="shared" si="286"/>
        <v>1</v>
      </c>
      <c r="AZ111" s="1150"/>
      <c r="BA111" s="1150"/>
      <c r="BB111" s="1150"/>
      <c r="BC111" s="1150"/>
      <c r="BD111" s="1150"/>
      <c r="BE111" s="1150"/>
      <c r="BF111" s="1150"/>
      <c r="BG111" s="1150"/>
      <c r="BH111" s="1150"/>
      <c r="BI111" s="1150"/>
      <c r="BJ111" s="1150"/>
      <c r="BK111" s="3347" t="b">
        <f>BK107-BK108-BK109=BK110</f>
        <v>0</v>
      </c>
      <c r="BL111" s="3347" t="b">
        <f t="shared" ref="BL111" si="287">BL107-BL108-BL109=BL110</f>
        <v>0</v>
      </c>
      <c r="BN111" s="1150"/>
      <c r="BO111" s="1150"/>
      <c r="BP111" s="1150"/>
      <c r="BQ111" s="1150"/>
      <c r="BR111" s="1150"/>
      <c r="BS111" s="1150"/>
      <c r="BT111" s="1150"/>
      <c r="BU111" s="1150"/>
      <c r="BV111" s="1150"/>
      <c r="BW111" s="1150"/>
      <c r="BX111" s="1150"/>
      <c r="BY111" s="1150"/>
      <c r="BZ111" s="2860" t="e">
        <f>HLOOKUP($A$1,$AW$1:$BH$400,ROW(),0)-HLOOKUP($A$1,$AI$1:$AT$400,ROW(),0)</f>
        <v>#N/A</v>
      </c>
      <c r="CA111" s="2860"/>
      <c r="CB111" s="2881" t="e">
        <f>HLOOKUP($A$1,$AW$1:$BH$400,ROW(),0)-SUM(AI111:AJ111)</f>
        <v>#N/A</v>
      </c>
    </row>
    <row r="112" spans="1:80" x14ac:dyDescent="0.55000000000000004">
      <c r="BZ112" s="2860"/>
      <c r="CA112" s="2860"/>
      <c r="CB112" s="2881" t="e">
        <f>HLOOKUP($A$1,$AW$1:$BH$400,ROW(),0)-SUM(AI112:AJ112)</f>
        <v>#N/A</v>
      </c>
    </row>
    <row r="113" spans="78:80" x14ac:dyDescent="0.55000000000000004">
      <c r="BZ113" s="2860"/>
      <c r="CA113" s="2860"/>
      <c r="CB113" s="2881" t="e">
        <f>HLOOKUP($A$1,$AW$1:$BH$400,ROW(),0)-SUM(AI113:AJ113)</f>
        <v>#N/A</v>
      </c>
    </row>
    <row r="114" spans="78:80" x14ac:dyDescent="0.55000000000000004">
      <c r="BZ114" s="2860"/>
      <c r="CA114" s="2860"/>
      <c r="CB114" s="2881" t="e">
        <f>HLOOKUP($A$1,$AW$1:$BH$400,ROW(),0)-SUM(AI114:AJ114)</f>
        <v>#N/A</v>
      </c>
    </row>
    <row r="115" spans="78:80" x14ac:dyDescent="0.55000000000000004">
      <c r="BZ115" s="2860"/>
      <c r="CA115" s="2860"/>
      <c r="CB115" s="2881" t="e">
        <f>HLOOKUP($A$1,$AW$1:$BH$400,ROW(),0)-SUM(AI115:AJ115)</f>
        <v>#N/A</v>
      </c>
    </row>
    <row r="116" spans="78:80" x14ac:dyDescent="0.55000000000000004">
      <c r="BZ116" s="2860"/>
      <c r="CA116" s="2860"/>
      <c r="CB116" s="2860"/>
    </row>
    <row r="117" spans="78:80" x14ac:dyDescent="0.55000000000000004">
      <c r="BZ117" s="2860"/>
      <c r="CA117" s="2860"/>
      <c r="CB117" s="2860"/>
    </row>
    <row r="118" spans="78:80" x14ac:dyDescent="0.55000000000000004">
      <c r="BZ118" s="2860"/>
      <c r="CA118" s="2860"/>
      <c r="CB118" s="2860"/>
    </row>
    <row r="119" spans="78:80" x14ac:dyDescent="0.55000000000000004">
      <c r="BZ119" s="2860"/>
      <c r="CA119" s="2860"/>
      <c r="CB119" s="2860"/>
    </row>
    <row r="120" spans="78:80" x14ac:dyDescent="0.55000000000000004">
      <c r="BZ120" s="2860"/>
      <c r="CA120" s="2860"/>
      <c r="CB120" s="2860"/>
    </row>
    <row r="121" spans="78:80" x14ac:dyDescent="0.55000000000000004">
      <c r="BZ121" s="2860"/>
      <c r="CA121" s="2860"/>
      <c r="CB121" s="2860"/>
    </row>
    <row r="122" spans="78:80" x14ac:dyDescent="0.55000000000000004">
      <c r="BZ122" s="2860"/>
      <c r="CA122" s="2860"/>
      <c r="CB122" s="2860"/>
    </row>
    <row r="123" spans="78:80" x14ac:dyDescent="0.55000000000000004">
      <c r="BZ123" s="2860"/>
      <c r="CA123" s="2860"/>
      <c r="CB123" s="2860"/>
    </row>
    <row r="124" spans="78:80" x14ac:dyDescent="0.55000000000000004">
      <c r="BZ124" s="2860"/>
      <c r="CA124" s="2860"/>
      <c r="CB124" s="2860"/>
    </row>
    <row r="125" spans="78:80" x14ac:dyDescent="0.55000000000000004">
      <c r="BZ125" s="2860"/>
      <c r="CA125" s="2860"/>
      <c r="CB125" s="2860"/>
    </row>
    <row r="126" spans="78:80" x14ac:dyDescent="0.55000000000000004">
      <c r="BZ126" s="2860"/>
      <c r="CA126" s="2860"/>
      <c r="CB126" s="2860"/>
    </row>
    <row r="127" spans="78:80" x14ac:dyDescent="0.55000000000000004">
      <c r="BZ127" s="2860"/>
      <c r="CA127" s="2860"/>
      <c r="CB127" s="2860"/>
    </row>
    <row r="128" spans="78:80" x14ac:dyDescent="0.55000000000000004">
      <c r="BZ128" s="2860"/>
      <c r="CA128" s="2860"/>
      <c r="CB128" s="2860"/>
    </row>
    <row r="129" spans="78:80" x14ac:dyDescent="0.55000000000000004">
      <c r="BZ129" s="2860"/>
      <c r="CA129" s="2860"/>
      <c r="CB129" s="2860"/>
    </row>
    <row r="130" spans="78:80" x14ac:dyDescent="0.55000000000000004">
      <c r="BZ130" s="2860"/>
      <c r="CA130" s="2860"/>
      <c r="CB130" s="2860"/>
    </row>
    <row r="131" spans="78:80" x14ac:dyDescent="0.55000000000000004">
      <c r="BZ131" s="2860"/>
      <c r="CA131" s="2860"/>
      <c r="CB131" s="2860"/>
    </row>
    <row r="132" spans="78:80" x14ac:dyDescent="0.55000000000000004">
      <c r="BZ132" s="2860"/>
      <c r="CA132" s="2860"/>
      <c r="CB132" s="2860"/>
    </row>
    <row r="133" spans="78:80" x14ac:dyDescent="0.55000000000000004">
      <c r="BZ133" s="2860"/>
      <c r="CA133" s="2860"/>
      <c r="CB133" s="2860"/>
    </row>
    <row r="134" spans="78:80" x14ac:dyDescent="0.55000000000000004">
      <c r="BZ134" s="2860"/>
      <c r="CA134" s="2860"/>
      <c r="CB134" s="2860"/>
    </row>
    <row r="135" spans="78:80" x14ac:dyDescent="0.55000000000000004">
      <c r="BZ135" s="2860"/>
      <c r="CA135" s="2860"/>
      <c r="CB135" s="2860"/>
    </row>
    <row r="136" spans="78:80" x14ac:dyDescent="0.55000000000000004">
      <c r="BZ136" s="2860"/>
      <c r="CA136" s="2860"/>
      <c r="CB136" s="2860"/>
    </row>
    <row r="137" spans="78:80" x14ac:dyDescent="0.55000000000000004">
      <c r="BZ137" s="2860"/>
      <c r="CA137" s="2860"/>
      <c r="CB137" s="2860"/>
    </row>
    <row r="138" spans="78:80" x14ac:dyDescent="0.55000000000000004">
      <c r="BZ138" s="2860"/>
      <c r="CA138" s="2860"/>
      <c r="CB138" s="2860"/>
    </row>
    <row r="139" spans="78:80" x14ac:dyDescent="0.55000000000000004">
      <c r="BZ139" s="2860"/>
      <c r="CA139" s="2860"/>
      <c r="CB139" s="2860"/>
    </row>
    <row r="140" spans="78:80" x14ac:dyDescent="0.55000000000000004">
      <c r="BZ140" s="2860"/>
      <c r="CA140" s="2860"/>
      <c r="CB140" s="2860"/>
    </row>
    <row r="141" spans="78:80" x14ac:dyDescent="0.55000000000000004">
      <c r="BZ141" s="2860"/>
      <c r="CA141" s="2860"/>
      <c r="CB141" s="2860"/>
    </row>
    <row r="142" spans="78:80" x14ac:dyDescent="0.55000000000000004">
      <c r="BZ142" s="2860"/>
      <c r="CA142" s="2860"/>
      <c r="CB142" s="2860"/>
    </row>
    <row r="143" spans="78:80" x14ac:dyDescent="0.55000000000000004">
      <c r="BZ143" s="2860"/>
      <c r="CA143" s="2860"/>
      <c r="CB143" s="2860"/>
    </row>
    <row r="144" spans="78:80" x14ac:dyDescent="0.55000000000000004">
      <c r="BZ144" s="2860"/>
      <c r="CA144" s="2860"/>
      <c r="CB144" s="2860"/>
    </row>
    <row r="145" spans="78:80" x14ac:dyDescent="0.55000000000000004">
      <c r="BZ145" s="2860"/>
      <c r="CA145" s="2860"/>
      <c r="CB145" s="2860"/>
    </row>
    <row r="146" spans="78:80" x14ac:dyDescent="0.55000000000000004">
      <c r="BZ146" s="2860"/>
      <c r="CA146" s="2860"/>
      <c r="CB146" s="2860"/>
    </row>
    <row r="147" spans="78:80" x14ac:dyDescent="0.55000000000000004">
      <c r="BZ147" s="2860"/>
      <c r="CA147" s="2860"/>
      <c r="CB147" s="2860"/>
    </row>
    <row r="148" spans="78:80" x14ac:dyDescent="0.55000000000000004">
      <c r="BZ148" s="2860"/>
      <c r="CA148" s="2860"/>
      <c r="CB148" s="2860"/>
    </row>
    <row r="149" spans="78:80" x14ac:dyDescent="0.55000000000000004">
      <c r="BZ149" s="2860"/>
      <c r="CA149" s="2860"/>
      <c r="CB149" s="2860"/>
    </row>
    <row r="150" spans="78:80" x14ac:dyDescent="0.55000000000000004">
      <c r="BZ150" s="2860"/>
      <c r="CA150" s="2860"/>
      <c r="CB150" s="2860"/>
    </row>
    <row r="151" spans="78:80" x14ac:dyDescent="0.55000000000000004">
      <c r="BZ151" s="2860"/>
      <c r="CA151" s="2860"/>
      <c r="CB151" s="2860"/>
    </row>
    <row r="152" spans="78:80" x14ac:dyDescent="0.55000000000000004">
      <c r="BZ152" s="2860"/>
      <c r="CA152" s="2860"/>
      <c r="CB152" s="2860"/>
    </row>
    <row r="153" spans="78:80" x14ac:dyDescent="0.55000000000000004">
      <c r="BZ153" s="2860"/>
      <c r="CA153" s="2860"/>
      <c r="CB153" s="2860"/>
    </row>
    <row r="154" spans="78:80" x14ac:dyDescent="0.55000000000000004">
      <c r="BZ154" s="2860"/>
      <c r="CA154" s="2860"/>
      <c r="CB154" s="2860"/>
    </row>
    <row r="155" spans="78:80" x14ac:dyDescent="0.55000000000000004">
      <c r="BZ155" s="2860"/>
      <c r="CA155" s="2860"/>
      <c r="CB155" s="2860"/>
    </row>
    <row r="156" spans="78:80" x14ac:dyDescent="0.55000000000000004">
      <c r="BZ156" s="2860"/>
      <c r="CA156" s="2860"/>
      <c r="CB156" s="2860"/>
    </row>
    <row r="157" spans="78:80" x14ac:dyDescent="0.55000000000000004">
      <c r="BZ157" s="2860"/>
      <c r="CA157" s="2860"/>
      <c r="CB157" s="2860"/>
    </row>
    <row r="158" spans="78:80" x14ac:dyDescent="0.55000000000000004">
      <c r="BZ158" s="2860"/>
      <c r="CA158" s="2860"/>
      <c r="CB158" s="2860"/>
    </row>
    <row r="159" spans="78:80" x14ac:dyDescent="0.55000000000000004">
      <c r="BZ159" s="2860"/>
      <c r="CA159" s="2860"/>
      <c r="CB159" s="2860"/>
    </row>
    <row r="160" spans="78:80" x14ac:dyDescent="0.55000000000000004">
      <c r="BZ160" s="2860"/>
      <c r="CA160" s="2860"/>
      <c r="CB160" s="2860"/>
    </row>
    <row r="161" spans="78:80" x14ac:dyDescent="0.55000000000000004">
      <c r="BZ161" s="2860"/>
      <c r="CA161" s="2860"/>
      <c r="CB161" s="2860"/>
    </row>
    <row r="162" spans="78:80" x14ac:dyDescent="0.55000000000000004">
      <c r="BZ162" s="2860"/>
      <c r="CA162" s="2860"/>
      <c r="CB162" s="2860"/>
    </row>
    <row r="163" spans="78:80" x14ac:dyDescent="0.55000000000000004">
      <c r="BZ163" s="2860"/>
      <c r="CA163" s="2860"/>
      <c r="CB163" s="2860"/>
    </row>
    <row r="164" spans="78:80" x14ac:dyDescent="0.55000000000000004">
      <c r="BZ164" s="2860"/>
      <c r="CA164" s="2860"/>
      <c r="CB164" s="2860"/>
    </row>
    <row r="165" spans="78:80" x14ac:dyDescent="0.55000000000000004">
      <c r="BZ165" s="2860"/>
      <c r="CA165" s="2860"/>
      <c r="CB165" s="2860"/>
    </row>
    <row r="166" spans="78:80" x14ac:dyDescent="0.55000000000000004">
      <c r="BZ166" s="2860"/>
      <c r="CA166" s="2860"/>
      <c r="CB166" s="2860"/>
    </row>
    <row r="167" spans="78:80" x14ac:dyDescent="0.55000000000000004">
      <c r="BZ167" s="2860"/>
      <c r="CA167" s="2860"/>
      <c r="CB167" s="2860"/>
    </row>
    <row r="168" spans="78:80" x14ac:dyDescent="0.55000000000000004">
      <c r="BZ168" s="2860"/>
      <c r="CA168" s="2860"/>
      <c r="CB168" s="2860"/>
    </row>
    <row r="169" spans="78:80" x14ac:dyDescent="0.55000000000000004">
      <c r="BZ169" s="2860"/>
      <c r="CA169" s="2860"/>
      <c r="CB169" s="2860"/>
    </row>
    <row r="170" spans="78:80" x14ac:dyDescent="0.55000000000000004">
      <c r="BZ170" s="2860"/>
      <c r="CA170" s="2860"/>
      <c r="CB170" s="2860"/>
    </row>
    <row r="171" spans="78:80" x14ac:dyDescent="0.55000000000000004">
      <c r="BZ171" s="2860"/>
      <c r="CA171" s="2860"/>
      <c r="CB171" s="2860"/>
    </row>
    <row r="172" spans="78:80" x14ac:dyDescent="0.55000000000000004">
      <c r="BZ172" s="2860"/>
      <c r="CA172" s="2860"/>
      <c r="CB172" s="2860"/>
    </row>
    <row r="173" spans="78:80" x14ac:dyDescent="0.55000000000000004">
      <c r="BZ173" s="2860"/>
      <c r="CA173" s="2860"/>
      <c r="CB173" s="2860"/>
    </row>
    <row r="174" spans="78:80" x14ac:dyDescent="0.55000000000000004">
      <c r="BZ174" s="2860"/>
      <c r="CA174" s="2860"/>
      <c r="CB174" s="2860"/>
    </row>
    <row r="175" spans="78:80" x14ac:dyDescent="0.55000000000000004">
      <c r="BZ175" s="2860"/>
      <c r="CA175" s="2860"/>
      <c r="CB175" s="2860"/>
    </row>
    <row r="176" spans="78:80" x14ac:dyDescent="0.55000000000000004">
      <c r="BZ176" s="2860"/>
      <c r="CA176" s="2860"/>
      <c r="CB176" s="2860"/>
    </row>
    <row r="177" spans="78:80" x14ac:dyDescent="0.55000000000000004">
      <c r="BZ177" s="2860"/>
      <c r="CA177" s="2860"/>
      <c r="CB177" s="2860"/>
    </row>
    <row r="178" spans="78:80" x14ac:dyDescent="0.55000000000000004">
      <c r="BZ178" s="2860"/>
      <c r="CA178" s="2860"/>
      <c r="CB178" s="2860"/>
    </row>
    <row r="179" spans="78:80" x14ac:dyDescent="0.55000000000000004">
      <c r="BZ179" s="2860"/>
      <c r="CA179" s="2860"/>
      <c r="CB179" s="2860"/>
    </row>
    <row r="180" spans="78:80" x14ac:dyDescent="0.55000000000000004">
      <c r="BZ180" s="2860"/>
      <c r="CA180" s="2860"/>
      <c r="CB180" s="2860"/>
    </row>
    <row r="181" spans="78:80" x14ac:dyDescent="0.55000000000000004">
      <c r="BZ181" s="2860"/>
      <c r="CA181" s="2860"/>
      <c r="CB181" s="2860"/>
    </row>
    <row r="182" spans="78:80" x14ac:dyDescent="0.55000000000000004">
      <c r="BZ182" s="2860"/>
      <c r="CA182" s="2860"/>
      <c r="CB182" s="2860"/>
    </row>
    <row r="183" spans="78:80" x14ac:dyDescent="0.55000000000000004">
      <c r="BZ183" s="2860"/>
      <c r="CA183" s="2860"/>
      <c r="CB183" s="2860"/>
    </row>
    <row r="184" spans="78:80" x14ac:dyDescent="0.55000000000000004">
      <c r="BZ184" s="2860"/>
      <c r="CA184" s="2860"/>
      <c r="CB184" s="2860"/>
    </row>
    <row r="185" spans="78:80" x14ac:dyDescent="0.55000000000000004">
      <c r="BZ185" s="2860"/>
      <c r="CA185" s="2860"/>
      <c r="CB185" s="2860"/>
    </row>
    <row r="186" spans="78:80" x14ac:dyDescent="0.55000000000000004">
      <c r="BZ186" s="2860"/>
      <c r="CA186" s="2860"/>
      <c r="CB186" s="2860"/>
    </row>
    <row r="187" spans="78:80" x14ac:dyDescent="0.55000000000000004">
      <c r="BZ187" s="2860"/>
      <c r="CA187" s="2860"/>
      <c r="CB187" s="2860"/>
    </row>
    <row r="188" spans="78:80" x14ac:dyDescent="0.55000000000000004">
      <c r="BZ188" s="2860"/>
      <c r="CA188" s="2860"/>
      <c r="CB188" s="2860"/>
    </row>
    <row r="189" spans="78:80" x14ac:dyDescent="0.55000000000000004">
      <c r="BZ189" s="2860"/>
      <c r="CA189" s="2860"/>
      <c r="CB189" s="2860"/>
    </row>
    <row r="190" spans="78:80" x14ac:dyDescent="0.55000000000000004">
      <c r="BZ190" s="2860"/>
      <c r="CA190" s="2860"/>
      <c r="CB190" s="2860"/>
    </row>
    <row r="191" spans="78:80" x14ac:dyDescent="0.55000000000000004">
      <c r="BZ191" s="2860"/>
      <c r="CA191" s="2860"/>
      <c r="CB191" s="2860"/>
    </row>
    <row r="192" spans="78:80" x14ac:dyDescent="0.55000000000000004">
      <c r="BZ192" s="2860"/>
      <c r="CA192" s="2860"/>
      <c r="CB192" s="2860"/>
    </row>
    <row r="193" spans="78:80" x14ac:dyDescent="0.55000000000000004">
      <c r="BZ193" s="2860"/>
      <c r="CA193" s="2860"/>
      <c r="CB193" s="2860"/>
    </row>
    <row r="194" spans="78:80" x14ac:dyDescent="0.55000000000000004">
      <c r="BZ194" s="2860"/>
      <c r="CA194" s="2860"/>
      <c r="CB194" s="2860"/>
    </row>
    <row r="195" spans="78:80" x14ac:dyDescent="0.55000000000000004">
      <c r="BZ195" s="2860"/>
      <c r="CA195" s="2860"/>
      <c r="CB195" s="2860"/>
    </row>
    <row r="196" spans="78:80" x14ac:dyDescent="0.55000000000000004">
      <c r="BZ196" s="2860"/>
      <c r="CA196" s="2860"/>
      <c r="CB196" s="2860"/>
    </row>
    <row r="197" spans="78:80" x14ac:dyDescent="0.55000000000000004">
      <c r="BZ197" s="2860"/>
      <c r="CA197" s="2860"/>
      <c r="CB197" s="2860"/>
    </row>
    <row r="198" spans="78:80" x14ac:dyDescent="0.55000000000000004">
      <c r="BZ198" s="2860"/>
      <c r="CA198" s="2860"/>
      <c r="CB198" s="2860"/>
    </row>
    <row r="199" spans="78:80" x14ac:dyDescent="0.55000000000000004">
      <c r="BZ199" s="2860"/>
      <c r="CA199" s="2860"/>
      <c r="CB199" s="2860"/>
    </row>
    <row r="200" spans="78:80" x14ac:dyDescent="0.55000000000000004">
      <c r="BZ200" s="2860"/>
      <c r="CA200" s="2860"/>
      <c r="CB200" s="2860"/>
    </row>
    <row r="201" spans="78:80" x14ac:dyDescent="0.55000000000000004">
      <c r="BZ201" s="2860"/>
      <c r="CA201" s="2860"/>
      <c r="CB201" s="2860"/>
    </row>
    <row r="202" spans="78:80" x14ac:dyDescent="0.55000000000000004">
      <c r="BZ202" s="2860"/>
      <c r="CA202" s="2860"/>
      <c r="CB202" s="2860"/>
    </row>
    <row r="203" spans="78:80" x14ac:dyDescent="0.55000000000000004">
      <c r="BZ203" s="2860"/>
      <c r="CA203" s="2860"/>
      <c r="CB203" s="2860"/>
    </row>
    <row r="204" spans="78:80" x14ac:dyDescent="0.55000000000000004">
      <c r="BZ204" s="2860"/>
      <c r="CA204" s="2860"/>
      <c r="CB204" s="2860"/>
    </row>
    <row r="205" spans="78:80" x14ac:dyDescent="0.55000000000000004">
      <c r="BZ205" s="2860"/>
      <c r="CA205" s="2860"/>
      <c r="CB205" s="2860"/>
    </row>
    <row r="206" spans="78:80" x14ac:dyDescent="0.55000000000000004">
      <c r="BZ206" s="2860"/>
      <c r="CA206" s="2860"/>
      <c r="CB206" s="2860"/>
    </row>
    <row r="207" spans="78:80" x14ac:dyDescent="0.55000000000000004">
      <c r="BZ207" s="2860"/>
      <c r="CA207" s="2860"/>
      <c r="CB207" s="2860"/>
    </row>
    <row r="208" spans="78:80" x14ac:dyDescent="0.55000000000000004">
      <c r="BZ208" s="2860"/>
      <c r="CA208" s="2860"/>
      <c r="CB208" s="2860"/>
    </row>
    <row r="209" spans="78:80" x14ac:dyDescent="0.55000000000000004">
      <c r="BZ209" s="2860"/>
      <c r="CA209" s="2860"/>
      <c r="CB209" s="2860"/>
    </row>
    <row r="210" spans="78:80" x14ac:dyDescent="0.55000000000000004">
      <c r="BZ210" s="2860"/>
      <c r="CA210" s="2860"/>
      <c r="CB210" s="2860"/>
    </row>
    <row r="211" spans="78:80" x14ac:dyDescent="0.55000000000000004">
      <c r="BZ211" s="2860"/>
      <c r="CA211" s="2860"/>
      <c r="CB211" s="2860"/>
    </row>
    <row r="212" spans="78:80" x14ac:dyDescent="0.55000000000000004">
      <c r="BZ212" s="2860"/>
      <c r="CA212" s="2860"/>
      <c r="CB212" s="2860"/>
    </row>
    <row r="213" spans="78:80" x14ac:dyDescent="0.55000000000000004">
      <c r="BZ213" s="2860"/>
      <c r="CA213" s="2860"/>
      <c r="CB213" s="2860"/>
    </row>
    <row r="214" spans="78:80" x14ac:dyDescent="0.55000000000000004">
      <c r="BZ214" s="2860"/>
      <c r="CA214" s="2860"/>
      <c r="CB214" s="2860"/>
    </row>
    <row r="215" spans="78:80" x14ac:dyDescent="0.55000000000000004">
      <c r="BZ215" s="2860"/>
      <c r="CA215" s="2860"/>
      <c r="CB215" s="2860"/>
    </row>
    <row r="216" spans="78:80" x14ac:dyDescent="0.55000000000000004">
      <c r="BZ216" s="2860"/>
      <c r="CA216" s="2860"/>
      <c r="CB216" s="2860"/>
    </row>
    <row r="217" spans="78:80" x14ac:dyDescent="0.55000000000000004">
      <c r="BZ217" s="2860"/>
      <c r="CA217" s="2860"/>
      <c r="CB217" s="2860"/>
    </row>
    <row r="218" spans="78:80" x14ac:dyDescent="0.55000000000000004">
      <c r="BZ218" s="2860"/>
      <c r="CA218" s="2860"/>
      <c r="CB218" s="2860"/>
    </row>
    <row r="219" spans="78:80" x14ac:dyDescent="0.55000000000000004">
      <c r="BZ219" s="2860"/>
      <c r="CA219" s="2860"/>
      <c r="CB219" s="2860"/>
    </row>
    <row r="220" spans="78:80" x14ac:dyDescent="0.55000000000000004">
      <c r="BZ220" s="2860"/>
      <c r="CA220" s="2860"/>
      <c r="CB220" s="2860"/>
    </row>
    <row r="221" spans="78:80" x14ac:dyDescent="0.55000000000000004">
      <c r="BZ221" s="2860"/>
      <c r="CA221" s="2860"/>
      <c r="CB221" s="2860"/>
    </row>
    <row r="222" spans="78:80" x14ac:dyDescent="0.55000000000000004">
      <c r="BZ222" s="2860"/>
      <c r="CA222" s="2860"/>
      <c r="CB222" s="2860"/>
    </row>
    <row r="223" spans="78:80" x14ac:dyDescent="0.55000000000000004">
      <c r="BZ223" s="2860"/>
      <c r="CA223" s="2860"/>
      <c r="CB223" s="2860"/>
    </row>
    <row r="224" spans="78:80" x14ac:dyDescent="0.55000000000000004">
      <c r="BZ224" s="2860"/>
      <c r="CA224" s="2860"/>
      <c r="CB224" s="2860"/>
    </row>
    <row r="225" spans="78:80" x14ac:dyDescent="0.55000000000000004">
      <c r="BZ225" s="2860"/>
      <c r="CA225" s="2860"/>
      <c r="CB225" s="2860"/>
    </row>
    <row r="226" spans="78:80" x14ac:dyDescent="0.55000000000000004">
      <c r="BZ226" s="2860"/>
      <c r="CA226" s="2860"/>
      <c r="CB226" s="2860"/>
    </row>
    <row r="227" spans="78:80" x14ac:dyDescent="0.55000000000000004">
      <c r="BZ227" s="2860"/>
      <c r="CA227" s="2860"/>
      <c r="CB227" s="2860"/>
    </row>
    <row r="228" spans="78:80" x14ac:dyDescent="0.55000000000000004">
      <c r="BZ228" s="2860"/>
      <c r="CA228" s="2860"/>
      <c r="CB228" s="2860"/>
    </row>
    <row r="229" spans="78:80" x14ac:dyDescent="0.55000000000000004">
      <c r="BZ229" s="2860"/>
      <c r="CA229" s="2860"/>
      <c r="CB229" s="2860"/>
    </row>
    <row r="230" spans="78:80" x14ac:dyDescent="0.55000000000000004">
      <c r="BZ230" s="2860"/>
      <c r="CA230" s="2860"/>
      <c r="CB230" s="2860"/>
    </row>
    <row r="231" spans="78:80" x14ac:dyDescent="0.55000000000000004">
      <c r="BZ231" s="2860"/>
      <c r="CA231" s="2860"/>
      <c r="CB231" s="2860"/>
    </row>
    <row r="232" spans="78:80" x14ac:dyDescent="0.55000000000000004">
      <c r="BZ232" s="2860"/>
      <c r="CA232" s="2860"/>
      <c r="CB232" s="2860"/>
    </row>
    <row r="233" spans="78:80" x14ac:dyDescent="0.55000000000000004">
      <c r="BZ233" s="2860"/>
      <c r="CA233" s="2860"/>
      <c r="CB233" s="2860"/>
    </row>
    <row r="234" spans="78:80" x14ac:dyDescent="0.55000000000000004">
      <c r="BZ234" s="2860"/>
      <c r="CA234" s="2860"/>
      <c r="CB234" s="2860"/>
    </row>
    <row r="235" spans="78:80" x14ac:dyDescent="0.55000000000000004">
      <c r="BZ235" s="2860"/>
      <c r="CA235" s="2860"/>
      <c r="CB235" s="2860"/>
    </row>
    <row r="236" spans="78:80" x14ac:dyDescent="0.55000000000000004">
      <c r="BZ236" s="2860"/>
      <c r="CA236" s="2860"/>
      <c r="CB236" s="2860"/>
    </row>
    <row r="237" spans="78:80" x14ac:dyDescent="0.55000000000000004">
      <c r="BZ237" s="2860"/>
      <c r="CA237" s="2860"/>
      <c r="CB237" s="2860"/>
    </row>
    <row r="238" spans="78:80" x14ac:dyDescent="0.55000000000000004">
      <c r="BZ238" s="2860"/>
      <c r="CA238" s="2860"/>
      <c r="CB238" s="2860"/>
    </row>
    <row r="239" spans="78:80" x14ac:dyDescent="0.55000000000000004">
      <c r="BZ239" s="2860"/>
      <c r="CA239" s="2860"/>
      <c r="CB239" s="2860"/>
    </row>
    <row r="240" spans="78:80" x14ac:dyDescent="0.55000000000000004">
      <c r="BZ240" s="2860"/>
      <c r="CA240" s="2860"/>
      <c r="CB240" s="2860"/>
    </row>
    <row r="241" spans="78:80" x14ac:dyDescent="0.55000000000000004">
      <c r="BZ241" s="2860"/>
      <c r="CA241" s="2860"/>
      <c r="CB241" s="2860"/>
    </row>
    <row r="242" spans="78:80" x14ac:dyDescent="0.55000000000000004">
      <c r="BZ242" s="2860"/>
      <c r="CA242" s="2860"/>
      <c r="CB242" s="2860"/>
    </row>
    <row r="243" spans="78:80" x14ac:dyDescent="0.55000000000000004">
      <c r="BZ243" s="2860"/>
      <c r="CA243" s="2860"/>
      <c r="CB243" s="2860"/>
    </row>
    <row r="244" spans="78:80" x14ac:dyDescent="0.55000000000000004">
      <c r="BZ244" s="2860"/>
      <c r="CA244" s="2860"/>
      <c r="CB244" s="2860"/>
    </row>
    <row r="245" spans="78:80" x14ac:dyDescent="0.55000000000000004">
      <c r="BZ245" s="2860"/>
      <c r="CA245" s="2860"/>
      <c r="CB245" s="2860"/>
    </row>
    <row r="246" spans="78:80" x14ac:dyDescent="0.55000000000000004">
      <c r="BZ246" s="2860"/>
      <c r="CA246" s="2860"/>
      <c r="CB246" s="2860"/>
    </row>
    <row r="247" spans="78:80" x14ac:dyDescent="0.55000000000000004">
      <c r="BZ247" s="2860"/>
      <c r="CA247" s="2860"/>
      <c r="CB247" s="2860"/>
    </row>
    <row r="248" spans="78:80" x14ac:dyDescent="0.55000000000000004">
      <c r="BZ248" s="2860"/>
      <c r="CA248" s="2860"/>
      <c r="CB248" s="2860"/>
    </row>
    <row r="249" spans="78:80" x14ac:dyDescent="0.55000000000000004">
      <c r="BZ249" s="2860"/>
      <c r="CA249" s="2860"/>
      <c r="CB249" s="2860"/>
    </row>
    <row r="250" spans="78:80" x14ac:dyDescent="0.55000000000000004">
      <c r="BZ250" s="2860"/>
      <c r="CA250" s="2860"/>
      <c r="CB250" s="2860"/>
    </row>
    <row r="251" spans="78:80" x14ac:dyDescent="0.55000000000000004">
      <c r="BZ251" s="2860"/>
      <c r="CA251" s="2860"/>
      <c r="CB251" s="2860"/>
    </row>
    <row r="252" spans="78:80" x14ac:dyDescent="0.55000000000000004">
      <c r="BZ252" s="2860"/>
      <c r="CA252" s="2860"/>
      <c r="CB252" s="2860"/>
    </row>
    <row r="253" spans="78:80" x14ac:dyDescent="0.55000000000000004">
      <c r="BZ253" s="2860"/>
      <c r="CA253" s="2860"/>
      <c r="CB253" s="2860"/>
    </row>
    <row r="254" spans="78:80" x14ac:dyDescent="0.55000000000000004">
      <c r="BZ254" s="2860"/>
      <c r="CA254" s="2860"/>
      <c r="CB254" s="2860"/>
    </row>
    <row r="255" spans="78:80" x14ac:dyDescent="0.55000000000000004">
      <c r="BZ255" s="2860"/>
      <c r="CA255" s="2860"/>
      <c r="CB255" s="2860"/>
    </row>
    <row r="256" spans="78:80" x14ac:dyDescent="0.55000000000000004">
      <c r="BZ256" s="2860"/>
      <c r="CA256" s="2860"/>
      <c r="CB256" s="2860"/>
    </row>
    <row r="257" spans="78:80" x14ac:dyDescent="0.55000000000000004">
      <c r="BZ257" s="2860"/>
      <c r="CA257" s="2860"/>
      <c r="CB257" s="2860"/>
    </row>
    <row r="258" spans="78:80" x14ac:dyDescent="0.55000000000000004">
      <c r="BZ258" s="2860"/>
      <c r="CA258" s="2860"/>
      <c r="CB258" s="2860"/>
    </row>
    <row r="259" spans="78:80" x14ac:dyDescent="0.55000000000000004">
      <c r="BZ259" s="2860"/>
      <c r="CA259" s="2860"/>
      <c r="CB259" s="2860"/>
    </row>
    <row r="260" spans="78:80" x14ac:dyDescent="0.55000000000000004">
      <c r="BZ260" s="2860"/>
      <c r="CA260" s="2860"/>
      <c r="CB260" s="2860"/>
    </row>
    <row r="261" spans="78:80" x14ac:dyDescent="0.55000000000000004">
      <c r="BZ261" s="2860"/>
      <c r="CA261" s="2860"/>
      <c r="CB261" s="2860"/>
    </row>
    <row r="262" spans="78:80" x14ac:dyDescent="0.55000000000000004">
      <c r="BZ262" s="2860"/>
      <c r="CA262" s="2860"/>
      <c r="CB262" s="2860"/>
    </row>
    <row r="263" spans="78:80" x14ac:dyDescent="0.55000000000000004">
      <c r="BZ263" s="2860"/>
      <c r="CA263" s="2860"/>
      <c r="CB263" s="2860"/>
    </row>
    <row r="264" spans="78:80" x14ac:dyDescent="0.55000000000000004">
      <c r="BZ264" s="2860"/>
      <c r="CA264" s="2860"/>
      <c r="CB264" s="2860"/>
    </row>
    <row r="265" spans="78:80" x14ac:dyDescent="0.55000000000000004">
      <c r="BZ265" s="2860"/>
      <c r="CA265" s="2860"/>
      <c r="CB265" s="2860"/>
    </row>
    <row r="266" spans="78:80" x14ac:dyDescent="0.55000000000000004">
      <c r="BZ266" s="2860"/>
      <c r="CA266" s="2860"/>
      <c r="CB266" s="2860"/>
    </row>
    <row r="267" spans="78:80" x14ac:dyDescent="0.55000000000000004">
      <c r="BZ267" s="2860"/>
      <c r="CA267" s="2860"/>
      <c r="CB267" s="2860"/>
    </row>
    <row r="268" spans="78:80" x14ac:dyDescent="0.55000000000000004">
      <c r="BZ268" s="2860"/>
      <c r="CA268" s="2860"/>
      <c r="CB268" s="2860"/>
    </row>
    <row r="269" spans="78:80" x14ac:dyDescent="0.55000000000000004">
      <c r="BZ269" s="2860"/>
      <c r="CA269" s="2860"/>
      <c r="CB269" s="2860"/>
    </row>
    <row r="270" spans="78:80" x14ac:dyDescent="0.55000000000000004">
      <c r="BZ270" s="2860"/>
      <c r="CA270" s="2860"/>
      <c r="CB270" s="2860"/>
    </row>
    <row r="271" spans="78:80" x14ac:dyDescent="0.55000000000000004">
      <c r="BZ271" s="2860"/>
      <c r="CA271" s="2860"/>
      <c r="CB271" s="2860"/>
    </row>
    <row r="272" spans="78:80" x14ac:dyDescent="0.55000000000000004">
      <c r="BZ272" s="2860"/>
      <c r="CA272" s="2860"/>
      <c r="CB272" s="2860"/>
    </row>
    <row r="273" spans="78:80" x14ac:dyDescent="0.55000000000000004">
      <c r="BZ273" s="2860"/>
      <c r="CA273" s="2860"/>
      <c r="CB273" s="2860"/>
    </row>
    <row r="274" spans="78:80" x14ac:dyDescent="0.55000000000000004">
      <c r="BZ274" s="2860"/>
      <c r="CA274" s="2860"/>
      <c r="CB274" s="2860"/>
    </row>
    <row r="275" spans="78:80" x14ac:dyDescent="0.55000000000000004">
      <c r="BZ275" s="2860"/>
      <c r="CA275" s="2860"/>
      <c r="CB275" s="2860"/>
    </row>
    <row r="276" spans="78:80" x14ac:dyDescent="0.55000000000000004">
      <c r="BZ276" s="2860"/>
      <c r="CA276" s="2860"/>
      <c r="CB276" s="2860"/>
    </row>
    <row r="277" spans="78:80" x14ac:dyDescent="0.55000000000000004">
      <c r="BZ277" s="2860"/>
      <c r="CA277" s="2860"/>
      <c r="CB277" s="2860"/>
    </row>
    <row r="278" spans="78:80" x14ac:dyDescent="0.55000000000000004">
      <c r="BZ278" s="2860"/>
      <c r="CA278" s="2860"/>
      <c r="CB278" s="2860"/>
    </row>
    <row r="279" spans="78:80" x14ac:dyDescent="0.55000000000000004">
      <c r="BZ279" s="2860"/>
      <c r="CA279" s="2860"/>
      <c r="CB279" s="2860"/>
    </row>
    <row r="280" spans="78:80" x14ac:dyDescent="0.55000000000000004">
      <c r="BZ280" s="2860"/>
      <c r="CA280" s="2860"/>
      <c r="CB280" s="2860"/>
    </row>
    <row r="281" spans="78:80" x14ac:dyDescent="0.55000000000000004">
      <c r="BZ281" s="2860"/>
      <c r="CA281" s="2860"/>
      <c r="CB281" s="2860"/>
    </row>
    <row r="282" spans="78:80" x14ac:dyDescent="0.55000000000000004">
      <c r="BZ282" s="2860"/>
      <c r="CA282" s="2860"/>
      <c r="CB282" s="2860"/>
    </row>
    <row r="283" spans="78:80" x14ac:dyDescent="0.55000000000000004">
      <c r="BZ283" s="2860"/>
      <c r="CA283" s="2860"/>
      <c r="CB283" s="2860"/>
    </row>
    <row r="284" spans="78:80" x14ac:dyDescent="0.55000000000000004">
      <c r="BZ284" s="2860"/>
      <c r="CA284" s="2860"/>
      <c r="CB284" s="2860"/>
    </row>
    <row r="285" spans="78:80" x14ac:dyDescent="0.55000000000000004">
      <c r="BZ285" s="2860"/>
      <c r="CA285" s="2860"/>
      <c r="CB285" s="2860"/>
    </row>
    <row r="286" spans="78:80" x14ac:dyDescent="0.55000000000000004">
      <c r="BZ286" s="2860"/>
      <c r="CA286" s="2860"/>
      <c r="CB286" s="2860"/>
    </row>
    <row r="287" spans="78:80" x14ac:dyDescent="0.55000000000000004">
      <c r="BZ287" s="2860"/>
      <c r="CA287" s="2860"/>
      <c r="CB287" s="2860"/>
    </row>
    <row r="288" spans="78:80" x14ac:dyDescent="0.55000000000000004">
      <c r="BZ288" s="2860"/>
      <c r="CA288" s="2860"/>
      <c r="CB288" s="2860"/>
    </row>
    <row r="289" spans="78:80" x14ac:dyDescent="0.55000000000000004">
      <c r="BZ289" s="2860"/>
      <c r="CA289" s="2860"/>
      <c r="CB289" s="2860"/>
    </row>
    <row r="290" spans="78:80" x14ac:dyDescent="0.55000000000000004">
      <c r="BZ290" s="2860"/>
      <c r="CA290" s="2860"/>
      <c r="CB290" s="2860"/>
    </row>
    <row r="291" spans="78:80" x14ac:dyDescent="0.55000000000000004">
      <c r="BZ291" s="2860"/>
      <c r="CA291" s="2860"/>
      <c r="CB291" s="2860"/>
    </row>
    <row r="292" spans="78:80" x14ac:dyDescent="0.55000000000000004">
      <c r="BZ292" s="2860"/>
      <c r="CA292" s="2860"/>
      <c r="CB292" s="2860"/>
    </row>
    <row r="293" spans="78:80" x14ac:dyDescent="0.55000000000000004">
      <c r="BZ293" s="2860"/>
      <c r="CA293" s="2860"/>
      <c r="CB293" s="2860"/>
    </row>
    <row r="294" spans="78:80" x14ac:dyDescent="0.55000000000000004">
      <c r="BZ294" s="2860"/>
      <c r="CA294" s="2860"/>
      <c r="CB294" s="2860"/>
    </row>
    <row r="295" spans="78:80" x14ac:dyDescent="0.55000000000000004">
      <c r="BZ295" s="2860"/>
      <c r="CA295" s="2860"/>
      <c r="CB295" s="2860"/>
    </row>
    <row r="296" spans="78:80" x14ac:dyDescent="0.55000000000000004">
      <c r="BZ296" s="2860"/>
      <c r="CA296" s="2860"/>
      <c r="CB296" s="2860"/>
    </row>
    <row r="297" spans="78:80" x14ac:dyDescent="0.55000000000000004">
      <c r="BZ297" s="2860"/>
      <c r="CA297" s="2860"/>
      <c r="CB297" s="2860"/>
    </row>
    <row r="298" spans="78:80" x14ac:dyDescent="0.55000000000000004">
      <c r="BZ298" s="2860"/>
      <c r="CA298" s="2860"/>
      <c r="CB298" s="2860"/>
    </row>
    <row r="299" spans="78:80" x14ac:dyDescent="0.55000000000000004">
      <c r="BZ299" s="2860"/>
      <c r="CA299" s="2860"/>
      <c r="CB299" s="2860"/>
    </row>
    <row r="300" spans="78:80" x14ac:dyDescent="0.55000000000000004">
      <c r="BZ300" s="2860"/>
      <c r="CA300" s="2860"/>
      <c r="CB300" s="2860"/>
    </row>
    <row r="301" spans="78:80" x14ac:dyDescent="0.55000000000000004">
      <c r="BZ301" s="2860"/>
      <c r="CA301" s="2860"/>
      <c r="CB301" s="2860"/>
    </row>
    <row r="302" spans="78:80" x14ac:dyDescent="0.55000000000000004">
      <c r="BZ302" s="2860"/>
      <c r="CA302" s="2860"/>
      <c r="CB302" s="2860"/>
    </row>
    <row r="303" spans="78:80" x14ac:dyDescent="0.55000000000000004">
      <c r="BZ303" s="2860"/>
      <c r="CA303" s="2860"/>
      <c r="CB303" s="2860"/>
    </row>
    <row r="304" spans="78:80" x14ac:dyDescent="0.55000000000000004">
      <c r="BZ304" s="2860"/>
      <c r="CA304" s="2860"/>
      <c r="CB304" s="2860"/>
    </row>
    <row r="305" spans="78:80" x14ac:dyDescent="0.55000000000000004">
      <c r="BZ305" s="2860"/>
      <c r="CA305" s="2860"/>
      <c r="CB305" s="2860"/>
    </row>
    <row r="306" spans="78:80" x14ac:dyDescent="0.55000000000000004">
      <c r="BZ306" s="2860"/>
      <c r="CA306" s="2860"/>
      <c r="CB306" s="2860"/>
    </row>
    <row r="307" spans="78:80" x14ac:dyDescent="0.55000000000000004">
      <c r="BZ307" s="2860"/>
      <c r="CA307" s="2860"/>
      <c r="CB307" s="2860"/>
    </row>
    <row r="308" spans="78:80" x14ac:dyDescent="0.55000000000000004">
      <c r="BZ308" s="2860"/>
      <c r="CA308" s="2860"/>
      <c r="CB308" s="2860"/>
    </row>
    <row r="309" spans="78:80" x14ac:dyDescent="0.55000000000000004">
      <c r="BZ309" s="2860"/>
      <c r="CA309" s="2860"/>
      <c r="CB309" s="2860"/>
    </row>
    <row r="310" spans="78:80" x14ac:dyDescent="0.55000000000000004">
      <c r="BZ310" s="2860"/>
      <c r="CA310" s="2860"/>
      <c r="CB310" s="2860"/>
    </row>
    <row r="311" spans="78:80" x14ac:dyDescent="0.55000000000000004">
      <c r="BZ311" s="2860"/>
      <c r="CA311" s="2860"/>
      <c r="CB311" s="2860"/>
    </row>
    <row r="312" spans="78:80" x14ac:dyDescent="0.55000000000000004">
      <c r="BZ312" s="2860"/>
      <c r="CA312" s="2860"/>
      <c r="CB312" s="2860"/>
    </row>
    <row r="313" spans="78:80" x14ac:dyDescent="0.55000000000000004">
      <c r="BZ313" s="2860"/>
      <c r="CA313" s="2860"/>
      <c r="CB313" s="2860"/>
    </row>
    <row r="314" spans="78:80" x14ac:dyDescent="0.55000000000000004">
      <c r="BZ314" s="2860"/>
      <c r="CA314" s="2860"/>
      <c r="CB314" s="2860"/>
    </row>
    <row r="315" spans="78:80" x14ac:dyDescent="0.55000000000000004">
      <c r="BZ315" s="2860"/>
      <c r="CA315" s="2860"/>
      <c r="CB315" s="2860"/>
    </row>
    <row r="316" spans="78:80" x14ac:dyDescent="0.55000000000000004">
      <c r="BZ316" s="2860"/>
      <c r="CA316" s="2860"/>
      <c r="CB316" s="2860"/>
    </row>
    <row r="317" spans="78:80" x14ac:dyDescent="0.55000000000000004">
      <c r="BZ317" s="2860"/>
      <c r="CA317" s="2860"/>
      <c r="CB317" s="2860"/>
    </row>
    <row r="318" spans="78:80" x14ac:dyDescent="0.55000000000000004">
      <c r="BZ318" s="2860"/>
      <c r="CA318" s="2860"/>
      <c r="CB318" s="2860"/>
    </row>
    <row r="319" spans="78:80" x14ac:dyDescent="0.55000000000000004">
      <c r="BZ319" s="2860"/>
      <c r="CA319" s="2860"/>
      <c r="CB319" s="2860"/>
    </row>
    <row r="320" spans="78:80" x14ac:dyDescent="0.55000000000000004">
      <c r="BZ320" s="2860"/>
      <c r="CA320" s="2860"/>
      <c r="CB320" s="2860"/>
    </row>
    <row r="321" spans="78:80" x14ac:dyDescent="0.55000000000000004">
      <c r="BZ321" s="2860"/>
      <c r="CA321" s="2860"/>
      <c r="CB321" s="2860"/>
    </row>
    <row r="322" spans="78:80" x14ac:dyDescent="0.55000000000000004">
      <c r="BZ322" s="2860"/>
      <c r="CA322" s="2860"/>
      <c r="CB322" s="2860"/>
    </row>
    <row r="323" spans="78:80" x14ac:dyDescent="0.55000000000000004">
      <c r="BZ323" s="2860"/>
      <c r="CA323" s="2860"/>
      <c r="CB323" s="2860"/>
    </row>
    <row r="324" spans="78:80" x14ac:dyDescent="0.55000000000000004">
      <c r="BZ324" s="2860"/>
      <c r="CA324" s="2860"/>
      <c r="CB324" s="2860"/>
    </row>
    <row r="325" spans="78:80" x14ac:dyDescent="0.55000000000000004">
      <c r="BZ325" s="2860"/>
      <c r="CA325" s="2860"/>
      <c r="CB325" s="2860"/>
    </row>
    <row r="326" spans="78:80" x14ac:dyDescent="0.55000000000000004">
      <c r="BZ326" s="2860"/>
      <c r="CA326" s="2860"/>
      <c r="CB326" s="2860"/>
    </row>
    <row r="327" spans="78:80" x14ac:dyDescent="0.55000000000000004">
      <c r="BZ327" s="2860"/>
      <c r="CA327" s="2860"/>
      <c r="CB327" s="2860"/>
    </row>
    <row r="328" spans="78:80" x14ac:dyDescent="0.55000000000000004">
      <c r="BZ328" s="2860"/>
      <c r="CA328" s="2860"/>
      <c r="CB328" s="2860"/>
    </row>
    <row r="329" spans="78:80" x14ac:dyDescent="0.55000000000000004">
      <c r="BZ329" s="2860"/>
      <c r="CA329" s="2860"/>
      <c r="CB329" s="2860"/>
    </row>
    <row r="330" spans="78:80" x14ac:dyDescent="0.55000000000000004">
      <c r="BZ330" s="2860"/>
      <c r="CA330" s="2860"/>
      <c r="CB330" s="2860"/>
    </row>
    <row r="331" spans="78:80" x14ac:dyDescent="0.55000000000000004">
      <c r="BZ331" s="2860"/>
      <c r="CA331" s="2860"/>
      <c r="CB331" s="2860"/>
    </row>
    <row r="332" spans="78:80" x14ac:dyDescent="0.55000000000000004">
      <c r="BZ332" s="2860"/>
      <c r="CA332" s="2860"/>
      <c r="CB332" s="2860"/>
    </row>
    <row r="333" spans="78:80" x14ac:dyDescent="0.55000000000000004">
      <c r="BZ333" s="2860"/>
      <c r="CA333" s="2860"/>
      <c r="CB333" s="2860"/>
    </row>
    <row r="334" spans="78:80" x14ac:dyDescent="0.55000000000000004">
      <c r="BZ334" s="2860"/>
      <c r="CA334" s="2860"/>
      <c r="CB334" s="2860"/>
    </row>
    <row r="335" spans="78:80" x14ac:dyDescent="0.55000000000000004">
      <c r="BZ335" s="2860"/>
      <c r="CA335" s="2860"/>
      <c r="CB335" s="2860"/>
    </row>
    <row r="336" spans="78:80" x14ac:dyDescent="0.55000000000000004">
      <c r="BZ336" s="2860"/>
      <c r="CA336" s="2860"/>
      <c r="CB336" s="2860"/>
    </row>
    <row r="337" spans="78:80" x14ac:dyDescent="0.55000000000000004">
      <c r="BZ337" s="2860"/>
      <c r="CA337" s="2860"/>
      <c r="CB337" s="2860"/>
    </row>
    <row r="338" spans="78:80" x14ac:dyDescent="0.55000000000000004">
      <c r="BZ338" s="2860"/>
      <c r="CA338" s="2860"/>
      <c r="CB338" s="2860"/>
    </row>
    <row r="339" spans="78:80" x14ac:dyDescent="0.55000000000000004">
      <c r="BZ339" s="2860"/>
      <c r="CA339" s="2860"/>
      <c r="CB339" s="2860"/>
    </row>
    <row r="340" spans="78:80" x14ac:dyDescent="0.55000000000000004">
      <c r="BZ340" s="2860"/>
      <c r="CA340" s="2860"/>
      <c r="CB340" s="2860"/>
    </row>
    <row r="341" spans="78:80" x14ac:dyDescent="0.55000000000000004">
      <c r="BZ341" s="2860"/>
      <c r="CA341" s="2860"/>
      <c r="CB341" s="2860"/>
    </row>
    <row r="342" spans="78:80" x14ac:dyDescent="0.55000000000000004">
      <c r="BZ342" s="2860"/>
      <c r="CA342" s="2860"/>
      <c r="CB342" s="2860"/>
    </row>
    <row r="343" spans="78:80" x14ac:dyDescent="0.55000000000000004">
      <c r="BZ343" s="2860"/>
      <c r="CA343" s="2860"/>
      <c r="CB343" s="2860"/>
    </row>
    <row r="344" spans="78:80" x14ac:dyDescent="0.55000000000000004">
      <c r="BZ344" s="2860"/>
      <c r="CA344" s="2860"/>
      <c r="CB344" s="2860"/>
    </row>
    <row r="345" spans="78:80" x14ac:dyDescent="0.55000000000000004">
      <c r="BZ345" s="2860"/>
      <c r="CA345" s="2860"/>
      <c r="CB345" s="2860"/>
    </row>
    <row r="346" spans="78:80" x14ac:dyDescent="0.55000000000000004">
      <c r="BZ346" s="2860"/>
      <c r="CA346" s="2860"/>
      <c r="CB346" s="2860"/>
    </row>
    <row r="347" spans="78:80" x14ac:dyDescent="0.55000000000000004">
      <c r="BZ347" s="2860"/>
      <c r="CA347" s="2860"/>
      <c r="CB347" s="2860"/>
    </row>
    <row r="348" spans="78:80" x14ac:dyDescent="0.55000000000000004">
      <c r="BZ348" s="2860"/>
      <c r="CA348" s="2860"/>
      <c r="CB348" s="2860"/>
    </row>
    <row r="349" spans="78:80" x14ac:dyDescent="0.55000000000000004">
      <c r="BZ349" s="2860"/>
      <c r="CA349" s="2860"/>
      <c r="CB349" s="2860"/>
    </row>
    <row r="350" spans="78:80" x14ac:dyDescent="0.55000000000000004">
      <c r="BZ350" s="2860"/>
      <c r="CA350" s="2860"/>
      <c r="CB350" s="2860"/>
    </row>
    <row r="351" spans="78:80" x14ac:dyDescent="0.55000000000000004">
      <c r="BZ351" s="2860"/>
      <c r="CA351" s="2860"/>
      <c r="CB351" s="2860"/>
    </row>
    <row r="352" spans="78:80" x14ac:dyDescent="0.55000000000000004">
      <c r="BZ352" s="2860"/>
      <c r="CA352" s="2860"/>
      <c r="CB352" s="2860"/>
    </row>
    <row r="353" spans="78:80" x14ac:dyDescent="0.55000000000000004">
      <c r="BZ353" s="2860"/>
      <c r="CA353" s="2860"/>
      <c r="CB353" s="2860"/>
    </row>
    <row r="354" spans="78:80" x14ac:dyDescent="0.55000000000000004">
      <c r="BZ354" s="2860"/>
      <c r="CA354" s="2860"/>
      <c r="CB354" s="2860"/>
    </row>
    <row r="355" spans="78:80" x14ac:dyDescent="0.55000000000000004">
      <c r="BZ355" s="2860"/>
      <c r="CA355" s="2860"/>
      <c r="CB355" s="2860"/>
    </row>
    <row r="356" spans="78:80" x14ac:dyDescent="0.55000000000000004">
      <c r="BZ356" s="2860"/>
      <c r="CA356" s="2860"/>
      <c r="CB356" s="2860"/>
    </row>
    <row r="357" spans="78:80" x14ac:dyDescent="0.55000000000000004">
      <c r="BZ357" s="2860"/>
      <c r="CA357" s="2860"/>
      <c r="CB357" s="2860"/>
    </row>
    <row r="358" spans="78:80" x14ac:dyDescent="0.55000000000000004">
      <c r="BZ358" s="2860"/>
      <c r="CA358" s="2860"/>
      <c r="CB358" s="2860"/>
    </row>
    <row r="359" spans="78:80" x14ac:dyDescent="0.55000000000000004">
      <c r="BZ359" s="2860"/>
      <c r="CA359" s="2860"/>
      <c r="CB359" s="2860"/>
    </row>
    <row r="360" spans="78:80" x14ac:dyDescent="0.55000000000000004">
      <c r="BZ360" s="2860"/>
      <c r="CA360" s="2860"/>
      <c r="CB360" s="2860"/>
    </row>
    <row r="361" spans="78:80" x14ac:dyDescent="0.55000000000000004">
      <c r="BZ361" s="2860"/>
      <c r="CA361" s="2860"/>
      <c r="CB361" s="2860"/>
    </row>
    <row r="362" spans="78:80" x14ac:dyDescent="0.55000000000000004">
      <c r="BZ362" s="2860"/>
      <c r="CA362" s="2860"/>
      <c r="CB362" s="2860"/>
    </row>
    <row r="363" spans="78:80" x14ac:dyDescent="0.55000000000000004">
      <c r="BZ363" s="2860"/>
      <c r="CA363" s="2860"/>
      <c r="CB363" s="2860"/>
    </row>
    <row r="364" spans="78:80" x14ac:dyDescent="0.55000000000000004">
      <c r="BZ364" s="2860"/>
      <c r="CA364" s="2860"/>
      <c r="CB364" s="2860"/>
    </row>
    <row r="365" spans="78:80" x14ac:dyDescent="0.55000000000000004">
      <c r="BZ365" s="2860"/>
      <c r="CA365" s="2860"/>
      <c r="CB365" s="2860"/>
    </row>
    <row r="366" spans="78:80" x14ac:dyDescent="0.55000000000000004">
      <c r="BZ366" s="2860"/>
      <c r="CA366" s="2860"/>
      <c r="CB366" s="2860"/>
    </row>
    <row r="367" spans="78:80" x14ac:dyDescent="0.55000000000000004">
      <c r="BZ367" s="2860"/>
      <c r="CA367" s="2860"/>
      <c r="CB367" s="2860"/>
    </row>
    <row r="368" spans="78:80" x14ac:dyDescent="0.55000000000000004">
      <c r="BZ368" s="2860"/>
      <c r="CA368" s="2860"/>
      <c r="CB368" s="2860"/>
    </row>
    <row r="369" spans="78:80" x14ac:dyDescent="0.55000000000000004">
      <c r="BZ369" s="2860"/>
      <c r="CA369" s="2860"/>
      <c r="CB369" s="2860"/>
    </row>
    <row r="370" spans="78:80" x14ac:dyDescent="0.55000000000000004">
      <c r="BZ370" s="2860"/>
      <c r="CA370" s="2860"/>
      <c r="CB370" s="2860"/>
    </row>
    <row r="371" spans="78:80" x14ac:dyDescent="0.55000000000000004">
      <c r="BZ371" s="2860"/>
      <c r="CA371" s="2860"/>
      <c r="CB371" s="2860"/>
    </row>
    <row r="372" spans="78:80" x14ac:dyDescent="0.55000000000000004">
      <c r="BZ372" s="2860"/>
      <c r="CA372" s="2860"/>
      <c r="CB372" s="2860"/>
    </row>
    <row r="373" spans="78:80" x14ac:dyDescent="0.55000000000000004">
      <c r="BZ373" s="2860"/>
      <c r="CA373" s="2860"/>
      <c r="CB373" s="2860"/>
    </row>
    <row r="374" spans="78:80" x14ac:dyDescent="0.55000000000000004">
      <c r="BZ374" s="2860"/>
      <c r="CA374" s="2860"/>
      <c r="CB374" s="2860"/>
    </row>
    <row r="375" spans="78:80" x14ac:dyDescent="0.55000000000000004">
      <c r="BZ375" s="2860"/>
      <c r="CA375" s="2860"/>
      <c r="CB375" s="2860"/>
    </row>
    <row r="376" spans="78:80" x14ac:dyDescent="0.55000000000000004">
      <c r="BZ376" s="2860"/>
      <c r="CA376" s="2860"/>
      <c r="CB376" s="2860"/>
    </row>
    <row r="377" spans="78:80" x14ac:dyDescent="0.55000000000000004">
      <c r="BZ377" s="2860"/>
      <c r="CA377" s="2860"/>
      <c r="CB377" s="2860"/>
    </row>
    <row r="378" spans="78:80" x14ac:dyDescent="0.55000000000000004">
      <c r="BZ378" s="2860"/>
      <c r="CA378" s="2860"/>
      <c r="CB378" s="2860"/>
    </row>
    <row r="379" spans="78:80" x14ac:dyDescent="0.55000000000000004">
      <c r="BZ379" s="2860"/>
      <c r="CA379" s="2860"/>
      <c r="CB379" s="2860"/>
    </row>
    <row r="380" spans="78:80" x14ac:dyDescent="0.55000000000000004">
      <c r="BZ380" s="2860"/>
      <c r="CA380" s="2860"/>
      <c r="CB380" s="2860"/>
    </row>
    <row r="381" spans="78:80" x14ac:dyDescent="0.55000000000000004">
      <c r="BZ381" s="2860"/>
      <c r="CA381" s="2860"/>
      <c r="CB381" s="2860"/>
    </row>
    <row r="382" spans="78:80" x14ac:dyDescent="0.55000000000000004">
      <c r="BZ382" s="2860"/>
      <c r="CA382" s="2860"/>
      <c r="CB382" s="2860"/>
    </row>
    <row r="383" spans="78:80" x14ac:dyDescent="0.55000000000000004">
      <c r="BZ383" s="2860"/>
      <c r="CA383" s="2860"/>
      <c r="CB383" s="2860"/>
    </row>
    <row r="384" spans="78:80" x14ac:dyDescent="0.55000000000000004">
      <c r="BZ384" s="2860"/>
      <c r="CA384" s="2860"/>
      <c r="CB384" s="2860"/>
    </row>
    <row r="385" spans="78:80" x14ac:dyDescent="0.55000000000000004">
      <c r="BZ385" s="2860"/>
      <c r="CA385" s="2860"/>
      <c r="CB385" s="2860"/>
    </row>
    <row r="386" spans="78:80" x14ac:dyDescent="0.55000000000000004">
      <c r="BZ386" s="2860"/>
      <c r="CA386" s="2860"/>
      <c r="CB386" s="2860"/>
    </row>
    <row r="387" spans="78:80" x14ac:dyDescent="0.55000000000000004">
      <c r="BZ387" s="2860"/>
      <c r="CA387" s="2860"/>
      <c r="CB387" s="2860"/>
    </row>
    <row r="388" spans="78:80" x14ac:dyDescent="0.55000000000000004">
      <c r="BZ388" s="2860"/>
      <c r="CA388" s="2860"/>
      <c r="CB388" s="2860"/>
    </row>
    <row r="389" spans="78:80" x14ac:dyDescent="0.55000000000000004">
      <c r="BZ389" s="2860"/>
      <c r="CA389" s="2860"/>
      <c r="CB389" s="2860"/>
    </row>
    <row r="390" spans="78:80" x14ac:dyDescent="0.55000000000000004">
      <c r="BZ390" s="2860"/>
      <c r="CA390" s="2860"/>
      <c r="CB390" s="2860"/>
    </row>
    <row r="391" spans="78:80" x14ac:dyDescent="0.55000000000000004">
      <c r="BZ391" s="2860"/>
      <c r="CA391" s="2860"/>
      <c r="CB391" s="2860"/>
    </row>
    <row r="392" spans="78:80" x14ac:dyDescent="0.55000000000000004">
      <c r="BZ392" s="2860"/>
      <c r="CA392" s="2860"/>
      <c r="CB392" s="2860"/>
    </row>
    <row r="393" spans="78:80" x14ac:dyDescent="0.55000000000000004">
      <c r="BZ393" s="2860"/>
      <c r="CA393" s="2860"/>
      <c r="CB393" s="2860"/>
    </row>
    <row r="394" spans="78:80" x14ac:dyDescent="0.55000000000000004">
      <c r="BZ394" s="2860"/>
      <c r="CA394" s="2860"/>
      <c r="CB394" s="2860"/>
    </row>
    <row r="395" spans="78:80" x14ac:dyDescent="0.55000000000000004">
      <c r="BZ395" s="2860"/>
      <c r="CA395" s="2860"/>
      <c r="CB395" s="2860"/>
    </row>
    <row r="396" spans="78:80" x14ac:dyDescent="0.55000000000000004">
      <c r="BZ396" s="2860"/>
      <c r="CA396" s="2860"/>
      <c r="CB396" s="2860"/>
    </row>
    <row r="397" spans="78:80" x14ac:dyDescent="0.55000000000000004">
      <c r="BZ397" s="2860"/>
      <c r="CA397" s="2860"/>
      <c r="CB397" s="2860"/>
    </row>
    <row r="398" spans="78:80" x14ac:dyDescent="0.55000000000000004">
      <c r="BZ398" s="2860"/>
      <c r="CA398" s="2860"/>
      <c r="CB398" s="2860"/>
    </row>
    <row r="399" spans="78:80" x14ac:dyDescent="0.55000000000000004">
      <c r="BZ399" s="2860"/>
      <c r="CA399" s="2860"/>
      <c r="CB399" s="2860"/>
    </row>
    <row r="400" spans="78:80" x14ac:dyDescent="0.55000000000000004">
      <c r="BZ400" s="2860"/>
      <c r="CA400" s="2860"/>
      <c r="CB400" s="2860"/>
    </row>
    <row r="401" spans="78:80" x14ac:dyDescent="0.55000000000000004">
      <c r="BZ401" s="2860"/>
      <c r="CA401" s="2860"/>
      <c r="CB401" s="2860"/>
    </row>
    <row r="402" spans="78:80" x14ac:dyDescent="0.55000000000000004">
      <c r="BZ402" s="2860"/>
      <c r="CA402" s="2860"/>
      <c r="CB402" s="2860"/>
    </row>
    <row r="403" spans="78:80" x14ac:dyDescent="0.55000000000000004">
      <c r="BZ403" s="2860"/>
      <c r="CA403" s="2860"/>
      <c r="CB403" s="2860"/>
    </row>
    <row r="404" spans="78:80" x14ac:dyDescent="0.55000000000000004">
      <c r="BZ404" s="2860"/>
      <c r="CA404" s="2860"/>
      <c r="CB404" s="2860"/>
    </row>
    <row r="405" spans="78:80" x14ac:dyDescent="0.55000000000000004">
      <c r="BZ405" s="2860"/>
      <c r="CA405" s="2860"/>
      <c r="CB405" s="2860"/>
    </row>
    <row r="406" spans="78:80" x14ac:dyDescent="0.55000000000000004">
      <c r="BZ406" s="2860"/>
      <c r="CA406" s="2860"/>
      <c r="CB406" s="2860"/>
    </row>
    <row r="407" spans="78:80" x14ac:dyDescent="0.55000000000000004">
      <c r="BZ407" s="2860"/>
      <c r="CA407" s="2860"/>
      <c r="CB407" s="2860"/>
    </row>
    <row r="408" spans="78:80" x14ac:dyDescent="0.55000000000000004">
      <c r="BZ408" s="2860"/>
      <c r="CA408" s="2860"/>
      <c r="CB408" s="2860"/>
    </row>
    <row r="409" spans="78:80" x14ac:dyDescent="0.55000000000000004">
      <c r="BZ409" s="2860"/>
      <c r="CA409" s="2860"/>
      <c r="CB409" s="2860"/>
    </row>
    <row r="410" spans="78:80" x14ac:dyDescent="0.55000000000000004">
      <c r="BZ410" s="2860"/>
      <c r="CA410" s="2860"/>
      <c r="CB410" s="2860"/>
    </row>
    <row r="411" spans="78:80" x14ac:dyDescent="0.55000000000000004">
      <c r="BZ411" s="2860"/>
      <c r="CA411" s="2860"/>
      <c r="CB411" s="2860"/>
    </row>
    <row r="412" spans="78:80" x14ac:dyDescent="0.55000000000000004">
      <c r="BZ412" s="2860"/>
      <c r="CA412" s="2860"/>
      <c r="CB412" s="2860"/>
    </row>
    <row r="413" spans="78:80" x14ac:dyDescent="0.55000000000000004">
      <c r="BZ413" s="2860"/>
      <c r="CA413" s="2860"/>
      <c r="CB413" s="2860"/>
    </row>
    <row r="414" spans="78:80" x14ac:dyDescent="0.55000000000000004">
      <c r="BZ414" s="2860"/>
      <c r="CA414" s="2860"/>
      <c r="CB414" s="2860"/>
    </row>
  </sheetData>
  <mergeCells count="16">
    <mergeCell ref="A95:B104"/>
    <mergeCell ref="A106:B110"/>
    <mergeCell ref="A36:B45"/>
    <mergeCell ref="A55:B64"/>
    <mergeCell ref="A65:B74"/>
    <mergeCell ref="A75:B84"/>
    <mergeCell ref="A85:B94"/>
    <mergeCell ref="A46:B54"/>
    <mergeCell ref="A2:BX2"/>
    <mergeCell ref="BK5:BX5"/>
    <mergeCell ref="AW5:BJ5"/>
    <mergeCell ref="A26:B35"/>
    <mergeCell ref="T5:AG5"/>
    <mergeCell ref="AI5:AV5"/>
    <mergeCell ref="A7:B15"/>
    <mergeCell ref="A16:B2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0" fitToHeight="0" orientation="landscape" r:id="rId1"/>
  <headerFooter scaleWithDoc="0">
    <oddFooter>&amp;R&amp;"-,기울임꼴"&amp;8&amp;P &amp; 페이지</oddFooter>
  </headerFooter>
  <rowBreaks count="1" manualBreakCount="1">
    <brk id="54" max="8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7" tint="0.79998168889431442"/>
    <pageSetUpPr fitToPage="1"/>
  </sheetPr>
  <dimension ref="A1:BF113"/>
  <sheetViews>
    <sheetView showGridLines="0" view="pageBreakPreview" zoomScale="55" zoomScaleNormal="100" zoomScaleSheetLayoutView="55" workbookViewId="0">
      <pane xSplit="3" ySplit="6" topLeftCell="D7" activePane="bottomRight" state="frozen"/>
      <selection activeCell="W2" sqref="W2"/>
      <selection pane="topRight" activeCell="W2" sqref="W2"/>
      <selection pane="bottomLeft" activeCell="W2" sqref="W2"/>
      <selection pane="bottomRight" activeCell="N15" sqref="N15"/>
    </sheetView>
  </sheetViews>
  <sheetFormatPr defaultColWidth="9.140625" defaultRowHeight="15" x14ac:dyDescent="0.55000000000000004"/>
  <cols>
    <col min="1" max="1" width="16.42578125" style="559" customWidth="1"/>
    <col min="2" max="2" width="2.2109375" style="559" customWidth="1"/>
    <col min="3" max="3" width="13.35546875" style="559" customWidth="1"/>
    <col min="4" max="5" width="10.85546875" style="559" customWidth="1"/>
    <col min="6" max="13" width="11.640625" style="559" customWidth="1"/>
    <col min="14" max="14" width="9.5" style="559" customWidth="1"/>
    <col min="15" max="16" width="9.7109375" style="559" customWidth="1"/>
    <col min="17" max="17" width="10.640625" style="559" customWidth="1"/>
    <col min="18" max="18" width="13.5" style="559" customWidth="1"/>
    <col min="19" max="19" width="11.640625" style="559" customWidth="1"/>
    <col min="20" max="21" width="10.640625" style="559" customWidth="1"/>
    <col min="22" max="22" width="12.5703125" style="559" customWidth="1"/>
    <col min="23" max="23" width="11.640625" style="559" customWidth="1"/>
    <col min="24" max="24" width="10.640625" style="559" customWidth="1"/>
    <col min="25" max="25" width="6.640625" style="2983" customWidth="1"/>
    <col min="26" max="26" width="6.640625" style="2984" customWidth="1"/>
    <col min="27" max="29" width="9.140625" style="559"/>
    <col min="30" max="42" width="12.42578125" style="559" customWidth="1"/>
    <col min="43" max="44" width="12.42578125" style="559" hidden="1" customWidth="1"/>
    <col min="45" max="46" width="12.42578125" style="559" customWidth="1"/>
    <col min="47" max="16384" width="9.140625" style="559"/>
  </cols>
  <sheetData>
    <row r="1" spans="1:58" ht="16.3" x14ac:dyDescent="0.55000000000000004">
      <c r="D1" s="1300" t="s">
        <v>618</v>
      </c>
      <c r="E1" s="1300" t="s">
        <v>442</v>
      </c>
      <c r="F1" s="1856" t="s">
        <v>446</v>
      </c>
      <c r="G1" s="1856" t="s">
        <v>447</v>
      </c>
      <c r="H1" s="1856" t="s">
        <v>448</v>
      </c>
      <c r="I1" s="1856" t="s">
        <v>451</v>
      </c>
      <c r="J1" s="1856" t="s">
        <v>851</v>
      </c>
      <c r="K1" s="1856" t="s">
        <v>686</v>
      </c>
      <c r="L1" s="1856" t="s">
        <v>743</v>
      </c>
      <c r="M1" s="1856" t="s">
        <v>815</v>
      </c>
      <c r="N1" s="2979" t="s">
        <v>1070</v>
      </c>
      <c r="O1" s="2979" t="s">
        <v>1234</v>
      </c>
      <c r="P1" s="2979" t="s">
        <v>1011</v>
      </c>
      <c r="Q1" s="1856" t="s">
        <v>1235</v>
      </c>
      <c r="R1" s="1856" t="s">
        <v>1234</v>
      </c>
      <c r="S1" s="1856" t="s">
        <v>1236</v>
      </c>
      <c r="T1" s="1856" t="s">
        <v>1237</v>
      </c>
      <c r="U1" s="1856" t="s">
        <v>1235</v>
      </c>
      <c r="V1" s="1856" t="s">
        <v>1237</v>
      </c>
      <c r="W1" s="1856" t="s">
        <v>1238</v>
      </c>
      <c r="X1" s="1856" t="s">
        <v>1011</v>
      </c>
      <c r="Y1" s="1520" t="s">
        <v>453</v>
      </c>
      <c r="Z1" s="2980" t="s">
        <v>454</v>
      </c>
    </row>
    <row r="2" spans="1:58" ht="14.5" customHeight="1" thickBot="1" x14ac:dyDescent="0.6">
      <c r="C2" s="4515">
        <f>'0. 개요'!AE2</f>
        <v>46054</v>
      </c>
      <c r="D2" s="1859"/>
      <c r="E2" s="1859"/>
      <c r="F2" s="1856" t="s">
        <v>446</v>
      </c>
      <c r="G2" s="1856" t="s">
        <v>447</v>
      </c>
      <c r="H2" s="1856" t="s">
        <v>448</v>
      </c>
      <c r="I2" s="1856" t="s">
        <v>451</v>
      </c>
      <c r="J2" s="1856" t="s">
        <v>851</v>
      </c>
      <c r="K2" s="1856" t="s">
        <v>686</v>
      </c>
      <c r="L2" s="1856" t="s">
        <v>743</v>
      </c>
      <c r="M2" s="1856" t="s">
        <v>815</v>
      </c>
      <c r="N2" s="1855"/>
      <c r="Q2" s="559" t="s">
        <v>1235</v>
      </c>
      <c r="R2" s="1856" t="s">
        <v>1234</v>
      </c>
      <c r="V2" s="1856" t="s">
        <v>1237</v>
      </c>
      <c r="Y2" s="2981"/>
      <c r="Z2" s="2982"/>
    </row>
    <row r="3" spans="1:58" ht="60" customHeight="1" thickTop="1" thickBot="1" x14ac:dyDescent="0.6">
      <c r="A3" s="7061" t="s">
        <v>836</v>
      </c>
      <c r="B3" s="7061"/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7061"/>
      <c r="U3" s="7061"/>
      <c r="V3" s="7061"/>
      <c r="W3" s="7061"/>
      <c r="X3" s="7094"/>
    </row>
    <row r="4" spans="1:58" s="561" customFormat="1" ht="15.55" customHeight="1" thickTop="1" thickBot="1" x14ac:dyDescent="0.6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AC4" s="562"/>
      <c r="AE4" s="562"/>
      <c r="AF4" s="562"/>
      <c r="AG4" s="563"/>
      <c r="AI4" s="562"/>
      <c r="AJ4" s="563"/>
      <c r="BB4" s="566"/>
      <c r="BC4" s="566"/>
      <c r="BD4" s="566"/>
      <c r="BE4" s="566"/>
      <c r="BF4" s="566"/>
    </row>
    <row r="5" spans="1:58" ht="16.75" thickBot="1" x14ac:dyDescent="0.6">
      <c r="B5" s="567"/>
      <c r="C5" s="567"/>
      <c r="D5" s="567"/>
      <c r="E5" s="1152"/>
      <c r="F5" s="7117" t="s">
        <v>1050</v>
      </c>
      <c r="G5" s="7192"/>
      <c r="H5" s="7192"/>
      <c r="I5" s="7192"/>
      <c r="J5" s="7192"/>
      <c r="K5" s="7192"/>
      <c r="L5" s="7192"/>
      <c r="M5" s="7192"/>
      <c r="N5" s="7192"/>
      <c r="O5" s="7192"/>
      <c r="P5" s="7192"/>
      <c r="Q5" s="7192"/>
      <c r="R5" s="7193"/>
      <c r="S5" s="7071" t="str">
        <f>"연간누적실적(~"&amp;MONTH(C2)&amp;"월)"</f>
        <v>연간누적실적(~2월)</v>
      </c>
      <c r="T5" s="7072"/>
      <c r="U5" s="7072"/>
      <c r="V5" s="7072"/>
      <c r="W5" s="7072"/>
      <c r="X5" s="7100"/>
    </row>
    <row r="6" spans="1:58" ht="16.75" thickBot="1" x14ac:dyDescent="0.6">
      <c r="A6" s="559" t="s">
        <v>152</v>
      </c>
      <c r="B6" s="7173" t="s">
        <v>602</v>
      </c>
      <c r="C6" s="7174"/>
      <c r="D6" s="2985" t="s">
        <v>822</v>
      </c>
      <c r="E6" s="2986" t="s">
        <v>823</v>
      </c>
      <c r="F6" s="849" t="str" cm="1">
        <f t="array" aca="1" ref="F6" ca="1">INDIRECT("'※ 수수료 기준_가입자'!"&amp;F$2&amp;$Y6, TRUE)</f>
        <v>'25.2월</v>
      </c>
      <c r="G6" s="558" t="str" cm="1">
        <f t="array" aca="1" ref="G6" ca="1">INDIRECT("'※ 수수료 기준_가입자'!"&amp;G$2&amp;$Y6, TRUE)</f>
        <v>'25.3월</v>
      </c>
      <c r="H6" s="558" t="str" cm="1">
        <f t="array" aca="1" ref="H6" ca="1">INDIRECT("'※ 수수료 기준_가입자'!"&amp;H$2&amp;$Y6, TRUE)</f>
        <v>'25.4월</v>
      </c>
      <c r="I6" s="558" t="str" cm="1">
        <f t="array" aca="1" ref="I6" ca="1">INDIRECT("'※ 수수료 기준_가입자'!"&amp;I$2&amp;$Y6, TRUE)</f>
        <v>'25.5월</v>
      </c>
      <c r="J6" s="558" t="str" cm="1">
        <f t="array" aca="1" ref="J6" ca="1">INDIRECT("'※ 수수료 기준_가입자'!"&amp;J$2&amp;$Y6, TRUE)</f>
        <v>'25.6월</v>
      </c>
      <c r="K6" s="558" t="str" cm="1">
        <f t="array" aca="1" ref="K6" ca="1">INDIRECT("'※ 수수료 기준_가입자'!"&amp;K$2&amp;$Y6, TRUE)</f>
        <v>'25.7월</v>
      </c>
      <c r="L6" s="558" t="str" cm="1">
        <f t="array" aca="1" ref="L6" ca="1">INDIRECT("'※ 수수료 기준_가입자'!"&amp;L$2&amp;$Y6, TRUE)</f>
        <v>'26.1월</v>
      </c>
      <c r="M6" s="558" t="str" cm="1">
        <f t="array" aca="1" ref="M6" ca="1">INDIRECT("'※ 수수료 기준_가입자'!"&amp;M$2&amp;$Y6, TRUE)</f>
        <v>'26.2월</v>
      </c>
      <c r="N6" s="2536" t="str">
        <f>MONTH(C2)&amp;"월 목표"</f>
        <v>2월 목표</v>
      </c>
      <c r="O6" s="2536" t="s">
        <v>8</v>
      </c>
      <c r="P6" s="2536" t="s">
        <v>9</v>
      </c>
      <c r="Q6" s="2535" t="s">
        <v>130</v>
      </c>
      <c r="R6" s="2987" t="s">
        <v>443</v>
      </c>
      <c r="S6" s="2537" t="s">
        <v>44</v>
      </c>
      <c r="T6" s="1157" t="s">
        <v>8</v>
      </c>
      <c r="U6" s="1157" t="s">
        <v>9</v>
      </c>
      <c r="V6" s="1157" t="s">
        <v>569</v>
      </c>
      <c r="W6" s="1158" t="s">
        <v>45</v>
      </c>
      <c r="X6" s="854" t="s">
        <v>1012</v>
      </c>
      <c r="Y6" s="2988">
        <f>ROW('※ 수수료 기준_가입자'!Y3)</f>
        <v>3</v>
      </c>
    </row>
    <row r="7" spans="1:58" x14ac:dyDescent="0.55000000000000004">
      <c r="A7" s="7178" t="s">
        <v>84</v>
      </c>
      <c r="B7" s="857" t="s">
        <v>43</v>
      </c>
      <c r="C7" s="858"/>
      <c r="D7" s="1160" cm="1">
        <f t="array" aca="1" ref="D7" ca="1">INDIRECT("'※ 수수료 기준_가입자'!"&amp;D$1&amp;$Y7, TRUE)</f>
        <v>362563</v>
      </c>
      <c r="E7" s="2989" cm="1">
        <f t="array" aca="1" ref="E7" ca="1">INDIRECT("'※ 수수료 기준_가입자'!"&amp;E$1&amp;$Y7, TRUE)</f>
        <v>299670</v>
      </c>
      <c r="F7" s="1161" cm="1">
        <f t="array" aca="1" ref="F7" ca="1">INDIRECT("'※ 수수료 기준_가입자'!"&amp;F$1&amp;$Y7, TRUE)</f>
        <v>289323</v>
      </c>
      <c r="G7" s="1162" cm="1">
        <f t="array" aca="1" ref="G7" ca="1">INDIRECT("'※ 수수료 기준_가입자'!"&amp;G$1&amp;$Y7, TRUE)</f>
        <v>283808</v>
      </c>
      <c r="H7" s="1162" cm="1">
        <f t="array" aca="1" ref="H7" ca="1">INDIRECT("'※ 수수료 기준_가입자'!"&amp;H$1&amp;$Y7, TRUE)</f>
        <v>279924</v>
      </c>
      <c r="I7" s="1162" cm="1">
        <f t="array" aca="1" ref="I7" ca="1">INDIRECT("'※ 수수료 기준_가입자'!"&amp;I$1&amp;$Y7, TRUE)</f>
        <v>279331</v>
      </c>
      <c r="J7" s="1162" cm="1">
        <f t="array" aca="1" ref="J7" ca="1">INDIRECT("'※ 수수료 기준_가입자'!"&amp;J$1&amp;$Y7, TRUE)</f>
        <v>275030</v>
      </c>
      <c r="K7" s="1162" cm="1">
        <f t="array" aca="1" ref="K7" ca="1">INDIRECT("'※ 수수료 기준_가입자'!"&amp;K$1&amp;$Y7, TRUE)</f>
        <v>273151</v>
      </c>
      <c r="L7" s="1162" cm="1">
        <f t="array" aca="1" ref="L7" ca="1">INDIRECT("'※ 수수료 기준_가입자'!"&amp;L$1&amp;$Y7, TRUE)</f>
        <v>243685</v>
      </c>
      <c r="M7" s="1162" cm="1">
        <f t="array" aca="1" ref="M7" ca="1">INDIRECT("'※ 수수료 기준_가입자'!"&amp;M$1&amp;$Y7, TRUE)</f>
        <v>237969</v>
      </c>
      <c r="N7" s="2990"/>
      <c r="O7" s="2990"/>
      <c r="P7" s="2991"/>
      <c r="Q7" s="903" cm="1">
        <f t="array" aca="1" ref="Q7" ca="1">INDIRECT("'※ 수수료 기준_가입자'!"&amp;Q$1&amp;$Y7, TRUE)</f>
        <v>-5716</v>
      </c>
      <c r="R7" s="903" cm="1">
        <f t="array" aca="1" ref="R7" ca="1">INDIRECT("'※ 수수료 기준_가입자'!"&amp;R$1&amp;$Y7, TRUE)</f>
        <v>-51354</v>
      </c>
      <c r="S7" s="1164" cm="1">
        <f t="array" aca="1" ref="S7" ca="1">INDIRECT("'※ 수수료 기준_가입자'!"&amp;S$1&amp;$Y7, TRUE)</f>
        <v>248042</v>
      </c>
      <c r="T7" s="2992"/>
      <c r="U7" s="2990"/>
      <c r="V7" s="903" cm="1">
        <f t="array" aca="1" ref="V7" ca="1">INDIRECT("'※ 수수료 기준_가입자'!"&amp;V$1&amp;$Y7, TRUE)</f>
        <v>-51354</v>
      </c>
      <c r="W7" s="1165" cm="1">
        <f t="array" aca="1" ref="W7" ca="1">INDIRECT("'※ 수수료 기준_가입자'!"&amp;W$1&amp;$Y7, TRUE)</f>
        <v>240827</v>
      </c>
      <c r="X7" s="2993" cm="1">
        <f t="array" aca="1" ref="X7" ca="1">INDIRECT("'※ 수수료 기준_가입자'!"&amp;X$1&amp;$Y7, TRUE)</f>
        <v>-31868.916666666686</v>
      </c>
      <c r="Y7" s="2988">
        <f>ROW('※ 수수료 기준_가입자'!Y43)</f>
        <v>43</v>
      </c>
    </row>
    <row r="8" spans="1:58" x14ac:dyDescent="0.55000000000000004">
      <c r="A8" s="7179"/>
      <c r="B8" s="1067" t="s">
        <v>46</v>
      </c>
      <c r="C8" s="594"/>
      <c r="D8" s="2994" cm="1">
        <f t="array" aca="1" ref="D8" ca="1">INDIRECT("'※ 수수료 기준_가입자'!"&amp;D$1&amp;$Y8, TRUE)</f>
        <v>92868</v>
      </c>
      <c r="E8" s="2995" cm="1">
        <f t="array" aca="1" ref="E8" ca="1">INDIRECT("'※ 수수료 기준_가입자'!"&amp;E$1&amp;$Y8, TRUE)</f>
        <v>102519</v>
      </c>
      <c r="F8" s="2996" cm="1">
        <f t="array" aca="1" ref="F8" ca="1">INDIRECT("'※ 수수료 기준_가입자'!"&amp;F$1&amp;$Y8, TRUE)</f>
        <v>10197</v>
      </c>
      <c r="G8" s="2995" cm="1">
        <f t="array" aca="1" ref="G8" ca="1">INDIRECT("'※ 수수료 기준_가입자'!"&amp;G$1&amp;$Y8, TRUE)</f>
        <v>8908</v>
      </c>
      <c r="H8" s="2995" cm="1">
        <f t="array" aca="1" ref="H8" ca="1">INDIRECT("'※ 수수료 기준_가입자'!"&amp;H$1&amp;$Y8, TRUE)</f>
        <v>9832</v>
      </c>
      <c r="I8" s="2995" cm="1">
        <f t="array" aca="1" ref="I8" ca="1">INDIRECT("'※ 수수료 기준_가입자'!"&amp;I$1&amp;$Y8, TRUE)</f>
        <v>17314</v>
      </c>
      <c r="J8" s="2995" cm="1">
        <f t="array" aca="1" ref="J8" ca="1">INDIRECT("'※ 수수료 기준_가입자'!"&amp;J$1&amp;$Y8, TRUE)</f>
        <v>11650</v>
      </c>
      <c r="K8" s="2995" cm="1">
        <f t="array" aca="1" ref="K8" ca="1">INDIRECT("'※ 수수료 기준_가입자'!"&amp;K$1&amp;$Y8, TRUE)</f>
        <v>13532</v>
      </c>
      <c r="L8" s="2995" cm="1">
        <f t="array" aca="1" ref="L8" ca="1">INDIRECT("'※ 수수료 기준_가입자'!"&amp;L$1&amp;$Y8, TRUE)</f>
        <v>5872</v>
      </c>
      <c r="M8" s="2995" cm="1">
        <f t="array" aca="1" ref="M8" ca="1">INDIRECT("'※ 수수료 기준_가입자'!"&amp;M$1&amp;$Y8, TRUE)</f>
        <v>4643</v>
      </c>
      <c r="N8" s="2173"/>
      <c r="O8" s="2173"/>
      <c r="P8" s="2997"/>
      <c r="Q8" s="2998" cm="1">
        <f t="array" aca="1" ref="Q8" ca="1">INDIRECT("'※ 수수료 기준_가입자'!"&amp;Q$1&amp;$Y8, TRUE)</f>
        <v>-1229</v>
      </c>
      <c r="R8" s="2999" cm="1">
        <f t="array" aca="1" ref="R8" ca="1">INDIRECT("'※ 수수료 기준_가입자'!"&amp;R$1&amp;$Y8, TRUE)</f>
        <v>-5554</v>
      </c>
      <c r="S8" s="3000" cm="1">
        <f t="array" aca="1" ref="S8" ca="1">INDIRECT("'※ 수수료 기준_가입자'!"&amp;S$1&amp;$Y8, TRUE)</f>
        <v>10515</v>
      </c>
      <c r="T8" s="3001"/>
      <c r="U8" s="2173"/>
      <c r="V8" s="3002" cm="1">
        <f t="array" aca="1" ref="V8" ca="1">INDIRECT("'※ 수수료 기준_가입자'!"&amp;V$1&amp;$Y8, TRUE)</f>
        <v>27879</v>
      </c>
      <c r="W8" s="3003" cm="1">
        <f t="array" aca="1" ref="W8" ca="1">INDIRECT("'※ 수수료 기준_가입자'!"&amp;W$1&amp;$Y8, TRUE)</f>
        <v>876.25</v>
      </c>
      <c r="X8" s="3004" cm="1">
        <f t="array" aca="1" ref="X8" ca="1">INDIRECT("'※ 수수료 기준_가입자'!"&amp;X$1&amp;$Y8, TRUE)</f>
        <v>-9366</v>
      </c>
      <c r="Y8" s="2988">
        <f>ROW('※ 수수료 기준_가입자'!Y44)</f>
        <v>44</v>
      </c>
    </row>
    <row r="9" spans="1:58" x14ac:dyDescent="0.55000000000000004">
      <c r="A9" s="7179"/>
      <c r="B9" s="594" t="s">
        <v>47</v>
      </c>
      <c r="C9" s="594"/>
      <c r="D9" s="2994" cm="1">
        <f t="array" aca="1" ref="D9" ca="1">INDIRECT("'※ 수수료 기준_가입자'!"&amp;D$1&amp;$Y9, TRUE)</f>
        <v>47015</v>
      </c>
      <c r="E9" s="2995" cm="1">
        <f t="array" aca="1" ref="E9" ca="1">INDIRECT("'※ 수수료 기준_가입자'!"&amp;E$1&amp;$Y9, TRUE)</f>
        <v>42266</v>
      </c>
      <c r="F9" s="2996" cm="1">
        <f t="array" aca="1" ref="F9" ca="1">INDIRECT("'※ 수수료 기준_가입자'!"&amp;F$1&amp;$Y9, TRUE)</f>
        <v>3689</v>
      </c>
      <c r="G9" s="2995" cm="1">
        <f t="array" aca="1" ref="G9" ca="1">INDIRECT("'※ 수수료 기준_가입자'!"&amp;G$1&amp;$Y9, TRUE)</f>
        <v>3594</v>
      </c>
      <c r="H9" s="2995" cm="1">
        <f t="array" aca="1" ref="H9" ca="1">INDIRECT("'※ 수수료 기준_가입자'!"&amp;H$1&amp;$Y9, TRUE)</f>
        <v>3559</v>
      </c>
      <c r="I9" s="2995" cm="1">
        <f t="array" aca="1" ref="I9" ca="1">INDIRECT("'※ 수수료 기준_가입자'!"&amp;I$1&amp;$Y9, TRUE)</f>
        <v>3118</v>
      </c>
      <c r="J9" s="2995" cm="1">
        <f t="array" aca="1" ref="J9" ca="1">INDIRECT("'※ 수수료 기준_가입자'!"&amp;J$1&amp;$Y9, TRUE)</f>
        <v>3230</v>
      </c>
      <c r="K9" s="2995" cm="1">
        <f t="array" aca="1" ref="K9" ca="1">INDIRECT("'※ 수수료 기준_가입자'!"&amp;K$1&amp;$Y9, TRUE)</f>
        <v>3142</v>
      </c>
      <c r="L9" s="2995" cm="1">
        <f t="array" aca="1" ref="L9" ca="1">INDIRECT("'※ 수수료 기준_가입자'!"&amp;L$1&amp;$Y9, TRUE)</f>
        <v>4241</v>
      </c>
      <c r="M9" s="2995" cm="1">
        <f t="array" aca="1" ref="M9" ca="1">INDIRECT("'※ 수수료 기준_가입자'!"&amp;M$1&amp;$Y9, TRUE)</f>
        <v>3854</v>
      </c>
      <c r="N9" s="2173"/>
      <c r="O9" s="2173"/>
      <c r="P9" s="2997"/>
      <c r="Q9" s="2998" cm="1">
        <f t="array" aca="1" ref="Q9" ca="1">INDIRECT("'※ 수수료 기준_가입자'!"&amp;Q$1&amp;$Y9, TRUE)</f>
        <v>-387</v>
      </c>
      <c r="R9" s="2999" cm="1">
        <f t="array" aca="1" ref="R9" ca="1">INDIRECT("'※ 수수료 기준_가입자'!"&amp;R$1&amp;$Y9, TRUE)</f>
        <v>165</v>
      </c>
      <c r="S9" s="3000" cm="1">
        <f t="array" aca="1" ref="S9" ca="1">INDIRECT("'※ 수수료 기준_가입자'!"&amp;S$1&amp;$Y9, TRUE)</f>
        <v>8095</v>
      </c>
      <c r="T9" s="3001"/>
      <c r="U9" s="2173"/>
      <c r="V9" s="3002" cm="1">
        <f t="array" aca="1" ref="V9" ca="1">INDIRECT("'※ 수수료 기준_가입자'!"&amp;V$1&amp;$Y9, TRUE)</f>
        <v>-2043</v>
      </c>
      <c r="W9" s="3003" cm="1">
        <f t="array" aca="1" ref="W9" ca="1">INDIRECT("'※ 수수료 기준_가입자'!"&amp;W$1&amp;$Y9, TRUE)</f>
        <v>674.58333333333337</v>
      </c>
      <c r="X9" s="3004" cm="1">
        <f t="array" aca="1" ref="X9" ca="1">INDIRECT("'※ 수수료 기준_가입자'!"&amp;X$1&amp;$Y9, TRUE)</f>
        <v>-2455.083333333333</v>
      </c>
      <c r="Y9" s="2988">
        <f>ROW('※ 수수료 기준_가입자'!Y45)</f>
        <v>45</v>
      </c>
    </row>
    <row r="10" spans="1:58" x14ac:dyDescent="0.55000000000000004">
      <c r="A10" s="7179"/>
      <c r="B10" s="1550" t="s">
        <v>58</v>
      </c>
      <c r="C10" s="594"/>
      <c r="D10" s="2994" cm="1">
        <f t="array" aca="1" ref="D10" ca="1">INDIRECT("'※ 수수료 기준_가입자'!"&amp;D$1&amp;$Y10, TRUE)</f>
        <v>3527</v>
      </c>
      <c r="E10" s="2995" cm="1">
        <f t="array" aca="1" ref="E10" ca="1">INDIRECT("'※ 수수료 기준_가입자'!"&amp;E$1&amp;$Y10, TRUE)</f>
        <v>3036</v>
      </c>
      <c r="F10" s="2996" cm="1">
        <f t="array" aca="1" ref="F10" ca="1">INDIRECT("'※ 수수료 기준_가입자'!"&amp;F$1&amp;$Y10, TRUE)</f>
        <v>206</v>
      </c>
      <c r="G10" s="2995" cm="1">
        <f t="array" aca="1" ref="G10" ca="1">INDIRECT("'※ 수수료 기준_가입자'!"&amp;G$1&amp;$Y10, TRUE)</f>
        <v>269</v>
      </c>
      <c r="H10" s="2995" cm="1">
        <f t="array" aca="1" ref="H10" ca="1">INDIRECT("'※ 수수료 기준_가입자'!"&amp;H$1&amp;$Y10, TRUE)</f>
        <v>271</v>
      </c>
      <c r="I10" s="2995" cm="1">
        <f t="array" aca="1" ref="I10" ca="1">INDIRECT("'※ 수수료 기준_가입자'!"&amp;I$1&amp;$Y10, TRUE)</f>
        <v>308</v>
      </c>
      <c r="J10" s="2995" cm="1">
        <f t="array" aca="1" ref="J10" ca="1">INDIRECT("'※ 수수료 기준_가입자'!"&amp;J$1&amp;$Y10, TRUE)</f>
        <v>209</v>
      </c>
      <c r="K10" s="2995" cm="1">
        <f t="array" aca="1" ref="K10" ca="1">INDIRECT("'※ 수수료 기준_가입자'!"&amp;K$1&amp;$Y10, TRUE)</f>
        <v>195</v>
      </c>
      <c r="L10" s="2995" cm="1">
        <f t="array" aca="1" ref="L10" ca="1">INDIRECT("'※ 수수료 기준_가입자'!"&amp;L$1&amp;$Y10, TRUE)</f>
        <v>164</v>
      </c>
      <c r="M10" s="2995" cm="1">
        <f t="array" aca="1" ref="M10" ca="1">INDIRECT("'※ 수수료 기준_가입자'!"&amp;M$1&amp;$Y10, TRUE)</f>
        <v>157</v>
      </c>
      <c r="N10" s="2173"/>
      <c r="O10" s="2173"/>
      <c r="P10" s="2997"/>
      <c r="Q10" s="2998" cm="1">
        <f t="array" aca="1" ref="Q10" ca="1">INDIRECT("'※ 수수료 기준_가입자'!"&amp;Q$1&amp;$Y10, TRUE)</f>
        <v>-7</v>
      </c>
      <c r="R10" s="2999" cm="1">
        <f t="array" aca="1" ref="R10" ca="1">INDIRECT("'※ 수수료 기준_가입자'!"&amp;R$1&amp;$Y10, TRUE)</f>
        <v>-49</v>
      </c>
      <c r="S10" s="3000" cm="1">
        <f t="array" aca="1" ref="S10" ca="1">INDIRECT("'※ 수수료 기준_가입자'!"&amp;S$1&amp;$Y10, TRUE)</f>
        <v>321</v>
      </c>
      <c r="T10" s="3001"/>
      <c r="U10" s="2173"/>
      <c r="V10" s="3002" cm="1">
        <f t="array" aca="1" ref="V10" ca="1">INDIRECT("'※ 수수료 기준_가입자'!"&amp;V$1&amp;$Y10, TRUE)</f>
        <v>-507</v>
      </c>
      <c r="W10" s="3003" cm="1">
        <f t="array" aca="1" ref="W10" ca="1">INDIRECT("'※ 수수료 기준_가입자'!"&amp;W$1&amp;$Y10, TRUE)</f>
        <v>26.75</v>
      </c>
      <c r="X10" s="3004" cm="1">
        <f t="array" aca="1" ref="X10" ca="1">INDIRECT("'※ 수수료 기준_가입자'!"&amp;X$1&amp;$Y10, TRUE)</f>
        <v>-169.41666666666666</v>
      </c>
      <c r="Y10" s="2988">
        <f>ROW('※ 수수료 기준_가입자'!Y46)</f>
        <v>46</v>
      </c>
    </row>
    <row r="11" spans="1:58" x14ac:dyDescent="0.55000000000000004">
      <c r="A11" s="7179"/>
      <c r="B11" s="803" t="s">
        <v>85</v>
      </c>
      <c r="C11" s="803"/>
      <c r="D11" s="3005" cm="1">
        <f t="array" aca="1" ref="D11" ca="1">INDIRECT("'※ 수수료 기준_가입자'!"&amp;D$1&amp;$Y11, TRUE)</f>
        <v>45853</v>
      </c>
      <c r="E11" s="3006" cm="1">
        <f t="array" aca="1" ref="E11" ca="1">INDIRECT("'※ 수수료 기준_가입자'!"&amp;E$1&amp;$Y11, TRUE)</f>
        <v>60253</v>
      </c>
      <c r="F11" s="3007" cm="1">
        <f t="array" aca="1" ref="F11" ca="1">INDIRECT("'※ 수수료 기준_가입자'!"&amp;F$1&amp;$Y11, TRUE)</f>
        <v>6202</v>
      </c>
      <c r="G11" s="3006" cm="1">
        <f t="array" aca="1" ref="G11" ca="1">INDIRECT("'※ 수수료 기준_가입자'!"&amp;G$1&amp;$Y11, TRUE)</f>
        <v>5314</v>
      </c>
      <c r="H11" s="3006" cm="1">
        <f t="array" aca="1" ref="H11" ca="1">INDIRECT("'※ 수수료 기준_가입자'!"&amp;H$1&amp;$Y11, TRUE)</f>
        <v>6273</v>
      </c>
      <c r="I11" s="3006" cm="1">
        <f t="array" aca="1" ref="I11" ca="1">INDIRECT("'※ 수수료 기준_가입자'!"&amp;I$1&amp;$Y11, TRUE)</f>
        <v>14196</v>
      </c>
      <c r="J11" s="3006" cm="1">
        <f t="array" aca="1" ref="J11" ca="1">INDIRECT("'※ 수수료 기준_가입자'!"&amp;J$1&amp;$Y11, TRUE)</f>
        <v>8420</v>
      </c>
      <c r="K11" s="3006" cm="1">
        <f t="array" aca="1" ref="K11" ca="1">INDIRECT("'※ 수수료 기준_가입자'!"&amp;K$1&amp;$Y11, TRUE)</f>
        <v>10390</v>
      </c>
      <c r="L11" s="3006" cm="1">
        <f t="array" aca="1" ref="L11" ca="1">INDIRECT("'※ 수수료 기준_가입자'!"&amp;L$1&amp;$Y11, TRUE)</f>
        <v>1631</v>
      </c>
      <c r="M11" s="3006" cm="1">
        <f t="array" aca="1" ref="M11" ca="1">INDIRECT("'※ 수수료 기준_가입자'!"&amp;M$1&amp;$Y11, TRUE)</f>
        <v>789</v>
      </c>
      <c r="N11" s="2173"/>
      <c r="O11" s="2173"/>
      <c r="P11" s="2997"/>
      <c r="Q11" s="3008" cm="1">
        <f t="array" aca="1" ref="Q11" ca="1">INDIRECT("'※ 수수료 기준_가입자'!"&amp;Q$1&amp;$Y11, TRUE)</f>
        <v>-842</v>
      </c>
      <c r="R11" s="3009" cm="1">
        <f t="array" aca="1" ref="R11" ca="1">INDIRECT("'※ 수수료 기준_가입자'!"&amp;R$1&amp;$Y11, TRUE)</f>
        <v>-5413</v>
      </c>
      <c r="S11" s="3010" cm="1">
        <f t="array" aca="1" ref="S11" ca="1">INDIRECT("'※ 수수료 기준_가입자'!"&amp;S$1&amp;$Y11, TRUE)</f>
        <v>2420</v>
      </c>
      <c r="T11" s="3001"/>
      <c r="U11" s="2173"/>
      <c r="V11" s="3011" cm="1">
        <f t="array" aca="1" ref="V11" ca="1">INDIRECT("'※ 수수료 기준_가입자'!"&amp;V$1&amp;$Y11, TRUE)</f>
        <v>29608</v>
      </c>
      <c r="W11" s="3012" cm="1">
        <f t="array" aca="1" ref="W11" ca="1">INDIRECT("'※ 수수료 기준_가입자'!"&amp;W$1&amp;$Y11, TRUE)</f>
        <v>201.66666666666666</v>
      </c>
      <c r="X11" s="3013" cm="1">
        <f t="array" aca="1" ref="X11" ca="1">INDIRECT("'※ 수수료 기준_가입자'!"&amp;X$1&amp;$Y11, TRUE)</f>
        <v>-6884.75</v>
      </c>
      <c r="Y11" s="2988">
        <f>ROW('※ 수수료 기준_가입자'!Y47)</f>
        <v>47</v>
      </c>
    </row>
    <row r="12" spans="1:58" x14ac:dyDescent="0.55000000000000004">
      <c r="A12" s="7179"/>
      <c r="B12" s="594" t="s">
        <v>49</v>
      </c>
      <c r="C12" s="594"/>
      <c r="D12" s="2994" cm="1">
        <f t="array" aca="1" ref="D12" ca="1">INDIRECT("'※ 수수료 기준_가입자'!"&amp;D$1&amp;$Y12, TRUE)</f>
        <v>92090</v>
      </c>
      <c r="E12" s="2995" cm="1">
        <f t="array" aca="1" ref="E12" ca="1">INDIRECT("'※ 수수료 기준_가입자'!"&amp;E$1&amp;$Y12, TRUE)</f>
        <v>126187</v>
      </c>
      <c r="F12" s="2996" cm="1">
        <f t="array" aca="1" ref="F12" ca="1">INDIRECT("'※ 수수료 기준_가입자'!"&amp;F$1&amp;$Y12, TRUE)</f>
        <v>10556</v>
      </c>
      <c r="G12" s="2995" cm="1">
        <f t="array" aca="1" ref="G12" ca="1">INDIRECT("'※ 수수료 기준_가입자'!"&amp;G$1&amp;$Y12, TRUE)</f>
        <v>10829</v>
      </c>
      <c r="H12" s="2995" cm="1">
        <f t="array" aca="1" ref="H12" ca="1">INDIRECT("'※ 수수료 기준_가입자'!"&amp;H$1&amp;$Y12, TRUE)</f>
        <v>10157</v>
      </c>
      <c r="I12" s="2995" cm="1">
        <f t="array" aca="1" ref="I12" ca="1">INDIRECT("'※ 수수료 기준_가입자'!"&amp;I$1&amp;$Y12, TRUE)</f>
        <v>14789</v>
      </c>
      <c r="J12" s="2995" cm="1">
        <f t="array" aca="1" ref="J12" ca="1">INDIRECT("'※ 수수료 기준_가입자'!"&amp;J$1&amp;$Y12, TRUE)</f>
        <v>12721</v>
      </c>
      <c r="K12" s="2995" cm="1">
        <f t="array" aca="1" ref="K12" ca="1">INDIRECT("'※ 수수료 기준_가입자'!"&amp;K$1&amp;$Y12, TRUE)</f>
        <v>12269</v>
      </c>
      <c r="L12" s="2995" cm="1">
        <f t="array" aca="1" ref="L12" ca="1">INDIRECT("'※ 수수료 기준_가입자'!"&amp;L$1&amp;$Y12, TRUE)</f>
        <v>5988</v>
      </c>
      <c r="M12" s="2995" cm="1">
        <f t="array" aca="1" ref="M12" ca="1">INDIRECT("'※ 수수료 기준_가입자'!"&amp;M$1&amp;$Y12, TRUE)</f>
        <v>6505</v>
      </c>
      <c r="N12" s="2173"/>
      <c r="O12" s="2173"/>
      <c r="P12" s="2997"/>
      <c r="Q12" s="2998" cm="1">
        <f t="array" aca="1" ref="Q12" ca="1">INDIRECT("'※ 수수료 기준_가입자'!"&amp;Q$1&amp;$Y12, TRUE)</f>
        <v>517</v>
      </c>
      <c r="R12" s="2999" cm="1">
        <f t="array" aca="1" ref="R12" ca="1">INDIRECT("'※ 수수료 기준_가입자'!"&amp;R$1&amp;$Y12, TRUE)</f>
        <v>-4051</v>
      </c>
      <c r="S12" s="3000" cm="1">
        <f t="array" aca="1" ref="S12" ca="1">INDIRECT("'※ 수수료 기준_가입자'!"&amp;S$1&amp;$Y12, TRUE)</f>
        <v>12493</v>
      </c>
      <c r="T12" s="3001"/>
      <c r="U12" s="2173"/>
      <c r="V12" s="3002" cm="1">
        <f t="array" aca="1" ref="V12" ca="1">INDIRECT("'※ 수수료 기준_가입자'!"&amp;V$1&amp;$Y12, TRUE)</f>
        <v>23389</v>
      </c>
      <c r="W12" s="3003" cm="1">
        <f t="array" aca="1" ref="W12" ca="1">INDIRECT("'※ 수수료 기준_가입자'!"&amp;W$1&amp;$Y12, TRUE)</f>
        <v>1041.0833333333333</v>
      </c>
      <c r="X12" s="3004" cm="1">
        <f t="array" aca="1" ref="X12" ca="1">INDIRECT("'※ 수수료 기준_가입자'!"&amp;X$1&amp;$Y12, TRUE)</f>
        <v>-10495.5</v>
      </c>
      <c r="Y12" s="2988">
        <f>ROW('※ 수수료 기준_가입자'!Y48)</f>
        <v>48</v>
      </c>
    </row>
    <row r="13" spans="1:58" x14ac:dyDescent="0.55000000000000004">
      <c r="A13" s="7179"/>
      <c r="B13" s="1257" t="s">
        <v>50</v>
      </c>
      <c r="C13" s="1257"/>
      <c r="D13" s="3014" cm="1">
        <f t="array" aca="1" ref="D13" ca="1">INDIRECT("'※ 수수료 기준_가입자'!"&amp;D$1&amp;$Y13, TRUE)</f>
        <v>-46237</v>
      </c>
      <c r="E13" s="2630" cm="1">
        <f t="array" aca="1" ref="E13" ca="1">INDIRECT("'※ 수수료 기준_가입자'!"&amp;E$1&amp;$Y13, TRUE)</f>
        <v>-65934</v>
      </c>
      <c r="F13" s="3015" cm="1">
        <f t="array" aca="1" ref="F13" ca="1">INDIRECT("'※ 수수료 기준_가입자'!"&amp;F$1&amp;$Y13, TRUE)</f>
        <v>-3907</v>
      </c>
      <c r="G13" s="3016" cm="1">
        <f t="array" aca="1" ref="G13" ca="1">INDIRECT("'※ 수수료 기준_가입자'!"&amp;G$1&amp;$Y13, TRUE)</f>
        <v>-5515</v>
      </c>
      <c r="H13" s="3016" cm="1">
        <f t="array" aca="1" ref="H13" ca="1">INDIRECT("'※ 수수료 기준_가입자'!"&amp;H$1&amp;$Y13, TRUE)</f>
        <v>-3884</v>
      </c>
      <c r="I13" s="3016" cm="1">
        <f t="array" aca="1" ref="I13" ca="1">INDIRECT("'※ 수수료 기준_가입자'!"&amp;I$1&amp;$Y13, TRUE)</f>
        <v>-593</v>
      </c>
      <c r="J13" s="3016" cm="1">
        <f t="array" aca="1" ref="J13" ca="1">INDIRECT("'※ 수수료 기준_가입자'!"&amp;J$1&amp;$Y13, TRUE)</f>
        <v>-4301</v>
      </c>
      <c r="K13" s="3016" cm="1">
        <f t="array" aca="1" ref="K13" ca="1">INDIRECT("'※ 수수료 기준_가입자'!"&amp;K$1&amp;$Y13, TRUE)</f>
        <v>-1879</v>
      </c>
      <c r="L13" s="3016" cm="1">
        <f t="array" aca="1" ref="L13" ca="1">INDIRECT("'※ 수수료 기준_가입자'!"&amp;L$1&amp;$Y13, TRUE)</f>
        <v>-4357</v>
      </c>
      <c r="M13" s="3016" cm="1">
        <f t="array" aca="1" ref="M13" ca="1">INDIRECT("'※ 수수료 기준_가입자'!"&amp;M$1&amp;$Y13, TRUE)</f>
        <v>-5716</v>
      </c>
      <c r="N13" s="2173"/>
      <c r="O13" s="2173"/>
      <c r="P13" s="2997"/>
      <c r="Q13" s="3017" cm="1">
        <f t="array" aca="1" ref="Q13" ca="1">INDIRECT("'※ 수수료 기준_가입자'!"&amp;Q$1&amp;$Y13, TRUE)</f>
        <v>-1359</v>
      </c>
      <c r="R13" s="3018" cm="1">
        <f t="array" aca="1" ref="R13" ca="1">INDIRECT("'※ 수수료 기준_가입자'!"&amp;R$1&amp;$Y13, TRUE)</f>
        <v>-1809</v>
      </c>
      <c r="S13" s="3019" cm="1">
        <f t="array" aca="1" ref="S13" ca="1">INDIRECT("'※ 수수료 기준_가입자'!"&amp;S$1&amp;$Y13, TRUE)</f>
        <v>-10073</v>
      </c>
      <c r="T13" s="3001"/>
      <c r="U13" s="2173"/>
      <c r="V13" s="3020" cm="1">
        <f t="array" aca="1" ref="V13" ca="1">INDIRECT("'※ 수수료 기준_가입자'!"&amp;V$1&amp;$Y13, TRUE)</f>
        <v>7993</v>
      </c>
      <c r="W13" s="3021" cm="1">
        <f t="array" aca="1" ref="W13" ca="1">INDIRECT("'※ 수수료 기준_가입자'!"&amp;W$1&amp;$Y13, TRUE)</f>
        <v>-839.41666666666663</v>
      </c>
      <c r="X13" s="3022" cm="1">
        <f t="array" aca="1" ref="X13" ca="1">INDIRECT("'※ 수수료 기준_가입자'!"&amp;X$1&amp;$Y13, TRUE)</f>
        <v>3462.9166666666665</v>
      </c>
      <c r="Y13" s="2988">
        <f>ROW('※ 수수료 기준_가입자'!Y49)</f>
        <v>49</v>
      </c>
    </row>
    <row r="14" spans="1:58" x14ac:dyDescent="0.55000000000000004">
      <c r="A14" s="7180" t="s">
        <v>86</v>
      </c>
      <c r="B14" s="2908" t="s">
        <v>43</v>
      </c>
      <c r="C14" s="2909"/>
      <c r="D14" s="3023" cm="1">
        <f t="array" aca="1" ref="D14" ca="1">INDIRECT("'※ 수수료 기준_가입자'!"&amp;D$1&amp;$Y14, TRUE)</f>
        <v>204798</v>
      </c>
      <c r="E14" s="3024" cm="1">
        <f t="array" aca="1" ref="E14" ca="1">INDIRECT("'※ 수수료 기준_가입자'!"&amp;E$1&amp;$Y14, TRUE)</f>
        <v>157704</v>
      </c>
      <c r="F14" s="3025" cm="1">
        <f t="array" aca="1" ref="F14" ca="1">INDIRECT("'※ 수수료 기준_가입자'!"&amp;F$1&amp;$Y14, TRUE)</f>
        <v>150408</v>
      </c>
      <c r="G14" s="3024" cm="1">
        <f t="array" aca="1" ref="G14" ca="1">INDIRECT("'※ 수수료 기준_가입자'!"&amp;G$1&amp;$Y14, TRUE)</f>
        <v>146972</v>
      </c>
      <c r="H14" s="3024" cm="1">
        <f t="array" aca="1" ref="H14" ca="1">INDIRECT("'※ 수수료 기준_가입자'!"&amp;H$1&amp;$Y14, TRUE)</f>
        <v>144200</v>
      </c>
      <c r="I14" s="3024" cm="1">
        <f t="array" aca="1" ref="I14" ca="1">INDIRECT("'※ 수수료 기준_가입자'!"&amp;I$1&amp;$Y14, TRUE)</f>
        <v>143217</v>
      </c>
      <c r="J14" s="3024" cm="1">
        <f t="array" aca="1" ref="J14" ca="1">INDIRECT("'※ 수수료 기준_가입자'!"&amp;J$1&amp;$Y14, TRUE)</f>
        <v>140264</v>
      </c>
      <c r="K14" s="3024" cm="1">
        <f t="array" aca="1" ref="K14" ca="1">INDIRECT("'※ 수수료 기준_가입자'!"&amp;K$1&amp;$Y14, TRUE)</f>
        <v>138462</v>
      </c>
      <c r="L14" s="3024" cm="1">
        <f t="array" aca="1" ref="L14" ca="1">INDIRECT("'※ 수수료 기준_가입자'!"&amp;L$1&amp;$Y14, TRUE)</f>
        <v>118063</v>
      </c>
      <c r="M14" s="3024" cm="1">
        <f t="array" aca="1" ref="M14" ca="1">INDIRECT("'※ 수수료 기준_가입자'!"&amp;M$1&amp;$Y14, TRUE)</f>
        <v>114565</v>
      </c>
      <c r="N14" s="2173"/>
      <c r="O14" s="2173"/>
      <c r="P14" s="2997"/>
      <c r="Q14" s="3026" cm="1">
        <f t="array" aca="1" ref="Q14" ca="1">INDIRECT("'※ 수수료 기준_가입자'!"&amp;Q$1&amp;$Y14, TRUE)</f>
        <v>-3498</v>
      </c>
      <c r="R14" s="3027" cm="1">
        <f t="array" aca="1" ref="R14" ca="1">INDIRECT("'※ 수수료 기준_가입자'!"&amp;R$1&amp;$Y14, TRUE)</f>
        <v>-35843</v>
      </c>
      <c r="S14" s="3028" cm="1">
        <f t="array" aca="1" ref="S14" ca="1">INDIRECT("'※ 수수료 기준_가입자'!"&amp;S$1&amp;$Y14, TRUE)</f>
        <v>121161</v>
      </c>
      <c r="T14" s="3001"/>
      <c r="U14" s="2173"/>
      <c r="V14" s="3029" cm="1">
        <f t="array" aca="1" ref="V14" ca="1">INDIRECT("'※ 수수료 기준_가입자'!"&amp;V$1&amp;$Y14, TRUE)</f>
        <v>-35843</v>
      </c>
      <c r="W14" s="3030" cm="1">
        <f t="array" aca="1" ref="W14" ca="1">INDIRECT("'※ 수수료 기준_가입자'!"&amp;W$1&amp;$Y14, TRUE)</f>
        <v>116314</v>
      </c>
      <c r="X14" s="3031" cm="1">
        <f t="array" aca="1" ref="X14" ca="1">INDIRECT("'※ 수수료 기준_가입자'!"&amp;X$1&amp;$Y14, TRUE)</f>
        <v>-21966.166666666657</v>
      </c>
      <c r="Y14" s="2988">
        <f>ROW('※ 수수료 기준_가입자'!Y50)</f>
        <v>50</v>
      </c>
    </row>
    <row r="15" spans="1:58" x14ac:dyDescent="0.55000000000000004">
      <c r="A15" s="7181"/>
      <c r="B15" s="1067" t="s">
        <v>57</v>
      </c>
      <c r="C15" s="594"/>
      <c r="D15" s="2994" cm="1">
        <f t="array" aca="1" ref="D15" ca="1">INDIRECT("'※ 수수료 기준_가입자'!"&amp;D$1&amp;$Y15, TRUE)</f>
        <v>42873</v>
      </c>
      <c r="E15" s="2995"/>
      <c r="F15" s="2996" cm="1">
        <f t="array" aca="1" ref="F15" ca="1">INDIRECT("'※ 수수료 기준_가입자'!"&amp;F$1&amp;$Y15, TRUE)</f>
        <v>4840</v>
      </c>
      <c r="G15" s="2995" cm="1">
        <f t="array" aca="1" ref="G15" ca="1">INDIRECT("'※ 수수료 기준_가입자'!"&amp;G$1&amp;$Y15, TRUE)</f>
        <v>4374</v>
      </c>
      <c r="H15" s="2995" cm="1">
        <f t="array" aca="1" ref="H15" ca="1">INDIRECT("'※ 수수료 기준_가입자'!"&amp;H$1&amp;$Y15, TRUE)</f>
        <v>4830</v>
      </c>
      <c r="I15" s="2995" cm="1">
        <f t="array" aca="1" ref="I15" ca="1">INDIRECT("'※ 수수료 기준_가입자'!"&amp;I$1&amp;$Y15, TRUE)</f>
        <v>8532</v>
      </c>
      <c r="J15" s="2995" cm="1">
        <f t="array" aca="1" ref="J15" ca="1">INDIRECT("'※ 수수료 기준_가입자'!"&amp;J$1&amp;$Y15, TRUE)</f>
        <v>5784</v>
      </c>
      <c r="K15" s="2995" cm="1">
        <f t="array" aca="1" ref="K15" ca="1">INDIRECT("'※ 수수료 기준_가입자'!"&amp;K$1&amp;$Y15, TRUE)</f>
        <v>6665</v>
      </c>
      <c r="L15" s="2995" cm="1">
        <f t="array" aca="1" ref="L15" ca="1">INDIRECT("'※ 수수료 기준_가입자'!"&amp;L$1&amp;$Y15, TRUE)</f>
        <v>2777</v>
      </c>
      <c r="M15" s="2995" cm="1">
        <f t="array" aca="1" ref="M15" ca="1">INDIRECT("'※ 수수료 기준_가입자'!"&amp;M$1&amp;$Y15, TRUE)</f>
        <v>2064</v>
      </c>
      <c r="N15" s="2173"/>
      <c r="O15" s="2173"/>
      <c r="P15" s="2997"/>
      <c r="Q15" s="2998" cm="1">
        <f t="array" aca="1" ref="Q15" ca="1">INDIRECT("'※ 수수료 기준_가입자'!"&amp;Q$1&amp;$Y15, TRUE)</f>
        <v>-713</v>
      </c>
      <c r="R15" s="2999" cm="1">
        <f t="array" aca="1" ref="R15" ca="1">INDIRECT("'※ 수수료 기준_가입자'!"&amp;R$1&amp;$Y15, TRUE)</f>
        <v>-2776</v>
      </c>
      <c r="S15" s="3000" cm="1">
        <f t="array" aca="1" ref="S15" ca="1">INDIRECT("'※ 수수료 기준_가입자'!"&amp;S$1&amp;$Y15, TRUE)</f>
        <v>4841</v>
      </c>
      <c r="T15" s="3001"/>
      <c r="U15" s="2173"/>
      <c r="V15" s="3002" cm="1">
        <f t="array" aca="1" ref="V15" ca="1">INDIRECT("'※ 수수료 기준_가입자'!"&amp;V$1&amp;$Y15, TRUE)</f>
        <v>13170</v>
      </c>
      <c r="W15" s="3003" cm="1">
        <f t="array" aca="1" ref="W15" ca="1">INDIRECT("'※ 수수료 기준_가입자'!"&amp;W$1&amp;$Y15, TRUE)</f>
        <v>403.41666666666669</v>
      </c>
      <c r="X15" s="3004" cm="1">
        <f t="array" aca="1" ref="X15" ca="1">INDIRECT("'※ 수수료 기준_가입자'!"&amp;X$1&amp;$Y15, TRUE)</f>
        <v>-4629.5</v>
      </c>
      <c r="Y15" s="2988">
        <f>ROW('※ 수수료 기준_가입자'!Y51)</f>
        <v>51</v>
      </c>
    </row>
    <row r="16" spans="1:58" ht="18" customHeight="1" x14ac:dyDescent="0.55000000000000004">
      <c r="A16" s="7181"/>
      <c r="B16" s="594" t="s">
        <v>47</v>
      </c>
      <c r="C16" s="594"/>
      <c r="D16" s="2994" cm="1">
        <f t="array" aca="1" ref="D16" ca="1">INDIRECT("'※ 수수료 기준_가입자'!"&amp;D$1&amp;$Y16, TRUE)</f>
        <v>25574</v>
      </c>
      <c r="E16" s="2995" cm="1">
        <f t="array" aca="1" ref="E16" ca="1">INDIRECT("'※ 수수료 기준_가입자'!"&amp;E$1&amp;$Y16, TRUE)</f>
        <v>22534</v>
      </c>
      <c r="F16" s="2996" cm="1">
        <f t="array" aca="1" ref="F16" ca="1">INDIRECT("'※ 수수료 기준_가입자'!"&amp;F$1&amp;$Y16, TRUE)</f>
        <v>1740</v>
      </c>
      <c r="G16" s="2995" cm="1">
        <f t="array" aca="1" ref="G16" ca="1">INDIRECT("'※ 수수료 기준_가입자'!"&amp;G$1&amp;$Y16, TRUE)</f>
        <v>1600</v>
      </c>
      <c r="H16" s="2995" cm="1">
        <f t="array" aca="1" ref="H16" ca="1">INDIRECT("'※ 수수료 기준_가입자'!"&amp;H$1&amp;$Y16, TRUE)</f>
        <v>1596</v>
      </c>
      <c r="I16" s="2995" cm="1">
        <f t="array" aca="1" ref="I16" ca="1">INDIRECT("'※ 수수료 기준_가입자'!"&amp;I$1&amp;$Y16, TRUE)</f>
        <v>1369</v>
      </c>
      <c r="J16" s="2995" cm="1">
        <f t="array" aca="1" ref="J16" ca="1">INDIRECT("'※ 수수료 기준_가입자'!"&amp;J$1&amp;$Y16, TRUE)</f>
        <v>1426</v>
      </c>
      <c r="K16" s="2995" cm="1">
        <f t="array" aca="1" ref="K16" ca="1">INDIRECT("'※ 수수료 기준_가입자'!"&amp;K$1&amp;$Y16, TRUE)</f>
        <v>1486</v>
      </c>
      <c r="L16" s="2995" cm="1">
        <f t="array" aca="1" ref="L16" ca="1">INDIRECT("'※ 수수료 기준_가입자'!"&amp;L$1&amp;$Y16, TRUE)</f>
        <v>1915</v>
      </c>
      <c r="M16" s="2995" cm="1">
        <f t="array" aca="1" ref="M16" ca="1">INDIRECT("'※ 수수료 기준_가입자'!"&amp;M$1&amp;$Y16, TRUE)</f>
        <v>1126</v>
      </c>
      <c r="N16" s="2173"/>
      <c r="O16" s="2173"/>
      <c r="P16" s="2997"/>
      <c r="Q16" s="2998" cm="1">
        <f t="array" aca="1" ref="Q16" ca="1">INDIRECT("'※ 수수료 기준_가입자'!"&amp;Q$1&amp;$Y16, TRUE)</f>
        <v>-789</v>
      </c>
      <c r="R16" s="2999" cm="1">
        <f t="array" aca="1" ref="R16" ca="1">INDIRECT("'※ 수수료 기준_가입자'!"&amp;R$1&amp;$Y16, TRUE)</f>
        <v>-614</v>
      </c>
      <c r="S16" s="3000" cm="1">
        <f t="array" aca="1" ref="S16" ca="1">INDIRECT("'※ 수수료 기준_가입자'!"&amp;S$1&amp;$Y16, TRUE)</f>
        <v>3041</v>
      </c>
      <c r="T16" s="3001"/>
      <c r="U16" s="2173"/>
      <c r="V16" s="3002" cm="1">
        <f t="array" aca="1" ref="V16" ca="1">INDIRECT("'※ 수수료 기준_가입자'!"&amp;V$1&amp;$Y16, TRUE)</f>
        <v>-4537</v>
      </c>
      <c r="W16" s="3003" cm="1">
        <f t="array" aca="1" ref="W16" ca="1">INDIRECT("'※ 수수료 기준_가입자'!"&amp;W$1&amp;$Y16, TRUE)</f>
        <v>253.41666666666666</v>
      </c>
      <c r="X16" s="3004" cm="1">
        <f t="array" aca="1" ref="X16" ca="1">INDIRECT("'※ 수수료 기준_가입자'!"&amp;X$1&amp;$Y16, TRUE)</f>
        <v>-1143.4166666666665</v>
      </c>
      <c r="Y16" s="2988">
        <f>ROW('※ 수수료 기준_가입자'!Y52)</f>
        <v>52</v>
      </c>
    </row>
    <row r="17" spans="1:26" ht="18" customHeight="1" x14ac:dyDescent="0.55000000000000004">
      <c r="A17" s="7181"/>
      <c r="B17" s="1550" t="s">
        <v>58</v>
      </c>
      <c r="C17" s="594"/>
      <c r="D17" s="2994" cm="1">
        <f t="array" aca="1" ref="D17" ca="1">INDIRECT("'※ 수수료 기준_가입자'!"&amp;D$1&amp;$Y17, TRUE)</f>
        <v>1990</v>
      </c>
      <c r="E17" s="2995" cm="1">
        <f t="array" aca="1" ref="E17" ca="1">INDIRECT("'※ 수수료 기준_가입자'!"&amp;E$1&amp;$Y17, TRUE)</f>
        <v>1722</v>
      </c>
      <c r="F17" s="2996" cm="1">
        <f t="array" aca="1" ref="F17" ca="1">INDIRECT("'※ 수수료 기준_가입자'!"&amp;F$1&amp;$Y17, TRUE)</f>
        <v>132</v>
      </c>
      <c r="G17" s="2995" cm="1">
        <f t="array" aca="1" ref="G17" ca="1">INDIRECT("'※ 수수료 기준_가입자'!"&amp;G$1&amp;$Y17, TRUE)</f>
        <v>128</v>
      </c>
      <c r="H17" s="2995" cm="1">
        <f t="array" aca="1" ref="H17" ca="1">INDIRECT("'※ 수수료 기준_가입자'!"&amp;H$1&amp;$Y17, TRUE)</f>
        <v>148</v>
      </c>
      <c r="I17" s="2995" cm="1">
        <f t="array" aca="1" ref="I17" ca="1">INDIRECT("'※ 수수료 기준_가입자'!"&amp;I$1&amp;$Y17, TRUE)</f>
        <v>143</v>
      </c>
      <c r="J17" s="2995" cm="1">
        <f t="array" aca="1" ref="J17" ca="1">INDIRECT("'※ 수수료 기준_가입자'!"&amp;J$1&amp;$Y17, TRUE)</f>
        <v>116</v>
      </c>
      <c r="K17" s="2995" cm="1">
        <f t="array" aca="1" ref="K17" ca="1">INDIRECT("'※ 수수료 기준_가입자'!"&amp;K$1&amp;$Y17, TRUE)</f>
        <v>115</v>
      </c>
      <c r="L17" s="2995" cm="1">
        <f t="array" aca="1" ref="L17" ca="1">INDIRECT("'※ 수수료 기준_가입자'!"&amp;L$1&amp;$Y17, TRUE)</f>
        <v>92</v>
      </c>
      <c r="M17" s="2995" cm="1">
        <f t="array" aca="1" ref="M17" ca="1">INDIRECT("'※ 수수료 기준_가입자'!"&amp;M$1&amp;$Y17, TRUE)</f>
        <v>81</v>
      </c>
      <c r="N17" s="2173"/>
      <c r="O17" s="2173"/>
      <c r="P17" s="2997"/>
      <c r="Q17" s="2998" cm="1">
        <f t="array" aca="1" ref="Q17" ca="1">INDIRECT("'※ 수수료 기준_가입자'!"&amp;Q$1&amp;$Y17, TRUE)</f>
        <v>-11</v>
      </c>
      <c r="R17" s="2999" cm="1">
        <f t="array" aca="1" ref="R17" ca="1">INDIRECT("'※ 수수료 기준_가입자'!"&amp;R$1&amp;$Y17, TRUE)</f>
        <v>-51</v>
      </c>
      <c r="S17" s="3000" cm="1">
        <f t="array" aca="1" ref="S17" ca="1">INDIRECT("'※ 수수료 기준_가입자'!"&amp;S$1&amp;$Y17, TRUE)</f>
        <v>173</v>
      </c>
      <c r="T17" s="3001"/>
      <c r="U17" s="2173"/>
      <c r="V17" s="3002" cm="1">
        <f t="array" aca="1" ref="V17" ca="1">INDIRECT("'※ 수수료 기준_가입자'!"&amp;V$1&amp;$Y17, TRUE)</f>
        <v>-280</v>
      </c>
      <c r="W17" s="3003" cm="1">
        <f t="array" aca="1" ref="W17" ca="1">INDIRECT("'※ 수수료 기준_가입자'!"&amp;W$1&amp;$Y17, TRUE)</f>
        <v>14.416666666666666</v>
      </c>
      <c r="X17" s="3004" cm="1">
        <f t="array" aca="1" ref="X17" ca="1">INDIRECT("'※ 수수료 기준_가입자'!"&amp;X$1&amp;$Y17, TRUE)</f>
        <v>-97.416666666666657</v>
      </c>
      <c r="Y17" s="2988">
        <f>ROW('※ 수수료 기준_가입자'!Y53)</f>
        <v>53</v>
      </c>
    </row>
    <row r="18" spans="1:26" ht="18" customHeight="1" x14ac:dyDescent="0.55000000000000004">
      <c r="A18" s="7181"/>
      <c r="B18" s="803" t="s">
        <v>85</v>
      </c>
      <c r="C18" s="803"/>
      <c r="D18" s="3005" cm="1">
        <f t="array" aca="1" ref="D18" ca="1">INDIRECT("'※ 수수료 기준_가입자'!"&amp;D$1&amp;$Y18, TRUE)</f>
        <v>17299</v>
      </c>
      <c r="E18" s="3006" cm="1">
        <f t="array" aca="1" ref="E18" ca="1">INDIRECT("'※ 수수료 기준_가입자'!"&amp;E$1&amp;$Y18, TRUE)</f>
        <v>28322</v>
      </c>
      <c r="F18" s="3007" cm="1">
        <f t="array" aca="1" ref="F18" ca="1">INDIRECT("'※ 수수료 기준_가입자'!"&amp;F$1&amp;$Y18, TRUE)</f>
        <v>3100</v>
      </c>
      <c r="G18" s="3006" cm="1">
        <f t="array" aca="1" ref="G18" ca="1">INDIRECT("'※ 수수료 기준_가입자'!"&amp;G$1&amp;$Y18, TRUE)</f>
        <v>2774</v>
      </c>
      <c r="H18" s="3006" cm="1">
        <f t="array" aca="1" ref="H18" ca="1">INDIRECT("'※ 수수료 기준_가입자'!"&amp;H$1&amp;$Y18, TRUE)</f>
        <v>3234</v>
      </c>
      <c r="I18" s="3006" cm="1">
        <f t="array" aca="1" ref="I18" ca="1">INDIRECT("'※ 수수료 기준_가입자'!"&amp;I$1&amp;$Y18, TRUE)</f>
        <v>7163</v>
      </c>
      <c r="J18" s="3006" cm="1">
        <f t="array" aca="1" ref="J18" ca="1">INDIRECT("'※ 수수료 기준_가입자'!"&amp;J$1&amp;$Y18, TRUE)</f>
        <v>4358</v>
      </c>
      <c r="K18" s="3006" cm="1">
        <f t="array" aca="1" ref="K18" ca="1">INDIRECT("'※ 수수료 기준_가입자'!"&amp;K$1&amp;$Y18, TRUE)</f>
        <v>5179</v>
      </c>
      <c r="L18" s="3006" cm="1">
        <f t="array" aca="1" ref="L18" ca="1">INDIRECT("'※ 수수료 기준_가입자'!"&amp;L$1&amp;$Y18, TRUE)</f>
        <v>862</v>
      </c>
      <c r="M18" s="3006" cm="1">
        <f t="array" aca="1" ref="M18" ca="1">INDIRECT("'※ 수수료 기준_가입자'!"&amp;M$1&amp;$Y18, TRUE)</f>
        <v>938</v>
      </c>
      <c r="N18" s="2173"/>
      <c r="O18" s="2173"/>
      <c r="P18" s="2997"/>
      <c r="Q18" s="3008" cm="1">
        <f t="array" aca="1" ref="Q18" ca="1">INDIRECT("'※ 수수료 기준_가입자'!"&amp;Q$1&amp;$Y18, TRUE)</f>
        <v>76</v>
      </c>
      <c r="R18" s="3009" cm="1">
        <f t="array" aca="1" ref="R18" ca="1">INDIRECT("'※ 수수료 기준_가입자'!"&amp;R$1&amp;$Y18, TRUE)</f>
        <v>-2162</v>
      </c>
      <c r="S18" s="3010" cm="1">
        <f t="array" aca="1" ref="S18" ca="1">INDIRECT("'※ 수수료 기준_가입자'!"&amp;S$1&amp;$Y18, TRUE)</f>
        <v>1800</v>
      </c>
      <c r="T18" s="3001"/>
      <c r="U18" s="2173"/>
      <c r="V18" s="3011" cm="1">
        <f t="array" aca="1" ref="V18" ca="1">INDIRECT("'※ 수수료 기준_가입자'!"&amp;V$1&amp;$Y18, TRUE)</f>
        <v>17711</v>
      </c>
      <c r="W18" s="3012" cm="1">
        <f t="array" aca="1" ref="W18" ca="1">INDIRECT("'※ 수수료 기준_가입자'!"&amp;W$1&amp;$Y18, TRUE)</f>
        <v>150</v>
      </c>
      <c r="X18" s="3013" cm="1">
        <f t="array" aca="1" ref="X18" ca="1">INDIRECT("'※ 수수료 기준_가입자'!"&amp;X$1&amp;$Y18, TRUE)</f>
        <v>-3486.0833333333335</v>
      </c>
      <c r="Y18" s="2988">
        <f>ROW('※ 수수료 기준_가입자'!Y54)</f>
        <v>54</v>
      </c>
    </row>
    <row r="19" spans="1:26" ht="18" customHeight="1" x14ac:dyDescent="0.55000000000000004">
      <c r="A19" s="7181"/>
      <c r="B19" s="594" t="s">
        <v>49</v>
      </c>
      <c r="C19" s="594"/>
      <c r="D19" s="2994" cm="1">
        <f t="array" aca="1" ref="D19" ca="1">INDIRECT("'※ 수수료 기준_가입자'!"&amp;D$1&amp;$Y19, TRUE)</f>
        <v>47638</v>
      </c>
      <c r="E19" s="2995" cm="1">
        <f t="array" aca="1" ref="E19" ca="1">INDIRECT("'※ 수수료 기준_가입자'!"&amp;E$1&amp;$Y19, TRUE)</f>
        <v>71188</v>
      </c>
      <c r="F19" s="2996" cm="1">
        <f t="array" aca="1" ref="F19" ca="1">INDIRECT("'※ 수수료 기준_가입자'!"&amp;F$1&amp;$Y19, TRUE)</f>
        <v>6291</v>
      </c>
      <c r="G19" s="2995" cm="1">
        <f t="array" aca="1" ref="G19" ca="1">INDIRECT("'※ 수수료 기준_가입자'!"&amp;G$1&amp;$Y19, TRUE)</f>
        <v>6210</v>
      </c>
      <c r="H19" s="2995" cm="1">
        <f t="array" aca="1" ref="H19" ca="1">INDIRECT("'※ 수수료 기준_가입자'!"&amp;H$1&amp;$Y19, TRUE)</f>
        <v>6006</v>
      </c>
      <c r="I19" s="2995" cm="1">
        <f t="array" aca="1" ref="I19" ca="1">INDIRECT("'※ 수수료 기준_가입자'!"&amp;I$1&amp;$Y19, TRUE)</f>
        <v>8146</v>
      </c>
      <c r="J19" s="2995" cm="1">
        <f t="array" aca="1" ref="J19" ca="1">INDIRECT("'※ 수수료 기준_가입자'!"&amp;J$1&amp;$Y19, TRUE)</f>
        <v>7311</v>
      </c>
      <c r="K19" s="2995" cm="1">
        <f t="array" aca="1" ref="K19" ca="1">INDIRECT("'※ 수수료 기준_가입자'!"&amp;K$1&amp;$Y19, TRUE)</f>
        <v>6981</v>
      </c>
      <c r="L19" s="2995" cm="1">
        <f t="array" aca="1" ref="L19" ca="1">INDIRECT("'※ 수수료 기준_가입자'!"&amp;L$1&amp;$Y19, TRUE)</f>
        <v>3960</v>
      </c>
      <c r="M19" s="2995" cm="1">
        <f t="array" aca="1" ref="M19" ca="1">INDIRECT("'※ 수수료 기준_가입자'!"&amp;M$1&amp;$Y19, TRUE)</f>
        <v>4436</v>
      </c>
      <c r="N19" s="2173"/>
      <c r="O19" s="2173"/>
      <c r="P19" s="2997"/>
      <c r="Q19" s="2998" cm="1">
        <f t="array" aca="1" ref="Q19" ca="1">INDIRECT("'※ 수수료 기준_가입자'!"&amp;Q$1&amp;$Y19, TRUE)</f>
        <v>476</v>
      </c>
      <c r="R19" s="2999" cm="1">
        <f t="array" aca="1" ref="R19" ca="1">INDIRECT("'※ 수수료 기준_가입자'!"&amp;R$1&amp;$Y19, TRUE)</f>
        <v>-1855</v>
      </c>
      <c r="S19" s="3000" cm="1">
        <f t="array" aca="1" ref="S19" ca="1">INDIRECT("'※ 수수료 기준_가입자'!"&amp;S$1&amp;$Y19, TRUE)</f>
        <v>8396</v>
      </c>
      <c r="T19" s="3001"/>
      <c r="U19" s="2173"/>
      <c r="V19" s="3002" cm="1">
        <f t="array" aca="1" ref="V19" ca="1">INDIRECT("'※ 수수료 기준_가입자'!"&amp;V$1&amp;$Y19, TRUE)</f>
        <v>16701</v>
      </c>
      <c r="W19" s="3003" cm="1">
        <f t="array" aca="1" ref="W19" ca="1">INDIRECT("'※ 수수료 기준_가입자'!"&amp;W$1&amp;$Y19, TRUE)</f>
        <v>699.66666666666663</v>
      </c>
      <c r="X19" s="3004" cm="1">
        <f t="array" aca="1" ref="X19" ca="1">INDIRECT("'※ 수수료 기준_가입자'!"&amp;X$1&amp;$Y19, TRUE)</f>
        <v>-6068.75</v>
      </c>
      <c r="Y19" s="2988">
        <f>ROW('※ 수수료 기준_가입자'!Y55)</f>
        <v>55</v>
      </c>
    </row>
    <row r="20" spans="1:26" ht="18" customHeight="1" x14ac:dyDescent="0.55000000000000004">
      <c r="A20" s="7182"/>
      <c r="B20" s="3032" t="s">
        <v>50</v>
      </c>
      <c r="C20" s="3032"/>
      <c r="D20" s="3033" cm="1">
        <f t="array" aca="1" ref="D20" ca="1">INDIRECT("'※ 수수료 기준_가입자'!"&amp;D$1&amp;$Y20, TRUE)</f>
        <v>-30339</v>
      </c>
      <c r="E20" s="3016" cm="1">
        <f t="array" aca="1" ref="E20" ca="1">INDIRECT("'※ 수수료 기준_가입자'!"&amp;E$1&amp;$Y20, TRUE)</f>
        <v>-42866</v>
      </c>
      <c r="F20" s="3015" cm="1">
        <f t="array" aca="1" ref="F20" ca="1">INDIRECT("'※ 수수료 기준_가입자'!"&amp;F$1&amp;$Y20, TRUE)</f>
        <v>-3191</v>
      </c>
      <c r="G20" s="3016" cm="1">
        <f t="array" aca="1" ref="G20" ca="1">INDIRECT("'※ 수수료 기준_가입자'!"&amp;G$1&amp;$Y20, TRUE)</f>
        <v>-3436</v>
      </c>
      <c r="H20" s="3016" cm="1">
        <f t="array" aca="1" ref="H20" ca="1">INDIRECT("'※ 수수료 기준_가입자'!"&amp;H$1&amp;$Y20, TRUE)</f>
        <v>-2772</v>
      </c>
      <c r="I20" s="3016" cm="1">
        <f t="array" aca="1" ref="I20" ca="1">INDIRECT("'※ 수수료 기준_가입자'!"&amp;I$1&amp;$Y20, TRUE)</f>
        <v>-983</v>
      </c>
      <c r="J20" s="3016" cm="1">
        <f t="array" aca="1" ref="J20" ca="1">INDIRECT("'※ 수수료 기준_가입자'!"&amp;J$1&amp;$Y20, TRUE)</f>
        <v>-2953</v>
      </c>
      <c r="K20" s="3016" cm="1">
        <f t="array" aca="1" ref="K20" ca="1">INDIRECT("'※ 수수료 기준_가입자'!"&amp;K$1&amp;$Y20, TRUE)</f>
        <v>-1802</v>
      </c>
      <c r="L20" s="3016" cm="1">
        <f t="array" aca="1" ref="L20" ca="1">INDIRECT("'※ 수수료 기준_가입자'!"&amp;L$1&amp;$Y20, TRUE)</f>
        <v>-3098</v>
      </c>
      <c r="M20" s="3016" cm="1">
        <f t="array" aca="1" ref="M20" ca="1">INDIRECT("'※ 수수료 기준_가입자'!"&amp;M$1&amp;$Y20, TRUE)</f>
        <v>-3498</v>
      </c>
      <c r="N20" s="2173"/>
      <c r="O20" s="2173"/>
      <c r="P20" s="2997"/>
      <c r="Q20" s="3034" cm="1">
        <f t="array" aca="1" ref="Q20" ca="1">INDIRECT("'※ 수수료 기준_가입자'!"&amp;Q$1&amp;$Y20, TRUE)</f>
        <v>-400</v>
      </c>
      <c r="R20" s="3035" cm="1">
        <f t="array" aca="1" ref="R20" ca="1">INDIRECT("'※ 수수료 기준_가입자'!"&amp;R$1&amp;$Y20, TRUE)</f>
        <v>-307</v>
      </c>
      <c r="S20" s="3036" cm="1">
        <f t="array" aca="1" ref="S20" ca="1">INDIRECT("'※ 수수료 기준_가입자'!"&amp;S$1&amp;$Y20, TRUE)</f>
        <v>-6596</v>
      </c>
      <c r="T20" s="3001"/>
      <c r="U20" s="2173"/>
      <c r="V20" s="3037" cm="1">
        <f t="array" aca="1" ref="V20" ca="1">INDIRECT("'※ 수수료 기준_가입자'!"&amp;V$1&amp;$Y20, TRUE)</f>
        <v>3838</v>
      </c>
      <c r="W20" s="3038" cm="1">
        <f t="array" aca="1" ref="W20" ca="1">INDIRECT("'※ 수수료 기준_가입자'!"&amp;W$1&amp;$Y20, TRUE)</f>
        <v>-549.66666666666663</v>
      </c>
      <c r="X20" s="3039" cm="1">
        <f t="array" aca="1" ref="X20" ca="1">INDIRECT("'※ 수수료 기준_가입자'!"&amp;X$1&amp;$Y20, TRUE)</f>
        <v>2347</v>
      </c>
      <c r="Y20" s="2988">
        <f>ROW('※ 수수료 기준_가입자'!Y56)</f>
        <v>56</v>
      </c>
    </row>
    <row r="21" spans="1:26" ht="18" customHeight="1" x14ac:dyDescent="0.55000000000000004">
      <c r="A21" s="7183" t="s">
        <v>1020</v>
      </c>
      <c r="B21" s="1168" t="s">
        <v>43</v>
      </c>
      <c r="C21" s="867"/>
      <c r="D21" s="3040" cm="1">
        <f t="array" aca="1" ref="D21" ca="1">INDIRECT("'※ 수수료 기준_가입자'!"&amp;D$1&amp;$Y21, TRUE)</f>
        <v>157765</v>
      </c>
      <c r="E21" s="3041" cm="1">
        <f t="array" aca="1" ref="E21" ca="1">INDIRECT("'※ 수수료 기준_가입자'!"&amp;E$1&amp;$Y21, TRUE)</f>
        <v>141966</v>
      </c>
      <c r="F21" s="3042" cm="1">
        <f t="array" aca="1" ref="F21" ca="1">INDIRECT("'※ 수수료 기준_가입자'!"&amp;F$1&amp;$Y21, TRUE)</f>
        <v>138915</v>
      </c>
      <c r="G21" s="3041" cm="1">
        <f t="array" aca="1" ref="G21" ca="1">INDIRECT("'※ 수수료 기준_가입자'!"&amp;G$1&amp;$Y21, TRUE)</f>
        <v>136836</v>
      </c>
      <c r="H21" s="3041" cm="1">
        <f t="array" aca="1" ref="H21" ca="1">INDIRECT("'※ 수수료 기준_가입자'!"&amp;H$1&amp;$Y21, TRUE)</f>
        <v>135724</v>
      </c>
      <c r="I21" s="3041" cm="1">
        <f t="array" aca="1" ref="I21" ca="1">INDIRECT("'※ 수수료 기준_가입자'!"&amp;I$1&amp;$Y21, TRUE)</f>
        <v>136114</v>
      </c>
      <c r="J21" s="3041" cm="1">
        <f t="array" aca="1" ref="J21" ca="1">INDIRECT("'※ 수수료 기준_가입자'!"&amp;J$1&amp;$Y21, TRUE)</f>
        <v>134766</v>
      </c>
      <c r="K21" s="3041" cm="1">
        <f t="array" aca="1" ref="K21" ca="1">INDIRECT("'※ 수수료 기준_가입자'!"&amp;K$1&amp;$Y21, TRUE)</f>
        <v>134689</v>
      </c>
      <c r="L21" s="3041" cm="1">
        <f t="array" aca="1" ref="L21" ca="1">INDIRECT("'※ 수수료 기준_가입자'!"&amp;L$1&amp;$Y21, TRUE)</f>
        <v>125622</v>
      </c>
      <c r="M21" s="3041" cm="1">
        <f t="array" aca="1" ref="M21" ca="1">INDIRECT("'※ 수수료 기준_가입자'!"&amp;M$1&amp;$Y21, TRUE)</f>
        <v>123404</v>
      </c>
      <c r="N21" s="2173"/>
      <c r="O21" s="2173"/>
      <c r="P21" s="2997"/>
      <c r="Q21" s="3043" cm="1">
        <f t="array" aca="1" ref="Q21" ca="1">INDIRECT("'※ 수수료 기준_가입자'!"&amp;Q$1&amp;$Y21, TRUE)</f>
        <v>-2218</v>
      </c>
      <c r="R21" s="3044" cm="1">
        <f t="array" aca="1" ref="R21" ca="1">INDIRECT("'※ 수수료 기준_가입자'!"&amp;R$1&amp;$Y21, TRUE)</f>
        <v>-15511</v>
      </c>
      <c r="S21" s="2558" cm="1">
        <f t="array" aca="1" ref="S21" ca="1">INDIRECT("'※ 수수료 기준_가입자'!"&amp;S$1&amp;$Y21, TRUE)</f>
        <v>126881</v>
      </c>
      <c r="T21" s="3001"/>
      <c r="U21" s="2173"/>
      <c r="V21" s="3045" cm="1">
        <f t="array" aca="1" ref="V21" ca="1">INDIRECT("'※ 수수료 기준_가입자'!"&amp;V$1&amp;$Y21, TRUE)</f>
        <v>-15511</v>
      </c>
      <c r="W21" s="2560" cm="1">
        <f t="array" aca="1" ref="W21" ca="1">INDIRECT("'※ 수수료 기준_가입자'!"&amp;W$1&amp;$Y21, TRUE)</f>
        <v>124513</v>
      </c>
      <c r="X21" s="3046" cm="1">
        <f t="array" aca="1" ref="X21" ca="1">INDIRECT("'※ 수수료 기준_가입자'!"&amp;X$1&amp;$Y21, TRUE)</f>
        <v>-9902.75</v>
      </c>
      <c r="Y21" s="2988">
        <f>ROW('※ 수수료 기준_가입자'!Y57)</f>
        <v>57</v>
      </c>
    </row>
    <row r="22" spans="1:26" ht="18" customHeight="1" x14ac:dyDescent="0.55000000000000004">
      <c r="A22" s="7181"/>
      <c r="B22" s="594" t="s">
        <v>57</v>
      </c>
      <c r="C22" s="594"/>
      <c r="D22" s="2994" cm="1">
        <f t="array" aca="1" ref="D22" ca="1">INDIRECT("'※ 수수료 기준_가입자'!"&amp;D$1&amp;$Y22, TRUE)</f>
        <v>49995</v>
      </c>
      <c r="E22" s="2995" cm="1">
        <f t="array" aca="1" ref="E22" ca="1">INDIRECT("'※ 수수료 기준_가입자'!"&amp;E$1&amp;$Y22, TRUE)</f>
        <v>51663</v>
      </c>
      <c r="F22" s="2996" cm="1">
        <f t="array" aca="1" ref="F22" ca="1">INDIRECT("'※ 수수료 기준_가입자'!"&amp;F$1&amp;$Y22, TRUE)</f>
        <v>5357</v>
      </c>
      <c r="G22" s="2995" cm="1">
        <f t="array" aca="1" ref="G22" ca="1">INDIRECT("'※ 수수료 기준_가입자'!"&amp;G$1&amp;$Y22, TRUE)</f>
        <v>4534</v>
      </c>
      <c r="H22" s="2995" cm="1">
        <f t="array" aca="1" ref="H22" ca="1">INDIRECT("'※ 수수료 기준_가입자'!"&amp;H$1&amp;$Y22, TRUE)</f>
        <v>5002</v>
      </c>
      <c r="I22" s="2995" cm="1">
        <f t="array" aca="1" ref="I22" ca="1">INDIRECT("'※ 수수료 기준_가입자'!"&amp;I$1&amp;$Y22, TRUE)</f>
        <v>8782</v>
      </c>
      <c r="J22" s="2995" cm="1">
        <f t="array" aca="1" ref="J22" ca="1">INDIRECT("'※ 수수료 기준_가입자'!"&amp;J$1&amp;$Y22, TRUE)</f>
        <v>5866</v>
      </c>
      <c r="K22" s="2995" cm="1">
        <f t="array" aca="1" ref="K22" ca="1">INDIRECT("'※ 수수료 기준_가입자'!"&amp;K$1&amp;$Y22, TRUE)</f>
        <v>6867</v>
      </c>
      <c r="L22" s="2995" cm="1">
        <f t="array" aca="1" ref="L22" ca="1">INDIRECT("'※ 수수료 기준_가입자'!"&amp;L$1&amp;$Y22, TRUE)</f>
        <v>3095</v>
      </c>
      <c r="M22" s="2995" cm="1">
        <f t="array" aca="1" ref="M22" ca="1">INDIRECT("'※ 수수료 기준_가입자'!"&amp;M$1&amp;$Y22, TRUE)</f>
        <v>2579</v>
      </c>
      <c r="N22" s="2173"/>
      <c r="O22" s="2173"/>
      <c r="P22" s="2997"/>
      <c r="Q22" s="2998" cm="1">
        <f t="array" aca="1" ref="Q22" ca="1">INDIRECT("'※ 수수료 기준_가입자'!"&amp;Q$1&amp;$Y22, TRUE)</f>
        <v>-516</v>
      </c>
      <c r="R22" s="2999" cm="1">
        <f t="array" aca="1" ref="R22" ca="1">INDIRECT("'※ 수수료 기준_가입자'!"&amp;R$1&amp;$Y22, TRUE)</f>
        <v>-2778</v>
      </c>
      <c r="S22" s="3000" cm="1">
        <f t="array" aca="1" ref="S22" ca="1">INDIRECT("'※ 수수료 기준_가입자'!"&amp;S$1&amp;$Y22, TRUE)</f>
        <v>5674</v>
      </c>
      <c r="T22" s="3001"/>
      <c r="U22" s="2173"/>
      <c r="V22" s="3002" cm="1">
        <f t="array" aca="1" ref="V22" ca="1">INDIRECT("'※ 수수료 기준_가입자'!"&amp;V$1&amp;$Y22, TRUE)</f>
        <v>14705</v>
      </c>
      <c r="W22" s="3003" cm="1">
        <f t="array" aca="1" ref="W22" ca="1">INDIRECT("'※ 수수료 기준_가입자'!"&amp;W$1&amp;$Y22, TRUE)</f>
        <v>472.83333333333331</v>
      </c>
      <c r="X22" s="3004" cm="1">
        <f t="array" aca="1" ref="X22" ca="1">INDIRECT("'※ 수수료 기준_가입자'!"&amp;X$1&amp;$Y22, TRUE)</f>
        <v>-4736.5</v>
      </c>
      <c r="Y22" s="2988">
        <f>ROW('※ 수수료 기준_가입자'!Y58)</f>
        <v>58</v>
      </c>
    </row>
    <row r="23" spans="1:26" ht="18" customHeight="1" x14ac:dyDescent="0.55000000000000004">
      <c r="A23" s="7181"/>
      <c r="B23" s="594" t="s">
        <v>47</v>
      </c>
      <c r="C23" s="594"/>
      <c r="D23" s="2994" cm="1">
        <f t="array" aca="1" ref="D23" ca="1">INDIRECT("'※ 수수료 기준_가입자'!"&amp;D$1&amp;$Y23, TRUE)</f>
        <v>21441</v>
      </c>
      <c r="E23" s="2995" cm="1">
        <f t="array" aca="1" ref="E23" ca="1">INDIRECT("'※ 수수료 기준_가입자'!"&amp;E$1&amp;$Y23, TRUE)</f>
        <v>19732</v>
      </c>
      <c r="F23" s="2996" cm="1">
        <f t="array" aca="1" ref="F23" ca="1">INDIRECT("'※ 수수료 기준_가입자'!"&amp;F$1&amp;$Y23, TRUE)</f>
        <v>1949</v>
      </c>
      <c r="G23" s="2995" cm="1">
        <f t="array" aca="1" ref="G23" ca="1">INDIRECT("'※ 수수료 기준_가입자'!"&amp;G$1&amp;$Y23, TRUE)</f>
        <v>1994</v>
      </c>
      <c r="H23" s="2995" cm="1">
        <f t="array" aca="1" ref="H23" ca="1">INDIRECT("'※ 수수료 기준_가입자'!"&amp;H$1&amp;$Y23, TRUE)</f>
        <v>1963</v>
      </c>
      <c r="I23" s="2995" cm="1">
        <f t="array" aca="1" ref="I23" ca="1">INDIRECT("'※ 수수료 기준_가입자'!"&amp;I$1&amp;$Y23, TRUE)</f>
        <v>1749</v>
      </c>
      <c r="J23" s="2995" cm="1">
        <f t="array" aca="1" ref="J23" ca="1">INDIRECT("'※ 수수료 기준_가입자'!"&amp;J$1&amp;$Y23, TRUE)</f>
        <v>1804</v>
      </c>
      <c r="K23" s="2995" cm="1">
        <f t="array" aca="1" ref="K23" ca="1">INDIRECT("'※ 수수료 기준_가입자'!"&amp;K$1&amp;$Y23, TRUE)</f>
        <v>1656</v>
      </c>
      <c r="L23" s="2995" cm="1">
        <f t="array" aca="1" ref="L23" ca="1">INDIRECT("'※ 수수료 기준_가입자'!"&amp;L$1&amp;$Y23, TRUE)</f>
        <v>2326</v>
      </c>
      <c r="M23" s="2995" cm="1">
        <f t="array" aca="1" ref="M23" ca="1">INDIRECT("'※ 수수료 기준_가입자'!"&amp;M$1&amp;$Y23, TRUE)</f>
        <v>2728</v>
      </c>
      <c r="N23" s="2173"/>
      <c r="O23" s="2173"/>
      <c r="P23" s="2997"/>
      <c r="Q23" s="2998" cm="1">
        <f t="array" aca="1" ref="Q23" ca="1">INDIRECT("'※ 수수료 기준_가입자'!"&amp;Q$1&amp;$Y23, TRUE)</f>
        <v>402</v>
      </c>
      <c r="R23" s="2999" cm="1">
        <f t="array" aca="1" ref="R23" ca="1">INDIRECT("'※ 수수료 기준_가입자'!"&amp;R$1&amp;$Y23, TRUE)</f>
        <v>779</v>
      </c>
      <c r="S23" s="3000" cm="1">
        <f t="array" aca="1" ref="S23" ca="1">INDIRECT("'※ 수수료 기준_가입자'!"&amp;S$1&amp;$Y23, TRUE)</f>
        <v>5054</v>
      </c>
      <c r="T23" s="3001"/>
      <c r="U23" s="2173"/>
      <c r="V23" s="3002" cm="1">
        <f t="array" aca="1" ref="V23" ca="1">INDIRECT("'※ 수수료 기준_가입자'!"&amp;V$1&amp;$Y23, TRUE)</f>
        <v>2494</v>
      </c>
      <c r="W23" s="3003" cm="1">
        <f t="array" aca="1" ref="W23" ca="1">INDIRECT("'※ 수수료 기준_가입자'!"&amp;W$1&amp;$Y23, TRUE)</f>
        <v>421.16666666666669</v>
      </c>
      <c r="X23" s="3004" cm="1">
        <f t="array" aca="1" ref="X23" ca="1">INDIRECT("'※ 수수료 기준_가입자'!"&amp;X$1&amp;$Y23, TRUE)</f>
        <v>-1311.6666666666665</v>
      </c>
      <c r="Y23" s="2988">
        <f>ROW('※ 수수료 기준_가입자'!Y59)</f>
        <v>59</v>
      </c>
    </row>
    <row r="24" spans="1:26" ht="18" customHeight="1" x14ac:dyDescent="0.55000000000000004">
      <c r="A24" s="7181"/>
      <c r="B24" s="1550" t="s">
        <v>58</v>
      </c>
      <c r="C24" s="594"/>
      <c r="D24" s="2994" cm="1">
        <f t="array" aca="1" ref="D24" ca="1">INDIRECT("'※ 수수료 기준_가입자'!"&amp;D$1&amp;$Y24, TRUE)</f>
        <v>1537</v>
      </c>
      <c r="E24" s="2995" cm="1">
        <f t="array" aca="1" ref="E24" ca="1">INDIRECT("'※ 수수료 기준_가입자'!"&amp;E$1&amp;$Y24, TRUE)</f>
        <v>1314</v>
      </c>
      <c r="F24" s="2996" cm="1">
        <f t="array" aca="1" ref="F24" ca="1">INDIRECT("'※ 수수료 기준_가입자'!"&amp;F$1&amp;$Y24, TRUE)</f>
        <v>74</v>
      </c>
      <c r="G24" s="2995" cm="1">
        <f t="array" aca="1" ref="G24" ca="1">INDIRECT("'※ 수수료 기준_가입자'!"&amp;G$1&amp;$Y24, TRUE)</f>
        <v>141</v>
      </c>
      <c r="H24" s="2995" cm="1">
        <f t="array" aca="1" ref="H24" ca="1">INDIRECT("'※ 수수료 기준_가입자'!"&amp;H$1&amp;$Y24, TRUE)</f>
        <v>123</v>
      </c>
      <c r="I24" s="2995" cm="1">
        <f t="array" aca="1" ref="I24" ca="1">INDIRECT("'※ 수수료 기준_가입자'!"&amp;I$1&amp;$Y24, TRUE)</f>
        <v>165</v>
      </c>
      <c r="J24" s="2995" cm="1">
        <f t="array" aca="1" ref="J24" ca="1">INDIRECT("'※ 수수료 기준_가입자'!"&amp;J$1&amp;$Y24, TRUE)</f>
        <v>93</v>
      </c>
      <c r="K24" s="2995" cm="1">
        <f t="array" aca="1" ref="K24" ca="1">INDIRECT("'※ 수수료 기준_가입자'!"&amp;K$1&amp;$Y24, TRUE)</f>
        <v>80</v>
      </c>
      <c r="L24" s="2995" cm="1">
        <f t="array" aca="1" ref="L24" ca="1">INDIRECT("'※ 수수료 기준_가입자'!"&amp;L$1&amp;$Y24, TRUE)</f>
        <v>72</v>
      </c>
      <c r="M24" s="2995" cm="1">
        <f t="array" aca="1" ref="M24" ca="1">INDIRECT("'※ 수수료 기준_가입자'!"&amp;M$1&amp;$Y24, TRUE)</f>
        <v>76</v>
      </c>
      <c r="N24" s="2173"/>
      <c r="O24" s="2173"/>
      <c r="P24" s="2997"/>
      <c r="Q24" s="2998" cm="1">
        <f t="array" aca="1" ref="Q24" ca="1">INDIRECT("'※ 수수료 기준_가입자'!"&amp;Q$1&amp;$Y24, TRUE)</f>
        <v>4</v>
      </c>
      <c r="R24" s="2999" cm="1">
        <f t="array" aca="1" ref="R24" ca="1">INDIRECT("'※ 수수료 기준_가입자'!"&amp;R$1&amp;$Y24, TRUE)</f>
        <v>2</v>
      </c>
      <c r="S24" s="3000" cm="1">
        <f t="array" aca="1" ref="S24" ca="1">INDIRECT("'※ 수수료 기준_가입자'!"&amp;S$1&amp;$Y24, TRUE)</f>
        <v>148</v>
      </c>
      <c r="T24" s="3001"/>
      <c r="U24" s="2173"/>
      <c r="V24" s="3002" cm="1">
        <f t="array" aca="1" ref="V24" ca="1">INDIRECT("'※ 수수료 기준_가입자'!"&amp;V$1&amp;$Y24, TRUE)</f>
        <v>-227</v>
      </c>
      <c r="W24" s="3003" cm="1">
        <f t="array" aca="1" ref="W24" ca="1">INDIRECT("'※ 수수료 기준_가입자'!"&amp;W$1&amp;$Y24, TRUE)</f>
        <v>12.333333333333334</v>
      </c>
      <c r="X24" s="3004" cm="1">
        <f t="array" aca="1" ref="X24" ca="1">INDIRECT("'※ 수수료 기준_가입자'!"&amp;X$1&amp;$Y24, TRUE)</f>
        <v>-72</v>
      </c>
      <c r="Y24" s="2988">
        <f>ROW('※ 수수료 기준_가입자'!Y60)</f>
        <v>60</v>
      </c>
    </row>
    <row r="25" spans="1:26" ht="18" customHeight="1" x14ac:dyDescent="0.55000000000000004">
      <c r="A25" s="7181"/>
      <c r="B25" s="803" t="s">
        <v>85</v>
      </c>
      <c r="C25" s="803"/>
      <c r="D25" s="3005" cm="1">
        <f t="array" aca="1" ref="D25" ca="1">INDIRECT("'※ 수수료 기준_가입자'!"&amp;D$1&amp;$Y25, TRUE)</f>
        <v>28554</v>
      </c>
      <c r="E25" s="3006" cm="1">
        <f t="array" aca="1" ref="E25" ca="1">INDIRECT("'※ 수수료 기준_가입자'!"&amp;E$1&amp;$Y25, TRUE)</f>
        <v>31931</v>
      </c>
      <c r="F25" s="3007" cm="1">
        <f t="array" aca="1" ref="F25" ca="1">INDIRECT("'※ 수수료 기준_가입자'!"&amp;F$1&amp;$Y25, TRUE)</f>
        <v>3102</v>
      </c>
      <c r="G25" s="3006" cm="1">
        <f t="array" aca="1" ref="G25" ca="1">INDIRECT("'※ 수수료 기준_가입자'!"&amp;G$1&amp;$Y25, TRUE)</f>
        <v>2540</v>
      </c>
      <c r="H25" s="3006" cm="1">
        <f t="array" aca="1" ref="H25" ca="1">INDIRECT("'※ 수수료 기준_가입자'!"&amp;H$1&amp;$Y25, TRUE)</f>
        <v>3039</v>
      </c>
      <c r="I25" s="3006" cm="1">
        <f t="array" aca="1" ref="I25" ca="1">INDIRECT("'※ 수수료 기준_가입자'!"&amp;I$1&amp;$Y25, TRUE)</f>
        <v>7033</v>
      </c>
      <c r="J25" s="3006" cm="1">
        <f t="array" aca="1" ref="J25" ca="1">INDIRECT("'※ 수수료 기준_가입자'!"&amp;J$1&amp;$Y25, TRUE)</f>
        <v>4062</v>
      </c>
      <c r="K25" s="3006" cm="1">
        <f t="array" aca="1" ref="K25" ca="1">INDIRECT("'※ 수수료 기준_가입자'!"&amp;K$1&amp;$Y25, TRUE)</f>
        <v>5211</v>
      </c>
      <c r="L25" s="3006" cm="1">
        <f t="array" aca="1" ref="L25" ca="1">INDIRECT("'※ 수수료 기준_가입자'!"&amp;L$1&amp;$Y25, TRUE)</f>
        <v>769</v>
      </c>
      <c r="M25" s="3006" cm="1">
        <f t="array" aca="1" ref="M25" ca="1">INDIRECT("'※ 수수료 기준_가입자'!"&amp;M$1&amp;$Y25, TRUE)</f>
        <v>-149</v>
      </c>
      <c r="N25" s="2173"/>
      <c r="O25" s="2173"/>
      <c r="P25" s="2997"/>
      <c r="Q25" s="3008" cm="1">
        <f t="array" aca="1" ref="Q25" ca="1">INDIRECT("'※ 수수료 기준_가입자'!"&amp;Q$1&amp;$Y25, TRUE)</f>
        <v>-918</v>
      </c>
      <c r="R25" s="3009" cm="1">
        <f t="array" aca="1" ref="R25" ca="1">INDIRECT("'※ 수수료 기준_가입자'!"&amp;R$1&amp;$Y25, TRUE)</f>
        <v>-3251</v>
      </c>
      <c r="S25" s="3010" cm="1">
        <f t="array" aca="1" ref="S25" ca="1">INDIRECT("'※ 수수료 기준_가입자'!"&amp;S$1&amp;$Y25, TRUE)</f>
        <v>620</v>
      </c>
      <c r="T25" s="3001"/>
      <c r="U25" s="2173"/>
      <c r="V25" s="3011" cm="1">
        <f t="array" aca="1" ref="V25" ca="1">INDIRECT("'※ 수수료 기준_가입자'!"&amp;V$1&amp;$Y25, TRUE)</f>
        <v>11897</v>
      </c>
      <c r="W25" s="3012" cm="1">
        <f t="array" aca="1" ref="W25" ca="1">INDIRECT("'※ 수수료 기준_가입자'!"&amp;W$1&amp;$Y25, TRUE)</f>
        <v>51.666666666666664</v>
      </c>
      <c r="X25" s="3013" cm="1">
        <f t="array" aca="1" ref="X25" ca="1">INDIRECT("'※ 수수료 기준_가입자'!"&amp;X$1&amp;$Y25, TRUE)</f>
        <v>-3398.666666666667</v>
      </c>
      <c r="Y25" s="2988">
        <f>ROW('※ 수수료 기준_가입자'!Y61)</f>
        <v>61</v>
      </c>
    </row>
    <row r="26" spans="1:26" ht="18" customHeight="1" x14ac:dyDescent="0.55000000000000004">
      <c r="A26" s="7181"/>
      <c r="B26" s="594" t="s">
        <v>49</v>
      </c>
      <c r="C26" s="594"/>
      <c r="D26" s="2994" cm="1">
        <f t="array" aca="1" ref="D26" ca="1">INDIRECT("'※ 수수료 기준_가입자'!"&amp;D$1&amp;$Y26, TRUE)</f>
        <v>44452</v>
      </c>
      <c r="E26" s="2995" cm="1">
        <f t="array" aca="1" ref="E26" ca="1">INDIRECT("'※ 수수료 기준_가입자'!"&amp;E$1&amp;$Y26, TRUE)</f>
        <v>54999</v>
      </c>
      <c r="F26" s="2996" cm="1">
        <f t="array" aca="1" ref="F26" ca="1">INDIRECT("'※ 수수료 기준_가입자'!"&amp;F$1&amp;$Y26, TRUE)</f>
        <v>4265</v>
      </c>
      <c r="G26" s="2995" cm="1">
        <f t="array" aca="1" ref="G26" ca="1">INDIRECT("'※ 수수료 기준_가입자'!"&amp;G$1&amp;$Y26, TRUE)</f>
        <v>4619</v>
      </c>
      <c r="H26" s="2995" cm="1">
        <f t="array" aca="1" ref="H26" ca="1">INDIRECT("'※ 수수료 기준_가입자'!"&amp;H$1&amp;$Y26, TRUE)</f>
        <v>4151</v>
      </c>
      <c r="I26" s="2995" cm="1">
        <f t="array" aca="1" ref="I26" ca="1">INDIRECT("'※ 수수료 기준_가입자'!"&amp;I$1&amp;$Y26, TRUE)</f>
        <v>6643</v>
      </c>
      <c r="J26" s="2995" cm="1">
        <f t="array" aca="1" ref="J26" ca="1">INDIRECT("'※ 수수료 기준_가입자'!"&amp;J$1&amp;$Y26, TRUE)</f>
        <v>5410</v>
      </c>
      <c r="K26" s="2995" cm="1">
        <f t="array" aca="1" ref="K26" ca="1">INDIRECT("'※ 수수료 기준_가입자'!"&amp;K$1&amp;$Y26, TRUE)</f>
        <v>5288</v>
      </c>
      <c r="L26" s="2995" cm="1">
        <f t="array" aca="1" ref="L26" ca="1">INDIRECT("'※ 수수료 기준_가입자'!"&amp;L$1&amp;$Y26, TRUE)</f>
        <v>2028</v>
      </c>
      <c r="M26" s="2995" cm="1">
        <f t="array" aca="1" ref="M26" ca="1">INDIRECT("'※ 수수료 기준_가입자'!"&amp;M$1&amp;$Y26, TRUE)</f>
        <v>2069</v>
      </c>
      <c r="N26" s="2173"/>
      <c r="O26" s="2173"/>
      <c r="P26" s="2997"/>
      <c r="Q26" s="2998" cm="1">
        <f t="array" aca="1" ref="Q26" ca="1">INDIRECT("'※ 수수료 기준_가입자'!"&amp;Q$1&amp;$Y26, TRUE)</f>
        <v>41</v>
      </c>
      <c r="R26" s="2999" cm="1">
        <f t="array" aca="1" ref="R26" ca="1">INDIRECT("'※ 수수료 기준_가입자'!"&amp;R$1&amp;$Y26, TRUE)</f>
        <v>-2196</v>
      </c>
      <c r="S26" s="3000" cm="1">
        <f t="array" aca="1" ref="S26" ca="1">INDIRECT("'※ 수수료 기준_가입자'!"&amp;S$1&amp;$Y26, TRUE)</f>
        <v>4097</v>
      </c>
      <c r="T26" s="3001"/>
      <c r="U26" s="2173"/>
      <c r="V26" s="3002" cm="1">
        <f t="array" aca="1" ref="V26" ca="1">INDIRECT("'※ 수수료 기준_가입자'!"&amp;V$1&amp;$Y26, TRUE)</f>
        <v>6688</v>
      </c>
      <c r="W26" s="3003" cm="1">
        <f t="array" aca="1" ref="W26" ca="1">INDIRECT("'※ 수수료 기준_가입자'!"&amp;W$1&amp;$Y26, TRUE)</f>
        <v>341.41666666666669</v>
      </c>
      <c r="X26" s="3004" cm="1">
        <f t="array" aca="1" ref="X26" ca="1">INDIRECT("'※ 수수료 기준_가입자'!"&amp;X$1&amp;$Y26, TRUE)</f>
        <v>-4426.75</v>
      </c>
      <c r="Y26" s="2988">
        <f>ROW('※ 수수료 기준_가입자'!Y62)</f>
        <v>62</v>
      </c>
    </row>
    <row r="27" spans="1:26" ht="18" customHeight="1" thickBot="1" x14ac:dyDescent="0.6">
      <c r="A27" s="7184"/>
      <c r="B27" s="3047" t="s">
        <v>50</v>
      </c>
      <c r="C27" s="3047"/>
      <c r="D27" s="3048" cm="1">
        <f t="array" aca="1" ref="D27" ca="1">INDIRECT("'※ 수수료 기준_가입자'!"&amp;D$1&amp;$Y27, TRUE)</f>
        <v>-15898</v>
      </c>
      <c r="E27" s="3049" cm="1">
        <f t="array" aca="1" ref="E27" ca="1">INDIRECT("'※ 수수료 기준_가입자'!"&amp;E$1&amp;$Y27, TRUE)</f>
        <v>-23068</v>
      </c>
      <c r="F27" s="3050" cm="1">
        <f t="array" aca="1" ref="F27" ca="1">INDIRECT("'※ 수수료 기준_가입자'!"&amp;F$1&amp;$Y27, TRUE)</f>
        <v>876</v>
      </c>
      <c r="G27" s="3049" cm="1">
        <f t="array" aca="1" ref="G27" ca="1">INDIRECT("'※ 수수료 기준_가입자'!"&amp;G$1&amp;$Y27, TRUE)</f>
        <v>-2079</v>
      </c>
      <c r="H27" s="3049" cm="1">
        <f t="array" aca="1" ref="H27" ca="1">INDIRECT("'※ 수수료 기준_가입자'!"&amp;H$1&amp;$Y27, TRUE)</f>
        <v>-1112</v>
      </c>
      <c r="I27" s="3049" cm="1">
        <f t="array" aca="1" ref="I27" ca="1">INDIRECT("'※ 수수료 기준_가입자'!"&amp;I$1&amp;$Y27, TRUE)</f>
        <v>390</v>
      </c>
      <c r="J27" s="3049" cm="1">
        <f t="array" aca="1" ref="J27" ca="1">INDIRECT("'※ 수수료 기준_가입자'!"&amp;J$1&amp;$Y27, TRUE)</f>
        <v>-1348</v>
      </c>
      <c r="K27" s="3049" cm="1">
        <f t="array" aca="1" ref="K27" ca="1">INDIRECT("'※ 수수료 기준_가입자'!"&amp;K$1&amp;$Y27, TRUE)</f>
        <v>-77</v>
      </c>
      <c r="L27" s="3049" cm="1">
        <f t="array" aca="1" ref="L27" ca="1">INDIRECT("'※ 수수료 기준_가입자'!"&amp;L$1&amp;$Y27, TRUE)</f>
        <v>-1259</v>
      </c>
      <c r="M27" s="3049" cm="1">
        <f t="array" aca="1" ref="M27" ca="1">INDIRECT("'※ 수수료 기준_가입자'!"&amp;M$1&amp;$Y27, TRUE)</f>
        <v>-2218</v>
      </c>
      <c r="N27" s="3051"/>
      <c r="O27" s="3051"/>
      <c r="P27" s="3052"/>
      <c r="Q27" s="3053" cm="1">
        <f t="array" aca="1" ref="Q27" ca="1">INDIRECT("'※ 수수료 기준_가입자'!"&amp;Q$1&amp;$Y27, TRUE)</f>
        <v>-959</v>
      </c>
      <c r="R27" s="3054" cm="1">
        <f t="array" aca="1" ref="R27" ca="1">INDIRECT("'※ 수수료 기준_가입자'!"&amp;R$1&amp;$Y27, TRUE)</f>
        <v>-3094</v>
      </c>
      <c r="S27" s="3055" cm="1">
        <f t="array" aca="1" ref="S27" ca="1">INDIRECT("'※ 수수료 기준_가입자'!"&amp;S$1&amp;$Y27, TRUE)</f>
        <v>-3477</v>
      </c>
      <c r="T27" s="3056"/>
      <c r="U27" s="3051"/>
      <c r="V27" s="3057" cm="1">
        <f t="array" aca="1" ref="V27" ca="1">INDIRECT("'※ 수수료 기준_가입자'!"&amp;V$1&amp;$Y27, TRUE)</f>
        <v>7530</v>
      </c>
      <c r="W27" s="3058" cm="1">
        <f t="array" aca="1" ref="W27" ca="1">INDIRECT("'※ 수수료 기준_가입자'!"&amp;W$1&amp;$Y27, TRUE)</f>
        <v>-289.75</v>
      </c>
      <c r="X27" s="3059" cm="1">
        <f t="array" aca="1" ref="X27" ca="1">INDIRECT("'※ 수수료 기준_가입자'!"&amp;X$1&amp;$Y27, TRUE)</f>
        <v>834.66666666666674</v>
      </c>
      <c r="Y27" s="2988">
        <f>ROW('※ 수수료 기준_가입자'!Y63)</f>
        <v>63</v>
      </c>
    </row>
    <row r="28" spans="1:26" ht="6" customHeight="1" thickBot="1" x14ac:dyDescent="0.6">
      <c r="A28" s="2771"/>
      <c r="D28" s="898"/>
      <c r="E28" s="581"/>
      <c r="F28" s="699"/>
      <c r="G28" s="898"/>
      <c r="H28" s="898"/>
      <c r="I28" s="898"/>
      <c r="J28" s="898"/>
      <c r="K28" s="898"/>
      <c r="L28" s="898"/>
      <c r="M28" s="898"/>
      <c r="N28" s="3060"/>
      <c r="O28" s="3060"/>
      <c r="P28" s="898"/>
      <c r="Q28" s="898"/>
      <c r="R28" s="898"/>
      <c r="S28" s="581"/>
      <c r="T28" s="581"/>
      <c r="U28" s="581"/>
      <c r="V28" s="581"/>
      <c r="W28" s="581"/>
      <c r="X28" s="581"/>
    </row>
    <row r="29" spans="1:26" ht="18" customHeight="1" thickTop="1" x14ac:dyDescent="0.55000000000000004">
      <c r="A29" s="7188" t="s">
        <v>1032</v>
      </c>
      <c r="B29" s="3061" t="s">
        <v>1033</v>
      </c>
      <c r="C29" s="3062"/>
      <c r="D29" s="3063" cm="1">
        <f t="array" aca="1" ref="D29" ca="1">INDIRECT("'※ 영기팀 작성_가입자'!"&amp;D$1&amp;$Y29, TRUE)</f>
        <v>86193</v>
      </c>
      <c r="E29" s="3064" cm="1">
        <f t="array" aca="1" ref="E29" ca="1">INDIRECT("'※ 영기팀 작성_가입자'!"&amp;E$1&amp;$Y29, TRUE)</f>
        <v>99761</v>
      </c>
      <c r="F29" s="3065">
        <f ca="1">F35+F41</f>
        <v>10184</v>
      </c>
      <c r="G29" s="3064">
        <f ca="1">G35+G41</f>
        <v>8872</v>
      </c>
      <c r="H29" s="3064">
        <f t="shared" ref="H29:K29" ca="1" si="0">H35+H41</f>
        <v>9817</v>
      </c>
      <c r="I29" s="3064">
        <f t="shared" ca="1" si="0"/>
        <v>17314</v>
      </c>
      <c r="J29" s="3064">
        <f t="shared" ca="1" si="0"/>
        <v>11644</v>
      </c>
      <c r="K29" s="3064">
        <f t="shared" ca="1" si="0"/>
        <v>13364</v>
      </c>
      <c r="L29" s="3064">
        <f t="shared" ref="L29" ca="1" si="1">L35+L41</f>
        <v>9275</v>
      </c>
      <c r="M29" s="3064">
        <f t="shared" ref="M29" ca="1" si="2">M35+M41</f>
        <v>7045</v>
      </c>
      <c r="N29" s="3066" cm="1">
        <f t="array" aca="1" ref="N29" ca="1">INDIRECT("'※ 영기팀 작성_가입자'!"&amp;N$1&amp;$Z29, TRUE)</f>
        <v>8550</v>
      </c>
      <c r="O29" s="3066" cm="1">
        <f t="array" aca="1" ref="O29" ca="1">INDIRECT("'※ 영기팀 작성_가입자'!"&amp;O$1&amp;$Z29, TRUE)</f>
        <v>-2898</v>
      </c>
      <c r="P29" s="3067" cm="1">
        <f t="array" aca="1" ref="P29" ca="1">INDIRECT("'※ 영기팀 작성_가입자'!"&amp;P$1&amp;$Z29, TRUE)</f>
        <v>0.71020000000000005</v>
      </c>
      <c r="Q29" s="3068" cm="1">
        <f t="array" aca="1" ref="Q29" ca="1">INDIRECT("'※ 영기팀 작성_가입자'!"&amp;Q$2&amp;$Y29,TRUE)</f>
        <v>-2199</v>
      </c>
      <c r="R29" s="3069" cm="1">
        <f t="array" aca="1" ref="R29" ca="1">INDIRECT("'※ 영기팀 작성_가입자'!"&amp;R$1&amp;$Y29, TRUE)</f>
        <v>-3452</v>
      </c>
      <c r="S29" s="3070" cm="1">
        <f t="array" aca="1" ref="S29" ca="1">INDIRECT("'※ 영기팀 작성_가입자'!"&amp;S$1&amp;$Y29, TRUE)</f>
        <v>16403</v>
      </c>
      <c r="T29" s="3066" cm="1">
        <f t="array" aca="1" ref="T29" ca="1">INDIRECT("'※ 영기팀 작성_가입자'!"&amp;T$1&amp;$Z29, TRUE)</f>
        <v>-4797</v>
      </c>
      <c r="U29" s="3067" cm="1">
        <f t="array" aca="1" ref="U29" ca="1">INDIRECT("'※ 영기팀 작성_가입자'!"&amp;U$1&amp;$Z29, TRUE)</f>
        <v>0.77372641509433959</v>
      </c>
      <c r="V29" s="3071" cm="1">
        <f t="array" aca="1" ref="V29" ca="1">INDIRECT("'※ 영기팀 작성_가입자'!"&amp;V$1&amp;$Y29, TRUE)</f>
        <v>-1299</v>
      </c>
      <c r="W29" s="3072" cm="1">
        <f t="array" aca="1" ref="W29" ca="1">INDIRECT("'※ 영기팀 작성_가입자'!"&amp;W$1&amp;$Y29, TRUE)</f>
        <v>8201.5</v>
      </c>
      <c r="X29" s="3073" cm="1">
        <f t="array" aca="1" ref="X29" ca="1">INDIRECT("'※ 영기팀 작성_가입자'!"&amp;X$1&amp;$Y29, TRUE)</f>
        <v>2226.9166666666679</v>
      </c>
      <c r="Y29" s="2988">
        <f>ROW('※ 영기팀 작성_가입자'!AW140)</f>
        <v>140</v>
      </c>
      <c r="Z29" s="2984">
        <f>ROW('※ 영기팀 작성_가입자'!AI345)</f>
        <v>345</v>
      </c>
    </row>
    <row r="30" spans="1:26" ht="18" customHeight="1" x14ac:dyDescent="0.55000000000000004">
      <c r="A30" s="7189"/>
      <c r="B30" s="1284"/>
      <c r="C30" s="594" t="s">
        <v>19</v>
      </c>
      <c r="D30" s="3074">
        <f t="shared" ref="D30:E32" ca="1" si="3">D36+D46</f>
        <v>33874</v>
      </c>
      <c r="E30" s="3075">
        <f t="shared" ca="1" si="3"/>
        <v>39817</v>
      </c>
      <c r="F30" s="3076">
        <f t="shared" ref="F30:K30" ca="1" si="4">F36+F46</f>
        <v>4919</v>
      </c>
      <c r="G30" s="3075">
        <f t="shared" ca="1" si="4"/>
        <v>3745</v>
      </c>
      <c r="H30" s="3075">
        <f ca="1">H36+H46</f>
        <v>4421</v>
      </c>
      <c r="I30" s="3075">
        <f t="shared" ca="1" si="4"/>
        <v>7562.9999999999991</v>
      </c>
      <c r="J30" s="3075">
        <f t="shared" ca="1" si="4"/>
        <v>4089</v>
      </c>
      <c r="K30" s="3075">
        <f t="shared" ca="1" si="4"/>
        <v>5722</v>
      </c>
      <c r="L30" s="3075">
        <f t="shared" ref="L30" ca="1" si="5">L36+L46</f>
        <v>3860</v>
      </c>
      <c r="M30" s="3075">
        <f t="shared" ref="M30" ca="1" si="6">M36+M46</f>
        <v>2598</v>
      </c>
      <c r="N30" s="3002" cm="1">
        <f t="array" aca="1" ref="N30" ca="1">INDIRECT("'※ 영기팀 작성_가입자'!"&amp;N$1&amp;$Z30, TRUE)</f>
        <v>3000</v>
      </c>
      <c r="O30" s="3002" cm="1">
        <f t="array" aca="1" ref="O30" ca="1">INDIRECT("'※ 영기팀 작성_가입자'!"&amp;O$1&amp;$Z30, TRUE)</f>
        <v>-902</v>
      </c>
      <c r="P30" s="3077" cm="1">
        <f t="array" aca="1" ref="P30" ca="1">INDIRECT("'※ 영기팀 작성_가입자'!"&amp;P$1&amp;$Z30, TRUE)</f>
        <v>0.74228571428571433</v>
      </c>
      <c r="Q30" s="3078" cm="1">
        <f t="array" aca="1" ref="Q30" ca="1">INDIRECT("'※ 영기팀 작성_가입자'!"&amp;Q$2&amp;$Y30,TRUE)</f>
        <v>-1262</v>
      </c>
      <c r="R30" s="3079" cm="1">
        <f t="array" aca="1" ref="R30" ca="1">INDIRECT("'※ 영기팀 작성_가입자'!"&amp;R$2&amp;$Y30,TRUE)</f>
        <v>-2321</v>
      </c>
      <c r="S30" s="3080">
        <f ca="1">S36+S46</f>
        <v>6458</v>
      </c>
      <c r="T30" s="3002" cm="1">
        <f t="array" aca="1" ref="T30" ca="1">INDIRECT("'※ 영기팀 작성_가입자'!"&amp;T$1&amp;$Z30, TRUE)</f>
        <v>-1042</v>
      </c>
      <c r="U30" s="3077" cm="1">
        <f t="array" aca="1" ref="U30" ca="1">INDIRECT("'※ 영기팀 작성_가입자'!"&amp;U$1&amp;$Z30, TRUE)</f>
        <v>0.86106666666666665</v>
      </c>
      <c r="V30" s="3081">
        <f t="shared" ref="V30:X32" ca="1" si="7">V36+V46</f>
        <v>-954</v>
      </c>
      <c r="W30" s="2691">
        <f t="shared" ca="1" si="7"/>
        <v>3229</v>
      </c>
      <c r="X30" s="3082">
        <f t="shared" ca="1" si="7"/>
        <v>769.41666666666652</v>
      </c>
      <c r="Y30" s="2988">
        <f>ROW('※ 영기팀 작성_가입자'!AW147)</f>
        <v>147</v>
      </c>
      <c r="Z30" s="2984">
        <f>ROW('※ 영기팀 작성_가입자'!AI346)</f>
        <v>346</v>
      </c>
    </row>
    <row r="31" spans="1:26" ht="18" customHeight="1" x14ac:dyDescent="0.55000000000000004">
      <c r="A31" s="7189"/>
      <c r="B31" s="1284"/>
      <c r="C31" s="594" t="s">
        <v>939</v>
      </c>
      <c r="D31" s="3074">
        <f ca="1">D37+D47</f>
        <v>12391</v>
      </c>
      <c r="E31" s="3075">
        <f t="shared" ca="1" si="3"/>
        <v>13384</v>
      </c>
      <c r="F31" s="3076">
        <f t="shared" ref="F31:K31" ca="1" si="8">F37+F47</f>
        <v>811</v>
      </c>
      <c r="G31" s="3075">
        <f t="shared" ca="1" si="8"/>
        <v>1119</v>
      </c>
      <c r="H31" s="3075">
        <f t="shared" ca="1" si="8"/>
        <v>1194</v>
      </c>
      <c r="I31" s="3075">
        <f t="shared" ca="1" si="8"/>
        <v>1475</v>
      </c>
      <c r="J31" s="3075">
        <f t="shared" ca="1" si="8"/>
        <v>1163</v>
      </c>
      <c r="K31" s="3075">
        <f t="shared" ca="1" si="8"/>
        <v>1714</v>
      </c>
      <c r="L31" s="3075">
        <f t="shared" ref="L31" ca="1" si="9">L37+L47</f>
        <v>1176</v>
      </c>
      <c r="M31" s="3075">
        <f t="shared" ref="M31" ca="1" si="10">M37+M47</f>
        <v>1383</v>
      </c>
      <c r="N31" s="3002" cm="1">
        <f t="array" aca="1" ref="N31" ca="1">INDIRECT("'※ 영기팀 작성_가입자'!"&amp;N$1&amp;$Z31, TRUE)</f>
        <v>1500</v>
      </c>
      <c r="O31" s="3002" cm="1">
        <f t="array" aca="1" ref="O31" ca="1">INDIRECT("'※ 영기팀 작성_가입자'!"&amp;O$1&amp;$Z31, TRUE)</f>
        <v>-117</v>
      </c>
      <c r="P31" s="3077" cm="1">
        <f t="array" aca="1" ref="P31" ca="1">INDIRECT("'※ 영기팀 작성_가입자'!"&amp;P$1&amp;$Z31, TRUE)</f>
        <v>0.92200000000000004</v>
      </c>
      <c r="Q31" s="3078" cm="1">
        <f t="array" aca="1" ref="Q31" ca="1">INDIRECT("'※ 영기팀 작성_가입자'!"&amp;Q$2&amp;$Y31,TRUE)</f>
        <v>207</v>
      </c>
      <c r="R31" s="3079" cm="1">
        <f t="array" aca="1" ref="R31" ca="1">INDIRECT("'※ 영기팀 작성_가입자'!"&amp;R$2&amp;$Y31,TRUE)</f>
        <v>572</v>
      </c>
      <c r="S31" s="3080">
        <f ca="1">S37+S47</f>
        <v>2559</v>
      </c>
      <c r="T31" s="3002" cm="1">
        <f t="array" aca="1" ref="T31" ca="1">INDIRECT("'※ 영기팀 작성_가입자'!"&amp;T$1&amp;$Z31, TRUE)</f>
        <v>-641</v>
      </c>
      <c r="U31" s="3077" cm="1">
        <f t="array" aca="1" ref="U31" ca="1">INDIRECT("'※ 영기팀 작성_가입자'!"&amp;U$1&amp;$Z31, TRUE)</f>
        <v>0.7996875</v>
      </c>
      <c r="V31" s="3081">
        <f t="shared" ca="1" si="7"/>
        <v>921</v>
      </c>
      <c r="W31" s="2691">
        <f t="shared" ca="1" si="7"/>
        <v>1279.5</v>
      </c>
      <c r="X31" s="3082">
        <f t="shared" ca="1" si="7"/>
        <v>-59.916666666666686</v>
      </c>
      <c r="Y31" s="2988">
        <f>ROW('※ 영기팀 작성_가입자'!AW148)</f>
        <v>148</v>
      </c>
      <c r="Z31" s="2984">
        <f>ROW('※ 영기팀 작성_가입자'!AI347)</f>
        <v>347</v>
      </c>
    </row>
    <row r="32" spans="1:26" ht="18" customHeight="1" x14ac:dyDescent="0.55000000000000004">
      <c r="A32" s="7189"/>
      <c r="B32" s="1284"/>
      <c r="C32" s="594" t="s">
        <v>20</v>
      </c>
      <c r="D32" s="3074">
        <f t="shared" ca="1" si="3"/>
        <v>31901</v>
      </c>
      <c r="E32" s="3075">
        <f t="shared" ca="1" si="3"/>
        <v>39552</v>
      </c>
      <c r="F32" s="3076">
        <f t="shared" ref="F32:K32" ca="1" si="11">F38+F48</f>
        <v>4420</v>
      </c>
      <c r="G32" s="3075">
        <f t="shared" ca="1" si="11"/>
        <v>3884</v>
      </c>
      <c r="H32" s="3075">
        <f t="shared" ca="1" si="11"/>
        <v>4016</v>
      </c>
      <c r="I32" s="3075">
        <f t="shared" ca="1" si="11"/>
        <v>7752</v>
      </c>
      <c r="J32" s="3075">
        <f t="shared" ca="1" si="11"/>
        <v>6076</v>
      </c>
      <c r="K32" s="3075">
        <f t="shared" ca="1" si="11"/>
        <v>5412</v>
      </c>
      <c r="L32" s="3075">
        <f t="shared" ref="L32" ca="1" si="12">L38+L48</f>
        <v>3989</v>
      </c>
      <c r="M32" s="3075">
        <f t="shared" ref="M32" ca="1" si="13">M38+M48</f>
        <v>2832</v>
      </c>
      <c r="N32" s="3002" cm="1">
        <f t="array" aca="1" ref="N32" ca="1">INDIRECT("'※ 영기팀 작성_가입자'!"&amp;N$1&amp;$Z32, TRUE)</f>
        <v>3800</v>
      </c>
      <c r="O32" s="3002" cm="1">
        <f t="array" aca="1" ref="O32" ca="1">INDIRECT("'※ 영기팀 작성_가입자'!"&amp;O$1&amp;$Z32, TRUE)</f>
        <v>-1168</v>
      </c>
      <c r="P32" s="3077" cm="1">
        <f t="array" aca="1" ref="P32" ca="1">INDIRECT("'※ 영기팀 작성_가입자'!"&amp;P$1&amp;$Z32, TRUE)</f>
        <v>0.70799999999999996</v>
      </c>
      <c r="Q32" s="3078" cm="1">
        <f t="array" aca="1" ref="Q32" ca="1">INDIRECT("'※ 영기팀 작성_가입자'!"&amp;Q$2&amp;$Y32,TRUE)</f>
        <v>-1157</v>
      </c>
      <c r="R32" s="3079" cm="1">
        <f t="array" aca="1" ref="R32" ca="1">INDIRECT("'※ 영기팀 작성_가입자'!"&amp;R$2&amp;$Y32,TRUE)</f>
        <v>-1588</v>
      </c>
      <c r="S32" s="3080">
        <f ca="1">S38+S48</f>
        <v>6821</v>
      </c>
      <c r="T32" s="3002" cm="1">
        <f t="array" aca="1" ref="T32" ca="1">INDIRECT("'※ 영기팀 작성_가입자'!"&amp;T$1&amp;$Z32, TRUE)</f>
        <v>-1679</v>
      </c>
      <c r="U32" s="3077" cm="1">
        <f t="array" aca="1" ref="U32" ca="1">INDIRECT("'※ 영기팀 작성_가입자'!"&amp;U$1&amp;$Z32, TRUE)</f>
        <v>0.80247058823529416</v>
      </c>
      <c r="V32" s="3081">
        <f t="shared" ca="1" si="7"/>
        <v>-1064</v>
      </c>
      <c r="W32" s="2691">
        <f t="shared" ca="1" si="7"/>
        <v>3410.5</v>
      </c>
      <c r="X32" s="3082">
        <f t="shared" ca="1" si="7"/>
        <v>1224.9166666666665</v>
      </c>
      <c r="Y32" s="2988">
        <f>ROW('※ 영기팀 작성_가입자'!AW149)</f>
        <v>149</v>
      </c>
      <c r="Z32" s="2984">
        <f>ROW('※ 영기팀 작성_가입자'!AI348)</f>
        <v>348</v>
      </c>
    </row>
    <row r="33" spans="1:26" ht="18" customHeight="1" x14ac:dyDescent="0.55000000000000004">
      <c r="A33" s="7189"/>
      <c r="B33" s="1284"/>
      <c r="C33" s="886" t="s">
        <v>875</v>
      </c>
      <c r="D33" s="3074">
        <f ca="1">D39+D50</f>
        <v>598</v>
      </c>
      <c r="E33" s="3075">
        <f ca="1">E39+E50</f>
        <v>594</v>
      </c>
      <c r="F33" s="3076">
        <f t="shared" ref="F33:K33" ca="1" si="14">F39+F49</f>
        <v>34</v>
      </c>
      <c r="G33" s="3075">
        <f t="shared" ca="1" si="14"/>
        <v>124</v>
      </c>
      <c r="H33" s="3075">
        <f t="shared" ca="1" si="14"/>
        <v>186</v>
      </c>
      <c r="I33" s="3075">
        <f t="shared" ca="1" si="14"/>
        <v>524</v>
      </c>
      <c r="J33" s="3075">
        <f t="shared" ca="1" si="14"/>
        <v>316</v>
      </c>
      <c r="K33" s="3075">
        <f t="shared" ca="1" si="14"/>
        <v>516</v>
      </c>
      <c r="L33" s="3075">
        <f t="shared" ref="L33" ca="1" si="15">L39+L49</f>
        <v>250</v>
      </c>
      <c r="M33" s="3075">
        <f t="shared" ref="M33" ca="1" si="16">M39+M49</f>
        <v>232</v>
      </c>
      <c r="N33" s="3002" cm="1">
        <f t="array" aca="1" ref="N33" ca="1">INDIRECT("'※ 영기팀 작성_가입자'!"&amp;N$1&amp;$Z33, TRUE)</f>
        <v>250</v>
      </c>
      <c r="O33" s="3002" cm="1">
        <f t="array" aca="1" ref="O33" ca="1">INDIRECT("'※ 영기팀 작성_가입자'!"&amp;O$1&amp;$Z33, TRUE)</f>
        <v>-768</v>
      </c>
      <c r="P33" s="3077" cm="1">
        <f t="array" aca="1" ref="P33" ca="1">INDIRECT("'※ 영기팀 작성_가입자'!"&amp;P$1&amp;$Z33, TRUE)</f>
        <v>0.23200000000000001</v>
      </c>
      <c r="Q33" s="3078" cm="1">
        <f t="array" aca="1" ref="Q33" ca="1">INDIRECT("'※ 영기팀 작성_가입자'!"&amp;Q$2&amp;$Y33,TRUE)</f>
        <v>-18</v>
      </c>
      <c r="R33" s="3079" cm="1">
        <f t="array" aca="1" ref="R33" ca="1">INDIRECT("'※ 영기팀 작성_가입자'!"&amp;R$2&amp;$Y33,TRUE)</f>
        <v>198</v>
      </c>
      <c r="S33" s="3080">
        <f ca="1">S39+S50</f>
        <v>283</v>
      </c>
      <c r="T33" s="3002" cm="1">
        <f t="array" aca="1" ref="T33" ca="1">INDIRECT("'※ 영기팀 작성_가입자'!"&amp;T$1&amp;$Z33, TRUE)</f>
        <v>-1518</v>
      </c>
      <c r="U33" s="3077" cm="1">
        <f t="array" aca="1" ref="U33" ca="1">INDIRECT("'※ 영기팀 작성_가입자'!"&amp;U$1&amp;$Z33, TRUE)</f>
        <v>0.24099999999999999</v>
      </c>
      <c r="V33" s="3081">
        <f t="shared" ref="V33:X34" ca="1" si="17">V39+V50</f>
        <v>237</v>
      </c>
      <c r="W33" s="2691">
        <f t="shared" ca="1" si="17"/>
        <v>141.5</v>
      </c>
      <c r="X33" s="3082">
        <f t="shared" ca="1" si="17"/>
        <v>92.333333333333343</v>
      </c>
      <c r="Y33" s="2988">
        <f>ROW('※ 영기팀 작성_가입자'!AW150)</f>
        <v>150</v>
      </c>
      <c r="Z33" s="2984">
        <f>ROW('※ 영기팀 작성_가입자'!AI349)</f>
        <v>349</v>
      </c>
    </row>
    <row r="34" spans="1:26" ht="18" hidden="1" customHeight="1" x14ac:dyDescent="0.55000000000000004">
      <c r="A34" s="7189"/>
      <c r="B34" s="1284"/>
      <c r="C34" s="886" t="s">
        <v>22</v>
      </c>
      <c r="D34" s="3074">
        <f>D40+D51</f>
        <v>0</v>
      </c>
      <c r="E34" s="3075">
        <f>E40+E51</f>
        <v>0</v>
      </c>
      <c r="F34" s="3076">
        <f t="shared" ref="F34:K34" si="18">F40+F51</f>
        <v>0</v>
      </c>
      <c r="G34" s="3075">
        <f t="shared" si="18"/>
        <v>0</v>
      </c>
      <c r="H34" s="3075">
        <f t="shared" si="18"/>
        <v>0</v>
      </c>
      <c r="I34" s="3075">
        <f t="shared" si="18"/>
        <v>0</v>
      </c>
      <c r="J34" s="3075">
        <f t="shared" si="18"/>
        <v>0</v>
      </c>
      <c r="K34" s="3075">
        <f t="shared" si="18"/>
        <v>0</v>
      </c>
      <c r="L34" s="3075">
        <f t="shared" ref="L34" si="19">L40+L51</f>
        <v>0</v>
      </c>
      <c r="M34" s="3075">
        <f t="shared" ref="M34" si="20">M40+M51</f>
        <v>0</v>
      </c>
      <c r="N34" s="3002" t="e" cm="1">
        <f t="array" aca="1" ref="N34" ca="1">INDIRECT("'※ 영기팀 작성_가입자'!"&amp;N$1&amp;$Z34, TRUE)</f>
        <v>#REF!</v>
      </c>
      <c r="O34" s="3002" t="e" cm="1">
        <f t="array" aca="1" ref="O34" ca="1">INDIRECT("'※ 영기팀 작성_가입자'!"&amp;O$1&amp;$Z34, TRUE)</f>
        <v>#REF!</v>
      </c>
      <c r="P34" s="3077" t="e" cm="1">
        <f t="array" aca="1" ref="P34" ca="1">INDIRECT("'※ 영기팀 작성_가입자'!"&amp;P$1&amp;$Z34, TRUE)</f>
        <v>#REF!</v>
      </c>
      <c r="Q34" s="3078" cm="1">
        <f t="array" aca="1" ref="Q34" ca="1">INDIRECT("'※ 영기팀 작성_가입자'!"&amp;Q$2&amp;$Y34,TRUE)</f>
        <v>-175</v>
      </c>
      <c r="R34" s="3079" cm="1">
        <f t="array" aca="1" ref="R34" ca="1">INDIRECT("'※ 영기팀 작성_가입자'!"&amp;R$2&amp;$Y34,TRUE)</f>
        <v>-350</v>
      </c>
      <c r="S34" s="3080">
        <f>S40+S51</f>
        <v>0</v>
      </c>
      <c r="T34" s="3002" t="e" cm="1">
        <f t="array" aca="1" ref="T34" ca="1">INDIRECT("'※ 영기팀 작성_가입자'!"&amp;T$1&amp;$Z34, TRUE)</f>
        <v>#REF!</v>
      </c>
      <c r="U34" s="3077" t="e" cm="1">
        <f t="array" aca="1" ref="U34" ca="1">INDIRECT("'※ 영기팀 작성_가입자'!"&amp;U$1&amp;$Z34, TRUE)</f>
        <v>#REF!</v>
      </c>
      <c r="V34" s="3081">
        <f t="shared" si="17"/>
        <v>0</v>
      </c>
      <c r="W34" s="2691">
        <f t="shared" si="17"/>
        <v>0</v>
      </c>
      <c r="X34" s="3082">
        <f t="shared" si="17"/>
        <v>0</v>
      </c>
      <c r="Y34" s="2988">
        <f>ROW('※ 영기팀 작성_가입자'!AW152)</f>
        <v>152</v>
      </c>
      <c r="Z34" s="2984" t="e">
        <f>ROW('※ 영기팀 작성_가입자'!#REF!)</f>
        <v>#REF!</v>
      </c>
    </row>
    <row r="35" spans="1:26" ht="18" customHeight="1" x14ac:dyDescent="0.55000000000000004">
      <c r="A35" s="7190"/>
      <c r="B35" s="3083" t="s">
        <v>89</v>
      </c>
      <c r="C35" s="3084"/>
      <c r="D35" s="1340">
        <f ca="1">SUM(D36:D39)</f>
        <v>39357</v>
      </c>
      <c r="E35" s="1341">
        <f ca="1">SUM(E36:E39)</f>
        <v>46226</v>
      </c>
      <c r="F35" s="3085">
        <f t="shared" ref="F35" ca="1" si="21">SUM(F36:F39)</f>
        <v>4834</v>
      </c>
      <c r="G35" s="1341">
        <f t="shared" ref="G35:K35" ca="1" si="22">SUM(G36:G39)</f>
        <v>4355</v>
      </c>
      <c r="H35" s="1341">
        <f t="shared" ca="1" si="22"/>
        <v>4818</v>
      </c>
      <c r="I35" s="1341">
        <f t="shared" ca="1" si="22"/>
        <v>8532</v>
      </c>
      <c r="J35" s="1341">
        <f t="shared" ca="1" si="22"/>
        <v>5781</v>
      </c>
      <c r="K35" s="1341">
        <f t="shared" ca="1" si="22"/>
        <v>6583</v>
      </c>
      <c r="L35" s="1341">
        <f t="shared" ref="L35:M35" ca="1" si="23">SUM(L36:L39)</f>
        <v>4127</v>
      </c>
      <c r="M35" s="1341">
        <f t="shared" ca="1" si="23"/>
        <v>2990</v>
      </c>
      <c r="N35" s="3086"/>
      <c r="O35" s="3086"/>
      <c r="P35" s="3086"/>
      <c r="Q35" s="3087" cm="1">
        <f t="array" aca="1" ref="Q35" ca="1">INDIRECT("'※ 영기팀 작성_가입자'!"&amp;Q$2&amp;$Y35,TRUE)</f>
        <v>-1130</v>
      </c>
      <c r="R35" s="3088" cm="1">
        <f t="array" aca="1" ref="R35" ca="1">INDIRECT("'※ 영기팀 작성_가입자'!"&amp;R$2&amp;$Y35,TRUE)</f>
        <v>-1823</v>
      </c>
      <c r="S35" s="3089">
        <f ca="1">SUM(S36:S39)</f>
        <v>7117</v>
      </c>
      <c r="T35" s="3086"/>
      <c r="U35" s="3086"/>
      <c r="V35" s="3090">
        <f ca="1">SUM(V36:V39)</f>
        <v>-1098</v>
      </c>
      <c r="W35" s="3091">
        <f ca="1">SUM(W36:W39)</f>
        <v>3558.5</v>
      </c>
      <c r="X35" s="3092">
        <f ca="1">SUM(X36:X39)</f>
        <v>1020.4166666666665</v>
      </c>
      <c r="Y35" s="2988">
        <f>ROW('※ 영기팀 작성_가입자'!AW141)</f>
        <v>141</v>
      </c>
    </row>
    <row r="36" spans="1:26" ht="18" customHeight="1" x14ac:dyDescent="0.55000000000000004">
      <c r="A36" s="7190"/>
      <c r="B36" s="1284"/>
      <c r="C36" s="594" t="s">
        <v>19</v>
      </c>
      <c r="D36" s="3074" cm="1">
        <f t="array" aca="1" ref="D36" ca="1">INDIRECT("'※ 영기팀 작성_가입자'!"&amp;D$1&amp;$Y36, TRUE)</f>
        <v>15859</v>
      </c>
      <c r="E36" s="3075" cm="1">
        <f t="array" aca="1" ref="E36" ca="1">INDIRECT("'※ 영기팀 작성_가입자'!"&amp;E$1&amp;$Y36, TRUE)</f>
        <v>18230</v>
      </c>
      <c r="F36" s="3076" cm="1">
        <f t="array" aca="1" ref="F36" ca="1">INDIRECT("'※ 영기팀 작성_가입자'!"&amp;F$1&amp;$Y36, TRUE)</f>
        <v>2200</v>
      </c>
      <c r="G36" s="3075" cm="1">
        <f t="array" aca="1" ref="G36" ca="1">INDIRECT("'※ 영기팀 작성_가입자'!"&amp;G$1&amp;$Y36, TRUE)</f>
        <v>1692</v>
      </c>
      <c r="H36" s="3075" cm="1">
        <f t="array" aca="1" ref="H36" ca="1">INDIRECT("'※ 영기팀 작성_가입자'!"&amp;H$1&amp;$Y36, TRUE)</f>
        <v>2007</v>
      </c>
      <c r="I36" s="3075" cm="1">
        <f t="array" aca="1" ref="I36" ca="1">INDIRECT("'※ 영기팀 작성_가입자'!"&amp;I$1&amp;$Y36, TRUE)</f>
        <v>3633.9999999999995</v>
      </c>
      <c r="J36" s="3075" cm="1">
        <f t="array" aca="1" ref="J36" ca="1">INDIRECT("'※ 영기팀 작성_가입자'!"&amp;J$1&amp;$Y36, TRUE)</f>
        <v>1880.9999999999998</v>
      </c>
      <c r="K36" s="3075" cm="1">
        <f t="array" aca="1" ref="K36" ca="1">INDIRECT("'※ 영기팀 작성_가입자'!"&amp;K$1&amp;$Y36, TRUE)</f>
        <v>2673</v>
      </c>
      <c r="L36" s="3075" cm="1">
        <f t="array" aca="1" ref="L36" ca="1">INDIRECT("'※ 영기팀 작성_가입자'!"&amp;L$1&amp;$Y36, TRUE)</f>
        <v>1642</v>
      </c>
      <c r="M36" s="3075" cm="1">
        <f t="array" aca="1" ref="M36" ca="1">INDIRECT("'※ 영기팀 작성_가입자'!"&amp;M$1&amp;$Y36, TRUE)</f>
        <v>1098</v>
      </c>
      <c r="N36" s="3086"/>
      <c r="O36" s="3086"/>
      <c r="P36" s="3086"/>
      <c r="Q36" s="3078" cm="1">
        <f t="array" aca="1" ref="Q36" ca="1">INDIRECT("'※ 영기팀 작성_가입자'!"&amp;Q$2&amp;$Y36,TRUE)</f>
        <v>-544</v>
      </c>
      <c r="R36" s="3079" cm="1">
        <f t="array" aca="1" ref="R36" ca="1">INDIRECT("'※ 영기팀 작성_가입자'!"&amp;R$2&amp;$Y36,TRUE)</f>
        <v>-1102</v>
      </c>
      <c r="S36" s="3080" cm="1">
        <f t="array" aca="1" ref="S36" ca="1">INDIRECT("'※ 영기팀 작성_가입자'!"&amp;S$1&amp;$Y36, TRUE)</f>
        <v>2740</v>
      </c>
      <c r="T36" s="3086"/>
      <c r="U36" s="3086"/>
      <c r="V36" s="3093" cm="1">
        <f t="array" aca="1" ref="V36" ca="1">INDIRECT("'※ 영기팀 작성_가입자'!"&amp;V$2&amp;$Y36, TRUE)</f>
        <v>-626</v>
      </c>
      <c r="W36" s="3094" cm="1">
        <f t="array" aca="1" ref="W36" ca="1">INDIRECT("'※ 영기팀 작성_가입자'!"&amp;W$1&amp;$Y36, TRUE)</f>
        <v>1370</v>
      </c>
      <c r="X36" s="3082" cm="1">
        <f t="array" aca="1" ref="X36" ca="1">INDIRECT("'※ 영기팀 작성_가입자'!"&amp;X$1&amp;$Y36, TRUE)</f>
        <v>350.58333333333326</v>
      </c>
      <c r="Y36" s="2988">
        <f>ROW('※ 영기팀 작성_가입자'!AH184)</f>
        <v>184</v>
      </c>
    </row>
    <row r="37" spans="1:26" x14ac:dyDescent="0.55000000000000004">
      <c r="A37" s="7190"/>
      <c r="B37" s="1284"/>
      <c r="C37" s="594" t="s">
        <v>939</v>
      </c>
      <c r="D37" s="3074" cm="1">
        <f t="array" aca="1" ref="D37" ca="1">INDIRECT("'※ 영기팀 작성_가입자'!"&amp;D$1&amp;$Y37, TRUE)</f>
        <v>8419</v>
      </c>
      <c r="E37" s="3075" cm="1">
        <f t="array" aca="1" ref="E37" ca="1">INDIRECT("'※ 영기팀 작성_가입자'!"&amp;E$1&amp;$Y37, TRUE)</f>
        <v>8872</v>
      </c>
      <c r="F37" s="3076" cm="1">
        <f t="array" aca="1" ref="F37" ca="1">INDIRECT("'※ 영기팀 작성_가입자'!"&amp;F$1&amp;$Y37, TRUE)</f>
        <v>529</v>
      </c>
      <c r="G37" s="3075" cm="1">
        <f t="array" aca="1" ref="G37" ca="1">INDIRECT("'※ 영기팀 작성_가입자'!"&amp;G$1&amp;$Y37, TRUE)</f>
        <v>772</v>
      </c>
      <c r="H37" s="3075" cm="1">
        <f t="array" aca="1" ref="H37" ca="1">INDIRECT("'※ 영기팀 작성_가입자'!"&amp;H$1&amp;$Y37, TRUE)</f>
        <v>791</v>
      </c>
      <c r="I37" s="3075" cm="1">
        <f t="array" aca="1" ref="I37" ca="1">INDIRECT("'※ 영기팀 작성_가입자'!"&amp;I$1&amp;$Y37, TRUE)</f>
        <v>948.00000000000011</v>
      </c>
      <c r="J37" s="3075" cm="1">
        <f t="array" aca="1" ref="J37" ca="1">INDIRECT("'※ 영기팀 작성_가입자'!"&amp;J$1&amp;$Y37, TRUE)</f>
        <v>807</v>
      </c>
      <c r="K37" s="3075" cm="1">
        <f t="array" aca="1" ref="K37" ca="1">INDIRECT("'※ 영기팀 작성_가입자'!"&amp;K$1&amp;$Y37, TRUE)</f>
        <v>1069</v>
      </c>
      <c r="L37" s="3075" cm="1">
        <f t="array" aca="1" ref="L37" ca="1">INDIRECT("'※ 영기팀 작성_가입자'!"&amp;L$1&amp;$Y37, TRUE)</f>
        <v>407</v>
      </c>
      <c r="M37" s="3075" cm="1">
        <f t="array" aca="1" ref="M37" ca="1">INDIRECT("'※ 영기팀 작성_가입자'!"&amp;M$1&amp;$Y37, TRUE)</f>
        <v>413.99999999999994</v>
      </c>
      <c r="N37" s="3086"/>
      <c r="O37" s="3086"/>
      <c r="P37" s="3086"/>
      <c r="Q37" s="3078" cm="1">
        <f t="array" aca="1" ref="Q37" ca="1">INDIRECT("'※ 영기팀 작성_가입자'!"&amp;Q$2&amp;$Y37,TRUE)</f>
        <v>6.9999999999999432</v>
      </c>
      <c r="R37" s="3079" cm="1">
        <f t="array" aca="1" ref="R37" ca="1">INDIRECT("'※ 영기팀 작성_가입자'!"&amp;R$2&amp;$Y37,TRUE)</f>
        <v>-115.00000000000006</v>
      </c>
      <c r="S37" s="3080" cm="1">
        <f t="array" aca="1" ref="S37" ca="1">INDIRECT("'※ 영기팀 작성_가입자'!"&amp;S$1&amp;$Y37, TRUE)</f>
        <v>821</v>
      </c>
      <c r="T37" s="3086"/>
      <c r="U37" s="3086"/>
      <c r="V37" s="3093" cm="1">
        <f t="array" aca="1" ref="V37" ca="1">INDIRECT("'※ 영기팀 작성_가입자'!"&amp;V$2&amp;$Y37, TRUE)</f>
        <v>-259</v>
      </c>
      <c r="W37" s="3094" cm="1">
        <f t="array" aca="1" ref="W37" ca="1">INDIRECT("'※ 영기팀 작성_가입자'!"&amp;W$1&amp;$Y37, TRUE)</f>
        <v>410.5</v>
      </c>
      <c r="X37" s="3082" cm="1">
        <f t="array" aca="1" ref="X37" ca="1">INDIRECT("'※ 영기팀 작성_가입자'!"&amp;X$1&amp;$Y37, TRUE)</f>
        <v>-20.333333333333371</v>
      </c>
      <c r="Y37" s="2988">
        <f>ROW('※ 영기팀 작성_가입자'!AH185)</f>
        <v>185</v>
      </c>
    </row>
    <row r="38" spans="1:26" ht="18" customHeight="1" x14ac:dyDescent="0.55000000000000004">
      <c r="A38" s="7190"/>
      <c r="B38" s="1284"/>
      <c r="C38" s="594" t="s">
        <v>20</v>
      </c>
      <c r="D38" s="3074" cm="1">
        <f t="array" aca="1" ref="D38" ca="1">INDIRECT("'※ 영기팀 작성_가입자'!"&amp;D$1&amp;$Y38, TRUE)</f>
        <v>14481</v>
      </c>
      <c r="E38" s="3075" cm="1">
        <f t="array" aca="1" ref="E38" ca="1">INDIRECT("'※ 영기팀 작성_가입자'!"&amp;E$1&amp;$Y38, TRUE)</f>
        <v>18530</v>
      </c>
      <c r="F38" s="3076" cm="1">
        <f t="array" aca="1" ref="F38" ca="1">INDIRECT("'※ 영기팀 작성_가입자'!"&amp;F$1&amp;$Y38, TRUE)</f>
        <v>2086</v>
      </c>
      <c r="G38" s="3075" cm="1">
        <f t="array" aca="1" ref="G38" ca="1">INDIRECT("'※ 영기팀 작성_가입자'!"&amp;G$1&amp;$Y38, TRUE)</f>
        <v>1810</v>
      </c>
      <c r="H38" s="3075" cm="1">
        <f t="array" aca="1" ref="H38" ca="1">INDIRECT("'※ 영기팀 작성_가입자'!"&amp;H$1&amp;$Y38, TRUE)</f>
        <v>1896</v>
      </c>
      <c r="I38" s="3075" cm="1">
        <f t="array" aca="1" ref="I38" ca="1">INDIRECT("'※ 영기팀 작성_가입자'!"&amp;I$1&amp;$Y38, TRUE)</f>
        <v>3639</v>
      </c>
      <c r="J38" s="3075" cm="1">
        <f t="array" aca="1" ref="J38" ca="1">INDIRECT("'※ 영기팀 작성_가입자'!"&amp;J$1&amp;$Y38, TRUE)</f>
        <v>2896</v>
      </c>
      <c r="K38" s="3075" cm="1">
        <f t="array" aca="1" ref="K38" ca="1">INDIRECT("'※ 영기팀 작성_가입자'!"&amp;K$1&amp;$Y38, TRUE)</f>
        <v>2548</v>
      </c>
      <c r="L38" s="3075" cm="1">
        <f t="array" aca="1" ref="L38" ca="1">INDIRECT("'※ 영기팀 작성_가입자'!"&amp;L$1&amp;$Y38, TRUE)</f>
        <v>1929</v>
      </c>
      <c r="M38" s="3075" cm="1">
        <f t="array" aca="1" ref="M38" ca="1">INDIRECT("'※ 영기팀 작성_가입자'!"&amp;M$1&amp;$Y38, TRUE)</f>
        <v>1344</v>
      </c>
      <c r="N38" s="3086"/>
      <c r="O38" s="3086"/>
      <c r="P38" s="3086"/>
      <c r="Q38" s="3078" cm="1">
        <f t="array" aca="1" ref="Q38" ca="1">INDIRECT("'※ 영기팀 작성_가입자'!"&amp;Q$2&amp;$Y38,TRUE)</f>
        <v>-585</v>
      </c>
      <c r="R38" s="3079" cm="1">
        <f t="array" aca="1" ref="R38" ca="1">INDIRECT("'※ 영기팀 작성_가입자'!"&amp;R$2&amp;$Y38,TRUE)</f>
        <v>-742</v>
      </c>
      <c r="S38" s="3080" cm="1">
        <f t="array" aca="1" ref="S38" ca="1">INDIRECT("'※ 영기팀 작성_가입자'!"&amp;S$1&amp;$Y38, TRUE)</f>
        <v>3273</v>
      </c>
      <c r="T38" s="3086"/>
      <c r="U38" s="3086"/>
      <c r="V38" s="3093" cm="1">
        <f t="array" aca="1" ref="V38" ca="1">INDIRECT("'※ 영기팀 작성_가입자'!"&amp;V$2&amp;$Y38, TRUE)</f>
        <v>-450</v>
      </c>
      <c r="W38" s="3094" cm="1">
        <f t="array" aca="1" ref="W38" ca="1">INDIRECT("'※ 영기팀 작성_가입자'!"&amp;W$1&amp;$Y38, TRUE)</f>
        <v>1636.5</v>
      </c>
      <c r="X38" s="3082" cm="1">
        <f t="array" aca="1" ref="X38" ca="1">INDIRECT("'※ 영기팀 작성_가입자'!"&amp;X$1&amp;$Y38, TRUE)</f>
        <v>597.83333333333326</v>
      </c>
      <c r="Y38" s="2988">
        <f>ROW('※ 영기팀 작성_가입자'!AH186)</f>
        <v>186</v>
      </c>
    </row>
    <row r="39" spans="1:26" ht="18" customHeight="1" x14ac:dyDescent="0.55000000000000004">
      <c r="A39" s="7190"/>
      <c r="B39" s="1284"/>
      <c r="C39" s="886" t="s">
        <v>875</v>
      </c>
      <c r="D39" s="3074" cm="1">
        <f t="array" aca="1" ref="D39" ca="1">INDIRECT("'※ 영기팀 작성_가입자'!"&amp;D$1&amp;$Y39, TRUE)</f>
        <v>598</v>
      </c>
      <c r="E39" s="3075" cm="1">
        <f t="array" aca="1" ref="E39" ca="1">INDIRECT("'※ 영기팀 작성_가입자'!"&amp;E$1&amp;$Y39, TRUE)</f>
        <v>594</v>
      </c>
      <c r="F39" s="3076" cm="1">
        <f t="array" aca="1" ref="F39" ca="1">INDIRECT("'※ 영기팀 작성_가입자'!"&amp;F$1&amp;$Y39, TRUE)</f>
        <v>19</v>
      </c>
      <c r="G39" s="3075" cm="1">
        <f t="array" aca="1" ref="G39" ca="1">INDIRECT("'※ 영기팀 작성_가입자'!"&amp;G$1&amp;$Y39, TRUE)</f>
        <v>81</v>
      </c>
      <c r="H39" s="3075" cm="1">
        <f t="array" aca="1" ref="H39" ca="1">INDIRECT("'※ 영기팀 작성_가입자'!"&amp;H$1&amp;$Y39, TRUE)</f>
        <v>124</v>
      </c>
      <c r="I39" s="3075" cm="1">
        <f t="array" aca="1" ref="I39" ca="1">INDIRECT("'※ 영기팀 작성_가입자'!"&amp;I$1&amp;$Y39, TRUE)</f>
        <v>311</v>
      </c>
      <c r="J39" s="3075" cm="1">
        <f t="array" aca="1" ref="J39" ca="1">INDIRECT("'※ 영기팀 작성_가입자'!"&amp;J$1&amp;$Y39, TRUE)</f>
        <v>197</v>
      </c>
      <c r="K39" s="3075" cm="1">
        <f t="array" aca="1" ref="K39" ca="1">INDIRECT("'※ 영기팀 작성_가입자'!"&amp;K$1&amp;$Y39, TRUE)</f>
        <v>293</v>
      </c>
      <c r="L39" s="3075" cm="1">
        <f t="array" aca="1" ref="L39" ca="1">INDIRECT("'※ 영기팀 작성_가입자'!"&amp;L$1&amp;$Y39, TRUE)</f>
        <v>149</v>
      </c>
      <c r="M39" s="3075" cm="1">
        <f t="array" aca="1" ref="M39" ca="1">INDIRECT("'※ 영기팀 작성_가입자'!"&amp;M$1&amp;$Y39, TRUE)</f>
        <v>134</v>
      </c>
      <c r="N39" s="3086"/>
      <c r="O39" s="3086"/>
      <c r="P39" s="3086"/>
      <c r="Q39" s="3078" cm="1">
        <f t="array" aca="1" ref="Q39" ca="1">INDIRECT("'※ 영기팀 작성_가입자'!"&amp;Q$2&amp;$Y39,TRUE)</f>
        <v>-15</v>
      </c>
      <c r="R39" s="3079" cm="1">
        <f t="array" aca="1" ref="R39" ca="1">INDIRECT("'※ 영기팀 작성_가입자'!"&amp;R$2&amp;$Y39,TRUE)</f>
        <v>115</v>
      </c>
      <c r="S39" s="3080" cm="1">
        <f t="array" aca="1" ref="S39" ca="1">INDIRECT("'※ 영기팀 작성_가입자'!"&amp;S$1&amp;$Y39, TRUE)</f>
        <v>283</v>
      </c>
      <c r="T39" s="3086"/>
      <c r="U39" s="3086"/>
      <c r="V39" s="3093" cm="1">
        <f t="array" aca="1" ref="V39" ca="1">INDIRECT("'※ 영기팀 작성_가입자'!"&amp;V$2&amp;$Y39, TRUE)</f>
        <v>237</v>
      </c>
      <c r="W39" s="3094" cm="1">
        <f t="array" aca="1" ref="W39" ca="1">INDIRECT("'※ 영기팀 작성_가입자'!"&amp;W$1&amp;$Y39, TRUE)</f>
        <v>141.5</v>
      </c>
      <c r="X39" s="3082" cm="1">
        <f t="array" aca="1" ref="X39" ca="1">INDIRECT("'※ 영기팀 작성_가입자'!"&amp;X$1&amp;$Y39, TRUE)</f>
        <v>92.333333333333343</v>
      </c>
      <c r="Y39" s="2988">
        <f>ROW('※ 영기팀 작성_가입자'!AH187)</f>
        <v>187</v>
      </c>
    </row>
    <row r="40" spans="1:26" ht="18" hidden="1" customHeight="1" x14ac:dyDescent="0.55000000000000004">
      <c r="A40" s="7190"/>
      <c r="B40" s="1284"/>
      <c r="C40" s="886" t="s">
        <v>22</v>
      </c>
      <c r="D40" s="3074"/>
      <c r="E40" s="3075"/>
      <c r="F40" s="3076"/>
      <c r="G40" s="3075"/>
      <c r="H40" s="3075"/>
      <c r="I40" s="3075"/>
      <c r="J40" s="3075"/>
      <c r="K40" s="3075"/>
      <c r="L40" s="3075"/>
      <c r="M40" s="3075"/>
      <c r="N40" s="3086"/>
      <c r="O40" s="3086"/>
      <c r="P40" s="3086"/>
      <c r="Q40" s="3078"/>
      <c r="R40" s="3079"/>
      <c r="S40" s="3080"/>
      <c r="T40" s="3086"/>
      <c r="U40" s="3086"/>
      <c r="V40" s="3093"/>
      <c r="W40" s="3094"/>
      <c r="X40" s="3082"/>
      <c r="Y40" s="2988"/>
    </row>
    <row r="41" spans="1:26" ht="18" customHeight="1" x14ac:dyDescent="0.55000000000000004">
      <c r="A41" s="7190"/>
      <c r="B41" s="3083" t="s">
        <v>606</v>
      </c>
      <c r="C41" s="3084"/>
      <c r="D41" s="1340">
        <f ca="1">SUM(D46:D50)</f>
        <v>39961</v>
      </c>
      <c r="E41" s="1341">
        <f ca="1">SUM(E46:E50)</f>
        <v>47869</v>
      </c>
      <c r="F41" s="3085">
        <f ca="1">SUM(F46:F50)</f>
        <v>5350</v>
      </c>
      <c r="G41" s="1341">
        <f t="shared" ref="G41:H41" ca="1" si="24">SUM(G46:G50)</f>
        <v>4517</v>
      </c>
      <c r="H41" s="1341">
        <f t="shared" ca="1" si="24"/>
        <v>4999</v>
      </c>
      <c r="I41" s="1341">
        <f t="shared" ref="I41:M41" ca="1" si="25">SUM(I46:I50)</f>
        <v>8782</v>
      </c>
      <c r="J41" s="1341">
        <f t="shared" ca="1" si="25"/>
        <v>5863</v>
      </c>
      <c r="K41" s="1341">
        <f t="shared" ca="1" si="25"/>
        <v>6781</v>
      </c>
      <c r="L41" s="1341">
        <f t="shared" ca="1" si="25"/>
        <v>5148</v>
      </c>
      <c r="M41" s="1341">
        <f t="shared" ca="1" si="25"/>
        <v>4055</v>
      </c>
      <c r="N41" s="3086"/>
      <c r="O41" s="3086"/>
      <c r="P41" s="3086"/>
      <c r="Q41" s="3087" cm="1">
        <f t="array" aca="1" ref="Q41" ca="1">INDIRECT("'※ 영기팀 작성_가입자'!"&amp;Q$2&amp;$Y41,TRUE)</f>
        <v>-1069</v>
      </c>
      <c r="R41" s="3088" cm="1">
        <f t="array" aca="1" ref="R41" ca="1">INDIRECT("'※ 영기팀 작성_가입자'!"&amp;R$2&amp;$Y41,TRUE)</f>
        <v>-1629</v>
      </c>
      <c r="S41" s="3089">
        <f ca="1">SUM(S46:S50)</f>
        <v>9203</v>
      </c>
      <c r="T41" s="3086"/>
      <c r="U41" s="3086"/>
      <c r="V41" s="3090">
        <f ca="1">SUM(V46:V50)</f>
        <v>402</v>
      </c>
      <c r="W41" s="3091">
        <f ca="1">SUM(W46:W50)</f>
        <v>4601.5</v>
      </c>
      <c r="X41" s="3092">
        <f ca="1">SUM(X46:X50)</f>
        <v>1046</v>
      </c>
      <c r="Y41" s="2988">
        <f>ROW('※ 영기팀 작성_가입자'!AW142)</f>
        <v>142</v>
      </c>
    </row>
    <row r="42" spans="1:26" ht="18" customHeight="1" x14ac:dyDescent="0.55000000000000004">
      <c r="A42" s="7190"/>
      <c r="B42" s="3095"/>
      <c r="C42" s="786" t="s">
        <v>90</v>
      </c>
      <c r="D42" s="3096" cm="1">
        <f t="array" aca="1" ref="D42" ca="1">INDIRECT("'※ 영기팀 작성_가입자'!"&amp;D$1&amp;$Y42, TRUE)</f>
        <v>39961</v>
      </c>
      <c r="E42" s="3097" cm="1">
        <f t="array" aca="1" ref="E42" ca="1">INDIRECT("'※ 영기팀 작성_가입자'!"&amp;E$1&amp;$Y42, TRUE)</f>
        <v>47886</v>
      </c>
      <c r="F42" s="3098" cm="1">
        <f t="array" aca="1" ref="F42" ca="1">INDIRECT("'※ 영기팀 작성_가입자'!"&amp;F$1&amp;$Y42, TRUE)</f>
        <v>5357</v>
      </c>
      <c r="G42" s="3097" cm="1">
        <f t="array" aca="1" ref="G42" ca="1">INDIRECT("'※ 영기팀 작성_가입자'!"&amp;G$1&amp;$Y42, TRUE)</f>
        <v>4534</v>
      </c>
      <c r="H42" s="3097" cm="1">
        <f t="array" aca="1" ref="H42" ca="1">INDIRECT("'※ 영기팀 작성_가입자'!"&amp;H$1&amp;$Y42, TRUE)</f>
        <v>5003</v>
      </c>
      <c r="I42" s="3097" cm="1">
        <f t="array" aca="1" ref="I42" ca="1">INDIRECT("'※ 영기팀 작성_가입자'!"&amp;I$1&amp;$Y42, TRUE)</f>
        <v>8818</v>
      </c>
      <c r="J42" s="3097" cm="1">
        <f t="array" aca="1" ref="J42" ca="1">INDIRECT("'※ 영기팀 작성_가입자'!"&amp;J$1&amp;$Y42, TRUE)</f>
        <v>5900</v>
      </c>
      <c r="K42" s="3097" cm="1">
        <f t="array" aca="1" ref="K42" ca="1">INDIRECT("'※ 영기팀 작성_가입자'!"&amp;K$1&amp;$Y42, TRUE)</f>
        <v>6867</v>
      </c>
      <c r="L42" s="3097" cm="1">
        <f t="array" aca="1" ref="L42" ca="1">INDIRECT("'※ 영기팀 작성_가입자'!"&amp;L$1&amp;$Y42, TRUE)</f>
        <v>4523</v>
      </c>
      <c r="M42" s="3097" cm="1">
        <f t="array" aca="1" ref="M42" ca="1">INDIRECT("'※ 영기팀 작성_가입자'!"&amp;M$1&amp;$Y42, TRUE)</f>
        <v>3218</v>
      </c>
      <c r="N42" s="3086"/>
      <c r="O42" s="3086"/>
      <c r="P42" s="3086"/>
      <c r="Q42" s="3099" cm="1">
        <f t="array" aca="1" ref="Q42" ca="1">INDIRECT("'※ 영기팀 작성_가입자'!"&amp;Q$2&amp;$Y42,TRUE)</f>
        <v>-1305</v>
      </c>
      <c r="R42" s="3100" cm="1">
        <f t="array" aca="1" ref="R42" ca="1">INDIRECT("'※ 영기팀 작성_가입자'!"&amp;R$2&amp;$Y42,TRUE)</f>
        <v>-2139</v>
      </c>
      <c r="S42" s="3101" cm="1">
        <f t="array" aca="1" ref="S42" ca="1">INDIRECT("'※ 영기팀 작성_가입자'!"&amp;S$1&amp;$Y42, TRUE)</f>
        <v>7741</v>
      </c>
      <c r="T42" s="3086"/>
      <c r="U42" s="3086"/>
      <c r="V42" s="3102" cm="1">
        <f t="array" aca="1" ref="V42" ca="1">INDIRECT("'※ 영기팀 작성_가입자'!"&amp;V$2&amp;$Y42, TRUE)</f>
        <v>-1076</v>
      </c>
      <c r="W42" s="3103" cm="1">
        <f t="array" aca="1" ref="W42" ca="1">INDIRECT("'※ 영기팀 작성_가입자'!"&amp;W$1&amp;$Y42, TRUE)</f>
        <v>3870.5</v>
      </c>
      <c r="X42" s="3104" cm="1">
        <f t="array" aca="1" ref="X42" ca="1">INDIRECT("'※ 영기팀 작성_가입자'!"&amp;X$1&amp;$Y42, TRUE)</f>
        <v>1063.583333333333</v>
      </c>
      <c r="Y42" s="2988">
        <f>ROW('※ 영기팀 작성_가입자'!AH143)</f>
        <v>143</v>
      </c>
    </row>
    <row r="43" spans="1:26" s="2920" customFormat="1" ht="18" customHeight="1" x14ac:dyDescent="0.55000000000000004">
      <c r="A43" s="7190"/>
      <c r="B43" s="3105"/>
      <c r="C43" s="3106" t="s">
        <v>463</v>
      </c>
      <c r="D43" s="3107" cm="1">
        <f t="array" aca="1" ref="D43" ca="1">INDIRECT("'※ 영기팀 작성_가입자'!"&amp;D$1&amp;$Y43, TRUE)</f>
        <v>31910</v>
      </c>
      <c r="E43" s="3108" cm="1">
        <f t="array" aca="1" ref="E43" ca="1">INDIRECT("'※ 영기팀 작성_가입자'!"&amp;E$1&amp;$Y43, TRUE)</f>
        <v>36979</v>
      </c>
      <c r="F43" s="3109" cm="1">
        <f t="array" aca="1" ref="F43" ca="1">INDIRECT("'※ 영기팀 작성_가입자'!"&amp;F$1&amp;$Y43, TRUE)</f>
        <v>4207</v>
      </c>
      <c r="G43" s="3108" cm="1">
        <f t="array" aca="1" ref="G43" ca="1">INDIRECT("'※ 영기팀 작성_가입자'!"&amp;G$1&amp;$Y43, TRUE)</f>
        <v>3498</v>
      </c>
      <c r="H43" s="3108" cm="1">
        <f t="array" aca="1" ref="H43" ca="1">INDIRECT("'※ 영기팀 작성_가입자'!"&amp;H$1&amp;$Y43, TRUE)</f>
        <v>3916</v>
      </c>
      <c r="I43" s="3108" cm="1">
        <f t="array" aca="1" ref="I43" ca="1">INDIRECT("'※ 영기팀 작성_가입자'!"&amp;I$1&amp;$Y43, TRUE)</f>
        <v>7296</v>
      </c>
      <c r="J43" s="3108" cm="1">
        <f t="array" aca="1" ref="J43" ca="1">INDIRECT("'※ 영기팀 작성_가입자'!"&amp;J$1&amp;$Y43, TRUE)</f>
        <v>4820</v>
      </c>
      <c r="K43" s="3108" cm="1">
        <f t="array" aca="1" ref="K43" ca="1">INDIRECT("'※ 영기팀 작성_가입자'!"&amp;K$1&amp;$Y43, TRUE)</f>
        <v>5674</v>
      </c>
      <c r="L43" s="3108" cm="1">
        <f t="array" aca="1" ref="L43" ca="1">INDIRECT("'※ 영기팀 작성_가입자'!"&amp;L$1&amp;$Y43, TRUE)</f>
        <v>3390</v>
      </c>
      <c r="M43" s="3108" cm="1">
        <f t="array" aca="1" ref="M43" ca="1">INDIRECT("'※ 영기팀 작성_가입자'!"&amp;M$1&amp;$Y43, TRUE)</f>
        <v>2357</v>
      </c>
      <c r="N43" s="3110"/>
      <c r="O43" s="3110"/>
      <c r="P43" s="3110"/>
      <c r="Q43" s="3111" cm="1">
        <f t="array" aca="1" ref="Q43" ca="1">INDIRECT("'※ 영기팀 작성_가입자'!"&amp;Q$2&amp;$Y43,TRUE)</f>
        <v>-1033</v>
      </c>
      <c r="R43" s="3112" cm="1">
        <f t="array" aca="1" ref="R43" ca="1">INDIRECT("'※ 영기팀 작성_가입자'!"&amp;R$2&amp;$Y43,TRUE)</f>
        <v>-1850</v>
      </c>
      <c r="S43" s="3113" cm="1">
        <f t="array" aca="1" ref="S43" ca="1">INDIRECT("'※ 영기팀 작성_가입자'!"&amp;S$1&amp;$Y43, TRUE)</f>
        <v>5747</v>
      </c>
      <c r="T43" s="3110"/>
      <c r="U43" s="3110"/>
      <c r="V43" s="3114" cm="1">
        <f t="array" aca="1" ref="V43" ca="1">INDIRECT("'※ 영기팀 작성_가입자'!"&amp;V$2&amp;$Y43, TRUE)</f>
        <v>-1260</v>
      </c>
      <c r="W43" s="3115" cm="1">
        <f t="array" aca="1" ref="W43" ca="1">INDIRECT("'※ 영기팀 작성_가입자'!"&amp;W$1&amp;$Y43, TRUE)</f>
        <v>2873.5</v>
      </c>
      <c r="X43" s="3116" cm="1">
        <f t="array" aca="1" ref="X43" ca="1">INDIRECT("'※ 영기팀 작성_가입자'!"&amp;X$1&amp;$Y43, TRUE)</f>
        <v>960.33333333333303</v>
      </c>
      <c r="Y43" s="3117">
        <f>ROW('※ 영기팀 작성_가입자'!AH144)</f>
        <v>144</v>
      </c>
      <c r="Z43" s="3118"/>
    </row>
    <row r="44" spans="1:26" s="2920" customFormat="1" ht="13.3" x14ac:dyDescent="0.55000000000000004">
      <c r="A44" s="7190"/>
      <c r="B44" s="3105"/>
      <c r="C44" s="3106" t="s">
        <v>464</v>
      </c>
      <c r="D44" s="3107" cm="1">
        <f t="array" aca="1" ref="D44" ca="1">INDIRECT("'※ 영기팀 작성_가입자'!"&amp;D$1&amp;$Y44, TRUE)</f>
        <v>11211</v>
      </c>
      <c r="E44" s="3108" cm="1">
        <f t="array" aca="1" ref="E44" ca="1">INDIRECT("'※ 영기팀 작성_가입자'!"&amp;E$1&amp;$Y44, TRUE)</f>
        <v>10907</v>
      </c>
      <c r="F44" s="3109" cm="1">
        <f t="array" aca="1" ref="F44" ca="1">INDIRECT("'※ 영기팀 작성_가입자'!"&amp;F$1&amp;$Y44, TRUE)</f>
        <v>1150</v>
      </c>
      <c r="G44" s="3108" cm="1">
        <f t="array" aca="1" ref="G44" ca="1">INDIRECT("'※ 영기팀 작성_가입자'!"&amp;G$1&amp;$Y44, TRUE)</f>
        <v>1036</v>
      </c>
      <c r="H44" s="3108" cm="1">
        <f t="array" aca="1" ref="H44" ca="1">INDIRECT("'※ 영기팀 작성_가입자'!"&amp;H$1&amp;$Y44, TRUE)</f>
        <v>1087</v>
      </c>
      <c r="I44" s="3108" cm="1">
        <f t="array" aca="1" ref="I44" ca="1">INDIRECT("'※ 영기팀 작성_가입자'!"&amp;I$1&amp;$Y44, TRUE)</f>
        <v>1522</v>
      </c>
      <c r="J44" s="3108" cm="1">
        <f t="array" aca="1" ref="J44" ca="1">INDIRECT("'※ 영기팀 작성_가입자'!"&amp;J$1&amp;$Y44, TRUE)</f>
        <v>1080</v>
      </c>
      <c r="K44" s="3108" cm="1">
        <f t="array" aca="1" ref="K44" ca="1">INDIRECT("'※ 영기팀 작성_가입자'!"&amp;K$1&amp;$Y44, TRUE)</f>
        <v>1193</v>
      </c>
      <c r="L44" s="3108" cm="1">
        <f t="array" aca="1" ref="L44" ca="1">INDIRECT("'※ 영기팀 작성_가입자'!"&amp;L$1&amp;$Y44, TRUE)</f>
        <v>1133</v>
      </c>
      <c r="M44" s="3108" cm="1">
        <f t="array" aca="1" ref="M44" ca="1">INDIRECT("'※ 영기팀 작성_가입자'!"&amp;M$1&amp;$Y44, TRUE)</f>
        <v>861</v>
      </c>
      <c r="N44" s="3110"/>
      <c r="O44" s="3110"/>
      <c r="P44" s="3110"/>
      <c r="Q44" s="3111" cm="1">
        <f t="array" aca="1" ref="Q44" ca="1">INDIRECT("'※ 영기팀 작성_가입자'!"&amp;Q$2&amp;$Y44,TRUE)</f>
        <v>-272</v>
      </c>
      <c r="R44" s="3112" cm="1">
        <f t="array" aca="1" ref="R44" ca="1">INDIRECT("'※ 영기팀 작성_가입자'!"&amp;R$2&amp;$Y44,TRUE)</f>
        <v>-289</v>
      </c>
      <c r="S44" s="3113" cm="1">
        <f t="array" aca="1" ref="S44" ca="1">INDIRECT("'※ 영기팀 작성_가입자'!"&amp;S$1&amp;$Y44, TRUE)</f>
        <v>1994</v>
      </c>
      <c r="T44" s="3110"/>
      <c r="U44" s="3110"/>
      <c r="V44" s="3114" cm="1">
        <f t="array" aca="1" ref="V44" ca="1">INDIRECT("'※ 영기팀 작성_가입자'!"&amp;V$2&amp;$Y44, TRUE)</f>
        <v>184</v>
      </c>
      <c r="W44" s="3115" cm="1">
        <f t="array" aca="1" ref="W44" ca="1">INDIRECT("'※ 영기팀 작성_가입자'!"&amp;W$1&amp;$Y44, TRUE)</f>
        <v>997</v>
      </c>
      <c r="X44" s="3116" cm="1">
        <f t="array" aca="1" ref="X44" ca="1">INDIRECT("'※ 영기팀 작성_가입자'!"&amp;X$1&amp;$Y44, TRUE)</f>
        <v>103.25</v>
      </c>
      <c r="Y44" s="3117">
        <f>ROW('※ 영기팀 작성_가입자'!AH145)</f>
        <v>145</v>
      </c>
      <c r="Z44" s="3118"/>
    </row>
    <row r="45" spans="1:26" ht="18" customHeight="1" x14ac:dyDescent="0.55000000000000004">
      <c r="A45" s="7190"/>
      <c r="B45" s="3095"/>
      <c r="C45" s="786" t="s">
        <v>91</v>
      </c>
      <c r="D45" s="3096" cm="1">
        <f t="array" aca="1" ref="D45" ca="1">INDIRECT("'※ 영기팀 작성_가입자'!"&amp;D$1&amp;$Y45, TRUE)</f>
        <v>6874</v>
      </c>
      <c r="E45" s="3097" cm="1">
        <f t="array" aca="1" ref="E45" ca="1">INDIRECT("'※ 영기팀 작성_가입자'!"&amp;E$1&amp;$Y45, TRUE)</f>
        <v>5948</v>
      </c>
      <c r="F45" s="3098" cm="1">
        <f t="array" aca="1" ref="F45" ca="1">INDIRECT("'※ 영기팀 작성_가입자'!"&amp;F$1&amp;$Y45, TRUE)</f>
        <v>363</v>
      </c>
      <c r="G45" s="3097" cm="1">
        <f t="array" aca="1" ref="G45" ca="1">INDIRECT("'※ 영기팀 작성_가입자'!"&amp;G$1&amp;$Y45, TRUE)</f>
        <v>349</v>
      </c>
      <c r="H45" s="3097" cm="1">
        <f t="array" aca="1" ref="H45" ca="1">INDIRECT("'※ 영기팀 작성_가입자'!"&amp;H$1&amp;$Y45, TRUE)</f>
        <v>453</v>
      </c>
      <c r="I45" s="3097" cm="1">
        <f t="array" aca="1" ref="I45" ca="1">INDIRECT("'※ 영기팀 작성_가입자'!"&amp;I$1&amp;$Y45, TRUE)</f>
        <v>204</v>
      </c>
      <c r="J45" s="3097" cm="1">
        <f t="array" aca="1" ref="J45" ca="1">INDIRECT("'※ 영기팀 작성_가입자'!"&amp;J$1&amp;$Y45, TRUE)</f>
        <v>631</v>
      </c>
      <c r="K45" s="3097" cm="1">
        <f t="array" aca="1" ref="K45" ca="1">INDIRECT("'※ 영기팀 작성_가입자'!"&amp;K$1&amp;$Y45, TRUE)</f>
        <v>709</v>
      </c>
      <c r="L45" s="3097" cm="1">
        <f t="array" aca="1" ref="L45" ca="1">INDIRECT("'※ 영기팀 작성_가입자'!"&amp;L$1&amp;$Y45, TRUE)</f>
        <v>637</v>
      </c>
      <c r="M45" s="3097" cm="1">
        <f t="array" aca="1" ref="M45" ca="1">INDIRECT("'※ 영기팀 작성_가입자'!"&amp;M$1&amp;$Y45, TRUE)</f>
        <v>873</v>
      </c>
      <c r="N45" s="3086"/>
      <c r="O45" s="3086"/>
      <c r="P45" s="3086"/>
      <c r="Q45" s="3099" cm="1">
        <f t="array" aca="1" ref="Q45" ca="1">INDIRECT("'※ 영기팀 작성_가입자'!"&amp;Q$2&amp;$Y45,TRUE)</f>
        <v>236</v>
      </c>
      <c r="R45" s="3100" cm="1">
        <f t="array" aca="1" ref="R45" ca="1">INDIRECT("'※ 영기팀 작성_가입자'!"&amp;R$2&amp;$Y45,TRUE)</f>
        <v>510</v>
      </c>
      <c r="S45" s="3101" cm="1">
        <f t="array" aca="1" ref="S45" ca="1">INDIRECT("'※ 영기팀 작성_가입자'!"&amp;S$1&amp;$Y45, TRUE)</f>
        <v>1510</v>
      </c>
      <c r="T45" s="3086"/>
      <c r="U45" s="3086"/>
      <c r="V45" s="3102" cm="1">
        <f t="array" aca="1" ref="V45" ca="1">INDIRECT("'※ 영기팀 작성_가입자'!"&amp;V$2&amp;$Y45, TRUE)</f>
        <v>831</v>
      </c>
      <c r="W45" s="3103" cm="1">
        <f t="array" aca="1" ref="W45" ca="1">INDIRECT("'※ 영기팀 작성_가입자'!"&amp;W$1&amp;$Y45, TRUE)</f>
        <v>755</v>
      </c>
      <c r="X45" s="3104" cm="1">
        <f t="array" aca="1" ref="X45" ca="1">INDIRECT("'※ 영기팀 작성_가입자'!"&amp;X$1&amp;$Y45, TRUE)</f>
        <v>115.41666666666669</v>
      </c>
      <c r="Y45" s="2988">
        <f>ROW('※ 영기팀 작성_가입자'!AH146)</f>
        <v>146</v>
      </c>
    </row>
    <row r="46" spans="1:26" ht="18" customHeight="1" x14ac:dyDescent="0.55000000000000004">
      <c r="A46" s="7190"/>
      <c r="B46" s="1284"/>
      <c r="C46" s="594" t="s">
        <v>19</v>
      </c>
      <c r="D46" s="3074" cm="1">
        <f t="array" aca="1" ref="D46" ca="1">INDIRECT("'※ 영기팀 작성_가입자'!"&amp;D$1&amp;$Y46, TRUE)</f>
        <v>18015</v>
      </c>
      <c r="E46" s="3075" cm="1">
        <f t="array" aca="1" ref="E46" ca="1">INDIRECT("'※ 영기팀 작성_가입자'!"&amp;E$1&amp;$Y46, TRUE)</f>
        <v>21587</v>
      </c>
      <c r="F46" s="3076" cm="1">
        <f t="array" aca="1" ref="F46" ca="1">INDIRECT("'※ 영기팀 작성_가입자'!"&amp;F$1&amp;$Y46, TRUE)</f>
        <v>2719</v>
      </c>
      <c r="G46" s="3075" cm="1">
        <f t="array" aca="1" ref="G46" ca="1">INDIRECT("'※ 영기팀 작성_가입자'!"&amp;G$1&amp;$Y46, TRUE)</f>
        <v>2053</v>
      </c>
      <c r="H46" s="3075" cm="1">
        <f t="array" aca="1" ref="H46" ca="1">INDIRECT("'※ 영기팀 작성_가입자'!"&amp;H$1&amp;$Y46, TRUE)</f>
        <v>2414</v>
      </c>
      <c r="I46" s="3075" cm="1">
        <f t="array" aca="1" ref="I46" ca="1">INDIRECT("'※ 영기팀 작성_가입자'!"&amp;I$1&amp;$Y46, TRUE)</f>
        <v>3928.9999999999995</v>
      </c>
      <c r="J46" s="3075" cm="1">
        <f t="array" aca="1" ref="J46" ca="1">INDIRECT("'※ 영기팀 작성_가입자'!"&amp;J$1&amp;$Y46, TRUE)</f>
        <v>2208</v>
      </c>
      <c r="K46" s="3075" cm="1">
        <f t="array" aca="1" ref="K46" ca="1">INDIRECT("'※ 영기팀 작성_가입자'!"&amp;K$1&amp;$Y46, TRUE)</f>
        <v>3049</v>
      </c>
      <c r="L46" s="3075" cm="1">
        <f t="array" aca="1" ref="L46" ca="1">INDIRECT("'※ 영기팀 작성_가입자'!"&amp;L$1&amp;$Y46, TRUE)</f>
        <v>2218</v>
      </c>
      <c r="M46" s="3075" cm="1">
        <f t="array" aca="1" ref="M46" ca="1">INDIRECT("'※ 영기팀 작성_가입자'!"&amp;M$1&amp;$Y46, TRUE)</f>
        <v>1500</v>
      </c>
      <c r="N46" s="3086"/>
      <c r="O46" s="3086"/>
      <c r="P46" s="3086"/>
      <c r="Q46" s="3078" cm="1">
        <f t="array" aca="1" ref="Q46" ca="1">INDIRECT("'※ 영기팀 작성_가입자'!"&amp;Q$2&amp;$Y46,TRUE)</f>
        <v>-718</v>
      </c>
      <c r="R46" s="3079" cm="1">
        <f t="array" aca="1" ref="R46" ca="1">INDIRECT("'※ 영기팀 작성_가입자'!"&amp;R$2&amp;$Y46,TRUE)</f>
        <v>-1219</v>
      </c>
      <c r="S46" s="3080" cm="1">
        <f t="array" aca="1" ref="S46" ca="1">INDIRECT("'※ 영기팀 작성_가입자'!"&amp;S$1&amp;$Y46, TRUE)</f>
        <v>3718</v>
      </c>
      <c r="T46" s="3086"/>
      <c r="U46" s="3086"/>
      <c r="V46" s="3093" cm="1">
        <f t="array" aca="1" ref="V46" ca="1">INDIRECT("'※ 영기팀 작성_가입자'!"&amp;V$2&amp;$Y46, TRUE)</f>
        <v>-328</v>
      </c>
      <c r="W46" s="3094" cm="1">
        <f t="array" aca="1" ref="W46" ca="1">INDIRECT("'※ 영기팀 작성_가입자'!"&amp;W$1&amp;$Y46, TRUE)</f>
        <v>1859</v>
      </c>
      <c r="X46" s="3082" cm="1">
        <f t="array" aca="1" ref="X46" ca="1">INDIRECT("'※ 영기팀 작성_가입자'!"&amp;X$1&amp;$Y46, TRUE)</f>
        <v>418.83333333333326</v>
      </c>
      <c r="Y46" s="2988">
        <f>ROW('※ 영기팀 작성_가입자'!AH221)</f>
        <v>221</v>
      </c>
    </row>
    <row r="47" spans="1:26" ht="18" customHeight="1" x14ac:dyDescent="0.55000000000000004">
      <c r="A47" s="7190"/>
      <c r="B47" s="1292"/>
      <c r="C47" s="681" t="s">
        <v>939</v>
      </c>
      <c r="D47" s="3119" cm="1">
        <f t="array" aca="1" ref="D47" ca="1">INDIRECT("'※ 영기팀 작성_가입자'!"&amp;D$1&amp;$Y47, TRUE)</f>
        <v>3972</v>
      </c>
      <c r="E47" s="3120" cm="1">
        <f t="array" aca="1" ref="E47" ca="1">INDIRECT("'※ 영기팀 작성_가입자'!"&amp;E$1&amp;$Y47, TRUE)</f>
        <v>4512</v>
      </c>
      <c r="F47" s="3121" cm="1">
        <f t="array" aca="1" ref="F47" ca="1">INDIRECT("'※ 영기팀 작성_가입자'!"&amp;F$1&amp;$Y47, TRUE)</f>
        <v>282</v>
      </c>
      <c r="G47" s="3120" cm="1">
        <f t="array" aca="1" ref="G47" ca="1">INDIRECT("'※ 영기팀 작성_가입자'!"&amp;G$1&amp;$Y47, TRUE)</f>
        <v>347</v>
      </c>
      <c r="H47" s="3120" cm="1">
        <f t="array" aca="1" ref="H47" ca="1">INDIRECT("'※ 영기팀 작성_가입자'!"&amp;H$1&amp;$Y47, TRUE)</f>
        <v>403</v>
      </c>
      <c r="I47" s="3120" cm="1">
        <f t="array" aca="1" ref="I47" ca="1">INDIRECT("'※ 영기팀 작성_가입자'!"&amp;I$1&amp;$Y47, TRUE)</f>
        <v>527</v>
      </c>
      <c r="J47" s="3120" cm="1">
        <f t="array" aca="1" ref="J47" ca="1">INDIRECT("'※ 영기팀 작성_가입자'!"&amp;J$1&amp;$Y47, TRUE)</f>
        <v>356</v>
      </c>
      <c r="K47" s="3120" cm="1">
        <f t="array" aca="1" ref="K47" ca="1">INDIRECT("'※ 영기팀 작성_가입자'!"&amp;K$1&amp;$Y47, TRUE)</f>
        <v>645</v>
      </c>
      <c r="L47" s="3120" cm="1">
        <f t="array" aca="1" ref="L47" ca="1">INDIRECT("'※ 영기팀 작성_가입자'!"&amp;L$1&amp;$Y47, TRUE)</f>
        <v>769</v>
      </c>
      <c r="M47" s="3120" cm="1">
        <f t="array" aca="1" ref="M47" ca="1">INDIRECT("'※ 영기팀 작성_가입자'!"&amp;M$1&amp;$Y47, TRUE)</f>
        <v>969</v>
      </c>
      <c r="N47" s="3122"/>
      <c r="O47" s="3122"/>
      <c r="P47" s="3122"/>
      <c r="Q47" s="3123" cm="1">
        <f t="array" aca="1" ref="Q47" ca="1">INDIRECT("'※ 영기팀 작성_가입자'!"&amp;Q$2&amp;$Y47,TRUE)</f>
        <v>200</v>
      </c>
      <c r="R47" s="3124" cm="1">
        <f t="array" aca="1" ref="R47" ca="1">INDIRECT("'※ 영기팀 작성_가입자'!"&amp;R$2&amp;$Y47,TRUE)</f>
        <v>687</v>
      </c>
      <c r="S47" s="1476" cm="1">
        <f t="array" aca="1" ref="S47" ca="1">INDIRECT("'※ 영기팀 작성_가입자'!"&amp;S$1&amp;$Y47, TRUE)</f>
        <v>1738</v>
      </c>
      <c r="T47" s="3122"/>
      <c r="U47" s="3122"/>
      <c r="V47" s="3093" cm="1">
        <f t="array" aca="1" ref="V47" ca="1">INDIRECT("'※ 영기팀 작성_가입자'!"&amp;V$2&amp;$Y47, TRUE)</f>
        <v>1180</v>
      </c>
      <c r="W47" s="3094" cm="1">
        <f t="array" aca="1" ref="W47" ca="1">INDIRECT("'※ 영기팀 작성_가입자'!"&amp;W$1&amp;$Y47, TRUE)</f>
        <v>869</v>
      </c>
      <c r="X47" s="3082" cm="1">
        <f t="array" aca="1" ref="X47" ca="1">INDIRECT("'※ 영기팀 작성_가입자'!"&amp;X$1&amp;$Y47, TRUE)</f>
        <v>-39.583333333333314</v>
      </c>
      <c r="Y47" s="2988">
        <f>ROW('※ 영기팀 작성_가입자'!AH222)</f>
        <v>222</v>
      </c>
      <c r="Z47" s="3118"/>
    </row>
    <row r="48" spans="1:26" ht="18" customHeight="1" x14ac:dyDescent="0.55000000000000004">
      <c r="A48" s="7190"/>
      <c r="B48" s="1292"/>
      <c r="C48" s="681" t="s">
        <v>20</v>
      </c>
      <c r="D48" s="3119" cm="1">
        <f t="array" aca="1" ref="D48" ca="1">INDIRECT("'※ 영기팀 작성_가입자'!"&amp;D$1&amp;$Y48, TRUE)</f>
        <v>17420</v>
      </c>
      <c r="E48" s="3120" cm="1">
        <f t="array" aca="1" ref="E48" ca="1">INDIRECT("'※ 영기팀 작성_가입자'!"&amp;E$1&amp;$Y48, TRUE)</f>
        <v>21022</v>
      </c>
      <c r="F48" s="3121" cm="1">
        <f t="array" aca="1" ref="F48" ca="1">INDIRECT("'※ 영기팀 작성_가입자'!"&amp;F$1&amp;$Y48, TRUE)</f>
        <v>2334</v>
      </c>
      <c r="G48" s="3120" cm="1">
        <f t="array" aca="1" ref="G48" ca="1">INDIRECT("'※ 영기팀 작성_가입자'!"&amp;G$1&amp;$Y48, TRUE)</f>
        <v>2074</v>
      </c>
      <c r="H48" s="3120" cm="1">
        <f t="array" aca="1" ref="H48" ca="1">INDIRECT("'※ 영기팀 작성_가입자'!"&amp;H$1&amp;$Y48, TRUE)</f>
        <v>2120</v>
      </c>
      <c r="I48" s="3120" cm="1">
        <f t="array" aca="1" ref="I48" ca="1">INDIRECT("'※ 영기팀 작성_가입자'!"&amp;I$1&amp;$Y48, TRUE)</f>
        <v>4113</v>
      </c>
      <c r="J48" s="3120" cm="1">
        <f t="array" aca="1" ref="J48" ca="1">INDIRECT("'※ 영기팀 작성_가입자'!"&amp;J$1&amp;$Y48, TRUE)</f>
        <v>3180</v>
      </c>
      <c r="K48" s="3120" cm="1">
        <f t="array" aca="1" ref="K48" ca="1">INDIRECT("'※ 영기팀 작성_가입자'!"&amp;K$1&amp;$Y48, TRUE)</f>
        <v>2864</v>
      </c>
      <c r="L48" s="3120" cm="1">
        <f t="array" aca="1" ref="L48" ca="1">INDIRECT("'※ 영기팀 작성_가입자'!"&amp;L$1&amp;$Y48, TRUE)</f>
        <v>2060</v>
      </c>
      <c r="M48" s="3120" cm="1">
        <f t="array" aca="1" ref="M48" ca="1">INDIRECT("'※ 영기팀 작성_가입자'!"&amp;M$1&amp;$Y48, TRUE)</f>
        <v>1488</v>
      </c>
      <c r="N48" s="3122"/>
      <c r="O48" s="3122"/>
      <c r="P48" s="3122"/>
      <c r="Q48" s="3123" cm="1">
        <f t="array" aca="1" ref="Q48" ca="1">INDIRECT("'※ 영기팀 작성_가입자'!"&amp;Q$2&amp;$Y48,TRUE)</f>
        <v>-572</v>
      </c>
      <c r="R48" s="3124" cm="1">
        <f t="array" aca="1" ref="R48" ca="1">INDIRECT("'※ 영기팀 작성_가입자'!"&amp;R$2&amp;$Y48,TRUE)</f>
        <v>-846</v>
      </c>
      <c r="S48" s="1476" cm="1">
        <f t="array" aca="1" ref="S48" ca="1">INDIRECT("'※ 영기팀 작성_가입자'!"&amp;S$1&amp;$Y48, TRUE)</f>
        <v>3548</v>
      </c>
      <c r="T48" s="3122"/>
      <c r="U48" s="3122"/>
      <c r="V48" s="3093" cm="1">
        <f t="array" aca="1" ref="V48" ca="1">INDIRECT("'※ 영기팀 작성_가입자'!"&amp;V$2&amp;$Y48, TRUE)</f>
        <v>-614</v>
      </c>
      <c r="W48" s="3094" cm="1">
        <f t="array" aca="1" ref="W48" ca="1">INDIRECT("'※ 영기팀 작성_가입자'!"&amp;W$1&amp;$Y48, TRUE)</f>
        <v>1774</v>
      </c>
      <c r="X48" s="3082" cm="1">
        <f t="array" aca="1" ref="X48" ca="1">INDIRECT("'※ 영기팀 작성_가입자'!"&amp;X$1&amp;$Y48, TRUE)</f>
        <v>627.08333333333326</v>
      </c>
      <c r="Y48" s="2988">
        <f>ROW('※ 영기팀 작성_가입자'!AH223)</f>
        <v>223</v>
      </c>
    </row>
    <row r="49" spans="1:27" ht="18" customHeight="1" x14ac:dyDescent="0.55000000000000004">
      <c r="A49" s="7190"/>
      <c r="B49" s="1292"/>
      <c r="C49" s="681" t="s">
        <v>869</v>
      </c>
      <c r="D49" s="3119" cm="1">
        <f t="array" aca="1" ref="D49" ca="1">INDIRECT("'※ 영기팀 작성_가입자'!"&amp;D$1&amp;$Y49, TRUE)</f>
        <v>554</v>
      </c>
      <c r="E49" s="3120" cm="1">
        <f t="array" aca="1" ref="E49" ca="1">INDIRECT("'※ 영기팀 작성_가입자'!"&amp;E$1&amp;$Y49, TRUE)</f>
        <v>748</v>
      </c>
      <c r="F49" s="3121" cm="1">
        <f t="array" aca="1" ref="F49" ca="1">INDIRECT("'※ 영기팀 작성_가입자'!"&amp;F$1&amp;$Y49, TRUE)</f>
        <v>15</v>
      </c>
      <c r="G49" s="3120" cm="1">
        <f t="array" aca="1" ref="G49" ca="1">INDIRECT("'※ 영기팀 작성_가입자'!"&amp;G$1&amp;$Y49, TRUE)</f>
        <v>43</v>
      </c>
      <c r="H49" s="3120" cm="1">
        <f t="array" aca="1" ref="H49" ca="1">INDIRECT("'※ 영기팀 작성_가입자'!"&amp;H$1&amp;$Y49, TRUE)</f>
        <v>62</v>
      </c>
      <c r="I49" s="3120" cm="1">
        <f t="array" aca="1" ref="I49" ca="1">INDIRECT("'※ 영기팀 작성_가입자'!"&amp;I$1&amp;$Y49, TRUE)</f>
        <v>213</v>
      </c>
      <c r="J49" s="3120" cm="1">
        <f t="array" aca="1" ref="J49" ca="1">INDIRECT("'※ 영기팀 작성_가입자'!"&amp;J$1&amp;$Y49, TRUE)</f>
        <v>119</v>
      </c>
      <c r="K49" s="3120" cm="1">
        <f t="array" aca="1" ref="K49" ca="1">INDIRECT("'※ 영기팀 작성_가입자'!"&amp;K$1&amp;$Y49, TRUE)</f>
        <v>223</v>
      </c>
      <c r="L49" s="3120" cm="1">
        <f t="array" aca="1" ref="L49" ca="1">INDIRECT("'※ 영기팀 작성_가입자'!"&amp;L$1&amp;$Y49, TRUE)</f>
        <v>101</v>
      </c>
      <c r="M49" s="3120" cm="1">
        <f t="array" aca="1" ref="M49" ca="1">INDIRECT("'※ 영기팀 작성_가입자'!"&amp;M$1&amp;$Y49, TRUE)</f>
        <v>97.999999999999986</v>
      </c>
      <c r="N49" s="3122"/>
      <c r="O49" s="3122"/>
      <c r="P49" s="3122"/>
      <c r="Q49" s="3123" cm="1">
        <f t="array" aca="1" ref="Q49" ca="1">INDIRECT("'※ 영기팀 작성_가입자'!"&amp;Q$2&amp;$Y49,TRUE)</f>
        <v>-3.0000000000000142</v>
      </c>
      <c r="R49" s="3124" cm="1">
        <f t="array" aca="1" ref="R49" ca="1">INDIRECT("'※ 영기팀 작성_가입자'!"&amp;R$2&amp;$Y49,TRUE)</f>
        <v>82.999999999999986</v>
      </c>
      <c r="S49" s="1476" cm="1">
        <f t="array" aca="1" ref="S49" ca="1">INDIRECT("'※ 영기팀 작성_가입자'!"&amp;S$1&amp;$Y49, TRUE)</f>
        <v>199</v>
      </c>
      <c r="T49" s="3122"/>
      <c r="U49" s="3122"/>
      <c r="V49" s="3093" cm="1">
        <f t="array" aca="1" ref="V49" ca="1">INDIRECT("'※ 영기팀 작성_가입자'!"&amp;V$2&amp;$Y49, TRUE)</f>
        <v>164</v>
      </c>
      <c r="W49" s="3094" cm="1">
        <f t="array" aca="1" ref="W49" ca="1">INDIRECT("'※ 영기팀 작성_가입자'!"&amp;W$1&amp;$Y49, TRUE)</f>
        <v>99.5</v>
      </c>
      <c r="X49" s="3082" cm="1">
        <f t="array" aca="1" ref="X49" ca="1">INDIRECT("'※ 영기팀 작성_가입자'!"&amp;X$1&amp;$Y49, TRUE)</f>
        <v>39.666666666666664</v>
      </c>
      <c r="Y49" s="2988">
        <f>ROW('※ 영기팀 작성_가입자'!AH224)</f>
        <v>224</v>
      </c>
    </row>
    <row r="50" spans="1:27" ht="18" hidden="1" customHeight="1" x14ac:dyDescent="0.55000000000000004">
      <c r="A50" s="7191"/>
      <c r="B50" s="3125"/>
      <c r="C50" s="3126"/>
      <c r="D50" s="3127"/>
      <c r="E50" s="3128"/>
      <c r="F50" s="3129"/>
      <c r="G50" s="3128"/>
      <c r="H50" s="3128"/>
      <c r="I50" s="3128"/>
      <c r="J50" s="3128"/>
      <c r="K50" s="3128"/>
      <c r="L50" s="3128"/>
      <c r="M50" s="3128"/>
      <c r="N50" s="3130"/>
      <c r="O50" s="3130"/>
      <c r="P50" s="3130"/>
      <c r="Q50" s="3131"/>
      <c r="R50" s="3132"/>
      <c r="S50" s="3133"/>
      <c r="T50" s="3130"/>
      <c r="U50" s="3130"/>
      <c r="V50" s="3134"/>
      <c r="W50" s="3135"/>
      <c r="X50" s="3136"/>
      <c r="Y50" s="2988">
        <f>ROW('※ 영기팀 작성_가입자'!AH224)</f>
        <v>224</v>
      </c>
      <c r="Z50" s="3118"/>
    </row>
    <row r="51" spans="1:27" ht="4.75" customHeight="1" thickBot="1" x14ac:dyDescent="0.6">
      <c r="A51" s="2771"/>
      <c r="B51" s="698"/>
      <c r="C51" s="698"/>
      <c r="D51" s="972"/>
      <c r="E51" s="1300"/>
      <c r="F51" s="971"/>
      <c r="G51" s="972"/>
      <c r="H51" s="972"/>
      <c r="I51" s="972"/>
      <c r="J51" s="972"/>
      <c r="K51" s="972"/>
      <c r="L51" s="972"/>
      <c r="M51" s="972"/>
      <c r="N51" s="972"/>
      <c r="O51" s="972"/>
      <c r="P51" s="972"/>
      <c r="Q51" s="972"/>
      <c r="R51" s="972"/>
      <c r="S51" s="1300"/>
      <c r="T51" s="1300"/>
      <c r="U51" s="1300"/>
      <c r="V51" s="581"/>
      <c r="W51" s="581"/>
      <c r="X51" s="581"/>
      <c r="Y51" s="2988"/>
    </row>
    <row r="52" spans="1:27" ht="18" customHeight="1" x14ac:dyDescent="0.55000000000000004">
      <c r="A52" s="7185" t="s">
        <v>93</v>
      </c>
      <c r="B52" s="3137" t="s">
        <v>607</v>
      </c>
      <c r="C52" s="3137"/>
      <c r="D52" s="2365" cm="1">
        <f t="array" aca="1" ref="D52" ca="1">INDIRECT("'※ 영기팀 작성_가입자'!"&amp;D$1&amp;$Y52, TRUE)</f>
        <v>33874</v>
      </c>
      <c r="E52" s="2367" cm="1">
        <f t="array" aca="1" ref="E52" ca="1">INDIRECT("'※ 영기팀 작성_가입자'!"&amp;E$1&amp;$Y52, TRUE)</f>
        <v>39819</v>
      </c>
      <c r="F52" s="3138" cm="1">
        <f t="array" aca="1" ref="F52" ca="1">INDIRECT("'※ 영기팀 작성_가입자'!"&amp;F$1&amp;$Y52, TRUE)</f>
        <v>4919</v>
      </c>
      <c r="G52" s="2367" cm="1">
        <f t="array" aca="1" ref="G52" ca="1">INDIRECT("'※ 영기팀 작성_가입자'!"&amp;G$1&amp;$Y52, TRUE)</f>
        <v>3745</v>
      </c>
      <c r="H52" s="2367" cm="1">
        <f t="array" aca="1" ref="H52" ca="1">INDIRECT("'※ 영기팀 작성_가입자'!"&amp;H$1&amp;$Y52, TRUE)</f>
        <v>4432</v>
      </c>
      <c r="I52" s="2367" cm="1">
        <f t="array" aca="1" ref="I52" ca="1">INDIRECT("'※ 영기팀 작성_가입자'!"&amp;I$1&amp;$Y52, TRUE)</f>
        <v>7562.9999999999991</v>
      </c>
      <c r="J52" s="2367" cm="1">
        <f t="array" aca="1" ref="J52" ca="1">INDIRECT("'※ 영기팀 작성_가입자'!"&amp;J$1&amp;$Y52, TRUE)</f>
        <v>4089</v>
      </c>
      <c r="K52" s="2367" cm="1">
        <f t="array" aca="1" ref="K52" ca="1">INDIRECT("'※ 영기팀 작성_가입자'!"&amp;K$1&amp;$Y52, TRUE)</f>
        <v>5772</v>
      </c>
      <c r="L52" s="2367" cm="1">
        <f t="array" aca="1" ref="L52" ca="1">INDIRECT("'※ 영기팀 작성_가입자'!"&amp;L$1&amp;$Y52, TRUE)</f>
        <v>3860</v>
      </c>
      <c r="M52" s="2367" cm="1">
        <f t="array" aca="1" ref="M52" ca="1">INDIRECT("'※ 영기팀 작성_가입자'!"&amp;M$1&amp;$Y52, TRUE)</f>
        <v>2598</v>
      </c>
      <c r="N52" s="3139" cm="1">
        <f t="array" aca="1" ref="N52" ca="1">INDIRECT("'※ 영기팀 작성_가입자'!"&amp;N$1&amp;$Z52, TRUE)</f>
        <v>3000</v>
      </c>
      <c r="O52" s="3139" cm="1">
        <f t="array" aca="1" ref="O52" ca="1">INDIRECT("'※ 영기팀 작성_가입자'!"&amp;O$1&amp;$Z52, TRUE)</f>
        <v>-902</v>
      </c>
      <c r="P52" s="3140" cm="1">
        <f t="array" aca="1" ref="P52" ca="1">INDIRECT("'※ 영기팀 작성_가입자'!"&amp;P$1&amp;$Z52, TRUE)</f>
        <v>0.74228571428571433</v>
      </c>
      <c r="Q52" s="3141" cm="1">
        <f t="array" aca="1" ref="Q52" ca="1">INDIRECT("'※ 영기팀 작성_가입자'!"&amp;Q$2&amp;$Y52,TRUE)</f>
        <v>-1262</v>
      </c>
      <c r="R52" s="3142" cm="1">
        <f t="array" aca="1" ref="R52" ca="1">INDIRECT("'※ 영기팀 작성_가입자'!"&amp;R$2&amp;$Y52,TRUE)</f>
        <v>-2321</v>
      </c>
      <c r="S52" s="3143" cm="1">
        <f t="array" aca="1" ref="S52" ca="1">INDIRECT("'※ 영기팀 작성_가입자'!"&amp;S$1&amp;$Y52, TRUE)</f>
        <v>6458</v>
      </c>
      <c r="T52" s="3139" cm="1">
        <f t="array" aca="1" ref="T52" ca="1">INDIRECT("'※ 영기팀 작성_가입자'!"&amp;T$1&amp;$Z52, TRUE)</f>
        <v>-1042</v>
      </c>
      <c r="U52" s="3140" cm="1">
        <f t="array" aca="1" ref="U52" ca="1">INDIRECT("'※ 영기팀 작성_가입자'!"&amp;U$1&amp;$Z52, TRUE)</f>
        <v>0.86106666666666665</v>
      </c>
      <c r="V52" s="3144" cm="1">
        <f t="array" aca="1" ref="V52" ca="1">INDIRECT("'※ 영기팀 작성_가입자'!"&amp;V$2&amp;$Y52, TRUE)</f>
        <v>-954</v>
      </c>
      <c r="W52" s="3145" cm="1">
        <f t="array" aca="1" ref="W52" ca="1">INDIRECT("'※ 영기팀 작성_가입자'!"&amp;W$1&amp;$Y52, TRUE)</f>
        <v>3229</v>
      </c>
      <c r="X52" s="3073" cm="1">
        <f t="array" aca="1" ref="X52" ca="1">INDIRECT("'※ 영기팀 작성_가입자'!"&amp;X$1&amp;$Y52, TRUE)</f>
        <v>775.75</v>
      </c>
      <c r="Y52" s="2988">
        <f>ROW('※ 영기팀 작성_가입자'!AH147)</f>
        <v>147</v>
      </c>
      <c r="Z52" s="2984">
        <f>ROW('※ 영기팀 작성_가입자'!AI346)</f>
        <v>346</v>
      </c>
    </row>
    <row r="53" spans="1:27" ht="18" customHeight="1" x14ac:dyDescent="0.55000000000000004">
      <c r="A53" s="7186"/>
      <c r="B53" s="681" t="s">
        <v>76</v>
      </c>
      <c r="C53" s="681"/>
      <c r="D53" s="3119" cm="1">
        <f t="array" aca="1" ref="D53" ca="1">INDIRECT("'※ 영기팀 작성_가입자'!"&amp;D$1&amp;$Y53, TRUE)</f>
        <v>4666</v>
      </c>
      <c r="E53" s="3120" cm="1">
        <f t="array" aca="1" ref="E53" ca="1">INDIRECT("'※ 영기팀 작성_가입자'!"&amp;E$1&amp;$Y53, TRUE)</f>
        <v>6230</v>
      </c>
      <c r="F53" s="3121" cm="1">
        <f t="array" aca="1" ref="F53" ca="1">INDIRECT("'※ 영기팀 작성_가입자'!"&amp;F$1&amp;$Y53, TRUE)</f>
        <v>750</v>
      </c>
      <c r="G53" s="3120" cm="1">
        <f t="array" aca="1" ref="G53" ca="1">INDIRECT("'※ 영기팀 작성_가입자'!"&amp;G$1&amp;$Y53, TRUE)</f>
        <v>562</v>
      </c>
      <c r="H53" s="3120" cm="1">
        <f t="array" aca="1" ref="H53" ca="1">INDIRECT("'※ 영기팀 작성_가입자'!"&amp;H$1&amp;$Y53, TRUE)</f>
        <v>699</v>
      </c>
      <c r="I53" s="3120" cm="1">
        <f t="array" aca="1" ref="I53" ca="1">INDIRECT("'※ 영기팀 작성_가입자'!"&amp;I$1&amp;$Y53, TRUE)</f>
        <v>1336</v>
      </c>
      <c r="J53" s="3120" cm="1">
        <f t="array" aca="1" ref="J53" ca="1">INDIRECT("'※ 영기팀 작성_가입자'!"&amp;J$1&amp;$Y53, TRUE)</f>
        <v>642</v>
      </c>
      <c r="K53" s="3120" cm="1">
        <f t="array" aca="1" ref="K53" ca="1">INDIRECT("'※ 영기팀 작성_가입자'!"&amp;K$1&amp;$Y53, TRUE)</f>
        <v>914</v>
      </c>
      <c r="L53" s="3120" cm="1">
        <f t="array" aca="1" ref="L53" ca="1">INDIRECT("'※ 영기팀 작성_가입자'!"&amp;L$1&amp;$Y53, TRUE)</f>
        <v>575</v>
      </c>
      <c r="M53" s="3120" cm="1">
        <f t="array" aca="1" ref="M53" ca="1">INDIRECT("'※ 영기팀 작성_가입자'!"&amp;M$1&amp;$Y53, TRUE)</f>
        <v>400</v>
      </c>
      <c r="N53" s="3146" cm="1">
        <f t="array" aca="1" ref="N53" ca="1">INDIRECT("'※ 영기팀 작성_가입자'!"&amp;N$1&amp;$Z53, TRUE)</f>
        <v>446</v>
      </c>
      <c r="O53" s="3146" cm="1">
        <f t="array" aca="1" ref="O53" ca="1">INDIRECT("'※ 영기팀 작성_가입자'!"&amp;O$1&amp;$Z53, TRUE)</f>
        <v>-137</v>
      </c>
      <c r="P53" s="3147" cm="1">
        <f t="array" aca="1" ref="P53" ca="1">INDIRECT("'※ 영기팀 작성_가입자'!"&amp;P$1&amp;$Z53, TRUE)</f>
        <v>0.74487895716945995</v>
      </c>
      <c r="Q53" s="2772" cm="1">
        <f t="array" aca="1" ref="Q53" ca="1">INDIRECT("'※ 영기팀 작성_가입자'!"&amp;Q$2&amp;$Y53,TRUE)</f>
        <v>-175</v>
      </c>
      <c r="R53" s="2773" cm="1">
        <f t="array" aca="1" ref="R53" ca="1">INDIRECT("'※ 영기팀 작성_가입자'!"&amp;R$2&amp;$Y53,TRUE)</f>
        <v>-350</v>
      </c>
      <c r="S53" s="3148" cm="1">
        <f t="array" aca="1" ref="S53" ca="1">INDIRECT("'※ 영기팀 작성_가입자'!"&amp;S$1&amp;$Y53, TRUE)</f>
        <v>975</v>
      </c>
      <c r="T53" s="3146" cm="1">
        <f t="array" aca="1" ref="T53" ca="1">INDIRECT("'※ 영기팀 작성_가입자'!"&amp;T$1&amp;$Z53, TRUE)</f>
        <v>-175</v>
      </c>
      <c r="U53" s="3147" cm="1">
        <f t="array" aca="1" ref="U53" ca="1">INDIRECT("'※ 영기팀 작성_가입자'!"&amp;U$1&amp;$Z53, TRUE)</f>
        <v>0.84782608695652173</v>
      </c>
      <c r="V53" s="2705" cm="1">
        <f t="array" aca="1" ref="V53" ca="1">INDIRECT("'※ 영기팀 작성_가입자'!"&amp;V$2&amp;$Y53, TRUE)</f>
        <v>-163</v>
      </c>
      <c r="W53" s="3149" cm="1">
        <f t="array" aca="1" ref="W53" ca="1">INDIRECT("'※ 영기팀 작성_가입자'!"&amp;W$1&amp;$Y53, TRUE)</f>
        <v>487.5</v>
      </c>
      <c r="X53" s="3082" cm="1">
        <f t="array" aca="1" ref="X53" ca="1">INDIRECT("'※ 영기팀 작성_가입자'!"&amp;X$1&amp;$Y53, TRUE)</f>
        <v>122.08333333333337</v>
      </c>
      <c r="Y53" s="2988">
        <f>ROW('※ 영기팀 작성_가입자'!AH152)</f>
        <v>152</v>
      </c>
      <c r="Z53" s="2984">
        <f>ROW('※ 영기팀 작성_가입자'!AI350)</f>
        <v>350</v>
      </c>
    </row>
    <row r="54" spans="1:27" ht="18" customHeight="1" x14ac:dyDescent="0.55000000000000004">
      <c r="A54" s="7186"/>
      <c r="B54" s="673" t="s">
        <v>77</v>
      </c>
      <c r="C54" s="681"/>
      <c r="D54" s="3119" cm="1">
        <f t="array" aca="1" ref="D54" ca="1">INDIRECT("'※ 영기팀 작성_가입자'!"&amp;D$1&amp;$Y54, TRUE)</f>
        <v>6025</v>
      </c>
      <c r="E54" s="3120" cm="1">
        <f t="array" aca="1" ref="E54" ca="1">INDIRECT("'※ 영기팀 작성_가입자'!"&amp;E$1&amp;$Y54, TRUE)</f>
        <v>7061</v>
      </c>
      <c r="F54" s="3121" cm="1">
        <f t="array" aca="1" ref="F54" ca="1">INDIRECT("'※ 영기팀 작성_가입자'!"&amp;F$1&amp;$Y54, TRUE)</f>
        <v>921</v>
      </c>
      <c r="G54" s="3120" cm="1">
        <f t="array" aca="1" ref="G54" ca="1">INDIRECT("'※ 영기팀 작성_가입자'!"&amp;G$1&amp;$Y54, TRUE)</f>
        <v>681</v>
      </c>
      <c r="H54" s="3120" cm="1">
        <f t="array" aca="1" ref="H54" ca="1">INDIRECT("'※ 영기팀 작성_가입자'!"&amp;H$1&amp;$Y54, TRUE)</f>
        <v>727</v>
      </c>
      <c r="I54" s="3120" cm="1">
        <f t="array" aca="1" ref="I54" ca="1">INDIRECT("'※ 영기팀 작성_가입자'!"&amp;I$1&amp;$Y54, TRUE)</f>
        <v>1433</v>
      </c>
      <c r="J54" s="3120" cm="1">
        <f t="array" aca="1" ref="J54" ca="1">INDIRECT("'※ 영기팀 작성_가입자'!"&amp;J$1&amp;$Y54, TRUE)</f>
        <v>661</v>
      </c>
      <c r="K54" s="3120" cm="1">
        <f t="array" aca="1" ref="K54" ca="1">INDIRECT("'※ 영기팀 작성_가입자'!"&amp;K$1&amp;$Y54, TRUE)</f>
        <v>944</v>
      </c>
      <c r="L54" s="3120" cm="1">
        <f t="array" aca="1" ref="L54" ca="1">INDIRECT("'※ 영기팀 작성_가입자'!"&amp;L$1&amp;$Y54, TRUE)</f>
        <v>729</v>
      </c>
      <c r="M54" s="3120" cm="1">
        <f t="array" aca="1" ref="M54" ca="1">INDIRECT("'※ 영기팀 작성_가입자'!"&amp;M$1&amp;$Y54, TRUE)</f>
        <v>494</v>
      </c>
      <c r="N54" s="3146" cm="1">
        <f t="array" aca="1" ref="N54" ca="1">INDIRECT("'※ 영기팀 작성_가입자'!"&amp;N$1&amp;$Z54, TRUE)</f>
        <v>510</v>
      </c>
      <c r="O54" s="3146" cm="1">
        <f t="array" aca="1" ref="O54" ca="1">INDIRECT("'※ 영기팀 작성_가입자'!"&amp;O$1&amp;$Z54, TRUE)</f>
        <v>-114</v>
      </c>
      <c r="P54" s="3147" cm="1">
        <f t="array" aca="1" ref="P54" ca="1">INDIRECT("'※ 영기팀 작성_가입자'!"&amp;P$1&amp;$Z54, TRUE)</f>
        <v>0.8125</v>
      </c>
      <c r="Q54" s="2772" cm="1">
        <f t="array" aca="1" ref="Q54" ca="1">INDIRECT("'※ 영기팀 작성_가입자'!"&amp;Q$2&amp;$Y54,TRUE)</f>
        <v>-235</v>
      </c>
      <c r="R54" s="2773" cm="1">
        <f t="array" aca="1" ref="R54" ca="1">INDIRECT("'※ 영기팀 작성_가입자'!"&amp;R$2&amp;$Y54,TRUE)</f>
        <v>-427</v>
      </c>
      <c r="S54" s="3148" cm="1">
        <f t="array" aca="1" ref="S54" ca="1">INDIRECT("'※ 영기팀 작성_가입자'!"&amp;S$1&amp;$Y54, TRUE)</f>
        <v>1223</v>
      </c>
      <c r="T54" s="3146" cm="1">
        <f t="array" aca="1" ref="T54" ca="1">INDIRECT("'※ 영기팀 작성_가입자'!"&amp;T$1&amp;$Z54, TRUE)</f>
        <v>-81</v>
      </c>
      <c r="U54" s="3147" cm="1">
        <f t="array" aca="1" ref="U54" ca="1">INDIRECT("'※ 영기팀 작성_가입자'!"&amp;U$1&amp;$Z54, TRUE)</f>
        <v>0.93788343558282206</v>
      </c>
      <c r="V54" s="2705" cm="1">
        <f t="array" aca="1" ref="V54" ca="1">INDIRECT("'※ 영기팀 작성_가입자'!"&amp;V$2&amp;$Y54, TRUE)</f>
        <v>-197</v>
      </c>
      <c r="W54" s="3149" cm="1">
        <f t="array" aca="1" ref="W54" ca="1">INDIRECT("'※ 영기팀 작성_가입자'!"&amp;W$1&amp;$Y54, TRUE)</f>
        <v>611.5</v>
      </c>
      <c r="X54" s="3082" cm="1">
        <f t="array" aca="1" ref="X54" ca="1">INDIRECT("'※ 영기팀 작성_가입자'!"&amp;X$1&amp;$Y54, TRUE)</f>
        <v>142.58333333333337</v>
      </c>
      <c r="Y54" s="2988">
        <f>ROW('※ 영기팀 작성_가입자'!AH153)</f>
        <v>153</v>
      </c>
      <c r="Z54" s="2984">
        <f>ROW('※ 영기팀 작성_가입자'!AI351)</f>
        <v>351</v>
      </c>
      <c r="AA54" s="3150"/>
    </row>
    <row r="55" spans="1:27" ht="18" customHeight="1" x14ac:dyDescent="0.55000000000000004">
      <c r="A55" s="7186"/>
      <c r="B55" s="673" t="s">
        <v>78</v>
      </c>
      <c r="C55" s="681"/>
      <c r="D55" s="3119" cm="1">
        <f t="array" aca="1" ref="D55" ca="1">INDIRECT("'※ 영기팀 작성_가입자'!"&amp;D$1&amp;$Y55, TRUE)</f>
        <v>7893</v>
      </c>
      <c r="E55" s="3120" cm="1">
        <f t="array" aca="1" ref="E55" ca="1">INDIRECT("'※ 영기팀 작성_가입자'!"&amp;E$1&amp;$Y55, TRUE)</f>
        <v>9835</v>
      </c>
      <c r="F55" s="3121" cm="1">
        <f t="array" aca="1" ref="F55" ca="1">INDIRECT("'※ 영기팀 작성_가입자'!"&amp;F$1&amp;$Y55, TRUE)</f>
        <v>1159</v>
      </c>
      <c r="G55" s="3120" cm="1">
        <f t="array" aca="1" ref="G55" ca="1">INDIRECT("'※ 영기팀 작성_가입자'!"&amp;G$1&amp;$Y55, TRUE)</f>
        <v>838</v>
      </c>
      <c r="H55" s="3120" cm="1">
        <f t="array" aca="1" ref="H55" ca="1">INDIRECT("'※ 영기팀 작성_가입자'!"&amp;H$1&amp;$Y55, TRUE)</f>
        <v>1024</v>
      </c>
      <c r="I55" s="3120" cm="1">
        <f t="array" aca="1" ref="I55" ca="1">INDIRECT("'※ 영기팀 작성_가입자'!"&amp;I$1&amp;$Y55, TRUE)</f>
        <v>1765</v>
      </c>
      <c r="J55" s="3120" cm="1">
        <f t="array" aca="1" ref="J55" ca="1">INDIRECT("'※ 영기팀 작성_가입자'!"&amp;J$1&amp;$Y55, TRUE)</f>
        <v>999</v>
      </c>
      <c r="K55" s="3120" cm="1">
        <f t="array" aca="1" ref="K55" ca="1">INDIRECT("'※ 영기팀 작성_가입자'!"&amp;K$1&amp;$Y55, TRUE)</f>
        <v>1362</v>
      </c>
      <c r="L55" s="3120" cm="1">
        <f t="array" aca="1" ref="L55" ca="1">INDIRECT("'※ 영기팀 작성_가입자'!"&amp;L$1&amp;$Y55, TRUE)</f>
        <v>952</v>
      </c>
      <c r="M55" s="3120" cm="1">
        <f t="array" aca="1" ref="M55" ca="1">INDIRECT("'※ 영기팀 작성_가입자'!"&amp;M$1&amp;$Y55, TRUE)</f>
        <v>615</v>
      </c>
      <c r="N55" s="3146" cm="1">
        <f t="array" aca="1" ref="N55" ca="1">INDIRECT("'※ 영기팀 작성_가입자'!"&amp;N$1&amp;$Z55, TRUE)</f>
        <v>705</v>
      </c>
      <c r="O55" s="3146" cm="1">
        <f t="array" aca="1" ref="O55" ca="1">INDIRECT("'※ 영기팀 작성_가입자'!"&amp;O$1&amp;$Z55, TRUE)</f>
        <v>-214</v>
      </c>
      <c r="P55" s="3147" cm="1">
        <f t="array" aca="1" ref="P55" ca="1">INDIRECT("'※ 영기팀 작성_가입자'!"&amp;P$1&amp;$Z55, TRUE)</f>
        <v>0.74185765983112184</v>
      </c>
      <c r="Q55" s="2772" cm="1">
        <f t="array" aca="1" ref="Q55" ca="1">INDIRECT("'※ 영기팀 작성_가입자'!"&amp;Q$2&amp;$Y55,TRUE)</f>
        <v>-337</v>
      </c>
      <c r="R55" s="2773" cm="1">
        <f t="array" aca="1" ref="R55" ca="1">INDIRECT("'※ 영기팀 작성_가입자'!"&amp;R$2&amp;$Y55,TRUE)</f>
        <v>-544</v>
      </c>
      <c r="S55" s="3148" cm="1">
        <f t="array" aca="1" ref="S55" ca="1">INDIRECT("'※ 영기팀 작성_가입자'!"&amp;S$1&amp;$Y55, TRUE)</f>
        <v>1567</v>
      </c>
      <c r="T55" s="3146" cm="1">
        <f t="array" aca="1" ref="T55" ca="1">INDIRECT("'※ 영기팀 작성_가입자'!"&amp;T$1&amp;$Z55, TRUE)</f>
        <v>-209</v>
      </c>
      <c r="U55" s="3147" cm="1">
        <f t="array" aca="1" ref="U55" ca="1">INDIRECT("'※ 영기팀 작성_가입자'!"&amp;U$1&amp;$Z55, TRUE)</f>
        <v>0.88231981981981977</v>
      </c>
      <c r="V55" s="2705" cm="1">
        <f t="array" aca="1" ref="V55" ca="1">INDIRECT("'※ 영기팀 작성_가입자'!"&amp;V$2&amp;$Y55, TRUE)</f>
        <v>-187</v>
      </c>
      <c r="W55" s="3149" cm="1">
        <f t="array" aca="1" ref="W55" ca="1">INDIRECT("'※ 영기팀 작성_가입자'!"&amp;W$1&amp;$Y55, TRUE)</f>
        <v>783.5</v>
      </c>
      <c r="X55" s="3082" cm="1">
        <f t="array" aca="1" ref="X55" ca="1">INDIRECT("'※ 영기팀 작성_가입자'!"&amp;X$1&amp;$Y55, TRUE)</f>
        <v>155.08333333333326</v>
      </c>
      <c r="Y55" s="2988">
        <f>ROW('※ 영기팀 작성_가입자'!AH154)</f>
        <v>154</v>
      </c>
      <c r="Z55" s="2984">
        <f>ROW('※ 영기팀 작성_가입자'!AI352)</f>
        <v>352</v>
      </c>
    </row>
    <row r="56" spans="1:27" ht="18" customHeight="1" x14ac:dyDescent="0.55000000000000004">
      <c r="A56" s="7186"/>
      <c r="B56" s="673" t="s">
        <v>406</v>
      </c>
      <c r="C56" s="681"/>
      <c r="D56" s="3119" cm="1">
        <f t="array" aca="1" ref="D56" ca="1">INDIRECT("'※ 영기팀 작성_가입자'!"&amp;D$1&amp;$Y56, TRUE)</f>
        <v>9472</v>
      </c>
      <c r="E56" s="3120" cm="1">
        <f t="array" aca="1" ref="E56" ca="1">INDIRECT("'※ 영기팀 작성_가입자'!"&amp;E$1&amp;$Y56, TRUE)</f>
        <v>11641</v>
      </c>
      <c r="F56" s="3121" cm="1">
        <f t="array" aca="1" ref="F56" ca="1">INDIRECT("'※ 영기팀 작성_가입자'!"&amp;F$1&amp;$Y56, TRUE)</f>
        <v>1218</v>
      </c>
      <c r="G56" s="3120" cm="1">
        <f t="array" aca="1" ref="G56" ca="1">INDIRECT("'※ 영기팀 작성_가입자'!"&amp;G$1&amp;$Y56, TRUE)</f>
        <v>941</v>
      </c>
      <c r="H56" s="3120" cm="1">
        <f t="array" aca="1" ref="H56" ca="1">INDIRECT("'※ 영기팀 작성_가입자'!"&amp;H$1&amp;$Y56, TRUE)</f>
        <v>1292</v>
      </c>
      <c r="I56" s="3120" cm="1">
        <f t="array" aca="1" ref="I56" ca="1">INDIRECT("'※ 영기팀 작성_가입자'!"&amp;I$1&amp;$Y56, TRUE)</f>
        <v>1818</v>
      </c>
      <c r="J56" s="3120" cm="1">
        <f t="array" aca="1" ref="J56" ca="1">INDIRECT("'※ 영기팀 작성_가입자'!"&amp;J$1&amp;$Y56, TRUE)</f>
        <v>1109</v>
      </c>
      <c r="K56" s="3120" cm="1">
        <f t="array" aca="1" ref="K56" ca="1">INDIRECT("'※ 영기팀 작성_가입자'!"&amp;K$1&amp;$Y56, TRUE)</f>
        <v>1571</v>
      </c>
      <c r="L56" s="3120" cm="1">
        <f t="array" aca="1" ref="L56" ca="1">INDIRECT("'※ 영기팀 작성_가입자'!"&amp;L$1&amp;$Y56, TRUE)</f>
        <v>934</v>
      </c>
      <c r="M56" s="3120" cm="1">
        <f t="array" aca="1" ref="M56" ca="1">INDIRECT("'※ 영기팀 작성_가입자'!"&amp;M$1&amp;$Y56, TRUE)</f>
        <v>606</v>
      </c>
      <c r="N56" s="3146" cm="1">
        <f t="array" aca="1" ref="N56" ca="1">INDIRECT("'※ 영기팀 작성_가입자'!"&amp;N$1&amp;$Z56, TRUE)</f>
        <v>811</v>
      </c>
      <c r="O56" s="3146" cm="1">
        <f t="array" aca="1" ref="O56" ca="1">INDIRECT("'※ 영기팀 작성_가입자'!"&amp;O$1&amp;$Z56, TRUE)</f>
        <v>-323</v>
      </c>
      <c r="P56" s="3147" cm="1">
        <f t="array" aca="1" ref="P56" ca="1">INDIRECT("'※ 영기팀 작성_가입자'!"&amp;P$1&amp;$Z56, TRUE)</f>
        <v>0.65231431646932181</v>
      </c>
      <c r="Q56" s="2772" cm="1">
        <f t="array" aca="1" ref="Q56" ca="1">INDIRECT("'※ 영기팀 작성_가입자'!"&amp;Q$2&amp;$Y56,TRUE)</f>
        <v>-328</v>
      </c>
      <c r="R56" s="2773" cm="1">
        <f t="array" aca="1" ref="R56" ca="1">INDIRECT("'※ 영기팀 작성_가입자'!"&amp;R$2&amp;$Y56,TRUE)</f>
        <v>-612</v>
      </c>
      <c r="S56" s="3148" cm="1">
        <f t="array" aca="1" ref="S56" ca="1">INDIRECT("'※ 영기팀 작성_가입자'!"&amp;S$1&amp;$Y56, TRUE)</f>
        <v>1540</v>
      </c>
      <c r="T56" s="3146" cm="1">
        <f t="array" aca="1" ref="T56" ca="1">INDIRECT("'※ 영기팀 작성_가입자'!"&amp;T$1&amp;$Z56, TRUE)</f>
        <v>-451</v>
      </c>
      <c r="U56" s="3147" cm="1">
        <f t="array" aca="1" ref="U56" ca="1">INDIRECT("'※ 영기팀 작성_가입자'!"&amp;U$1&amp;$Z56, TRUE)</f>
        <v>0.77348066298342544</v>
      </c>
      <c r="V56" s="2705" cm="1">
        <f t="array" aca="1" ref="V56" ca="1">INDIRECT("'※ 영기팀 작성_가입자'!"&amp;V$2&amp;$Y56, TRUE)</f>
        <v>-265</v>
      </c>
      <c r="W56" s="3149" cm="1">
        <f t="array" aca="1" ref="W56" ca="1">INDIRECT("'※ 영기팀 작성_가입자'!"&amp;W$1&amp;$Y56, TRUE)</f>
        <v>770</v>
      </c>
      <c r="X56" s="3082" cm="1">
        <f t="array" aca="1" ref="X56" ca="1">INDIRECT("'※ 영기팀 작성_가입자'!"&amp;X$1&amp;$Y56, TRUE)</f>
        <v>84.416666666666629</v>
      </c>
      <c r="Y56" s="2988">
        <f>ROW('※ 영기팀 작성_가입자'!AH155)</f>
        <v>155</v>
      </c>
      <c r="Z56" s="2984">
        <f>ROW('※ 영기팀 작성_가입자'!AI353)</f>
        <v>353</v>
      </c>
    </row>
    <row r="57" spans="1:27" ht="18" customHeight="1" x14ac:dyDescent="0.55000000000000004">
      <c r="A57" s="7186"/>
      <c r="B57" s="3151" t="s">
        <v>79</v>
      </c>
      <c r="C57" s="3151"/>
      <c r="D57" s="3152" cm="1">
        <f t="array" aca="1" ref="D57" ca="1">INDIRECT("'※ 영기팀 작성_가입자'!"&amp;D$1&amp;$Y57, TRUE)</f>
        <v>5818</v>
      </c>
      <c r="E57" s="3153" cm="1">
        <f t="array" aca="1" ref="E57" ca="1">INDIRECT("'※ 영기팀 작성_가입자'!"&amp;E$1&amp;$Y57, TRUE)</f>
        <v>7324</v>
      </c>
      <c r="F57" s="3154" cm="1">
        <f t="array" aca="1" ref="F57" ca="1">INDIRECT("'※ 영기팀 작성_가입자'!"&amp;F$1&amp;$Y57, TRUE)</f>
        <v>873</v>
      </c>
      <c r="G57" s="3153" cm="1">
        <f t="array" aca="1" ref="G57" ca="1">INDIRECT("'※ 영기팀 작성_가입자'!"&amp;G$1&amp;$Y57, TRUE)</f>
        <v>723</v>
      </c>
      <c r="H57" s="3153" cm="1">
        <f t="array" aca="1" ref="H57" ca="1">INDIRECT("'※ 영기팀 작성_가입자'!"&amp;H$1&amp;$Y57, TRUE)</f>
        <v>690</v>
      </c>
      <c r="I57" s="3153" cm="1">
        <f t="array" aca="1" ref="I57" ca="1">INDIRECT("'※ 영기팀 작성_가입자'!"&amp;I$1&amp;$Y57, TRUE)</f>
        <v>1211</v>
      </c>
      <c r="J57" s="3153" cm="1">
        <f t="array" aca="1" ref="J57" ca="1">INDIRECT("'※ 영기팀 작성_가입자'!"&amp;J$1&amp;$Y57, TRUE)</f>
        <v>678</v>
      </c>
      <c r="K57" s="3153" cm="1">
        <f t="array" aca="1" ref="K57" ca="1">INDIRECT("'※ 영기팀 작성_가입자'!"&amp;K$1&amp;$Y57, TRUE)</f>
        <v>981</v>
      </c>
      <c r="L57" s="3153" cm="1">
        <f t="array" aca="1" ref="L57" ca="1">INDIRECT("'※ 영기팀 작성_가입자'!"&amp;L$1&amp;$Y57, TRUE)</f>
        <v>670</v>
      </c>
      <c r="M57" s="3153" cm="1">
        <f t="array" aca="1" ref="M57" ca="1">INDIRECT("'※ 영기팀 작성_가입자'!"&amp;M$1&amp;$Y57, TRUE)</f>
        <v>483</v>
      </c>
      <c r="N57" s="3155" cm="1">
        <f t="array" aca="1" ref="N57" ca="1">INDIRECT("'※ 영기팀 작성_가입자'!"&amp;N$1&amp;$Z57, TRUE)</f>
        <v>528</v>
      </c>
      <c r="O57" s="3155" cm="1">
        <f t="array" aca="1" ref="O57" ca="1">INDIRECT("'※ 영기팀 작성_가입자'!"&amp;O$1&amp;$Z57, TRUE)</f>
        <v>-114</v>
      </c>
      <c r="P57" s="3156" cm="1">
        <f t="array" aca="1" ref="P57" ca="1">INDIRECT("'※ 영기팀 작성_가입자'!"&amp;P$1&amp;$Z57, TRUE)</f>
        <v>0.80904522613065322</v>
      </c>
      <c r="Q57" s="3157" cm="1">
        <f t="array" aca="1" ref="Q57" ca="1">INDIRECT("'※ 영기팀 작성_가입자'!"&amp;Q$2&amp;$Y57,TRUE)</f>
        <v>-187</v>
      </c>
      <c r="R57" s="3158" cm="1">
        <f t="array" aca="1" ref="R57" ca="1">INDIRECT("'※ 영기팀 작성_가입자'!"&amp;R$2&amp;$Y57,TRUE)</f>
        <v>-390</v>
      </c>
      <c r="S57" s="3159" cm="1">
        <f t="array" aca="1" ref="S57" ca="1">INDIRECT("'※ 영기팀 작성_가입자'!"&amp;S$1&amp;$Y57, TRUE)</f>
        <v>1153</v>
      </c>
      <c r="T57" s="3155" cm="1">
        <f t="array" aca="1" ref="T57" ca="1">INDIRECT("'※ 영기팀 작성_가입자'!"&amp;T$1&amp;$Z57, TRUE)</f>
        <v>-126</v>
      </c>
      <c r="U57" s="3156" cm="1">
        <f t="array" aca="1" ref="U57" ca="1">INDIRECT("'※ 영기팀 작성_가입자'!"&amp;U$1&amp;$Z57, TRUE)</f>
        <v>0.90148553557466771</v>
      </c>
      <c r="V57" s="3160" cm="1">
        <f t="array" aca="1" ref="V57" ca="1">INDIRECT("'※ 영기팀 작성_가입자'!"&amp;V$2&amp;$Y57, TRUE)</f>
        <v>-144</v>
      </c>
      <c r="W57" s="3161" cm="1">
        <f t="array" aca="1" ref="W57" ca="1">INDIRECT("'※ 영기팀 작성_가입자'!"&amp;W$1&amp;$Y57, TRUE)</f>
        <v>576.5</v>
      </c>
      <c r="X57" s="3162" cm="1">
        <f t="array" aca="1" ref="X57" ca="1">INDIRECT("'※ 영기팀 작성_가입자'!"&amp;X$1&amp;$Y57, TRUE)</f>
        <v>82.416666666666629</v>
      </c>
      <c r="Y57" s="2988">
        <f>ROW('※ 영기팀 작성_가입자'!AH156)</f>
        <v>156</v>
      </c>
      <c r="Z57" s="2984">
        <f>ROW('※ 영기팀 작성_가입자'!AI354)</f>
        <v>354</v>
      </c>
    </row>
    <row r="58" spans="1:27" ht="18" customHeight="1" x14ac:dyDescent="0.55000000000000004">
      <c r="A58" s="7186"/>
      <c r="B58" s="673" t="s">
        <v>466</v>
      </c>
      <c r="C58" s="681"/>
      <c r="D58" s="3119" cm="1">
        <f t="array" aca="1" ref="D58" ca="1">INDIRECT("'※ 영기팀 작성_가입자'!"&amp;D$1&amp;$Y58, TRUE)</f>
        <v>2408</v>
      </c>
      <c r="E58" s="3120" cm="1">
        <f t="array" aca="1" ref="E58" ca="1">INDIRECT("'※ 영기팀 작성_가입자'!"&amp;E$1&amp;$Y58, TRUE)</f>
        <v>2844</v>
      </c>
      <c r="F58" s="3121" cm="1">
        <f t="array" aca="1" ref="F58" ca="1">INDIRECT("'※ 영기팀 작성_가입자'!"&amp;F$1&amp;$Y58, TRUE)</f>
        <v>333</v>
      </c>
      <c r="G58" s="3120" cm="1">
        <f t="array" aca="1" ref="G58" ca="1">INDIRECT("'※ 영기팀 작성_가입자'!"&amp;G$1&amp;$Y58, TRUE)</f>
        <v>266</v>
      </c>
      <c r="H58" s="3120" cm="1">
        <f t="array" aca="1" ref="H58" ca="1">INDIRECT("'※ 영기팀 작성_가입자'!"&amp;H$1&amp;$Y58, TRUE)</f>
        <v>337</v>
      </c>
      <c r="I58" s="3120" cm="1">
        <f t="array" aca="1" ref="I58" ca="1">INDIRECT("'※ 영기팀 작성_가입자'!"&amp;I$1&amp;$Y58, TRUE)</f>
        <v>668</v>
      </c>
      <c r="J58" s="3120" cm="1">
        <f t="array" aca="1" ref="J58" ca="1">INDIRECT("'※ 영기팀 작성_가입자'!"&amp;J$1&amp;$Y58, TRUE)</f>
        <v>333</v>
      </c>
      <c r="K58" s="3120" cm="1">
        <f t="array" aca="1" ref="K58" ca="1">INDIRECT("'※ 영기팀 작성_가입자'!"&amp;K$1&amp;$Y58, TRUE)</f>
        <v>466</v>
      </c>
      <c r="L58" s="3120" cm="1">
        <f t="array" aca="1" ref="L58" ca="1">INDIRECT("'※ 영기팀 작성_가입자'!"&amp;L$1&amp;$Y58, TRUE)</f>
        <v>284</v>
      </c>
      <c r="M58" s="3120" cm="1">
        <f t="array" aca="1" ref="M58" ca="1">INDIRECT("'※ 영기팀 작성_가입자'!"&amp;M$1&amp;$Y58, TRUE)</f>
        <v>194</v>
      </c>
      <c r="N58" s="3146" cm="1">
        <f t="array" aca="1" ref="N58" ca="1">INDIRECT("'※ 영기팀 작성_가입자'!"&amp;N$1&amp;$Z58, TRUE)</f>
        <v>224</v>
      </c>
      <c r="O58" s="3146" cm="1">
        <f t="array" aca="1" ref="O58" ca="1">INDIRECT("'※ 영기팀 작성_가입자'!"&amp;O$1&amp;$Z58, TRUE)</f>
        <v>-62</v>
      </c>
      <c r="P58" s="3147" cm="1">
        <f t="array" aca="1" ref="P58" ca="1">INDIRECT("'※ 영기팀 작성_가입자'!"&amp;P$1&amp;$Z58, TRUE)</f>
        <v>0.7578125</v>
      </c>
      <c r="Q58" s="2772" cm="1">
        <f t="array" aca="1" ref="Q58" ca="1">INDIRECT("'※ 영기팀 작성_가입자'!"&amp;Q$2&amp;$Y58,TRUE)</f>
        <v>-90</v>
      </c>
      <c r="R58" s="2773" cm="1">
        <f t="array" aca="1" ref="R58" ca="1">INDIRECT("'※ 영기팀 작성_가입자'!"&amp;R$2&amp;$Y58,TRUE)</f>
        <v>-139</v>
      </c>
      <c r="S58" s="3148" cm="1">
        <f t="array" aca="1" ref="S58" ca="1">INDIRECT("'※ 영기팀 작성_가입자'!"&amp;S$1&amp;$Y58, TRUE)</f>
        <v>478</v>
      </c>
      <c r="T58" s="3146" cm="1">
        <f t="array" aca="1" ref="T58" ca="1">INDIRECT("'※ 영기팀 작성_가입자'!"&amp;T$1&amp;$Z58, TRUE)</f>
        <v>-70</v>
      </c>
      <c r="U58" s="3147" cm="1">
        <f t="array" aca="1" ref="U58" ca="1">INDIRECT("'※ 영기팀 작성_가입자'!"&amp;U$1&amp;$Z58, TRUE)</f>
        <v>0.87226277372262773</v>
      </c>
      <c r="V58" s="2705" cm="1">
        <f t="array" aca="1" ref="V58" ca="1">INDIRECT("'※ 영기팀 작성_가입자'!"&amp;V$2&amp;$Y58, TRUE)</f>
        <v>-48</v>
      </c>
      <c r="W58" s="3149" cm="1">
        <f t="array" aca="1" ref="W58" ca="1">INDIRECT("'※ 영기팀 작성_가입자'!"&amp;W$1&amp;$Y58, TRUE)</f>
        <v>239</v>
      </c>
      <c r="X58" s="3082" cm="1">
        <f t="array" aca="1" ref="X58" ca="1">INDIRECT("'※ 영기팀 작성_가입자'!"&amp;X$1&amp;$Y58, TRUE)</f>
        <v>72.833333333333314</v>
      </c>
      <c r="Y58" s="2988">
        <f>ROW('※ 영기팀 작성_가입자'!AH157)</f>
        <v>157</v>
      </c>
      <c r="Z58" s="2984">
        <f>ROW('※ 영기팀 작성_가입자'!AI355)</f>
        <v>355</v>
      </c>
    </row>
    <row r="59" spans="1:27" x14ac:dyDescent="0.55000000000000004">
      <c r="A59" s="7186"/>
      <c r="B59" s="681" t="s">
        <v>467</v>
      </c>
      <c r="C59" s="681"/>
      <c r="D59" s="3119" cm="1">
        <f t="array" aca="1" ref="D59" ca="1">INDIRECT("'※ 영기팀 작성_가입자'!"&amp;D$1&amp;$Y59, TRUE)</f>
        <v>2258</v>
      </c>
      <c r="E59" s="3120" cm="1">
        <f t="array" aca="1" ref="E59" ca="1">INDIRECT("'※ 영기팀 작성_가입자'!"&amp;E$1&amp;$Y59, TRUE)</f>
        <v>3386</v>
      </c>
      <c r="F59" s="3121" cm="1">
        <f t="array" aca="1" ref="F59" ca="1">INDIRECT("'※ 영기팀 작성_가입자'!"&amp;F$1&amp;$Y59, TRUE)</f>
        <v>417</v>
      </c>
      <c r="G59" s="3120" cm="1">
        <f t="array" aca="1" ref="G59" ca="1">INDIRECT("'※ 영기팀 작성_가입자'!"&amp;G$1&amp;$Y59, TRUE)</f>
        <v>296</v>
      </c>
      <c r="H59" s="3120" cm="1">
        <f t="array" aca="1" ref="H59" ca="1">INDIRECT("'※ 영기팀 작성_가입자'!"&amp;H$1&amp;$Y59, TRUE)</f>
        <v>362</v>
      </c>
      <c r="I59" s="3120" cm="1">
        <f t="array" aca="1" ref="I59" ca="1">INDIRECT("'※ 영기팀 작성_가입자'!"&amp;I$1&amp;$Y59, TRUE)</f>
        <v>668</v>
      </c>
      <c r="J59" s="3120" cm="1">
        <f t="array" aca="1" ref="J59" ca="1">INDIRECT("'※ 영기팀 작성_가입자'!"&amp;J$1&amp;$Y59, TRUE)</f>
        <v>309</v>
      </c>
      <c r="K59" s="3120" cm="1">
        <f t="array" aca="1" ref="K59" ca="1">INDIRECT("'※ 영기팀 작성_가입자'!"&amp;K$1&amp;$Y59, TRUE)</f>
        <v>448</v>
      </c>
      <c r="L59" s="3120" cm="1">
        <f t="array" aca="1" ref="L59" ca="1">INDIRECT("'※ 영기팀 작성_가입자'!"&amp;L$1&amp;$Y59, TRUE)</f>
        <v>291</v>
      </c>
      <c r="M59" s="3120" cm="1">
        <f t="array" aca="1" ref="M59" ca="1">INDIRECT("'※ 영기팀 작성_가입자'!"&amp;M$1&amp;$Y59, TRUE)</f>
        <v>206</v>
      </c>
      <c r="N59" s="3146" cm="1">
        <f t="array" aca="1" ref="N59" ca="1">INDIRECT("'※ 영기팀 작성_가입자'!"&amp;N$1&amp;$Z59, TRUE)</f>
        <v>222</v>
      </c>
      <c r="O59" s="3146" cm="1">
        <f t="array" aca="1" ref="O59" ca="1">INDIRECT("'※ 영기팀 작성_가입자'!"&amp;O$1&amp;$Z59, TRUE)</f>
        <v>-75</v>
      </c>
      <c r="P59" s="3147" cm="1">
        <f t="array" aca="1" ref="P59" ca="1">INDIRECT("'※ 영기팀 작성_가입자'!"&amp;P$1&amp;$Z59, TRUE)</f>
        <v>0.73309608540925264</v>
      </c>
      <c r="Q59" s="2772" cm="1">
        <f t="array" aca="1" ref="Q59" ca="1">INDIRECT("'※ 영기팀 작성_가입자'!"&amp;Q$2&amp;$Y59,TRUE)</f>
        <v>-85</v>
      </c>
      <c r="R59" s="2773" cm="1">
        <f t="array" aca="1" ref="R59" ca="1">INDIRECT("'※ 영기팀 작성_가입자'!"&amp;R$2&amp;$Y59,TRUE)</f>
        <v>-211</v>
      </c>
      <c r="S59" s="3148" cm="1">
        <f t="array" aca="1" ref="S59" ca="1">INDIRECT("'※ 영기팀 작성_가입자'!"&amp;S$1&amp;$Y59, TRUE)</f>
        <v>497</v>
      </c>
      <c r="T59" s="3146" cm="1">
        <f t="array" aca="1" ref="T59" ca="1">INDIRECT("'※ 영기팀 작성_가입자'!"&amp;T$1&amp;$Z59, TRUE)</f>
        <v>-105</v>
      </c>
      <c r="U59" s="3147" cm="1">
        <f t="array" aca="1" ref="U59" ca="1">INDIRECT("'※ 영기팀 작성_가입자'!"&amp;U$1&amp;$Z59, TRUE)</f>
        <v>0.82558139534883723</v>
      </c>
      <c r="V59" s="2705" cm="1">
        <f t="array" aca="1" ref="V59" ca="1">INDIRECT("'※ 영기팀 작성_가입자'!"&amp;V$2&amp;$Y59, TRUE)</f>
        <v>-115</v>
      </c>
      <c r="W59" s="3149" cm="1">
        <f t="array" aca="1" ref="W59" ca="1">INDIRECT("'※ 영기팀 작성_가입자'!"&amp;W$1&amp;$Y59, TRUE)</f>
        <v>248.5</v>
      </c>
      <c r="X59" s="3082" cm="1">
        <f t="array" aca="1" ref="X59" ca="1">INDIRECT("'※ 영기팀 작성_가입자'!"&amp;X$1&amp;$Y59, TRUE)</f>
        <v>49.25</v>
      </c>
      <c r="Y59" s="2988">
        <f>ROW('※ 영기팀 작성_가입자'!AH158)</f>
        <v>158</v>
      </c>
      <c r="Z59" s="2984">
        <f>ROW('※ 영기팀 작성_가입자'!AI356)</f>
        <v>356</v>
      </c>
    </row>
    <row r="60" spans="1:27" ht="18" customHeight="1" x14ac:dyDescent="0.55000000000000004">
      <c r="A60" s="7186"/>
      <c r="B60" s="673" t="s">
        <v>468</v>
      </c>
      <c r="C60" s="681"/>
      <c r="D60" s="3119" cm="1">
        <f t="array" aca="1" ref="D60" ca="1">INDIRECT("'※ 영기팀 작성_가입자'!"&amp;D$1&amp;$Y60, TRUE)</f>
        <v>2683</v>
      </c>
      <c r="E60" s="3120" cm="1">
        <f t="array" aca="1" ref="E60" ca="1">INDIRECT("'※ 영기팀 작성_가입자'!"&amp;E$1&amp;$Y60, TRUE)</f>
        <v>3051</v>
      </c>
      <c r="F60" s="3121" cm="1">
        <f t="array" aca="1" ref="F60" ca="1">INDIRECT("'※ 영기팀 작성_가입자'!"&amp;F$1&amp;$Y60, TRUE)</f>
        <v>403</v>
      </c>
      <c r="G60" s="3120" cm="1">
        <f t="array" aca="1" ref="G60" ca="1">INDIRECT("'※ 영기팀 작성_가입자'!"&amp;G$1&amp;$Y60, TRUE)</f>
        <v>284</v>
      </c>
      <c r="H60" s="3120" cm="1">
        <f t="array" aca="1" ref="H60" ca="1">INDIRECT("'※ 영기팀 작성_가입자'!"&amp;H$1&amp;$Y60, TRUE)</f>
        <v>328</v>
      </c>
      <c r="I60" s="3120" cm="1">
        <f t="array" aca="1" ref="I60" ca="1">INDIRECT("'※ 영기팀 작성_가입자'!"&amp;I$1&amp;$Y60, TRUE)</f>
        <v>636</v>
      </c>
      <c r="J60" s="3120" cm="1">
        <f t="array" aca="1" ref="J60" ca="1">INDIRECT("'※ 영기팀 작성_가입자'!"&amp;J$1&amp;$Y60, TRUE)</f>
        <v>271</v>
      </c>
      <c r="K60" s="3120" cm="1">
        <f t="array" aca="1" ref="K60" ca="1">INDIRECT("'※ 영기팀 작성_가입자'!"&amp;K$1&amp;$Y60, TRUE)</f>
        <v>422</v>
      </c>
      <c r="L60" s="3120" cm="1">
        <f t="array" aca="1" ref="L60" ca="1">INDIRECT("'※ 영기팀 작성_가입자'!"&amp;L$1&amp;$Y60, TRUE)</f>
        <v>298</v>
      </c>
      <c r="M60" s="3120" cm="1">
        <f t="array" aca="1" ref="M60" ca="1">INDIRECT("'※ 영기팀 작성_가입자'!"&amp;M$1&amp;$Y60, TRUE)</f>
        <v>199</v>
      </c>
      <c r="N60" s="3146" cm="1">
        <f t="array" aca="1" ref="N60" ca="1">INDIRECT("'※ 영기팀 작성_가입자'!"&amp;N$1&amp;$Z60, TRUE)</f>
        <v>218</v>
      </c>
      <c r="O60" s="3146" cm="1">
        <f t="array" aca="1" ref="O60" ca="1">INDIRECT("'※ 영기팀 작성_가입자'!"&amp;O$1&amp;$Z60, TRUE)</f>
        <v>-60</v>
      </c>
      <c r="P60" s="3147" cm="1">
        <f t="array" aca="1" ref="P60" ca="1">INDIRECT("'※ 영기팀 작성_가입자'!"&amp;P$1&amp;$Z60, TRUE)</f>
        <v>0.76833976833976836</v>
      </c>
      <c r="Q60" s="2772" cm="1">
        <f t="array" aca="1" ref="Q60" ca="1">INDIRECT("'※ 영기팀 작성_가입자'!"&amp;Q$2&amp;$Y60,TRUE)</f>
        <v>-99</v>
      </c>
      <c r="R60" s="2773" cm="1">
        <f t="array" aca="1" ref="R60" ca="1">INDIRECT("'※ 영기팀 작성_가입자'!"&amp;R$2&amp;$Y60,TRUE)</f>
        <v>-204</v>
      </c>
      <c r="S60" s="3148" cm="1">
        <f t="array" aca="1" ref="S60" ca="1">INDIRECT("'※ 영기팀 작성_가입자'!"&amp;S$1&amp;$Y60, TRUE)</f>
        <v>497</v>
      </c>
      <c r="T60" s="3146" cm="1">
        <f t="array" aca="1" ref="T60" ca="1">INDIRECT("'※ 영기팀 작성_가입자'!"&amp;T$1&amp;$Z60, TRUE)</f>
        <v>-59</v>
      </c>
      <c r="U60" s="3147" cm="1">
        <f t="array" aca="1" ref="U60" ca="1">INDIRECT("'※ 영기팀 작성_가입자'!"&amp;U$1&amp;$Z60, TRUE)</f>
        <v>0.89388489208633093</v>
      </c>
      <c r="V60" s="2705" cm="1">
        <f t="array" aca="1" ref="V60" ca="1">INDIRECT("'※ 영기팀 작성_가입자'!"&amp;V$2&amp;$Y60, TRUE)</f>
        <v>-140</v>
      </c>
      <c r="W60" s="3149" cm="1">
        <f t="array" aca="1" ref="W60" ca="1">INDIRECT("'※ 영기팀 작성_가입자'!"&amp;W$1&amp;$Y60, TRUE)</f>
        <v>248.5</v>
      </c>
      <c r="X60" s="3082" cm="1">
        <f t="array" aca="1" ref="X60" ca="1">INDIRECT("'※ 영기팀 작성_가입자'!"&amp;X$1&amp;$Y60, TRUE)</f>
        <v>56.666666666666686</v>
      </c>
      <c r="Y60" s="2988">
        <f>ROW('※ 영기팀 작성_가입자'!AH159)</f>
        <v>159</v>
      </c>
      <c r="Z60" s="2984">
        <f>ROW('※ 영기팀 작성_가입자'!AI357)</f>
        <v>357</v>
      </c>
    </row>
    <row r="61" spans="1:27" ht="18" customHeight="1" x14ac:dyDescent="0.55000000000000004">
      <c r="A61" s="7186"/>
      <c r="B61" s="673" t="s">
        <v>465</v>
      </c>
      <c r="C61" s="681"/>
      <c r="D61" s="3119" cm="1">
        <f t="array" aca="1" ref="D61" ca="1">INDIRECT("'※ 영기팀 작성_가입자'!"&amp;D$1&amp;$Y61, TRUE)</f>
        <v>3342</v>
      </c>
      <c r="E61" s="3120" cm="1">
        <f t="array" aca="1" ref="E61" ca="1">INDIRECT("'※ 영기팀 작성_가입자'!"&amp;E$1&amp;$Y61, TRUE)</f>
        <v>4010</v>
      </c>
      <c r="F61" s="3121" cm="1">
        <f t="array" aca="1" ref="F61" ca="1">INDIRECT("'※ 영기팀 작성_가입자'!"&amp;F$1&amp;$Y61, TRUE)</f>
        <v>518</v>
      </c>
      <c r="G61" s="3120" cm="1">
        <f t="array" aca="1" ref="G61" ca="1">INDIRECT("'※ 영기팀 작성_가입자'!"&amp;G$1&amp;$Y61, TRUE)</f>
        <v>397</v>
      </c>
      <c r="H61" s="3120" cm="1">
        <f t="array" aca="1" ref="H61" ca="1">INDIRECT("'※ 영기팀 작성_가입자'!"&amp;H$1&amp;$Y61, TRUE)</f>
        <v>399</v>
      </c>
      <c r="I61" s="3120" cm="1">
        <f t="array" aca="1" ref="I61" ca="1">INDIRECT("'※ 영기팀 작성_가입자'!"&amp;I$1&amp;$Y61, TRUE)</f>
        <v>797</v>
      </c>
      <c r="J61" s="3120" cm="1">
        <f t="array" aca="1" ref="J61" ca="1">INDIRECT("'※ 영기팀 작성_가입자'!"&amp;J$1&amp;$Y61, TRUE)</f>
        <v>390</v>
      </c>
      <c r="K61" s="3120" cm="1">
        <f t="array" aca="1" ref="K61" ca="1">INDIRECT("'※ 영기팀 작성_가입자'!"&amp;K$1&amp;$Y61, TRUE)</f>
        <v>522</v>
      </c>
      <c r="L61" s="3120" cm="1">
        <f t="array" aca="1" ref="L61" ca="1">INDIRECT("'※ 영기팀 작성_가입자'!"&amp;L$1&amp;$Y61, TRUE)</f>
        <v>431</v>
      </c>
      <c r="M61" s="3120" cm="1">
        <f t="array" aca="1" ref="M61" ca="1">INDIRECT("'※ 영기팀 작성_가입자'!"&amp;M$1&amp;$Y61, TRUE)</f>
        <v>295</v>
      </c>
      <c r="N61" s="3146" cm="1">
        <f t="array" aca="1" ref="N61" ca="1">INDIRECT("'※ 영기팀 작성_가입자'!"&amp;N$1&amp;$Z61, TRUE)</f>
        <v>292</v>
      </c>
      <c r="O61" s="3146" cm="1">
        <f t="array" aca="1" ref="O61" ca="1">INDIRECT("'※ 영기팀 작성_가입자'!"&amp;O$1&amp;$Z61, TRUE)</f>
        <v>-54</v>
      </c>
      <c r="P61" s="3147" cm="1">
        <f t="array" aca="1" ref="P61" ca="1">INDIRECT("'※ 영기팀 작성_가입자'!"&amp;P$1&amp;$Z61, TRUE)</f>
        <v>0.8452722063037249</v>
      </c>
      <c r="Q61" s="2772" cm="1">
        <f t="array" aca="1" ref="Q61" ca="1">INDIRECT("'※ 영기팀 작성_가입자'!"&amp;Q$2&amp;$Y61,TRUE)</f>
        <v>-136</v>
      </c>
      <c r="R61" s="2773" cm="1">
        <f t="array" aca="1" ref="R61" ca="1">INDIRECT("'※ 영기팀 작성_가입자'!"&amp;R$2&amp;$Y61,TRUE)</f>
        <v>-223</v>
      </c>
      <c r="S61" s="3148" cm="1">
        <f t="array" aca="1" ref="S61" ca="1">INDIRECT("'※ 영기팀 작성_가입자'!"&amp;S$1&amp;$Y61, TRUE)</f>
        <v>726</v>
      </c>
      <c r="T61" s="3146" cm="1">
        <f t="array" aca="1" ref="T61" ca="1">INDIRECT("'※ 영기팀 작성_가입자'!"&amp;T$1&amp;$Z61, TRUE)</f>
        <v>-22</v>
      </c>
      <c r="U61" s="3147" cm="1">
        <f t="array" aca="1" ref="U61" ca="1">INDIRECT("'※ 영기팀 작성_가입자'!"&amp;U$1&amp;$Z61, TRUE)</f>
        <v>0.97058823529411764</v>
      </c>
      <c r="V61" s="2705" cm="1">
        <f t="array" aca="1" ref="V61" ca="1">INDIRECT("'※ 영기팀 작성_가입자'!"&amp;V$2&amp;$Y61, TRUE)</f>
        <v>-57</v>
      </c>
      <c r="W61" s="3149" cm="1">
        <f t="array" aca="1" ref="W61" ca="1">INDIRECT("'※ 영기팀 작성_가입자'!"&amp;W$1&amp;$Y61, TRUE)</f>
        <v>363</v>
      </c>
      <c r="X61" s="3082" cm="1">
        <f t="array" aca="1" ref="X61" ca="1">INDIRECT("'※ 영기팀 작성_가입자'!"&amp;X$1&amp;$Y61, TRUE)</f>
        <v>85.916666666666629</v>
      </c>
      <c r="Y61" s="2988">
        <f>ROW('※ 영기팀 작성_가입자'!AH160)</f>
        <v>160</v>
      </c>
      <c r="Z61" s="2984">
        <f>ROW('※ 영기팀 작성_가입자'!AI358)</f>
        <v>358</v>
      </c>
    </row>
    <row r="62" spans="1:27" ht="18" customHeight="1" x14ac:dyDescent="0.55000000000000004">
      <c r="A62" s="7186"/>
      <c r="B62" s="673" t="s">
        <v>469</v>
      </c>
      <c r="C62" s="3163"/>
      <c r="D62" s="3119" cm="1">
        <f t="array" aca="1" ref="D62" ca="1">INDIRECT("'※ 영기팀 작성_가입자'!"&amp;D$1&amp;$Y62, TRUE)</f>
        <v>4379</v>
      </c>
      <c r="E62" s="3120" cm="1">
        <f t="array" aca="1" ref="E62" ca="1">INDIRECT("'※ 영기팀 작성_가입자'!"&amp;E$1&amp;$Y62, TRUE)</f>
        <v>5755</v>
      </c>
      <c r="F62" s="3121" cm="1">
        <f t="array" aca="1" ref="F62" ca="1">INDIRECT("'※ 영기팀 작성_가입자'!"&amp;F$1&amp;$Y62, TRUE)</f>
        <v>663</v>
      </c>
      <c r="G62" s="3120" cm="1">
        <f t="array" aca="1" ref="G62" ca="1">INDIRECT("'※ 영기팀 작성_가입자'!"&amp;G$1&amp;$Y62, TRUE)</f>
        <v>472</v>
      </c>
      <c r="H62" s="3120" cm="1">
        <f t="array" aca="1" ref="H62" ca="1">INDIRECT("'※ 영기팀 작성_가입자'!"&amp;H$1&amp;$Y62, TRUE)</f>
        <v>591</v>
      </c>
      <c r="I62" s="3120" cm="1">
        <f t="array" aca="1" ref="I62" ca="1">INDIRECT("'※ 영기팀 작성_가입자'!"&amp;I$1&amp;$Y62, TRUE)</f>
        <v>1083</v>
      </c>
      <c r="J62" s="3120" cm="1">
        <f t="array" aca="1" ref="J62" ca="1">INDIRECT("'※ 영기팀 작성_가입자'!"&amp;J$1&amp;$Y62, TRUE)</f>
        <v>585</v>
      </c>
      <c r="K62" s="3120" cm="1">
        <f t="array" aca="1" ref="K62" ca="1">INDIRECT("'※ 영기팀 작성_가입자'!"&amp;K$1&amp;$Y62, TRUE)</f>
        <v>802</v>
      </c>
      <c r="L62" s="3120" cm="1">
        <f t="array" aca="1" ref="L62" ca="1">INDIRECT("'※ 영기팀 작성_가입자'!"&amp;L$1&amp;$Y62, TRUE)</f>
        <v>551</v>
      </c>
      <c r="M62" s="3120" cm="1">
        <f t="array" aca="1" ref="M62" ca="1">INDIRECT("'※ 영기팀 작성_가입자'!"&amp;M$1&amp;$Y62, TRUE)</f>
        <v>398</v>
      </c>
      <c r="N62" s="3146" cm="1">
        <f t="array" aca="1" ref="N62" ca="1">INDIRECT("'※ 영기팀 작성_가입자'!"&amp;N$1&amp;$Z62, TRUE)</f>
        <v>412</v>
      </c>
      <c r="O62" s="3146" cm="1">
        <f t="array" aca="1" ref="O62" ca="1">INDIRECT("'※ 영기팀 작성_가입자'!"&amp;O$1&amp;$Z62, TRUE)</f>
        <v>-87</v>
      </c>
      <c r="P62" s="3147" cm="1">
        <f t="array" aca="1" ref="P62" ca="1">INDIRECT("'※ 영기팀 작성_가입자'!"&amp;P$1&amp;$Z62, TRUE)</f>
        <v>0.8206185567010309</v>
      </c>
      <c r="Q62" s="2772" cm="1">
        <f t="array" aca="1" ref="Q62" ca="1">INDIRECT("'※ 영기팀 작성_가입자'!"&amp;Q$2&amp;$Y62,TRUE)</f>
        <v>-153</v>
      </c>
      <c r="R62" s="2773" cm="1">
        <f t="array" aca="1" ref="R62" ca="1">INDIRECT("'※ 영기팀 작성_가입자'!"&amp;R$2&amp;$Y62,TRUE)</f>
        <v>-265</v>
      </c>
      <c r="S62" s="3148" cm="1">
        <f t="array" aca="1" ref="S62" ca="1">INDIRECT("'※ 영기팀 작성_가입자'!"&amp;S$1&amp;$Y62, TRUE)</f>
        <v>949</v>
      </c>
      <c r="T62" s="3146" cm="1">
        <f t="array" aca="1" ref="T62" ca="1">INDIRECT("'※ 영기팀 작성_가입자'!"&amp;T$1&amp;$Z62, TRUE)</f>
        <v>-90</v>
      </c>
      <c r="U62" s="3147" cm="1">
        <f t="array" aca="1" ref="U62" ca="1">INDIRECT("'※ 영기팀 작성_가입자'!"&amp;U$1&amp;$Z62, TRUE)</f>
        <v>0.91337824831568815</v>
      </c>
      <c r="V62" s="2705" cm="1">
        <f t="array" aca="1" ref="V62" ca="1">INDIRECT("'※ 영기팀 작성_가입자'!"&amp;V$2&amp;$Y62, TRUE)</f>
        <v>-90</v>
      </c>
      <c r="W62" s="3149" cm="1">
        <f t="array" aca="1" ref="W62" ca="1">INDIRECT("'※ 영기팀 작성_가입자'!"&amp;W$1&amp;$Y62, TRUE)</f>
        <v>474.5</v>
      </c>
      <c r="X62" s="3082" cm="1">
        <f t="array" aca="1" ref="X62" ca="1">INDIRECT("'※ 영기팀 작성_가입자'!"&amp;X$1&amp;$Y62, TRUE)</f>
        <v>91.500000000000057</v>
      </c>
      <c r="Y62" s="2988">
        <f>ROW('※ 영기팀 작성_가입자'!AH161)</f>
        <v>161</v>
      </c>
      <c r="Z62" s="2984">
        <f>ROW('※ 영기팀 작성_가입자'!AI359)</f>
        <v>359</v>
      </c>
    </row>
    <row r="63" spans="1:27" ht="18" customHeight="1" x14ac:dyDescent="0.55000000000000004">
      <c r="A63" s="7186"/>
      <c r="B63" s="673" t="s">
        <v>470</v>
      </c>
      <c r="C63" s="3163"/>
      <c r="D63" s="3119" cm="1">
        <f t="array" aca="1" ref="D63" ca="1">INDIRECT("'※ 영기팀 작성_가입자'!"&amp;D$1&amp;$Y63, TRUE)</f>
        <v>3514</v>
      </c>
      <c r="E63" s="3120" cm="1">
        <f t="array" aca="1" ref="E63" ca="1">INDIRECT("'※ 영기팀 작성_가입자'!"&amp;E$1&amp;$Y63, TRUE)</f>
        <v>4080</v>
      </c>
      <c r="F63" s="3121" cm="1">
        <f t="array" aca="1" ref="F63" ca="1">INDIRECT("'※ 영기팀 작성_가입자'!"&amp;F$1&amp;$Y63, TRUE)</f>
        <v>496</v>
      </c>
      <c r="G63" s="3120" cm="1">
        <f t="array" aca="1" ref="G63" ca="1">INDIRECT("'※ 영기팀 작성_가입자'!"&amp;G$1&amp;$Y63, TRUE)</f>
        <v>366</v>
      </c>
      <c r="H63" s="3120" cm="1">
        <f t="array" aca="1" ref="H63" ca="1">INDIRECT("'※ 영기팀 작성_가입자'!"&amp;H$1&amp;$Y63, TRUE)</f>
        <v>433</v>
      </c>
      <c r="I63" s="3120" cm="1">
        <f t="array" aca="1" ref="I63" ca="1">INDIRECT("'※ 영기팀 작성_가입자'!"&amp;I$1&amp;$Y63, TRUE)</f>
        <v>682</v>
      </c>
      <c r="J63" s="3120" cm="1">
        <f t="array" aca="1" ref="J63" ca="1">INDIRECT("'※ 영기팀 작성_가입자'!"&amp;J$1&amp;$Y63, TRUE)</f>
        <v>414</v>
      </c>
      <c r="K63" s="3120" cm="1">
        <f t="array" aca="1" ref="K63" ca="1">INDIRECT("'※ 영기팀 작성_가입자'!"&amp;K$1&amp;$Y63, TRUE)</f>
        <v>560</v>
      </c>
      <c r="L63" s="3120" cm="1">
        <f t="array" aca="1" ref="L63" ca="1">INDIRECT("'※ 영기팀 작성_가입자'!"&amp;L$1&amp;$Y63, TRUE)</f>
        <v>401</v>
      </c>
      <c r="M63" s="3120" cm="1">
        <f t="array" aca="1" ref="M63" ca="1">INDIRECT("'※ 영기팀 작성_가입자'!"&amp;M$1&amp;$Y63, TRUE)</f>
        <v>217</v>
      </c>
      <c r="N63" s="3146" cm="1">
        <f t="array" aca="1" ref="N63" ca="1">INDIRECT("'※ 영기팀 작성_가입자'!"&amp;N$1&amp;$Z63, TRUE)</f>
        <v>293</v>
      </c>
      <c r="O63" s="3146" cm="1">
        <f t="array" aca="1" ref="O63" ca="1">INDIRECT("'※ 영기팀 작성_가입자'!"&amp;O$1&amp;$Z63, TRUE)</f>
        <v>-127</v>
      </c>
      <c r="P63" s="3147" cm="1">
        <f t="array" aca="1" ref="P63" ca="1">INDIRECT("'※ 영기팀 작성_가입자'!"&amp;P$1&amp;$Z63, TRUE)</f>
        <v>0.6308139534883721</v>
      </c>
      <c r="Q63" s="2772" cm="1">
        <f t="array" aca="1" ref="Q63" ca="1">INDIRECT("'※ 영기팀 작성_가입자'!"&amp;Q$2&amp;$Y63,TRUE)</f>
        <v>-184</v>
      </c>
      <c r="R63" s="2773" cm="1">
        <f t="array" aca="1" ref="R63" ca="1">INDIRECT("'※ 영기팀 작성_가입자'!"&amp;R$2&amp;$Y63,TRUE)</f>
        <v>-279</v>
      </c>
      <c r="S63" s="3148" cm="1">
        <f t="array" aca="1" ref="S63" ca="1">INDIRECT("'※ 영기팀 작성_가입자'!"&amp;S$1&amp;$Y63, TRUE)</f>
        <v>618</v>
      </c>
      <c r="T63" s="3146" cm="1">
        <f t="array" aca="1" ref="T63" ca="1">INDIRECT("'※ 영기팀 작성_가입자'!"&amp;T$1&amp;$Z63, TRUE)</f>
        <v>-119</v>
      </c>
      <c r="U63" s="3147" cm="1">
        <f t="array" aca="1" ref="U63" ca="1">INDIRECT("'※ 영기팀 작성_가입자'!"&amp;U$1&amp;$Z63, TRUE)</f>
        <v>0.83853459972862954</v>
      </c>
      <c r="V63" s="2705" cm="1">
        <f t="array" aca="1" ref="V63" ca="1">INDIRECT("'※ 영기팀 작성_가입자'!"&amp;V$2&amp;$Y63, TRUE)</f>
        <v>-97</v>
      </c>
      <c r="W63" s="3149" cm="1">
        <f t="array" aca="1" ref="W63" ca="1">INDIRECT("'※ 영기팀 작성_가입자'!"&amp;W$1&amp;$Y63, TRUE)</f>
        <v>309</v>
      </c>
      <c r="X63" s="3082" cm="1">
        <f t="array" aca="1" ref="X63" ca="1">INDIRECT("'※ 영기팀 작성_가입자'!"&amp;X$1&amp;$Y63, TRUE)</f>
        <v>63.583333333333314</v>
      </c>
      <c r="Y63" s="2988">
        <f>ROW('※ 영기팀 작성_가입자'!AH162)</f>
        <v>162</v>
      </c>
      <c r="Z63" s="2984">
        <f>ROW('※ 영기팀 작성_가입자'!AI360)</f>
        <v>360</v>
      </c>
    </row>
    <row r="64" spans="1:27" ht="18" customHeight="1" x14ac:dyDescent="0.55000000000000004">
      <c r="A64" s="7186"/>
      <c r="B64" s="886" t="s">
        <v>471</v>
      </c>
      <c r="C64" s="1506"/>
      <c r="D64" s="3074" cm="1">
        <f t="array" aca="1" ref="D64" ca="1">INDIRECT("'※ 영기팀 작성_가입자'!"&amp;D$1&amp;$Y64, TRUE)</f>
        <v>5645</v>
      </c>
      <c r="E64" s="3075" cm="1">
        <f t="array" aca="1" ref="E64" ca="1">INDIRECT("'※ 영기팀 작성_가입자'!"&amp;E$1&amp;$Y64, TRUE)</f>
        <v>6816</v>
      </c>
      <c r="F64" s="3076" cm="1">
        <f t="array" aca="1" ref="F64" ca="1">INDIRECT("'※ 영기팀 작성_가입자'!"&amp;F$1&amp;$Y64, TRUE)</f>
        <v>687</v>
      </c>
      <c r="G64" s="3075" cm="1">
        <f t="array" aca="1" ref="G64" ca="1">INDIRECT("'※ 영기팀 작성_가입자'!"&amp;G$1&amp;$Y64, TRUE)</f>
        <v>555</v>
      </c>
      <c r="H64" s="3075" cm="1">
        <f t="array" aca="1" ref="H64" ca="1">INDIRECT("'※ 영기팀 작성_가입자'!"&amp;H$1&amp;$Y64, TRUE)</f>
        <v>781</v>
      </c>
      <c r="I64" s="3075" cm="1">
        <f t="array" aca="1" ref="I64" ca="1">INDIRECT("'※ 영기팀 작성_가입자'!"&amp;I$1&amp;$Y64, TRUE)</f>
        <v>1033</v>
      </c>
      <c r="J64" s="3075" cm="1">
        <f t="array" aca="1" ref="J64" ca="1">INDIRECT("'※ 영기팀 작성_가입자'!"&amp;J$1&amp;$Y64, TRUE)</f>
        <v>676</v>
      </c>
      <c r="K64" s="3075" cm="1">
        <f t="array" aca="1" ref="K64" ca="1">INDIRECT("'※ 영기팀 작성_가입자'!"&amp;K$1&amp;$Y64, TRUE)</f>
        <v>950</v>
      </c>
      <c r="L64" s="3075" cm="1">
        <f t="array" aca="1" ref="L64" ca="1">INDIRECT("'※ 영기팀 작성_가입자'!"&amp;L$1&amp;$Y64, TRUE)</f>
        <v>495</v>
      </c>
      <c r="M64" s="3075" cm="1">
        <f t="array" aca="1" ref="M64" ca="1">INDIRECT("'※ 영기팀 작성_가입자'!"&amp;M$1&amp;$Y64, TRUE)</f>
        <v>344</v>
      </c>
      <c r="N64" s="3164" cm="1">
        <f t="array" aca="1" ref="N64" ca="1">INDIRECT("'※ 영기팀 작성_가입자'!"&amp;N$1&amp;$Z64, TRUE)</f>
        <v>491</v>
      </c>
      <c r="O64" s="3164" cm="1">
        <f t="array" aca="1" ref="O64" ca="1">INDIRECT("'※ 영기팀 작성_가입자'!"&amp;O$1&amp;$Z64, TRUE)</f>
        <v>-203</v>
      </c>
      <c r="P64" s="3165" cm="1">
        <f t="array" aca="1" ref="P64" ca="1">INDIRECT("'※ 영기팀 작성_가입자'!"&amp;P$1&amp;$Z64, TRUE)</f>
        <v>0.62888482632541132</v>
      </c>
      <c r="Q64" s="2693" cm="1">
        <f t="array" aca="1" ref="Q64" ca="1">INDIRECT("'※ 영기팀 작성_가입자'!"&amp;Q$2&amp;$Y64,TRUE)</f>
        <v>-151</v>
      </c>
      <c r="R64" s="3166" cm="1">
        <f t="array" aca="1" ref="R64" ca="1">INDIRECT("'※ 영기팀 작성_가입자'!"&amp;R$2&amp;$Y64,TRUE)</f>
        <v>-343</v>
      </c>
      <c r="S64" s="3167" cm="1">
        <f t="array" aca="1" ref="S64" ca="1">INDIRECT("'※ 영기팀 작성_가입자'!"&amp;S$1&amp;$Y64, TRUE)</f>
        <v>839</v>
      </c>
      <c r="T64" s="3164" cm="1">
        <f t="array" aca="1" ref="T64" ca="1">INDIRECT("'※ 영기팀 작성_가입자'!"&amp;T$1&amp;$Z64, TRUE)</f>
        <v>-333</v>
      </c>
      <c r="U64" s="3165" cm="1">
        <f t="array" aca="1" ref="U64" ca="1">INDIRECT("'※ 영기팀 작성_가입자'!"&amp;U$1&amp;$Z64, TRUE)</f>
        <v>0.71587030716723554</v>
      </c>
      <c r="V64" s="2705" cm="1">
        <f t="array" aca="1" ref="V64" ca="1">INDIRECT("'※ 영기팀 작성_가입자'!"&amp;V$2&amp;$Y64, TRUE)</f>
        <v>-148</v>
      </c>
      <c r="W64" s="3149" cm="1">
        <f t="array" aca="1" ref="W64" ca="1">INDIRECT("'※ 영기팀 작성_가입자'!"&amp;W$1&amp;$Y64, TRUE)</f>
        <v>419.5</v>
      </c>
      <c r="X64" s="3082" cm="1">
        <f t="array" aca="1" ref="X64" ca="1">INDIRECT("'※ 영기팀 작성_가입자'!"&amp;X$1&amp;$Y64, TRUE)</f>
        <v>46.583333333333371</v>
      </c>
      <c r="Y64" s="2988">
        <f>ROW('※ 영기팀 작성_가입자'!AH163)</f>
        <v>163</v>
      </c>
      <c r="Z64" s="2984">
        <f>ROW('※ 영기팀 작성_가입자'!AI361)</f>
        <v>361</v>
      </c>
    </row>
    <row r="65" spans="1:30" ht="18" customHeight="1" x14ac:dyDescent="0.55000000000000004">
      <c r="A65" s="7186"/>
      <c r="B65" s="673" t="s">
        <v>472</v>
      </c>
      <c r="C65" s="3163"/>
      <c r="D65" s="3119" cm="1">
        <f t="array" aca="1" ref="D65" ca="1">INDIRECT("'※ 영기팀 작성_가입자'!"&amp;D$1&amp;$Y65, TRUE)</f>
        <v>3827</v>
      </c>
      <c r="E65" s="3120" cm="1">
        <f t="array" aca="1" ref="E65" ca="1">INDIRECT("'※ 영기팀 작성_가입자'!"&amp;E$1&amp;$Y65, TRUE)</f>
        <v>4825</v>
      </c>
      <c r="F65" s="3121" cm="1">
        <f t="array" aca="1" ref="F65" ca="1">INDIRECT("'※ 영기팀 작성_가입자'!"&amp;F$1&amp;$Y65, TRUE)</f>
        <v>531</v>
      </c>
      <c r="G65" s="3120" cm="1">
        <f t="array" aca="1" ref="G65" ca="1">INDIRECT("'※ 영기팀 작성_가입자'!"&amp;G$1&amp;$Y65, TRUE)</f>
        <v>386</v>
      </c>
      <c r="H65" s="3120" cm="1">
        <f t="array" aca="1" ref="H65" ca="1">INDIRECT("'※ 영기팀 작성_가입자'!"&amp;H$1&amp;$Y65, TRUE)</f>
        <v>511</v>
      </c>
      <c r="I65" s="3120" cm="1">
        <f t="array" aca="1" ref="I65" ca="1">INDIRECT("'※ 영기팀 작성_가입자'!"&amp;I$1&amp;$Y65, TRUE)</f>
        <v>785</v>
      </c>
      <c r="J65" s="3120" cm="1">
        <f t="array" aca="1" ref="J65" ca="1">INDIRECT("'※ 영기팀 작성_가입자'!"&amp;J$1&amp;$Y65, TRUE)</f>
        <v>433</v>
      </c>
      <c r="K65" s="3120" cm="1">
        <f t="array" aca="1" ref="K65" ca="1">INDIRECT("'※ 영기팀 작성_가입자'!"&amp;K$1&amp;$Y65, TRUE)</f>
        <v>621</v>
      </c>
      <c r="L65" s="3120" cm="1">
        <f t="array" aca="1" ref="L65" ca="1">INDIRECT("'※ 영기팀 작성_가입자'!"&amp;L$1&amp;$Y65, TRUE)</f>
        <v>439</v>
      </c>
      <c r="M65" s="3120" cm="1">
        <f t="array" aca="1" ref="M65" ca="1">INDIRECT("'※ 영기팀 작성_가입자'!"&amp;M$1&amp;$Y65, TRUE)</f>
        <v>262</v>
      </c>
      <c r="N65" s="3146" cm="1">
        <f t="array" aca="1" ref="N65" ca="1">INDIRECT("'※ 영기팀 작성_가입자'!"&amp;N$1&amp;$Z65, TRUE)</f>
        <v>320</v>
      </c>
      <c r="O65" s="3146" cm="1">
        <f t="array" aca="1" ref="O65" ca="1">INDIRECT("'※ 영기팀 작성_가입자'!"&amp;O$1&amp;$Z65, TRUE)</f>
        <v>-120</v>
      </c>
      <c r="P65" s="3147" cm="1">
        <f t="array" aca="1" ref="P65" ca="1">INDIRECT("'※ 영기팀 작성_가입자'!"&amp;P$1&amp;$Z65, TRUE)</f>
        <v>0.68586387434554974</v>
      </c>
      <c r="Q65" s="2772" cm="1">
        <f t="array" aca="1" ref="Q65" ca="1">INDIRECT("'※ 영기팀 작성_가입자'!"&amp;Q$2&amp;$Y65,TRUE)</f>
        <v>-177</v>
      </c>
      <c r="R65" s="2773" cm="1">
        <f t="array" aca="1" ref="R65" ca="1">INDIRECT("'※ 영기팀 작성_가입자'!"&amp;R$2&amp;$Y65,TRUE)</f>
        <v>-269</v>
      </c>
      <c r="S65" s="3148" cm="1">
        <f t="array" aca="1" ref="S65" ca="1">INDIRECT("'※ 영기팀 작성_가입자'!"&amp;S$1&amp;$Y65, TRUE)</f>
        <v>701</v>
      </c>
      <c r="T65" s="3146" cm="1">
        <f t="array" aca="1" ref="T65" ca="1">INDIRECT("'※ 영기팀 작성_가입자'!"&amp;T$1&amp;$Z65, TRUE)</f>
        <v>-118</v>
      </c>
      <c r="U65" s="3147" cm="1">
        <f t="array" aca="1" ref="U65" ca="1">INDIRECT("'※ 영기팀 작성_가입자'!"&amp;U$1&amp;$Z65, TRUE)</f>
        <v>0.85592185592185588</v>
      </c>
      <c r="V65" s="2705" cm="1">
        <f t="array" aca="1" ref="V65" ca="1">INDIRECT("'※ 영기팀 작성_가입자'!"&amp;V$2&amp;$Y65, TRUE)</f>
        <v>-117</v>
      </c>
      <c r="W65" s="3149" cm="1">
        <f t="array" aca="1" ref="W65" ca="1">INDIRECT("'※ 영기팀 작성_가입자'!"&amp;W$1&amp;$Y65, TRUE)</f>
        <v>350.5</v>
      </c>
      <c r="X65" s="3082" cm="1">
        <f t="array" aca="1" ref="X65" ca="1">INDIRECT("'※ 영기팀 작성_가입자'!"&amp;X$1&amp;$Y65, TRUE)</f>
        <v>37.833333333333371</v>
      </c>
      <c r="Y65" s="2988">
        <f>ROW('※ 영기팀 작성_가입자'!AH164)</f>
        <v>164</v>
      </c>
      <c r="Z65" s="2984">
        <f>ROW('※ 영기팀 작성_가입자'!AI362)</f>
        <v>362</v>
      </c>
    </row>
    <row r="66" spans="1:30" ht="18" customHeight="1" x14ac:dyDescent="0.55000000000000004">
      <c r="A66" s="7186"/>
      <c r="B66" s="673" t="s">
        <v>473</v>
      </c>
      <c r="C66" s="3163"/>
      <c r="D66" s="3119" cm="1">
        <f t="array" aca="1" ref="D66" ca="1">INDIRECT("'※ 영기팀 작성_가입자'!"&amp;D$1&amp;$Y66, TRUE)</f>
        <v>3404</v>
      </c>
      <c r="E66" s="3120" cm="1">
        <f t="array" aca="1" ref="E66" ca="1">INDIRECT("'※ 영기팀 작성_가입자'!"&amp;E$1&amp;$Y66, TRUE)</f>
        <v>3935</v>
      </c>
      <c r="F66" s="3121" cm="1">
        <f t="array" aca="1" ref="F66" ca="1">INDIRECT("'※ 영기팀 작성_가입자'!"&amp;F$1&amp;$Y66, TRUE)</f>
        <v>513</v>
      </c>
      <c r="G66" s="3120" cm="1">
        <f t="array" aca="1" ref="G66" ca="1">INDIRECT("'※ 영기팀 작성_가입자'!"&amp;G$1&amp;$Y66, TRUE)</f>
        <v>378</v>
      </c>
      <c r="H66" s="3120" cm="1">
        <f t="array" aca="1" ref="H66" ca="1">INDIRECT("'※ 영기팀 작성_가입자'!"&amp;H$1&amp;$Y66, TRUE)</f>
        <v>392</v>
      </c>
      <c r="I66" s="3120" cm="1">
        <f t="array" aca="1" ref="I66" ca="1">INDIRECT("'※ 영기팀 작성_가입자'!"&amp;I$1&amp;$Y66, TRUE)</f>
        <v>646</v>
      </c>
      <c r="J66" s="3120" cm="1">
        <f t="array" aca="1" ref="J66" ca="1">INDIRECT("'※ 영기팀 작성_가입자'!"&amp;J$1&amp;$Y66, TRUE)</f>
        <v>308</v>
      </c>
      <c r="K66" s="3120" cm="1">
        <f t="array" aca="1" ref="K66" ca="1">INDIRECT("'※ 영기팀 작성_가입자'!"&amp;K$1&amp;$Y66, TRUE)</f>
        <v>527</v>
      </c>
      <c r="L66" s="3120" cm="1">
        <f t="array" aca="1" ref="L66" ca="1">INDIRECT("'※ 영기팀 작성_가입자'!"&amp;L$1&amp;$Y66, TRUE)</f>
        <v>349</v>
      </c>
      <c r="M66" s="3120" cm="1">
        <f t="array" aca="1" ref="M66" ca="1">INDIRECT("'※ 영기팀 작성_가입자'!"&amp;M$1&amp;$Y66, TRUE)</f>
        <v>282</v>
      </c>
      <c r="N66" s="3146" cm="1">
        <f t="array" aca="1" ref="N66" ca="1">INDIRECT("'※ 영기팀 작성_가입자'!"&amp;N$1&amp;$Z66, TRUE)</f>
        <v>296</v>
      </c>
      <c r="O66" s="3146" cm="1">
        <f t="array" aca="1" ref="O66" ca="1">INDIRECT("'※ 영기팀 작성_가입자'!"&amp;O$1&amp;$Z66, TRUE)</f>
        <v>-38</v>
      </c>
      <c r="P66" s="3147" cm="1">
        <f t="array" aca="1" ref="P66" ca="1">INDIRECT("'※ 영기팀 작성_가입자'!"&amp;P$1&amp;$Z66, TRUE)</f>
        <v>0.88124999999999998</v>
      </c>
      <c r="Q66" s="2772" cm="1">
        <f t="array" aca="1" ref="Q66" ca="1">INDIRECT("'※ 영기팀 작성_가입자'!"&amp;Q$2&amp;$Y66,TRUE)</f>
        <v>-67</v>
      </c>
      <c r="R66" s="2773" cm="1">
        <f t="array" aca="1" ref="R66" ca="1">INDIRECT("'※ 영기팀 작성_가입자'!"&amp;R$2&amp;$Y66,TRUE)</f>
        <v>-231</v>
      </c>
      <c r="S66" s="3148" cm="1">
        <f t="array" aca="1" ref="S66" ca="1">INDIRECT("'※ 영기팀 작성_가입자'!"&amp;S$1&amp;$Y66, TRUE)</f>
        <v>631</v>
      </c>
      <c r="T66" s="3146" cm="1">
        <f t="array" aca="1" ref="T66" ca="1">INDIRECT("'※ 영기팀 작성_가입자'!"&amp;T$1&amp;$Z66, TRUE)</f>
        <v>-54</v>
      </c>
      <c r="U66" s="3147" cm="1">
        <f t="array" aca="1" ref="U66" ca="1">INDIRECT("'※ 영기팀 작성_가입자'!"&amp;U$1&amp;$Z66, TRUE)</f>
        <v>0.92116788321167886</v>
      </c>
      <c r="V66" s="2705" cm="1">
        <f t="array" aca="1" ref="V66" ca="1">INDIRECT("'※ 영기팀 작성_가입자'!"&amp;V$2&amp;$Y66, TRUE)</f>
        <v>-108</v>
      </c>
      <c r="W66" s="3149" cm="1">
        <f t="array" aca="1" ref="W66" ca="1">INDIRECT("'※ 영기팀 작성_가입자'!"&amp;W$1&amp;$Y66, TRUE)</f>
        <v>315.5</v>
      </c>
      <c r="X66" s="3082" cm="1">
        <f t="array" aca="1" ref="X66" ca="1">INDIRECT("'※ 영기팀 작성_가입자'!"&amp;X$1&amp;$Y66, TRUE)</f>
        <v>37.916666666666629</v>
      </c>
      <c r="Y66" s="2988">
        <f>ROW('※ 영기팀 작성_가입자'!AH165)</f>
        <v>165</v>
      </c>
      <c r="Z66" s="2984">
        <f>ROW('※ 영기팀 작성_가입자'!AI363)</f>
        <v>363</v>
      </c>
    </row>
    <row r="67" spans="1:30" ht="18" customHeight="1" thickBot="1" x14ac:dyDescent="0.6">
      <c r="A67" s="7187"/>
      <c r="B67" s="3168" t="s">
        <v>474</v>
      </c>
      <c r="C67" s="3168"/>
      <c r="D67" s="3169" cm="1">
        <f t="array" aca="1" ref="D67" ca="1">INDIRECT("'※ 영기팀 작성_가입자'!"&amp;D$1&amp;$Y67, TRUE)</f>
        <v>2414</v>
      </c>
      <c r="E67" s="3128" cm="1">
        <f t="array" aca="1" ref="E67" ca="1">INDIRECT("'※ 영기팀 작성_가입자'!"&amp;E$1&amp;$Y67, TRUE)</f>
        <v>3389</v>
      </c>
      <c r="F67" s="3129" cm="1">
        <f t="array" aca="1" ref="F67" ca="1">INDIRECT("'※ 영기팀 작성_가입자'!"&amp;F$1&amp;$Y67, TRUE)</f>
        <v>360</v>
      </c>
      <c r="G67" s="3128" cm="1">
        <f t="array" aca="1" ref="G67" ca="1">INDIRECT("'※ 영기팀 작성_가입자'!"&amp;G$1&amp;$Y67, TRUE)</f>
        <v>345</v>
      </c>
      <c r="H67" s="3128" cm="1">
        <f t="array" aca="1" ref="H67" ca="1">INDIRECT("'※ 영기팀 작성_가입자'!"&amp;H$1&amp;$Y67, TRUE)</f>
        <v>298</v>
      </c>
      <c r="I67" s="3128" cm="1">
        <f t="array" aca="1" ref="I67" ca="1">INDIRECT("'※ 영기팀 작성_가입자'!"&amp;I$1&amp;$Y67, TRUE)</f>
        <v>565</v>
      </c>
      <c r="J67" s="3128" cm="1">
        <f t="array" aca="1" ref="J67" ca="1">INDIRECT("'※ 영기팀 작성_가입자'!"&amp;J$1&amp;$Y67, TRUE)</f>
        <v>370</v>
      </c>
      <c r="K67" s="3128" cm="1">
        <f t="array" aca="1" ref="K67" ca="1">INDIRECT("'※ 영기팀 작성_가입자'!"&amp;K$1&amp;$Y67, TRUE)</f>
        <v>454</v>
      </c>
      <c r="L67" s="3128" cm="1">
        <f t="array" aca="1" ref="L67" ca="1">INDIRECT("'※ 영기팀 작성_가입자'!"&amp;L$1&amp;$Y67, TRUE)</f>
        <v>321</v>
      </c>
      <c r="M67" s="3128" cm="1">
        <f t="array" aca="1" ref="M67" ca="1">INDIRECT("'※ 영기팀 작성_가입자'!"&amp;M$1&amp;$Y67, TRUE)</f>
        <v>201</v>
      </c>
      <c r="N67" s="3170" cm="1">
        <f t="array" aca="1" ref="N67" ca="1">INDIRECT("'※ 영기팀 작성_가입자'!"&amp;N$1&amp;$Z67, TRUE)</f>
        <v>232</v>
      </c>
      <c r="O67" s="3170" cm="1">
        <f t="array" aca="1" ref="O67" ca="1">INDIRECT("'※ 영기팀 작성_가입자'!"&amp;O$1&amp;$Z67, TRUE)</f>
        <v>-76</v>
      </c>
      <c r="P67" s="3171" cm="1">
        <f t="array" aca="1" ref="P67" ca="1">INDIRECT("'※ 영기팀 작성_가입자'!"&amp;P$1&amp;$Z67, TRUE)</f>
        <v>0.72563176895306858</v>
      </c>
      <c r="Q67" s="3172" cm="1">
        <f t="array" aca="1" ref="Q67" ca="1">INDIRECT("'※ 영기팀 작성_가입자'!"&amp;Q$2&amp;$Y67,TRUE)</f>
        <v>-120</v>
      </c>
      <c r="R67" s="3173" cm="1">
        <f t="array" aca="1" ref="R67" ca="1">INDIRECT("'※ 영기팀 작성_가입자'!"&amp;R$2&amp;$Y67,TRUE)</f>
        <v>-159</v>
      </c>
      <c r="S67" s="3174" cm="1">
        <f t="array" aca="1" ref="S67" ca="1">INDIRECT("'※ 영기팀 작성_가입자'!"&amp;S$1&amp;$Y67, TRUE)</f>
        <v>522</v>
      </c>
      <c r="T67" s="3170" cm="1">
        <f t="array" aca="1" ref="T67" ca="1">INDIRECT("'※ 영기팀 작성_가입자'!"&amp;T$1&amp;$Z67, TRUE)</f>
        <v>-72</v>
      </c>
      <c r="U67" s="3171" cm="1">
        <f t="array" aca="1" ref="U67" ca="1">INDIRECT("'※ 영기팀 작성_가입자'!"&amp;U$1&amp;$Z67, TRUE)</f>
        <v>0.87878787878787878</v>
      </c>
      <c r="V67" s="3175" cm="1">
        <f t="array" aca="1" ref="V67" ca="1">INDIRECT("'※ 영기팀 작성_가입자'!"&amp;V$2&amp;$Y67, TRUE)</f>
        <v>-36</v>
      </c>
      <c r="W67" s="3176" cm="1">
        <f t="array" aca="1" ref="W67" ca="1">INDIRECT("'※ 영기팀 작성_가입자'!"&amp;W$1&amp;$Y67, TRUE)</f>
        <v>261</v>
      </c>
      <c r="X67" s="3136" cm="1">
        <f t="array" aca="1" ref="X67" ca="1">INDIRECT("'※ 영기팀 작성_가입자'!"&amp;X$1&amp;$Y67, TRUE)</f>
        <v>44.5</v>
      </c>
      <c r="Y67" s="2988">
        <f>ROW('※ 영기팀 작성_가입자'!AH166)</f>
        <v>166</v>
      </c>
      <c r="Z67" s="2984">
        <f>ROW('※ 영기팀 작성_가입자'!AI364)</f>
        <v>364</v>
      </c>
    </row>
    <row r="68" spans="1:30" ht="5.05" customHeight="1" thickBot="1" x14ac:dyDescent="0.6">
      <c r="A68" s="2771"/>
      <c r="B68" s="698"/>
      <c r="C68" s="698"/>
      <c r="D68" s="972"/>
      <c r="E68" s="1300"/>
      <c r="F68" s="971"/>
      <c r="G68" s="972"/>
      <c r="H68" s="972"/>
      <c r="I68" s="972"/>
      <c r="J68" s="972"/>
      <c r="K68" s="972"/>
      <c r="L68" s="972"/>
      <c r="M68" s="972"/>
      <c r="N68" s="972"/>
      <c r="O68" s="972"/>
      <c r="P68" s="972"/>
      <c r="Q68" s="972"/>
      <c r="R68" s="972"/>
      <c r="S68" s="1300"/>
      <c r="T68" s="1300"/>
      <c r="U68" s="1300"/>
      <c r="V68" s="581"/>
      <c r="W68" s="581"/>
      <c r="X68" s="581"/>
      <c r="Y68" s="2988"/>
    </row>
    <row r="69" spans="1:30" ht="18" customHeight="1" x14ac:dyDescent="0.55000000000000004">
      <c r="A69" s="7185" t="s">
        <v>80</v>
      </c>
      <c r="B69" s="3137" t="s">
        <v>607</v>
      </c>
      <c r="C69" s="3137"/>
      <c r="D69" s="3177" cm="1">
        <f t="array" aca="1" ref="D69" ca="1">INDIRECT("'※ 영기팀 작성_가입자'!"&amp;D$1&amp;$Y69, TRUE)</f>
        <v>31901</v>
      </c>
      <c r="E69" s="3178" cm="1">
        <f t="array" aca="1" ref="E69" ca="1">INDIRECT("'※ 영기팀 작성_가입자'!"&amp;E$1&amp;$Y69, TRUE)</f>
        <v>39553</v>
      </c>
      <c r="F69" s="3179" cm="1">
        <f t="array" aca="1" ref="F69" ca="1">INDIRECT("'※ 영기팀 작성_가입자'!"&amp;F$1&amp;$Y69, TRUE)</f>
        <v>4420</v>
      </c>
      <c r="G69" s="3178" cm="1">
        <f t="array" aca="1" ref="G69" ca="1">INDIRECT("'※ 영기팀 작성_가입자'!"&amp;G$1&amp;$Y69, TRUE)</f>
        <v>3884</v>
      </c>
      <c r="H69" s="3178" cm="1">
        <f t="array" aca="1" ref="H69" ca="1">INDIRECT("'※ 영기팀 작성_가입자'!"&amp;H$1&amp;$Y69, TRUE)</f>
        <v>4016</v>
      </c>
      <c r="I69" s="3178" cm="1">
        <f t="array" aca="1" ref="I69" ca="1">INDIRECT("'※ 영기팀 작성_가입자'!"&amp;I$1&amp;$Y69, TRUE)</f>
        <v>7752</v>
      </c>
      <c r="J69" s="3178" cm="1">
        <f t="array" aca="1" ref="J69" ca="1">INDIRECT("'※ 영기팀 작성_가입자'!"&amp;J$1&amp;$Y69, TRUE)</f>
        <v>6076</v>
      </c>
      <c r="K69" s="3178" cm="1">
        <f t="array" aca="1" ref="K69" ca="1">INDIRECT("'※ 영기팀 작성_가입자'!"&amp;K$1&amp;$Y69, TRUE)</f>
        <v>5412</v>
      </c>
      <c r="L69" s="3178" cm="1">
        <f t="array" aca="1" ref="L69" ca="1">INDIRECT("'※ 영기팀 작성_가입자'!"&amp;L$1&amp;$Y69, TRUE)</f>
        <v>3989</v>
      </c>
      <c r="M69" s="3178" cm="1">
        <f t="array" aca="1" ref="M69" ca="1">INDIRECT("'※ 영기팀 작성_가입자'!"&amp;M$1&amp;$Y69, TRUE)</f>
        <v>2832</v>
      </c>
      <c r="N69" s="3139" cm="1">
        <f t="array" aca="1" ref="N69" ca="1">INDIRECT("'※ 영기팀 작성_가입자'!"&amp;N$1&amp;$Z69, TRUE)</f>
        <v>3800</v>
      </c>
      <c r="O69" s="3139" cm="1">
        <f t="array" aca="1" ref="O69" ca="1">INDIRECT("'※ 영기팀 작성_가입자'!"&amp;O$1&amp;$Z69, TRUE)</f>
        <v>-1168</v>
      </c>
      <c r="P69" s="3140" cm="1">
        <f t="array" aca="1" ref="P69" ca="1">INDIRECT("'※ 영기팀 작성_가입자'!"&amp;P$1&amp;$Z69, TRUE)</f>
        <v>0.70799999999999996</v>
      </c>
      <c r="Q69" s="3141" cm="1">
        <f t="array" aca="1" ref="Q69" ca="1">INDIRECT("'※ 영기팀 작성_가입자'!"&amp;Q$2&amp;$Y69,TRUE)</f>
        <v>-1157</v>
      </c>
      <c r="R69" s="3142" cm="1">
        <f t="array" aca="1" ref="R69" ca="1">INDIRECT("'※ 영기팀 작성_가입자'!"&amp;R$2&amp;$Y69,TRUE)</f>
        <v>-1588</v>
      </c>
      <c r="S69" s="3180" cm="1">
        <f t="array" aca="1" ref="S69" ca="1">INDIRECT("'※ 영기팀 작성_가입자'!"&amp;S$1&amp;$Y69, TRUE)</f>
        <v>6821</v>
      </c>
      <c r="T69" s="3139" cm="1">
        <f t="array" aca="1" ref="T69" ca="1">INDIRECT("'※ 영기팀 작성_가입자'!"&amp;T$1&amp;$Z69, TRUE)</f>
        <v>-1679</v>
      </c>
      <c r="U69" s="3140" cm="1">
        <f t="array" aca="1" ref="U69" ca="1">INDIRECT("'※ 영기팀 작성_가입자'!"&amp;U$1&amp;$Z69, TRUE)</f>
        <v>0.80247058823529416</v>
      </c>
      <c r="V69" s="3144" cm="1">
        <f t="array" aca="1" ref="V69" ca="1">INDIRECT("'※ 영기팀 작성_가입자'!"&amp;V$2&amp;$Y69, TRUE)</f>
        <v>-1066</v>
      </c>
      <c r="W69" s="3068" cm="1">
        <f t="array" aca="1" ref="W69" ca="1">INDIRECT("'※ 영기팀 작성_가입자'!"&amp;W$1&amp;$Y69, TRUE)</f>
        <v>3410.5</v>
      </c>
      <c r="X69" s="3073" cm="1">
        <f t="array" aca="1" ref="X69" ca="1">INDIRECT("'※ 영기팀 작성_가입자'!"&amp;X$1&amp;$Y69, TRUE)</f>
        <v>1224.9999999999995</v>
      </c>
      <c r="Y69" s="2988">
        <f>ROW('※ 영기팀 작성_가입자'!AH149)</f>
        <v>149</v>
      </c>
      <c r="Z69" s="2984">
        <f>ROW('※ 영기팀 작성_가입자'!AI348)</f>
        <v>348</v>
      </c>
    </row>
    <row r="70" spans="1:30" ht="18" customHeight="1" x14ac:dyDescent="0.55000000000000004">
      <c r="A70" s="7186"/>
      <c r="B70" s="681" t="s">
        <v>76</v>
      </c>
      <c r="C70" s="681"/>
      <c r="D70" s="1473" t="e" cm="1">
        <f t="array" aca="1" ref="D70" ca="1">INDIRECT("'※ 영기팀 작성_가입자'!"&amp;D$1&amp;$Y70, TRUE)</f>
        <v>#REF!</v>
      </c>
      <c r="E70" s="1474" cm="1">
        <f t="array" aca="1" ref="E70" ca="1">INDIRECT("'※ 영기팀 작성_가입자'!"&amp;E$1&amp;$Y70, TRUE)</f>
        <v>8274</v>
      </c>
      <c r="F70" s="3181" cm="1">
        <f t="array" aca="1" ref="F70" ca="1">INDIRECT("'※ 영기팀 작성_가입자'!"&amp;F$1&amp;$Y70, TRUE)</f>
        <v>765</v>
      </c>
      <c r="G70" s="1474" cm="1">
        <f t="array" aca="1" ref="G70" ca="1">INDIRECT("'※ 영기팀 작성_가입자'!"&amp;G$1&amp;$Y70, TRUE)</f>
        <v>627</v>
      </c>
      <c r="H70" s="1474" cm="1">
        <f t="array" aca="1" ref="H70" ca="1">INDIRECT("'※ 영기팀 작성_가입자'!"&amp;H$1&amp;$Y70, TRUE)</f>
        <v>647</v>
      </c>
      <c r="I70" s="1474" cm="1">
        <f t="array" aca="1" ref="I70" ca="1">INDIRECT("'※ 영기팀 작성_가입자'!"&amp;I$1&amp;$Y70, TRUE)</f>
        <v>1370</v>
      </c>
      <c r="J70" s="1474" cm="1">
        <f t="array" aca="1" ref="J70" ca="1">INDIRECT("'※ 영기팀 작성_가입자'!"&amp;J$1&amp;$Y70, TRUE)</f>
        <v>801</v>
      </c>
      <c r="K70" s="1474" cm="1">
        <f t="array" aca="1" ref="K70" ca="1">INDIRECT("'※ 영기팀 작성_가입자'!"&amp;K$1&amp;$Y70, TRUE)</f>
        <v>802</v>
      </c>
      <c r="L70" s="1474" cm="1">
        <f t="array" aca="1" ref="L70" ca="1">INDIRECT("'※ 영기팀 작성_가입자'!"&amp;L$1&amp;$Y70, TRUE)</f>
        <v>673</v>
      </c>
      <c r="M70" s="1474" cm="1">
        <f t="array" aca="1" ref="M70" ca="1">INDIRECT("'※ 영기팀 작성_가입자'!"&amp;M$1&amp;$Y70, TRUE)</f>
        <v>435</v>
      </c>
      <c r="N70" s="3146" cm="1">
        <f t="array" aca="1" ref="N70" ca="1">INDIRECT("'※ 영기팀 작성_가입자'!"&amp;N$1&amp;$Z70, TRUE)</f>
        <v>820</v>
      </c>
      <c r="O70" s="3146" cm="1">
        <f t="array" aca="1" ref="O70" ca="1">INDIRECT("'※ 영기팀 작성_가입자'!"&amp;O$1&amp;$Z70, TRUE)</f>
        <v>-344</v>
      </c>
      <c r="P70" s="3147" cm="1">
        <f t="array" aca="1" ref="P70" ca="1">INDIRECT("'※ 영기팀 작성_가입자'!"&amp;P$1&amp;$Z70, TRUE)</f>
        <v>0.55840821566110399</v>
      </c>
      <c r="Q70" s="2772" cm="1">
        <f t="array" aca="1" ref="Q70" ca="1">INDIRECT("'※ 영기팀 작성_가입자'!"&amp;Q$2&amp;$Y70,TRUE)</f>
        <v>-238</v>
      </c>
      <c r="R70" s="2773" cm="1">
        <f t="array" aca="1" ref="R70" ca="1">INDIRECT("'※ 영기팀 작성_가입자'!"&amp;R$2&amp;$Y70,TRUE)</f>
        <v>-330</v>
      </c>
      <c r="S70" s="1476" cm="1">
        <f t="array" aca="1" ref="S70" ca="1">INDIRECT("'※ 영기팀 작성_가입자'!"&amp;S$1&amp;$Y70, TRUE)</f>
        <v>1108</v>
      </c>
      <c r="T70" s="3146" cm="1">
        <f t="array" aca="1" ref="T70" ca="1">INDIRECT("'※ 영기팀 작성_가입자'!"&amp;T$1&amp;$Z70, TRUE)</f>
        <v>-474</v>
      </c>
      <c r="U70" s="3147" cm="1">
        <f t="array" aca="1" ref="U70" ca="1">INDIRECT("'※ 영기팀 작성_가입자'!"&amp;U$1&amp;$Z70, TRUE)</f>
        <v>0.70037926675094819</v>
      </c>
      <c r="V70" s="2705" cm="1">
        <f t="array" aca="1" ref="V70" ca="1">INDIRECT("'※ 영기팀 작성_가입자'!"&amp;V$2&amp;$Y70, TRUE)</f>
        <v>-238</v>
      </c>
      <c r="W70" s="3094" cm="1">
        <f t="array" aca="1" ref="W70" ca="1">INDIRECT("'※ 영기팀 작성_가입자'!"&amp;W$1&amp;$Y70, TRUE)</f>
        <v>554</v>
      </c>
      <c r="X70" s="3082" cm="1">
        <f t="array" aca="1" ref="X70" ca="1">INDIRECT("'※ 영기팀 작성_가입자'!"&amp;X$1&amp;$Y70, TRUE)</f>
        <v>50.75</v>
      </c>
      <c r="Y70" s="2988">
        <f>ROW('※ 영기팀 작성_가입자'!AH172)</f>
        <v>172</v>
      </c>
      <c r="Z70" s="2984">
        <f>ROW('※ 영기팀 작성_가입자'!AI370)</f>
        <v>370</v>
      </c>
    </row>
    <row r="71" spans="1:30" ht="18" customHeight="1" x14ac:dyDescent="0.55000000000000004">
      <c r="A71" s="7186"/>
      <c r="B71" s="673" t="s">
        <v>77</v>
      </c>
      <c r="C71" s="681"/>
      <c r="D71" s="1473" cm="1">
        <f t="array" aca="1" ref="D71" ca="1">INDIRECT("'※ 영기팀 작성_가입자'!"&amp;D$1&amp;$Y71, TRUE)</f>
        <v>4313</v>
      </c>
      <c r="E71" s="1474" cm="1">
        <f t="array" aca="1" ref="E71" ca="1">INDIRECT("'※ 영기팀 작성_가입자'!"&amp;E$1&amp;$Y71, TRUE)</f>
        <v>6451</v>
      </c>
      <c r="F71" s="3181" cm="1">
        <f t="array" aca="1" ref="F71" ca="1">INDIRECT("'※ 영기팀 작성_가입자'!"&amp;F$1&amp;$Y71, TRUE)</f>
        <v>602</v>
      </c>
      <c r="G71" s="1474" cm="1">
        <f t="array" aca="1" ref="G71" ca="1">INDIRECT("'※ 영기팀 작성_가입자'!"&amp;G$1&amp;$Y71, TRUE)</f>
        <v>489</v>
      </c>
      <c r="H71" s="1474" cm="1">
        <f t="array" aca="1" ref="H71" ca="1">INDIRECT("'※ 영기팀 작성_가입자'!"&amp;H$1&amp;$Y71, TRUE)</f>
        <v>457</v>
      </c>
      <c r="I71" s="1474" cm="1">
        <f t="array" aca="1" ref="I71" ca="1">INDIRECT("'※ 영기팀 작성_가입자'!"&amp;I$1&amp;$Y71, TRUE)</f>
        <v>1037</v>
      </c>
      <c r="J71" s="1474" cm="1">
        <f t="array" aca="1" ref="J71" ca="1">INDIRECT("'※ 영기팀 작성_가입자'!"&amp;J$1&amp;$Y71, TRUE)</f>
        <v>653</v>
      </c>
      <c r="K71" s="1474" cm="1">
        <f t="array" aca="1" ref="K71" ca="1">INDIRECT("'※ 영기팀 작성_가입자'!"&amp;K$1&amp;$Y71, TRUE)</f>
        <v>617</v>
      </c>
      <c r="L71" s="1474" cm="1">
        <f t="array" aca="1" ref="L71" ca="1">INDIRECT("'※ 영기팀 작성_가입자'!"&amp;L$1&amp;$Y71, TRUE)</f>
        <v>601</v>
      </c>
      <c r="M71" s="1474" cm="1">
        <f t="array" aca="1" ref="M71" ca="1">INDIRECT("'※ 영기팀 작성_가입자'!"&amp;M$1&amp;$Y71, TRUE)</f>
        <v>422</v>
      </c>
      <c r="N71" s="3146" cm="1">
        <f t="array" aca="1" ref="N71" ca="1">INDIRECT("'※ 영기팀 작성_가입자'!"&amp;N$1&amp;$Z71, TRUE)</f>
        <v>598</v>
      </c>
      <c r="O71" s="3146" cm="1">
        <f t="array" aca="1" ref="O71" ca="1">INDIRECT("'※ 영기팀 작성_가입자'!"&amp;O$1&amp;$Z71, TRUE)</f>
        <v>-178</v>
      </c>
      <c r="P71" s="3147" cm="1">
        <f t="array" aca="1" ref="P71" ca="1">INDIRECT("'※ 영기팀 작성_가입자'!"&amp;P$1&amp;$Z71, TRUE)</f>
        <v>0.70333333333333337</v>
      </c>
      <c r="Q71" s="2772" cm="1">
        <f t="array" aca="1" ref="Q71" ca="1">INDIRECT("'※ 영기팀 작성_가입자'!"&amp;Q$2&amp;$Y71,TRUE)</f>
        <v>-179</v>
      </c>
      <c r="R71" s="2773" cm="1">
        <f t="array" aca="1" ref="R71" ca="1">INDIRECT("'※ 영기팀 작성_가입자'!"&amp;R$2&amp;$Y71,TRUE)</f>
        <v>-180</v>
      </c>
      <c r="S71" s="1476" cm="1">
        <f t="array" aca="1" ref="S71" ca="1">INDIRECT("'※ 영기팀 작성_가입자'!"&amp;S$1&amp;$Y71, TRUE)</f>
        <v>1023</v>
      </c>
      <c r="T71" s="3146" cm="1">
        <f t="array" aca="1" ref="T71" ca="1">INDIRECT("'※ 영기팀 작성_가입자'!"&amp;T$1&amp;$Z71, TRUE)</f>
        <v>-230</v>
      </c>
      <c r="U71" s="3147" cm="1">
        <f t="array" aca="1" ref="U71" ca="1">INDIRECT("'※ 영기팀 작성_가입자'!"&amp;U$1&amp;$Z71, TRUE)</f>
        <v>0.81644054269752597</v>
      </c>
      <c r="V71" s="2705" cm="1">
        <f t="array" aca="1" ref="V71" ca="1">INDIRECT("'※ 영기팀 작성_가입자'!"&amp;V$2&amp;$Y71, TRUE)</f>
        <v>-111</v>
      </c>
      <c r="W71" s="3094" cm="1">
        <f t="array" aca="1" ref="W71" ca="1">INDIRECT("'※ 영기팀 작성_가입자'!"&amp;W$1&amp;$Y71, TRUE)</f>
        <v>511.5</v>
      </c>
      <c r="X71" s="3082" cm="1">
        <f t="array" aca="1" ref="X71" ca="1">INDIRECT("'※ 영기팀 작성_가입자'!"&amp;X$1&amp;$Y71, TRUE)</f>
        <v>66.75</v>
      </c>
      <c r="Y71" s="2988">
        <f>ROW('※ 영기팀 작성_가입자'!AH173)</f>
        <v>173</v>
      </c>
      <c r="Z71" s="2984">
        <f>ROW('※ 영기팀 작성_가입자'!AI371)</f>
        <v>371</v>
      </c>
    </row>
    <row r="72" spans="1:30" ht="18" customHeight="1" x14ac:dyDescent="0.55000000000000004">
      <c r="A72" s="7186"/>
      <c r="B72" s="673" t="s">
        <v>78</v>
      </c>
      <c r="C72" s="681"/>
      <c r="D72" s="1473" cm="1">
        <f t="array" aca="1" ref="D72" ca="1">INDIRECT("'※ 영기팀 작성_가입자'!"&amp;D$1&amp;$Y72, TRUE)</f>
        <v>4301</v>
      </c>
      <c r="E72" s="1474" cm="1">
        <f t="array" aca="1" ref="E72" ca="1">INDIRECT("'※ 영기팀 작성_가입자'!"&amp;E$1&amp;$Y72, TRUE)</f>
        <v>6027</v>
      </c>
      <c r="F72" s="3181" cm="1">
        <f t="array" aca="1" ref="F72" ca="1">INDIRECT("'※ 영기팀 작성_가입자'!"&amp;F$1&amp;$Y72, TRUE)</f>
        <v>698</v>
      </c>
      <c r="G72" s="1474" cm="1">
        <f t="array" aca="1" ref="G72" ca="1">INDIRECT("'※ 영기팀 작성_가입자'!"&amp;G$1&amp;$Y72, TRUE)</f>
        <v>681</v>
      </c>
      <c r="H72" s="1474" cm="1">
        <f t="array" aca="1" ref="H72" ca="1">INDIRECT("'※ 영기팀 작성_가입자'!"&amp;H$1&amp;$Y72, TRUE)</f>
        <v>572</v>
      </c>
      <c r="I72" s="1474" cm="1">
        <f t="array" aca="1" ref="I72" ca="1">INDIRECT("'※ 영기팀 작성_가입자'!"&amp;I$1&amp;$Y72, TRUE)</f>
        <v>1071</v>
      </c>
      <c r="J72" s="1474" cm="1">
        <f t="array" aca="1" ref="J72" ca="1">INDIRECT("'※ 영기팀 작성_가입자'!"&amp;J$1&amp;$Y72, TRUE)</f>
        <v>840</v>
      </c>
      <c r="K72" s="1474" cm="1">
        <f t="array" aca="1" ref="K72" ca="1">INDIRECT("'※ 영기팀 작성_가입자'!"&amp;K$1&amp;$Y72, TRUE)</f>
        <v>753</v>
      </c>
      <c r="L72" s="1474" cm="1">
        <f t="array" aca="1" ref="L72" ca="1">INDIRECT("'※ 영기팀 작성_가입자'!"&amp;L$1&amp;$Y72, TRUE)</f>
        <v>696</v>
      </c>
      <c r="M72" s="1474" cm="1">
        <f t="array" aca="1" ref="M72" ca="1">INDIRECT("'※ 영기팀 작성_가입자'!"&amp;M$1&amp;$Y72, TRUE)</f>
        <v>469</v>
      </c>
      <c r="N72" s="3146" cm="1">
        <f t="array" aca="1" ref="N72" ca="1">INDIRECT("'※ 영기팀 작성_가입자'!"&amp;N$1&amp;$Z72, TRUE)</f>
        <v>565</v>
      </c>
      <c r="O72" s="3146" cm="1">
        <f t="array" aca="1" ref="O72" ca="1">INDIRECT("'※ 영기팀 작성_가입자'!"&amp;O$1&amp;$Z72, TRUE)</f>
        <v>-120</v>
      </c>
      <c r="P72" s="3147" cm="1">
        <f t="array" aca="1" ref="P72" ca="1">INDIRECT("'※ 영기팀 작성_가입자'!"&amp;P$1&amp;$Z72, TRUE)</f>
        <v>0.79626485568760608</v>
      </c>
      <c r="Q72" s="2772" cm="1">
        <f t="array" aca="1" ref="Q72" ca="1">INDIRECT("'※ 영기팀 작성_가입자'!"&amp;Q$2&amp;$Y72,TRUE)</f>
        <v>-227</v>
      </c>
      <c r="R72" s="2773" cm="1">
        <f t="array" aca="1" ref="R72" ca="1">INDIRECT("'※ 영기팀 작성_가입자'!"&amp;R$2&amp;$Y72,TRUE)</f>
        <v>-229</v>
      </c>
      <c r="S72" s="1476" cm="1">
        <f t="array" aca="1" ref="S72" ca="1">INDIRECT("'※ 영기팀 작성_가입자'!"&amp;S$1&amp;$Y72, TRUE)</f>
        <v>1165</v>
      </c>
      <c r="T72" s="3146" cm="1">
        <f t="array" aca="1" ref="T72" ca="1">INDIRECT("'※ 영기팀 작성_가입자'!"&amp;T$1&amp;$Z72, TRUE)</f>
        <v>-92</v>
      </c>
      <c r="U72" s="3147" cm="1">
        <f t="array" aca="1" ref="U72" ca="1">INDIRECT("'※ 영기팀 작성_가입자'!"&amp;U$1&amp;$Z72, TRUE)</f>
        <v>0.92680986475735883</v>
      </c>
      <c r="V72" s="2705" cm="1">
        <f t="array" aca="1" ref="V72" ca="1">INDIRECT("'※ 영기팀 작성_가입자'!"&amp;V$2&amp;$Y72, TRUE)</f>
        <v>-16</v>
      </c>
      <c r="W72" s="3094" cm="1">
        <f t="array" aca="1" ref="W72" ca="1">INDIRECT("'※ 영기팀 작성_가입자'!"&amp;W$1&amp;$Y72, TRUE)</f>
        <v>582.5</v>
      </c>
      <c r="X72" s="3082" cm="1">
        <f t="array" aca="1" ref="X72" ca="1">INDIRECT("'※ 영기팀 작성_가입자'!"&amp;X$1&amp;$Y72, TRUE)</f>
        <v>155.83333333333337</v>
      </c>
      <c r="Y72" s="2988">
        <f>ROW('※ 영기팀 작성_가입자'!AH174)</f>
        <v>174</v>
      </c>
      <c r="Z72" s="2984">
        <f>ROW('※ 영기팀 작성_가입자'!AI372)</f>
        <v>372</v>
      </c>
    </row>
    <row r="73" spans="1:30" ht="18" customHeight="1" x14ac:dyDescent="0.55000000000000004">
      <c r="A73" s="7186"/>
      <c r="B73" s="673" t="s">
        <v>403</v>
      </c>
      <c r="C73" s="681"/>
      <c r="D73" s="1473" cm="1">
        <f t="array" aca="1" ref="D73" ca="1">INDIRECT("'※ 영기팀 작성_가입자'!"&amp;D$1&amp;$Y73, TRUE)</f>
        <v>8233</v>
      </c>
      <c r="E73" s="1474" cm="1">
        <f t="array" aca="1" ref="E73" ca="1">INDIRECT("'※ 영기팀 작성_가입자'!"&amp;E$1&amp;$Y73, TRUE)</f>
        <v>12052</v>
      </c>
      <c r="F73" s="3181" cm="1">
        <f t="array" aca="1" ref="F73" ca="1">INDIRECT("'※ 영기팀 작성_가입자'!"&amp;F$1&amp;$Y73, TRUE)</f>
        <v>1279</v>
      </c>
      <c r="G73" s="1474" cm="1">
        <f t="array" aca="1" ref="G73" ca="1">INDIRECT("'※ 영기팀 작성_가입자'!"&amp;G$1&amp;$Y73, TRUE)</f>
        <v>1169</v>
      </c>
      <c r="H73" s="1474" cm="1">
        <f t="array" aca="1" ref="H73" ca="1">INDIRECT("'※ 영기팀 작성_가입자'!"&amp;H$1&amp;$Y73, TRUE)</f>
        <v>1393</v>
      </c>
      <c r="I73" s="1474" cm="1">
        <f t="array" aca="1" ref="I73" ca="1">INDIRECT("'※ 영기팀 작성_가입자'!"&amp;I$1&amp;$Y73, TRUE)</f>
        <v>2849</v>
      </c>
      <c r="J73" s="1474" cm="1">
        <f t="array" aca="1" ref="J73" ca="1">INDIRECT("'※ 영기팀 작성_가입자'!"&amp;J$1&amp;$Y73, TRUE)</f>
        <v>2691</v>
      </c>
      <c r="K73" s="1474" cm="1">
        <f t="array" aca="1" ref="K73" ca="1">INDIRECT("'※ 영기팀 작성_가입자'!"&amp;K$1&amp;$Y73, TRUE)</f>
        <v>2132</v>
      </c>
      <c r="L73" s="1474" cm="1">
        <f t="array" aca="1" ref="L73" ca="1">INDIRECT("'※ 영기팀 작성_가입자'!"&amp;L$1&amp;$Y73, TRUE)</f>
        <v>1277</v>
      </c>
      <c r="M73" s="1474" cm="1">
        <f t="array" aca="1" ref="M73" ca="1">INDIRECT("'※ 영기팀 작성_가입자'!"&amp;M$1&amp;$Y73, TRUE)</f>
        <v>858</v>
      </c>
      <c r="N73" s="3146" cm="1">
        <f t="array" aca="1" ref="N73" ca="1">INDIRECT("'※ 영기팀 작성_가입자'!"&amp;N$1&amp;$Z73, TRUE)</f>
        <v>948</v>
      </c>
      <c r="O73" s="3146" cm="1">
        <f t="array" aca="1" ref="O73" ca="1">INDIRECT("'※ 영기팀 작성_가입자'!"&amp;O$1&amp;$Z73, TRUE)</f>
        <v>-300</v>
      </c>
      <c r="P73" s="3147" cm="1">
        <f t="array" aca="1" ref="P73" ca="1">INDIRECT("'※ 영기팀 작성_가입자'!"&amp;P$1&amp;$Z73, TRUE)</f>
        <v>0.7409326424870466</v>
      </c>
      <c r="Q73" s="2772" cm="1">
        <f t="array" aca="1" ref="Q73" ca="1">INDIRECT("'※ 영기팀 작성_가입자'!"&amp;Q$2&amp;$Y73,TRUE)</f>
        <v>-419</v>
      </c>
      <c r="R73" s="2773" cm="1">
        <f t="array" aca="1" ref="R73" ca="1">INDIRECT("'※ 영기팀 작성_가입자'!"&amp;R$2&amp;$Y73,TRUE)</f>
        <v>-421</v>
      </c>
      <c r="S73" s="1476" cm="1">
        <f t="array" aca="1" ref="S73" ca="1">INDIRECT("'※ 영기팀 작성_가입자'!"&amp;S$1&amp;$Y73, TRUE)</f>
        <v>2135</v>
      </c>
      <c r="T73" s="3146" cm="1">
        <f t="array" aca="1" ref="T73" ca="1">INDIRECT("'※ 영기팀 작성_가입자'!"&amp;T$1&amp;$Z73, TRUE)</f>
        <v>-441</v>
      </c>
      <c r="U73" s="3147" cm="1">
        <f t="array" aca="1" ref="U73" ca="1">INDIRECT("'※ 영기팀 작성_가입자'!"&amp;U$1&amp;$Z73, TRUE)</f>
        <v>0.82880434782608692</v>
      </c>
      <c r="V73" s="2705" cm="1">
        <f t="array" aca="1" ref="V73" ca="1">INDIRECT("'※ 영기팀 작성_가입자'!"&amp;V$2&amp;$Y73, TRUE)</f>
        <v>-194</v>
      </c>
      <c r="W73" s="3094" cm="1">
        <f t="array" aca="1" ref="W73" ca="1">INDIRECT("'※ 영기팀 작성_가입자'!"&amp;W$1&amp;$Y73, TRUE)</f>
        <v>1067.5</v>
      </c>
      <c r="X73" s="3082" cm="1">
        <f t="array" aca="1" ref="X73" ca="1">INDIRECT("'※ 영기팀 작성_가입자'!"&amp;X$1&amp;$Y73, TRUE)</f>
        <v>584.91666666666663</v>
      </c>
      <c r="Y73" s="2988">
        <f>ROW('※ 영기팀 작성_가입자'!AH175)</f>
        <v>175</v>
      </c>
      <c r="Z73" s="2984">
        <f>ROW('※ 영기팀 작성_가입자'!AI373)</f>
        <v>373</v>
      </c>
    </row>
    <row r="74" spans="1:30" ht="18" customHeight="1" x14ac:dyDescent="0.55000000000000004">
      <c r="A74" s="7186"/>
      <c r="B74" s="3151" t="s">
        <v>79</v>
      </c>
      <c r="C74" s="3151"/>
      <c r="D74" s="3182" cm="1">
        <f t="array" aca="1" ref="D74" ca="1">INDIRECT("'※ 영기팀 작성_가입자'!"&amp;D$1&amp;$Y74, TRUE)</f>
        <v>7956</v>
      </c>
      <c r="E74" s="3183" cm="1">
        <f t="array" aca="1" ref="E74" ca="1">INDIRECT("'※ 영기팀 작성_가입자'!"&amp;E$1&amp;$Y74, TRUE)</f>
        <v>9387</v>
      </c>
      <c r="F74" s="3184" cm="1">
        <f t="array" aca="1" ref="F74" ca="1">INDIRECT("'※ 영기팀 작성_가입자'!"&amp;F$1&amp;$Y74, TRUE)</f>
        <v>1076</v>
      </c>
      <c r="G74" s="3183" cm="1">
        <f t="array" aca="1" ref="G74" ca="1">INDIRECT("'※ 영기팀 작성_가입자'!"&amp;G$1&amp;$Y74, TRUE)</f>
        <v>918</v>
      </c>
      <c r="H74" s="3183" cm="1">
        <f t="array" aca="1" ref="H74" ca="1">INDIRECT("'※ 영기팀 작성_가입자'!"&amp;H$1&amp;$Y74, TRUE)</f>
        <v>947</v>
      </c>
      <c r="I74" s="3183" cm="1">
        <f t="array" aca="1" ref="I74" ca="1">INDIRECT("'※ 영기팀 작성_가입자'!"&amp;I$1&amp;$Y74, TRUE)</f>
        <v>1425</v>
      </c>
      <c r="J74" s="3183" cm="1">
        <f t="array" aca="1" ref="J74" ca="1">INDIRECT("'※ 영기팀 작성_가입자'!"&amp;J$1&amp;$Y74, TRUE)</f>
        <v>1091</v>
      </c>
      <c r="K74" s="3183" cm="1">
        <f t="array" aca="1" ref="K74" ca="1">INDIRECT("'※ 영기팀 작성_가입자'!"&amp;K$1&amp;$Y74, TRUE)</f>
        <v>1108</v>
      </c>
      <c r="L74" s="3183" cm="1">
        <f t="array" aca="1" ref="L74" ca="1">INDIRECT("'※ 영기팀 작성_가입자'!"&amp;L$1&amp;$Y74, TRUE)</f>
        <v>742</v>
      </c>
      <c r="M74" s="3183" cm="1">
        <f t="array" aca="1" ref="M74" ca="1">INDIRECT("'※ 영기팀 작성_가입자'!"&amp;M$1&amp;$Y74, TRUE)</f>
        <v>648</v>
      </c>
      <c r="N74" s="3155" cm="1">
        <f t="array" aca="1" ref="N74" ca="1">INDIRECT("'※ 영기팀 작성_가입자'!"&amp;N$1&amp;$Z74, TRUE)</f>
        <v>869</v>
      </c>
      <c r="O74" s="3155" cm="1">
        <f t="array" aca="1" ref="O74" ca="1">INDIRECT("'※ 영기팀 작성_가입자'!"&amp;O$1&amp;$Z74, TRUE)</f>
        <v>-226</v>
      </c>
      <c r="P74" s="3156" cm="1">
        <f t="array" aca="1" ref="P74" ca="1">INDIRECT("'※ 영기팀 작성_가입자'!"&amp;P$1&amp;$Z74, TRUE)</f>
        <v>0.74141876430205955</v>
      </c>
      <c r="Q74" s="3157" cm="1">
        <f t="array" aca="1" ref="Q74" ca="1">INDIRECT("'※ 영기팀 작성_가입자'!"&amp;Q$2&amp;$Y74,TRUE)</f>
        <v>-94</v>
      </c>
      <c r="R74" s="3158" cm="1">
        <f t="array" aca="1" ref="R74" ca="1">INDIRECT("'※ 영기팀 작성_가입자'!"&amp;R$2&amp;$Y74,TRUE)</f>
        <v>-428</v>
      </c>
      <c r="S74" s="3185" cm="1">
        <f t="array" aca="1" ref="S74" ca="1">INDIRECT("'※ 영기팀 작성_가입자'!"&amp;S$1&amp;$Y74, TRUE)</f>
        <v>1390</v>
      </c>
      <c r="T74" s="3155" cm="1">
        <f t="array" aca="1" ref="T74" ca="1">INDIRECT("'※ 영기팀 작성_가입자'!"&amp;T$1&amp;$Z74, TRUE)</f>
        <v>-442</v>
      </c>
      <c r="U74" s="3156" cm="1">
        <f t="array" aca="1" ref="U74" ca="1">INDIRECT("'※ 영기팀 작성_가입자'!"&amp;U$1&amp;$Z74, TRUE)</f>
        <v>0.75873362445414849</v>
      </c>
      <c r="V74" s="3160" cm="1">
        <f t="array" aca="1" ref="V74" ca="1">INDIRECT("'※ 영기팀 작성_가입자'!"&amp;V$2&amp;$Y74, TRUE)</f>
        <v>-505</v>
      </c>
      <c r="W74" s="3186" cm="1">
        <f t="array" aca="1" ref="W74" ca="1">INDIRECT("'※ 영기팀 작성_가입자'!"&amp;W$1&amp;$Y74, TRUE)</f>
        <v>695</v>
      </c>
      <c r="X74" s="3162" cm="1">
        <f t="array" aca="1" ref="X74" ca="1">INDIRECT("'※ 영기팀 작성_가입자'!"&amp;X$1&amp;$Y74, TRUE)</f>
        <v>146.75</v>
      </c>
      <c r="Y74" s="2988">
        <f>ROW('※ 영기팀 작성_가입자'!AH176)</f>
        <v>176</v>
      </c>
      <c r="Z74" s="2984">
        <f>ROW('※ 영기팀 작성_가입자'!AI374)</f>
        <v>374</v>
      </c>
    </row>
    <row r="75" spans="1:30" ht="18" customHeight="1" x14ac:dyDescent="0.55000000000000004">
      <c r="A75" s="7186"/>
      <c r="B75" s="673" t="s">
        <v>466</v>
      </c>
      <c r="C75" s="681"/>
      <c r="D75" s="1473" cm="1">
        <f t="array" aca="1" ref="D75" ca="1">INDIRECT("'※ 영기팀 작성_가입자'!"&amp;D$1&amp;$Y75, TRUE)</f>
        <v>5365</v>
      </c>
      <c r="E75" s="1474" cm="1">
        <f t="array" aca="1" ref="E75" ca="1">INDIRECT("'※ 영기팀 작성_가입자'!"&amp;E$1&amp;$Y75, TRUE)</f>
        <v>5980</v>
      </c>
      <c r="F75" s="3181" cm="1">
        <f t="array" aca="1" ref="F75" ca="1">INDIRECT("'※ 영기팀 작성_가입자'!"&amp;F$1&amp;$Y75, TRUE)</f>
        <v>569</v>
      </c>
      <c r="G75" s="1474" cm="1">
        <f t="array" aca="1" ref="G75" ca="1">INDIRECT("'※ 영기팀 작성_가입자'!"&amp;G$1&amp;$Y75, TRUE)</f>
        <v>452</v>
      </c>
      <c r="H75" s="1474" cm="1">
        <f t="array" aca="1" ref="H75" ca="1">INDIRECT("'※ 영기팀 작성_가입자'!"&amp;H$1&amp;$Y75, TRUE)</f>
        <v>465</v>
      </c>
      <c r="I75" s="1474" cm="1">
        <f t="array" aca="1" ref="I75" ca="1">INDIRECT("'※ 영기팀 작성_가입자'!"&amp;I$1&amp;$Y75, TRUE)</f>
        <v>984</v>
      </c>
      <c r="J75" s="1474" cm="1">
        <f t="array" aca="1" ref="J75" ca="1">INDIRECT("'※ 영기팀 작성_가입자'!"&amp;J$1&amp;$Y75, TRUE)</f>
        <v>592</v>
      </c>
      <c r="K75" s="1474" cm="1">
        <f t="array" aca="1" ref="K75" ca="1">INDIRECT("'※ 영기팀 작성_가입자'!"&amp;K$1&amp;$Y75, TRUE)</f>
        <v>802</v>
      </c>
      <c r="L75" s="1474" cm="1">
        <f t="array" aca="1" ref="L75" ca="1">INDIRECT("'※ 영기팀 작성_가입자'!"&amp;L$1&amp;$Y75, TRUE)</f>
        <v>673</v>
      </c>
      <c r="M75" s="1474" cm="1">
        <f t="array" aca="1" ref="M75" ca="1">INDIRECT("'※ 영기팀 작성_가입자'!"&amp;M$1&amp;$Y75, TRUE)</f>
        <v>435</v>
      </c>
      <c r="N75" s="3146" cm="1">
        <f t="array" aca="1" ref="N75" ca="1">INDIRECT("'※ 영기팀 작성_가입자'!"&amp;N$1&amp;$Z75, TRUE)</f>
        <v>820</v>
      </c>
      <c r="O75" s="3146" cm="1">
        <f t="array" aca="1" ref="O75" ca="1">INDIRECT("'※ 영기팀 작성_가입자'!"&amp;O$1&amp;$Z75, TRUE)</f>
        <v>-344</v>
      </c>
      <c r="P75" s="3147" cm="1">
        <f t="array" aca="1" ref="P75" ca="1">INDIRECT("'※ 영기팀 작성_가입자'!"&amp;P$1&amp;$Z75, TRUE)</f>
        <v>0.55840821566110399</v>
      </c>
      <c r="Q75" s="2772" cm="1">
        <f t="array" aca="1" ref="Q75" ca="1">INDIRECT("'※ 영기팀 작성_가입자'!"&amp;Q$2&amp;$Y75,TRUE)</f>
        <v>-238</v>
      </c>
      <c r="R75" s="2773" cm="1">
        <f t="array" aca="1" ref="R75" ca="1">INDIRECT("'※ 영기팀 작성_가입자'!"&amp;R$2&amp;$Y75,TRUE)</f>
        <v>-134</v>
      </c>
      <c r="S75" s="1476" cm="1">
        <f t="array" aca="1" ref="S75" ca="1">INDIRECT("'※ 영기팀 작성_가입자'!"&amp;S$1&amp;$Y75, TRUE)</f>
        <v>1108</v>
      </c>
      <c r="T75" s="3146" cm="1">
        <f t="array" aca="1" ref="T75" ca="1">INDIRECT("'※ 영기팀 작성_가입자'!"&amp;T$1&amp;$Z75, TRUE)</f>
        <v>-474</v>
      </c>
      <c r="U75" s="3147" cm="1">
        <f t="array" aca="1" ref="U75" ca="1">INDIRECT("'※ 영기팀 작성_가입자'!"&amp;U$1&amp;$Z75, TRUE)</f>
        <v>0.70037926675094819</v>
      </c>
      <c r="V75" s="2705" cm="1">
        <f t="array" aca="1" ref="V75" ca="1">INDIRECT("'※ 영기팀 작성_가입자'!"&amp;V$2&amp;$Y75, TRUE)</f>
        <v>146</v>
      </c>
      <c r="W75" s="3094" cm="1">
        <f t="array" aca="1" ref="W75" ca="1">INDIRECT("'※ 영기팀 작성_가입자'!"&amp;W$1&amp;$Y75, TRUE)</f>
        <v>554</v>
      </c>
      <c r="X75" s="3082" cm="1">
        <f t="array" aca="1" ref="X75" ca="1">INDIRECT("'※ 영기팀 작성_가입자'!"&amp;X$1&amp;$Y75, TRUE)</f>
        <v>130.58333333333331</v>
      </c>
      <c r="Y75" s="2988">
        <f>ROW('※ 영기팀 작성_가입자'!AH177)</f>
        <v>177</v>
      </c>
      <c r="Z75" s="2984">
        <f>ROW('※ 영기팀 작성_가입자'!AI375)</f>
        <v>375</v>
      </c>
    </row>
    <row r="76" spans="1:30" ht="18" customHeight="1" x14ac:dyDescent="0.55000000000000004">
      <c r="A76" s="7186"/>
      <c r="B76" s="673" t="s">
        <v>468</v>
      </c>
      <c r="C76" s="681"/>
      <c r="D76" s="1473" cm="1">
        <f t="array" aca="1" ref="D76" ca="1">INDIRECT("'※ 영기팀 작성_가입자'!"&amp;D$1&amp;$Y76, TRUE)</f>
        <v>4313</v>
      </c>
      <c r="E76" s="1474" cm="1">
        <f t="array" aca="1" ref="E76" ca="1">INDIRECT("'※ 영기팀 작성_가입자'!"&amp;E$1&amp;$Y76, TRUE)</f>
        <v>6451</v>
      </c>
      <c r="F76" s="3181" cm="1">
        <f t="array" aca="1" ref="F76" ca="1">INDIRECT("'※ 영기팀 작성_가입자'!"&amp;F$1&amp;$Y76, TRUE)</f>
        <v>602</v>
      </c>
      <c r="G76" s="1474" cm="1">
        <f t="array" aca="1" ref="G76" ca="1">INDIRECT("'※ 영기팀 작성_가입자'!"&amp;G$1&amp;$Y76, TRUE)</f>
        <v>489</v>
      </c>
      <c r="H76" s="1474" cm="1">
        <f t="array" aca="1" ref="H76" ca="1">INDIRECT("'※ 영기팀 작성_가입자'!"&amp;H$1&amp;$Y76, TRUE)</f>
        <v>457</v>
      </c>
      <c r="I76" s="1474" cm="1">
        <f t="array" aca="1" ref="I76" ca="1">INDIRECT("'※ 영기팀 작성_가입자'!"&amp;I$1&amp;$Y76, TRUE)</f>
        <v>1037</v>
      </c>
      <c r="J76" s="1474" cm="1">
        <f t="array" aca="1" ref="J76" ca="1">INDIRECT("'※ 영기팀 작성_가입자'!"&amp;J$1&amp;$Y76, TRUE)</f>
        <v>653</v>
      </c>
      <c r="K76" s="1474" cm="1">
        <f t="array" aca="1" ref="K76" ca="1">INDIRECT("'※ 영기팀 작성_가입자'!"&amp;K$1&amp;$Y76, TRUE)</f>
        <v>617</v>
      </c>
      <c r="L76" s="1474" cm="1">
        <f t="array" aca="1" ref="L76" ca="1">INDIRECT("'※ 영기팀 작성_가입자'!"&amp;L$1&amp;$Y76, TRUE)</f>
        <v>601</v>
      </c>
      <c r="M76" s="1474" cm="1">
        <f t="array" aca="1" ref="M76" ca="1">INDIRECT("'※ 영기팀 작성_가입자'!"&amp;M$1&amp;$Y76, TRUE)</f>
        <v>422</v>
      </c>
      <c r="N76" s="3146" cm="1">
        <f t="array" aca="1" ref="N76" ca="1">INDIRECT("'※ 영기팀 작성_가입자'!"&amp;N$1&amp;$Z76, TRUE)</f>
        <v>598</v>
      </c>
      <c r="O76" s="3146" cm="1">
        <f t="array" aca="1" ref="O76" ca="1">INDIRECT("'※ 영기팀 작성_가입자'!"&amp;O$1&amp;$Z76, TRUE)</f>
        <v>-178</v>
      </c>
      <c r="P76" s="3147" cm="1">
        <f t="array" aca="1" ref="P76" ca="1">INDIRECT("'※ 영기팀 작성_가입자'!"&amp;P$1&amp;$Z76, TRUE)</f>
        <v>0.70333333333333337</v>
      </c>
      <c r="Q76" s="2772" cm="1">
        <f t="array" aca="1" ref="Q76" ca="1">INDIRECT("'※ 영기팀 작성_가입자'!"&amp;Q$2&amp;$Y76,TRUE)</f>
        <v>-179</v>
      </c>
      <c r="R76" s="2773" cm="1">
        <f t="array" aca="1" ref="R76" ca="1">INDIRECT("'※ 영기팀 작성_가입자'!"&amp;R$2&amp;$Y76,TRUE)</f>
        <v>-180</v>
      </c>
      <c r="S76" s="1476" cm="1">
        <f t="array" aca="1" ref="S76" ca="1">INDIRECT("'※ 영기팀 작성_가입자'!"&amp;S$1&amp;$Y76, TRUE)</f>
        <v>1023</v>
      </c>
      <c r="T76" s="3146" cm="1">
        <f t="array" aca="1" ref="T76" ca="1">INDIRECT("'※ 영기팀 작성_가입자'!"&amp;T$1&amp;$Z76, TRUE)</f>
        <v>-230</v>
      </c>
      <c r="U76" s="3147" cm="1">
        <f t="array" aca="1" ref="U76" ca="1">INDIRECT("'※ 영기팀 작성_가입자'!"&amp;U$1&amp;$Z76, TRUE)</f>
        <v>0.81644054269752597</v>
      </c>
      <c r="V76" s="2705" cm="1">
        <f t="array" aca="1" ref="V76" ca="1">INDIRECT("'※ 영기팀 작성_가입자'!"&amp;V$2&amp;$Y76, TRUE)</f>
        <v>-111</v>
      </c>
      <c r="W76" s="3094" cm="1">
        <f t="array" aca="1" ref="W76" ca="1">INDIRECT("'※ 영기팀 작성_가입자'!"&amp;W$1&amp;$Y76, TRUE)</f>
        <v>511.5</v>
      </c>
      <c r="X76" s="3082" cm="1">
        <f t="array" aca="1" ref="X76" ca="1">INDIRECT("'※ 영기팀 작성_가입자'!"&amp;X$1&amp;$Y76, TRUE)</f>
        <v>66.75</v>
      </c>
      <c r="Y76" s="2988">
        <f>ROW('※ 영기팀 작성_가입자'!AH178)</f>
        <v>178</v>
      </c>
      <c r="Z76" s="2984">
        <f>ROW('※ 영기팀 작성_가입자'!AI376)</f>
        <v>376</v>
      </c>
    </row>
    <row r="77" spans="1:30" ht="18" customHeight="1" x14ac:dyDescent="0.55000000000000004">
      <c r="A77" s="7186"/>
      <c r="B77" s="673" t="s">
        <v>469</v>
      </c>
      <c r="C77" s="3163"/>
      <c r="D77" s="1473" cm="1">
        <f t="array" aca="1" ref="D77" ca="1">INDIRECT("'※ 영기팀 작성_가입자'!"&amp;D$1&amp;$Y77, TRUE)</f>
        <v>4301</v>
      </c>
      <c r="E77" s="1474" cm="1">
        <f t="array" aca="1" ref="E77" ca="1">INDIRECT("'※ 영기팀 작성_가입자'!"&amp;E$1&amp;$Y77, TRUE)</f>
        <v>6027</v>
      </c>
      <c r="F77" s="3181" cm="1">
        <f t="array" aca="1" ref="F77" ca="1">INDIRECT("'※ 영기팀 작성_가입자'!"&amp;F$1&amp;$Y77, TRUE)</f>
        <v>698</v>
      </c>
      <c r="G77" s="1474" cm="1">
        <f t="array" aca="1" ref="G77" ca="1">INDIRECT("'※ 영기팀 작성_가입자'!"&amp;G$1&amp;$Y77, TRUE)</f>
        <v>681</v>
      </c>
      <c r="H77" s="1474" cm="1">
        <f t="array" aca="1" ref="H77" ca="1">INDIRECT("'※ 영기팀 작성_가입자'!"&amp;H$1&amp;$Y77, TRUE)</f>
        <v>572</v>
      </c>
      <c r="I77" s="1474" cm="1">
        <f t="array" aca="1" ref="I77" ca="1">INDIRECT("'※ 영기팀 작성_가입자'!"&amp;I$1&amp;$Y77, TRUE)</f>
        <v>1071</v>
      </c>
      <c r="J77" s="1474" cm="1">
        <f t="array" aca="1" ref="J77" ca="1">INDIRECT("'※ 영기팀 작성_가입자'!"&amp;J$1&amp;$Y77, TRUE)</f>
        <v>840</v>
      </c>
      <c r="K77" s="1474" cm="1">
        <f t="array" aca="1" ref="K77" ca="1">INDIRECT("'※ 영기팀 작성_가입자'!"&amp;K$1&amp;$Y77, TRUE)</f>
        <v>753</v>
      </c>
      <c r="L77" s="1474" cm="1">
        <f t="array" aca="1" ref="L77" ca="1">INDIRECT("'※ 영기팀 작성_가입자'!"&amp;L$1&amp;$Y77, TRUE)</f>
        <v>696</v>
      </c>
      <c r="M77" s="1474" cm="1">
        <f t="array" aca="1" ref="M77" ca="1">INDIRECT("'※ 영기팀 작성_가입자'!"&amp;M$1&amp;$Y77, TRUE)</f>
        <v>469</v>
      </c>
      <c r="N77" s="3146" cm="1">
        <f t="array" aca="1" ref="N77" ca="1">INDIRECT("'※ 영기팀 작성_가입자'!"&amp;N$1&amp;$Z77, TRUE)</f>
        <v>565</v>
      </c>
      <c r="O77" s="3146" cm="1">
        <f t="array" aca="1" ref="O77" ca="1">INDIRECT("'※ 영기팀 작성_가입자'!"&amp;O$1&amp;$Z77, TRUE)</f>
        <v>-120</v>
      </c>
      <c r="P77" s="3147" cm="1">
        <f t="array" aca="1" ref="P77" ca="1">INDIRECT("'※ 영기팀 작성_가입자'!"&amp;P$1&amp;$Z77, TRUE)</f>
        <v>0.79626485568760608</v>
      </c>
      <c r="Q77" s="2772" cm="1">
        <f t="array" aca="1" ref="Q77" ca="1">INDIRECT("'※ 영기팀 작성_가입자'!"&amp;Q$2&amp;$Y77,TRUE)</f>
        <v>-227</v>
      </c>
      <c r="R77" s="2773" cm="1">
        <f t="array" aca="1" ref="R77" ca="1">INDIRECT("'※ 영기팀 작성_가입자'!"&amp;R$2&amp;$Y77,TRUE)</f>
        <v>-229</v>
      </c>
      <c r="S77" s="1476" cm="1">
        <f t="array" aca="1" ref="S77" ca="1">INDIRECT("'※ 영기팀 작성_가입자'!"&amp;S$1&amp;$Y77, TRUE)</f>
        <v>1165</v>
      </c>
      <c r="T77" s="3146" cm="1">
        <f t="array" aca="1" ref="T77" ca="1">INDIRECT("'※ 영기팀 작성_가입자'!"&amp;T$1&amp;$Z77, TRUE)</f>
        <v>-92</v>
      </c>
      <c r="U77" s="3147" cm="1">
        <f t="array" aca="1" ref="U77" ca="1">INDIRECT("'※ 영기팀 작성_가입자'!"&amp;U$1&amp;$Z77, TRUE)</f>
        <v>0.92680986475735883</v>
      </c>
      <c r="V77" s="2705" cm="1">
        <f t="array" aca="1" ref="V77" ca="1">INDIRECT("'※ 영기팀 작성_가입자'!"&amp;V$2&amp;$Y77, TRUE)</f>
        <v>-16</v>
      </c>
      <c r="W77" s="3094" cm="1">
        <f t="array" aca="1" ref="W77" ca="1">INDIRECT("'※ 영기팀 작성_가입자'!"&amp;W$1&amp;$Y77, TRUE)</f>
        <v>582.5</v>
      </c>
      <c r="X77" s="3082" cm="1">
        <f t="array" aca="1" ref="X77" ca="1">INDIRECT("'※ 영기팀 작성_가입자'!"&amp;X$1&amp;$Y77, TRUE)</f>
        <v>155.83333333333337</v>
      </c>
      <c r="Y77" s="2988">
        <f>ROW('※ 영기팀 작성_가입자'!AH179)</f>
        <v>179</v>
      </c>
      <c r="Z77" s="2984">
        <f>ROW('※ 영기팀 작성_가입자'!AI377)</f>
        <v>377</v>
      </c>
      <c r="AC77" s="555"/>
      <c r="AD77" s="555"/>
    </row>
    <row r="78" spans="1:30" ht="18" customHeight="1" x14ac:dyDescent="0.55000000000000004">
      <c r="A78" s="7186"/>
      <c r="B78" s="673" t="s">
        <v>471</v>
      </c>
      <c r="C78" s="3163"/>
      <c r="D78" s="1473" cm="1">
        <f t="array" aca="1" ref="D78" ca="1">INDIRECT("'※ 영기팀 작성_가입자'!"&amp;D$1&amp;$Y78, TRUE)</f>
        <v>5174</v>
      </c>
      <c r="E78" s="1474" cm="1">
        <f t="array" aca="1" ref="E78" ca="1">INDIRECT("'※ 영기팀 작성_가입자'!"&amp;E$1&amp;$Y78, TRUE)</f>
        <v>8170</v>
      </c>
      <c r="F78" s="3181" cm="1">
        <f t="array" aca="1" ref="F78" ca="1">INDIRECT("'※ 영기팀 작성_가입자'!"&amp;F$1&amp;$Y78, TRUE)</f>
        <v>893</v>
      </c>
      <c r="G78" s="1474" cm="1">
        <f t="array" aca="1" ref="G78" ca="1">INDIRECT("'※ 영기팀 작성_가입자'!"&amp;G$1&amp;$Y78, TRUE)</f>
        <v>804</v>
      </c>
      <c r="H78" s="1474" cm="1">
        <f t="array" aca="1" ref="H78" ca="1">INDIRECT("'※ 영기팀 작성_가입자'!"&amp;H$1&amp;$Y78, TRUE)</f>
        <v>1040</v>
      </c>
      <c r="I78" s="1474" cm="1">
        <f t="array" aca="1" ref="I78" ca="1">INDIRECT("'※ 영기팀 작성_가입자'!"&amp;I$1&amp;$Y78, TRUE)</f>
        <v>2071</v>
      </c>
      <c r="J78" s="1474" cm="1">
        <f t="array" aca="1" ref="J78" ca="1">INDIRECT("'※ 영기팀 작성_가입자'!"&amp;J$1&amp;$Y78, TRUE)</f>
        <v>2101</v>
      </c>
      <c r="K78" s="1474" cm="1">
        <f t="array" aca="1" ref="K78" ca="1">INDIRECT("'※ 영기팀 작성_가입자'!"&amp;K$1&amp;$Y78, TRUE)</f>
        <v>1635</v>
      </c>
      <c r="L78" s="1474" cm="1">
        <f t="array" aca="1" ref="L78" ca="1">INDIRECT("'※ 영기팀 작성_가입자'!"&amp;L$1&amp;$Y78, TRUE)</f>
        <v>769</v>
      </c>
      <c r="M78" s="1474" cm="1">
        <f t="array" aca="1" ref="M78" ca="1">INDIRECT("'※ 영기팀 작성_가입자'!"&amp;M$1&amp;$Y78, TRUE)</f>
        <v>616</v>
      </c>
      <c r="N78" s="3146" cm="1">
        <f t="array" aca="1" ref="N78" ca="1">INDIRECT("'※ 영기팀 작성_가입자'!"&amp;N$1&amp;$Z78, TRUE)</f>
        <v>588</v>
      </c>
      <c r="O78" s="3146" cm="1">
        <f t="array" aca="1" ref="O78" ca="1">INDIRECT("'※ 영기팀 작성_가입자'!"&amp;O$1&amp;$Z78, TRUE)</f>
        <v>-165</v>
      </c>
      <c r="P78" s="3147" cm="1">
        <f t="array" aca="1" ref="P78" ca="1">INDIRECT("'※ 영기팀 작성_가입자'!"&amp;P$1&amp;$Z78, TRUE)</f>
        <v>0.78873239436619713</v>
      </c>
      <c r="Q78" s="2772" cm="1">
        <f t="array" aca="1" ref="Q78" ca="1">INDIRECT("'※ 영기팀 작성_가입자'!"&amp;Q$2&amp;$Y78,TRUE)</f>
        <v>-153</v>
      </c>
      <c r="R78" s="2773" cm="1">
        <f t="array" aca="1" ref="R78" ca="1">INDIRECT("'※ 영기팀 작성_가입자'!"&amp;R$2&amp;$Y78,TRUE)</f>
        <v>-277</v>
      </c>
      <c r="S78" s="1476" cm="1">
        <f t="array" aca="1" ref="S78" ca="1">INDIRECT("'※ 영기팀 작성_가입자'!"&amp;S$1&amp;$Y78, TRUE)</f>
        <v>1385</v>
      </c>
      <c r="T78" s="3146" cm="1">
        <f t="array" aca="1" ref="T78" ca="1">INDIRECT("'※ 영기팀 작성_가입자'!"&amp;T$1&amp;$Z78, TRUE)</f>
        <v>-402</v>
      </c>
      <c r="U78" s="3147" cm="1">
        <f t="array" aca="1" ref="U78" ca="1">INDIRECT("'※ 영기팀 작성_가입자'!"&amp;U$1&amp;$Z78, TRUE)</f>
        <v>0.7750419697817571</v>
      </c>
      <c r="V78" s="2705" cm="1">
        <f t="array" aca="1" ref="V78" ca="1">INDIRECT("'※ 영기팀 작성_가입자'!"&amp;V$2&amp;$Y78, TRUE)</f>
        <v>-242</v>
      </c>
      <c r="W78" s="3094" cm="1">
        <f t="array" aca="1" ref="W78" ca="1">INDIRECT("'※ 영기팀 작성_가입자'!"&amp;W$1&amp;$Y78, TRUE)</f>
        <v>692.5</v>
      </c>
      <c r="X78" s="3082" cm="1">
        <f t="array" aca="1" ref="X78" ca="1">INDIRECT("'※ 영기팀 작성_가입자'!"&amp;X$1&amp;$Y78, TRUE)</f>
        <v>477.49999999999989</v>
      </c>
      <c r="Y78" s="2988">
        <f>ROW('※ 영기팀 작성_가입자'!AH180)</f>
        <v>180</v>
      </c>
      <c r="Z78" s="2984">
        <f>ROW('※ 영기팀 작성_가입자'!AI378)</f>
        <v>378</v>
      </c>
    </row>
    <row r="79" spans="1:30" ht="18" customHeight="1" x14ac:dyDescent="0.55000000000000004">
      <c r="A79" s="7186"/>
      <c r="B79" s="673" t="s">
        <v>472</v>
      </c>
      <c r="C79" s="3163"/>
      <c r="D79" s="1473" cm="1">
        <f t="array" aca="1" ref="D79" ca="1">INDIRECT("'※ 영기팀 작성_가입자'!"&amp;D$1&amp;$Y79, TRUE)</f>
        <v>3059</v>
      </c>
      <c r="E79" s="1474" cm="1">
        <f t="array" aca="1" ref="E79" ca="1">INDIRECT("'※ 영기팀 작성_가입자'!"&amp;E$1&amp;$Y79, TRUE)</f>
        <v>3882</v>
      </c>
      <c r="F79" s="3181" cm="1">
        <f t="array" aca="1" ref="F79" ca="1">INDIRECT("'※ 영기팀 작성_가입자'!"&amp;F$1&amp;$Y79, TRUE)</f>
        <v>386</v>
      </c>
      <c r="G79" s="1474" cm="1">
        <f t="array" aca="1" ref="G79" ca="1">INDIRECT("'※ 영기팀 작성_가입자'!"&amp;G$1&amp;$Y79, TRUE)</f>
        <v>365</v>
      </c>
      <c r="H79" s="1474" cm="1">
        <f t="array" aca="1" ref="H79" ca="1">INDIRECT("'※ 영기팀 작성_가입자'!"&amp;H$1&amp;$Y79, TRUE)</f>
        <v>353</v>
      </c>
      <c r="I79" s="1474" cm="1">
        <f t="array" aca="1" ref="I79" ca="1">INDIRECT("'※ 영기팀 작성_가입자'!"&amp;I$1&amp;$Y79, TRUE)</f>
        <v>778</v>
      </c>
      <c r="J79" s="1474" cm="1">
        <f t="array" aca="1" ref="J79" ca="1">INDIRECT("'※ 영기팀 작성_가입자'!"&amp;J$1&amp;$Y79, TRUE)</f>
        <v>590</v>
      </c>
      <c r="K79" s="1474" cm="1">
        <f t="array" aca="1" ref="K79" ca="1">INDIRECT("'※ 영기팀 작성_가입자'!"&amp;K$1&amp;$Y79, TRUE)</f>
        <v>497</v>
      </c>
      <c r="L79" s="1474" cm="1">
        <f t="array" aca="1" ref="L79" ca="1">INDIRECT("'※ 영기팀 작성_가입자'!"&amp;L$1&amp;$Y79, TRUE)</f>
        <v>508</v>
      </c>
      <c r="M79" s="1474" cm="1">
        <f t="array" aca="1" ref="M79" ca="1">INDIRECT("'※ 영기팀 작성_가입자'!"&amp;M$1&amp;$Y79, TRUE)</f>
        <v>242</v>
      </c>
      <c r="N79" s="3146" cm="1">
        <f t="array" aca="1" ref="N79" ca="1">INDIRECT("'※ 영기팀 작성_가입자'!"&amp;N$1&amp;$Z79, TRUE)</f>
        <v>360</v>
      </c>
      <c r="O79" s="3146" cm="1">
        <f t="array" aca="1" ref="O79" ca="1">INDIRECT("'※ 영기팀 작성_가입자'!"&amp;O$1&amp;$Z79, TRUE)</f>
        <v>-135</v>
      </c>
      <c r="P79" s="3147" cm="1">
        <f t="array" aca="1" ref="P79" ca="1">INDIRECT("'※ 영기팀 작성_가입자'!"&amp;P$1&amp;$Z79, TRUE)</f>
        <v>0.64190981432360739</v>
      </c>
      <c r="Q79" s="2772" cm="1">
        <f t="array" aca="1" ref="Q79" ca="1">INDIRECT("'※ 영기팀 작성_가입자'!"&amp;Q$2&amp;$Y79,TRUE)</f>
        <v>-266</v>
      </c>
      <c r="R79" s="2773" cm="1">
        <f t="array" aca="1" ref="R79" ca="1">INDIRECT("'※ 영기팀 작성_가입자'!"&amp;R$2&amp;$Y79,TRUE)</f>
        <v>-144</v>
      </c>
      <c r="S79" s="1476" cm="1">
        <f t="array" aca="1" ref="S79" ca="1">INDIRECT("'※ 영기팀 작성_가입자'!"&amp;S$1&amp;$Y79, TRUE)</f>
        <v>750</v>
      </c>
      <c r="T79" s="3146" cm="1">
        <f t="array" aca="1" ref="T79" ca="1">INDIRECT("'※ 영기팀 작성_가입자'!"&amp;T$1&amp;$Z79, TRUE)</f>
        <v>-39</v>
      </c>
      <c r="U79" s="3147" cm="1">
        <f t="array" aca="1" ref="U79" ca="1">INDIRECT("'※ 영기팀 작성_가입자'!"&amp;U$1&amp;$Z79, TRUE)</f>
        <v>0.95057034220532322</v>
      </c>
      <c r="V79" s="2705" cm="1">
        <f t="array" aca="1" ref="V79" ca="1">INDIRECT("'※ 영기팀 작성_가입자'!"&amp;V$2&amp;$Y79, TRUE)</f>
        <v>48</v>
      </c>
      <c r="W79" s="3094" cm="1">
        <f t="array" aca="1" ref="W79" ca="1">INDIRECT("'※ 영기팀 작성_가입자'!"&amp;W$1&amp;$Y79, TRUE)</f>
        <v>375</v>
      </c>
      <c r="X79" s="3082" cm="1">
        <f t="array" aca="1" ref="X79" ca="1">INDIRECT("'※ 영기팀 작성_가입자'!"&amp;X$1&amp;$Y79, TRUE)</f>
        <v>107.41666666666669</v>
      </c>
      <c r="Y79" s="2988">
        <f>ROW('※ 영기팀 작성_가입자'!AH181)</f>
        <v>181</v>
      </c>
      <c r="Z79" s="2984">
        <f>ROW('※ 영기팀 작성_가입자'!AI379)</f>
        <v>379</v>
      </c>
    </row>
    <row r="80" spans="1:30" ht="18" customHeight="1" x14ac:dyDescent="0.55000000000000004">
      <c r="A80" s="7186"/>
      <c r="B80" s="673" t="s">
        <v>473</v>
      </c>
      <c r="C80" s="3163"/>
      <c r="D80" s="1473" cm="1">
        <f t="array" aca="1" ref="D80" ca="1">INDIRECT("'※ 영기팀 작성_가입자'!"&amp;D$1&amp;$Y80, TRUE)</f>
        <v>5311</v>
      </c>
      <c r="E80" s="1474" cm="1">
        <f t="array" aca="1" ref="E80" ca="1">INDIRECT("'※ 영기팀 작성_가입자'!"&amp;E$1&amp;$Y80, TRUE)</f>
        <v>5745</v>
      </c>
      <c r="F80" s="3181" cm="1">
        <f t="array" aca="1" ref="F80" ca="1">INDIRECT("'※ 영기팀 작성_가입자'!"&amp;F$1&amp;$Y80, TRUE)</f>
        <v>607</v>
      </c>
      <c r="G80" s="1474" cm="1">
        <f t="array" aca="1" ref="G80" ca="1">INDIRECT("'※ 영기팀 작성_가입자'!"&amp;G$1&amp;$Y80, TRUE)</f>
        <v>555</v>
      </c>
      <c r="H80" s="1474" cm="1">
        <f t="array" aca="1" ref="H80" ca="1">INDIRECT("'※ 영기팀 작성_가입자'!"&amp;H$1&amp;$Y80, TRUE)</f>
        <v>535</v>
      </c>
      <c r="I80" s="1474" cm="1">
        <f t="array" aca="1" ref="I80" ca="1">INDIRECT("'※ 영기팀 작성_가입자'!"&amp;I$1&amp;$Y80, TRUE)</f>
        <v>955</v>
      </c>
      <c r="J80" s="1474" cm="1">
        <f t="array" aca="1" ref="J80" ca="1">INDIRECT("'※ 영기팀 작성_가입자'!"&amp;J$1&amp;$Y80, TRUE)</f>
        <v>702</v>
      </c>
      <c r="K80" s="1474" cm="1">
        <f t="array" aca="1" ref="K80" ca="1">INDIRECT("'※ 영기팀 작성_가입자'!"&amp;K$1&amp;$Y80, TRUE)</f>
        <v>708</v>
      </c>
      <c r="L80" s="1474" cm="1">
        <f t="array" aca="1" ref="L80" ca="1">INDIRECT("'※ 영기팀 작성_가입자'!"&amp;L$1&amp;$Y80, TRUE)</f>
        <v>436</v>
      </c>
      <c r="M80" s="1474" cm="1">
        <f t="array" aca="1" ref="M80" ca="1">INDIRECT("'※ 영기팀 작성_가입자'!"&amp;M$1&amp;$Y80, TRUE)</f>
        <v>439</v>
      </c>
      <c r="N80" s="3146" cm="1">
        <f t="array" aca="1" ref="N80" ca="1">INDIRECT("'※ 영기팀 작성_가입자'!"&amp;N$1&amp;$Z80, TRUE)</f>
        <v>556</v>
      </c>
      <c r="O80" s="3146" cm="1">
        <f t="array" aca="1" ref="O80" ca="1">INDIRECT("'※ 영기팀 작성_가입자'!"&amp;O$1&amp;$Z80, TRUE)</f>
        <v>-105</v>
      </c>
      <c r="P80" s="3147" cm="1">
        <f t="array" aca="1" ref="P80" ca="1">INDIRECT("'※ 영기팀 작성_가입자'!"&amp;P$1&amp;$Z80, TRUE)</f>
        <v>0.80698529411764708</v>
      </c>
      <c r="Q80" s="2772" cm="1">
        <f t="array" aca="1" ref="Q80" ca="1">INDIRECT("'※ 영기팀 작성_가입자'!"&amp;Q$2&amp;$Y80,TRUE)</f>
        <v>3</v>
      </c>
      <c r="R80" s="2773" cm="1">
        <f t="array" aca="1" ref="R80" ca="1">INDIRECT("'※ 영기팀 작성_가입자'!"&amp;R$2&amp;$Y80,TRUE)</f>
        <v>-168</v>
      </c>
      <c r="S80" s="1476" cm="1">
        <f t="array" aca="1" ref="S80" ca="1">INDIRECT("'※ 영기팀 작성_가입자'!"&amp;S$1&amp;$Y80, TRUE)</f>
        <v>875</v>
      </c>
      <c r="T80" s="3146" cm="1">
        <f t="array" aca="1" ref="T80" ca="1">INDIRECT("'※ 영기팀 작성_가입자'!"&amp;T$1&amp;$Z80, TRUE)</f>
        <v>-251</v>
      </c>
      <c r="U80" s="3147" cm="1">
        <f t="array" aca="1" ref="U80" ca="1">INDIRECT("'※ 영기팀 작성_가입자'!"&amp;U$1&amp;$Z80, TRUE)</f>
        <v>0.77708703374777977</v>
      </c>
      <c r="V80" s="2705" cm="1">
        <f t="array" aca="1" ref="V80" ca="1">INDIRECT("'※ 영기팀 작성_가입자'!"&amp;V$2&amp;$Y80, TRUE)</f>
        <v>-207</v>
      </c>
      <c r="W80" s="3094" cm="1">
        <f t="array" aca="1" ref="W80" ca="1">INDIRECT("'※ 영기팀 작성_가입자'!"&amp;W$1&amp;$Y80, TRUE)</f>
        <v>437.5</v>
      </c>
      <c r="X80" s="3082" cm="1">
        <f t="array" aca="1" ref="X80" ca="1">INDIRECT("'※ 영기팀 작성_가입자'!"&amp;X$1&amp;$Y80, TRUE)</f>
        <v>82.666666666666629</v>
      </c>
      <c r="Y80" s="2988">
        <f>ROW('※ 영기팀 작성_가입자'!AH182)</f>
        <v>182</v>
      </c>
      <c r="Z80" s="2984">
        <f>ROW('※ 영기팀 작성_가입자'!AI380)</f>
        <v>380</v>
      </c>
    </row>
    <row r="81" spans="1:26" ht="18" customHeight="1" thickBot="1" x14ac:dyDescent="0.6">
      <c r="A81" s="7187"/>
      <c r="B81" s="3168" t="s">
        <v>75</v>
      </c>
      <c r="C81" s="3168"/>
      <c r="D81" s="3187" cm="1">
        <f t="array" aca="1" ref="D81" ca="1">INDIRECT("'※ 영기팀 작성_가입자'!"&amp;D$1&amp;$Y81, TRUE)</f>
        <v>2645</v>
      </c>
      <c r="E81" s="3188" cm="1">
        <f t="array" aca="1" ref="E81" ca="1">INDIRECT("'※ 영기팀 작성_가입자'!"&amp;E$1&amp;$Y81, TRUE)</f>
        <v>3642</v>
      </c>
      <c r="F81" s="3189" cm="1">
        <f t="array" aca="1" ref="F81" ca="1">INDIRECT("'※ 영기팀 작성_가입자'!"&amp;F$1&amp;$Y81, TRUE)</f>
        <v>469</v>
      </c>
      <c r="G81" s="3188" cm="1">
        <f t="array" aca="1" ref="G81" ca="1">INDIRECT("'※ 영기팀 작성_가입자'!"&amp;G$1&amp;$Y81, TRUE)</f>
        <v>363</v>
      </c>
      <c r="H81" s="3188" cm="1">
        <f t="array" aca="1" ref="H81" ca="1">INDIRECT("'※ 영기팀 작성_가입자'!"&amp;H$1&amp;$Y81, TRUE)</f>
        <v>412</v>
      </c>
      <c r="I81" s="3188" cm="1">
        <f t="array" aca="1" ref="I81" ca="1">INDIRECT("'※ 영기팀 작성_가입자'!"&amp;I$1&amp;$Y81, TRUE)</f>
        <v>470</v>
      </c>
      <c r="J81" s="3188" cm="1">
        <f t="array" aca="1" ref="J81" ca="1">INDIRECT("'※ 영기팀 작성_가입자'!"&amp;J$1&amp;$Y81, TRUE)</f>
        <v>389</v>
      </c>
      <c r="K81" s="3188" cm="1">
        <f t="array" aca="1" ref="K81" ca="1">INDIRECT("'※ 영기팀 작성_가입자'!"&amp;K$1&amp;$Y81, TRUE)</f>
        <v>400</v>
      </c>
      <c r="L81" s="3188" cm="1">
        <f t="array" aca="1" ref="L81" ca="1">INDIRECT("'※ 영기팀 작성_가입자'!"&amp;L$1&amp;$Y81, TRUE)</f>
        <v>306</v>
      </c>
      <c r="M81" s="3188" cm="1">
        <f t="array" aca="1" ref="M81" ca="1">INDIRECT("'※ 영기팀 작성_가입자'!"&amp;M$1&amp;$Y81, TRUE)</f>
        <v>209</v>
      </c>
      <c r="N81" s="3170" cm="1">
        <f t="array" aca="1" ref="N81" ca="1">INDIRECT("'※ 영기팀 작성_가입자'!"&amp;N$1&amp;$Z81, TRUE)</f>
        <v>313</v>
      </c>
      <c r="O81" s="3170" cm="1">
        <f t="array" aca="1" ref="O81" ca="1">INDIRECT("'※ 영기팀 작성_가입자'!"&amp;O$1&amp;$Z81, TRUE)</f>
        <v>-121</v>
      </c>
      <c r="P81" s="3171" cm="1">
        <f t="array" aca="1" ref="P81" ca="1">INDIRECT("'※ 영기팀 작성_가입자'!"&amp;P$1&amp;$Z81, TRUE)</f>
        <v>0.6333333333333333</v>
      </c>
      <c r="Q81" s="3172" cm="1">
        <f t="array" aca="1" ref="Q81" ca="1">INDIRECT("'※ 영기팀 작성_가입자'!"&amp;Q$2&amp;$Y81,TRUE)</f>
        <v>-97</v>
      </c>
      <c r="R81" s="3173" cm="1">
        <f t="array" aca="1" ref="R81" ca="1">INDIRECT("'※ 영기팀 작성_가입자'!"&amp;R$2&amp;$Y81,TRUE)</f>
        <v>-260</v>
      </c>
      <c r="S81" s="3133" cm="1">
        <f t="array" aca="1" ref="S81" ca="1">INDIRECT("'※ 영기팀 작성_가입자'!"&amp;S$1&amp;$Y81, TRUE)</f>
        <v>515</v>
      </c>
      <c r="T81" s="3170" cm="1">
        <f t="array" aca="1" ref="T81" ca="1">INDIRECT("'※ 영기팀 작성_가입자'!"&amp;T$1&amp;$Z81, TRUE)</f>
        <v>-191</v>
      </c>
      <c r="U81" s="3171" cm="1">
        <f t="array" aca="1" ref="U81" ca="1">INDIRECT("'※ 영기팀 작성_가입자'!"&amp;U$1&amp;$Z81, TRUE)</f>
        <v>0.72946175637393773</v>
      </c>
      <c r="V81" s="3175" cm="1">
        <f t="array" aca="1" ref="V81" ca="1">INDIRECT("'※ 영기팀 작성_가입자'!"&amp;V$2&amp;$Y81, TRUE)</f>
        <v>-298</v>
      </c>
      <c r="W81" s="3135" cm="1">
        <f t="array" aca="1" ref="W81" ca="1">INDIRECT("'※ 영기팀 작성_가입자'!"&amp;W$1&amp;$Y81, TRUE)</f>
        <v>257.5</v>
      </c>
      <c r="X81" s="3136" cm="1">
        <f t="array" aca="1" ref="X81" ca="1">INDIRECT("'※ 영기팀 작성_가입자'!"&amp;X$1&amp;$Y81, TRUE)</f>
        <v>64.083333333333314</v>
      </c>
      <c r="Y81" s="2988">
        <f>ROW('※ 영기팀 작성_가입자'!AH183)</f>
        <v>183</v>
      </c>
      <c r="Z81" s="2984">
        <f>ROW('※ 영기팀 작성_가입자'!AI381)</f>
        <v>381</v>
      </c>
    </row>
    <row r="82" spans="1:26" ht="5.05" customHeight="1" thickBot="1" x14ac:dyDescent="0.6">
      <c r="A82" s="2771"/>
      <c r="B82" s="698"/>
      <c r="C82" s="698"/>
      <c r="D82" s="972"/>
      <c r="E82" s="1300"/>
      <c r="F82" s="971"/>
      <c r="G82" s="972"/>
      <c r="H82" s="972"/>
      <c r="I82" s="972"/>
      <c r="J82" s="972"/>
      <c r="K82" s="972"/>
      <c r="L82" s="972"/>
      <c r="M82" s="972"/>
      <c r="N82" s="972"/>
      <c r="O82" s="972"/>
      <c r="P82" s="972"/>
      <c r="Q82" s="972"/>
      <c r="R82" s="972"/>
      <c r="S82" s="1300"/>
      <c r="T82" s="1300"/>
      <c r="U82" s="1300"/>
      <c r="V82" s="581"/>
      <c r="W82" s="581"/>
      <c r="X82" s="581"/>
      <c r="Y82" s="2988"/>
    </row>
    <row r="83" spans="1:26" ht="18" customHeight="1" x14ac:dyDescent="0.55000000000000004">
      <c r="A83" s="7175" t="s">
        <v>94</v>
      </c>
      <c r="B83" s="3190" t="s">
        <v>579</v>
      </c>
      <c r="C83" s="3190"/>
      <c r="D83" s="3191" cm="1">
        <f t="array" aca="1" ref="D83" ca="1">INDIRECT("'※ 영기팀 작성_가입자'!"&amp;D$1&amp;$Y83, TRUE)</f>
        <v>0.92957889654120818</v>
      </c>
      <c r="E83" s="3192" cm="1">
        <f t="array" aca="1" ref="E83" ca="1">INDIRECT("'※ 영기팀 작성_가입자'!"&amp;E$1&amp;$Y83, TRUE)</f>
        <v>0.92100675041351876</v>
      </c>
      <c r="F83" s="3193" cm="1">
        <f t="array" aca="1" ref="F83" ca="1">INDIRECT("'※ 영기팀 작성_가입자'!"&amp;F$1&amp;$Y83, TRUE)</f>
        <v>0.95074812967581046</v>
      </c>
      <c r="G83" s="3192" cm="1">
        <f t="array" aca="1" ref="G83" ca="1">INDIRECT("'※ 영기팀 작성_가입자'!"&amp;G$1&amp;$Y83, TRUE)</f>
        <v>0.90571761960326724</v>
      </c>
      <c r="H83" s="3192" cm="1">
        <f t="array" aca="1" ref="H83" ca="1">INDIRECT("'※ 영기팀 작성_가입자'!"&amp;H$1&amp;$Y83, TRUE)</f>
        <v>0.91093549765057669</v>
      </c>
      <c r="I83" s="3192" cm="1">
        <f t="array" aca="1" ref="I83" ca="1">INDIRECT("'※ 영기팀 작성_가입자'!"&amp;I$1&amp;$Y83, TRUE)</f>
        <v>0.93998782714546558</v>
      </c>
      <c r="J83" s="3192" cm="1">
        <f t="array" aca="1" ref="J83" ca="1">INDIRECT("'※ 영기팀 작성_가입자'!"&amp;J$1&amp;$Y83, TRUE)</f>
        <v>0.92025601107074906</v>
      </c>
      <c r="K83" s="3192" cm="1">
        <f t="array" aca="1" ref="K83" ca="1">INDIRECT("'※ 영기팀 작성_가입자'!"&amp;K$1&amp;$Y83, TRUE)</f>
        <v>0.91569193376879843</v>
      </c>
      <c r="L83" s="3192" cm="1">
        <f t="array" aca="1" ref="L83" ca="1">INDIRECT("'※ 영기팀 작성_가입자'!"&amp;L$1&amp;$Y83, TRUE)</f>
        <v>0.95905015749939426</v>
      </c>
      <c r="M83" s="3192" cm="1">
        <f t="array" aca="1" ref="M83" ca="1">INDIRECT("'※ 영기팀 작성_가입자'!"&amp;M$1&amp;$Y83, TRUE)</f>
        <v>0.94648829431438131</v>
      </c>
      <c r="N83" s="3194"/>
      <c r="O83" s="3194"/>
      <c r="P83" s="3195"/>
      <c r="Q83" s="3196" cm="1">
        <f t="array" aca="1" ref="Q83" ca="1">INDIRECT("'※ 영기팀 작성_가입자'!"&amp;Q$2&amp;$Y83,TRUE)</f>
        <v>-1.2561863185012956E-2</v>
      </c>
      <c r="R83" s="3197" cm="1">
        <f t="array" aca="1" ref="R83" ca="1">INDIRECT("'※ 영기팀 작성_가입자'!"&amp;R$2&amp;$Y83,TRUE)</f>
        <v>-4.259835361429154E-3</v>
      </c>
      <c r="S83" s="3198" cm="1">
        <f t="array" aca="1" ref="S83" ca="1">INDIRECT("'※ 영기팀 작성_가입자'!"&amp;S$1&amp;$Y83, TRUE)</f>
        <v>0.95276922590688784</v>
      </c>
      <c r="T83" s="3194"/>
      <c r="U83" s="3195"/>
      <c r="V83" s="3199" cm="1">
        <f t="array" aca="1" ref="V83" ca="1">INDIRECT("'※ 영기팀 작성_가입자'!"&amp;V$2&amp;$Y83, TRUE)</f>
        <v>1.8087673646668412E-2</v>
      </c>
      <c r="W83" s="3200" cm="1">
        <f t="array" aca="1" ref="W83" ca="1">INDIRECT("'※ 영기팀 작성_가입자'!"&amp;W$1&amp;$Y83, TRUE)</f>
        <v>0.95276922590688784</v>
      </c>
      <c r="X83" s="3201" cm="1">
        <f t="array" aca="1" ref="X83" ca="1">INDIRECT("'※ 영기팀 작성_가입자'!"&amp;X$1&amp;$Y83, TRUE)</f>
        <v>8.6931097502216392E-3</v>
      </c>
      <c r="Y83" s="2988">
        <f>ROW('※ 영기팀 작성_가입자'!AH259)</f>
        <v>259</v>
      </c>
    </row>
    <row r="84" spans="1:26" ht="18" customHeight="1" x14ac:dyDescent="0.55000000000000004">
      <c r="A84" s="7176"/>
      <c r="B84" s="673"/>
      <c r="C84" s="673" t="s">
        <v>19</v>
      </c>
      <c r="D84" s="3202" cm="1">
        <f t="array" aca="1" ref="D84" ca="1">INDIRECT("'※ 영기팀 작성_가입자'!"&amp;D$1&amp;$Y84, TRUE)</f>
        <v>0.9692268886366503</v>
      </c>
      <c r="E84" s="3203" cm="1">
        <f t="array" aca="1" ref="E84" ca="1">INDIRECT("'※ 영기팀 작성_가입자'!"&amp;E$1&amp;$Y84, TRUE)</f>
        <v>0.96632487857528337</v>
      </c>
      <c r="F84" s="3204" cm="1">
        <f t="array" aca="1" ref="F84" ca="1">INDIRECT("'※ 영기팀 작성_가입자'!"&amp;F$1&amp;$Y84, TRUE)</f>
        <v>0.97727272727272729</v>
      </c>
      <c r="G84" s="3203" cm="1">
        <f t="array" aca="1" ref="G84" ca="1">INDIRECT("'※ 영기팀 작성_가입자'!"&amp;G$1&amp;$Y84, TRUE)</f>
        <v>0.96985815602836878</v>
      </c>
      <c r="H84" s="3203" cm="1">
        <f t="array" aca="1" ref="H84" ca="1">INDIRECT("'※ 영기팀 작성_가입자'!"&amp;H$1&amp;$Y84, TRUE)</f>
        <v>0.97010463378176381</v>
      </c>
      <c r="I84" s="3203" cm="1">
        <f t="array" aca="1" ref="I84" ca="1">INDIRECT("'※ 영기팀 작성_가입자'!"&amp;I$1&amp;$Y84, TRUE)</f>
        <v>0.98348926802421599</v>
      </c>
      <c r="J84" s="3203" cm="1">
        <f t="array" aca="1" ref="J84" ca="1">INDIRECT("'※ 영기팀 작성_가입자'!"&amp;J$1&amp;$Y84, TRUE)</f>
        <v>0.97713981924508253</v>
      </c>
      <c r="K84" s="3203" cm="1">
        <f t="array" aca="1" ref="K84" ca="1">INDIRECT("'※ 영기팀 작성_가입자'!"&amp;K$1&amp;$Y84, TRUE)</f>
        <v>0.98279087167976054</v>
      </c>
      <c r="L84" s="3203" cm="1">
        <f t="array" aca="1" ref="L84" ca="1">INDIRECT("'※ 영기팀 작성_가입자'!"&amp;L$1&amp;$Y84, TRUE)</f>
        <v>0.97137637028014612</v>
      </c>
      <c r="M84" s="3203" cm="1">
        <f t="array" aca="1" ref="M84" ca="1">INDIRECT("'※ 영기팀 작성_가입자'!"&amp;M$1&amp;$Y84, TRUE)</f>
        <v>0.96539162112932608</v>
      </c>
      <c r="N84" s="3205"/>
      <c r="O84" s="3205"/>
      <c r="P84" s="3206"/>
      <c r="Q84" s="3207" cm="1">
        <f t="array" aca="1" ref="Q84" ca="1">INDIRECT("'※ 영기팀 작성_가입자'!"&amp;Q$2&amp;$Y84,TRUE)</f>
        <v>-5.9847491508200346E-3</v>
      </c>
      <c r="R84" s="1383" cm="1">
        <f t="array" aca="1" ref="R84" ca="1">INDIRECT("'※ 영기팀 작성_가입자'!"&amp;R$2&amp;$Y84,TRUE)</f>
        <v>-1.188110614340121E-2</v>
      </c>
      <c r="S84" s="3208" cm="1">
        <f t="array" aca="1" ref="S84" ca="1">INDIRECT("'※ 영기팀 작성_가입자'!"&amp;S$1&amp;$Y84, TRUE)</f>
        <v>0.9683839957047361</v>
      </c>
      <c r="T84" s="3205"/>
      <c r="U84" s="3206"/>
      <c r="V84" s="3209" cm="1">
        <f t="array" aca="1" ref="V84" ca="1">INDIRECT("'※ 영기팀 작성_가입자'!"&amp;V$2&amp;$Y84, TRUE)</f>
        <v>7.5963892943586853E-4</v>
      </c>
      <c r="W84" s="3210" cm="1">
        <f t="array" aca="1" ref="W84" ca="1">INDIRECT("'※ 영기팀 작성_가입자'!"&amp;W$1&amp;$Y84, TRUE)</f>
        <v>0.9683839957047361</v>
      </c>
      <c r="X84" s="3211" cm="1">
        <f t="array" aca="1" ref="X84" ca="1">INDIRECT("'※ 영기팀 작성_가입자'!"&amp;X$1&amp;$Y84, TRUE)</f>
        <v>8.1881513853100385E-3</v>
      </c>
      <c r="Y84" s="2988">
        <f>ROW('※ 영기팀 작성_가입자'!AH260)</f>
        <v>260</v>
      </c>
    </row>
    <row r="85" spans="1:26" ht="18" customHeight="1" x14ac:dyDescent="0.55000000000000004">
      <c r="A85" s="7176"/>
      <c r="B85" s="673"/>
      <c r="C85" s="673" t="s">
        <v>1016</v>
      </c>
      <c r="D85" s="3202" cm="1">
        <f t="array" aca="1" ref="D85" ca="1">INDIRECT("'※ 영기팀 작성_가입자'!"&amp;D$1&amp;$Y85, TRUE)</f>
        <v>0.81300523062291963</v>
      </c>
      <c r="E85" s="3203" cm="1">
        <f t="array" aca="1" ref="E85" ca="1">INDIRECT("'※ 영기팀 작성_가입자'!"&amp;E$1&amp;$Y85, TRUE)</f>
        <v>0.72665916760404947</v>
      </c>
      <c r="F85" s="3204" cm="1">
        <f t="array" aca="1" ref="F85" ca="1">INDIRECT("'※ 영기팀 작성_가입자'!"&amp;F$1&amp;$Y85, TRUE)</f>
        <v>0.66730401529636707</v>
      </c>
      <c r="G85" s="3203" cm="1">
        <f t="array" aca="1" ref="G85" ca="1">INDIRECT("'※ 영기팀 작성_가입자'!"&amp;G$1&amp;$Y85, TRUE)</f>
        <v>0.54973821989528793</v>
      </c>
      <c r="H85" s="3203" cm="1">
        <f t="array" aca="1" ref="H85" ca="1">INDIRECT("'※ 영기팀 작성_가입자'!"&amp;H$1&amp;$Y85, TRUE)</f>
        <v>0.55327342747111685</v>
      </c>
      <c r="I85" s="3203" cm="1">
        <f t="array" aca="1" ref="I85" ca="1">INDIRECT("'※ 영기팀 작성_가입자'!"&amp;I$1&amp;$Y85, TRUE)</f>
        <v>0.55626326963906592</v>
      </c>
      <c r="J85" s="3203" cm="1">
        <f t="array" aca="1" ref="J85" ca="1">INDIRECT("'※ 영기팀 작성_가입자'!"&amp;J$1&amp;$Y85, TRUE)</f>
        <v>0.5192069392812888</v>
      </c>
      <c r="K85" s="3203" cm="1">
        <f t="array" aca="1" ref="K85" ca="1">INDIRECT("'※ 영기팀 작성_가입자'!"&amp;K$1&amp;$Y85, TRUE)</f>
        <v>0.5603367633302152</v>
      </c>
      <c r="L85" s="3203" cm="1">
        <f t="array" aca="1" ref="L85" ca="1">INDIRECT("'※ 영기팀 작성_가입자'!"&amp;L$1&amp;$Y85, TRUE)</f>
        <v>0.7665847665847666</v>
      </c>
      <c r="M85" s="3203" cm="1">
        <f t="array" aca="1" ref="M85" ca="1">INDIRECT("'※ 영기팀 작성_가입자'!"&amp;M$1&amp;$Y85, TRUE)</f>
        <v>0.76328502415458943</v>
      </c>
      <c r="N85" s="3205"/>
      <c r="O85" s="3205"/>
      <c r="P85" s="3206"/>
      <c r="Q85" s="3207" cm="1">
        <f t="array" aca="1" ref="Q85" ca="1">INDIRECT("'※ 영기팀 작성_가입자'!"&amp;Q$2&amp;$Y85,TRUE)</f>
        <v>-3.2997424301771661E-3</v>
      </c>
      <c r="R85" s="1383" cm="1">
        <f t="array" aca="1" ref="R85" ca="1">INDIRECT("'※ 영기팀 작성_가입자'!"&amp;R$2&amp;$Y85,TRUE)</f>
        <v>9.5981008858222361E-2</v>
      </c>
      <c r="S85" s="3208" cm="1">
        <f t="array" aca="1" ref="S85" ca="1">INDIRECT("'※ 영기팀 작성_가입자'!"&amp;S$1&amp;$Y85, TRUE)</f>
        <v>0.76493489536967796</v>
      </c>
      <c r="T85" s="3205"/>
      <c r="U85" s="3206"/>
      <c r="V85" s="3209" cm="1">
        <f t="array" aca="1" ref="V85" ca="1">INDIRECT("'※ 영기팀 작성_가입자'!"&amp;V$2&amp;$Y85, TRUE)</f>
        <v>0.12253971832258737</v>
      </c>
      <c r="W85" s="3210" cm="1">
        <f t="array" aca="1" ref="W85" ca="1">INDIRECT("'※ 영기팀 작성_가입자'!"&amp;W$1&amp;$Y85, TRUE)</f>
        <v>0.76493489536967796</v>
      </c>
      <c r="X85" s="3211" cm="1">
        <f t="array" aca="1" ref="X85" ca="1">INDIRECT("'※ 영기팀 작성_가입자'!"&amp;X$1&amp;$Y85, TRUE)</f>
        <v>-9.5875441903601755E-2</v>
      </c>
      <c r="Y85" s="2988">
        <f>ROW('※ 영기팀 작성_가입자'!AH261)</f>
        <v>261</v>
      </c>
    </row>
    <row r="86" spans="1:26" ht="18" customHeight="1" x14ac:dyDescent="0.55000000000000004">
      <c r="A86" s="7176"/>
      <c r="B86" s="673"/>
      <c r="C86" s="673" t="s">
        <v>20</v>
      </c>
      <c r="D86" s="3202" cm="1">
        <f t="array" aca="1" ref="D86" ca="1">INDIRECT("'※ 영기팀 작성_가입자'!"&amp;D$1&amp;$Y86, TRUE)</f>
        <v>0.95877356536150815</v>
      </c>
      <c r="E86" s="3203" cm="1">
        <f t="array" aca="1" ref="E86" ca="1">INDIRECT("'※ 영기팀 작성_가입자'!"&amp;E$1&amp;$Y86, TRUE)</f>
        <v>0.97218208092485547</v>
      </c>
      <c r="F86" s="3204" cm="1">
        <f t="array" aca="1" ref="F86" ca="1">INDIRECT("'※ 영기팀 작성_가입자'!"&amp;F$1&amp;$Y86, TRUE)</f>
        <v>0.99376797698945352</v>
      </c>
      <c r="G86" s="3203" cm="1">
        <f t="array" aca="1" ref="G86" ca="1">INDIRECT("'※ 영기팀 작성_가입자'!"&amp;G$1&amp;$Y86, TRUE)</f>
        <v>0.99502762430939229</v>
      </c>
      <c r="H86" s="3203" cm="1">
        <f t="array" aca="1" ref="H86" ca="1">INDIRECT("'※ 영기팀 작성_가입자'!"&amp;H$1&amp;$Y86, TRUE)</f>
        <v>0.995253164556962</v>
      </c>
      <c r="I86" s="3203" cm="1">
        <f t="array" aca="1" ref="I86" ca="1">INDIRECT("'※ 영기팀 작성_가입자'!"&amp;I$1&amp;$Y86, TRUE)</f>
        <v>0.99587798845836772</v>
      </c>
      <c r="J86" s="3203" cm="1">
        <f t="array" aca="1" ref="J86" ca="1">INDIRECT("'※ 영기팀 작성_가입자'!"&amp;J$1&amp;$Y86, TRUE)</f>
        <v>0.99896408839779005</v>
      </c>
      <c r="K86" s="3203" cm="1">
        <f t="array" aca="1" ref="K86" ca="1">INDIRECT("'※ 영기팀 작성_가입자'!"&amp;K$1&amp;$Y86, TRUE)</f>
        <v>0.99686028257456827</v>
      </c>
      <c r="L86" s="3203" cm="1">
        <f t="array" aca="1" ref="L86" ca="1">INDIRECT("'※ 영기팀 작성_가입자'!"&amp;L$1&amp;$Y86, TRUE)</f>
        <v>0.99637117677553133</v>
      </c>
      <c r="M86" s="3203" cm="1">
        <f t="array" aca="1" ref="M86" ca="1">INDIRECT("'※ 영기팀 작성_가입자'!"&amp;M$1&amp;$Y86, TRUE)</f>
        <v>0.99702380952380953</v>
      </c>
      <c r="N86" s="3205"/>
      <c r="O86" s="3205"/>
      <c r="P86" s="3206"/>
      <c r="Q86" s="3207" cm="1">
        <f t="array" aca="1" ref="Q86" ca="1">INDIRECT("'※ 영기팀 작성_가입자'!"&amp;Q$2&amp;$Y86,TRUE)</f>
        <v>6.526327482782035E-4</v>
      </c>
      <c r="R86" s="1383" cm="1">
        <f t="array" aca="1" ref="R86" ca="1">INDIRECT("'※ 영기팀 작성_가입자'!"&amp;R$2&amp;$Y86,TRUE)</f>
        <v>3.2558325343560179E-3</v>
      </c>
      <c r="S86" s="3208" cm="1">
        <f t="array" aca="1" ref="S86" ca="1">INDIRECT("'※ 영기팀 작성_가입자'!"&amp;S$1&amp;$Y86, TRUE)</f>
        <v>0.99669749314967038</v>
      </c>
      <c r="T86" s="3205"/>
      <c r="U86" s="3206"/>
      <c r="V86" s="3209" cm="1">
        <f t="array" aca="1" ref="V86" ca="1">INDIRECT("'※ 영기팀 작성_가입자'!"&amp;V$2&amp;$Y86, TRUE)</f>
        <v>2.5624356262325954E-3</v>
      </c>
      <c r="W86" s="3210" cm="1">
        <f t="array" aca="1" ref="W86" ca="1">INDIRECT("'※ 영기팀 작성_가입자'!"&amp;W$1&amp;$Y86, TRUE)</f>
        <v>0.99669749314967038</v>
      </c>
      <c r="X86" s="3211" cm="1">
        <f t="array" aca="1" ref="X86" ca="1">INDIRECT("'※ 영기팀 작성_가입자'!"&amp;X$1&amp;$Y86, TRUE)</f>
        <v>2.3987747286394079E-2</v>
      </c>
      <c r="Y86" s="2988">
        <f>ROW('※ 영기팀 작성_가입자'!AH262)</f>
        <v>262</v>
      </c>
    </row>
    <row r="87" spans="1:26" ht="18" customHeight="1" x14ac:dyDescent="0.55000000000000004">
      <c r="A87" s="7176"/>
      <c r="B87" s="673"/>
      <c r="C87" s="673" t="s">
        <v>875</v>
      </c>
      <c r="D87" s="3202" cm="1">
        <f t="array" aca="1" ref="D87" ca="1">INDIRECT("'※ 영기팀 작성_가입자'!"&amp;D$1&amp;$Y87, TRUE)</f>
        <v>0.81103678929765888</v>
      </c>
      <c r="E87" s="3203" cm="1">
        <f t="array" aca="1" ref="E87" ca="1">INDIRECT("'※ 영기팀 작성_가입자'!"&amp;E$1&amp;$Y87, TRUE)</f>
        <v>0.9746478873239437</v>
      </c>
      <c r="F87" s="3204" cm="1">
        <f t="array" aca="1" ref="F87" ca="1">INDIRECT("'※ 영기팀 작성_가입자'!"&amp;F$1&amp;$Y87, TRUE)</f>
        <v>1</v>
      </c>
      <c r="G87" s="3203" cm="1">
        <f t="array" aca="1" ref="G87" ca="1">INDIRECT("'※ 영기팀 작성_가입자'!"&amp;G$1&amp;$Y87, TRUE)</f>
        <v>1</v>
      </c>
      <c r="H87" s="3203" t="str" cm="1">
        <f t="array" aca="1" ref="H87" ca="1">INDIRECT("'※ 영기팀 작성_가입자'!"&amp;H$1&amp;$Y87, TRUE)</f>
        <v>-</v>
      </c>
      <c r="I87" s="3203" cm="1">
        <f t="array" aca="1" ref="I87" ca="1">INDIRECT("'※ 영기팀 작성_가입자'!"&amp;I$1&amp;$Y87, TRUE)</f>
        <v>0.85209003215434087</v>
      </c>
      <c r="J87" s="3203" cm="1">
        <f t="array" aca="1" ref="J87" ca="1">INDIRECT("'※ 영기팀 작성_가입자'!"&amp;J$1&amp;$Y87, TRUE)</f>
        <v>0.86294416243654826</v>
      </c>
      <c r="K87" s="3203" cm="1">
        <f t="array" aca="1" ref="K87" ca="1">INDIRECT("'※ 영기팀 작성_가입자'!"&amp;K$1&amp;$Y87, TRUE)</f>
        <v>0.89419795221843001</v>
      </c>
      <c r="L87" s="3203" cm="1">
        <f t="array" aca="1" ref="L87" ca="1">INDIRECT("'※ 영기팀 작성_가입자'!"&amp;L$1&amp;$Y87, TRUE)</f>
        <v>0.86577181208053688</v>
      </c>
      <c r="M87" s="3203" cm="1">
        <f t="array" aca="1" ref="M87" ca="1">INDIRECT("'※ 영기팀 작성_가입자'!"&amp;M$1&amp;$Y87, TRUE)</f>
        <v>0.85074626865671643</v>
      </c>
      <c r="N87" s="3205"/>
      <c r="O87" s="3205"/>
      <c r="P87" s="3206"/>
      <c r="Q87" s="3207" cm="1">
        <f t="array" aca="1" ref="Q87" ca="1">INDIRECT("'※ 영기팀 작성_가입자'!"&amp;Q$2&amp;$Y87,TRUE)</f>
        <v>-1.5025543423820453E-2</v>
      </c>
      <c r="R87" s="1383" cm="1">
        <f t="array" aca="1" ref="R87" ca="1">INDIRECT("'※ 영기팀 작성_가입자'!"&amp;R$2&amp;$Y87,TRUE)</f>
        <v>-0.14925373134328357</v>
      </c>
      <c r="S87" s="3208" cm="1">
        <f t="array" aca="1" ref="S87" ca="1">INDIRECT("'※ 영기팀 작성_가입자'!"&amp;S$1&amp;$Y87, TRUE)</f>
        <v>0.85825904036862666</v>
      </c>
      <c r="T87" s="3205"/>
      <c r="U87" s="3206"/>
      <c r="V87" s="3209" cm="1">
        <f t="array" aca="1" ref="V87" ca="1">INDIRECT("'※ 영기팀 작성_가입자'!"&amp;V$2&amp;$Y87, TRUE)</f>
        <v>-1.2111330001743692E-2</v>
      </c>
      <c r="W87" s="3210" cm="1">
        <f t="array" aca="1" ref="W87" ca="1">INDIRECT("'※ 영기팀 작성_가입자'!"&amp;W$1&amp;$Y87, TRUE)</f>
        <v>0.85825904036862666</v>
      </c>
      <c r="X87" s="3211" cm="1">
        <f t="array" aca="1" ref="X87" ca="1">INDIRECT("'※ 영기팀 작성_가입자'!"&amp;X$1&amp;$Y87, TRUE)</f>
        <v>-0.10102437199776837</v>
      </c>
      <c r="Y87" s="2988">
        <f>ROW('※ 영기팀 작성_가입자'!AH263)</f>
        <v>263</v>
      </c>
    </row>
    <row r="88" spans="1:26" ht="18" customHeight="1" x14ac:dyDescent="0.55000000000000004">
      <c r="A88" s="7176"/>
      <c r="B88" s="3212" t="s">
        <v>95</v>
      </c>
      <c r="C88" s="3212"/>
      <c r="D88" s="3213" cm="1">
        <f t="array" aca="1" ref="D88" ca="1">INDIRECT("'※ 영기팀 작성_가입자'!"&amp;D$1&amp;$Y88, TRUE)</f>
        <v>0.42827009580929631</v>
      </c>
      <c r="E88" s="3214" cm="1">
        <f t="array" aca="1" ref="E88" ca="1">INDIRECT("'※ 영기팀 작성_가입자'!"&amp;E$1&amp;$Y88, TRUE)</f>
        <v>0.33567440311879465</v>
      </c>
      <c r="F88" s="3215" cm="1">
        <f t="array" aca="1" ref="F88" ca="1">INDIRECT("'※ 영기팀 작성_가입자'!"&amp;F$1&amp;$Y88, TRUE)</f>
        <v>0.31836988001654942</v>
      </c>
      <c r="G88" s="3214" cm="1">
        <f t="array" aca="1" ref="G88" ca="1">INDIRECT("'※ 영기팀 작성_가입자'!"&amp;G$1&amp;$Y88, TRUE)</f>
        <v>0.26385707741639947</v>
      </c>
      <c r="H88" s="3214" cm="1">
        <f t="array" aca="1" ref="H88" ca="1">INDIRECT("'※ 영기팀 작성_가입자'!"&amp;H$1&amp;$Y88, TRUE)</f>
        <v>0.28188616535105943</v>
      </c>
      <c r="I88" s="3214" cm="1">
        <f t="array" aca="1" ref="I88" ca="1">INDIRECT("'※ 영기팀 작성_가입자'!"&amp;I$1&amp;$Y88, TRUE)</f>
        <v>0.26808460909197146</v>
      </c>
      <c r="J88" s="3214" cm="1">
        <f t="array" aca="1" ref="J88" ca="1">INDIRECT("'※ 영기팀 작성_가입자'!"&amp;J$1&amp;$Y88, TRUE)</f>
        <v>0.31430548348036674</v>
      </c>
      <c r="K88" s="3214" cm="1">
        <f t="array" aca="1" ref="K88" ca="1">INDIRECT("'※ 영기팀 작성_가입자'!"&amp;K$1&amp;$Y88, TRUE)</f>
        <v>0.45578947368421052</v>
      </c>
      <c r="L88" s="3214" cm="1">
        <f t="array" aca="1" ref="L88" ca="1">INDIRECT("'※ 영기팀 작성_가입자'!"&amp;L$1&amp;$Y88, TRUE)</f>
        <v>0.51611339956384783</v>
      </c>
      <c r="M88" s="3214" cm="1">
        <f t="array" aca="1" ref="M88" ca="1">INDIRECT("'※ 영기팀 작성_가입자'!"&amp;M$1&amp;$Y88, TRUE)</f>
        <v>0.53645484949832778</v>
      </c>
      <c r="N88" s="3205"/>
      <c r="O88" s="3205"/>
      <c r="P88" s="3206"/>
      <c r="Q88" s="3216" cm="1">
        <f t="array" aca="1" ref="Q88" ca="1">INDIRECT("'※ 영기팀 작성_가입자'!"&amp;Q$2&amp;$Y88,TRUE)</f>
        <v>2.0341449934479949E-2</v>
      </c>
      <c r="R88" s="3217" cm="1">
        <f t="array" aca="1" ref="R88" ca="1">INDIRECT("'※ 영기팀 작성_가입자'!"&amp;R$2&amp;$Y88,TRUE)</f>
        <v>0.21808496948177836</v>
      </c>
      <c r="S88" s="3218" cm="1">
        <f t="array" aca="1" ref="S88" ca="1">INDIRECT("'※ 영기팀 작성_가입자'!"&amp;S$1&amp;$Y88, TRUE)</f>
        <v>0.52628412453108786</v>
      </c>
      <c r="T88" s="3205"/>
      <c r="U88" s="3206"/>
      <c r="V88" s="3219" cm="1">
        <f t="array" aca="1" ref="V88" ca="1">INDIRECT("'※ 영기팀 작성_가입자'!"&amp;V$2&amp;$Y88, TRUE)</f>
        <v>0.23172865012659227</v>
      </c>
      <c r="W88" s="3220" cm="1">
        <f t="array" aca="1" ref="W88" ca="1">INDIRECT("'※ 영기팀 작성_가입자'!"&amp;W$1&amp;$Y88, TRUE)</f>
        <v>0.52628412453108786</v>
      </c>
      <c r="X88" s="3221" cm="1">
        <f t="array" aca="1" ref="X88" ca="1">INDIRECT("'※ 영기팀 작성_가입자'!"&amp;X$1&amp;$Y88, TRUE)</f>
        <v>6.0772075859801489E-2</v>
      </c>
      <c r="Y88" s="2988">
        <f>ROW('※ 영기팀 작성_가입자'!AH264)</f>
        <v>264</v>
      </c>
    </row>
    <row r="89" spans="1:26" ht="18" customHeight="1" x14ac:dyDescent="0.55000000000000004">
      <c r="A89" s="7176"/>
      <c r="B89" s="804"/>
      <c r="C89" s="804" t="s">
        <v>128</v>
      </c>
      <c r="D89" s="3213" cm="1">
        <f t="array" aca="1" ref="D89" ca="1">INDIRECT("'※ 영기팀 작성_가입자'!"&amp;D$1&amp;$Y89, TRUE)</f>
        <v>0.58796821793416576</v>
      </c>
      <c r="E89" s="3214" cm="1">
        <f t="array" aca="1" ref="E89" ca="1">INDIRECT("'※ 영기팀 작성_가입자'!"&amp;E$1&amp;$Y89, TRUE)</f>
        <v>0.55633140911108792</v>
      </c>
      <c r="F89" s="3215" cm="1">
        <f t="array" aca="1" ref="F89" ca="1">INDIRECT("'※ 영기팀 작성_가입자'!"&amp;F$1&amp;$Y89, TRUE)</f>
        <v>0.47545454545454546</v>
      </c>
      <c r="G89" s="3214" cm="1">
        <f t="array" aca="1" ref="G89" ca="1">INDIRECT("'※ 영기팀 작성_가입자'!"&amp;G$1&amp;$Y89, TRUE)</f>
        <v>0.40366430260047281</v>
      </c>
      <c r="H89" s="3214" cm="1">
        <f t="array" aca="1" ref="H89" ca="1">INDIRECT("'※ 영기팀 작성_가입자'!"&amp;H$1&amp;$Y89, TRUE)</f>
        <v>0.42800199302441455</v>
      </c>
      <c r="I89" s="3214" cm="1">
        <f t="array" aca="1" ref="I89" ca="1">INDIRECT("'※ 영기팀 작성_가입자'!"&amp;I$1&amp;$Y89, TRUE)</f>
        <v>0.36873968079251512</v>
      </c>
      <c r="J89" s="3214" cm="1">
        <f t="array" aca="1" ref="J89" ca="1">INDIRECT("'※ 영기팀 작성_가입자'!"&amp;J$1&amp;$Y89, TRUE)</f>
        <v>0.46624136097820312</v>
      </c>
      <c r="K89" s="3214" cm="1">
        <f t="array" aca="1" ref="K89" ca="1">INDIRECT("'※ 영기팀 작성_가입자'!"&amp;K$1&amp;$Y89, TRUE)</f>
        <v>0.65106701609883944</v>
      </c>
      <c r="L89" s="3214" cm="1">
        <f t="array" aca="1" ref="L89" ca="1">INDIRECT("'※ 영기팀 작성_가입자'!"&amp;L$1&amp;$Y89, TRUE)</f>
        <v>0.64311814859926919</v>
      </c>
      <c r="M89" s="3214" cm="1">
        <f t="array" aca="1" ref="M89" ca="1">INDIRECT("'※ 영기팀 작성_가입자'!"&amp;M$1&amp;$Y89, TRUE)</f>
        <v>0.64845173041894366</v>
      </c>
      <c r="N89" s="3205"/>
      <c r="O89" s="3205"/>
      <c r="P89" s="3206"/>
      <c r="Q89" s="3216" cm="1">
        <f t="array" aca="1" ref="Q89" ca="1">INDIRECT("'※ 영기팀 작성_가입자'!"&amp;Q$2&amp;$Y89,TRUE)</f>
        <v>5.3335818196744711E-3</v>
      </c>
      <c r="R89" s="3217" cm="1">
        <f t="array" aca="1" ref="R89" ca="1">INDIRECT("'※ 영기팀 작성_가입자'!"&amp;R$2&amp;$Y89,TRUE)</f>
        <v>0.1729971849643982</v>
      </c>
      <c r="S89" s="3218" cm="1">
        <f t="array" aca="1" ref="S89" ca="1">INDIRECT("'※ 영기팀 작성_가입자'!"&amp;S$1&amp;$Y89, TRUE)</f>
        <v>0.64578493950910643</v>
      </c>
      <c r="T89" s="3205"/>
      <c r="U89" s="3206"/>
      <c r="V89" s="3219" cm="1">
        <f t="array" aca="1" ref="V89" ca="1">INDIRECT("'※ 영기팀 작성_가입자'!"&amp;V$2&amp;$Y89, TRUE)</f>
        <v>0.17949849010944952</v>
      </c>
      <c r="W89" s="3220" cm="1">
        <f t="array" aca="1" ref="W89" ca="1">INDIRECT("'※ 영기팀 작성_가입자'!"&amp;W$1&amp;$Y89, TRUE)</f>
        <v>0.64578493950910643</v>
      </c>
      <c r="X89" s="3221" cm="1">
        <f t="array" aca="1" ref="X89" ca="1">INDIRECT("'※ 영기팀 작성_가입자'!"&amp;X$1&amp;$Y89, TRUE)</f>
        <v>-1.699178642516852E-2</v>
      </c>
      <c r="Y89" s="2988">
        <f>ROW('※ 영기팀 작성_가입자'!AH265)</f>
        <v>265</v>
      </c>
    </row>
    <row r="90" spans="1:26" x14ac:dyDescent="0.55000000000000004">
      <c r="A90" s="7176"/>
      <c r="B90" s="804"/>
      <c r="C90" s="804" t="s">
        <v>939</v>
      </c>
      <c r="D90" s="3213" cm="1">
        <f t="array" aca="1" ref="D90" ca="1">INDIRECT("'※ 영기팀 작성_가입자'!"&amp;D$1&amp;$Y90, TRUE)</f>
        <v>0.26331431288635282</v>
      </c>
      <c r="E90" s="3214" cm="1">
        <f t="array" aca="1" ref="E90" ca="1">INDIRECT("'※ 영기팀 작성_가입자'!"&amp;E$1&amp;$Y90, TRUE)</f>
        <v>0.1772879332799264</v>
      </c>
      <c r="F90" s="3215" cm="1">
        <f t="array" aca="1" ref="F90" ca="1">INDIRECT("'※ 영기팀 작성_가입자'!"&amp;F$1&amp;$Y90, TRUE)</f>
        <v>0.19311663479923519</v>
      </c>
      <c r="G90" s="3214" cm="1">
        <f t="array" aca="1" ref="G90" ca="1">INDIRECT("'※ 영기팀 작성_가입자'!"&amp;G$1&amp;$Y90, TRUE)</f>
        <v>0.14921465968586387</v>
      </c>
      <c r="H90" s="3214" cm="1">
        <f t="array" aca="1" ref="H90" ca="1">INDIRECT("'※ 영기팀 작성_가입자'!"&amp;H$1&amp;$Y90, TRUE)</f>
        <v>0.14762516046213095</v>
      </c>
      <c r="I90" s="3214" cm="1">
        <f t="array" aca="1" ref="I90" ca="1">INDIRECT("'※ 영기팀 작성_가입자'!"&amp;I$1&amp;$Y90, TRUE)</f>
        <v>0.14755838641188959</v>
      </c>
      <c r="J90" s="3214" cm="1">
        <f t="array" aca="1" ref="J90" ca="1">INDIRECT("'※ 영기팀 작성_가입자'!"&amp;J$1&amp;$Y90, TRUE)</f>
        <v>0.10656753407682776</v>
      </c>
      <c r="K90" s="3214" cm="1">
        <f t="array" aca="1" ref="K90" ca="1">INDIRECT("'※ 영기팀 작성_가입자'!"&amp;K$1&amp;$Y90, TRUE)</f>
        <v>0.13731060606060605</v>
      </c>
      <c r="L90" s="3214" cm="1">
        <f t="array" aca="1" ref="L90" ca="1">INDIRECT("'※ 영기팀 작성_가입자'!"&amp;L$1&amp;$Y90, TRUE)</f>
        <v>0.26781326781326781</v>
      </c>
      <c r="M90" s="3214" cm="1">
        <f t="array" aca="1" ref="M90" ca="1">INDIRECT("'※ 영기팀 작성_가입자'!"&amp;M$1&amp;$Y90, TRUE)</f>
        <v>0.28019323671497587</v>
      </c>
      <c r="N90" s="3205"/>
      <c r="O90" s="3205"/>
      <c r="P90" s="3206"/>
      <c r="Q90" s="3216" cm="1">
        <f t="array" aca="1" ref="Q90" ca="1">INDIRECT("'※ 영기팀 작성_가입자'!"&amp;Q$2&amp;$Y90,TRUE)</f>
        <v>1.2379968901708061E-2</v>
      </c>
      <c r="R90" s="3217" cm="1">
        <f t="array" aca="1" ref="R90" ca="1">INDIRECT("'※ 영기팀 작성_가입자'!"&amp;R$2&amp;$Y90,TRUE)</f>
        <v>8.7076601915740681E-2</v>
      </c>
      <c r="S90" s="3218" cm="1">
        <f t="array" aca="1" ref="S90" ca="1">INDIRECT("'※ 영기팀 작성_가입자'!"&amp;S$1&amp;$Y90, TRUE)</f>
        <v>0.27400325226412181</v>
      </c>
      <c r="T90" s="3205"/>
      <c r="U90" s="3206"/>
      <c r="V90" s="3219" cm="1">
        <f t="array" aca="1" ref="V90" ca="1">INDIRECT("'※ 영기팀 작성_가입자'!"&amp;V$2&amp;$Y90, TRUE)</f>
        <v>8.3638013188730098E-2</v>
      </c>
      <c r="W90" s="3220" cm="1">
        <f t="array" aca="1" ref="W90" ca="1">INDIRECT("'※ 영기팀 작성_가입자'!"&amp;W$1&amp;$Y90, TRUE)</f>
        <v>0.27400325226412181</v>
      </c>
      <c r="X90" s="3221" cm="1">
        <f t="array" aca="1" ref="X90" ca="1">INDIRECT("'※ 영기팀 작성_가입자'!"&amp;X$1&amp;$Y90, TRUE)</f>
        <v>1.500759073823843E-2</v>
      </c>
      <c r="Y90" s="2988">
        <f>ROW('※ 영기팀 작성_가입자'!AH266)</f>
        <v>266</v>
      </c>
    </row>
    <row r="91" spans="1:26" ht="18" customHeight="1" x14ac:dyDescent="0.55000000000000004">
      <c r="A91" s="7176"/>
      <c r="B91" s="804"/>
      <c r="C91" s="804" t="s">
        <v>129</v>
      </c>
      <c r="D91" s="3213" cm="1">
        <f t="array" aca="1" ref="D91" ca="1">INDIRECT("'※ 영기팀 작성_가입자'!"&amp;D$1&amp;$Y91, TRUE)</f>
        <v>0.35833160693322286</v>
      </c>
      <c r="E91" s="3214" cm="1">
        <f t="array" aca="1" ref="E91" ca="1">INDIRECT("'※ 영기팀 작성_가입자'!"&amp;E$1&amp;$Y91, TRUE)</f>
        <v>0.18194059111005234</v>
      </c>
      <c r="F91" s="3215" cm="1">
        <f t="array" aca="1" ref="F91" ca="1">INDIRECT("'※ 영기팀 작성_가입자'!"&amp;F$1&amp;$Y91, TRUE)</f>
        <v>0.18648130393096837</v>
      </c>
      <c r="G91" s="3214" cm="1">
        <f t="array" aca="1" ref="G91" ca="1">INDIRECT("'※ 영기팀 작성_가입자'!"&amp;G$1&amp;$Y91, TRUE)</f>
        <v>0.18784530386740331</v>
      </c>
      <c r="H91" s="3214" cm="1">
        <f t="array" aca="1" ref="H91" ca="1">INDIRECT("'※ 영기팀 작성_가입자'!"&amp;H$1&amp;$Y91, TRUE)</f>
        <v>0.19092827004219409</v>
      </c>
      <c r="I91" s="3214" cm="1">
        <f t="array" aca="1" ref="I91" ca="1">INDIRECT("'※ 영기팀 작성_가입자'!"&amp;I$1&amp;$Y91, TRUE)</f>
        <v>0.21379499862599616</v>
      </c>
      <c r="J91" s="3214" cm="1">
        <f t="array" aca="1" ref="J91" ca="1">INDIRECT("'※ 영기팀 작성_가입자'!"&amp;J$1&amp;$Y91, TRUE)</f>
        <v>0.28763812154696133</v>
      </c>
      <c r="K91" s="3214" cm="1">
        <f t="array" aca="1" ref="K91" ca="1">INDIRECT("'※ 영기팀 작성_가입자'!"&amp;K$1&amp;$Y91, TRUE)</f>
        <v>0.43092621664050235</v>
      </c>
      <c r="L91" s="3214" cm="1">
        <f t="array" aca="1" ref="L91" ca="1">INDIRECT("'※ 영기팀 작성_가입자'!"&amp;L$1&amp;$Y91, TRUE)</f>
        <v>0.47744945567651625</v>
      </c>
      <c r="M91" s="3214" cm="1">
        <f t="array" aca="1" ref="M91" ca="1">INDIRECT("'※ 영기팀 작성_가입자'!"&amp;M$1&amp;$Y91, TRUE)</f>
        <v>0.5491071428571429</v>
      </c>
      <c r="N91" s="3205"/>
      <c r="O91" s="3205"/>
      <c r="P91" s="3206"/>
      <c r="Q91" s="3216" cm="1">
        <f t="array" aca="1" ref="Q91" ca="1">INDIRECT("'※ 영기팀 작성_가입자'!"&amp;Q$2&amp;$Y91,TRUE)</f>
        <v>7.165768718062665E-2</v>
      </c>
      <c r="R91" s="3217" cm="1">
        <f t="array" aca="1" ref="R91" ca="1">INDIRECT("'※ 영기팀 작성_가입자'!"&amp;R$2&amp;$Y91,TRUE)</f>
        <v>0.3626258389261745</v>
      </c>
      <c r="S91" s="3218" cm="1">
        <f t="array" aca="1" ref="S91" ca="1">INDIRECT("'※ 영기팀 작성_가입자'!"&amp;S$1&amp;$Y91, TRUE)</f>
        <v>0.51327829926682955</v>
      </c>
      <c r="T91" s="3205"/>
      <c r="U91" s="3206"/>
      <c r="V91" s="3219" cm="1">
        <f t="array" aca="1" ref="V91" ca="1">INDIRECT("'※ 영기팀 작성_가입자'!"&amp;V$2&amp;$Y91, TRUE)</f>
        <v>0.33634797106432646</v>
      </c>
      <c r="W91" s="3220" cm="1">
        <f t="array" aca="1" ref="W91" ca="1">INDIRECT("'※ 영기팀 작성_가입자'!"&amp;W$1&amp;$Y91, TRUE)</f>
        <v>0.51327829926682955</v>
      </c>
      <c r="X91" s="3221" cm="1">
        <f t="array" aca="1" ref="X91" ca="1">INDIRECT("'※ 영기팀 작성_가입자'!"&amp;X$1&amp;$Y91, TRUE)</f>
        <v>0.17689194922775214</v>
      </c>
      <c r="Y91" s="2988">
        <f>ROW('※ 영기팀 작성_가입자'!AH267)</f>
        <v>267</v>
      </c>
    </row>
    <row r="92" spans="1:26" ht="18" customHeight="1" x14ac:dyDescent="0.55000000000000004">
      <c r="A92" s="7176"/>
      <c r="B92" s="804"/>
      <c r="C92" s="804" t="s">
        <v>875</v>
      </c>
      <c r="D92" s="3213" cm="1">
        <f t="array" aca="1" ref="D92" ca="1">INDIRECT("'※ 영기팀 작성_가입자'!"&amp;D$1&amp;$Y92, TRUE)</f>
        <v>0.20735785953177258</v>
      </c>
      <c r="E92" s="3214" cm="1">
        <f t="array" aca="1" ref="E92" ca="1">INDIRECT("'※ 영기팀 작성_가입자'!"&amp;E$1&amp;$Y92, TRUE)</f>
        <v>0.15058273378747752</v>
      </c>
      <c r="F92" s="3215" cm="1">
        <f t="array" aca="1" ref="F92" ca="1">INDIRECT("'※ 영기팀 작성_가입자'!"&amp;F$1&amp;$Y92, TRUE)</f>
        <v>0.13636363636363635</v>
      </c>
      <c r="G92" s="3214" cm="1">
        <f t="array" aca="1" ref="G92" ca="1">INDIRECT("'※ 영기팀 작성_가입자'!"&amp;G$1&amp;$Y92, TRUE)</f>
        <v>0.1728395061728395</v>
      </c>
      <c r="H92" s="3214" cm="1">
        <f t="array" aca="1" ref="H92" ca="1">INDIRECT("'※ 영기팀 작성_가입자'!"&amp;H$1&amp;$Y92, TRUE)</f>
        <v>0.16129032258064516</v>
      </c>
      <c r="I92" s="3214" cm="1">
        <f t="array" aca="1" ref="I92" ca="1">INDIRECT("'※ 영기팀 작성_가입자'!"&amp;I$1&amp;$Y92, TRUE)</f>
        <v>0.11897106109324759</v>
      </c>
      <c r="J92" s="3214" cm="1">
        <f t="array" aca="1" ref="J92" ca="1">INDIRECT("'※ 영기팀 작성_가입자'!"&amp;J$1&amp;$Y92, TRUE)</f>
        <v>0.1065989847715736</v>
      </c>
      <c r="K92" s="3214" cm="1">
        <f t="array" aca="1" ref="K92" ca="1">INDIRECT("'※ 영기팀 작성_가입자'!"&amp;K$1&amp;$Y92, TRUE)</f>
        <v>0.16382252559726962</v>
      </c>
      <c r="L92" s="3214" cm="1">
        <f t="array" aca="1" ref="L92" ca="1">INDIRECT("'※ 영기팀 작성_가입자'!"&amp;L$1&amp;$Y92, TRUE)</f>
        <v>0.29530201342281881</v>
      </c>
      <c r="M92" s="3214" cm="1">
        <f t="array" aca="1" ref="M92" ca="1">INDIRECT("'※ 영기팀 작성_가입자'!"&amp;M$1&amp;$Y92, TRUE)</f>
        <v>0.28358208955223879</v>
      </c>
      <c r="N92" s="3205"/>
      <c r="O92" s="3205"/>
      <c r="P92" s="3206"/>
      <c r="Q92" s="3216" cm="1">
        <f t="array" aca="1" ref="Q92" ca="1">INDIRECT("'※ 영기팀 작성_가입자'!"&amp;Q$2&amp;$Y92,TRUE)</f>
        <v>-1.1719923870580018E-2</v>
      </c>
      <c r="R92" s="3217" cm="1">
        <f t="array" aca="1" ref="R92" ca="1">INDIRECT("'※ 영기팀 작성_가입자'!"&amp;R$2&amp;$Y92,TRUE)</f>
        <v>0.14721845318860244</v>
      </c>
      <c r="S92" s="3218" cm="1">
        <f t="array" aca="1" ref="S92" ca="1">INDIRECT("'※ 영기팀 작성_가입자'!"&amp;S$1&amp;$Y92, TRUE)</f>
        <v>0.28944205148752877</v>
      </c>
      <c r="T92" s="3205"/>
      <c r="U92" s="3206"/>
      <c r="V92" s="3219" cm="1">
        <f t="array" aca="1" ref="V92" ca="1">INDIRECT("'※ 영기팀 작성_가입자'!"&amp;V$2&amp;$Y92, TRUE)</f>
        <v>0.11014912219459949</v>
      </c>
      <c r="W92" s="3220" cm="1">
        <f t="array" aca="1" ref="W92" ca="1">INDIRECT("'※ 영기팀 작성_가입자'!"&amp;W$1&amp;$Y92, TRUE)</f>
        <v>0.28944205148752877</v>
      </c>
      <c r="X92" s="3221" cm="1">
        <f t="array" aca="1" ref="X92" ca="1">INDIRECT("'※ 영기팀 작성_가입자'!"&amp;X$1&amp;$Y92, TRUE)</f>
        <v>6.2771375514896477E-2</v>
      </c>
      <c r="Y92" s="2988">
        <f>ROW('※ 영기팀 작성_가입자'!AH268)</f>
        <v>268</v>
      </c>
    </row>
    <row r="93" spans="1:26" ht="18" customHeight="1" x14ac:dyDescent="0.55000000000000004">
      <c r="A93" s="7176"/>
      <c r="B93" s="3222" t="s">
        <v>97</v>
      </c>
      <c r="C93" s="3223"/>
      <c r="D93" s="3224" cm="1">
        <f t="array" aca="1" ref="D93" ca="1">INDIRECT("'※ 영기팀 작성_가입자'!"&amp;D$1&amp;$Y93, TRUE)</f>
        <v>0.92850909579109886</v>
      </c>
      <c r="E93" s="3225" cm="1">
        <f t="array" aca="1" ref="E93" ca="1">INDIRECT("'※ 영기팀 작성_가입자'!"&amp;E$1&amp;$Y93, TRUE)</f>
        <v>0.9015404439758683</v>
      </c>
      <c r="F93" s="3226" cm="1">
        <f t="array" aca="1" ref="F93" ca="1">INDIRECT("'※ 영기팀 작성_가입자'!"&amp;F$1&amp;$Y93, TRUE)</f>
        <v>0.94342762063227958</v>
      </c>
      <c r="G93" s="3225" cm="1">
        <f t="array" aca="1" ref="G93" ca="1">INDIRECT("'※ 영기팀 작성_가입자'!"&amp;G$1&amp;$Y93, TRUE)</f>
        <v>0.89565465980560321</v>
      </c>
      <c r="H93" s="3225" cm="1">
        <f t="array" aca="1" ref="H93" ca="1">INDIRECT("'※ 영기팀 작성_가입자'!"&amp;H$1&amp;$Y93, TRUE)</f>
        <v>0.88815117466802862</v>
      </c>
      <c r="I93" s="3225" cm="1">
        <f t="array" aca="1" ref="I93" ca="1">INDIRECT("'※ 영기팀 작성_가입자'!"&amp;I$1&amp;$Y93, TRUE)</f>
        <v>0.90816885964912286</v>
      </c>
      <c r="J93" s="3225" cm="1">
        <f t="array" aca="1" ref="J93" ca="1">INDIRECT("'※ 영기팀 작성_가입자'!"&amp;J$1&amp;$Y93, TRUE)</f>
        <v>0.9151452282157676</v>
      </c>
      <c r="K93" s="3225" cm="1">
        <f t="array" aca="1" ref="K93" ca="1">INDIRECT("'※ 영기팀 작성_가입자'!"&amp;K$1&amp;$Y93, TRUE)</f>
        <v>0.89231582657737041</v>
      </c>
      <c r="L93" s="3225" cm="1">
        <f t="array" aca="1" ref="L93" ca="1">INDIRECT("'※ 영기팀 작성_가입자'!"&amp;L$1&amp;$Y93, TRUE)</f>
        <v>0.94070796460176986</v>
      </c>
      <c r="M93" s="3225" cm="1">
        <f t="array" aca="1" ref="M93" ca="1">INDIRECT("'※ 영기팀 작성_가입자'!"&amp;M$1&amp;$Y93, TRUE)</f>
        <v>0.92448027153160794</v>
      </c>
      <c r="N93" s="3205"/>
      <c r="O93" s="3205"/>
      <c r="P93" s="3206"/>
      <c r="Q93" s="3227" cm="1">
        <f t="array" aca="1" ref="Q93" ca="1">INDIRECT("'※ 영기팀 작성_가입자'!"&amp;Q$2&amp;$Y93,TRUE)</f>
        <v>-1.6227693070161919E-2</v>
      </c>
      <c r="R93" s="3228" cm="1">
        <f t="array" aca="1" ref="R93" ca="1">INDIRECT("'※ 영기팀 작성_가입자'!"&amp;R$2&amp;$Y93,TRUE)</f>
        <v>-1.894734910067164E-2</v>
      </c>
      <c r="S93" s="3229" cm="1">
        <f t="array" aca="1" ref="S93" ca="1">INDIRECT("'※ 영기팀 작성_가입자'!"&amp;S$1&amp;$Y93, TRUE)</f>
        <v>0.9325941180666889</v>
      </c>
      <c r="T93" s="3205"/>
      <c r="U93" s="3206"/>
      <c r="V93" s="3230" cm="1">
        <f t="array" aca="1" ref="V93" ca="1">INDIRECT("'※ 영기팀 작성_가입자'!"&amp;V$2&amp;$Y93, TRUE)</f>
        <v>4.645938332899946E-3</v>
      </c>
      <c r="W93" s="3231" cm="1">
        <f t="array" aca="1" ref="W93" ca="1">INDIRECT("'※ 영기팀 작성_가입자'!"&amp;W$1&amp;$Y93, TRUE)</f>
        <v>0.9325941180666889</v>
      </c>
      <c r="X93" s="3232" cm="1">
        <f t="array" aca="1" ref="X93" ca="1">INDIRECT("'※ 영기팀 작성_가입자'!"&amp;X$1&amp;$Y93, TRUE)</f>
        <v>1.4312901525064259E-2</v>
      </c>
      <c r="Y93" s="2988">
        <f>ROW('※ 영기팀 작성_가입자'!AH274)</f>
        <v>274</v>
      </c>
      <c r="Z93" s="2984" t="e">
        <f>ROW('※ 영기팀 작성_가입자'!#REF!)</f>
        <v>#REF!</v>
      </c>
    </row>
    <row r="94" spans="1:26" ht="18" customHeight="1" x14ac:dyDescent="0.55000000000000004">
      <c r="A94" s="7176"/>
      <c r="B94" s="673"/>
      <c r="C94" s="673" t="s">
        <v>128</v>
      </c>
      <c r="D94" s="3202" cm="1">
        <f t="array" aca="1" ref="D94" ca="1">INDIRECT("'※ 영기팀 작성_가입자'!"&amp;D$1&amp;$Y94, TRUE)</f>
        <v>0.96199143468950754</v>
      </c>
      <c r="E94" s="3203" cm="1">
        <f t="array" aca="1" ref="E94" ca="1">INDIRECT("'※ 영기팀 작성_가입자'!"&amp;E$1&amp;$Y94, TRUE)</f>
        <v>0.95103603009106508</v>
      </c>
      <c r="F94" s="3204" cm="1">
        <f t="array" aca="1" ref="F94" ca="1">INDIRECT("'※ 영기팀 작성_가입자'!"&amp;F$1&amp;$Y94, TRUE)</f>
        <v>0.98139534883720925</v>
      </c>
      <c r="G94" s="3203" cm="1">
        <f t="array" aca="1" ref="G94" ca="1">INDIRECT("'※ 영기팀 작성_가입자'!"&amp;G$1&amp;$Y94, TRUE)</f>
        <v>0.95213549337260672</v>
      </c>
      <c r="H94" s="3203" cm="1">
        <f t="array" aca="1" ref="H94" ca="1">INDIRECT("'※ 영기팀 작성_가입자'!"&amp;H$1&amp;$Y94, TRUE)</f>
        <v>0.97028502122498483</v>
      </c>
      <c r="I94" s="3203" cm="1">
        <f t="array" aca="1" ref="I94" ca="1">INDIRECT("'※ 영기팀 작성_가입자'!"&amp;I$1&amp;$Y94, TRUE)</f>
        <v>0.97147435897435896</v>
      </c>
      <c r="J94" s="3203" cm="1">
        <f t="array" aca="1" ref="J94" ca="1">INDIRECT("'※ 영기팀 작성_가입자'!"&amp;J$1&amp;$Y94, TRUE)</f>
        <v>0.96455696202531649</v>
      </c>
      <c r="K94" s="3203" cm="1">
        <f t="array" aca="1" ref="K94" ca="1">INDIRECT("'※ 영기팀 작성_가입자'!"&amp;K$1&amp;$Y94, TRUE)</f>
        <v>0.97769197769197769</v>
      </c>
      <c r="L94" s="3203" cm="1">
        <f t="array" aca="1" ref="L94" ca="1">INDIRECT("'※ 영기팀 작성_가입자'!"&amp;L$1&amp;$Y94, TRUE)</f>
        <v>0.9631578947368421</v>
      </c>
      <c r="M94" s="3203" cm="1">
        <f t="array" aca="1" ref="M94" ca="1">INDIRECT("'※ 영기팀 작성_가입자'!"&amp;M$1&amp;$Y94, TRUE)</f>
        <v>0.96094674556213022</v>
      </c>
      <c r="N94" s="3206"/>
      <c r="O94" s="3206"/>
      <c r="P94" s="3233"/>
      <c r="Q94" s="3207" cm="1">
        <f t="array" aca="1" ref="Q94" ca="1">INDIRECT("'※ 영기팀 작성_가입자'!"&amp;Q$2&amp;$Y94,TRUE)</f>
        <v>-2.2111491747118794E-3</v>
      </c>
      <c r="R94" s="1383" cm="1">
        <f t="array" aca="1" ref="R94" ca="1">INDIRECT("'※ 영기팀 작성_가입자'!"&amp;R$2&amp;$Y94,TRUE)</f>
        <v>-2.0448603275079025E-2</v>
      </c>
      <c r="S94" s="3208" cm="1">
        <f t="array" aca="1" ref="S94" ca="1">INDIRECT("'※ 영기팀 작성_가입자'!"&amp;S$1&amp;$Y94, TRUE)</f>
        <v>0.96205232014948616</v>
      </c>
      <c r="T94" s="3234"/>
      <c r="U94" s="3206"/>
      <c r="V94" s="3209" cm="1">
        <f t="array" aca="1" ref="V94" ca="1">INDIRECT("'※ 영기팀 작성_가입자'!"&amp;V$2&amp;$Y94, TRUE)</f>
        <v>-1.2014452981564894E-2</v>
      </c>
      <c r="W94" s="3210" cm="1">
        <f t="array" aca="1" ref="W94" ca="1">INDIRECT("'※ 영기팀 작성_가입자'!"&amp;W$1&amp;$Y94, TRUE)</f>
        <v>0.96205232014948616</v>
      </c>
      <c r="X94" s="3211" cm="1">
        <f t="array" aca="1" ref="X94" ca="1">INDIRECT("'※ 영기팀 작성_가입자'!"&amp;X$1&amp;$Y94, TRUE)</f>
        <v>1.6154990291061599E-2</v>
      </c>
      <c r="Y94" s="2988">
        <f>ROW('※ 영기팀 작성_가입자'!AH275)</f>
        <v>275</v>
      </c>
    </row>
    <row r="95" spans="1:26" x14ac:dyDescent="0.55000000000000004">
      <c r="A95" s="7176"/>
      <c r="B95" s="673"/>
      <c r="C95" s="673" t="s">
        <v>939</v>
      </c>
      <c r="D95" s="3202" cm="1">
        <f t="array" aca="1" ref="D95" ca="1">INDIRECT("'※ 영기팀 작성_가입자'!"&amp;D$1&amp;$Y95, TRUE)</f>
        <v>0.77732667083073081</v>
      </c>
      <c r="E95" s="3203" cm="1">
        <f t="array" aca="1" ref="E95" ca="1">INDIRECT("'※ 영기팀 작성_가입자'!"&amp;E$1&amp;$Y95, TRUE)</f>
        <v>0.48838845883180859</v>
      </c>
      <c r="F95" s="3204" cm="1">
        <f t="array" aca="1" ref="F95" ca="1">INDIRECT("'※ 영기팀 작성_가입자'!"&amp;F$1&amp;$Y95, TRUE)</f>
        <v>0.42452830188679247</v>
      </c>
      <c r="G95" s="3203" cm="1">
        <f t="array" aca="1" ref="G95" ca="1">INDIRECT("'※ 영기팀 작성_가입자'!"&amp;G$1&amp;$Y95, TRUE)</f>
        <v>0.35389610389610388</v>
      </c>
      <c r="H95" s="3203" cm="1">
        <f t="array" aca="1" ref="H95" ca="1">INDIRECT("'※ 영기팀 작성_가입자'!"&amp;H$1&amp;$Y95, TRUE)</f>
        <v>0.25806451612903225</v>
      </c>
      <c r="I95" s="3203" cm="1">
        <f t="array" aca="1" ref="I95" ca="1">INDIRECT("'※ 영기팀 작성_가입자'!"&amp;I$1&amp;$Y95, TRUE)</f>
        <v>0.32589285714285715</v>
      </c>
      <c r="J95" s="3203" cm="1">
        <f t="array" aca="1" ref="J95" ca="1">INDIRECT("'※ 영기팀 작성_가입자'!"&amp;J$1&amp;$Y95, TRUE)</f>
        <v>0.30716723549488056</v>
      </c>
      <c r="K95" s="3203" cm="1">
        <f t="array" aca="1" ref="K95" ca="1">INDIRECT("'※ 영기팀 작성_가입자'!"&amp;K$1&amp;$Y95, TRUE)</f>
        <v>0.25996533795493937</v>
      </c>
      <c r="L95" s="3203" cm="1">
        <f t="array" aca="1" ref="L95" ca="1">INDIRECT("'※ 영기팀 작성_가입자'!"&amp;L$1&amp;$Y95, TRUE)</f>
        <v>0.44354838709677419</v>
      </c>
      <c r="M95" s="3203" cm="1">
        <f t="array" aca="1" ref="M95" ca="1">INDIRECT("'※ 영기팀 작성_가입자'!"&amp;M$1&amp;$Y95, TRUE)</f>
        <v>0.47413793103448276</v>
      </c>
      <c r="N95" s="3206"/>
      <c r="O95" s="3206"/>
      <c r="P95" s="3233"/>
      <c r="Q95" s="3207" cm="1">
        <f t="array" aca="1" ref="Q95" ca="1">INDIRECT("'※ 영기팀 작성_가입자'!"&amp;Q$2&amp;$Y95,TRUE)</f>
        <v>3.0589543937708574E-2</v>
      </c>
      <c r="R95" s="1383" cm="1">
        <f t="array" aca="1" ref="R95" ca="1">INDIRECT("'※ 영기팀 작성_가입자'!"&amp;R$2&amp;$Y95,TRUE)</f>
        <v>4.9609629147690293E-2</v>
      </c>
      <c r="S95" s="3208" cm="1">
        <f t="array" aca="1" ref="S95" ca="1">INDIRECT("'※ 영기팀 작성_가입자'!"&amp;S$1&amp;$Y95, TRUE)</f>
        <v>0.45884315906562845</v>
      </c>
      <c r="T95" s="3234"/>
      <c r="U95" s="3206"/>
      <c r="V95" s="3209" cm="1">
        <f t="array" aca="1" ref="V95" ca="1">INDIRECT("'※ 영기팀 작성_가입자'!"&amp;V$2&amp;$Y95, TRUE)</f>
        <v>4.5307821681554228E-2</v>
      </c>
      <c r="W95" s="3210" cm="1">
        <f t="array" aca="1" ref="W95" ca="1">INDIRECT("'※ 영기팀 작성_가입자'!"&amp;W$1&amp;$Y95, TRUE)</f>
        <v>0.45884315906562845</v>
      </c>
      <c r="X95" s="3211" cm="1">
        <f t="array" aca="1" ref="X95" ca="1">INDIRECT("'※ 영기팀 작성_가입자'!"&amp;X$1&amp;$Y95, TRUE)</f>
        <v>-0.10704894294580208</v>
      </c>
      <c r="Y95" s="2988">
        <f>ROW('※ 영기팀 작성_가입자'!AH276)</f>
        <v>276</v>
      </c>
    </row>
    <row r="96" spans="1:26" x14ac:dyDescent="0.55000000000000004">
      <c r="A96" s="7176"/>
      <c r="B96" s="673"/>
      <c r="C96" s="673" t="s">
        <v>129</v>
      </c>
      <c r="D96" s="3202" cm="1">
        <f t="array" aca="1" ref="D96" ca="1">INDIRECT("'※ 영기팀 작성_가입자'!"&amp;D$1&amp;$Y96, TRUE)</f>
        <v>0.94411945812807885</v>
      </c>
      <c r="E96" s="3203" cm="1">
        <f t="array" aca="1" ref="E96" ca="1">INDIRECT("'※ 영기팀 작성_가입자'!"&amp;E$1&amp;$Y96, TRUE)</f>
        <v>0.94480435345944547</v>
      </c>
      <c r="F96" s="3204" cm="1">
        <f t="array" aca="1" ref="F96" ca="1">INDIRECT("'※ 영기팀 작성_가입자'!"&amp;F$1&amp;$Y96, TRUE)</f>
        <v>0.96818404307391093</v>
      </c>
      <c r="G96" s="3203" cm="1">
        <f t="array" aca="1" ref="G96" ca="1">INDIRECT("'※ 영기팀 작성_가입자'!"&amp;G$1&amp;$Y96, TRUE)</f>
        <v>0.9656724817107486</v>
      </c>
      <c r="H96" s="3203" cm="1">
        <f t="array" aca="1" ref="H96" ca="1">INDIRECT("'※ 영기팀 작성_가입자'!"&amp;H$1&amp;$Y96, TRUE)</f>
        <v>0.96834061135371163</v>
      </c>
      <c r="I96" s="3203" cm="1">
        <f t="array" aca="1" ref="I96" ca="1">INDIRECT("'※ 영기팀 작성_가입자'!"&amp;I$1&amp;$Y96, TRUE)</f>
        <v>0.9704209328782708</v>
      </c>
      <c r="J96" s="3203" cm="1">
        <f t="array" aca="1" ref="J96" ca="1">INDIRECT("'※ 영기팀 작성_가입자'!"&amp;J$1&amp;$Y96, TRUE)</f>
        <v>0.97364672364672367</v>
      </c>
      <c r="K96" s="3203" cm="1">
        <f t="array" aca="1" ref="K96" ca="1">INDIRECT("'※ 영기팀 작성_가입자'!"&amp;K$1&amp;$Y96, TRUE)</f>
        <v>0.97461724415793716</v>
      </c>
      <c r="L96" s="3203" cm="1">
        <f t="array" aca="1" ref="L96" ca="1">INDIRECT("'※ 영기팀 작성_가입자'!"&amp;L$1&amp;$Y96, TRUE)</f>
        <v>0.98749320282762354</v>
      </c>
      <c r="M96" s="3203" cm="1">
        <f t="array" aca="1" ref="M96" ca="1">INDIRECT("'※ 영기팀 작성_가입자'!"&amp;M$1&amp;$Y96, TRUE)</f>
        <v>0.98316755929609789</v>
      </c>
      <c r="N96" s="3206"/>
      <c r="O96" s="3206"/>
      <c r="P96" s="3233"/>
      <c r="Q96" s="3207" cm="1">
        <f t="array" aca="1" ref="Q96" ca="1">INDIRECT("'※ 영기팀 작성_가입자'!"&amp;Q$2&amp;$Y96,TRUE)</f>
        <v>-4.325643531525647E-3</v>
      </c>
      <c r="R96" s="1383" cm="1">
        <f t="array" aca="1" ref="R96" ca="1">INDIRECT("'※ 영기팀 작성_가입자'!"&amp;R$2&amp;$Y96,TRUE)</f>
        <v>1.4983516222186966E-2</v>
      </c>
      <c r="S96" s="3208" cm="1">
        <f t="array" aca="1" ref="S96" ca="1">INDIRECT("'※ 영기팀 작성_가입자'!"&amp;S$1&amp;$Y96, TRUE)</f>
        <v>0.98533038106186077</v>
      </c>
      <c r="T96" s="3234"/>
      <c r="U96" s="3206"/>
      <c r="V96" s="3209" cm="1">
        <f t="array" aca="1" ref="V96" ca="1">INDIRECT("'※ 영기팀 작성_가입자'!"&amp;V$2&amp;$Y96, TRUE)</f>
        <v>1.7457947796895246E-2</v>
      </c>
      <c r="W96" s="3210" cm="1">
        <f t="array" aca="1" ref="W96" ca="1">INDIRECT("'※ 영기팀 작성_가입자'!"&amp;W$1&amp;$Y96, TRUE)</f>
        <v>0.98533038106186077</v>
      </c>
      <c r="X96" s="3211" cm="1">
        <f t="array" aca="1" ref="X96" ca="1">INDIRECT("'※ 영기팀 작성_가입자'!"&amp;X$1&amp;$Y96, TRUE)</f>
        <v>2.9434137927124238E-2</v>
      </c>
      <c r="Y96" s="2988">
        <f>ROW('※ 영기팀 작성_가입자'!AH277)</f>
        <v>277</v>
      </c>
    </row>
    <row r="97" spans="1:27" x14ac:dyDescent="0.55000000000000004">
      <c r="A97" s="7176"/>
      <c r="B97" s="673"/>
      <c r="C97" s="673" t="s">
        <v>875</v>
      </c>
      <c r="D97" s="3202" cm="1">
        <f t="array" aca="1" ref="D97" ca="1">INDIRECT("'※ 영기팀 작성_가입자'!"&amp;D$1&amp;$Y97, TRUE)</f>
        <v>0.62977099236641221</v>
      </c>
      <c r="E97" s="3203" cm="1">
        <f t="array" aca="1" ref="E97" ca="1">INDIRECT("'※ 영기팀 작성_가입자'!"&amp;E$1&amp;$Y97, TRUE)</f>
        <v>0.55397727272727271</v>
      </c>
      <c r="F97" s="3204" cm="1">
        <f t="array" aca="1" ref="F97" ca="1">INDIRECT("'※ 영기팀 작성_가입자'!"&amp;F$1&amp;$Y97, TRUE)</f>
        <v>0</v>
      </c>
      <c r="G97" s="3203" cm="1">
        <f t="array" aca="1" ref="G97" ca="1">INDIRECT("'※ 영기팀 작성_가입자'!"&amp;G$1&amp;$Y97, TRUE)</f>
        <v>0.625</v>
      </c>
      <c r="H97" s="3203" t="str" cm="1">
        <f t="array" aca="1" ref="H97" ca="1">INDIRECT("'※ 영기팀 작성_가입자'!"&amp;H$1&amp;$Y97, TRUE)</f>
        <v>-</v>
      </c>
      <c r="I97" s="3203" cm="1">
        <f t="array" aca="1" ref="I97" ca="1">INDIRECT("'※ 영기팀 작성_가입자'!"&amp;I$1&amp;$Y97, TRUE)</f>
        <v>0.12021857923497267</v>
      </c>
      <c r="J97" s="3203" cm="1">
        <f t="array" aca="1" ref="J97" ca="1">INDIRECT("'※ 영기팀 작성_가입자'!"&amp;J$1&amp;$Y97, TRUE)</f>
        <v>0.52777777777777768</v>
      </c>
      <c r="K97" s="3203" cm="1">
        <f t="array" aca="1" ref="K97" ca="1">INDIRECT("'※ 영기팀 작성_가입자'!"&amp;K$1&amp;$Y97, TRUE)</f>
        <v>0.92307692307692313</v>
      </c>
      <c r="L97" s="3203" cm="1">
        <f t="array" aca="1" ref="L97" ca="1">INDIRECT("'※ 영기팀 작성_가입자'!"&amp;L$1&amp;$Y97, TRUE)</f>
        <v>0.39772727272727271</v>
      </c>
      <c r="M97" s="3203" cm="1">
        <f t="array" aca="1" ref="M97" ca="1">INDIRECT("'※ 영기팀 작성_가입자'!"&amp;M$1&amp;$Y97, TRUE)</f>
        <v>0.30952380952380953</v>
      </c>
      <c r="N97" s="3206"/>
      <c r="O97" s="3206"/>
      <c r="P97" s="3233"/>
      <c r="Q97" s="3207" cm="1">
        <f t="array" aca="1" ref="Q97" ca="1">INDIRECT("'※ 영기팀 작성_가입자'!"&amp;Q$2&amp;$Y97,TRUE)</f>
        <v>-8.8203463203463173E-2</v>
      </c>
      <c r="R97" s="1383" cm="1">
        <f t="array" aca="1" ref="R97" ca="1">INDIRECT("'※ 영기팀 작성_가입자'!"&amp;R$2&amp;$Y97,TRUE)</f>
        <v>0.30952380952380953</v>
      </c>
      <c r="S97" s="3208" cm="1">
        <f t="array" aca="1" ref="S97" ca="1">INDIRECT("'※ 영기팀 작성_가입자'!"&amp;S$1&amp;$Y97, TRUE)</f>
        <v>0.35362554112554112</v>
      </c>
      <c r="T97" s="3234"/>
      <c r="U97" s="3206"/>
      <c r="V97" s="3209" cm="1">
        <f t="array" aca="1" ref="V97" ca="1">INDIRECT("'※ 영기팀 작성_가입자'!"&amp;V$2&amp;$Y97, TRUE)</f>
        <v>0.20362554112554113</v>
      </c>
      <c r="W97" s="3210" cm="1">
        <f t="array" aca="1" ref="W97" ca="1">INDIRECT("'※ 영기팀 작성_가입자'!"&amp;W$1&amp;$Y97, TRUE)</f>
        <v>0.35362554112554112</v>
      </c>
      <c r="X97" s="3211" cm="1">
        <f t="array" aca="1" ref="X97" ca="1">INDIRECT("'※ 영기팀 작성_가입자'!"&amp;X$1&amp;$Y97, TRUE)</f>
        <v>-7.5616893636807403E-2</v>
      </c>
      <c r="Y97" s="2988">
        <f>ROW('※ 영기팀 작성_가입자'!AH278)</f>
        <v>278</v>
      </c>
    </row>
    <row r="98" spans="1:27" x14ac:dyDescent="0.55000000000000004">
      <c r="A98" s="7176"/>
      <c r="B98" s="3235" t="s">
        <v>395</v>
      </c>
      <c r="C98" s="3236"/>
      <c r="D98" s="3237" cm="1">
        <f t="array" aca="1" ref="D98" ca="1">INDIRECT("'※ 영기팀 작성_가입자'!"&amp;D$1&amp;$Y98, TRUE)</f>
        <v>0.16985682316900949</v>
      </c>
      <c r="E98" s="3238" cm="1">
        <f t="array" aca="1" ref="E98" ca="1">INDIRECT("'※ 영기팀 작성_가입자'!"&amp;E$1&amp;$Y98, TRUE)</f>
        <v>0.20697703646515969</v>
      </c>
      <c r="F98" s="3239" cm="1">
        <f t="array" aca="1" ref="F98" ca="1">INDIRECT("'※ 영기팀 작성_가입자'!"&amp;F$1&amp;$Y98, TRUE)</f>
        <v>0.29500489715964739</v>
      </c>
      <c r="G98" s="3238" cm="1">
        <f t="array" aca="1" ref="G98" ca="1">INDIRECT("'※ 영기팀 작성_가입자'!"&amp;G$1&amp;$Y98, TRUE)</f>
        <v>0.29727385377943</v>
      </c>
      <c r="H98" s="3238" cm="1">
        <f t="array" aca="1" ref="H98" ca="1">INDIRECT("'※ 영기팀 작성_가입자'!"&amp;H$1&amp;$Y98, TRUE)</f>
        <v>0.20475319926873858</v>
      </c>
      <c r="I98" s="3238" cm="1">
        <f t="array" aca="1" ref="I98" ca="1">INDIRECT("'※ 영기팀 작성_가입자'!"&amp;I$1&amp;$Y98, TRUE)</f>
        <v>0.25738556638477</v>
      </c>
      <c r="J98" s="3238" cm="1">
        <f t="array" aca="1" ref="J98" ca="1">INDIRECT("'※ 영기팀 작성_가입자'!"&amp;J$1&amp;$Y98, TRUE)</f>
        <v>0.26529401293538241</v>
      </c>
      <c r="K98" s="3238" cm="1">
        <f t="array" aca="1" ref="K98" ca="1">INDIRECT("'※ 영기팀 작성_가입자'!"&amp;K$1&amp;$Y98, TRUE)</f>
        <v>0.25406999102679145</v>
      </c>
      <c r="L98" s="3238" cm="1">
        <f t="array" aca="1" ref="L98" ca="1">INDIRECT("'※ 영기팀 작성_가입자'!"&amp;L$1&amp;$Y98, TRUE)</f>
        <v>0.1720819720819721</v>
      </c>
      <c r="M98" s="3238" cm="1">
        <f t="array" aca="1" ref="M98" ca="1">INDIRECT("'※ 영기팀 작성_가입자'!"&amp;M$1&amp;$Y98, TRUE)</f>
        <v>0.20545153483632658</v>
      </c>
      <c r="N98" s="3240"/>
      <c r="O98" s="3240"/>
      <c r="P98" s="3241"/>
      <c r="Q98" s="3242" cm="1">
        <f t="array" aca="1" ref="Q98" ca="1">INDIRECT("'※ 영기팀 작성_가입자'!"&amp;Q$2&amp;$Y98,TRUE)</f>
        <v>3.3369562754354487E-2</v>
      </c>
      <c r="R98" s="3243" cm="1">
        <f t="array" aca="1" ref="R98" ca="1">INDIRECT("'※ 영기팀 작성_가입자'!"&amp;R$2&amp;$Y98,TRUE)</f>
        <v>-8.9553362323320812E-2</v>
      </c>
      <c r="S98" s="3244" cm="1">
        <f t="array" aca="1" ref="S98" ca="1">INDIRECT("'※ 영기팀 작성_가입자'!"&amp;S$1&amp;$Y98, TRUE)</f>
        <v>0.18876675345914934</v>
      </c>
      <c r="T98" s="3245"/>
      <c r="U98" s="3240"/>
      <c r="V98" s="3246" cm="1">
        <f t="array" aca="1" ref="V98" ca="1">INDIRECT("'※ 영기팀 작성_가입자'!"&amp;V$2&amp;$Y98, TRUE)</f>
        <v>-8.8837735937000895E-2</v>
      </c>
      <c r="W98" s="3247" cm="1">
        <f t="array" aca="1" ref="W98" ca="1">INDIRECT("'※ 영기팀 작성_가입자'!"&amp;W$1&amp;$Y98, TRUE)</f>
        <v>0.18876675345914934</v>
      </c>
      <c r="X98" s="3248" cm="1">
        <f t="array" aca="1" ref="X98" ca="1">INDIRECT("'※ 영기팀 작성_가입자'!"&amp;X$1&amp;$Y98, TRUE)</f>
        <v>4.4514342534957119E-2</v>
      </c>
      <c r="Y98" s="2988">
        <f>ROW('※ 영기팀 작성_가입자'!AH279)</f>
        <v>279</v>
      </c>
    </row>
    <row r="99" spans="1:27" x14ac:dyDescent="0.55000000000000004">
      <c r="A99" s="7176"/>
      <c r="B99" s="3249" t="s">
        <v>99</v>
      </c>
      <c r="C99" s="3163"/>
      <c r="D99" s="1473" cm="1">
        <f t="array" aca="1" ref="D99" ca="1">INDIRECT("'※ 영기팀 작성_가입자'!"&amp;D$1&amp;$Y99, TRUE)</f>
        <v>15636</v>
      </c>
      <c r="E99" s="1474" cm="1">
        <f t="array" aca="1" ref="E99" ca="1">INDIRECT("'※ 영기팀 작성_가입자'!"&amp;E$1&amp;$Y99, TRUE)</f>
        <v>24800</v>
      </c>
      <c r="F99" s="3181" cm="1">
        <f t="array" aca="1" ref="F99" ca="1">INDIRECT("'※ 영기팀 작성_가입자'!"&amp;F$1&amp;$Y99, TRUE)</f>
        <v>3012</v>
      </c>
      <c r="G99" s="1474" cm="1">
        <f t="array" aca="1" ref="G99" ca="1">INDIRECT("'※ 영기팀 작성_가입자'!"&amp;G$1&amp;$Y99, TRUE)</f>
        <v>2390</v>
      </c>
      <c r="H99" s="1474" cm="1">
        <f t="array" aca="1" ref="H99" ca="1">INDIRECT("'※ 영기팀 작성_가입자'!"&amp;H$1&amp;$Y99, TRUE)</f>
        <v>2688</v>
      </c>
      <c r="I99" s="1474" cm="1">
        <f t="array" aca="1" ref="I99" ca="1">INDIRECT("'※ 영기팀 작성_가입자'!"&amp;I$1&amp;$Y99, TRUE)</f>
        <v>6787</v>
      </c>
      <c r="J99" s="1474" cm="1">
        <f t="array" aca="1" ref="J99" ca="1">INDIRECT("'※ 영기팀 작성_가입자'!"&amp;J$1&amp;$Y99, TRUE)</f>
        <v>4471</v>
      </c>
      <c r="K99" s="1474" cm="1">
        <f t="array" aca="1" ref="K99" ca="1">INDIRECT("'※ 영기팀 작성_가입자'!"&amp;K$1&amp;$Y99, TRUE)</f>
        <v>3964</v>
      </c>
      <c r="L99" s="1474" cm="1">
        <f t="array" aca="1" ref="L99" ca="1">INDIRECT("'※ 영기팀 작성_가입자'!"&amp;L$1&amp;$Y99, TRUE)</f>
        <v>2897</v>
      </c>
      <c r="M99" s="1474" cm="1">
        <f t="array" aca="1" ref="M99" ca="1">INDIRECT("'※ 영기팀 작성_가입자'!"&amp;M$1&amp;$Y99, TRUE)</f>
        <v>1613</v>
      </c>
      <c r="N99" s="3250"/>
      <c r="O99" s="3250"/>
      <c r="P99" s="3250"/>
      <c r="Q99" s="2772" cm="1">
        <f t="array" aca="1" ref="Q99" ca="1">INDIRECT("'※ 영기팀 작성_가입자'!"&amp;Q$2&amp;$Y99,TRUE)</f>
        <v>-1284</v>
      </c>
      <c r="R99" s="2773" cm="1">
        <f t="array" aca="1" ref="R99" ca="1">INDIRECT("'※ 영기팀 작성_가입자'!"&amp;R$2&amp;$Y99,TRUE)</f>
        <v>-1399</v>
      </c>
      <c r="S99" s="1476" cm="1">
        <f t="array" aca="1" ref="S99" ca="1">INDIRECT("'※ 영기팀 작성_가입자'!"&amp;S$1&amp;$Y99, TRUE)</f>
        <v>4510</v>
      </c>
      <c r="T99" s="3250"/>
      <c r="U99" s="3250"/>
      <c r="V99" s="2705" cm="1">
        <f t="array" aca="1" ref="V99" ca="1">INDIRECT("'※ 영기팀 작성_가입자'!"&amp;V$2&amp;$Y99, TRUE)</f>
        <v>-542</v>
      </c>
      <c r="W99" s="3094" cm="1">
        <f t="array" aca="1" ref="W99" ca="1">INDIRECT("'※ 영기팀 작성_가입자'!"&amp;W$1&amp;$Y99, TRUE)</f>
        <v>2255</v>
      </c>
      <c r="X99" s="3251" cm="1">
        <f t="array" aca="1" ref="X99" ca="1">INDIRECT("'※ 영기팀 작성_가입자'!"&amp;X$1&amp;$Y99, TRUE)</f>
        <v>1057.75</v>
      </c>
      <c r="Y99" s="2988">
        <f>ROW('※ 영기팀 작성_가입자'!AH282)</f>
        <v>282</v>
      </c>
    </row>
    <row r="100" spans="1:27" x14ac:dyDescent="0.55000000000000004">
      <c r="A100" s="7176"/>
      <c r="B100" s="673"/>
      <c r="C100" s="3163" t="s">
        <v>397</v>
      </c>
      <c r="D100" s="3252" cm="1">
        <f t="array" aca="1" ref="D100" ca="1">INDIRECT("'※ 영기팀 작성_가입자'!"&amp;D$1&amp;$Y100, TRUE)</f>
        <v>0.22068808124607747</v>
      </c>
      <c r="E100" s="3253" cm="1">
        <f t="array" aca="1" ref="E100" ca="1">INDIRECT("'※ 영기팀 작성_가입자'!"&amp;E$1&amp;$Y100, TRUE)</f>
        <v>0.36093857832988269</v>
      </c>
      <c r="F100" s="3254" cm="1">
        <f t="array" aca="1" ref="F100" ca="1">INDIRECT("'※ 영기팀 작성_가입자'!"&amp;F$1&amp;$Y100, TRUE)</f>
        <v>0.39217512808570099</v>
      </c>
      <c r="G100" s="3253" cm="1">
        <f t="array" aca="1" ref="G100" ca="1">INDIRECT("'※ 영기팀 작성_가입자'!"&amp;G$1&amp;$Y100, TRUE)</f>
        <v>0.32809553739786296</v>
      </c>
      <c r="H100" s="3253" cm="1">
        <f t="array" aca="1" ref="H100" ca="1">INDIRECT("'※ 영기팀 작성_가입자'!"&amp;H$1&amp;$Y100, TRUE)</f>
        <v>0.21771327014218009</v>
      </c>
      <c r="I100" s="3253" cm="1">
        <f t="array" aca="1" ref="I100" ca="1">INDIRECT("'※ 영기팀 작성_가입자'!"&amp;I$1&amp;$Y100, TRUE)</f>
        <v>0.33755452370901928</v>
      </c>
      <c r="J100" s="3253" cm="1">
        <f t="array" aca="1" ref="J100" ca="1">INDIRECT("'※ 영기팀 작성_가입자'!"&amp;J$1&amp;$Y100, TRUE)</f>
        <v>0.32896600566572232</v>
      </c>
      <c r="K100" s="3253" cm="1">
        <f t="array" aca="1" ref="K100" ca="1">INDIRECT("'※ 영기팀 작성_가입자'!"&amp;K$1&amp;$Y100, TRUE)</f>
        <v>0.34352117160140083</v>
      </c>
      <c r="L100" s="3253" cm="1">
        <f t="array" aca="1" ref="L100" ca="1">INDIRECT("'※ 영기팀 작성_가입자'!"&amp;L$1&amp;$Y100, TRUE)</f>
        <v>0.2862275449101796</v>
      </c>
      <c r="M100" s="3253" cm="1">
        <f t="array" aca="1" ref="M100" ca="1">INDIRECT("'※ 영기팀 작성_가입자'!"&amp;M$1&amp;$Y100, TRUE)</f>
        <v>0.24837812789620017</v>
      </c>
      <c r="N100" s="3255"/>
      <c r="O100" s="3255"/>
      <c r="P100" s="3256"/>
      <c r="Q100" s="3257" cm="1">
        <f t="array" aca="1" ref="Q100" ca="1">INDIRECT("'※ 영기팀 작성_가입자'!"&amp;Q$2&amp;$Y100,TRUE)</f>
        <v>-3.7849417013979425E-2</v>
      </c>
      <c r="R100" s="3258" cm="1">
        <f t="array" aca="1" ref="R100" ca="1">INDIRECT("'※ 영기팀 작성_가입자'!"&amp;R$2&amp;$Y100,TRUE)</f>
        <v>-0.14379700018950081</v>
      </c>
      <c r="S100" s="3259" cm="1">
        <f t="array" aca="1" ref="S100" ca="1">INDIRECT("'※ 영기팀 작성_가입자'!"&amp;S$1&amp;$Y100, TRUE)</f>
        <v>0.26730283640318986</v>
      </c>
      <c r="T100" s="3255"/>
      <c r="U100" s="3256"/>
      <c r="V100" s="1200" cm="1">
        <f t="array" aca="1" ref="V100" ca="1">INDIRECT("'※ 영기팀 작성_가입자'!"&amp;V$2&amp;$Y100, TRUE)</f>
        <v>-8.9267902790652887E-2</v>
      </c>
      <c r="W100" s="3260" cm="1">
        <f t="array" aca="1" ref="W100" ca="1">INDIRECT("'※ 영기팀 작성_가입자'!"&amp;W$1&amp;$Y100, TRUE)</f>
        <v>0.26730283640318986</v>
      </c>
      <c r="X100" s="3261" cm="1">
        <f t="array" aca="1" ref="X100" ca="1">INDIRECT("'※ 영기팀 작성_가입자'!"&amp;X$1&amp;$Y100, TRUE)</f>
        <v>-5.7963448127536621E-2</v>
      </c>
      <c r="Y100" s="2988">
        <f>ROW('※ 영기팀 작성_가입자'!AH280)</f>
        <v>280</v>
      </c>
      <c r="AA100" s="3262">
        <v>0.4</v>
      </c>
    </row>
    <row r="101" spans="1:27" s="615" customFormat="1" x14ac:dyDescent="0.55000000000000004">
      <c r="A101" s="7176"/>
      <c r="B101" s="3249"/>
      <c r="C101" s="3263" t="s">
        <v>98</v>
      </c>
      <c r="D101" s="3264" cm="1">
        <f t="array" aca="1" ref="D101" ca="1">INDIRECT("'※ 영기팀 작성_가입자'!"&amp;D$1&amp;$Y101, TRUE)</f>
        <v>3868</v>
      </c>
      <c r="E101" s="3265" cm="1">
        <f t="array" aca="1" ref="E101" ca="1">INDIRECT("'※ 영기팀 작성_가입자'!"&amp;E$1&amp;$Y101, TRUE)</f>
        <v>6882</v>
      </c>
      <c r="F101" s="3266" cm="1">
        <f t="array" aca="1" ref="F101" ca="1">INDIRECT("'※ 영기팀 작성_가입자'!"&amp;F$1&amp;$Y101, TRUE)</f>
        <v>842</v>
      </c>
      <c r="G101" s="3265" cm="1">
        <f t="array" aca="1" ref="G101" ca="1">INDIRECT("'※ 영기팀 작성_가입자'!"&amp;G$1&amp;$Y101, TRUE)</f>
        <v>522</v>
      </c>
      <c r="H101" s="3265" cm="1">
        <f t="array" aca="1" ref="H101" ca="1">INDIRECT("'※ 영기팀 작성_가입자'!"&amp;H$1&amp;$Y101, TRUE)</f>
        <v>735</v>
      </c>
      <c r="I101" s="3265" cm="1">
        <f t="array" aca="1" ref="I101" ca="1">INDIRECT("'※ 영기팀 작성_가입자'!"&amp;I$1&amp;$Y101, TRUE)</f>
        <v>2399</v>
      </c>
      <c r="J101" s="3265" cm="1">
        <f t="array" aca="1" ref="J101" ca="1">INDIRECT("'※ 영기팀 작성_가입자'!"&amp;J$1&amp;$Y101, TRUE)</f>
        <v>928.99999999999989</v>
      </c>
      <c r="K101" s="3265" cm="1">
        <f t="array" aca="1" ref="K101" ca="1">INDIRECT("'※ 영기팀 작성_가입자'!"&amp;K$1&amp;$Y101, TRUE)</f>
        <v>1079</v>
      </c>
      <c r="L101" s="3265" cm="1">
        <f t="array" aca="1" ref="L101" ca="1">INDIRECT("'※ 영기팀 작성_가입자'!"&amp;L$1&amp;$Y101, TRUE)</f>
        <v>477.99999999999994</v>
      </c>
      <c r="M101" s="3265" cm="1">
        <f t="array" aca="1" ref="M101" ca="1">INDIRECT("'※ 영기팀 작성_가입자'!"&amp;M$1&amp;$Y101, TRUE)</f>
        <v>268</v>
      </c>
      <c r="N101" s="3267"/>
      <c r="O101" s="3267"/>
      <c r="P101" s="3267"/>
      <c r="Q101" s="3268" cm="1">
        <f t="array" aca="1" ref="Q101" ca="1">INDIRECT("'※ 영기팀 작성_가입자'!"&amp;Q$2&amp;$Y101,TRUE)</f>
        <v>-209.99999999999994</v>
      </c>
      <c r="R101" s="3269" cm="1">
        <f t="array" aca="1" ref="R101" ca="1">INDIRECT("'※ 영기팀 작성_가입자'!"&amp;R$2&amp;$Y101,TRUE)</f>
        <v>-574</v>
      </c>
      <c r="S101" s="3270" cm="1">
        <f t="array" aca="1" ref="S101" ca="1">INDIRECT("'※ 영기팀 작성_가입자'!"&amp;S$1&amp;$Y101, TRUE)</f>
        <v>746</v>
      </c>
      <c r="T101" s="3267"/>
      <c r="U101" s="3267"/>
      <c r="V101" s="3271" cm="1">
        <f t="array" aca="1" ref="V101" ca="1">INDIRECT("'※ 영기팀 작성_가입자'!"&amp;V$2&amp;$Y101, TRUE)</f>
        <v>-468</v>
      </c>
      <c r="W101" s="3272" cm="1">
        <f t="array" aca="1" ref="W101" ca="1">INDIRECT("'※ 영기팀 작성_가입자'!"&amp;W$1&amp;$Y101, TRUE)</f>
        <v>373</v>
      </c>
      <c r="X101" s="3273" cm="1">
        <f t="array" aca="1" ref="X101" ca="1">INDIRECT("'※ 영기팀 작성_가입자'!"&amp;X$1&amp;$Y101, TRUE)</f>
        <v>201.16666666666663</v>
      </c>
      <c r="Y101" s="3117">
        <f>ROW('※ 영기팀 작성_가입자'!AH283)</f>
        <v>283</v>
      </c>
      <c r="Z101" s="3118"/>
    </row>
    <row r="102" spans="1:27" x14ac:dyDescent="0.55000000000000004">
      <c r="A102" s="7176"/>
      <c r="B102" s="673"/>
      <c r="C102" s="3163" t="s">
        <v>396</v>
      </c>
      <c r="D102" s="3252" cm="1">
        <f t="array" aca="1" ref="D102" ca="1">INDIRECT("'※ 영기팀 작성_가입자'!"&amp;D$1&amp;$Y102, TRUE)</f>
        <v>0.15790250513236814</v>
      </c>
      <c r="E102" s="3253" cm="1">
        <f t="array" aca="1" ref="E102" ca="1">INDIRECT("'※ 영기팀 작성_가입자'!"&amp;E$1&amp;$Y102, TRUE)</f>
        <v>0.1726961408438337</v>
      </c>
      <c r="F102" s="3254" cm="1">
        <f t="array" aca="1" ref="F102" ca="1">INDIRECT("'※ 영기팀 작성_가입자'!"&amp;F$1&amp;$Y102, TRUE)</f>
        <v>0.26913059655215182</v>
      </c>
      <c r="G102" s="3253" cm="1">
        <f t="array" aca="1" ref="G102" ca="1">INDIRECT("'※ 영기팀 작성_가입자'!"&amp;G$1&amp;$Y102, TRUE)</f>
        <v>0.28902986229305272</v>
      </c>
      <c r="H102" s="3253" cm="1">
        <f t="array" aca="1" ref="H102" ca="1">INDIRECT("'※ 영기팀 작성_가입자'!"&amp;H$1&amp;$Y102, TRUE)</f>
        <v>0.20026661197703036</v>
      </c>
      <c r="I102" s="3253" cm="1">
        <f t="array" aca="1" ref="I102" ca="1">INDIRECT("'※ 영기팀 작성_가입자'!"&amp;I$1&amp;$Y102, TRUE)</f>
        <v>0.22780604298619042</v>
      </c>
      <c r="J102" s="3253" cm="1">
        <f t="array" aca="1" ref="J102" ca="1">INDIRECT("'※ 영기팀 작성_가입자'!"&amp;J$1&amp;$Y102, TRUE)</f>
        <v>0.25247701190391331</v>
      </c>
      <c r="K102" s="3253" cm="1">
        <f t="array" aca="1" ref="K102" ca="1">INDIRECT("'※ 영기팀 작성_가입자'!"&amp;K$1&amp;$Y102, TRUE)</f>
        <v>0.23152234973116123</v>
      </c>
      <c r="L102" s="3253" cm="1">
        <f t="array" aca="1" ref="L102" ca="1">INDIRECT("'※ 영기팀 작성_가입자'!"&amp;L$1&amp;$Y102, TRUE)</f>
        <v>0.15951203428948238</v>
      </c>
      <c r="M102" s="3253" cm="1">
        <f t="array" aca="1" ref="M102" ca="1">INDIRECT("'※ 영기팀 작성_가입자'!"&amp;M$1&amp;$Y102, TRUE)</f>
        <v>0.1986119314825753</v>
      </c>
      <c r="N102" s="3255"/>
      <c r="O102" s="3255"/>
      <c r="P102" s="3256"/>
      <c r="Q102" s="3257" cm="1">
        <f t="array" aca="1" ref="Q102" ca="1">INDIRECT("'※ 영기팀 작성_가입자'!"&amp;Q$2&amp;$Y102,TRUE)</f>
        <v>3.9099897193092925E-2</v>
      </c>
      <c r="R102" s="3258" cm="1">
        <f t="array" aca="1" ref="R102" ca="1">INDIRECT("'※ 영기팀 작성_가입자'!"&amp;R$2&amp;$Y102,TRUE)</f>
        <v>-7.0518665069576519E-2</v>
      </c>
      <c r="S102" s="3259" cm="1">
        <f t="array" aca="1" ref="S102" ca="1">INDIRECT("'※ 영기팀 작성_가입자'!"&amp;S$1&amp;$Y102, TRUE)</f>
        <v>0.17906198288602884</v>
      </c>
      <c r="T102" s="3255"/>
      <c r="U102" s="3256"/>
      <c r="V102" s="1200" cm="1">
        <f t="array" aca="1" ref="V102" ca="1">INDIRECT("'※ 영기팀 작성_가입자'!"&amp;V$2&amp;$Y102, TRUE)</f>
        <v>-8.0334927424173669E-2</v>
      </c>
      <c r="W102" s="3260" cm="1">
        <f t="array" aca="1" ref="W102" ca="1">INDIRECT("'※ 영기팀 작성_가입자'!"&amp;W$1&amp;$Y102, TRUE)</f>
        <v>0.17906198288602884</v>
      </c>
      <c r="X102" s="3261" cm="1">
        <f t="array" aca="1" ref="X102" ca="1">INDIRECT("'※ 영기팀 작성_가입자'!"&amp;X$1&amp;$Y102, TRUE)</f>
        <v>6.6331603175600246E-2</v>
      </c>
      <c r="Y102" s="2988">
        <f>ROW('※ 영기팀 작성_가입자'!AH281)</f>
        <v>281</v>
      </c>
      <c r="AA102" s="3262">
        <v>0.3</v>
      </c>
    </row>
    <row r="103" spans="1:27" s="615" customFormat="1" ht="15.45" thickBot="1" x14ac:dyDescent="0.6">
      <c r="A103" s="7177"/>
      <c r="B103" s="3274"/>
      <c r="C103" s="3274" t="s">
        <v>98</v>
      </c>
      <c r="D103" s="3275" cm="1">
        <f t="array" aca="1" ref="D103" ca="1">INDIRECT("'※ 영기팀 작성_가입자'!"&amp;D$1&amp;$Y103, TRUE)</f>
        <v>11768</v>
      </c>
      <c r="E103" s="3276" cm="1">
        <f t="array" aca="1" ref="E103" ca="1">INDIRECT("'※ 영기팀 작성_가입자'!"&amp;E$1&amp;$Y103, TRUE)</f>
        <v>17918</v>
      </c>
      <c r="F103" s="3277" cm="1">
        <f t="array" aca="1" ref="F103" ca="1">INDIRECT("'※ 영기팀 작성_가입자'!"&amp;F$1&amp;$Y103, TRUE)</f>
        <v>2170</v>
      </c>
      <c r="G103" s="3276" cm="1">
        <f t="array" aca="1" ref="G103" ca="1">INDIRECT("'※ 영기팀 작성_가입자'!"&amp;G$1&amp;$Y103, TRUE)</f>
        <v>1867.9999999999998</v>
      </c>
      <c r="H103" s="3276" cm="1">
        <f t="array" aca="1" ref="H103" ca="1">INDIRECT("'※ 영기팀 작성_가입자'!"&amp;H$1&amp;$Y103, TRUE)</f>
        <v>1953</v>
      </c>
      <c r="I103" s="3276" cm="1">
        <f t="array" aca="1" ref="I103" ca="1">INDIRECT("'※ 영기팀 작성_가입자'!"&amp;I$1&amp;$Y103, TRUE)</f>
        <v>4388</v>
      </c>
      <c r="J103" s="3276" cm="1">
        <f t="array" aca="1" ref="J103" ca="1">INDIRECT("'※ 영기팀 작성_가입자'!"&amp;J$1&amp;$Y103, TRUE)</f>
        <v>3542</v>
      </c>
      <c r="K103" s="3276" cm="1">
        <f t="array" aca="1" ref="K103" ca="1">INDIRECT("'※ 영기팀 작성_가입자'!"&amp;K$1&amp;$Y103, TRUE)</f>
        <v>2885</v>
      </c>
      <c r="L103" s="3276" cm="1">
        <f t="array" aca="1" ref="L103" ca="1">INDIRECT("'※ 영기팀 작성_가입자'!"&amp;L$1&amp;$Y103, TRUE)</f>
        <v>2419</v>
      </c>
      <c r="M103" s="3276" cm="1">
        <f t="array" aca="1" ref="M103" ca="1">INDIRECT("'※ 영기팀 작성_가입자'!"&amp;M$1&amp;$Y103, TRUE)</f>
        <v>1345</v>
      </c>
      <c r="N103" s="3278"/>
      <c r="O103" s="3278"/>
      <c r="P103" s="3278"/>
      <c r="Q103" s="3279" cm="1">
        <f t="array" aca="1" ref="Q103" ca="1">INDIRECT("'※ 영기팀 작성_가입자'!"&amp;Q$2&amp;$Y103,TRUE)</f>
        <v>-1074</v>
      </c>
      <c r="R103" s="3280" cm="1">
        <f t="array" aca="1" ref="R103" ca="1">INDIRECT("'※ 영기팀 작성_가입자'!"&amp;R$2&amp;$Y103,TRUE)</f>
        <v>-825</v>
      </c>
      <c r="S103" s="3281" cm="1">
        <f t="array" aca="1" ref="S103" ca="1">INDIRECT("'※ 영기팀 작성_가입자'!"&amp;S$1&amp;$Y103, TRUE)</f>
        <v>3764</v>
      </c>
      <c r="T103" s="3278"/>
      <c r="U103" s="3278"/>
      <c r="V103" s="3282" cm="1">
        <f t="array" aca="1" ref="V103" ca="1">INDIRECT("'※ 영기팀 작성_가입자'!"&amp;V$2&amp;$Y103, TRUE)</f>
        <v>-74</v>
      </c>
      <c r="W103" s="3283" cm="1">
        <f t="array" aca="1" ref="W103" ca="1">INDIRECT("'※ 영기팀 작성_가입자'!"&amp;W$1&amp;$Y103, TRUE)</f>
        <v>1882</v>
      </c>
      <c r="X103" s="3284" cm="1">
        <f t="array" aca="1" ref="X103" ca="1">INDIRECT("'※ 영기팀 작성_가입자'!"&amp;X$1&amp;$Y103, TRUE)</f>
        <v>856.58333333333326</v>
      </c>
      <c r="Y103" s="3117">
        <f>ROW('※ 영기팀 작성_가입자'!AH284)</f>
        <v>284</v>
      </c>
      <c r="Z103" s="3118"/>
    </row>
    <row r="104" spans="1:27" x14ac:dyDescent="0.55000000000000004">
      <c r="B104" s="698"/>
      <c r="C104" s="698"/>
      <c r="D104" s="698"/>
      <c r="E104" s="698"/>
      <c r="F104" s="698"/>
      <c r="G104" s="698"/>
      <c r="H104" s="698"/>
      <c r="I104" s="698"/>
      <c r="J104" s="698"/>
      <c r="K104" s="698"/>
      <c r="L104" s="698"/>
      <c r="M104" s="698"/>
      <c r="N104" s="698"/>
      <c r="O104" s="698"/>
      <c r="P104" s="698"/>
      <c r="Q104" s="698"/>
      <c r="R104" s="698"/>
      <c r="S104" s="698"/>
      <c r="T104" s="698"/>
      <c r="U104" s="698"/>
      <c r="Y104" s="2988"/>
    </row>
    <row r="105" spans="1:27" x14ac:dyDescent="0.55000000000000004">
      <c r="B105" s="698"/>
      <c r="C105" s="698"/>
      <c r="D105" s="698"/>
      <c r="E105" s="698"/>
      <c r="F105" s="698"/>
      <c r="G105" s="698"/>
      <c r="H105" s="698"/>
      <c r="I105" s="698"/>
      <c r="J105" s="698"/>
      <c r="K105" s="698"/>
      <c r="L105" s="698"/>
      <c r="M105" s="698"/>
      <c r="N105" s="698"/>
      <c r="O105" s="3285"/>
      <c r="P105" s="698"/>
      <c r="Q105" s="698"/>
      <c r="R105" s="698"/>
      <c r="S105" s="698"/>
      <c r="T105" s="698"/>
      <c r="U105" s="698"/>
    </row>
    <row r="106" spans="1:27" x14ac:dyDescent="0.55000000000000004">
      <c r="B106" s="698"/>
      <c r="C106" s="698"/>
      <c r="D106" s="698"/>
      <c r="E106" s="698"/>
      <c r="F106" s="698"/>
      <c r="G106" s="698"/>
      <c r="H106" s="698"/>
      <c r="I106" s="698"/>
      <c r="J106" s="698"/>
      <c r="K106" s="698"/>
      <c r="L106" s="698"/>
      <c r="M106" s="698"/>
      <c r="N106" s="698"/>
      <c r="O106" s="3285"/>
      <c r="P106" s="698"/>
      <c r="Q106" s="698"/>
      <c r="R106" s="698"/>
      <c r="S106" s="698"/>
      <c r="T106" s="698"/>
      <c r="U106" s="698"/>
    </row>
    <row r="107" spans="1:27" x14ac:dyDescent="0.55000000000000004">
      <c r="B107" s="698"/>
      <c r="C107" s="698"/>
      <c r="D107" s="698"/>
      <c r="E107" s="698"/>
      <c r="F107" s="698"/>
      <c r="G107" s="698"/>
      <c r="H107" s="698"/>
      <c r="I107" s="698"/>
      <c r="J107" s="698"/>
      <c r="K107" s="698"/>
      <c r="L107" s="698"/>
      <c r="M107" s="698"/>
      <c r="N107" s="698"/>
      <c r="O107" s="698"/>
      <c r="P107" s="698"/>
      <c r="Q107" s="698"/>
      <c r="R107" s="698"/>
      <c r="S107" s="698"/>
      <c r="T107" s="698"/>
      <c r="U107" s="698"/>
    </row>
    <row r="108" spans="1:27" x14ac:dyDescent="0.55000000000000004">
      <c r="B108" s="698"/>
      <c r="C108" s="698"/>
      <c r="D108" s="698"/>
      <c r="E108" s="698"/>
      <c r="F108" s="698"/>
      <c r="G108" s="698"/>
      <c r="H108" s="698"/>
      <c r="I108" s="698"/>
      <c r="J108" s="698"/>
      <c r="K108" s="698"/>
      <c r="L108" s="698"/>
      <c r="M108" s="698"/>
      <c r="N108" s="698"/>
      <c r="O108" s="698"/>
      <c r="P108" s="698"/>
      <c r="Q108" s="698"/>
      <c r="R108" s="698"/>
      <c r="S108" s="698"/>
      <c r="T108" s="698"/>
      <c r="U108" s="698"/>
    </row>
    <row r="109" spans="1:27" x14ac:dyDescent="0.55000000000000004">
      <c r="B109" s="698"/>
      <c r="C109" s="698"/>
      <c r="D109" s="698"/>
      <c r="E109" s="698"/>
      <c r="F109" s="698"/>
      <c r="G109" s="698"/>
      <c r="H109" s="698"/>
      <c r="I109" s="698"/>
      <c r="J109" s="698"/>
      <c r="K109" s="698"/>
      <c r="L109" s="698"/>
      <c r="M109" s="698"/>
      <c r="N109" s="698"/>
      <c r="O109" s="698"/>
      <c r="P109" s="698"/>
      <c r="Q109" s="698"/>
      <c r="R109" s="698"/>
      <c r="S109" s="698"/>
      <c r="T109" s="698"/>
      <c r="U109" s="698"/>
    </row>
    <row r="110" spans="1:27" x14ac:dyDescent="0.55000000000000004">
      <c r="B110" s="698"/>
      <c r="C110" s="698"/>
      <c r="D110" s="698"/>
      <c r="E110" s="698"/>
      <c r="F110" s="698"/>
      <c r="G110" s="698"/>
      <c r="H110" s="698"/>
      <c r="I110" s="698"/>
      <c r="J110" s="698"/>
      <c r="K110" s="698"/>
      <c r="L110" s="698"/>
      <c r="M110" s="698"/>
      <c r="N110" s="698"/>
      <c r="O110" s="698"/>
      <c r="P110" s="698"/>
      <c r="Q110" s="698"/>
      <c r="R110" s="698"/>
      <c r="S110" s="698"/>
      <c r="T110" s="698"/>
      <c r="U110" s="698"/>
    </row>
    <row r="111" spans="1:27" x14ac:dyDescent="0.55000000000000004">
      <c r="B111" s="698"/>
      <c r="C111" s="698"/>
      <c r="D111" s="698"/>
      <c r="E111" s="698"/>
      <c r="F111" s="698"/>
      <c r="G111" s="698"/>
      <c r="H111" s="698"/>
      <c r="I111" s="698"/>
      <c r="J111" s="698"/>
      <c r="K111" s="698"/>
      <c r="L111" s="698"/>
      <c r="M111" s="698"/>
      <c r="N111" s="698"/>
      <c r="O111" s="698"/>
      <c r="P111" s="698"/>
      <c r="Q111" s="698"/>
      <c r="R111" s="698"/>
      <c r="S111" s="698"/>
      <c r="T111" s="698"/>
      <c r="U111" s="698"/>
    </row>
    <row r="112" spans="1:27" x14ac:dyDescent="0.55000000000000004">
      <c r="B112" s="698"/>
      <c r="C112" s="698"/>
      <c r="D112" s="698"/>
      <c r="E112" s="698"/>
      <c r="F112" s="698"/>
      <c r="G112" s="698"/>
      <c r="H112" s="698"/>
      <c r="I112" s="698"/>
      <c r="J112" s="698"/>
      <c r="K112" s="698"/>
      <c r="L112" s="698"/>
      <c r="M112" s="698"/>
      <c r="N112" s="698"/>
      <c r="O112" s="698"/>
      <c r="P112" s="698"/>
      <c r="Q112" s="698"/>
      <c r="R112" s="698"/>
      <c r="S112" s="698"/>
      <c r="T112" s="698"/>
      <c r="U112" s="698"/>
    </row>
    <row r="113" spans="2:21" x14ac:dyDescent="0.55000000000000004">
      <c r="B113" s="698"/>
      <c r="C113" s="698"/>
      <c r="D113" s="698"/>
      <c r="E113" s="698"/>
      <c r="F113" s="698"/>
      <c r="G113" s="698"/>
      <c r="H113" s="698"/>
      <c r="I113" s="698"/>
      <c r="J113" s="698"/>
      <c r="K113" s="698"/>
      <c r="L113" s="698"/>
      <c r="M113" s="698"/>
      <c r="N113" s="698"/>
      <c r="O113" s="698"/>
      <c r="P113" s="698"/>
      <c r="Q113" s="698"/>
      <c r="R113" s="698"/>
      <c r="S113" s="698"/>
      <c r="T113" s="698"/>
      <c r="U113" s="698"/>
    </row>
  </sheetData>
  <mergeCells count="11">
    <mergeCell ref="A3:X3"/>
    <mergeCell ref="B6:C6"/>
    <mergeCell ref="A83:A103"/>
    <mergeCell ref="S5:X5"/>
    <mergeCell ref="A7:A13"/>
    <mergeCell ref="A14:A20"/>
    <mergeCell ref="A21:A27"/>
    <mergeCell ref="A52:A67"/>
    <mergeCell ref="A69:A81"/>
    <mergeCell ref="A29:A50"/>
    <mergeCell ref="F5:R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9" fitToHeight="0" orientation="landscape" r:id="rId1"/>
  <headerFooter scaleWithDoc="0">
    <oddFooter>&amp;R&amp;"-,기울임꼴"&amp;8&amp;P &amp; 페이지</oddFooter>
  </headerFooter>
  <rowBreaks count="1" manualBreakCount="1">
    <brk id="51" max="2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F8A2-C46F-4F49-9988-69581122921E}">
  <sheetPr codeName="Sheet9">
    <tabColor theme="9" tint="0.79998168889431442"/>
  </sheetPr>
  <dimension ref="A1:CI410"/>
  <sheetViews>
    <sheetView showGridLines="0" zoomScale="40" zoomScaleNormal="40" workbookViewId="0">
      <pane xSplit="3" ySplit="3" topLeftCell="AR42" activePane="bottomRight" state="frozen"/>
      <selection activeCell="C499" sqref="C499"/>
      <selection pane="topRight" activeCell="C499" sqref="C499"/>
      <selection pane="bottomLeft" activeCell="C499" sqref="C499"/>
      <selection pane="bottomRight" activeCell="BL68" sqref="BL68"/>
    </sheetView>
  </sheetViews>
  <sheetFormatPr defaultRowHeight="17.600000000000001" outlineLevelCol="1" x14ac:dyDescent="0.55000000000000004"/>
  <cols>
    <col min="1" max="1" width="17.2109375" customWidth="1"/>
    <col min="2" max="2" width="13.5703125" style="22" customWidth="1"/>
    <col min="3" max="3" width="12.42578125" style="70" customWidth="1"/>
    <col min="4" max="15" width="8.85546875" style="53" customWidth="1" outlineLevel="1"/>
    <col min="16" max="16" width="9.42578125" style="53" bestFit="1" customWidth="1"/>
    <col min="17" max="17" width="8.92578125" style="53" bestFit="1" customWidth="1"/>
    <col min="18" max="18" width="2.35546875" style="57" customWidth="1"/>
    <col min="19" max="30" width="8.85546875" style="53" customWidth="1" outlineLevel="1"/>
    <col min="31" max="31" width="9.5" style="53" bestFit="1" customWidth="1"/>
    <col min="32" max="32" width="9" style="53" bestFit="1" customWidth="1"/>
    <col min="33" max="33" width="2.35546875" style="57" customWidth="1"/>
    <col min="34" max="40" width="8.85546875" style="53" customWidth="1" outlineLevel="1"/>
    <col min="41" max="41" width="10.0703125" style="53" customWidth="1" outlineLevel="1"/>
    <col min="42" max="42" width="8.85546875" style="53" customWidth="1" outlineLevel="1"/>
    <col min="43" max="43" width="8.85546875" style="396" customWidth="1" outlineLevel="1"/>
    <col min="44" max="45" width="8.85546875" style="53" customWidth="1" outlineLevel="1"/>
    <col min="46" max="46" width="9.5" style="53" bestFit="1" customWidth="1"/>
    <col min="47" max="47" width="9" style="53" bestFit="1" customWidth="1"/>
    <col min="48" max="48" width="2.35546875" style="469" customWidth="1"/>
    <col min="49" max="49" width="8.85546875" style="475" customWidth="1" outlineLevel="1"/>
    <col min="50" max="55" width="8.85546875" style="396" customWidth="1" outlineLevel="1"/>
    <col min="56" max="56" width="10.0703125" style="396" customWidth="1" outlineLevel="1"/>
    <col min="57" max="60" width="8.85546875" style="396" customWidth="1" outlineLevel="1"/>
    <col min="61" max="61" width="9.5" style="396" bestFit="1" customWidth="1"/>
    <col min="62" max="62" width="9" style="396" bestFit="1" customWidth="1"/>
    <col min="63" max="63" width="2.35546875" style="4392" customWidth="1"/>
    <col min="64" max="64" width="11.42578125" style="475" customWidth="1" outlineLevel="1"/>
    <col min="65" max="75" width="11.42578125" style="396" customWidth="1" outlineLevel="1"/>
    <col min="76" max="76" width="9.5" style="396" bestFit="1" customWidth="1"/>
    <col min="77" max="77" width="9" style="396" bestFit="1" customWidth="1"/>
    <col min="79" max="79" width="9.140625" customWidth="1"/>
    <col min="80" max="80" width="17.85546875" style="278" customWidth="1"/>
    <col min="81" max="82" width="14.42578125" customWidth="1"/>
    <col min="83" max="83" width="11.140625" customWidth="1"/>
    <col min="84" max="84" width="9.140625" customWidth="1"/>
    <col min="85" max="85" width="9" customWidth="1"/>
    <col min="86" max="86" width="8.640625" customWidth="1"/>
    <col min="87" max="87" width="15.85546875" customWidth="1"/>
  </cols>
  <sheetData>
    <row r="1" spans="1:86" s="1150" customFormat="1" ht="15" x14ac:dyDescent="0.55000000000000004">
      <c r="A1" s="4516">
        <f>'0. 개요'!AE2</f>
        <v>46054</v>
      </c>
      <c r="B1" s="4485">
        <v>11.000999999999999</v>
      </c>
      <c r="C1" s="656"/>
      <c r="D1" s="4486"/>
      <c r="E1" s="4486"/>
      <c r="F1" s="4486"/>
      <c r="G1" s="4486"/>
      <c r="H1" s="4486"/>
      <c r="I1" s="4486"/>
      <c r="J1" s="4486"/>
      <c r="K1" s="4486"/>
      <c r="L1" s="4486"/>
      <c r="M1" s="4486"/>
      <c r="N1" s="4486"/>
      <c r="O1" s="4486"/>
      <c r="P1" s="4486"/>
      <c r="Q1" s="4486"/>
      <c r="R1" s="4487"/>
      <c r="S1" s="4486"/>
      <c r="T1" s="4486"/>
      <c r="U1" s="4486"/>
      <c r="V1" s="4486"/>
      <c r="W1" s="4486"/>
      <c r="X1" s="4486"/>
      <c r="Y1" s="4486"/>
      <c r="Z1" s="4486"/>
      <c r="AA1" s="4486"/>
      <c r="AB1" s="4486"/>
      <c r="AC1" s="4486"/>
      <c r="AD1" s="4486"/>
      <c r="AE1" s="4486"/>
      <c r="AF1" s="4486"/>
      <c r="AG1" s="4487"/>
      <c r="AH1" s="4486" t="b">
        <v>1</v>
      </c>
      <c r="AI1" s="4486" t="b">
        <v>1</v>
      </c>
      <c r="AJ1" s="4486" t="b">
        <v>1</v>
      </c>
      <c r="AK1" s="4486" t="b">
        <v>1</v>
      </c>
      <c r="AL1" s="4486" t="b">
        <v>1</v>
      </c>
      <c r="AM1" s="4486" t="b">
        <v>1</v>
      </c>
      <c r="AN1" s="4486" t="b">
        <v>1</v>
      </c>
      <c r="AO1" s="4486" t="b">
        <v>1</v>
      </c>
      <c r="AP1" s="4486" t="b">
        <v>1</v>
      </c>
      <c r="AQ1" s="4486" t="b">
        <v>1</v>
      </c>
      <c r="AR1" s="4486" t="b">
        <v>1</v>
      </c>
      <c r="AS1" s="4486" t="b">
        <v>1</v>
      </c>
      <c r="AT1" s="4486" t="b">
        <v>1</v>
      </c>
      <c r="AU1" s="4486"/>
      <c r="AV1" s="4487"/>
      <c r="AW1" s="4486" t="b">
        <v>1</v>
      </c>
      <c r="AX1" s="4486" t="b">
        <v>1</v>
      </c>
      <c r="AY1" s="4486" t="b">
        <v>1</v>
      </c>
      <c r="AZ1" s="4486"/>
      <c r="BA1" s="4486"/>
      <c r="BB1" s="4486"/>
      <c r="BC1" s="4486"/>
      <c r="BD1" s="4486"/>
      <c r="BE1" s="4486"/>
      <c r="BF1" s="4486"/>
      <c r="BG1" s="4486"/>
      <c r="BH1" s="4486"/>
      <c r="BI1" s="4486"/>
      <c r="BJ1" s="4486"/>
      <c r="BK1" s="4487"/>
      <c r="BL1" s="4486" t="b">
        <v>1</v>
      </c>
      <c r="BM1" s="4486" t="b">
        <v>1</v>
      </c>
      <c r="BN1" s="4486" t="b">
        <v>1</v>
      </c>
      <c r="BO1" s="4486"/>
      <c r="BP1" s="4486"/>
      <c r="BQ1" s="4486"/>
      <c r="BR1" s="4486"/>
      <c r="BS1" s="4486"/>
      <c r="BT1" s="4486"/>
      <c r="BU1" s="4486"/>
      <c r="BV1" s="4486"/>
      <c r="BW1" s="4486"/>
      <c r="BX1" s="4486"/>
      <c r="BY1" s="4486"/>
      <c r="CB1" s="3692"/>
    </row>
    <row r="2" spans="1:86" s="559" customFormat="1" ht="15" x14ac:dyDescent="0.55000000000000004">
      <c r="B2" s="2771"/>
      <c r="C2" s="657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  <c r="R2" s="2821"/>
      <c r="S2" s="3286">
        <v>1.0009999999999999</v>
      </c>
      <c r="T2" s="3286">
        <v>2.0009999999999999</v>
      </c>
      <c r="U2" s="3286">
        <v>3.0009999999999999</v>
      </c>
      <c r="V2" s="3286">
        <v>4.0010000000000003</v>
      </c>
      <c r="W2" s="3286">
        <v>5.0010000000000003</v>
      </c>
      <c r="X2" s="3286">
        <v>6.0010000000000003</v>
      </c>
      <c r="Y2" s="3286">
        <v>7.0010000000000003</v>
      </c>
      <c r="Z2" s="3286">
        <v>8.0009999999999994</v>
      </c>
      <c r="AA2" s="3286">
        <v>9.0009999999999994</v>
      </c>
      <c r="AB2" s="3286">
        <v>10.000999999999999</v>
      </c>
      <c r="AC2" s="3286">
        <v>11.000999999999999</v>
      </c>
      <c r="AD2" s="3286">
        <v>12.000999999999999</v>
      </c>
      <c r="AE2" s="581"/>
      <c r="AF2" s="581"/>
      <c r="AG2" s="2821"/>
      <c r="AH2" s="3286">
        <v>1.0009999999999999</v>
      </c>
      <c r="AI2" s="3286">
        <v>2.0009999999999999</v>
      </c>
      <c r="AJ2" s="3286">
        <v>3.0009999999999999</v>
      </c>
      <c r="AK2" s="3286">
        <v>4.0010000000000003</v>
      </c>
      <c r="AL2" s="3286">
        <v>5.0010000000000003</v>
      </c>
      <c r="AM2" s="3286">
        <v>6.0010000000000003</v>
      </c>
      <c r="AN2" s="3286">
        <v>7.0010000000000003</v>
      </c>
      <c r="AO2" s="3286">
        <v>8.0009999999999994</v>
      </c>
      <c r="AP2" s="3286">
        <v>9.0009999999999994</v>
      </c>
      <c r="AQ2" s="3286">
        <v>10.000999999999999</v>
      </c>
      <c r="AR2" s="3286">
        <v>11.000999999999999</v>
      </c>
      <c r="AS2" s="3286">
        <v>12.000999999999999</v>
      </c>
      <c r="AT2" s="581"/>
      <c r="AU2" s="581"/>
      <c r="AV2" s="2821"/>
      <c r="AW2" s="4477">
        <v>45658</v>
      </c>
      <c r="AX2" s="4477">
        <v>45689</v>
      </c>
      <c r="AY2" s="4477">
        <v>45717</v>
      </c>
      <c r="AZ2" s="4477">
        <v>45748</v>
      </c>
      <c r="BA2" s="4477">
        <v>45778</v>
      </c>
      <c r="BB2" s="4477">
        <v>45809</v>
      </c>
      <c r="BC2" s="4477">
        <v>45839</v>
      </c>
      <c r="BD2" s="4477">
        <v>45870</v>
      </c>
      <c r="BE2" s="4477">
        <v>45901</v>
      </c>
      <c r="BF2" s="4477">
        <v>45931</v>
      </c>
      <c r="BG2" s="4477">
        <v>45962</v>
      </c>
      <c r="BH2" s="4477">
        <v>45992</v>
      </c>
      <c r="BI2" s="581"/>
      <c r="BJ2" s="581"/>
      <c r="BK2" s="2821"/>
      <c r="BL2" s="4477">
        <v>46023</v>
      </c>
      <c r="BM2" s="4477">
        <v>46054</v>
      </c>
      <c r="BN2" s="4477">
        <v>46082</v>
      </c>
      <c r="BO2" s="4477">
        <v>46113</v>
      </c>
      <c r="BP2" s="4477">
        <v>46143</v>
      </c>
      <c r="BQ2" s="4477">
        <v>46174</v>
      </c>
      <c r="BR2" s="4477">
        <v>46204</v>
      </c>
      <c r="BS2" s="4477">
        <v>46235</v>
      </c>
      <c r="BT2" s="4477">
        <v>46266</v>
      </c>
      <c r="BU2" s="4477">
        <v>46296</v>
      </c>
      <c r="BV2" s="4477">
        <v>46327</v>
      </c>
      <c r="BW2" s="4477">
        <v>46357</v>
      </c>
      <c r="BX2" s="581"/>
      <c r="BY2" s="581"/>
      <c r="CB2" s="590"/>
    </row>
    <row r="3" spans="1:86" s="559" customFormat="1" ht="16.75" thickBot="1" x14ac:dyDescent="0.6">
      <c r="B3" s="2771"/>
      <c r="C3" s="657"/>
      <c r="D3" s="2863" t="s">
        <v>363</v>
      </c>
      <c r="E3" s="558" t="s">
        <v>364</v>
      </c>
      <c r="F3" s="558" t="s">
        <v>365</v>
      </c>
      <c r="G3" s="558" t="s">
        <v>366</v>
      </c>
      <c r="H3" s="558" t="s">
        <v>367</v>
      </c>
      <c r="I3" s="558" t="s">
        <v>368</v>
      </c>
      <c r="J3" s="558" t="s">
        <v>369</v>
      </c>
      <c r="K3" s="558" t="s">
        <v>370</v>
      </c>
      <c r="L3" s="558" t="s">
        <v>371</v>
      </c>
      <c r="M3" s="558" t="s">
        <v>372</v>
      </c>
      <c r="N3" s="558" t="s">
        <v>373</v>
      </c>
      <c r="O3" s="558" t="s">
        <v>374</v>
      </c>
      <c r="P3" s="558" t="s">
        <v>392</v>
      </c>
      <c r="Q3" s="558" t="s">
        <v>350</v>
      </c>
      <c r="R3" s="2821"/>
      <c r="S3" s="558" t="s">
        <v>351</v>
      </c>
      <c r="T3" s="558" t="s">
        <v>352</v>
      </c>
      <c r="U3" s="558" t="s">
        <v>353</v>
      </c>
      <c r="V3" s="558" t="s">
        <v>354</v>
      </c>
      <c r="W3" s="558" t="s">
        <v>355</v>
      </c>
      <c r="X3" s="558" t="s">
        <v>356</v>
      </c>
      <c r="Y3" s="558" t="s">
        <v>357</v>
      </c>
      <c r="Z3" s="558" t="s">
        <v>358</v>
      </c>
      <c r="AA3" s="558" t="s">
        <v>359</v>
      </c>
      <c r="AB3" s="558" t="s">
        <v>360</v>
      </c>
      <c r="AC3" s="558" t="s">
        <v>361</v>
      </c>
      <c r="AD3" s="558" t="s">
        <v>362</v>
      </c>
      <c r="AE3" s="558" t="s">
        <v>393</v>
      </c>
      <c r="AF3" s="558" t="s">
        <v>350</v>
      </c>
      <c r="AG3" s="2821"/>
      <c r="AH3" s="558" t="s">
        <v>502</v>
      </c>
      <c r="AI3" s="558" t="s">
        <v>3</v>
      </c>
      <c r="AJ3" s="558" t="s">
        <v>503</v>
      </c>
      <c r="AK3" s="558" t="s">
        <v>341</v>
      </c>
      <c r="AL3" s="558" t="s">
        <v>342</v>
      </c>
      <c r="AM3" s="558" t="s">
        <v>343</v>
      </c>
      <c r="AN3" s="558" t="s">
        <v>344</v>
      </c>
      <c r="AO3" s="558" t="s">
        <v>345</v>
      </c>
      <c r="AP3" s="558" t="s">
        <v>346</v>
      </c>
      <c r="AQ3" s="558" t="s">
        <v>347</v>
      </c>
      <c r="AR3" s="558" t="s">
        <v>348</v>
      </c>
      <c r="AS3" s="558" t="s">
        <v>349</v>
      </c>
      <c r="AT3" s="558" t="s">
        <v>394</v>
      </c>
      <c r="AU3" s="558" t="s">
        <v>350</v>
      </c>
      <c r="AV3" s="2821"/>
      <c r="AW3" s="4703" t="s">
        <v>940</v>
      </c>
      <c r="AX3" s="558" t="s">
        <v>942</v>
      </c>
      <c r="AY3" s="558" t="s">
        <v>944</v>
      </c>
      <c r="AZ3" s="558" t="s">
        <v>945</v>
      </c>
      <c r="BA3" s="558" t="s">
        <v>946</v>
      </c>
      <c r="BB3" s="558" t="s">
        <v>947</v>
      </c>
      <c r="BC3" s="558" t="s">
        <v>948</v>
      </c>
      <c r="BD3" s="558" t="s">
        <v>949</v>
      </c>
      <c r="BE3" s="558" t="s">
        <v>950</v>
      </c>
      <c r="BF3" s="558" t="s">
        <v>951</v>
      </c>
      <c r="BG3" s="558" t="s">
        <v>952</v>
      </c>
      <c r="BH3" s="558" t="s">
        <v>953</v>
      </c>
      <c r="BI3" s="558" t="s">
        <v>956</v>
      </c>
      <c r="BJ3" s="558" t="s">
        <v>350</v>
      </c>
      <c r="BK3" s="2821"/>
      <c r="BL3" s="2864" t="s">
        <v>1122</v>
      </c>
      <c r="BM3" s="6252" t="s">
        <v>1072</v>
      </c>
      <c r="BN3" s="558" t="s">
        <v>1073</v>
      </c>
      <c r="BO3" s="558" t="s">
        <v>1074</v>
      </c>
      <c r="BP3" s="558" t="s">
        <v>1075</v>
      </c>
      <c r="BQ3" s="558" t="s">
        <v>1076</v>
      </c>
      <c r="BR3" s="558" t="s">
        <v>1077</v>
      </c>
      <c r="BS3" s="558" t="s">
        <v>1078</v>
      </c>
      <c r="BT3" s="558" t="s">
        <v>1079</v>
      </c>
      <c r="BU3" s="558" t="s">
        <v>1080</v>
      </c>
      <c r="BV3" s="558" t="s">
        <v>1081</v>
      </c>
      <c r="BW3" s="558" t="s">
        <v>1082</v>
      </c>
      <c r="BX3" s="558" t="s">
        <v>1154</v>
      </c>
      <c r="BY3" s="558" t="s">
        <v>350</v>
      </c>
      <c r="CB3" s="4488" t="s">
        <v>852</v>
      </c>
      <c r="CC3" s="4481" t="s">
        <v>445</v>
      </c>
      <c r="CD3" s="2856" t="s">
        <v>450</v>
      </c>
      <c r="CE3" s="4481" t="s">
        <v>130</v>
      </c>
      <c r="CH3" s="559" t="s">
        <v>1037</v>
      </c>
    </row>
    <row r="4" spans="1:86" ht="21.55" customHeight="1" x14ac:dyDescent="0.55000000000000004">
      <c r="A4" s="4693" t="s">
        <v>1156</v>
      </c>
      <c r="B4" s="4694" t="s">
        <v>82</v>
      </c>
      <c r="C4" s="4695"/>
      <c r="D4" s="4696"/>
      <c r="E4" s="4696"/>
      <c r="F4" s="4696"/>
      <c r="G4" s="4696"/>
      <c r="H4" s="4696"/>
      <c r="I4" s="4696"/>
      <c r="J4" s="4696"/>
      <c r="K4" s="4696"/>
      <c r="L4" s="4696"/>
      <c r="M4" s="4696"/>
      <c r="N4" s="4696"/>
      <c r="O4" s="4696"/>
      <c r="P4" s="4696"/>
      <c r="Q4" s="4697"/>
      <c r="R4" s="183"/>
      <c r="S4" s="4705">
        <v>0.16882114968482453</v>
      </c>
      <c r="T4" s="4706">
        <v>0.17330697516080676</v>
      </c>
      <c r="U4" s="4706">
        <v>0.15923123779989756</v>
      </c>
      <c r="V4" s="4706">
        <v>0.1577044769333398</v>
      </c>
      <c r="W4" s="4706">
        <v>0.16320020638395782</v>
      </c>
      <c r="X4" s="4706">
        <v>0.16260434558732331</v>
      </c>
      <c r="Y4" s="4706">
        <v>0.15653972146478048</v>
      </c>
      <c r="Z4" s="4706">
        <v>0.17085686367097833</v>
      </c>
      <c r="AA4" s="4706">
        <v>0.16599437207404635</v>
      </c>
      <c r="AB4" s="4706">
        <v>0.20161871326304234</v>
      </c>
      <c r="AC4" s="4706">
        <v>0.15831814492043314</v>
      </c>
      <c r="AD4" s="4706">
        <v>0.14664426832312855</v>
      </c>
      <c r="AE4" s="4696"/>
      <c r="AF4" s="4707">
        <v>0.16669281618036819</v>
      </c>
      <c r="AG4" s="183"/>
      <c r="AH4" s="4705">
        <v>0.18488329803393022</v>
      </c>
      <c r="AI4" s="4706">
        <v>0.17089203332778127</v>
      </c>
      <c r="AJ4" s="4706">
        <v>0.17473460641630795</v>
      </c>
      <c r="AK4" s="4706">
        <v>0.17475905507208253</v>
      </c>
      <c r="AL4" s="4706">
        <v>0.17863456152475177</v>
      </c>
      <c r="AM4" s="4706">
        <v>0.1756448499736796</v>
      </c>
      <c r="AN4" s="4706">
        <v>0.19340175488612243</v>
      </c>
      <c r="AO4" s="4706">
        <v>0.17737751947202568</v>
      </c>
      <c r="AP4" s="4706">
        <v>0.22285899368075937</v>
      </c>
      <c r="AQ4" s="4706">
        <v>0.21715622783210814</v>
      </c>
      <c r="AR4" s="4706">
        <v>0.18941351437712284</v>
      </c>
      <c r="AS4" s="4706">
        <v>0.17387185050776774</v>
      </c>
      <c r="AT4" s="4696"/>
      <c r="AU4" s="4707">
        <v>0.18692133720765122</v>
      </c>
      <c r="AV4" s="183"/>
      <c r="AW4" s="4711">
        <v>0.17897745608777835</v>
      </c>
      <c r="AX4" s="4712">
        <v>0.20999719416386084</v>
      </c>
      <c r="AY4" s="4712">
        <v>0.1785549477065933</v>
      </c>
      <c r="AZ4" s="4712">
        <v>0.19039654434832209</v>
      </c>
      <c r="BA4" s="4712">
        <v>0.21477693451896249</v>
      </c>
      <c r="BB4" s="4712">
        <v>0.19176582034078293</v>
      </c>
      <c r="BC4" s="4712">
        <v>0.22232003854992957</v>
      </c>
      <c r="BD4" s="4712">
        <v>0.18306321373173581</v>
      </c>
      <c r="BE4" s="4712">
        <v>0.21396992569845419</v>
      </c>
      <c r="BF4" s="4712">
        <v>0.20438297566176325</v>
      </c>
      <c r="BG4" s="4712">
        <v>0.20112336351400956</v>
      </c>
      <c r="BH4" s="4712">
        <v>0.18560884699720892</v>
      </c>
      <c r="BI4" s="4706">
        <v>0.20015437623621596</v>
      </c>
      <c r="BJ4" s="4713">
        <v>0.20015437623621596</v>
      </c>
      <c r="BK4" s="183"/>
      <c r="BL4" s="4711">
        <v>0.20925616852361406</v>
      </c>
      <c r="BM4" s="4712">
        <v>0.19541691454625545</v>
      </c>
      <c r="BN4" s="4696"/>
      <c r="BO4" s="4696"/>
      <c r="BP4" s="4696"/>
      <c r="BQ4" s="4696"/>
      <c r="BR4" s="4696"/>
      <c r="BS4" s="4696"/>
      <c r="BT4" s="4696"/>
      <c r="BU4" s="4696"/>
      <c r="BV4" s="4696"/>
      <c r="BW4" s="4696"/>
      <c r="BX4" s="4696"/>
      <c r="BY4" s="4697">
        <f t="shared" ref="BY4:BY5" si="0">AVERAGE(BL4:BW4)</f>
        <v>0.20233654153493474</v>
      </c>
      <c r="CA4" s="169"/>
      <c r="CB4" s="169">
        <f>IFERROR(_xlfn.XLOOKUP($A$1,$2:$2,4:4)-_xlfn.XLOOKUP(EDATE($A$1,-12),$2:$2,4:4),"")</f>
        <v>-1.4580279617605385E-2</v>
      </c>
      <c r="CC4" s="169">
        <f t="shared" ref="CC4:CC9" si="1">BJ4-AU4</f>
        <v>1.3233039028564736E-2</v>
      </c>
      <c r="CD4" s="169">
        <f>IFERROR(
  SUM(
    _xlfn.XLOOKUP(DATE(YEAR($A$1),1,1),$2:$2,4:4):
    _xlfn.XLOOKUP($A$1,$2:$2,4:4)
  )
 -SUM(
    _xlfn.XLOOKUP(DATE(YEAR($A$1)-1,1,1),$2:$2,4:4):
    _xlfn.XLOOKUP(EDATE($A$1,-12),$2:$2,4:4)
  ),"")</f>
        <v>1.5698432818230301E-2</v>
      </c>
      <c r="CE4" s="4517">
        <f>IFERROR(
  _xlfn.XLOOKUP($A$1,$B$2:$BY$2,$B4:$BY4)
 -_xlfn.XLOOKUP(EDATE($A$1,-1),$B$2:$BY$2,$B4:$BY4),"")</f>
        <v>-1.3839253977358607E-2</v>
      </c>
    </row>
    <row r="5" spans="1:86" ht="21.55" customHeight="1" thickBot="1" x14ac:dyDescent="0.6">
      <c r="A5" s="4698"/>
      <c r="B5" s="4699" t="s">
        <v>1157</v>
      </c>
      <c r="C5" s="4700"/>
      <c r="D5" s="4701"/>
      <c r="E5" s="4701"/>
      <c r="F5" s="4701"/>
      <c r="G5" s="4701"/>
      <c r="H5" s="4701"/>
      <c r="I5" s="4701"/>
      <c r="J5" s="4701"/>
      <c r="K5" s="4701"/>
      <c r="L5" s="4701"/>
      <c r="M5" s="4701"/>
      <c r="N5" s="4701"/>
      <c r="O5" s="4701"/>
      <c r="P5" s="4701"/>
      <c r="Q5" s="4702"/>
      <c r="R5" s="183"/>
      <c r="S5" s="4708">
        <v>0.16570899362008643</v>
      </c>
      <c r="T5" s="4709">
        <v>0.17469227014702834</v>
      </c>
      <c r="U5" s="4709">
        <v>0.1597648401647995</v>
      </c>
      <c r="V5" s="4709">
        <v>0.16076521855333437</v>
      </c>
      <c r="W5" s="4709">
        <v>0.16220095323574016</v>
      </c>
      <c r="X5" s="4709">
        <v>0.15812166279833409</v>
      </c>
      <c r="Y5" s="4709">
        <v>0.15277165065372619</v>
      </c>
      <c r="Z5" s="4709">
        <v>0.1729273680412341</v>
      </c>
      <c r="AA5" s="4709">
        <v>0.15892675783556531</v>
      </c>
      <c r="AB5" s="4709">
        <v>0.19659195445165462</v>
      </c>
      <c r="AC5" s="4709">
        <v>0.16003247035630419</v>
      </c>
      <c r="AD5" s="4709">
        <v>0.14621785788423874</v>
      </c>
      <c r="AE5" s="4701"/>
      <c r="AF5" s="4710">
        <v>0.16544554196434438</v>
      </c>
      <c r="AG5" s="183"/>
      <c r="AH5" s="4708">
        <v>0.18406825776116859</v>
      </c>
      <c r="AI5" s="4709">
        <v>0.17345447772005712</v>
      </c>
      <c r="AJ5" s="4709">
        <v>0.17719970125061577</v>
      </c>
      <c r="AK5" s="4709">
        <v>0.17649756154429053</v>
      </c>
      <c r="AL5" s="4709">
        <v>0.18180220048993193</v>
      </c>
      <c r="AM5" s="4709">
        <v>0.18022197529476364</v>
      </c>
      <c r="AN5" s="4709">
        <v>0.19375561994205215</v>
      </c>
      <c r="AO5" s="4709">
        <v>0.17448607782389275</v>
      </c>
      <c r="AP5" s="4709">
        <v>0.22428886315760105</v>
      </c>
      <c r="AQ5" s="4709">
        <v>0.2066993983404817</v>
      </c>
      <c r="AR5" s="4709">
        <v>0.18923908412760732</v>
      </c>
      <c r="AS5" s="4709">
        <v>0.1759832234763789</v>
      </c>
      <c r="AT5" s="4701"/>
      <c r="AU5" s="4710">
        <v>0.18718327905201415</v>
      </c>
      <c r="AV5" s="183"/>
      <c r="AW5" s="4714">
        <v>0.1775159312252014</v>
      </c>
      <c r="AX5" s="4715">
        <v>0.21632176455402866</v>
      </c>
      <c r="AY5" s="4715">
        <v>0.18373074258312122</v>
      </c>
      <c r="AZ5" s="4715">
        <v>0.19857157130379571</v>
      </c>
      <c r="BA5" s="4715">
        <v>0.21896995434952621</v>
      </c>
      <c r="BB5" s="4715">
        <v>0.19715196150573</v>
      </c>
      <c r="BC5" s="4715">
        <v>0.22307814738182397</v>
      </c>
      <c r="BD5" s="4715">
        <v>0.18685762877555256</v>
      </c>
      <c r="BE5" s="4715">
        <v>0.21575317413174072</v>
      </c>
      <c r="BF5" s="4715">
        <v>0.1968337386028691</v>
      </c>
      <c r="BG5" s="4715">
        <v>0.19127551840540105</v>
      </c>
      <c r="BH5" s="4715">
        <v>0.18550346797071909</v>
      </c>
      <c r="BI5" s="4709">
        <v>0.20202905339557523</v>
      </c>
      <c r="BJ5" s="4716">
        <v>0.20202905339557523</v>
      </c>
      <c r="BK5" s="183"/>
      <c r="BL5" s="4714">
        <v>0.21017856091179085</v>
      </c>
      <c r="BM5" s="4715">
        <v>0.19517156469139768</v>
      </c>
      <c r="BN5" s="4701"/>
      <c r="BO5" s="4701"/>
      <c r="BP5" s="4701"/>
      <c r="BQ5" s="4701"/>
      <c r="BR5" s="4701"/>
      <c r="BS5" s="4701"/>
      <c r="BT5" s="4701"/>
      <c r="BU5" s="4701"/>
      <c r="BV5" s="4701"/>
      <c r="BW5" s="4701"/>
      <c r="BX5" s="4701"/>
      <c r="BY5" s="4702">
        <f t="shared" si="0"/>
        <v>0.20267506280159425</v>
      </c>
      <c r="CA5" s="169"/>
      <c r="CB5" s="169">
        <f>IFERROR(_xlfn.XLOOKUP($A$1,$2:$2,5:5)-_xlfn.XLOOKUP(EDATE($A$1,-12),$2:$2,5:5),"")</f>
        <v>-2.1150199862630975E-2</v>
      </c>
      <c r="CC5" s="169">
        <f t="shared" si="1"/>
        <v>1.4845774343561075E-2</v>
      </c>
      <c r="CD5" s="169">
        <f>IFERROR(
  SUM(
    _xlfn.XLOOKUP(DATE(YEAR($A$1),1,1),$2:$2,5:5):
    _xlfn.XLOOKUP($A$1,$2:$2,5:5)
  )
 -SUM(
    _xlfn.XLOOKUP(DATE(YEAR($A$1)-1,1,1),$2:$2,5:5):
    _xlfn.XLOOKUP(EDATE($A$1,-12),$2:$2,5:5)
  ),"")</f>
        <v>1.1512429823958448E-2</v>
      </c>
      <c r="CE5" s="4517">
        <f>IFERROR(
  _xlfn.XLOOKUP($A$1,$B$2:$BY$2,$B5:$BY5)
 -_xlfn.XLOOKUP(EDATE($A$1,-1),$B$2:$BY$2,$B5:$BY5),"")</f>
        <v>-1.5006996220393171E-2</v>
      </c>
    </row>
    <row r="6" spans="1:86" s="330" customFormat="1" ht="14.25" customHeight="1" thickBot="1" x14ac:dyDescent="0.6">
      <c r="A6" s="4683"/>
      <c r="B6" s="4683"/>
      <c r="C6" s="4683"/>
      <c r="D6" s="4683"/>
      <c r="E6" s="4683"/>
      <c r="F6" s="4683"/>
      <c r="G6" s="4683"/>
      <c r="H6" s="4683"/>
      <c r="I6" s="4683"/>
      <c r="J6" s="4683"/>
      <c r="K6" s="4683"/>
      <c r="L6" s="4683"/>
      <c r="M6" s="4683"/>
      <c r="N6" s="4683"/>
      <c r="O6" s="4683"/>
      <c r="P6" s="4683"/>
      <c r="Q6" s="4683"/>
      <c r="R6" s="4683"/>
      <c r="S6" s="4683"/>
      <c r="T6" s="4683"/>
      <c r="U6" s="4683"/>
      <c r="V6" s="4683"/>
      <c r="W6" s="4683"/>
      <c r="X6" s="4683"/>
      <c r="Y6" s="4683"/>
      <c r="Z6" s="4683"/>
      <c r="AA6" s="4683"/>
      <c r="AB6" s="4683"/>
      <c r="AC6" s="4683"/>
      <c r="AD6" s="4683"/>
      <c r="AE6" s="4683"/>
      <c r="AF6" s="4683"/>
      <c r="AG6" s="4683"/>
      <c r="AH6" s="4683"/>
      <c r="AI6" s="4683"/>
      <c r="AJ6" s="4683"/>
      <c r="AK6" s="4683"/>
      <c r="AL6" s="4683"/>
      <c r="AM6" s="4683"/>
      <c r="AN6" s="4683"/>
      <c r="AO6" s="4683"/>
      <c r="AP6" s="4683"/>
      <c r="AQ6" s="4683"/>
      <c r="AR6" s="4683"/>
      <c r="AS6" s="4683"/>
      <c r="AT6" s="4683"/>
      <c r="AU6" s="4683"/>
      <c r="AV6" s="4683"/>
      <c r="AW6" s="4683"/>
      <c r="AX6" s="4683"/>
      <c r="AY6" s="4683"/>
      <c r="AZ6" s="4683"/>
      <c r="BA6" s="4683"/>
      <c r="BB6" s="4683"/>
      <c r="BC6" s="4683"/>
      <c r="BD6" s="4683"/>
      <c r="BE6" s="4683"/>
      <c r="BF6" s="4683"/>
      <c r="BG6" s="4683"/>
      <c r="BH6" s="4683"/>
      <c r="BI6" s="4683"/>
      <c r="BJ6" s="4683"/>
      <c r="BK6" s="4683"/>
      <c r="BL6" s="4683"/>
      <c r="BM6" s="4683"/>
      <c r="BN6" s="4683"/>
      <c r="BO6" s="4683"/>
      <c r="BP6" s="4683"/>
      <c r="BQ6" s="4683"/>
      <c r="BR6" s="4683"/>
      <c r="BS6" s="4683"/>
      <c r="BT6" s="4683"/>
      <c r="BU6" s="4683"/>
      <c r="BV6" s="4683"/>
      <c r="BW6" s="4683"/>
      <c r="BX6" s="4683"/>
      <c r="BY6" s="4683"/>
      <c r="BZ6" s="4683"/>
      <c r="CA6" s="526"/>
      <c r="CB6" s="169">
        <f>IFERROR(_xlfn.XLOOKUP($A$1,$2:$2,6:6)-_xlfn.XLOOKUP(EDATE($A$1,-12),$2:$2,6:6),"")</f>
        <v>0</v>
      </c>
      <c r="CC6" s="169">
        <f t="shared" si="1"/>
        <v>0</v>
      </c>
      <c r="CD6" s="169">
        <f>IFERROR(
  SUM(
    _xlfn.XLOOKUP(DATE(YEAR($A$1),1,1),$2:$2,6:6):
    _xlfn.XLOOKUP($A$1,$2:$2,6:6)
  )
 -SUM(
    _xlfn.XLOOKUP(DATE(YEAR($A$1)-1,1,1),$2:$2,6:6):
    _xlfn.XLOOKUP(EDATE($A$1,-12),$2:$2,6:6)
  ),"")</f>
        <v>0</v>
      </c>
      <c r="CE6" s="4517">
        <f>IFERROR(
  _xlfn.XLOOKUP($A$1,$B$2:$BY$2,$B6:$BY6)
 -_xlfn.XLOOKUP(EDATE($A$1,-1),$B$2:$BY$2,$B6:$BY6),"")</f>
        <v>0</v>
      </c>
    </row>
    <row r="7" spans="1:86" s="3" customFormat="1" ht="21.55" customHeight="1" x14ac:dyDescent="0.55000000000000004">
      <c r="A7" s="5581" t="s">
        <v>1170</v>
      </c>
      <c r="B7" s="5582" t="s">
        <v>82</v>
      </c>
      <c r="C7" s="5583"/>
      <c r="D7" s="5584"/>
      <c r="E7" s="5584"/>
      <c r="F7" s="5584"/>
      <c r="G7" s="5584"/>
      <c r="H7" s="5584"/>
      <c r="I7" s="5584"/>
      <c r="J7" s="5584"/>
      <c r="K7" s="5584"/>
      <c r="L7" s="5584"/>
      <c r="M7" s="5584"/>
      <c r="N7" s="5584"/>
      <c r="O7" s="5584"/>
      <c r="P7" s="5584"/>
      <c r="Q7" s="5585"/>
      <c r="R7" s="4691"/>
      <c r="S7" s="5591"/>
      <c r="T7" s="5584"/>
      <c r="U7" s="5584"/>
      <c r="V7" s="5584"/>
      <c r="W7" s="5584"/>
      <c r="X7" s="5584"/>
      <c r="Y7" s="5584"/>
      <c r="Z7" s="5584"/>
      <c r="AA7" s="5584"/>
      <c r="AB7" s="5584"/>
      <c r="AC7" s="5584"/>
      <c r="AD7" s="5584"/>
      <c r="AE7" s="5584"/>
      <c r="AF7" s="5585"/>
      <c r="AG7" s="4691"/>
      <c r="AH7" s="5591"/>
      <c r="AI7" s="5584"/>
      <c r="AJ7" s="5584"/>
      <c r="AK7" s="5584"/>
      <c r="AL7" s="5584"/>
      <c r="AM7" s="5584"/>
      <c r="AN7" s="5584"/>
      <c r="AO7" s="5584"/>
      <c r="AP7" s="5584"/>
      <c r="AQ7" s="5593"/>
      <c r="AR7" s="5584"/>
      <c r="AS7" s="5584"/>
      <c r="AT7" s="5584"/>
      <c r="AU7" s="5585"/>
      <c r="AV7" s="4691"/>
      <c r="AW7" s="6213">
        <v>1496</v>
      </c>
      <c r="AX7" s="6217">
        <v>6034</v>
      </c>
      <c r="AY7" s="6218">
        <v>2632</v>
      </c>
      <c r="AZ7" s="6217">
        <v>16492</v>
      </c>
      <c r="BA7" s="6218">
        <v>52626</v>
      </c>
      <c r="BB7" s="6218">
        <v>14893</v>
      </c>
      <c r="BC7" s="6217">
        <v>20511</v>
      </c>
      <c r="BD7" s="6217">
        <v>1793</v>
      </c>
      <c r="BE7" s="6217">
        <v>2435</v>
      </c>
      <c r="BF7" s="6218">
        <v>2317</v>
      </c>
      <c r="BG7" s="6217">
        <v>1478</v>
      </c>
      <c r="BH7" s="6217">
        <v>757</v>
      </c>
      <c r="BI7" s="6217">
        <v>123464</v>
      </c>
      <c r="BJ7" s="5585">
        <f t="shared" ref="BJ7:BJ8" si="2">AVERAGE(AW7:BH7)</f>
        <v>10288.666666666666</v>
      </c>
      <c r="BK7" s="4691"/>
      <c r="BL7" s="6213">
        <v>4001</v>
      </c>
      <c r="BM7" s="5593">
        <v>4625</v>
      </c>
      <c r="BN7" s="5593"/>
      <c r="BO7" s="5584"/>
      <c r="BP7" s="5593"/>
      <c r="BQ7" s="5593"/>
      <c r="BR7" s="5584"/>
      <c r="BS7" s="5584"/>
      <c r="BT7" s="5584"/>
      <c r="BU7" s="5593"/>
      <c r="BV7" s="5584"/>
      <c r="BW7" s="5584"/>
      <c r="BX7" s="5584"/>
      <c r="BY7" s="5585">
        <f t="shared" ref="BY7:BY8" si="3">AVERAGE(BL7:BW7)</f>
        <v>4313</v>
      </c>
      <c r="CB7" s="169">
        <f>IFERROR(_xlfn.XLOOKUP($A$1,$2:$2,7:7)-_xlfn.XLOOKUP(EDATE($A$1,-12),$2:$2,7:7),"")</f>
        <v>-1409</v>
      </c>
      <c r="CC7" s="169">
        <f t="shared" si="1"/>
        <v>10288.666666666666</v>
      </c>
      <c r="CD7" s="169">
        <f>IFERROR(
  SUM(
    _xlfn.XLOOKUP(DATE(YEAR($A$1),1,1),$2:$2,7:7):
    _xlfn.XLOOKUP($A$1,$2:$2,7:7)
  )
 -SUM(
    _xlfn.XLOOKUP(DATE(YEAR($A$1)-1,1,1),$2:$2,7:7):
    _xlfn.XLOOKUP(EDATE($A$1,-12),$2:$2,7:7)
  ),"")</f>
        <v>1096</v>
      </c>
      <c r="CE7" s="4517">
        <f>IFERROR(
  _xlfn.XLOOKUP($A$1,$B$2:$BY$2,$B7:$BY7)
 -_xlfn.XLOOKUP(EDATE($A$1,-1),$B$2:$BY$2,$B7:$BY7),"")</f>
        <v>624</v>
      </c>
    </row>
    <row r="8" spans="1:86" s="3" customFormat="1" ht="21.55" customHeight="1" thickBot="1" x14ac:dyDescent="0.6">
      <c r="A8" s="5586" t="s">
        <v>1171</v>
      </c>
      <c r="B8" s="5587" t="s">
        <v>82</v>
      </c>
      <c r="C8" s="5588"/>
      <c r="D8" s="5589"/>
      <c r="E8" s="5589"/>
      <c r="F8" s="5589"/>
      <c r="G8" s="5589"/>
      <c r="H8" s="5589"/>
      <c r="I8" s="5589"/>
      <c r="J8" s="5589"/>
      <c r="K8" s="5589"/>
      <c r="L8" s="5589"/>
      <c r="M8" s="5589"/>
      <c r="N8" s="5589"/>
      <c r="O8" s="5589"/>
      <c r="P8" s="5589"/>
      <c r="Q8" s="5590"/>
      <c r="R8" s="4691"/>
      <c r="S8" s="5592"/>
      <c r="T8" s="5589"/>
      <c r="U8" s="5589"/>
      <c r="V8" s="5589"/>
      <c r="W8" s="5589"/>
      <c r="X8" s="5589"/>
      <c r="Y8" s="5589"/>
      <c r="Z8" s="5589"/>
      <c r="AA8" s="5589"/>
      <c r="AB8" s="5589"/>
      <c r="AC8" s="5589"/>
      <c r="AD8" s="5589"/>
      <c r="AE8" s="5589"/>
      <c r="AF8" s="5590"/>
      <c r="AG8" s="4691"/>
      <c r="AH8" s="5592"/>
      <c r="AI8" s="5589"/>
      <c r="AJ8" s="5589"/>
      <c r="AK8" s="5589"/>
      <c r="AL8" s="5589"/>
      <c r="AM8" s="5589"/>
      <c r="AN8" s="5589"/>
      <c r="AO8" s="5589"/>
      <c r="AP8" s="5589"/>
      <c r="AQ8" s="5594"/>
      <c r="AR8" s="5589"/>
      <c r="AS8" s="5589"/>
      <c r="AT8" s="5589"/>
      <c r="AU8" s="5590"/>
      <c r="AV8" s="4691"/>
      <c r="AW8" s="6214">
        <v>14589</v>
      </c>
      <c r="AX8" s="6219">
        <v>17940</v>
      </c>
      <c r="AY8" s="6220">
        <v>16165</v>
      </c>
      <c r="AZ8" s="6219">
        <v>15881</v>
      </c>
      <c r="BA8" s="6220">
        <v>13698</v>
      </c>
      <c r="BB8" s="6220">
        <v>17181</v>
      </c>
      <c r="BC8" s="6219">
        <v>24621</v>
      </c>
      <c r="BD8" s="6219">
        <v>18251</v>
      </c>
      <c r="BE8" s="6219">
        <v>19066</v>
      </c>
      <c r="BF8" s="6220">
        <v>16251</v>
      </c>
      <c r="BG8" s="6219">
        <v>15871</v>
      </c>
      <c r="BH8" s="6219">
        <v>18509</v>
      </c>
      <c r="BI8" s="6219">
        <v>208023</v>
      </c>
      <c r="BJ8" s="5590">
        <f t="shared" si="2"/>
        <v>17335.25</v>
      </c>
      <c r="BK8" s="4691"/>
      <c r="BL8" s="6214">
        <v>9400</v>
      </c>
      <c r="BM8" s="5594">
        <v>13948</v>
      </c>
      <c r="BN8" s="5594"/>
      <c r="BO8" s="5589"/>
      <c r="BP8" s="5594"/>
      <c r="BQ8" s="5594"/>
      <c r="BR8" s="5589"/>
      <c r="BS8" s="5589"/>
      <c r="BT8" s="5589"/>
      <c r="BU8" s="5594"/>
      <c r="BV8" s="5589"/>
      <c r="BW8" s="5589"/>
      <c r="BX8" s="5589"/>
      <c r="BY8" s="5590">
        <f t="shared" si="3"/>
        <v>11674</v>
      </c>
      <c r="CB8" s="169">
        <f>IFERROR(_xlfn.XLOOKUP($A$1,$2:$2,8:8)-_xlfn.XLOOKUP(EDATE($A$1,-12),$2:$2,8:8),"")</f>
        <v>-3992</v>
      </c>
      <c r="CC8" s="169">
        <f t="shared" si="1"/>
        <v>17335.25</v>
      </c>
      <c r="CD8" s="169">
        <f>IFERROR(
  SUM(
    _xlfn.XLOOKUP(DATE(YEAR($A$1),1,1),$2:$2,8:8):
    _xlfn.XLOOKUP($A$1,$2:$2,8:8)
  )
 -SUM(
    _xlfn.XLOOKUP(DATE(YEAR($A$1)-1,1,1),$2:$2,8:8):
    _xlfn.XLOOKUP(EDATE($A$1,-12),$2:$2,8:8)
  ),"")</f>
        <v>-9181</v>
      </c>
      <c r="CE8" s="4517">
        <f>IFERROR(
  _xlfn.XLOOKUP($A$1,$B$2:$BY$2,$B8:$BY8)
 -_xlfn.XLOOKUP(EDATE($A$1,-1),$B$2:$BY$2,$B8:$BY8),"")</f>
        <v>4548</v>
      </c>
    </row>
    <row r="9" spans="1:86" s="330" customFormat="1" ht="14.25" customHeight="1" thickBot="1" x14ac:dyDescent="0.6">
      <c r="A9" s="4683"/>
      <c r="B9" s="4683"/>
      <c r="C9" s="4683"/>
      <c r="D9" s="4683"/>
      <c r="E9" s="4683"/>
      <c r="F9" s="4683"/>
      <c r="G9" s="4683"/>
      <c r="H9" s="4683"/>
      <c r="I9" s="4683"/>
      <c r="J9" s="4683"/>
      <c r="K9" s="4683"/>
      <c r="L9" s="4683"/>
      <c r="M9" s="4683"/>
      <c r="N9" s="4683"/>
      <c r="O9" s="4683"/>
      <c r="P9" s="4683"/>
      <c r="Q9" s="4683"/>
      <c r="R9" s="4683"/>
      <c r="S9" s="4683"/>
      <c r="T9" s="4683"/>
      <c r="U9" s="4683"/>
      <c r="V9" s="4683"/>
      <c r="W9" s="4683"/>
      <c r="X9" s="4683"/>
      <c r="Y9" s="4683"/>
      <c r="Z9" s="4683"/>
      <c r="AA9" s="4683"/>
      <c r="AB9" s="4683"/>
      <c r="AC9" s="4683"/>
      <c r="AD9" s="4683"/>
      <c r="AE9" s="4683"/>
      <c r="AF9" s="4683"/>
      <c r="AG9" s="4683"/>
      <c r="AH9" s="4683"/>
      <c r="AI9" s="4683"/>
      <c r="AJ9" s="4683"/>
      <c r="AK9" s="4683"/>
      <c r="AL9" s="4683"/>
      <c r="AM9" s="4683"/>
      <c r="AN9" s="4683"/>
      <c r="AO9" s="4683"/>
      <c r="AP9" s="4683"/>
      <c r="AQ9" s="4683"/>
      <c r="AR9" s="4683"/>
      <c r="AS9" s="4683"/>
      <c r="AT9" s="4683"/>
      <c r="AU9" s="4683"/>
      <c r="AV9" s="4683"/>
      <c r="AW9" s="4683"/>
      <c r="AX9" s="4683"/>
      <c r="AY9" s="4683"/>
      <c r="AZ9" s="4683"/>
      <c r="BA9" s="4683"/>
      <c r="BB9" s="4683"/>
      <c r="BC9" s="4683"/>
      <c r="BD9" s="4683"/>
      <c r="BE9" s="4683"/>
      <c r="BF9" s="4683"/>
      <c r="BG9" s="4683"/>
      <c r="BH9" s="4683"/>
      <c r="BI9" s="4683"/>
      <c r="BJ9" s="4683"/>
      <c r="BK9" s="4683"/>
      <c r="BL9" s="4683"/>
      <c r="BM9" s="4683"/>
      <c r="BN9" s="4683"/>
      <c r="BO9" s="4683"/>
      <c r="BP9" s="4683"/>
      <c r="BQ9" s="4683"/>
      <c r="BR9" s="4683"/>
      <c r="BS9" s="4683"/>
      <c r="BT9" s="4683"/>
      <c r="BU9" s="4683"/>
      <c r="BV9" s="4683"/>
      <c r="BW9" s="4683"/>
      <c r="BX9" s="4683"/>
      <c r="BY9" s="4683"/>
      <c r="BZ9" s="4683"/>
      <c r="CA9" s="526"/>
      <c r="CB9" s="169">
        <f>IFERROR(_xlfn.XLOOKUP($A$1,$2:$2,9:9)-_xlfn.XLOOKUP(EDATE($A$1,-12),$2:$2,9:9),"")</f>
        <v>0</v>
      </c>
      <c r="CC9" s="169">
        <f t="shared" si="1"/>
        <v>0</v>
      </c>
      <c r="CD9" s="169">
        <f>IFERROR(
  SUM(
    _xlfn.XLOOKUP(DATE(YEAR($A$1),1,1),$2:$2,9:9):
    _xlfn.XLOOKUP($A$1,$2:$2,9:9)
  )
 -SUM(
    _xlfn.XLOOKUP(DATE(YEAR($A$1)-1,1,1),$2:$2,9:9):
    _xlfn.XLOOKUP(EDATE($A$1,-12),$2:$2,9:9)
  ),"")</f>
        <v>0</v>
      </c>
      <c r="CE9" s="4517">
        <f>IFERROR(
  _xlfn.XLOOKUP($A$1,$B$2:$BY$2,$B9:$BY9)
 -_xlfn.XLOOKUP(EDATE($A$1,-1),$B$2:$BY$2,$B9:$BY9),"")</f>
        <v>0</v>
      </c>
    </row>
    <row r="10" spans="1:86" ht="17.05" customHeight="1" x14ac:dyDescent="0.55000000000000004">
      <c r="A10" s="7209" t="s">
        <v>383</v>
      </c>
      <c r="B10" s="7219" t="s">
        <v>398</v>
      </c>
      <c r="C10" s="71"/>
      <c r="D10" s="122">
        <f t="shared" ref="D10:O10" si="4">SUM(D11:D12)</f>
        <v>50955</v>
      </c>
      <c r="E10" s="123">
        <f t="shared" si="4"/>
        <v>60715</v>
      </c>
      <c r="F10" s="123">
        <f t="shared" si="4"/>
        <v>55334</v>
      </c>
      <c r="G10" s="123">
        <f t="shared" si="4"/>
        <v>55246</v>
      </c>
      <c r="H10" s="123">
        <f t="shared" si="4"/>
        <v>57823</v>
      </c>
      <c r="I10" s="123">
        <f t="shared" si="4"/>
        <v>55801</v>
      </c>
      <c r="J10" s="123">
        <f t="shared" si="4"/>
        <v>49956</v>
      </c>
      <c r="K10" s="123">
        <f t="shared" si="4"/>
        <v>64094</v>
      </c>
      <c r="L10" s="123">
        <f t="shared" si="4"/>
        <v>47731</v>
      </c>
      <c r="M10" s="123">
        <f t="shared" si="4"/>
        <v>71376</v>
      </c>
      <c r="N10" s="123">
        <f t="shared" si="4"/>
        <v>49014</v>
      </c>
      <c r="O10" s="123">
        <f t="shared" si="4"/>
        <v>39837</v>
      </c>
      <c r="P10" s="123">
        <f>SUM(D10:O10)</f>
        <v>657882</v>
      </c>
      <c r="Q10" s="124">
        <f>P10/12</f>
        <v>54823.5</v>
      </c>
      <c r="R10" s="183"/>
      <c r="S10" s="122">
        <f t="shared" ref="S10:AD10" si="5">SUM(S11:S12)</f>
        <v>44833</v>
      </c>
      <c r="T10" s="123">
        <f t="shared" si="5"/>
        <v>58018</v>
      </c>
      <c r="U10" s="123">
        <f t="shared" si="5"/>
        <v>45975</v>
      </c>
      <c r="V10" s="123">
        <f t="shared" si="5"/>
        <v>42289</v>
      </c>
      <c r="W10" s="123">
        <f t="shared" si="5"/>
        <v>46787</v>
      </c>
      <c r="X10" s="123">
        <f t="shared" si="5"/>
        <v>43236</v>
      </c>
      <c r="Y10" s="123">
        <f t="shared" si="5"/>
        <v>42744</v>
      </c>
      <c r="Z10" s="123">
        <f t="shared" si="5"/>
        <v>62567</v>
      </c>
      <c r="AA10" s="123">
        <f t="shared" si="5"/>
        <v>39419</v>
      </c>
      <c r="AB10" s="123">
        <f t="shared" si="5"/>
        <v>70467</v>
      </c>
      <c r="AC10" s="123">
        <f t="shared" si="5"/>
        <v>41324</v>
      </c>
      <c r="AD10" s="123">
        <f t="shared" si="5"/>
        <v>34632</v>
      </c>
      <c r="AE10" s="123">
        <f>SUM(S10:AD10)</f>
        <v>572291</v>
      </c>
      <c r="AF10" s="124">
        <f>AE10/12</f>
        <v>47690.916666666664</v>
      </c>
      <c r="AG10" s="183"/>
      <c r="AH10" s="122">
        <v>60465</v>
      </c>
      <c r="AI10" s="123">
        <v>44118</v>
      </c>
      <c r="AJ10" s="123">
        <v>46236</v>
      </c>
      <c r="AK10" s="123">
        <v>47834</v>
      </c>
      <c r="AL10" s="123">
        <v>49112</v>
      </c>
      <c r="AM10" s="123">
        <v>44044</v>
      </c>
      <c r="AN10" s="123">
        <v>61054.999999999993</v>
      </c>
      <c r="AO10" s="123">
        <v>47733</v>
      </c>
      <c r="AP10" s="123">
        <v>67427</v>
      </c>
      <c r="AQ10" s="123">
        <v>61531</v>
      </c>
      <c r="AR10" s="123">
        <v>48015</v>
      </c>
      <c r="AS10" s="123">
        <v>41108</v>
      </c>
      <c r="AT10" s="123">
        <f>SUM(AH10:AS10)</f>
        <v>618678</v>
      </c>
      <c r="AU10" s="124">
        <f>AT10/12</f>
        <v>51556.5</v>
      </c>
      <c r="AV10" s="183"/>
      <c r="AW10" s="476">
        <v>38822</v>
      </c>
      <c r="AX10" s="123">
        <v>74843</v>
      </c>
      <c r="AY10" s="123">
        <v>50688</v>
      </c>
      <c r="AZ10" s="123">
        <v>64086</v>
      </c>
      <c r="BA10" s="123">
        <v>98908</v>
      </c>
      <c r="BB10" s="123">
        <v>63565</v>
      </c>
      <c r="BC10" s="123">
        <v>95964</v>
      </c>
      <c r="BD10" s="123">
        <v>57357</v>
      </c>
      <c r="BE10" s="123">
        <v>76227</v>
      </c>
      <c r="BF10" s="123">
        <v>62495</v>
      </c>
      <c r="BG10" s="123">
        <v>52601</v>
      </c>
      <c r="BH10" s="123">
        <v>52735</v>
      </c>
      <c r="BI10" s="123">
        <f t="shared" ref="BI10:BI23" si="6">SUM(AW10:BH10)</f>
        <v>788291</v>
      </c>
      <c r="BJ10" s="124">
        <f>AVERAGE(AW10:BH10)</f>
        <v>65690.916666666672</v>
      </c>
      <c r="BK10" s="183"/>
      <c r="BL10" s="476">
        <v>78863</v>
      </c>
      <c r="BM10" s="123">
        <v>43031</v>
      </c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>
        <f t="shared" ref="BX10:BX23" si="7">SUM(BL10:BW10)</f>
        <v>121894</v>
      </c>
      <c r="BY10" s="124">
        <f>AVERAGE(BL10:BW10)</f>
        <v>60947</v>
      </c>
      <c r="CA10" s="169">
        <f>ROW()</f>
        <v>10</v>
      </c>
      <c r="CB10" s="169">
        <f>IFERROR(_xlfn.XLOOKUP($A$1,$2:$2,10:10)-_xlfn.XLOOKUP(EDATE($A$1,-12),$2:$2,10:10),"")</f>
        <v>-31812</v>
      </c>
      <c r="CC10" s="169">
        <f>BJ10-AU10</f>
        <v>14134.416666666672</v>
      </c>
      <c r="CD10" s="169">
        <f>IFERROR(
  SUM(
    _xlfn.XLOOKUP(DATE(YEAR($A$1),1,1),$2:$2,10:10):
    _xlfn.XLOOKUP($A$1,$2:$2,10:10)
  )
 -SUM(
    _xlfn.XLOOKUP(DATE(YEAR($A$1)-1,1,1),$2:$2,10:10):
    _xlfn.XLOOKUP(EDATE($A$1,-12),$2:$2,10:10)
  ),"")</f>
        <v>8229</v>
      </c>
      <c r="CE10" s="4517">
        <f>IFERROR(
  _xlfn.XLOOKUP($A$1,$B$2:$BY$2,$B10:$BY10)
 -_xlfn.XLOOKUP(EDATE($A$1,-1),$B$2:$BY$2,$B10:$BY10),"")</f>
        <v>-35832</v>
      </c>
    </row>
    <row r="11" spans="1:86" ht="17.05" customHeight="1" x14ac:dyDescent="0.55000000000000004">
      <c r="A11" s="7210"/>
      <c r="B11" s="7220"/>
      <c r="C11" s="78" t="s">
        <v>46</v>
      </c>
      <c r="D11" s="125">
        <v>19297</v>
      </c>
      <c r="E11" s="126">
        <v>19144</v>
      </c>
      <c r="F11" s="126">
        <v>20698</v>
      </c>
      <c r="G11" s="126">
        <v>17541</v>
      </c>
      <c r="H11" s="126">
        <v>19365</v>
      </c>
      <c r="I11" s="126">
        <v>17053</v>
      </c>
      <c r="J11" s="126">
        <v>16148</v>
      </c>
      <c r="K11" s="126">
        <v>16035</v>
      </c>
      <c r="L11" s="126">
        <v>18739</v>
      </c>
      <c r="M11" s="126">
        <v>21559</v>
      </c>
      <c r="N11" s="126">
        <v>17952</v>
      </c>
      <c r="O11" s="126">
        <v>14762</v>
      </c>
      <c r="P11" s="126">
        <f t="shared" ref="P11:P18" si="8">SUM(D11:O11)</f>
        <v>218293</v>
      </c>
      <c r="Q11" s="127">
        <f t="shared" ref="Q11:Q18" si="9">P11/12</f>
        <v>18191.083333333332</v>
      </c>
      <c r="R11" s="183"/>
      <c r="S11" s="125">
        <v>16090</v>
      </c>
      <c r="T11" s="126">
        <v>17248</v>
      </c>
      <c r="U11" s="126">
        <v>16498</v>
      </c>
      <c r="V11" s="126">
        <v>13932</v>
      </c>
      <c r="W11" s="126">
        <v>16998</v>
      </c>
      <c r="X11" s="126">
        <v>15967</v>
      </c>
      <c r="Y11" s="126">
        <v>16709</v>
      </c>
      <c r="Z11" s="126">
        <v>18212</v>
      </c>
      <c r="AA11" s="126">
        <v>15262</v>
      </c>
      <c r="AB11" s="126">
        <v>17402</v>
      </c>
      <c r="AC11" s="126">
        <v>14939</v>
      </c>
      <c r="AD11" s="126">
        <v>13084</v>
      </c>
      <c r="AE11" s="126">
        <f t="shared" ref="AE11:AE18" si="10">SUM(S11:AD11)</f>
        <v>192341</v>
      </c>
      <c r="AF11" s="127">
        <f t="shared" ref="AF11:AF18" si="11">AE11/12</f>
        <v>16028.416666666666</v>
      </c>
      <c r="AG11" s="183"/>
      <c r="AH11" s="125">
        <v>17937</v>
      </c>
      <c r="AI11" s="126">
        <v>17924</v>
      </c>
      <c r="AJ11" s="126">
        <v>20514</v>
      </c>
      <c r="AK11" s="126">
        <v>19648</v>
      </c>
      <c r="AL11" s="126">
        <v>22911</v>
      </c>
      <c r="AM11" s="126">
        <v>21090</v>
      </c>
      <c r="AN11" s="126">
        <v>21102</v>
      </c>
      <c r="AO11" s="126">
        <v>19573</v>
      </c>
      <c r="AP11" s="126">
        <v>19020</v>
      </c>
      <c r="AQ11" s="126">
        <v>19996</v>
      </c>
      <c r="AR11" s="126">
        <v>19531</v>
      </c>
      <c r="AS11" s="126">
        <v>17904</v>
      </c>
      <c r="AT11" s="126">
        <f>SUM(AH11:AS11)</f>
        <v>237150</v>
      </c>
      <c r="AU11" s="127">
        <f t="shared" ref="AU11:AU64" si="12">AT11/12</f>
        <v>19762.5</v>
      </c>
      <c r="AV11" s="183"/>
      <c r="AW11" s="477">
        <v>17134</v>
      </c>
      <c r="AX11" s="126">
        <v>24904</v>
      </c>
      <c r="AY11" s="126">
        <v>21688</v>
      </c>
      <c r="AZ11" s="126">
        <v>34019</v>
      </c>
      <c r="BA11" s="126">
        <v>68004</v>
      </c>
      <c r="BB11" s="126">
        <v>33265</v>
      </c>
      <c r="BC11" s="126">
        <v>49067</v>
      </c>
      <c r="BD11" s="126">
        <v>20949</v>
      </c>
      <c r="BE11" s="126">
        <v>23060</v>
      </c>
      <c r="BF11" s="126">
        <v>19985</v>
      </c>
      <c r="BG11" s="126">
        <v>21481</v>
      </c>
      <c r="BH11" s="126">
        <v>21980</v>
      </c>
      <c r="BI11" s="126">
        <f t="shared" si="6"/>
        <v>355536</v>
      </c>
      <c r="BJ11" s="127">
        <f t="shared" ref="BJ11:BJ75" si="13">AVERAGE(AW11:BH11)</f>
        <v>29628</v>
      </c>
      <c r="BK11" s="183"/>
      <c r="BL11" s="477">
        <v>32219</v>
      </c>
      <c r="BM11" s="126">
        <v>19335</v>
      </c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>
        <f t="shared" si="7"/>
        <v>51554</v>
      </c>
      <c r="BY11" s="127">
        <f t="shared" ref="BY11:BY50" si="14">AVERAGE(BL11:BW11)</f>
        <v>25777</v>
      </c>
      <c r="CA11" s="169">
        <f>ROW()</f>
        <v>11</v>
      </c>
      <c r="CB11" s="169">
        <f>IFERROR(_xlfn.XLOOKUP($A$1,$2:$2,11:11)-_xlfn.XLOOKUP(EDATE($A$1,-12),$2:$2,11:11),"")</f>
        <v>-5569</v>
      </c>
      <c r="CC11" s="169">
        <f t="shared" ref="CC11:CC64" si="15">BJ11-AU11</f>
        <v>9865.5</v>
      </c>
      <c r="CD11" s="169">
        <f>IFERROR(
  SUM(
    _xlfn.XLOOKUP(DATE(YEAR($A$1),1,1),$2:$2,11:11):
    _xlfn.XLOOKUP($A$1,$2:$2,11:11)
  )
 -SUM(
    _xlfn.XLOOKUP(DATE(YEAR($A$1)-1,1,1),$2:$2,11:11):
    _xlfn.XLOOKUP(EDATE($A$1,-12),$2:$2,11:11)
  ),"")</f>
        <v>9516</v>
      </c>
      <c r="CE11" s="4517">
        <f>IFERROR(
  _xlfn.XLOOKUP($A$1,$B$2:$BY$2,$B11:$BY11)
 -_xlfn.XLOOKUP(EDATE($A$1,-1),$B$2:$BY$2,$B11:$BY11),"")</f>
        <v>-12884</v>
      </c>
    </row>
    <row r="12" spans="1:86" ht="17.05" customHeight="1" x14ac:dyDescent="0.55000000000000004">
      <c r="A12" s="7210"/>
      <c r="B12" s="7221"/>
      <c r="C12" s="79" t="s">
        <v>55</v>
      </c>
      <c r="D12" s="125">
        <v>31658</v>
      </c>
      <c r="E12" s="126">
        <v>41571</v>
      </c>
      <c r="F12" s="126">
        <v>34636</v>
      </c>
      <c r="G12" s="126">
        <v>37705</v>
      </c>
      <c r="H12" s="126">
        <v>38458</v>
      </c>
      <c r="I12" s="126">
        <v>38748</v>
      </c>
      <c r="J12" s="126">
        <v>33808</v>
      </c>
      <c r="K12" s="126">
        <v>48059</v>
      </c>
      <c r="L12" s="126">
        <v>28992</v>
      </c>
      <c r="M12" s="126">
        <v>49817</v>
      </c>
      <c r="N12" s="126">
        <v>31062</v>
      </c>
      <c r="O12" s="126">
        <v>25075</v>
      </c>
      <c r="P12" s="126">
        <f t="shared" si="8"/>
        <v>439589</v>
      </c>
      <c r="Q12" s="127">
        <f t="shared" si="9"/>
        <v>36632.416666666664</v>
      </c>
      <c r="R12" s="183"/>
      <c r="S12" s="125">
        <v>28743</v>
      </c>
      <c r="T12" s="126">
        <v>40770</v>
      </c>
      <c r="U12" s="126">
        <v>29477</v>
      </c>
      <c r="V12" s="126">
        <v>28357</v>
      </c>
      <c r="W12" s="126">
        <v>29789</v>
      </c>
      <c r="X12" s="126">
        <v>27269</v>
      </c>
      <c r="Y12" s="126">
        <v>26035</v>
      </c>
      <c r="Z12" s="126">
        <v>44355</v>
      </c>
      <c r="AA12" s="126">
        <v>24157</v>
      </c>
      <c r="AB12" s="126">
        <v>53065</v>
      </c>
      <c r="AC12" s="126">
        <v>26385</v>
      </c>
      <c r="AD12" s="126">
        <v>21548</v>
      </c>
      <c r="AE12" s="126">
        <f t="shared" si="10"/>
        <v>379950</v>
      </c>
      <c r="AF12" s="127">
        <f t="shared" si="11"/>
        <v>31662.5</v>
      </c>
      <c r="AG12" s="183"/>
      <c r="AH12" s="125">
        <v>42528</v>
      </c>
      <c r="AI12" s="126">
        <v>26194</v>
      </c>
      <c r="AJ12" s="126">
        <v>25722</v>
      </c>
      <c r="AK12" s="126">
        <v>28186</v>
      </c>
      <c r="AL12" s="126">
        <v>26201</v>
      </c>
      <c r="AM12" s="126">
        <v>22954</v>
      </c>
      <c r="AN12" s="126">
        <v>39952.999999999993</v>
      </c>
      <c r="AO12" s="126">
        <v>28160</v>
      </c>
      <c r="AP12" s="126">
        <v>48407</v>
      </c>
      <c r="AQ12" s="126">
        <v>41535</v>
      </c>
      <c r="AR12" s="126">
        <v>28484</v>
      </c>
      <c r="AS12" s="126">
        <v>23204</v>
      </c>
      <c r="AT12" s="126">
        <f t="shared" ref="AT12:AT18" si="16">SUM(AH12:AS12)</f>
        <v>381528</v>
      </c>
      <c r="AU12" s="127">
        <f t="shared" si="12"/>
        <v>31794</v>
      </c>
      <c r="AV12" s="183"/>
      <c r="AW12" s="477">
        <v>21688</v>
      </c>
      <c r="AX12" s="126">
        <v>49939</v>
      </c>
      <c r="AY12" s="126">
        <f>AY10-AY11</f>
        <v>29000</v>
      </c>
      <c r="AZ12" s="126">
        <v>30067</v>
      </c>
      <c r="BA12" s="126">
        <f>BA10-BA11</f>
        <v>30904</v>
      </c>
      <c r="BB12" s="126">
        <f>BB10-BB11</f>
        <v>30300</v>
      </c>
      <c r="BC12" s="126">
        <v>46897</v>
      </c>
      <c r="BD12" s="126">
        <v>36408</v>
      </c>
      <c r="BE12" s="126">
        <v>53167</v>
      </c>
      <c r="BF12" s="126">
        <v>42510</v>
      </c>
      <c r="BG12" s="126">
        <v>31120</v>
      </c>
      <c r="BH12" s="126">
        <v>30755</v>
      </c>
      <c r="BI12" s="126">
        <f t="shared" si="6"/>
        <v>432755</v>
      </c>
      <c r="BJ12" s="127">
        <f t="shared" si="13"/>
        <v>36062.916666666664</v>
      </c>
      <c r="BK12" s="183"/>
      <c r="BL12" s="477">
        <v>46644</v>
      </c>
      <c r="BM12" s="126">
        <f>BM10-BM11</f>
        <v>23696</v>
      </c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>
        <f t="shared" si="7"/>
        <v>70340</v>
      </c>
      <c r="BY12" s="127">
        <f t="shared" si="14"/>
        <v>35170</v>
      </c>
      <c r="CA12" s="169">
        <f>ROW()</f>
        <v>12</v>
      </c>
      <c r="CB12" s="169">
        <f>IFERROR(_xlfn.XLOOKUP($A$1,$2:$2,12:12)-_xlfn.XLOOKUP(EDATE($A$1,-12),$2:$2,12:12),"")</f>
        <v>-26243</v>
      </c>
      <c r="CC12" s="169">
        <f t="shared" si="15"/>
        <v>4268.9166666666642</v>
      </c>
      <c r="CD12" s="169">
        <f>IFERROR(
  SUM(
    _xlfn.XLOOKUP(DATE(YEAR($A$1),1,1),$2:$2,12:12):
    _xlfn.XLOOKUP($A$1,$2:$2,12:12)
  )
 -SUM(
    _xlfn.XLOOKUP(DATE(YEAR($A$1)-1,1,1),$2:$2,12:12):
    _xlfn.XLOOKUP(EDATE($A$1,-12),$2:$2,12:12)
  ),"")</f>
        <v>-1287</v>
      </c>
      <c r="CE12" s="4517">
        <f>IFERROR(
  _xlfn.XLOOKUP($A$1,$B$2:$BY$2,$B12:$BY12)
 -_xlfn.XLOOKUP(EDATE($A$1,-1),$B$2:$BY$2,$B12:$BY12),"")</f>
        <v>-22948</v>
      </c>
    </row>
    <row r="13" spans="1:86" ht="17.05" customHeight="1" x14ac:dyDescent="0.55000000000000004">
      <c r="A13" s="7210"/>
      <c r="B13" s="7215" t="s">
        <v>410</v>
      </c>
      <c r="C13" s="62" t="s">
        <v>405</v>
      </c>
      <c r="D13" s="128">
        <v>16333</v>
      </c>
      <c r="E13" s="129">
        <v>16568</v>
      </c>
      <c r="F13" s="129">
        <v>15545</v>
      </c>
      <c r="G13" s="129">
        <v>16178</v>
      </c>
      <c r="H13" s="129">
        <v>15977</v>
      </c>
      <c r="I13" s="129">
        <v>18081</v>
      </c>
      <c r="J13" s="129">
        <v>14946</v>
      </c>
      <c r="K13" s="129">
        <v>21529</v>
      </c>
      <c r="L13" s="129">
        <v>14035</v>
      </c>
      <c r="M13" s="129">
        <v>21735</v>
      </c>
      <c r="N13" s="129">
        <v>16220</v>
      </c>
      <c r="O13" s="129">
        <v>13801</v>
      </c>
      <c r="P13" s="129">
        <f t="shared" si="8"/>
        <v>200948</v>
      </c>
      <c r="Q13" s="130">
        <f t="shared" si="9"/>
        <v>16745.666666666668</v>
      </c>
      <c r="R13" s="183"/>
      <c r="S13" s="128">
        <v>15285</v>
      </c>
      <c r="T13" s="129">
        <v>20603</v>
      </c>
      <c r="U13" s="129">
        <v>16570</v>
      </c>
      <c r="V13" s="129">
        <v>15463</v>
      </c>
      <c r="W13" s="129">
        <v>16911</v>
      </c>
      <c r="X13" s="129">
        <v>15977</v>
      </c>
      <c r="Y13" s="129">
        <v>14445</v>
      </c>
      <c r="Z13" s="129">
        <v>24293</v>
      </c>
      <c r="AA13" s="129">
        <v>12066</v>
      </c>
      <c r="AB13" s="129">
        <v>21689</v>
      </c>
      <c r="AC13" s="129">
        <v>14816</v>
      </c>
      <c r="AD13" s="129">
        <v>12778</v>
      </c>
      <c r="AE13" s="129">
        <f t="shared" si="10"/>
        <v>200896</v>
      </c>
      <c r="AF13" s="130">
        <f t="shared" si="11"/>
        <v>16741.333333333332</v>
      </c>
      <c r="AG13" s="183"/>
      <c r="AH13" s="128">
        <v>23319</v>
      </c>
      <c r="AI13" s="129">
        <v>14697</v>
      </c>
      <c r="AJ13" s="129">
        <v>16156</v>
      </c>
      <c r="AK13" s="129">
        <v>15877</v>
      </c>
      <c r="AL13" s="129">
        <v>16155.999999999998</v>
      </c>
      <c r="AM13" s="129">
        <v>14588.999999999998</v>
      </c>
      <c r="AN13" s="129">
        <v>21829</v>
      </c>
      <c r="AO13" s="129">
        <v>16248.000000000002</v>
      </c>
      <c r="AP13" s="129">
        <v>20549</v>
      </c>
      <c r="AQ13" s="129">
        <v>16254</v>
      </c>
      <c r="AR13" s="129">
        <v>15024</v>
      </c>
      <c r="AS13" s="129">
        <v>13168</v>
      </c>
      <c r="AT13" s="129">
        <f t="shared" si="16"/>
        <v>203866</v>
      </c>
      <c r="AU13" s="130">
        <f t="shared" si="12"/>
        <v>16988.833333333332</v>
      </c>
      <c r="AV13" s="183"/>
      <c r="AW13" s="478">
        <v>11930</v>
      </c>
      <c r="AX13" s="129">
        <v>25000</v>
      </c>
      <c r="AY13" s="129">
        <v>17145</v>
      </c>
      <c r="AZ13" s="129">
        <v>22354</v>
      </c>
      <c r="BA13" s="129">
        <v>29195</v>
      </c>
      <c r="BB13" s="129">
        <v>18050</v>
      </c>
      <c r="BC13" s="129">
        <v>29155</v>
      </c>
      <c r="BD13" s="129">
        <v>17583</v>
      </c>
      <c r="BE13" s="129">
        <v>23129</v>
      </c>
      <c r="BF13" s="129">
        <v>15351</v>
      </c>
      <c r="BG13" s="129">
        <v>13674</v>
      </c>
      <c r="BH13" s="129">
        <v>12817</v>
      </c>
      <c r="BI13" s="129">
        <f t="shared" si="6"/>
        <v>235383</v>
      </c>
      <c r="BJ13" s="130">
        <f t="shared" si="13"/>
        <v>19615.25</v>
      </c>
      <c r="BK13" s="183"/>
      <c r="BL13" s="478">
        <v>19716</v>
      </c>
      <c r="BM13" s="129">
        <v>12024</v>
      </c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>
        <f t="shared" si="7"/>
        <v>31740</v>
      </c>
      <c r="BY13" s="130">
        <f t="shared" si="14"/>
        <v>15870</v>
      </c>
      <c r="CA13" s="169">
        <f>ROW()</f>
        <v>13</v>
      </c>
      <c r="CB13" s="169">
        <f>IFERROR(_xlfn.XLOOKUP($A$1,$2:$2,13:13)-_xlfn.XLOOKUP(EDATE($A$1,-12),$2:$2,13:13),"")</f>
        <v>-12976</v>
      </c>
      <c r="CC13" s="169">
        <f t="shared" si="15"/>
        <v>2626.4166666666679</v>
      </c>
      <c r="CD13" s="169">
        <f>IFERROR(
  SUM(
    _xlfn.XLOOKUP(DATE(YEAR($A$1),1,1),$2:$2,13:13):
    _xlfn.XLOOKUP($A$1,$2:$2,13:13)
  )
 -SUM(
    _xlfn.XLOOKUP(DATE(YEAR($A$1)-1,1,1),$2:$2,13:13):
    _xlfn.XLOOKUP(EDATE($A$1,-12),$2:$2,13:13)
  ),"")</f>
        <v>-5190</v>
      </c>
      <c r="CE13" s="4517">
        <f>IFERROR(
  _xlfn.XLOOKUP($A$1,$B$2:$BY$2,$B13:$BY13)
 -_xlfn.XLOOKUP(EDATE($A$1,-1),$B$2:$BY$2,$B13:$BY13),"")</f>
        <v>-7692</v>
      </c>
    </row>
    <row r="14" spans="1:86" ht="17.05" customHeight="1" x14ac:dyDescent="0.55000000000000004">
      <c r="A14" s="7210"/>
      <c r="B14" s="7213"/>
      <c r="C14" s="63" t="s">
        <v>1016</v>
      </c>
      <c r="D14" s="131">
        <v>1376</v>
      </c>
      <c r="E14" s="132">
        <v>1739</v>
      </c>
      <c r="F14" s="132">
        <v>1356</v>
      </c>
      <c r="G14" s="132">
        <v>1271</v>
      </c>
      <c r="H14" s="132">
        <v>1445</v>
      </c>
      <c r="I14" s="132">
        <v>1514</v>
      </c>
      <c r="J14" s="132">
        <v>1286</v>
      </c>
      <c r="K14" s="132">
        <v>2058</v>
      </c>
      <c r="L14" s="132">
        <v>1513</v>
      </c>
      <c r="M14" s="132">
        <v>1894</v>
      </c>
      <c r="N14" s="132">
        <v>1112</v>
      </c>
      <c r="O14" s="132">
        <v>914</v>
      </c>
      <c r="P14" s="132">
        <f>SUM(D14:O14)</f>
        <v>17478</v>
      </c>
      <c r="Q14" s="133">
        <f t="shared" ref="Q14" si="17">P14/12</f>
        <v>1456.5</v>
      </c>
      <c r="R14" s="183"/>
      <c r="S14" s="131">
        <v>727</v>
      </c>
      <c r="T14" s="132">
        <v>1370</v>
      </c>
      <c r="U14" s="132">
        <v>806</v>
      </c>
      <c r="V14" s="132">
        <v>636</v>
      </c>
      <c r="W14" s="132">
        <v>779</v>
      </c>
      <c r="X14" s="132">
        <v>442</v>
      </c>
      <c r="Y14" s="132">
        <v>390</v>
      </c>
      <c r="Z14" s="132">
        <v>639</v>
      </c>
      <c r="AA14" s="132">
        <v>238</v>
      </c>
      <c r="AB14" s="132">
        <v>545</v>
      </c>
      <c r="AC14" s="132">
        <v>249</v>
      </c>
      <c r="AD14" s="132">
        <v>167</v>
      </c>
      <c r="AE14" s="132">
        <f t="shared" ref="AE14" si="18">SUM(S14:AD14)</f>
        <v>6988</v>
      </c>
      <c r="AF14" s="133">
        <f t="shared" ref="AF14" si="19">AE14/12</f>
        <v>582.33333333333337</v>
      </c>
      <c r="AG14" s="183"/>
      <c r="AH14" s="131">
        <v>190</v>
      </c>
      <c r="AI14" s="132">
        <v>177</v>
      </c>
      <c r="AJ14" s="132">
        <v>252</v>
      </c>
      <c r="AK14" s="132">
        <v>239</v>
      </c>
      <c r="AL14" s="132">
        <v>324</v>
      </c>
      <c r="AM14" s="132">
        <v>206</v>
      </c>
      <c r="AN14" s="132">
        <v>678</v>
      </c>
      <c r="AO14" s="132">
        <v>205</v>
      </c>
      <c r="AP14" s="132">
        <v>251</v>
      </c>
      <c r="AQ14" s="132">
        <v>216.99999999999997</v>
      </c>
      <c r="AR14" s="132">
        <v>145</v>
      </c>
      <c r="AS14" s="132">
        <v>110</v>
      </c>
      <c r="AT14" s="132">
        <f>SUM(AH14:AS14)</f>
        <v>2994</v>
      </c>
      <c r="AU14" s="133">
        <f t="shared" ref="AU14" si="20">AT14/12</f>
        <v>249.5</v>
      </c>
      <c r="AV14" s="183"/>
      <c r="AW14" s="479">
        <v>154</v>
      </c>
      <c r="AX14" s="132">
        <v>399</v>
      </c>
      <c r="AY14" s="132">
        <v>169</v>
      </c>
      <c r="AZ14" s="132">
        <v>287</v>
      </c>
      <c r="BA14" s="132">
        <v>430</v>
      </c>
      <c r="BB14" s="132">
        <v>191</v>
      </c>
      <c r="BC14" s="132">
        <v>616</v>
      </c>
      <c r="BD14" s="132">
        <v>192</v>
      </c>
      <c r="BE14" s="132">
        <v>307</v>
      </c>
      <c r="BF14" s="132">
        <v>259</v>
      </c>
      <c r="BG14" s="132">
        <v>193</v>
      </c>
      <c r="BH14" s="132">
        <v>103</v>
      </c>
      <c r="BI14" s="132">
        <f>SUM(AW14:BH14)</f>
        <v>3300</v>
      </c>
      <c r="BJ14" s="133">
        <f t="shared" si="13"/>
        <v>275</v>
      </c>
      <c r="BK14" s="183"/>
      <c r="BL14" s="479">
        <v>267</v>
      </c>
      <c r="BM14" s="132">
        <v>147</v>
      </c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>
        <f>SUM(BL14:BW14)</f>
        <v>414</v>
      </c>
      <c r="BY14" s="133">
        <f t="shared" si="14"/>
        <v>207</v>
      </c>
      <c r="CA14" s="169">
        <f>ROW()</f>
        <v>14</v>
      </c>
      <c r="CB14" s="169">
        <f>IFERROR(_xlfn.XLOOKUP($A$1,$2:$2,14:14)-_xlfn.XLOOKUP(EDATE($A$1,-12),$2:$2,14:14),"")</f>
        <v>-252</v>
      </c>
      <c r="CC14" s="169">
        <f t="shared" ref="CC14" si="21">BJ14-AU14</f>
        <v>25.5</v>
      </c>
      <c r="CD14" s="169">
        <f>IFERROR(
  SUM(
    _xlfn.XLOOKUP(DATE(YEAR($A$1),1,1),$2:$2,14:14):
    _xlfn.XLOOKUP($A$1,$2:$2,14:14)
  )
 -SUM(
    _xlfn.XLOOKUP(DATE(YEAR($A$1)-1,1,1),$2:$2,14:14):
    _xlfn.XLOOKUP(EDATE($A$1,-12),$2:$2,14:14)
  ),"")</f>
        <v>-139</v>
      </c>
      <c r="CE14" s="4517">
        <f>IFERROR(
  _xlfn.XLOOKUP($A$1,$B$2:$BY$2,$B14:$BY14)
 -_xlfn.XLOOKUP(EDATE($A$1,-1),$B$2:$BY$2,$B14:$BY14),"")</f>
        <v>-120</v>
      </c>
    </row>
    <row r="15" spans="1:86" ht="17.05" customHeight="1" x14ac:dyDescent="0.55000000000000004">
      <c r="A15" s="7210"/>
      <c r="B15" s="7213"/>
      <c r="C15" s="63" t="s">
        <v>407</v>
      </c>
      <c r="D15" s="131">
        <v>23473</v>
      </c>
      <c r="E15" s="132">
        <v>28578</v>
      </c>
      <c r="F15" s="132">
        <v>25270</v>
      </c>
      <c r="G15" s="132">
        <v>26700</v>
      </c>
      <c r="H15" s="132">
        <v>27908</v>
      </c>
      <c r="I15" s="132">
        <v>25803</v>
      </c>
      <c r="J15" s="132">
        <v>23884</v>
      </c>
      <c r="K15" s="132">
        <v>27011</v>
      </c>
      <c r="L15" s="132">
        <v>19221</v>
      </c>
      <c r="M15" s="132">
        <v>27424</v>
      </c>
      <c r="N15" s="132">
        <v>20517</v>
      </c>
      <c r="O15" s="132">
        <v>17658</v>
      </c>
      <c r="P15" s="132">
        <f t="shared" si="8"/>
        <v>293447</v>
      </c>
      <c r="Q15" s="133">
        <f t="shared" si="9"/>
        <v>24453.916666666668</v>
      </c>
      <c r="R15" s="183"/>
      <c r="S15" s="131">
        <v>19123</v>
      </c>
      <c r="T15" s="132">
        <v>22637</v>
      </c>
      <c r="U15" s="132">
        <v>18126</v>
      </c>
      <c r="V15" s="132">
        <v>17598</v>
      </c>
      <c r="W15" s="132">
        <v>17909</v>
      </c>
      <c r="X15" s="132">
        <v>16554</v>
      </c>
      <c r="Y15" s="132">
        <v>18859</v>
      </c>
      <c r="Z15" s="132">
        <v>24418</v>
      </c>
      <c r="AA15" s="132">
        <v>17028</v>
      </c>
      <c r="AB15" s="132">
        <v>22675</v>
      </c>
      <c r="AC15" s="132">
        <v>16998</v>
      </c>
      <c r="AD15" s="132">
        <v>14092</v>
      </c>
      <c r="AE15" s="132">
        <f t="shared" si="10"/>
        <v>226017</v>
      </c>
      <c r="AF15" s="133">
        <f t="shared" si="11"/>
        <v>18834.75</v>
      </c>
      <c r="AG15" s="183"/>
      <c r="AH15" s="131">
        <v>21687</v>
      </c>
      <c r="AI15" s="132">
        <v>17436</v>
      </c>
      <c r="AJ15" s="132">
        <v>19339</v>
      </c>
      <c r="AK15" s="132">
        <v>19225</v>
      </c>
      <c r="AL15" s="132">
        <v>20961</v>
      </c>
      <c r="AM15" s="132">
        <v>19410</v>
      </c>
      <c r="AN15" s="132">
        <v>23051</v>
      </c>
      <c r="AO15" s="132">
        <v>18664</v>
      </c>
      <c r="AP15" s="132">
        <v>21144</v>
      </c>
      <c r="AQ15" s="132">
        <v>20713</v>
      </c>
      <c r="AR15" s="132">
        <v>21064</v>
      </c>
      <c r="AS15" s="132">
        <v>17789</v>
      </c>
      <c r="AT15" s="132">
        <f t="shared" si="16"/>
        <v>240483</v>
      </c>
      <c r="AU15" s="133">
        <f t="shared" si="12"/>
        <v>20040.25</v>
      </c>
      <c r="AV15" s="183"/>
      <c r="AW15" s="479">
        <v>17239</v>
      </c>
      <c r="AX15" s="132">
        <v>25984</v>
      </c>
      <c r="AY15" s="132">
        <v>19298</v>
      </c>
      <c r="AZ15" s="132">
        <v>24280</v>
      </c>
      <c r="BA15" s="132">
        <v>36457</v>
      </c>
      <c r="BB15" s="132">
        <v>28356</v>
      </c>
      <c r="BC15" s="132">
        <v>32832</v>
      </c>
      <c r="BD15" s="132">
        <v>24783</v>
      </c>
      <c r="BE15" s="132">
        <v>27158</v>
      </c>
      <c r="BF15" s="132">
        <v>26854</v>
      </c>
      <c r="BG15" s="132">
        <v>22592</v>
      </c>
      <c r="BH15" s="132">
        <v>24140</v>
      </c>
      <c r="BI15" s="132">
        <f t="shared" si="6"/>
        <v>309973</v>
      </c>
      <c r="BJ15" s="133">
        <f t="shared" si="13"/>
        <v>25831.083333333332</v>
      </c>
      <c r="BK15" s="183"/>
      <c r="BL15" s="479">
        <v>37649</v>
      </c>
      <c r="BM15" s="132">
        <v>17387</v>
      </c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>
        <f>SUM(BL15:BW15)</f>
        <v>55036</v>
      </c>
      <c r="BY15" s="133">
        <f t="shared" si="14"/>
        <v>27518</v>
      </c>
      <c r="CA15" s="169">
        <f>ROW()</f>
        <v>15</v>
      </c>
      <c r="CB15" s="169">
        <f>IFERROR(_xlfn.XLOOKUP($A$1,$2:$2,15:15)-_xlfn.XLOOKUP(EDATE($A$1,-12),$2:$2,15:15),"")</f>
        <v>-8597</v>
      </c>
      <c r="CC15" s="169">
        <f t="shared" si="15"/>
        <v>5790.8333333333321</v>
      </c>
      <c r="CD15" s="169">
        <f>IFERROR(
  SUM(
    _xlfn.XLOOKUP(DATE(YEAR($A$1),1,1),$2:$2,15:15):
    _xlfn.XLOOKUP($A$1,$2:$2,15:15)
  )
 -SUM(
    _xlfn.XLOOKUP(DATE(YEAR($A$1)-1,1,1),$2:$2,15:15):
    _xlfn.XLOOKUP(EDATE($A$1,-12),$2:$2,15:15)
  ),"")</f>
        <v>11813</v>
      </c>
      <c r="CE15" s="4517">
        <f>IFERROR(
  _xlfn.XLOOKUP($A$1,$B$2:$BY$2,$B15:$BY15)
 -_xlfn.XLOOKUP(EDATE($A$1,-1),$B$2:$BY$2,$B15:$BY15),"")</f>
        <v>-20262</v>
      </c>
    </row>
    <row r="16" spans="1:86" ht="17.05" customHeight="1" x14ac:dyDescent="0.55000000000000004">
      <c r="A16" s="7210"/>
      <c r="B16" s="7213"/>
      <c r="C16" s="63" t="s">
        <v>875</v>
      </c>
      <c r="D16" s="131">
        <v>5197</v>
      </c>
      <c r="E16" s="132">
        <v>8389</v>
      </c>
      <c r="F16" s="132">
        <v>7989</v>
      </c>
      <c r="G16" s="132">
        <v>6417</v>
      </c>
      <c r="H16" s="132">
        <v>6726</v>
      </c>
      <c r="I16" s="132">
        <v>5049</v>
      </c>
      <c r="J16" s="132">
        <v>4561</v>
      </c>
      <c r="K16" s="132">
        <v>8020</v>
      </c>
      <c r="L16" s="132">
        <v>5242</v>
      </c>
      <c r="M16" s="132">
        <v>13899</v>
      </c>
      <c r="N16" s="132">
        <v>6296</v>
      </c>
      <c r="O16" s="132">
        <v>3932</v>
      </c>
      <c r="P16" s="132">
        <f t="shared" si="8"/>
        <v>81717</v>
      </c>
      <c r="Q16" s="133">
        <f t="shared" si="9"/>
        <v>6809.75</v>
      </c>
      <c r="R16" s="183"/>
      <c r="S16" s="131">
        <v>4967</v>
      </c>
      <c r="T16" s="132">
        <v>7487</v>
      </c>
      <c r="U16" s="132">
        <v>5226</v>
      </c>
      <c r="V16" s="132">
        <v>4693</v>
      </c>
      <c r="W16" s="132">
        <v>6241</v>
      </c>
      <c r="X16" s="132">
        <v>5663</v>
      </c>
      <c r="Y16" s="132">
        <v>5335</v>
      </c>
      <c r="Z16" s="132">
        <v>9484</v>
      </c>
      <c r="AA16" s="132">
        <v>4239</v>
      </c>
      <c r="AB16" s="132">
        <v>18216</v>
      </c>
      <c r="AC16" s="132">
        <v>6467</v>
      </c>
      <c r="AD16" s="132">
        <v>5284</v>
      </c>
      <c r="AE16" s="132">
        <f t="shared" si="10"/>
        <v>83302</v>
      </c>
      <c r="AF16" s="133">
        <f t="shared" si="11"/>
        <v>6941.833333333333</v>
      </c>
      <c r="AG16" s="183"/>
      <c r="AH16" s="131">
        <v>11933</v>
      </c>
      <c r="AI16" s="132">
        <v>9534</v>
      </c>
      <c r="AJ16" s="132">
        <v>8851</v>
      </c>
      <c r="AK16" s="132">
        <v>10078</v>
      </c>
      <c r="AL16" s="132">
        <v>10131</v>
      </c>
      <c r="AM16" s="132">
        <v>7478</v>
      </c>
      <c r="AN16" s="132">
        <v>12621</v>
      </c>
      <c r="AO16" s="132">
        <v>9657</v>
      </c>
      <c r="AP16" s="132">
        <v>22364</v>
      </c>
      <c r="AQ16" s="132">
        <v>18093</v>
      </c>
      <c r="AR16" s="132">
        <v>9075</v>
      </c>
      <c r="AS16" s="132">
        <v>8207</v>
      </c>
      <c r="AT16" s="132">
        <f t="shared" si="16"/>
        <v>138022</v>
      </c>
      <c r="AU16" s="133">
        <f t="shared" si="12"/>
        <v>11501.833333333334</v>
      </c>
      <c r="AV16" s="183"/>
      <c r="AW16" s="479">
        <v>7587</v>
      </c>
      <c r="AX16" s="132">
        <v>20682</v>
      </c>
      <c r="AY16" s="132">
        <v>10591</v>
      </c>
      <c r="AZ16" s="132">
        <v>14687</v>
      </c>
      <c r="BA16" s="132">
        <v>30235</v>
      </c>
      <c r="BB16" s="132">
        <v>15026</v>
      </c>
      <c r="BC16" s="132">
        <v>28501</v>
      </c>
      <c r="BD16" s="132">
        <v>13256</v>
      </c>
      <c r="BE16" s="132">
        <v>23139</v>
      </c>
      <c r="BF16" s="132">
        <v>14766</v>
      </c>
      <c r="BG16" s="132">
        <v>11138</v>
      </c>
      <c r="BH16" s="132">
        <v>12178</v>
      </c>
      <c r="BI16" s="132">
        <f t="shared" si="6"/>
        <v>201786</v>
      </c>
      <c r="BJ16" s="133">
        <f t="shared" si="13"/>
        <v>16815.5</v>
      </c>
      <c r="BK16" s="183"/>
      <c r="BL16" s="479">
        <v>17312</v>
      </c>
      <c r="BM16" s="132">
        <v>10548</v>
      </c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>
        <f t="shared" si="7"/>
        <v>27860</v>
      </c>
      <c r="BY16" s="133">
        <f t="shared" si="14"/>
        <v>13930</v>
      </c>
      <c r="CA16" s="169">
        <f>ROW()</f>
        <v>16</v>
      </c>
      <c r="CB16" s="169">
        <f>IFERROR(_xlfn.XLOOKUP($A$1,$2:$2,16:16)-_xlfn.XLOOKUP(EDATE($A$1,-12),$2:$2,16:16),"")</f>
        <v>-10134</v>
      </c>
      <c r="CC16" s="169">
        <f t="shared" si="15"/>
        <v>5313.6666666666661</v>
      </c>
      <c r="CD16" s="169">
        <f>IFERROR(
  SUM(
    _xlfn.XLOOKUP(DATE(YEAR($A$1),1,1),$2:$2,16:16):
    _xlfn.XLOOKUP($A$1,$2:$2,16:16)
  )
 -SUM(
    _xlfn.XLOOKUP(DATE(YEAR($A$1)-1,1,1),$2:$2,16:16):
    _xlfn.XLOOKUP(EDATE($A$1,-12),$2:$2,16:16)
  ),"")</f>
        <v>-409</v>
      </c>
      <c r="CE16" s="4517">
        <f>IFERROR(
  _xlfn.XLOOKUP($A$1,$B$2:$BY$2,$B16:$BY16)
 -_xlfn.XLOOKUP(EDATE($A$1,-1),$B$2:$BY$2,$B16:$BY16),"")</f>
        <v>-6764</v>
      </c>
    </row>
    <row r="17" spans="1:83" ht="17.05" customHeight="1" x14ac:dyDescent="0.55000000000000004">
      <c r="A17" s="7210"/>
      <c r="B17" s="7213"/>
      <c r="C17" s="63" t="s">
        <v>408</v>
      </c>
      <c r="D17" s="131">
        <v>4553</v>
      </c>
      <c r="E17" s="132">
        <v>5412</v>
      </c>
      <c r="F17" s="132">
        <v>5081</v>
      </c>
      <c r="G17" s="132">
        <v>4555</v>
      </c>
      <c r="H17" s="132">
        <v>5631</v>
      </c>
      <c r="I17" s="132">
        <v>5165</v>
      </c>
      <c r="J17" s="132">
        <v>5101</v>
      </c>
      <c r="K17" s="132">
        <v>5181</v>
      </c>
      <c r="L17" s="132">
        <v>7515</v>
      </c>
      <c r="M17" s="132">
        <v>6164</v>
      </c>
      <c r="N17" s="132">
        <v>4628</v>
      </c>
      <c r="O17" s="132">
        <v>3295</v>
      </c>
      <c r="P17" s="132">
        <f t="shared" si="8"/>
        <v>62281</v>
      </c>
      <c r="Q17" s="133">
        <f t="shared" si="9"/>
        <v>5190.083333333333</v>
      </c>
      <c r="R17" s="183"/>
      <c r="S17" s="131">
        <v>4600</v>
      </c>
      <c r="T17" s="132">
        <v>5781</v>
      </c>
      <c r="U17" s="132">
        <v>5132</v>
      </c>
      <c r="V17" s="132">
        <v>3814</v>
      </c>
      <c r="W17" s="132">
        <v>4886</v>
      </c>
      <c r="X17" s="132">
        <v>4488</v>
      </c>
      <c r="Y17" s="132">
        <v>3636</v>
      </c>
      <c r="Z17" s="132">
        <v>3646</v>
      </c>
      <c r="AA17" s="132">
        <v>5804</v>
      </c>
      <c r="AB17" s="132">
        <v>7253</v>
      </c>
      <c r="AC17" s="132">
        <v>2706</v>
      </c>
      <c r="AD17" s="132">
        <v>2251</v>
      </c>
      <c r="AE17" s="132">
        <f t="shared" si="10"/>
        <v>53997</v>
      </c>
      <c r="AF17" s="133">
        <f t="shared" si="11"/>
        <v>4499.75</v>
      </c>
      <c r="AG17" s="183"/>
      <c r="AH17" s="131">
        <v>3260</v>
      </c>
      <c r="AI17" s="132">
        <v>2214</v>
      </c>
      <c r="AJ17" s="132">
        <v>1632</v>
      </c>
      <c r="AK17" s="132">
        <v>2415</v>
      </c>
      <c r="AL17" s="132">
        <v>1540</v>
      </c>
      <c r="AM17" s="132">
        <v>2359</v>
      </c>
      <c r="AN17" s="132">
        <v>2875</v>
      </c>
      <c r="AO17" s="132">
        <v>2958</v>
      </c>
      <c r="AP17" s="132">
        <v>3119</v>
      </c>
      <c r="AQ17" s="132">
        <v>6253</v>
      </c>
      <c r="AR17" s="132">
        <v>2707</v>
      </c>
      <c r="AS17" s="132">
        <v>1833.9999999999998</v>
      </c>
      <c r="AT17" s="132">
        <f t="shared" si="16"/>
        <v>33166</v>
      </c>
      <c r="AU17" s="133">
        <f t="shared" si="12"/>
        <v>2763.8333333333335</v>
      </c>
      <c r="AV17" s="183"/>
      <c r="AW17" s="479">
        <v>1912</v>
      </c>
      <c r="AX17" s="132">
        <v>2778</v>
      </c>
      <c r="AY17" s="132">
        <v>3485</v>
      </c>
      <c r="AZ17" s="132">
        <v>2478</v>
      </c>
      <c r="BA17" s="132">
        <v>2591</v>
      </c>
      <c r="BB17" s="132">
        <v>1942.0000000000002</v>
      </c>
      <c r="BC17" s="132">
        <v>4860</v>
      </c>
      <c r="BD17" s="132">
        <v>1543</v>
      </c>
      <c r="BE17" s="132">
        <v>2494</v>
      </c>
      <c r="BF17" s="132">
        <v>5265</v>
      </c>
      <c r="BG17" s="132">
        <v>5004</v>
      </c>
      <c r="BH17" s="132">
        <v>3496.9999999999995</v>
      </c>
      <c r="BI17" s="132">
        <f t="shared" si="6"/>
        <v>37849</v>
      </c>
      <c r="BJ17" s="133">
        <f t="shared" si="13"/>
        <v>3154.0833333333335</v>
      </c>
      <c r="BK17" s="183"/>
      <c r="BL17" s="479">
        <v>3919</v>
      </c>
      <c r="BM17" s="132">
        <v>2925.0000000000005</v>
      </c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>
        <f t="shared" si="7"/>
        <v>6844</v>
      </c>
      <c r="BY17" s="133">
        <f t="shared" si="14"/>
        <v>3422</v>
      </c>
      <c r="CA17" s="169">
        <f>ROW()</f>
        <v>17</v>
      </c>
      <c r="CB17" s="169">
        <f>IFERROR(_xlfn.XLOOKUP($A$1,$2:$2,17:17)-_xlfn.XLOOKUP(EDATE($A$1,-12),$2:$2,17:17),"")</f>
        <v>147.00000000000045</v>
      </c>
      <c r="CC17" s="169">
        <f t="shared" si="15"/>
        <v>390.25</v>
      </c>
      <c r="CD17" s="169">
        <f>IFERROR(
  SUM(
    _xlfn.XLOOKUP(DATE(YEAR($A$1),1,1),$2:$2,17:17):
    _xlfn.XLOOKUP($A$1,$2:$2,17:17)
  )
 -SUM(
    _xlfn.XLOOKUP(DATE(YEAR($A$1)-1,1,1),$2:$2,17:17):
    _xlfn.XLOOKUP(EDATE($A$1,-12),$2:$2,17:17)
  ),"")</f>
        <v>2154</v>
      </c>
      <c r="CE17" s="4517">
        <f>IFERROR(
  _xlfn.XLOOKUP($A$1,$B$2:$BY$2,$B17:$BY17)
 -_xlfn.XLOOKUP(EDATE($A$1,-1),$B$2:$BY$2,$B17:$BY17),"")</f>
        <v>-993.99999999999955</v>
      </c>
    </row>
    <row r="18" spans="1:83" ht="17.5" customHeight="1" x14ac:dyDescent="0.55000000000000004">
      <c r="A18" s="7210"/>
      <c r="B18" s="7217"/>
      <c r="C18" s="73" t="s">
        <v>409</v>
      </c>
      <c r="D18" s="134">
        <v>23</v>
      </c>
      <c r="E18" s="135">
        <v>29</v>
      </c>
      <c r="F18" s="135">
        <v>93</v>
      </c>
      <c r="G18" s="135">
        <v>125</v>
      </c>
      <c r="H18" s="135">
        <v>136</v>
      </c>
      <c r="I18" s="135">
        <v>189</v>
      </c>
      <c r="J18" s="135">
        <v>178</v>
      </c>
      <c r="K18" s="135">
        <v>295</v>
      </c>
      <c r="L18" s="135">
        <v>205</v>
      </c>
      <c r="M18" s="135">
        <v>260</v>
      </c>
      <c r="N18" s="135">
        <v>241</v>
      </c>
      <c r="O18" s="135">
        <v>237</v>
      </c>
      <c r="P18" s="135">
        <f t="shared" si="8"/>
        <v>2011</v>
      </c>
      <c r="Q18" s="136">
        <f t="shared" si="9"/>
        <v>167.58333333333334</v>
      </c>
      <c r="R18" s="183"/>
      <c r="S18" s="134">
        <v>131</v>
      </c>
      <c r="T18" s="135">
        <v>140</v>
      </c>
      <c r="U18" s="135">
        <v>115</v>
      </c>
      <c r="V18" s="135">
        <v>85</v>
      </c>
      <c r="W18" s="135">
        <v>61</v>
      </c>
      <c r="X18" s="135">
        <v>112</v>
      </c>
      <c r="Y18" s="135">
        <v>79</v>
      </c>
      <c r="Z18" s="135">
        <v>87</v>
      </c>
      <c r="AA18" s="135">
        <v>44</v>
      </c>
      <c r="AB18" s="135">
        <v>89</v>
      </c>
      <c r="AC18" s="135">
        <v>88</v>
      </c>
      <c r="AD18" s="135">
        <v>60</v>
      </c>
      <c r="AE18" s="135">
        <f t="shared" si="10"/>
        <v>1091</v>
      </c>
      <c r="AF18" s="136">
        <f t="shared" si="11"/>
        <v>90.916666666666671</v>
      </c>
      <c r="AG18" s="183"/>
      <c r="AH18" s="134">
        <v>76</v>
      </c>
      <c r="AI18" s="135">
        <v>60</v>
      </c>
      <c r="AJ18" s="135">
        <v>6</v>
      </c>
      <c r="AK18" s="135">
        <v>0</v>
      </c>
      <c r="AL18" s="135">
        <v>0</v>
      </c>
      <c r="AM18" s="135">
        <v>2</v>
      </c>
      <c r="AN18" s="135">
        <v>0.99999999999272404</v>
      </c>
      <c r="AO18" s="135">
        <v>1</v>
      </c>
      <c r="AP18" s="135">
        <v>0</v>
      </c>
      <c r="AQ18" s="135">
        <v>0</v>
      </c>
      <c r="AR18" s="135">
        <v>0</v>
      </c>
      <c r="AS18" s="135">
        <v>0</v>
      </c>
      <c r="AT18" s="135">
        <f t="shared" si="16"/>
        <v>145.99999999999272</v>
      </c>
      <c r="AU18" s="136">
        <f t="shared" si="12"/>
        <v>12.16666666666606</v>
      </c>
      <c r="AV18" s="183"/>
      <c r="AW18" s="480">
        <v>0</v>
      </c>
      <c r="AX18" s="135">
        <v>0</v>
      </c>
      <c r="AY18" s="135">
        <v>0</v>
      </c>
      <c r="AZ18" s="135">
        <v>0</v>
      </c>
      <c r="BA18" s="135">
        <v>0</v>
      </c>
      <c r="BB18" s="135">
        <v>0</v>
      </c>
      <c r="BC18" s="135">
        <v>0</v>
      </c>
      <c r="BD18" s="135">
        <v>0</v>
      </c>
      <c r="BE18" s="135">
        <v>0</v>
      </c>
      <c r="BF18" s="135">
        <v>0</v>
      </c>
      <c r="BG18" s="135">
        <v>0</v>
      </c>
      <c r="BH18" s="135">
        <v>0</v>
      </c>
      <c r="BI18" s="135">
        <f t="shared" si="6"/>
        <v>0</v>
      </c>
      <c r="BJ18" s="136">
        <f t="shared" si="13"/>
        <v>0</v>
      </c>
      <c r="BK18" s="183"/>
      <c r="BL18" s="480">
        <v>0</v>
      </c>
      <c r="BM18" s="135">
        <v>0</v>
      </c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>
        <f t="shared" si="7"/>
        <v>0</v>
      </c>
      <c r="BY18" s="136">
        <f t="shared" si="14"/>
        <v>0</v>
      </c>
      <c r="CA18" s="169">
        <f>ROW()</f>
        <v>18</v>
      </c>
      <c r="CB18" s="169">
        <f>IFERROR(_xlfn.XLOOKUP($A$1,$2:$2,18:18)-_xlfn.XLOOKUP(EDATE($A$1,-12),$2:$2,18:18),"")</f>
        <v>0</v>
      </c>
      <c r="CC18" s="169">
        <f t="shared" si="15"/>
        <v>-12.16666666666606</v>
      </c>
      <c r="CD18" s="169">
        <f>IFERROR(
  SUM(
    _xlfn.XLOOKUP(DATE(YEAR($A$1),1,1),$2:$2,18:18):
    _xlfn.XLOOKUP($A$1,$2:$2,18:18)
  )
 -SUM(
    _xlfn.XLOOKUP(DATE(YEAR($A$1)-1,1,1),$2:$2,18:18):
    _xlfn.XLOOKUP(EDATE($A$1,-12),$2:$2,18:18)
  ),"")</f>
        <v>0</v>
      </c>
      <c r="CE18" s="4517">
        <f>IFERROR(
  _xlfn.XLOOKUP($A$1,$B$2:$BY$2,$B18:$BY18)
 -_xlfn.XLOOKUP(EDATE($A$1,-1),$B$2:$BY$2,$B18:$BY18),"")</f>
        <v>0</v>
      </c>
    </row>
    <row r="19" spans="1:83" ht="17.399999999999999" customHeight="1" x14ac:dyDescent="0.55000000000000004">
      <c r="A19" s="7210"/>
      <c r="B19" s="7222" t="s">
        <v>411</v>
      </c>
      <c r="C19" s="64" t="s">
        <v>400</v>
      </c>
      <c r="D19" s="143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>
        <f>SUM(D19:O19)</f>
        <v>0</v>
      </c>
      <c r="Q19" s="145">
        <f t="shared" ref="Q19:Q50" si="22">P19/12</f>
        <v>0</v>
      </c>
      <c r="R19" s="183"/>
      <c r="S19" s="143">
        <v>2386</v>
      </c>
      <c r="T19" s="144">
        <v>3207</v>
      </c>
      <c r="U19" s="144">
        <v>2605</v>
      </c>
      <c r="V19" s="144">
        <v>2535</v>
      </c>
      <c r="W19" s="144">
        <v>2740</v>
      </c>
      <c r="X19" s="144">
        <v>2522</v>
      </c>
      <c r="Y19" s="144">
        <v>2338</v>
      </c>
      <c r="Z19" s="144">
        <v>3794</v>
      </c>
      <c r="AA19" s="144">
        <v>1917</v>
      </c>
      <c r="AB19" s="144">
        <v>3444</v>
      </c>
      <c r="AC19" s="144">
        <v>2485</v>
      </c>
      <c r="AD19" s="144">
        <v>1969</v>
      </c>
      <c r="AE19" s="144">
        <f t="shared" ref="AE19:AE50" si="23">SUM(S19:AD19)</f>
        <v>31942</v>
      </c>
      <c r="AF19" s="145">
        <f t="shared" ref="AF19:AF50" si="24">AE19/12</f>
        <v>2661.8333333333335</v>
      </c>
      <c r="AG19" s="183"/>
      <c r="AH19" s="143">
        <v>3597</v>
      </c>
      <c r="AI19" s="144">
        <v>2242</v>
      </c>
      <c r="AJ19" s="144">
        <v>2631</v>
      </c>
      <c r="AK19" s="144">
        <v>2573</v>
      </c>
      <c r="AL19" s="144">
        <v>2659</v>
      </c>
      <c r="AM19" s="144">
        <v>2440</v>
      </c>
      <c r="AN19" s="144">
        <v>3736</v>
      </c>
      <c r="AO19" s="144">
        <v>2778</v>
      </c>
      <c r="AP19" s="144">
        <v>3576</v>
      </c>
      <c r="AQ19" s="144">
        <v>2782</v>
      </c>
      <c r="AR19" s="144">
        <v>2592</v>
      </c>
      <c r="AS19" s="144">
        <v>2303</v>
      </c>
      <c r="AT19" s="144">
        <f>SUM(AH19:AS19)</f>
        <v>33909</v>
      </c>
      <c r="AU19" s="145">
        <f t="shared" si="12"/>
        <v>2825.75</v>
      </c>
      <c r="AV19" s="183"/>
      <c r="AW19" s="481">
        <v>2089</v>
      </c>
      <c r="AX19" s="144">
        <v>4165</v>
      </c>
      <c r="AY19" s="144">
        <v>2805</v>
      </c>
      <c r="AZ19" s="144">
        <v>3989</v>
      </c>
      <c r="BA19" s="144">
        <v>5308</v>
      </c>
      <c r="BB19" s="144">
        <v>3176</v>
      </c>
      <c r="BC19" s="144">
        <v>5057</v>
      </c>
      <c r="BD19" s="144">
        <v>3014</v>
      </c>
      <c r="BE19" s="144">
        <v>4062</v>
      </c>
      <c r="BF19" s="144">
        <v>2618</v>
      </c>
      <c r="BG19" s="144">
        <v>2367</v>
      </c>
      <c r="BH19" s="144">
        <v>2173</v>
      </c>
      <c r="BI19" s="144">
        <f t="shared" si="6"/>
        <v>40823</v>
      </c>
      <c r="BJ19" s="145">
        <f t="shared" si="13"/>
        <v>3401.9166666666665</v>
      </c>
      <c r="BK19" s="183"/>
      <c r="BL19" s="481">
        <v>3448</v>
      </c>
      <c r="BM19" s="144">
        <v>2057</v>
      </c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>
        <f t="shared" si="7"/>
        <v>5505</v>
      </c>
      <c r="BY19" s="145">
        <f t="shared" si="14"/>
        <v>2752.5</v>
      </c>
      <c r="CA19" s="169">
        <f>ROW()</f>
        <v>19</v>
      </c>
      <c r="CB19" s="169">
        <f>IFERROR(_xlfn.XLOOKUP($A$1,$2:$2,19:19)-_xlfn.XLOOKUP(EDATE($A$1,-12),$2:$2,19:19),"")</f>
        <v>-2108</v>
      </c>
      <c r="CC19" s="169">
        <f t="shared" si="15"/>
        <v>576.16666666666652</v>
      </c>
      <c r="CD19" s="169">
        <f>IFERROR(
  SUM(
    _xlfn.XLOOKUP(DATE(YEAR($A$1),1,1),$2:$2,19:19):
    _xlfn.XLOOKUP($A$1,$2:$2,19:19)
  )
 -SUM(
    _xlfn.XLOOKUP(DATE(YEAR($A$1)-1,1,1),$2:$2,19:19):
    _xlfn.XLOOKUP(EDATE($A$1,-12),$2:$2,19:19)
  ),"")</f>
        <v>-749</v>
      </c>
      <c r="CE19" s="4517">
        <f>IFERROR(
  _xlfn.XLOOKUP($A$1,$B$2:$BY$2,$B19:$BY19)
 -_xlfn.XLOOKUP(EDATE($A$1,-1),$B$2:$BY$2,$B19:$BY19),"")</f>
        <v>-1391</v>
      </c>
    </row>
    <row r="20" spans="1:83" ht="17.399999999999999" customHeight="1" x14ac:dyDescent="0.55000000000000004">
      <c r="A20" s="7210"/>
      <c r="B20" s="7204"/>
      <c r="C20" s="65" t="s">
        <v>401</v>
      </c>
      <c r="D20" s="146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>
        <f>SUM(D20:O20)</f>
        <v>0</v>
      </c>
      <c r="Q20" s="148">
        <f t="shared" si="22"/>
        <v>0</v>
      </c>
      <c r="R20" s="183"/>
      <c r="S20" s="146">
        <v>2673</v>
      </c>
      <c r="T20" s="147">
        <v>3325</v>
      </c>
      <c r="U20" s="147">
        <v>2765</v>
      </c>
      <c r="V20" s="147">
        <v>2517</v>
      </c>
      <c r="W20" s="147">
        <v>2848</v>
      </c>
      <c r="X20" s="147">
        <v>2647</v>
      </c>
      <c r="Y20" s="147">
        <v>2401</v>
      </c>
      <c r="Z20" s="147">
        <v>3939</v>
      </c>
      <c r="AA20" s="147">
        <v>1969</v>
      </c>
      <c r="AB20" s="147">
        <v>3771</v>
      </c>
      <c r="AC20" s="147">
        <v>2483</v>
      </c>
      <c r="AD20" s="147">
        <v>2154</v>
      </c>
      <c r="AE20" s="147">
        <f t="shared" si="23"/>
        <v>33492</v>
      </c>
      <c r="AF20" s="148">
        <f t="shared" si="24"/>
        <v>2791</v>
      </c>
      <c r="AG20" s="183"/>
      <c r="AH20" s="146">
        <v>3827</v>
      </c>
      <c r="AI20" s="147">
        <v>2367</v>
      </c>
      <c r="AJ20" s="147">
        <v>2659</v>
      </c>
      <c r="AK20" s="147">
        <v>2660</v>
      </c>
      <c r="AL20" s="147">
        <v>2722</v>
      </c>
      <c r="AM20" s="147">
        <v>2430</v>
      </c>
      <c r="AN20" s="147">
        <v>3561</v>
      </c>
      <c r="AO20" s="147">
        <v>2669</v>
      </c>
      <c r="AP20" s="147">
        <v>3449</v>
      </c>
      <c r="AQ20" s="147">
        <v>2697</v>
      </c>
      <c r="AR20" s="147">
        <v>2615</v>
      </c>
      <c r="AS20" s="147">
        <v>2227</v>
      </c>
      <c r="AT20" s="147">
        <f>SUM(AH20:AS20)</f>
        <v>33883</v>
      </c>
      <c r="AU20" s="148">
        <f t="shared" si="12"/>
        <v>2823.5833333333335</v>
      </c>
      <c r="AV20" s="183"/>
      <c r="AW20" s="482">
        <v>2105</v>
      </c>
      <c r="AX20" s="147">
        <v>4146</v>
      </c>
      <c r="AY20" s="147">
        <v>2905</v>
      </c>
      <c r="AZ20" s="147">
        <v>4278</v>
      </c>
      <c r="BA20" s="147">
        <v>5653</v>
      </c>
      <c r="BB20" s="147">
        <v>3230</v>
      </c>
      <c r="BC20" s="147">
        <v>4995</v>
      </c>
      <c r="BD20" s="147">
        <v>3059</v>
      </c>
      <c r="BE20" s="147">
        <v>4064</v>
      </c>
      <c r="BF20" s="147">
        <v>2692</v>
      </c>
      <c r="BG20" s="147">
        <v>2279</v>
      </c>
      <c r="BH20" s="147">
        <v>2360</v>
      </c>
      <c r="BI20" s="147">
        <f t="shared" si="6"/>
        <v>41766</v>
      </c>
      <c r="BJ20" s="148">
        <f t="shared" si="13"/>
        <v>3480.5</v>
      </c>
      <c r="BK20" s="183"/>
      <c r="BL20" s="482">
        <v>3397</v>
      </c>
      <c r="BM20" s="147">
        <v>2095</v>
      </c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>
        <f t="shared" si="7"/>
        <v>5492</v>
      </c>
      <c r="BY20" s="148">
        <f t="shared" si="14"/>
        <v>2746</v>
      </c>
      <c r="CA20" s="169">
        <f>ROW()</f>
        <v>20</v>
      </c>
      <c r="CB20" s="169">
        <f>IFERROR(_xlfn.XLOOKUP($A$1,$2:$2,20:20)-_xlfn.XLOOKUP(EDATE($A$1,-12),$2:$2,20:20),"")</f>
        <v>-2051</v>
      </c>
      <c r="CC20" s="169">
        <f t="shared" si="15"/>
        <v>656.91666666666652</v>
      </c>
      <c r="CD20" s="169">
        <f>IFERROR(
  SUM(
    _xlfn.XLOOKUP(DATE(YEAR($A$1),1,1),$2:$2,20:20):
    _xlfn.XLOOKUP($A$1,$2:$2,20:20)
  )
 -SUM(
    _xlfn.XLOOKUP(DATE(YEAR($A$1)-1,1,1),$2:$2,20:20):
    _xlfn.XLOOKUP(EDATE($A$1,-12),$2:$2,20:20)
  ),"")</f>
        <v>-759</v>
      </c>
      <c r="CE20" s="4517">
        <f>IFERROR(
  _xlfn.XLOOKUP($A$1,$B$2:$BY$2,$B20:$BY20)
 -_xlfn.XLOOKUP(EDATE($A$1,-1),$B$2:$BY$2,$B20:$BY20),"")</f>
        <v>-1302</v>
      </c>
    </row>
    <row r="21" spans="1:83" ht="17.399999999999999" customHeight="1" x14ac:dyDescent="0.55000000000000004">
      <c r="A21" s="7210"/>
      <c r="B21" s="7204"/>
      <c r="C21" s="65" t="s">
        <v>402</v>
      </c>
      <c r="D21" s="146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>
        <f>SUM(D21:O21)</f>
        <v>0</v>
      </c>
      <c r="Q21" s="148">
        <f t="shared" si="22"/>
        <v>0</v>
      </c>
      <c r="R21" s="183"/>
      <c r="S21" s="146">
        <v>3399</v>
      </c>
      <c r="T21" s="147">
        <v>4327</v>
      </c>
      <c r="U21" s="147">
        <v>3743</v>
      </c>
      <c r="V21" s="147">
        <v>3486</v>
      </c>
      <c r="W21" s="147">
        <v>3539</v>
      </c>
      <c r="X21" s="147">
        <v>3575</v>
      </c>
      <c r="Y21" s="147">
        <v>3219</v>
      </c>
      <c r="Z21" s="147">
        <v>5126</v>
      </c>
      <c r="AA21" s="147">
        <v>2634</v>
      </c>
      <c r="AB21" s="147">
        <v>4787</v>
      </c>
      <c r="AC21" s="147">
        <v>3308</v>
      </c>
      <c r="AD21" s="147">
        <v>2791</v>
      </c>
      <c r="AE21" s="147">
        <f t="shared" si="23"/>
        <v>43934</v>
      </c>
      <c r="AF21" s="148">
        <f t="shared" si="24"/>
        <v>3661.1666666666665</v>
      </c>
      <c r="AG21" s="183"/>
      <c r="AH21" s="146">
        <v>5009</v>
      </c>
      <c r="AI21" s="147">
        <v>3483</v>
      </c>
      <c r="AJ21" s="147">
        <v>3540</v>
      </c>
      <c r="AK21" s="147">
        <v>3505</v>
      </c>
      <c r="AL21" s="147">
        <v>3639</v>
      </c>
      <c r="AM21" s="147">
        <v>3169</v>
      </c>
      <c r="AN21" s="147">
        <v>4635</v>
      </c>
      <c r="AO21" s="147">
        <v>3662</v>
      </c>
      <c r="AP21" s="147">
        <v>4355</v>
      </c>
      <c r="AQ21" s="147">
        <v>3775</v>
      </c>
      <c r="AR21" s="147">
        <v>3254</v>
      </c>
      <c r="AS21" s="147">
        <v>2894</v>
      </c>
      <c r="AT21" s="147">
        <f>SUM(AH21:AS21)</f>
        <v>44920</v>
      </c>
      <c r="AU21" s="148">
        <f t="shared" si="12"/>
        <v>3743.3333333333335</v>
      </c>
      <c r="AV21" s="183"/>
      <c r="AW21" s="482">
        <v>2733</v>
      </c>
      <c r="AX21" s="147">
        <v>5529</v>
      </c>
      <c r="AY21" s="147">
        <v>3698</v>
      </c>
      <c r="AZ21" s="147">
        <v>4718</v>
      </c>
      <c r="BA21" s="147">
        <v>6330</v>
      </c>
      <c r="BB21" s="147">
        <v>4130</v>
      </c>
      <c r="BC21" s="147">
        <v>6251</v>
      </c>
      <c r="BD21" s="147">
        <v>3903</v>
      </c>
      <c r="BE21" s="147">
        <v>5065</v>
      </c>
      <c r="BF21" s="147">
        <v>3278</v>
      </c>
      <c r="BG21" s="147">
        <v>3001</v>
      </c>
      <c r="BH21" s="147">
        <v>2774</v>
      </c>
      <c r="BI21" s="147">
        <f t="shared" si="6"/>
        <v>51410</v>
      </c>
      <c r="BJ21" s="148">
        <f t="shared" si="13"/>
        <v>4284.166666666667</v>
      </c>
      <c r="BK21" s="183"/>
      <c r="BL21" s="482">
        <v>4176</v>
      </c>
      <c r="BM21" s="147">
        <v>2593.9999999999995</v>
      </c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>
        <f t="shared" si="7"/>
        <v>6770</v>
      </c>
      <c r="BY21" s="148">
        <f t="shared" si="14"/>
        <v>3385</v>
      </c>
      <c r="CA21" s="169">
        <f>ROW()</f>
        <v>21</v>
      </c>
      <c r="CB21" s="169">
        <f>IFERROR(_xlfn.XLOOKUP($A$1,$2:$2,21:21)-_xlfn.XLOOKUP(EDATE($A$1,-12),$2:$2,21:21),"")</f>
        <v>-2935.0000000000005</v>
      </c>
      <c r="CC21" s="169">
        <f t="shared" si="15"/>
        <v>540.83333333333348</v>
      </c>
      <c r="CD21" s="169">
        <f>IFERROR(
  SUM(
    _xlfn.XLOOKUP(DATE(YEAR($A$1),1,1),$2:$2,21:21):
    _xlfn.XLOOKUP($A$1,$2:$2,21:21)
  )
 -SUM(
    _xlfn.XLOOKUP(DATE(YEAR($A$1)-1,1,1),$2:$2,21:21):
    _xlfn.XLOOKUP(EDATE($A$1,-12),$2:$2,21:21)
  ),"")</f>
        <v>-1492</v>
      </c>
      <c r="CE21" s="4517">
        <f>IFERROR(
  _xlfn.XLOOKUP($A$1,$B$2:$BY$2,$B21:$BY21)
 -_xlfn.XLOOKUP(EDATE($A$1,-1),$B$2:$BY$2,$B21:$BY21),"")</f>
        <v>-1582.0000000000005</v>
      </c>
    </row>
    <row r="22" spans="1:83" ht="17.399999999999999" customHeight="1" x14ac:dyDescent="0.55000000000000004">
      <c r="A22" s="7210"/>
      <c r="B22" s="7204"/>
      <c r="C22" s="65" t="s">
        <v>403</v>
      </c>
      <c r="D22" s="146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>
        <f>SUM(D22:O22)</f>
        <v>0</v>
      </c>
      <c r="Q22" s="148">
        <f t="shared" si="22"/>
        <v>0</v>
      </c>
      <c r="R22" s="183"/>
      <c r="S22" s="146">
        <v>3970</v>
      </c>
      <c r="T22" s="147">
        <v>5596</v>
      </c>
      <c r="U22" s="147">
        <v>4158</v>
      </c>
      <c r="V22" s="147">
        <v>3917</v>
      </c>
      <c r="W22" s="147">
        <v>4335</v>
      </c>
      <c r="X22" s="147">
        <v>4134</v>
      </c>
      <c r="Y22" s="147">
        <v>3488</v>
      </c>
      <c r="Z22" s="147">
        <v>6496</v>
      </c>
      <c r="AA22" s="147">
        <v>3091</v>
      </c>
      <c r="AB22" s="147">
        <v>5367</v>
      </c>
      <c r="AC22" s="147">
        <v>3543</v>
      </c>
      <c r="AD22" s="147">
        <v>3211</v>
      </c>
      <c r="AE22" s="147">
        <f t="shared" si="23"/>
        <v>51306</v>
      </c>
      <c r="AF22" s="148">
        <f t="shared" si="24"/>
        <v>4275.5</v>
      </c>
      <c r="AG22" s="183"/>
      <c r="AH22" s="146">
        <v>6332</v>
      </c>
      <c r="AI22" s="147">
        <v>3754</v>
      </c>
      <c r="AJ22" s="147">
        <v>4077</v>
      </c>
      <c r="AK22" s="147">
        <v>3974</v>
      </c>
      <c r="AL22" s="147">
        <v>4075</v>
      </c>
      <c r="AM22" s="147">
        <v>3642</v>
      </c>
      <c r="AN22" s="147">
        <v>5618</v>
      </c>
      <c r="AO22" s="147">
        <v>3977</v>
      </c>
      <c r="AP22" s="147">
        <v>5005</v>
      </c>
      <c r="AQ22" s="147">
        <v>3884</v>
      </c>
      <c r="AR22" s="147">
        <v>3603</v>
      </c>
      <c r="AS22" s="147">
        <v>3099</v>
      </c>
      <c r="AT22" s="147">
        <f>SUM(AH22:AS22)</f>
        <v>51040</v>
      </c>
      <c r="AU22" s="148">
        <f t="shared" si="12"/>
        <v>4253.333333333333</v>
      </c>
      <c r="AV22" s="183"/>
      <c r="AW22" s="482">
        <v>2642</v>
      </c>
      <c r="AX22" s="147">
        <v>6334</v>
      </c>
      <c r="AY22" s="147">
        <v>4349</v>
      </c>
      <c r="AZ22" s="147">
        <v>5391</v>
      </c>
      <c r="BA22" s="147">
        <v>6581</v>
      </c>
      <c r="BB22" s="147">
        <v>4348</v>
      </c>
      <c r="BC22" s="147">
        <v>7327</v>
      </c>
      <c r="BD22" s="147">
        <v>4271</v>
      </c>
      <c r="BE22" s="147">
        <v>5486</v>
      </c>
      <c r="BF22" s="147">
        <v>3875</v>
      </c>
      <c r="BG22" s="147">
        <v>3364</v>
      </c>
      <c r="BH22" s="147">
        <v>3073</v>
      </c>
      <c r="BI22" s="147">
        <f t="shared" si="6"/>
        <v>57041</v>
      </c>
      <c r="BJ22" s="148">
        <f t="shared" si="13"/>
        <v>4753.416666666667</v>
      </c>
      <c r="BK22" s="183"/>
      <c r="BL22" s="482">
        <v>4756</v>
      </c>
      <c r="BM22" s="147">
        <v>2833</v>
      </c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>
        <f t="shared" si="7"/>
        <v>7589</v>
      </c>
      <c r="BY22" s="148">
        <f t="shared" si="14"/>
        <v>3794.5</v>
      </c>
      <c r="CA22" s="169">
        <f>ROW()</f>
        <v>22</v>
      </c>
      <c r="CB22" s="169">
        <f>IFERROR(_xlfn.XLOOKUP($A$1,$2:$2,22:22)-_xlfn.XLOOKUP(EDATE($A$1,-12),$2:$2,22:22),"")</f>
        <v>-3501</v>
      </c>
      <c r="CC22" s="169">
        <f t="shared" si="15"/>
        <v>500.08333333333394</v>
      </c>
      <c r="CD22" s="169">
        <f>IFERROR(
  SUM(
    _xlfn.XLOOKUP(DATE(YEAR($A$1),1,1),$2:$2,22:22):
    _xlfn.XLOOKUP($A$1,$2:$2,22:22)
  )
 -SUM(
    _xlfn.XLOOKUP(DATE(YEAR($A$1)-1,1,1),$2:$2,22:22):
    _xlfn.XLOOKUP(EDATE($A$1,-12),$2:$2,22:22)
  ),"")</f>
        <v>-1387</v>
      </c>
      <c r="CE22" s="4517">
        <f>IFERROR(
  _xlfn.XLOOKUP($A$1,$B$2:$BY$2,$B22:$BY22)
 -_xlfn.XLOOKUP(EDATE($A$1,-1),$B$2:$BY$2,$B22:$BY22),"")</f>
        <v>-1923</v>
      </c>
    </row>
    <row r="23" spans="1:83" ht="17.399999999999999" customHeight="1" x14ac:dyDescent="0.55000000000000004">
      <c r="A23" s="7210"/>
      <c r="B23" s="7205"/>
      <c r="C23" s="66" t="s">
        <v>404</v>
      </c>
      <c r="D23" s="149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>
        <f>SUM(D23:O23)</f>
        <v>0</v>
      </c>
      <c r="Q23" s="151">
        <f t="shared" si="22"/>
        <v>0</v>
      </c>
      <c r="R23" s="183"/>
      <c r="S23" s="149">
        <v>2857</v>
      </c>
      <c r="T23" s="150">
        <v>4148</v>
      </c>
      <c r="U23" s="150">
        <v>3299</v>
      </c>
      <c r="V23" s="150">
        <v>3009</v>
      </c>
      <c r="W23" s="150">
        <v>3449</v>
      </c>
      <c r="X23" s="150">
        <v>3099</v>
      </c>
      <c r="Y23" s="150">
        <v>2999</v>
      </c>
      <c r="Z23" s="150">
        <v>4941</v>
      </c>
      <c r="AA23" s="150">
        <v>2457</v>
      </c>
      <c r="AB23" s="150">
        <v>4320</v>
      </c>
      <c r="AC23" s="150">
        <v>2997</v>
      </c>
      <c r="AD23" s="150">
        <v>2653</v>
      </c>
      <c r="AE23" s="150">
        <f t="shared" si="23"/>
        <v>40228</v>
      </c>
      <c r="AF23" s="151">
        <f t="shared" si="24"/>
        <v>3352.3333333333335</v>
      </c>
      <c r="AG23" s="183"/>
      <c r="AH23" s="149">
        <v>4555</v>
      </c>
      <c r="AI23" s="150">
        <v>2851</v>
      </c>
      <c r="AJ23" s="150">
        <v>3249</v>
      </c>
      <c r="AK23" s="150">
        <v>3165</v>
      </c>
      <c r="AL23" s="150">
        <v>3061</v>
      </c>
      <c r="AM23" s="150">
        <v>2908</v>
      </c>
      <c r="AN23" s="150">
        <v>4279</v>
      </c>
      <c r="AO23" s="150">
        <v>3162</v>
      </c>
      <c r="AP23" s="150">
        <v>4164</v>
      </c>
      <c r="AQ23" s="150">
        <v>3116</v>
      </c>
      <c r="AR23" s="150">
        <v>2960</v>
      </c>
      <c r="AS23" s="150">
        <v>2645</v>
      </c>
      <c r="AT23" s="150">
        <f>SUM(AH23:AS23)</f>
        <v>40115</v>
      </c>
      <c r="AU23" s="151">
        <f t="shared" si="12"/>
        <v>3342.9166666666665</v>
      </c>
      <c r="AV23" s="183"/>
      <c r="AW23" s="483">
        <v>2361</v>
      </c>
      <c r="AX23" s="150">
        <v>4826</v>
      </c>
      <c r="AY23" s="150">
        <v>3388</v>
      </c>
      <c r="AZ23" s="150">
        <v>3978</v>
      </c>
      <c r="BA23" s="150">
        <v>5323</v>
      </c>
      <c r="BB23" s="150">
        <v>3166</v>
      </c>
      <c r="BC23" s="150">
        <v>5525</v>
      </c>
      <c r="BD23" s="150">
        <v>3336</v>
      </c>
      <c r="BE23" s="150">
        <v>4452</v>
      </c>
      <c r="BF23" s="150">
        <v>2888</v>
      </c>
      <c r="BG23" s="150">
        <v>2663</v>
      </c>
      <c r="BH23" s="150">
        <v>2437</v>
      </c>
      <c r="BI23" s="150">
        <f t="shared" si="6"/>
        <v>44343</v>
      </c>
      <c r="BJ23" s="151">
        <f t="shared" si="13"/>
        <v>3695.25</v>
      </c>
      <c r="BK23" s="183"/>
      <c r="BL23" s="483">
        <v>3939</v>
      </c>
      <c r="BM23" s="150">
        <v>2445</v>
      </c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>
        <f t="shared" si="7"/>
        <v>6384</v>
      </c>
      <c r="BY23" s="151">
        <f t="shared" si="14"/>
        <v>3192</v>
      </c>
      <c r="CA23" s="169">
        <f>ROW()</f>
        <v>23</v>
      </c>
      <c r="CB23" s="169">
        <f>IFERROR(_xlfn.XLOOKUP($A$1,$2:$2,23:23)-_xlfn.XLOOKUP(EDATE($A$1,-12),$2:$2,23:23),"")</f>
        <v>-2381</v>
      </c>
      <c r="CC23" s="169">
        <f t="shared" si="15"/>
        <v>352.33333333333348</v>
      </c>
      <c r="CD23" s="169">
        <f>IFERROR(
  SUM(
    _xlfn.XLOOKUP(DATE(YEAR($A$1),1,1),$2:$2,23:23):
    _xlfn.XLOOKUP($A$1,$2:$2,23:23)
  )
 -SUM(
    _xlfn.XLOOKUP(DATE(YEAR($A$1)-1,1,1),$2:$2,23:23):
    _xlfn.XLOOKUP(EDATE($A$1,-12),$2:$2,23:23)
  ),"")</f>
        <v>-803</v>
      </c>
      <c r="CE23" s="4517">
        <f>IFERROR(
  _xlfn.XLOOKUP($A$1,$B$2:$BY$2,$B23:$BY23)
 -_xlfn.XLOOKUP(EDATE($A$1,-1),$B$2:$BY$2,$B23:$BY23),"")</f>
        <v>-1494</v>
      </c>
    </row>
    <row r="24" spans="1:83" ht="17.399999999999999" customHeight="1" x14ac:dyDescent="0.55000000000000004">
      <c r="A24" s="7210"/>
      <c r="B24" s="7206" t="s">
        <v>412</v>
      </c>
      <c r="C24" s="67" t="s">
        <v>211</v>
      </c>
      <c r="D24" s="152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>
        <f t="shared" ref="P24:P38" si="25">SUM(D24:O24)</f>
        <v>0</v>
      </c>
      <c r="Q24" s="154">
        <f t="shared" si="22"/>
        <v>0</v>
      </c>
      <c r="R24" s="183"/>
      <c r="S24" s="152">
        <v>1213</v>
      </c>
      <c r="T24" s="153">
        <v>1623</v>
      </c>
      <c r="U24" s="153">
        <v>1387</v>
      </c>
      <c r="V24" s="153">
        <v>1328</v>
      </c>
      <c r="W24" s="153">
        <v>1416</v>
      </c>
      <c r="X24" s="153">
        <v>1263</v>
      </c>
      <c r="Y24" s="153">
        <v>1194</v>
      </c>
      <c r="Z24" s="153">
        <v>1908</v>
      </c>
      <c r="AA24" s="153">
        <v>993</v>
      </c>
      <c r="AB24" s="153">
        <v>1766</v>
      </c>
      <c r="AC24" s="153">
        <v>1372</v>
      </c>
      <c r="AD24" s="153">
        <v>1053</v>
      </c>
      <c r="AE24" s="153">
        <f t="shared" si="23"/>
        <v>16516</v>
      </c>
      <c r="AF24" s="154">
        <f t="shared" si="24"/>
        <v>1376.3333333333333</v>
      </c>
      <c r="AG24" s="183"/>
      <c r="AH24" s="390">
        <v>1734</v>
      </c>
      <c r="AI24" s="391">
        <v>1060</v>
      </c>
      <c r="AJ24" s="391">
        <v>1341</v>
      </c>
      <c r="AK24" s="391">
        <v>1324</v>
      </c>
      <c r="AL24" s="391">
        <v>1295</v>
      </c>
      <c r="AM24" s="391">
        <v>1172</v>
      </c>
      <c r="AN24" s="391">
        <v>1813</v>
      </c>
      <c r="AO24" s="153">
        <v>1302</v>
      </c>
      <c r="AP24" s="153">
        <v>1757.0000000000002</v>
      </c>
      <c r="AQ24" s="153">
        <v>1342</v>
      </c>
      <c r="AR24" s="153">
        <v>1268</v>
      </c>
      <c r="AS24" s="153">
        <v>1136</v>
      </c>
      <c r="AT24" s="153">
        <f t="shared" ref="AT24:AT38" si="26">SUM(AH24:AS24)</f>
        <v>16544</v>
      </c>
      <c r="AU24" s="154">
        <f t="shared" si="12"/>
        <v>1378.6666666666667</v>
      </c>
      <c r="AV24" s="183"/>
      <c r="AW24" s="484">
        <v>1028</v>
      </c>
      <c r="AX24" s="391">
        <v>1990</v>
      </c>
      <c r="AY24" s="391">
        <v>1362</v>
      </c>
      <c r="AZ24" s="391">
        <v>2089</v>
      </c>
      <c r="BA24" s="391">
        <v>2723</v>
      </c>
      <c r="BB24" s="391">
        <v>1650</v>
      </c>
      <c r="BC24" s="391">
        <v>2507</v>
      </c>
      <c r="BD24" s="153">
        <v>1451</v>
      </c>
      <c r="BE24" s="153">
        <v>2087</v>
      </c>
      <c r="BF24" s="153">
        <v>1269</v>
      </c>
      <c r="BG24" s="153">
        <v>1136</v>
      </c>
      <c r="BH24" s="153">
        <v>1095</v>
      </c>
      <c r="BI24" s="153">
        <f t="shared" ref="BI24:BI38" si="27">SUM(AW24:BH24)</f>
        <v>20387</v>
      </c>
      <c r="BJ24" s="154">
        <f t="shared" si="13"/>
        <v>1698.9166666666667</v>
      </c>
      <c r="BK24" s="183"/>
      <c r="BL24" s="484">
        <v>1727</v>
      </c>
      <c r="BM24" s="391">
        <v>999</v>
      </c>
      <c r="BN24" s="391"/>
      <c r="BO24" s="391"/>
      <c r="BP24" s="391"/>
      <c r="BQ24" s="391"/>
      <c r="BR24" s="391"/>
      <c r="BS24" s="153"/>
      <c r="BT24" s="153"/>
      <c r="BU24" s="153"/>
      <c r="BV24" s="153"/>
      <c r="BW24" s="153"/>
      <c r="BX24" s="153">
        <f t="shared" ref="BX24:BX38" si="28">SUM(BL24:BW24)</f>
        <v>2726</v>
      </c>
      <c r="BY24" s="154">
        <f t="shared" si="14"/>
        <v>1363</v>
      </c>
      <c r="CA24" s="169">
        <f>ROW()</f>
        <v>24</v>
      </c>
      <c r="CB24" s="169">
        <f>IFERROR(_xlfn.XLOOKUP($A$1,$2:$2,24:24)-_xlfn.XLOOKUP(EDATE($A$1,-12),$2:$2,24:24),"")</f>
        <v>-991</v>
      </c>
      <c r="CC24" s="169">
        <f t="shared" si="15"/>
        <v>320.25</v>
      </c>
      <c r="CD24" s="169">
        <f>IFERROR(
  SUM(
    _xlfn.XLOOKUP(DATE(YEAR($A$1),1,1),$2:$2,24:24):
    _xlfn.XLOOKUP($A$1,$2:$2,24:24)
  )
 -SUM(
    _xlfn.XLOOKUP(DATE(YEAR($A$1)-1,1,1),$2:$2,24:24):
    _xlfn.XLOOKUP(EDATE($A$1,-12),$2:$2,24:24)
  ),"")</f>
        <v>-292</v>
      </c>
      <c r="CE24" s="4517">
        <f>IFERROR(
  _xlfn.XLOOKUP($A$1,$B$2:$BY$2,$B24:$BY24)
 -_xlfn.XLOOKUP(EDATE($A$1,-1),$B$2:$BY$2,$B24:$BY24),"")</f>
        <v>-728</v>
      </c>
    </row>
    <row r="25" spans="1:83" ht="17.399999999999999" customHeight="1" x14ac:dyDescent="0.55000000000000004">
      <c r="A25" s="7210"/>
      <c r="B25" s="7207"/>
      <c r="C25" s="67" t="s">
        <v>212</v>
      </c>
      <c r="D25" s="152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>
        <f t="shared" si="25"/>
        <v>0</v>
      </c>
      <c r="Q25" s="154">
        <f t="shared" si="22"/>
        <v>0</v>
      </c>
      <c r="R25" s="183"/>
      <c r="S25" s="152">
        <v>1173</v>
      </c>
      <c r="T25" s="153">
        <v>1584</v>
      </c>
      <c r="U25" s="153">
        <v>1218</v>
      </c>
      <c r="V25" s="153">
        <v>1207</v>
      </c>
      <c r="W25" s="153">
        <v>1324</v>
      </c>
      <c r="X25" s="153">
        <v>1259</v>
      </c>
      <c r="Y25" s="153">
        <v>1144</v>
      </c>
      <c r="Z25" s="153">
        <v>1886</v>
      </c>
      <c r="AA25" s="153">
        <v>924</v>
      </c>
      <c r="AB25" s="153">
        <v>1678</v>
      </c>
      <c r="AC25" s="153">
        <v>1113</v>
      </c>
      <c r="AD25" s="153">
        <v>916</v>
      </c>
      <c r="AE25" s="153">
        <f t="shared" si="23"/>
        <v>15426</v>
      </c>
      <c r="AF25" s="154">
        <f t="shared" si="24"/>
        <v>1285.5</v>
      </c>
      <c r="AG25" s="183"/>
      <c r="AH25" s="390">
        <v>1863.0000000000002</v>
      </c>
      <c r="AI25" s="391">
        <v>1182</v>
      </c>
      <c r="AJ25" s="391">
        <v>1290</v>
      </c>
      <c r="AK25" s="391">
        <v>1249</v>
      </c>
      <c r="AL25" s="391">
        <v>1364</v>
      </c>
      <c r="AM25" s="391">
        <v>1268</v>
      </c>
      <c r="AN25" s="391">
        <v>1923.0000000000002</v>
      </c>
      <c r="AO25" s="153">
        <v>1476</v>
      </c>
      <c r="AP25" s="153">
        <v>1819</v>
      </c>
      <c r="AQ25" s="153">
        <v>1440</v>
      </c>
      <c r="AR25" s="153">
        <v>1324</v>
      </c>
      <c r="AS25" s="153">
        <v>1167</v>
      </c>
      <c r="AT25" s="153">
        <f t="shared" si="26"/>
        <v>17365</v>
      </c>
      <c r="AU25" s="154">
        <f t="shared" si="12"/>
        <v>1447.0833333333333</v>
      </c>
      <c r="AV25" s="183"/>
      <c r="AW25" s="484">
        <v>1061</v>
      </c>
      <c r="AX25" s="391">
        <v>2175</v>
      </c>
      <c r="AY25" s="391">
        <v>1443</v>
      </c>
      <c r="AZ25" s="391">
        <v>1900</v>
      </c>
      <c r="BA25" s="391">
        <v>2585</v>
      </c>
      <c r="BB25" s="391">
        <v>1526</v>
      </c>
      <c r="BC25" s="391">
        <v>2550</v>
      </c>
      <c r="BD25" s="153">
        <v>1563</v>
      </c>
      <c r="BE25" s="153">
        <v>1975.0000000000002</v>
      </c>
      <c r="BF25" s="153">
        <v>1349</v>
      </c>
      <c r="BG25" s="153">
        <v>1231</v>
      </c>
      <c r="BH25" s="153">
        <v>1078</v>
      </c>
      <c r="BI25" s="153">
        <f t="shared" si="27"/>
        <v>20436</v>
      </c>
      <c r="BJ25" s="154">
        <f t="shared" si="13"/>
        <v>1703</v>
      </c>
      <c r="BK25" s="183"/>
      <c r="BL25" s="484">
        <v>1721</v>
      </c>
      <c r="BM25" s="391">
        <v>1058</v>
      </c>
      <c r="BN25" s="391"/>
      <c r="BO25" s="391"/>
      <c r="BP25" s="391"/>
      <c r="BQ25" s="391"/>
      <c r="BR25" s="391"/>
      <c r="BS25" s="153"/>
      <c r="BT25" s="153"/>
      <c r="BU25" s="153"/>
      <c r="BV25" s="153"/>
      <c r="BW25" s="153"/>
      <c r="BX25" s="153">
        <f t="shared" si="28"/>
        <v>2779</v>
      </c>
      <c r="BY25" s="154">
        <f t="shared" si="14"/>
        <v>1389.5</v>
      </c>
      <c r="CA25" s="169">
        <f>ROW()</f>
        <v>25</v>
      </c>
      <c r="CB25" s="169">
        <f>IFERROR(_xlfn.XLOOKUP($A$1,$2:$2,25:25)-_xlfn.XLOOKUP(EDATE($A$1,-12),$2:$2,25:25),"")</f>
        <v>-1117</v>
      </c>
      <c r="CC25" s="169">
        <f t="shared" si="15"/>
        <v>255.91666666666674</v>
      </c>
      <c r="CD25" s="169">
        <f>IFERROR(
  SUM(
    _xlfn.XLOOKUP(DATE(YEAR($A$1),1,1),$2:$2,25:25):
    _xlfn.XLOOKUP($A$1,$2:$2,25:25)
  )
 -SUM(
    _xlfn.XLOOKUP(DATE(YEAR($A$1)-1,1,1),$2:$2,25:25):
    _xlfn.XLOOKUP(EDATE($A$1,-12),$2:$2,25:25)
  ),"")</f>
        <v>-457</v>
      </c>
      <c r="CE25" s="4517">
        <f>IFERROR(
  _xlfn.XLOOKUP($A$1,$B$2:$BY$2,$B25:$BY25)
 -_xlfn.XLOOKUP(EDATE($A$1,-1),$B$2:$BY$2,$B25:$BY25),"")</f>
        <v>-663</v>
      </c>
    </row>
    <row r="26" spans="1:83" ht="17.399999999999999" customHeight="1" x14ac:dyDescent="0.55000000000000004">
      <c r="A26" s="7210"/>
      <c r="B26" s="7207"/>
      <c r="C26" s="68" t="s">
        <v>213</v>
      </c>
      <c r="D26" s="155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>
        <f t="shared" si="25"/>
        <v>0</v>
      </c>
      <c r="Q26" s="157">
        <f t="shared" si="22"/>
        <v>0</v>
      </c>
      <c r="R26" s="183"/>
      <c r="S26" s="155">
        <v>1136</v>
      </c>
      <c r="T26" s="156">
        <v>1350</v>
      </c>
      <c r="U26" s="156">
        <v>1184</v>
      </c>
      <c r="V26" s="156">
        <v>1041</v>
      </c>
      <c r="W26" s="156">
        <v>1325</v>
      </c>
      <c r="X26" s="156">
        <v>1175</v>
      </c>
      <c r="Y26" s="156">
        <v>1080</v>
      </c>
      <c r="Z26" s="156">
        <v>1716</v>
      </c>
      <c r="AA26" s="156">
        <v>911</v>
      </c>
      <c r="AB26" s="156">
        <v>1725</v>
      </c>
      <c r="AC26" s="156">
        <v>1172</v>
      </c>
      <c r="AD26" s="156">
        <v>980</v>
      </c>
      <c r="AE26" s="156">
        <f t="shared" si="23"/>
        <v>14795</v>
      </c>
      <c r="AF26" s="157">
        <f t="shared" si="24"/>
        <v>1232.9166666666667</v>
      </c>
      <c r="AG26" s="183"/>
      <c r="AH26" s="392">
        <v>1776</v>
      </c>
      <c r="AI26" s="393">
        <v>1076</v>
      </c>
      <c r="AJ26" s="393">
        <v>1212</v>
      </c>
      <c r="AK26" s="393">
        <v>1234</v>
      </c>
      <c r="AL26" s="393">
        <v>1177</v>
      </c>
      <c r="AM26" s="393">
        <v>1133</v>
      </c>
      <c r="AN26" s="393">
        <v>1612</v>
      </c>
      <c r="AO26" s="156">
        <v>1205</v>
      </c>
      <c r="AP26" s="156">
        <v>1562</v>
      </c>
      <c r="AQ26" s="156">
        <v>1238</v>
      </c>
      <c r="AR26" s="156">
        <v>1172</v>
      </c>
      <c r="AS26" s="156">
        <v>968.00000000000011</v>
      </c>
      <c r="AT26" s="156">
        <f t="shared" si="26"/>
        <v>15365</v>
      </c>
      <c r="AU26" s="157">
        <f t="shared" si="12"/>
        <v>1280.4166666666667</v>
      </c>
      <c r="AV26" s="183"/>
      <c r="AW26" s="485">
        <v>919.99999999999989</v>
      </c>
      <c r="AX26" s="393">
        <v>1762</v>
      </c>
      <c r="AY26" s="393">
        <v>1260</v>
      </c>
      <c r="AZ26" s="393">
        <v>2083</v>
      </c>
      <c r="BA26" s="393">
        <v>2690</v>
      </c>
      <c r="BB26" s="393">
        <v>1466</v>
      </c>
      <c r="BC26" s="393">
        <v>2308</v>
      </c>
      <c r="BD26" s="156">
        <v>1345</v>
      </c>
      <c r="BE26" s="156">
        <v>1876.0000000000002</v>
      </c>
      <c r="BF26" s="156">
        <v>1239</v>
      </c>
      <c r="BG26" s="156">
        <v>1000</v>
      </c>
      <c r="BH26" s="156">
        <v>1074</v>
      </c>
      <c r="BI26" s="156">
        <f t="shared" si="27"/>
        <v>19023</v>
      </c>
      <c r="BJ26" s="157">
        <f t="shared" si="13"/>
        <v>1585.25</v>
      </c>
      <c r="BK26" s="183"/>
      <c r="BL26" s="485">
        <v>1501</v>
      </c>
      <c r="BM26" s="393">
        <v>913</v>
      </c>
      <c r="BN26" s="393"/>
      <c r="BO26" s="393"/>
      <c r="BP26" s="393"/>
      <c r="BQ26" s="393"/>
      <c r="BR26" s="393"/>
      <c r="BS26" s="156"/>
      <c r="BT26" s="156"/>
      <c r="BU26" s="156"/>
      <c r="BV26" s="156"/>
      <c r="BW26" s="156"/>
      <c r="BX26" s="156">
        <f t="shared" si="28"/>
        <v>2414</v>
      </c>
      <c r="BY26" s="157">
        <f t="shared" si="14"/>
        <v>1207</v>
      </c>
      <c r="CA26" s="169">
        <f>ROW()</f>
        <v>26</v>
      </c>
      <c r="CB26" s="169">
        <f>IFERROR(_xlfn.XLOOKUP($A$1,$2:$2,26:26)-_xlfn.XLOOKUP(EDATE($A$1,-12),$2:$2,26:26),"")</f>
        <v>-849</v>
      </c>
      <c r="CC26" s="169">
        <f t="shared" si="15"/>
        <v>304.83333333333326</v>
      </c>
      <c r="CD26" s="169">
        <f>IFERROR(
  SUM(
    _xlfn.XLOOKUP(DATE(YEAR($A$1),1,1),$2:$2,26:26):
    _xlfn.XLOOKUP($A$1,$2:$2,26:26)
  )
 -SUM(
    _xlfn.XLOOKUP(DATE(YEAR($A$1)-1,1,1),$2:$2,26:26):
    _xlfn.XLOOKUP(EDATE($A$1,-12),$2:$2,26:26)
  ),"")</f>
        <v>-268</v>
      </c>
      <c r="CE26" s="4517">
        <f>IFERROR(
  _xlfn.XLOOKUP($A$1,$B$2:$BY$2,$B26:$BY26)
 -_xlfn.XLOOKUP(EDATE($A$1,-1),$B$2:$BY$2,$B26:$BY26),"")</f>
        <v>-588</v>
      </c>
    </row>
    <row r="27" spans="1:83" ht="17.399999999999999" customHeight="1" x14ac:dyDescent="0.55000000000000004">
      <c r="A27" s="7210"/>
      <c r="B27" s="7207"/>
      <c r="C27" s="68" t="s">
        <v>214</v>
      </c>
      <c r="D27" s="155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>
        <f t="shared" si="25"/>
        <v>0</v>
      </c>
      <c r="Q27" s="157">
        <f t="shared" si="22"/>
        <v>0</v>
      </c>
      <c r="R27" s="183"/>
      <c r="S27" s="155">
        <v>1537</v>
      </c>
      <c r="T27" s="156">
        <v>1975</v>
      </c>
      <c r="U27" s="156">
        <v>1581</v>
      </c>
      <c r="V27" s="156">
        <v>1476</v>
      </c>
      <c r="W27" s="156">
        <v>1523</v>
      </c>
      <c r="X27" s="156">
        <v>1472</v>
      </c>
      <c r="Y27" s="156">
        <v>1321</v>
      </c>
      <c r="Z27" s="156">
        <v>2223</v>
      </c>
      <c r="AA27" s="156">
        <v>1058</v>
      </c>
      <c r="AB27" s="156">
        <v>2046</v>
      </c>
      <c r="AC27" s="156">
        <v>1311</v>
      </c>
      <c r="AD27" s="156">
        <v>1174</v>
      </c>
      <c r="AE27" s="156">
        <f t="shared" si="23"/>
        <v>18697</v>
      </c>
      <c r="AF27" s="157">
        <f t="shared" si="24"/>
        <v>1558.0833333333333</v>
      </c>
      <c r="AG27" s="183"/>
      <c r="AH27" s="392">
        <v>2051</v>
      </c>
      <c r="AI27" s="393">
        <v>1291</v>
      </c>
      <c r="AJ27" s="393">
        <v>1447</v>
      </c>
      <c r="AK27" s="393">
        <v>1426</v>
      </c>
      <c r="AL27" s="393">
        <v>1545</v>
      </c>
      <c r="AM27" s="393">
        <v>1297</v>
      </c>
      <c r="AN27" s="393">
        <v>1949.0000000000002</v>
      </c>
      <c r="AO27" s="156">
        <v>1464</v>
      </c>
      <c r="AP27" s="156">
        <v>1887</v>
      </c>
      <c r="AQ27" s="156">
        <v>1459</v>
      </c>
      <c r="AR27" s="156">
        <v>1443</v>
      </c>
      <c r="AS27" s="156">
        <v>1259</v>
      </c>
      <c r="AT27" s="156">
        <f t="shared" si="26"/>
        <v>18518</v>
      </c>
      <c r="AU27" s="157">
        <f t="shared" si="12"/>
        <v>1543.1666666666667</v>
      </c>
      <c r="AV27" s="183"/>
      <c r="AW27" s="485">
        <v>1185</v>
      </c>
      <c r="AX27" s="393">
        <v>2384</v>
      </c>
      <c r="AY27" s="393">
        <v>1645</v>
      </c>
      <c r="AZ27" s="393">
        <v>2195</v>
      </c>
      <c r="BA27" s="393">
        <v>2963</v>
      </c>
      <c r="BB27" s="393">
        <v>1764</v>
      </c>
      <c r="BC27" s="393">
        <v>2687</v>
      </c>
      <c r="BD27" s="156">
        <v>1714</v>
      </c>
      <c r="BE27" s="156">
        <v>2188</v>
      </c>
      <c r="BF27" s="156">
        <v>1453</v>
      </c>
      <c r="BG27" s="156">
        <v>1279</v>
      </c>
      <c r="BH27" s="156">
        <v>1286</v>
      </c>
      <c r="BI27" s="156">
        <f t="shared" si="27"/>
        <v>22743</v>
      </c>
      <c r="BJ27" s="157">
        <f t="shared" si="13"/>
        <v>1895.25</v>
      </c>
      <c r="BK27" s="183"/>
      <c r="BL27" s="485">
        <v>1896</v>
      </c>
      <c r="BM27" s="393">
        <v>1182</v>
      </c>
      <c r="BN27" s="393"/>
      <c r="BO27" s="393"/>
      <c r="BP27" s="393"/>
      <c r="BQ27" s="393"/>
      <c r="BR27" s="393"/>
      <c r="BS27" s="156"/>
      <c r="BT27" s="156"/>
      <c r="BU27" s="156"/>
      <c r="BV27" s="156"/>
      <c r="BW27" s="156"/>
      <c r="BX27" s="156">
        <f t="shared" si="28"/>
        <v>3078</v>
      </c>
      <c r="BY27" s="157">
        <f t="shared" si="14"/>
        <v>1539</v>
      </c>
      <c r="CA27" s="169">
        <f>ROW()</f>
        <v>27</v>
      </c>
      <c r="CB27" s="169">
        <f>IFERROR(_xlfn.XLOOKUP($A$1,$2:$2,27:27)-_xlfn.XLOOKUP(EDATE($A$1,-12),$2:$2,27:27),"")</f>
        <v>-1202</v>
      </c>
      <c r="CC27" s="169">
        <f t="shared" si="15"/>
        <v>352.08333333333326</v>
      </c>
      <c r="CD27" s="169">
        <f>IFERROR(
  SUM(
    _xlfn.XLOOKUP(DATE(YEAR($A$1),1,1),$2:$2,27:27):
    _xlfn.XLOOKUP($A$1,$2:$2,27:27)
  )
 -SUM(
    _xlfn.XLOOKUP(DATE(YEAR($A$1)-1,1,1),$2:$2,27:27):
    _xlfn.XLOOKUP(EDATE($A$1,-12),$2:$2,27:27)
  ),"")</f>
        <v>-491</v>
      </c>
      <c r="CE27" s="4517">
        <f>IFERROR(
  _xlfn.XLOOKUP($A$1,$B$2:$BY$2,$B27:$BY27)
 -_xlfn.XLOOKUP(EDATE($A$1,-1),$B$2:$BY$2,$B27:$BY27),"")</f>
        <v>-714</v>
      </c>
    </row>
    <row r="28" spans="1:83" ht="17.399999999999999" customHeight="1" x14ac:dyDescent="0.55000000000000004">
      <c r="A28" s="7210"/>
      <c r="B28" s="7207"/>
      <c r="C28" s="67" t="s">
        <v>215</v>
      </c>
      <c r="D28" s="152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>
        <f t="shared" si="25"/>
        <v>0</v>
      </c>
      <c r="Q28" s="154">
        <f t="shared" si="22"/>
        <v>0</v>
      </c>
      <c r="R28" s="183"/>
      <c r="S28" s="152">
        <v>2058</v>
      </c>
      <c r="T28" s="153">
        <v>2666</v>
      </c>
      <c r="U28" s="153">
        <v>2218</v>
      </c>
      <c r="V28" s="153">
        <v>2116</v>
      </c>
      <c r="W28" s="153">
        <v>2104</v>
      </c>
      <c r="X28" s="153">
        <v>2154</v>
      </c>
      <c r="Y28" s="153">
        <v>2059</v>
      </c>
      <c r="Z28" s="153">
        <v>2921</v>
      </c>
      <c r="AA28" s="153">
        <v>1578</v>
      </c>
      <c r="AB28" s="153">
        <v>2910</v>
      </c>
      <c r="AC28" s="153">
        <v>2036</v>
      </c>
      <c r="AD28" s="153">
        <v>1754</v>
      </c>
      <c r="AE28" s="153">
        <f t="shared" si="23"/>
        <v>26574</v>
      </c>
      <c r="AF28" s="154">
        <f t="shared" si="24"/>
        <v>2214.5</v>
      </c>
      <c r="AG28" s="183"/>
      <c r="AH28" s="390">
        <v>2929</v>
      </c>
      <c r="AI28" s="391">
        <v>2059</v>
      </c>
      <c r="AJ28" s="391">
        <v>2083</v>
      </c>
      <c r="AK28" s="391">
        <v>2109</v>
      </c>
      <c r="AL28" s="391">
        <v>2180</v>
      </c>
      <c r="AM28" s="391">
        <v>1955</v>
      </c>
      <c r="AN28" s="391">
        <v>2865</v>
      </c>
      <c r="AO28" s="153">
        <v>2226</v>
      </c>
      <c r="AP28" s="153">
        <v>2679</v>
      </c>
      <c r="AQ28" s="153">
        <v>2265</v>
      </c>
      <c r="AR28" s="153">
        <v>1967.0000000000002</v>
      </c>
      <c r="AS28" s="153">
        <v>1832.0000000000002</v>
      </c>
      <c r="AT28" s="153">
        <f t="shared" si="26"/>
        <v>27149</v>
      </c>
      <c r="AU28" s="154">
        <f t="shared" si="12"/>
        <v>2262.4166666666665</v>
      </c>
      <c r="AV28" s="183"/>
      <c r="AW28" s="484">
        <v>1642.0000000000002</v>
      </c>
      <c r="AX28" s="391">
        <v>3346</v>
      </c>
      <c r="AY28" s="391">
        <v>2240</v>
      </c>
      <c r="AZ28" s="391">
        <v>2862</v>
      </c>
      <c r="BA28" s="391">
        <v>3923</v>
      </c>
      <c r="BB28" s="391">
        <v>2446</v>
      </c>
      <c r="BC28" s="391">
        <v>3765.0000000000005</v>
      </c>
      <c r="BD28" s="153">
        <v>2375</v>
      </c>
      <c r="BE28" s="153">
        <v>3189</v>
      </c>
      <c r="BF28" s="153">
        <v>2014.9999999999998</v>
      </c>
      <c r="BG28" s="153">
        <v>1805.9999999999998</v>
      </c>
      <c r="BH28" s="153">
        <v>1678</v>
      </c>
      <c r="BI28" s="153">
        <f t="shared" si="27"/>
        <v>31287</v>
      </c>
      <c r="BJ28" s="154">
        <f t="shared" si="13"/>
        <v>2607.25</v>
      </c>
      <c r="BK28" s="183"/>
      <c r="BL28" s="484">
        <v>2484</v>
      </c>
      <c r="BM28" s="391">
        <v>1633.9999999999998</v>
      </c>
      <c r="BN28" s="391"/>
      <c r="BO28" s="391"/>
      <c r="BP28" s="391"/>
      <c r="BQ28" s="391"/>
      <c r="BR28" s="391"/>
      <c r="BS28" s="153"/>
      <c r="BT28" s="153"/>
      <c r="BU28" s="153"/>
      <c r="BV28" s="153"/>
      <c r="BW28" s="153"/>
      <c r="BX28" s="153">
        <f t="shared" si="28"/>
        <v>4118</v>
      </c>
      <c r="BY28" s="154">
        <f t="shared" si="14"/>
        <v>2059</v>
      </c>
      <c r="CA28" s="169">
        <f>ROW()</f>
        <v>28</v>
      </c>
      <c r="CB28" s="169">
        <f>IFERROR(_xlfn.XLOOKUP($A$1,$2:$2,28:28)-_xlfn.XLOOKUP(EDATE($A$1,-12),$2:$2,28:28),"")</f>
        <v>-1712.0000000000002</v>
      </c>
      <c r="CC28" s="169">
        <f t="shared" si="15"/>
        <v>344.83333333333348</v>
      </c>
      <c r="CD28" s="169">
        <f>IFERROR(
  SUM(
    _xlfn.XLOOKUP(DATE(YEAR($A$1),1,1),$2:$2,28:28):
    _xlfn.XLOOKUP($A$1,$2:$2,28:28)
  )
 -SUM(
    _xlfn.XLOOKUP(DATE(YEAR($A$1)-1,1,1),$2:$2,28:28):
    _xlfn.XLOOKUP(EDATE($A$1,-12),$2:$2,28:28)
  ),"")</f>
        <v>-870</v>
      </c>
      <c r="CE28" s="4517">
        <f>IFERROR(
  _xlfn.XLOOKUP($A$1,$B$2:$BY$2,$B28:$BY28)
 -_xlfn.XLOOKUP(EDATE($A$1,-1),$B$2:$BY$2,$B28:$BY28),"")</f>
        <v>-850.00000000000023</v>
      </c>
    </row>
    <row r="29" spans="1:83" ht="17.399999999999999" customHeight="1" x14ac:dyDescent="0.55000000000000004">
      <c r="A29" s="7210"/>
      <c r="B29" s="7207"/>
      <c r="C29" s="67" t="s">
        <v>216</v>
      </c>
      <c r="D29" s="152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>
        <f t="shared" si="25"/>
        <v>0</v>
      </c>
      <c r="Q29" s="154">
        <f t="shared" si="22"/>
        <v>0</v>
      </c>
      <c r="R29" s="183"/>
      <c r="S29" s="152">
        <v>1341</v>
      </c>
      <c r="T29" s="153">
        <v>1661</v>
      </c>
      <c r="U29" s="153">
        <v>1525</v>
      </c>
      <c r="V29" s="153">
        <v>1370</v>
      </c>
      <c r="W29" s="153">
        <v>1435</v>
      </c>
      <c r="X29" s="153">
        <v>1421</v>
      </c>
      <c r="Y29" s="153">
        <v>1160</v>
      </c>
      <c r="Z29" s="153">
        <v>2205</v>
      </c>
      <c r="AA29" s="153">
        <v>1056</v>
      </c>
      <c r="AB29" s="153">
        <v>1877</v>
      </c>
      <c r="AC29" s="153">
        <v>1272</v>
      </c>
      <c r="AD29" s="153">
        <v>1037</v>
      </c>
      <c r="AE29" s="153">
        <f t="shared" si="23"/>
        <v>17360</v>
      </c>
      <c r="AF29" s="154">
        <f t="shared" si="24"/>
        <v>1446.6666666666667</v>
      </c>
      <c r="AG29" s="183"/>
      <c r="AH29" s="390">
        <v>2080</v>
      </c>
      <c r="AI29" s="391">
        <v>1424</v>
      </c>
      <c r="AJ29" s="391">
        <v>1457</v>
      </c>
      <c r="AK29" s="391">
        <v>1396</v>
      </c>
      <c r="AL29" s="391">
        <v>1459</v>
      </c>
      <c r="AM29" s="391">
        <v>1214</v>
      </c>
      <c r="AN29" s="391">
        <v>1770</v>
      </c>
      <c r="AO29" s="153">
        <v>1436</v>
      </c>
      <c r="AP29" s="153">
        <v>1675.9999999999998</v>
      </c>
      <c r="AQ29" s="153">
        <v>1510</v>
      </c>
      <c r="AR29" s="153">
        <v>1287</v>
      </c>
      <c r="AS29" s="153">
        <v>1062</v>
      </c>
      <c r="AT29" s="153">
        <f t="shared" si="26"/>
        <v>17771</v>
      </c>
      <c r="AU29" s="154">
        <f t="shared" si="12"/>
        <v>1480.9166666666667</v>
      </c>
      <c r="AV29" s="183"/>
      <c r="AW29" s="484">
        <v>1091</v>
      </c>
      <c r="AX29" s="391">
        <v>2183</v>
      </c>
      <c r="AY29" s="391">
        <v>1458</v>
      </c>
      <c r="AZ29" s="391">
        <v>1856</v>
      </c>
      <c r="BA29" s="391">
        <v>2407</v>
      </c>
      <c r="BB29" s="391">
        <v>1684</v>
      </c>
      <c r="BC29" s="391">
        <v>2486</v>
      </c>
      <c r="BD29" s="153">
        <v>1528</v>
      </c>
      <c r="BE29" s="153">
        <v>1876.0000000000002</v>
      </c>
      <c r="BF29" s="153">
        <v>1263</v>
      </c>
      <c r="BG29" s="153">
        <v>1195</v>
      </c>
      <c r="BH29" s="153">
        <v>1096</v>
      </c>
      <c r="BI29" s="153">
        <f t="shared" si="27"/>
        <v>20123</v>
      </c>
      <c r="BJ29" s="154">
        <f t="shared" si="13"/>
        <v>1676.9166666666667</v>
      </c>
      <c r="BK29" s="183"/>
      <c r="BL29" s="484">
        <v>1692</v>
      </c>
      <c r="BM29" s="391">
        <v>959.99999999999989</v>
      </c>
      <c r="BN29" s="391"/>
      <c r="BO29" s="391"/>
      <c r="BP29" s="391"/>
      <c r="BQ29" s="391"/>
      <c r="BR29" s="391"/>
      <c r="BS29" s="153"/>
      <c r="BT29" s="153"/>
      <c r="BU29" s="153"/>
      <c r="BV29" s="153"/>
      <c r="BW29" s="153"/>
      <c r="BX29" s="153">
        <f t="shared" si="28"/>
        <v>2652</v>
      </c>
      <c r="BY29" s="154">
        <f t="shared" si="14"/>
        <v>1326</v>
      </c>
      <c r="CA29" s="169">
        <f>ROW()</f>
        <v>29</v>
      </c>
      <c r="CB29" s="169">
        <f>IFERROR(_xlfn.XLOOKUP($A$1,$2:$2,29:29)-_xlfn.XLOOKUP(EDATE($A$1,-12),$2:$2,29:29),"")</f>
        <v>-1223</v>
      </c>
      <c r="CC29" s="169">
        <f t="shared" si="15"/>
        <v>196</v>
      </c>
      <c r="CD29" s="169">
        <f>IFERROR(
  SUM(
    _xlfn.XLOOKUP(DATE(YEAR($A$1),1,1),$2:$2,29:29):
    _xlfn.XLOOKUP($A$1,$2:$2,29:29)
  )
 -SUM(
    _xlfn.XLOOKUP(DATE(YEAR($A$1)-1,1,1),$2:$2,29:29):
    _xlfn.XLOOKUP(EDATE($A$1,-12),$2:$2,29:29)
  ),"")</f>
        <v>-622</v>
      </c>
      <c r="CE29" s="4517">
        <f>IFERROR(
  _xlfn.XLOOKUP($A$1,$B$2:$BY$2,$B29:$BY29)
 -_xlfn.XLOOKUP(EDATE($A$1,-1),$B$2:$BY$2,$B29:$BY29),"")</f>
        <v>-732.00000000000011</v>
      </c>
    </row>
    <row r="30" spans="1:83" ht="17.399999999999999" customHeight="1" x14ac:dyDescent="0.55000000000000004">
      <c r="A30" s="7210"/>
      <c r="B30" s="7207"/>
      <c r="C30" s="68" t="s">
        <v>217</v>
      </c>
      <c r="D30" s="155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>
        <f t="shared" si="25"/>
        <v>0</v>
      </c>
      <c r="Q30" s="157">
        <f t="shared" si="22"/>
        <v>0</v>
      </c>
      <c r="R30" s="183"/>
      <c r="S30" s="155">
        <v>2050</v>
      </c>
      <c r="T30" s="156">
        <v>3076</v>
      </c>
      <c r="U30" s="156">
        <v>2253</v>
      </c>
      <c r="V30" s="156">
        <v>2136</v>
      </c>
      <c r="W30" s="156">
        <v>2246</v>
      </c>
      <c r="X30" s="156">
        <v>2089</v>
      </c>
      <c r="Y30" s="156">
        <v>1859</v>
      </c>
      <c r="Z30" s="156">
        <v>3571</v>
      </c>
      <c r="AA30" s="156">
        <v>1569</v>
      </c>
      <c r="AB30" s="156">
        <v>2730</v>
      </c>
      <c r="AC30" s="156">
        <v>1874</v>
      </c>
      <c r="AD30" s="156">
        <v>1699</v>
      </c>
      <c r="AE30" s="156">
        <f t="shared" si="23"/>
        <v>27152</v>
      </c>
      <c r="AF30" s="157">
        <f t="shared" si="24"/>
        <v>2262.6666666666665</v>
      </c>
      <c r="AG30" s="183"/>
      <c r="AH30" s="392">
        <v>3280</v>
      </c>
      <c r="AI30" s="393">
        <v>2030</v>
      </c>
      <c r="AJ30" s="393">
        <v>2125</v>
      </c>
      <c r="AK30" s="393">
        <v>2103</v>
      </c>
      <c r="AL30" s="393">
        <v>2238</v>
      </c>
      <c r="AM30" s="393">
        <v>1842.0000000000002</v>
      </c>
      <c r="AN30" s="393">
        <v>2999</v>
      </c>
      <c r="AO30" s="156">
        <v>2106</v>
      </c>
      <c r="AP30" s="156">
        <v>2575</v>
      </c>
      <c r="AQ30" s="156">
        <v>2084</v>
      </c>
      <c r="AR30" s="156">
        <v>1849</v>
      </c>
      <c r="AS30" s="156">
        <v>1674</v>
      </c>
      <c r="AT30" s="156">
        <f t="shared" si="26"/>
        <v>26905</v>
      </c>
      <c r="AU30" s="157">
        <f t="shared" si="12"/>
        <v>2242.0833333333335</v>
      </c>
      <c r="AV30" s="183"/>
      <c r="AW30" s="485">
        <v>1287</v>
      </c>
      <c r="AX30" s="393">
        <v>3356</v>
      </c>
      <c r="AY30" s="393">
        <v>2250</v>
      </c>
      <c r="AZ30" s="393">
        <v>2776</v>
      </c>
      <c r="BA30" s="393">
        <v>3456</v>
      </c>
      <c r="BB30" s="393">
        <v>2262</v>
      </c>
      <c r="BC30" s="393">
        <v>3965</v>
      </c>
      <c r="BD30" s="156">
        <v>2215</v>
      </c>
      <c r="BE30" s="156">
        <v>2827</v>
      </c>
      <c r="BF30" s="156">
        <v>2011</v>
      </c>
      <c r="BG30" s="156">
        <v>1672</v>
      </c>
      <c r="BH30" s="156">
        <v>1490</v>
      </c>
      <c r="BI30" s="156">
        <f t="shared" si="27"/>
        <v>29567</v>
      </c>
      <c r="BJ30" s="157">
        <f t="shared" si="13"/>
        <v>2463.9166666666665</v>
      </c>
      <c r="BK30" s="183"/>
      <c r="BL30" s="485">
        <v>2374</v>
      </c>
      <c r="BM30" s="393">
        <v>1478</v>
      </c>
      <c r="BN30" s="393"/>
      <c r="BO30" s="393"/>
      <c r="BP30" s="393"/>
      <c r="BQ30" s="393"/>
      <c r="BR30" s="393"/>
      <c r="BS30" s="156"/>
      <c r="BT30" s="156"/>
      <c r="BU30" s="156"/>
      <c r="BV30" s="156"/>
      <c r="BW30" s="156"/>
      <c r="BX30" s="156">
        <f t="shared" si="28"/>
        <v>3852</v>
      </c>
      <c r="BY30" s="157">
        <f t="shared" si="14"/>
        <v>1926</v>
      </c>
      <c r="CA30" s="169">
        <f>ROW()</f>
        <v>30</v>
      </c>
      <c r="CB30" s="169">
        <f>IFERROR(_xlfn.XLOOKUP($A$1,$2:$2,30:30)-_xlfn.XLOOKUP(EDATE($A$1,-12),$2:$2,30:30),"")</f>
        <v>-1878</v>
      </c>
      <c r="CC30" s="169">
        <f t="shared" si="15"/>
        <v>221.83333333333303</v>
      </c>
      <c r="CD30" s="169">
        <f>IFERROR(
  SUM(
    _xlfn.XLOOKUP(DATE(YEAR($A$1),1,1),$2:$2,30:30):
    _xlfn.XLOOKUP($A$1,$2:$2,30:30)
  )
 -SUM(
    _xlfn.XLOOKUP(DATE(YEAR($A$1)-1,1,1),$2:$2,30:30):
    _xlfn.XLOOKUP(EDATE($A$1,-12),$2:$2,30:30)
  ),"")</f>
        <v>-791</v>
      </c>
      <c r="CE30" s="4517">
        <f>IFERROR(
  _xlfn.XLOOKUP($A$1,$B$2:$BY$2,$B30:$BY30)
 -_xlfn.XLOOKUP(EDATE($A$1,-1),$B$2:$BY$2,$B30:$BY30),"")</f>
        <v>-896</v>
      </c>
    </row>
    <row r="31" spans="1:83" ht="17.399999999999999" customHeight="1" x14ac:dyDescent="0.55000000000000004">
      <c r="A31" s="7210"/>
      <c r="B31" s="7207"/>
      <c r="C31" s="68" t="s">
        <v>218</v>
      </c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>
        <f t="shared" si="25"/>
        <v>0</v>
      </c>
      <c r="Q31" s="157">
        <f t="shared" si="22"/>
        <v>0</v>
      </c>
      <c r="R31" s="183"/>
      <c r="S31" s="155">
        <v>1920</v>
      </c>
      <c r="T31" s="156">
        <v>2520</v>
      </c>
      <c r="U31" s="156">
        <v>1905</v>
      </c>
      <c r="V31" s="156">
        <v>1781</v>
      </c>
      <c r="W31" s="156">
        <v>2089</v>
      </c>
      <c r="X31" s="156">
        <v>2045</v>
      </c>
      <c r="Y31" s="156">
        <v>1629</v>
      </c>
      <c r="Z31" s="156">
        <v>2925</v>
      </c>
      <c r="AA31" s="156">
        <v>1522</v>
      </c>
      <c r="AB31" s="156">
        <v>2637</v>
      </c>
      <c r="AC31" s="156">
        <v>1669</v>
      </c>
      <c r="AD31" s="156">
        <v>1512</v>
      </c>
      <c r="AE31" s="156">
        <f t="shared" si="23"/>
        <v>24154</v>
      </c>
      <c r="AF31" s="157">
        <f t="shared" si="24"/>
        <v>2012.8333333333333</v>
      </c>
      <c r="AG31" s="183"/>
      <c r="AH31" s="392">
        <v>3052</v>
      </c>
      <c r="AI31" s="393">
        <v>1724</v>
      </c>
      <c r="AJ31" s="393">
        <v>1952</v>
      </c>
      <c r="AK31" s="393">
        <v>1871.0000000000002</v>
      </c>
      <c r="AL31" s="393">
        <v>1837</v>
      </c>
      <c r="AM31" s="393">
        <v>1800</v>
      </c>
      <c r="AN31" s="393">
        <v>2619</v>
      </c>
      <c r="AO31" s="156">
        <v>1870.9999999999998</v>
      </c>
      <c r="AP31" s="156">
        <v>2430</v>
      </c>
      <c r="AQ31" s="156">
        <v>1800.0000000000002</v>
      </c>
      <c r="AR31" s="156">
        <v>1754.0000000000002</v>
      </c>
      <c r="AS31" s="156">
        <v>1425</v>
      </c>
      <c r="AT31" s="156">
        <f t="shared" si="26"/>
        <v>24135</v>
      </c>
      <c r="AU31" s="157">
        <f t="shared" si="12"/>
        <v>2011.25</v>
      </c>
      <c r="AV31" s="183"/>
      <c r="AW31" s="485">
        <v>1355</v>
      </c>
      <c r="AX31" s="393">
        <v>2978</v>
      </c>
      <c r="AY31" s="393">
        <v>2099</v>
      </c>
      <c r="AZ31" s="393">
        <v>2615</v>
      </c>
      <c r="BA31" s="393">
        <v>3125</v>
      </c>
      <c r="BB31" s="393">
        <v>2086</v>
      </c>
      <c r="BC31" s="393">
        <v>3362</v>
      </c>
      <c r="BD31" s="156">
        <v>2056</v>
      </c>
      <c r="BE31" s="156">
        <v>2659</v>
      </c>
      <c r="BF31" s="156">
        <v>1864</v>
      </c>
      <c r="BG31" s="156">
        <v>1692.0000000000002</v>
      </c>
      <c r="BH31" s="156">
        <v>1583</v>
      </c>
      <c r="BI31" s="156">
        <f t="shared" si="27"/>
        <v>27474</v>
      </c>
      <c r="BJ31" s="157">
        <f t="shared" si="13"/>
        <v>2289.5</v>
      </c>
      <c r="BK31" s="183"/>
      <c r="BL31" s="485">
        <v>2382</v>
      </c>
      <c r="BM31" s="393">
        <v>1355</v>
      </c>
      <c r="BN31" s="393"/>
      <c r="BO31" s="393"/>
      <c r="BP31" s="393"/>
      <c r="BQ31" s="393"/>
      <c r="BR31" s="393"/>
      <c r="BS31" s="156"/>
      <c r="BT31" s="156"/>
      <c r="BU31" s="156"/>
      <c r="BV31" s="156"/>
      <c r="BW31" s="156"/>
      <c r="BX31" s="156">
        <f t="shared" si="28"/>
        <v>3737</v>
      </c>
      <c r="BY31" s="157">
        <f t="shared" si="14"/>
        <v>1868.5</v>
      </c>
      <c r="CA31" s="169">
        <f>ROW()</f>
        <v>31</v>
      </c>
      <c r="CB31" s="169">
        <f>IFERROR(_xlfn.XLOOKUP($A$1,$2:$2,31:31)-_xlfn.XLOOKUP(EDATE($A$1,-12),$2:$2,31:31),"")</f>
        <v>-1623</v>
      </c>
      <c r="CC31" s="169">
        <f t="shared" si="15"/>
        <v>278.25</v>
      </c>
      <c r="CD31" s="169">
        <f>IFERROR(
  SUM(
    _xlfn.XLOOKUP(DATE(YEAR($A$1),1,1),$2:$2,31:31):
    _xlfn.XLOOKUP($A$1,$2:$2,31:31)
  )
 -SUM(
    _xlfn.XLOOKUP(DATE(YEAR($A$1)-1,1,1),$2:$2,31:31):
    _xlfn.XLOOKUP(EDATE($A$1,-12),$2:$2,31:31)
  ),"")</f>
        <v>-596</v>
      </c>
      <c r="CE31" s="4517">
        <f>IFERROR(
  _xlfn.XLOOKUP($A$1,$B$2:$BY$2,$B31:$BY31)
 -_xlfn.XLOOKUP(EDATE($A$1,-1),$B$2:$BY$2,$B31:$BY31),"")</f>
        <v>-1027</v>
      </c>
    </row>
    <row r="32" spans="1:83" ht="17.399999999999999" customHeight="1" x14ac:dyDescent="0.55000000000000004">
      <c r="A32" s="7210"/>
      <c r="B32" s="7207"/>
      <c r="C32" s="67" t="s">
        <v>219</v>
      </c>
      <c r="D32" s="152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>
        <f t="shared" si="25"/>
        <v>0</v>
      </c>
      <c r="Q32" s="154">
        <f t="shared" si="22"/>
        <v>0</v>
      </c>
      <c r="R32" s="183"/>
      <c r="S32" s="152">
        <v>1438</v>
      </c>
      <c r="T32" s="153">
        <v>2057</v>
      </c>
      <c r="U32" s="153">
        <v>1640</v>
      </c>
      <c r="V32" s="153">
        <v>1526</v>
      </c>
      <c r="W32" s="153">
        <v>1738</v>
      </c>
      <c r="X32" s="153">
        <v>1575</v>
      </c>
      <c r="Y32" s="153">
        <v>1537</v>
      </c>
      <c r="Z32" s="153">
        <v>2604</v>
      </c>
      <c r="AA32" s="153">
        <v>1233</v>
      </c>
      <c r="AB32" s="153">
        <v>2209</v>
      </c>
      <c r="AC32" s="153">
        <v>1504</v>
      </c>
      <c r="AD32" s="153">
        <v>1315</v>
      </c>
      <c r="AE32" s="153">
        <f t="shared" si="23"/>
        <v>20376</v>
      </c>
      <c r="AF32" s="154">
        <f t="shared" si="24"/>
        <v>1698</v>
      </c>
      <c r="AG32" s="183"/>
      <c r="AH32" s="390">
        <v>2423</v>
      </c>
      <c r="AI32" s="391">
        <v>1428</v>
      </c>
      <c r="AJ32" s="391">
        <v>1617</v>
      </c>
      <c r="AK32" s="391">
        <v>1598</v>
      </c>
      <c r="AL32" s="391">
        <v>1519</v>
      </c>
      <c r="AM32" s="391">
        <v>1395</v>
      </c>
      <c r="AN32" s="391">
        <v>2123</v>
      </c>
      <c r="AO32" s="153">
        <v>1529</v>
      </c>
      <c r="AP32" s="153">
        <v>2017</v>
      </c>
      <c r="AQ32" s="153">
        <v>1527</v>
      </c>
      <c r="AR32" s="153">
        <v>1471</v>
      </c>
      <c r="AS32" s="153">
        <v>1355</v>
      </c>
      <c r="AT32" s="153">
        <f t="shared" si="26"/>
        <v>20002</v>
      </c>
      <c r="AU32" s="154">
        <f t="shared" si="12"/>
        <v>1666.8333333333333</v>
      </c>
      <c r="AV32" s="183"/>
      <c r="AW32" s="484">
        <v>1216</v>
      </c>
      <c r="AX32" s="391">
        <v>2407</v>
      </c>
      <c r="AY32" s="391">
        <v>1678</v>
      </c>
      <c r="AZ32" s="391">
        <v>2134</v>
      </c>
      <c r="BA32" s="391">
        <v>2813</v>
      </c>
      <c r="BB32" s="391">
        <v>1598</v>
      </c>
      <c r="BC32" s="391">
        <v>2915</v>
      </c>
      <c r="BD32" s="153">
        <v>1666</v>
      </c>
      <c r="BE32" s="153">
        <v>2323</v>
      </c>
      <c r="BF32" s="153">
        <v>1421</v>
      </c>
      <c r="BG32" s="153">
        <v>1296</v>
      </c>
      <c r="BH32" s="153">
        <v>1261</v>
      </c>
      <c r="BI32" s="153">
        <f t="shared" si="27"/>
        <v>22728</v>
      </c>
      <c r="BJ32" s="154">
        <f t="shared" si="13"/>
        <v>1894</v>
      </c>
      <c r="BK32" s="183"/>
      <c r="BL32" s="484">
        <v>1884.0000000000002</v>
      </c>
      <c r="BM32" s="391">
        <v>1169</v>
      </c>
      <c r="BN32" s="391"/>
      <c r="BO32" s="391"/>
      <c r="BP32" s="391"/>
      <c r="BQ32" s="391"/>
      <c r="BR32" s="391"/>
      <c r="BS32" s="153"/>
      <c r="BT32" s="153"/>
      <c r="BU32" s="153"/>
      <c r="BV32" s="153"/>
      <c r="BW32" s="153"/>
      <c r="BX32" s="153">
        <f t="shared" si="28"/>
        <v>3053</v>
      </c>
      <c r="BY32" s="154">
        <f t="shared" si="14"/>
        <v>1526.5</v>
      </c>
      <c r="CA32" s="169">
        <f>ROW()</f>
        <v>32</v>
      </c>
      <c r="CB32" s="169">
        <f>IFERROR(_xlfn.XLOOKUP($A$1,$2:$2,32:32)-_xlfn.XLOOKUP(EDATE($A$1,-12),$2:$2,32:32),"")</f>
        <v>-1238</v>
      </c>
      <c r="CC32" s="169">
        <f t="shared" si="15"/>
        <v>227.16666666666674</v>
      </c>
      <c r="CD32" s="169">
        <f>IFERROR(
  SUM(
    _xlfn.XLOOKUP(DATE(YEAR($A$1),1,1),$2:$2,32:32):
    _xlfn.XLOOKUP($A$1,$2:$2,32:32)
  )
 -SUM(
    _xlfn.XLOOKUP(DATE(YEAR($A$1)-1,1,1),$2:$2,32:32):
    _xlfn.XLOOKUP(EDATE($A$1,-12),$2:$2,32:32)
  ),"")</f>
        <v>-570</v>
      </c>
      <c r="CE32" s="4517">
        <f>IFERROR(
  _xlfn.XLOOKUP($A$1,$B$2:$BY$2,$B32:$BY32)
 -_xlfn.XLOOKUP(EDATE($A$1,-1),$B$2:$BY$2,$B32:$BY32),"")</f>
        <v>-715.00000000000023</v>
      </c>
    </row>
    <row r="33" spans="1:87" ht="18" customHeight="1" thickBot="1" x14ac:dyDescent="0.6">
      <c r="A33" s="7210"/>
      <c r="B33" s="7208"/>
      <c r="C33" s="69" t="s">
        <v>220</v>
      </c>
      <c r="D33" s="158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5"/>
        <v>0</v>
      </c>
      <c r="Q33" s="160">
        <f t="shared" si="22"/>
        <v>0</v>
      </c>
      <c r="R33" s="183"/>
      <c r="S33" s="158">
        <v>1419</v>
      </c>
      <c r="T33" s="159">
        <v>2091</v>
      </c>
      <c r="U33" s="159">
        <v>1659</v>
      </c>
      <c r="V33" s="159">
        <v>1483</v>
      </c>
      <c r="W33" s="159">
        <v>1711</v>
      </c>
      <c r="X33" s="159">
        <v>1524</v>
      </c>
      <c r="Y33" s="159">
        <v>1462</v>
      </c>
      <c r="Z33" s="159">
        <v>2337</v>
      </c>
      <c r="AA33" s="159">
        <v>1224</v>
      </c>
      <c r="AB33" s="159">
        <v>2111</v>
      </c>
      <c r="AC33" s="159">
        <v>1493</v>
      </c>
      <c r="AD33" s="159">
        <v>1338</v>
      </c>
      <c r="AE33" s="159">
        <f t="shared" si="23"/>
        <v>19852</v>
      </c>
      <c r="AF33" s="160">
        <f t="shared" si="24"/>
        <v>1654.3333333333333</v>
      </c>
      <c r="AG33" s="183"/>
      <c r="AH33" s="394">
        <v>2132</v>
      </c>
      <c r="AI33" s="395">
        <v>1423</v>
      </c>
      <c r="AJ33" s="395">
        <v>1632</v>
      </c>
      <c r="AK33" s="395">
        <v>1567</v>
      </c>
      <c r="AL33" s="395">
        <v>1542</v>
      </c>
      <c r="AM33" s="395">
        <v>1513</v>
      </c>
      <c r="AN33" s="395">
        <v>2156</v>
      </c>
      <c r="AO33" s="159">
        <v>1633</v>
      </c>
      <c r="AP33" s="159">
        <v>2147</v>
      </c>
      <c r="AQ33" s="159">
        <v>1589</v>
      </c>
      <c r="AR33" s="159">
        <v>1489</v>
      </c>
      <c r="AS33" s="159">
        <v>1290</v>
      </c>
      <c r="AT33" s="159">
        <f t="shared" si="26"/>
        <v>20113</v>
      </c>
      <c r="AU33" s="160">
        <f t="shared" si="12"/>
        <v>1676.0833333333333</v>
      </c>
      <c r="AV33" s="183"/>
      <c r="AW33" s="486">
        <v>1145</v>
      </c>
      <c r="AX33" s="395">
        <v>2419</v>
      </c>
      <c r="AY33" s="395">
        <v>1710</v>
      </c>
      <c r="AZ33" s="395">
        <v>1844</v>
      </c>
      <c r="BA33" s="395">
        <v>2510</v>
      </c>
      <c r="BB33" s="395">
        <v>1568</v>
      </c>
      <c r="BC33" s="395">
        <v>2610</v>
      </c>
      <c r="BD33" s="159">
        <v>1670</v>
      </c>
      <c r="BE33" s="159">
        <v>2129</v>
      </c>
      <c r="BF33" s="159">
        <v>1467</v>
      </c>
      <c r="BG33" s="159">
        <v>1367</v>
      </c>
      <c r="BH33" s="159">
        <v>1176</v>
      </c>
      <c r="BI33" s="159">
        <f t="shared" si="27"/>
        <v>21615</v>
      </c>
      <c r="BJ33" s="160">
        <f t="shared" si="13"/>
        <v>1801.25</v>
      </c>
      <c r="BK33" s="183"/>
      <c r="BL33" s="486">
        <v>2055</v>
      </c>
      <c r="BM33" s="395">
        <v>1276</v>
      </c>
      <c r="BN33" s="395"/>
      <c r="BO33" s="395"/>
      <c r="BP33" s="395"/>
      <c r="BQ33" s="395"/>
      <c r="BR33" s="395"/>
      <c r="BS33" s="159"/>
      <c r="BT33" s="159"/>
      <c r="BU33" s="159"/>
      <c r="BV33" s="159"/>
      <c r="BW33" s="159"/>
      <c r="BX33" s="159">
        <f t="shared" si="28"/>
        <v>3331</v>
      </c>
      <c r="BY33" s="160">
        <f t="shared" si="14"/>
        <v>1665.5</v>
      </c>
      <c r="CA33" s="169">
        <f>ROW()</f>
        <v>33</v>
      </c>
      <c r="CB33" s="169">
        <f>IFERROR(_xlfn.XLOOKUP($A$1,$2:$2,33:33)-_xlfn.XLOOKUP(EDATE($A$1,-12),$2:$2,33:33),"")</f>
        <v>-1143</v>
      </c>
      <c r="CC33" s="169">
        <f t="shared" si="15"/>
        <v>125.16666666666674</v>
      </c>
      <c r="CD33" s="169">
        <f>IFERROR(
  SUM(
    _xlfn.XLOOKUP(DATE(YEAR($A$1),1,1),$2:$2,33:33):
    _xlfn.XLOOKUP($A$1,$2:$2,33:33)
  )
 -SUM(
    _xlfn.XLOOKUP(DATE(YEAR($A$1)-1,1,1),$2:$2,33:33):
    _xlfn.XLOOKUP(EDATE($A$1,-12),$2:$2,33:33)
  ),"")</f>
        <v>-233</v>
      </c>
      <c r="CE33" s="4517">
        <f>IFERROR(
  _xlfn.XLOOKUP($A$1,$B$2:$BY$2,$B33:$BY33)
 -_xlfn.XLOOKUP(EDATE($A$1,-1),$B$2:$BY$2,$B33:$BY33),"")</f>
        <v>-779</v>
      </c>
    </row>
    <row r="34" spans="1:87" ht="17.399999999999999" customHeight="1" x14ac:dyDescent="0.55000000000000004">
      <c r="A34" s="7210"/>
      <c r="B34" s="7212" t="s">
        <v>1023</v>
      </c>
      <c r="C34" s="84" t="s">
        <v>400</v>
      </c>
      <c r="D34" s="128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>
        <f t="shared" si="25"/>
        <v>0</v>
      </c>
      <c r="Q34" s="130">
        <f t="shared" si="22"/>
        <v>0</v>
      </c>
      <c r="R34" s="132"/>
      <c r="S34" s="128">
        <v>46</v>
      </c>
      <c r="T34" s="129">
        <v>223</v>
      </c>
      <c r="U34" s="129">
        <v>85</v>
      </c>
      <c r="V34" s="129">
        <v>70</v>
      </c>
      <c r="W34" s="129">
        <v>90</v>
      </c>
      <c r="X34" s="129">
        <v>73</v>
      </c>
      <c r="Y34" s="129">
        <v>76</v>
      </c>
      <c r="Z34" s="129">
        <v>106</v>
      </c>
      <c r="AA34" s="129">
        <v>48</v>
      </c>
      <c r="AB34" s="129">
        <v>75</v>
      </c>
      <c r="AC34" s="129">
        <v>55</v>
      </c>
      <c r="AD34" s="129">
        <v>43</v>
      </c>
      <c r="AE34" s="129">
        <f t="shared" si="23"/>
        <v>990</v>
      </c>
      <c r="AF34" s="130">
        <f t="shared" si="24"/>
        <v>82.5</v>
      </c>
      <c r="AG34" s="132"/>
      <c r="AH34" s="128">
        <v>43</v>
      </c>
      <c r="AI34" s="129">
        <v>52</v>
      </c>
      <c r="AJ34" s="129">
        <v>56</v>
      </c>
      <c r="AK34" s="129">
        <v>71</v>
      </c>
      <c r="AL34" s="129">
        <v>66</v>
      </c>
      <c r="AM34" s="129">
        <v>41</v>
      </c>
      <c r="AN34" s="129">
        <v>125</v>
      </c>
      <c r="AO34" s="129">
        <v>39</v>
      </c>
      <c r="AP34" s="129">
        <v>57</v>
      </c>
      <c r="AQ34" s="129">
        <v>41</v>
      </c>
      <c r="AR34" s="129">
        <v>36</v>
      </c>
      <c r="AS34" s="129">
        <v>25</v>
      </c>
      <c r="AT34" s="129">
        <f t="shared" si="26"/>
        <v>652</v>
      </c>
      <c r="AU34" s="130">
        <f t="shared" si="12"/>
        <v>54.333333333333336</v>
      </c>
      <c r="AV34" s="132"/>
      <c r="AW34" s="4519">
        <v>35</v>
      </c>
      <c r="AX34" s="129">
        <v>99</v>
      </c>
      <c r="AY34" s="129">
        <v>31</v>
      </c>
      <c r="AZ34" s="129">
        <v>83</v>
      </c>
      <c r="BA34" s="129">
        <v>106</v>
      </c>
      <c r="BB34" s="129">
        <v>50</v>
      </c>
      <c r="BC34" s="129">
        <v>114</v>
      </c>
      <c r="BD34" s="129">
        <v>46</v>
      </c>
      <c r="BE34" s="129">
        <v>70</v>
      </c>
      <c r="BF34" s="129">
        <v>71</v>
      </c>
      <c r="BG34" s="129">
        <v>36</v>
      </c>
      <c r="BH34" s="129">
        <v>24</v>
      </c>
      <c r="BI34" s="129">
        <f t="shared" si="27"/>
        <v>765</v>
      </c>
      <c r="BJ34" s="130">
        <f t="shared" si="13"/>
        <v>63.75</v>
      </c>
      <c r="BK34" s="183"/>
      <c r="BL34" s="4519">
        <v>77</v>
      </c>
      <c r="BM34" s="129">
        <v>51</v>
      </c>
      <c r="BN34" s="129"/>
      <c r="BO34" s="129"/>
      <c r="BP34" s="129"/>
      <c r="BQ34" s="129"/>
      <c r="BR34" s="129"/>
      <c r="BS34" s="129"/>
      <c r="BT34" s="129"/>
      <c r="BU34" s="129"/>
      <c r="BV34" s="129"/>
      <c r="BW34" s="129"/>
      <c r="BX34" s="129">
        <f t="shared" si="28"/>
        <v>128</v>
      </c>
      <c r="BY34" s="130">
        <f t="shared" si="14"/>
        <v>64</v>
      </c>
      <c r="CA34" s="169">
        <f>ROW()</f>
        <v>34</v>
      </c>
      <c r="CB34" s="169">
        <f>IFERROR(_xlfn.XLOOKUP($A$1,$2:$2,34:34)-_xlfn.XLOOKUP(EDATE($A$1,-12),$2:$2,34:34),"")</f>
        <v>-48</v>
      </c>
      <c r="CC34" s="169">
        <f t="shared" si="15"/>
        <v>9.4166666666666643</v>
      </c>
      <c r="CD34" s="169">
        <f>IFERROR(
  SUM(
    _xlfn.XLOOKUP(DATE(YEAR($A$1),1,1),$2:$2,34:34):
    _xlfn.XLOOKUP($A$1,$2:$2,34:34)
  )
 -SUM(
    _xlfn.XLOOKUP(DATE(YEAR($A$1)-1,1,1),$2:$2,34:34):
    _xlfn.XLOOKUP(EDATE($A$1,-12),$2:$2,34:34)
  ),"")</f>
        <v>-6</v>
      </c>
      <c r="CE34" s="4517">
        <f>IFERROR(
  _xlfn.XLOOKUP($A$1,$B$2:$BY$2,$B34:$BY34)
 -_xlfn.XLOOKUP(EDATE($A$1,-1),$B$2:$BY$2,$B34:$BY34),"")</f>
        <v>-26</v>
      </c>
    </row>
    <row r="35" spans="1:87" ht="17.399999999999999" customHeight="1" x14ac:dyDescent="0.55000000000000004">
      <c r="A35" s="7210"/>
      <c r="B35" s="7213"/>
      <c r="C35" s="63" t="s">
        <v>401</v>
      </c>
      <c r="D35" s="131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>
        <f t="shared" si="25"/>
        <v>0</v>
      </c>
      <c r="Q35" s="133">
        <f t="shared" si="22"/>
        <v>0</v>
      </c>
      <c r="R35" s="132"/>
      <c r="S35" s="131">
        <v>99</v>
      </c>
      <c r="T35" s="132">
        <v>168</v>
      </c>
      <c r="U35" s="132">
        <v>123</v>
      </c>
      <c r="V35" s="132">
        <v>71</v>
      </c>
      <c r="W35" s="132">
        <v>110</v>
      </c>
      <c r="X35" s="132">
        <v>72</v>
      </c>
      <c r="Y35" s="132">
        <v>67</v>
      </c>
      <c r="Z35" s="132">
        <v>70</v>
      </c>
      <c r="AA35" s="132">
        <v>30</v>
      </c>
      <c r="AB35" s="132">
        <v>90</v>
      </c>
      <c r="AC35" s="132">
        <v>64</v>
      </c>
      <c r="AD35" s="132">
        <v>31</v>
      </c>
      <c r="AE35" s="132">
        <f t="shared" si="23"/>
        <v>995</v>
      </c>
      <c r="AF35" s="133">
        <f t="shared" si="24"/>
        <v>82.916666666666671</v>
      </c>
      <c r="AG35" s="132"/>
      <c r="AH35" s="131">
        <v>33</v>
      </c>
      <c r="AI35" s="132">
        <v>18</v>
      </c>
      <c r="AJ35" s="132">
        <v>40</v>
      </c>
      <c r="AK35" s="132">
        <v>21</v>
      </c>
      <c r="AL35" s="132">
        <v>43</v>
      </c>
      <c r="AM35" s="132">
        <v>43</v>
      </c>
      <c r="AN35" s="132">
        <v>100</v>
      </c>
      <c r="AO35" s="132">
        <v>26</v>
      </c>
      <c r="AP35" s="132">
        <v>34</v>
      </c>
      <c r="AQ35" s="132">
        <v>30</v>
      </c>
      <c r="AR35" s="132">
        <v>17</v>
      </c>
      <c r="AS35" s="132">
        <v>9</v>
      </c>
      <c r="AT35" s="132">
        <f t="shared" si="26"/>
        <v>414</v>
      </c>
      <c r="AU35" s="133">
        <f t="shared" si="12"/>
        <v>34.5</v>
      </c>
      <c r="AV35" s="132"/>
      <c r="AW35" s="537">
        <v>7</v>
      </c>
      <c r="AX35" s="132">
        <v>47</v>
      </c>
      <c r="AY35" s="132">
        <v>16</v>
      </c>
      <c r="AZ35" s="132">
        <v>23</v>
      </c>
      <c r="BA35" s="132">
        <v>63</v>
      </c>
      <c r="BB35" s="132">
        <v>14</v>
      </c>
      <c r="BC35" s="132">
        <v>54</v>
      </c>
      <c r="BD35" s="132">
        <v>15</v>
      </c>
      <c r="BE35" s="132">
        <v>18</v>
      </c>
      <c r="BF35" s="132">
        <v>25</v>
      </c>
      <c r="BG35" s="132">
        <v>12</v>
      </c>
      <c r="BH35" s="132">
        <v>10</v>
      </c>
      <c r="BI35" s="132">
        <f t="shared" si="27"/>
        <v>304</v>
      </c>
      <c r="BJ35" s="133">
        <f t="shared" si="13"/>
        <v>25.333333333333332</v>
      </c>
      <c r="BK35" s="183"/>
      <c r="BL35" s="537">
        <v>18</v>
      </c>
      <c r="BM35" s="132">
        <v>11</v>
      </c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>
        <f t="shared" si="28"/>
        <v>29</v>
      </c>
      <c r="BY35" s="133">
        <f t="shared" si="14"/>
        <v>14.5</v>
      </c>
      <c r="CA35" s="169">
        <f>ROW()</f>
        <v>35</v>
      </c>
      <c r="CB35" s="169">
        <f>IFERROR(_xlfn.XLOOKUP($A$1,$2:$2,35:35)-_xlfn.XLOOKUP(EDATE($A$1,-12),$2:$2,35:35),"")</f>
        <v>-36</v>
      </c>
      <c r="CC35" s="169">
        <f t="shared" si="15"/>
        <v>-9.1666666666666679</v>
      </c>
      <c r="CD35" s="169">
        <f>IFERROR(
  SUM(
    _xlfn.XLOOKUP(DATE(YEAR($A$1),1,1),$2:$2,35:35):
    _xlfn.XLOOKUP($A$1,$2:$2,35:35)
  )
 -SUM(
    _xlfn.XLOOKUP(DATE(YEAR($A$1)-1,1,1),$2:$2,35:35):
    _xlfn.XLOOKUP(EDATE($A$1,-12),$2:$2,35:35)
  ),"")</f>
        <v>-25</v>
      </c>
      <c r="CE35" s="4517">
        <f>IFERROR(
  _xlfn.XLOOKUP($A$1,$B$2:$BY$2,$B35:$BY35)
 -_xlfn.XLOOKUP(EDATE($A$1,-1),$B$2:$BY$2,$B35:$BY35),"")</f>
        <v>-7</v>
      </c>
    </row>
    <row r="36" spans="1:87" ht="17.399999999999999" customHeight="1" x14ac:dyDescent="0.55000000000000004">
      <c r="A36" s="7210"/>
      <c r="B36" s="7213"/>
      <c r="C36" s="63" t="s">
        <v>402</v>
      </c>
      <c r="D36" s="131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>
        <f t="shared" si="25"/>
        <v>0</v>
      </c>
      <c r="Q36" s="133">
        <f t="shared" si="22"/>
        <v>0</v>
      </c>
      <c r="R36" s="132"/>
      <c r="S36" s="131">
        <v>139</v>
      </c>
      <c r="T36" s="132">
        <v>233</v>
      </c>
      <c r="U36" s="132">
        <v>163</v>
      </c>
      <c r="V36" s="132">
        <v>154</v>
      </c>
      <c r="W36" s="132">
        <v>222</v>
      </c>
      <c r="X36" s="132">
        <v>111</v>
      </c>
      <c r="Y36" s="132">
        <v>75</v>
      </c>
      <c r="Z36" s="132">
        <v>85</v>
      </c>
      <c r="AA36" s="132">
        <v>48</v>
      </c>
      <c r="AB36" s="132">
        <v>77</v>
      </c>
      <c r="AC36" s="132">
        <v>36</v>
      </c>
      <c r="AD36" s="132">
        <v>23</v>
      </c>
      <c r="AE36" s="132">
        <f t="shared" si="23"/>
        <v>1366</v>
      </c>
      <c r="AF36" s="133">
        <f t="shared" si="24"/>
        <v>113.83333333333333</v>
      </c>
      <c r="AG36" s="132"/>
      <c r="AH36" s="131">
        <v>19</v>
      </c>
      <c r="AI36" s="132">
        <v>28</v>
      </c>
      <c r="AJ36" s="132">
        <v>24</v>
      </c>
      <c r="AK36" s="132">
        <v>24</v>
      </c>
      <c r="AL36" s="132">
        <v>35</v>
      </c>
      <c r="AM36" s="132">
        <v>20</v>
      </c>
      <c r="AN36" s="132">
        <v>123</v>
      </c>
      <c r="AO36" s="132">
        <v>27</v>
      </c>
      <c r="AP36" s="132">
        <v>23</v>
      </c>
      <c r="AQ36" s="132">
        <v>20</v>
      </c>
      <c r="AR36" s="132">
        <v>12</v>
      </c>
      <c r="AS36" s="132">
        <v>18</v>
      </c>
      <c r="AT36" s="132">
        <f t="shared" si="26"/>
        <v>373</v>
      </c>
      <c r="AU36" s="133">
        <f t="shared" si="12"/>
        <v>31.083333333333332</v>
      </c>
      <c r="AV36" s="132"/>
      <c r="AW36" s="537">
        <v>22</v>
      </c>
      <c r="AX36" s="132">
        <v>39</v>
      </c>
      <c r="AY36" s="132">
        <v>15</v>
      </c>
      <c r="AZ36" s="132">
        <v>62</v>
      </c>
      <c r="BA36" s="132">
        <v>63</v>
      </c>
      <c r="BB36" s="132">
        <v>26</v>
      </c>
      <c r="BC36" s="132">
        <v>86</v>
      </c>
      <c r="BD36" s="132">
        <v>28</v>
      </c>
      <c r="BE36" s="132">
        <v>51</v>
      </c>
      <c r="BF36" s="132">
        <v>37</v>
      </c>
      <c r="BG36" s="132">
        <v>18</v>
      </c>
      <c r="BH36" s="132">
        <v>26</v>
      </c>
      <c r="BI36" s="132">
        <f t="shared" si="27"/>
        <v>473</v>
      </c>
      <c r="BJ36" s="133">
        <f t="shared" si="13"/>
        <v>39.416666666666664</v>
      </c>
      <c r="BK36" s="183"/>
      <c r="BL36" s="537">
        <v>41</v>
      </c>
      <c r="BM36" s="132">
        <v>8</v>
      </c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>
        <f t="shared" si="28"/>
        <v>49</v>
      </c>
      <c r="BY36" s="133">
        <f t="shared" si="14"/>
        <v>24.5</v>
      </c>
      <c r="CA36" s="169">
        <f>ROW()</f>
        <v>36</v>
      </c>
      <c r="CB36" s="169">
        <f>IFERROR(_xlfn.XLOOKUP($A$1,$2:$2,36:36)-_xlfn.XLOOKUP(EDATE($A$1,-12),$2:$2,36:36),"")</f>
        <v>-31</v>
      </c>
      <c r="CC36" s="169">
        <f t="shared" si="15"/>
        <v>8.3333333333333321</v>
      </c>
      <c r="CD36" s="169">
        <f>IFERROR(
  SUM(
    _xlfn.XLOOKUP(DATE(YEAR($A$1),1,1),$2:$2,36:36):
    _xlfn.XLOOKUP($A$1,$2:$2,36:36)
  )
 -SUM(
    _xlfn.XLOOKUP(DATE(YEAR($A$1)-1,1,1),$2:$2,36:36):
    _xlfn.XLOOKUP(EDATE($A$1,-12),$2:$2,36:36)
  ),"")</f>
        <v>-12</v>
      </c>
      <c r="CE36" s="4517">
        <f>IFERROR(
  _xlfn.XLOOKUP($A$1,$B$2:$BY$2,$B36:$BY36)
 -_xlfn.XLOOKUP(EDATE($A$1,-1),$B$2:$BY$2,$B36:$BY36),"")</f>
        <v>-33</v>
      </c>
    </row>
    <row r="37" spans="1:87" ht="17.399999999999999" customHeight="1" x14ac:dyDescent="0.55000000000000004">
      <c r="A37" s="7210"/>
      <c r="B37" s="7213"/>
      <c r="C37" s="63" t="s">
        <v>403</v>
      </c>
      <c r="D37" s="131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>
        <f t="shared" si="25"/>
        <v>0</v>
      </c>
      <c r="Q37" s="133">
        <f t="shared" si="22"/>
        <v>0</v>
      </c>
      <c r="R37" s="132"/>
      <c r="S37" s="131">
        <v>226</v>
      </c>
      <c r="T37" s="132">
        <v>380</v>
      </c>
      <c r="U37" s="132">
        <v>196</v>
      </c>
      <c r="V37" s="132">
        <v>187</v>
      </c>
      <c r="W37" s="132">
        <v>218</v>
      </c>
      <c r="X37" s="132">
        <v>111</v>
      </c>
      <c r="Y37" s="132">
        <v>84</v>
      </c>
      <c r="Z37" s="132">
        <v>270</v>
      </c>
      <c r="AA37" s="132">
        <v>57</v>
      </c>
      <c r="AB37" s="132">
        <v>182</v>
      </c>
      <c r="AC37" s="132">
        <v>42</v>
      </c>
      <c r="AD37" s="132">
        <v>36</v>
      </c>
      <c r="AE37" s="132">
        <f t="shared" si="23"/>
        <v>1989</v>
      </c>
      <c r="AF37" s="133">
        <f t="shared" si="24"/>
        <v>165.75</v>
      </c>
      <c r="AG37" s="132"/>
      <c r="AH37" s="131">
        <v>52</v>
      </c>
      <c r="AI37" s="132">
        <v>51</v>
      </c>
      <c r="AJ37" s="132">
        <v>84</v>
      </c>
      <c r="AK37" s="132">
        <v>82</v>
      </c>
      <c r="AL37" s="132">
        <v>107</v>
      </c>
      <c r="AM37" s="132">
        <v>62</v>
      </c>
      <c r="AN37" s="132">
        <v>188</v>
      </c>
      <c r="AO37" s="132">
        <v>67</v>
      </c>
      <c r="AP37" s="132">
        <v>72</v>
      </c>
      <c r="AQ37" s="132">
        <v>77</v>
      </c>
      <c r="AR37" s="132">
        <v>46</v>
      </c>
      <c r="AS37" s="132">
        <v>37</v>
      </c>
      <c r="AT37" s="132">
        <f t="shared" si="26"/>
        <v>925</v>
      </c>
      <c r="AU37" s="133">
        <f t="shared" si="12"/>
        <v>77.083333333333329</v>
      </c>
      <c r="AV37" s="132"/>
      <c r="AW37" s="537">
        <v>49</v>
      </c>
      <c r="AX37" s="132">
        <v>118</v>
      </c>
      <c r="AY37" s="132">
        <v>66</v>
      </c>
      <c r="AZ37" s="132">
        <v>51</v>
      </c>
      <c r="BA37" s="132">
        <v>76</v>
      </c>
      <c r="BB37" s="132">
        <v>46</v>
      </c>
      <c r="BC37" s="132">
        <v>131</v>
      </c>
      <c r="BD37" s="132">
        <v>43</v>
      </c>
      <c r="BE37" s="132">
        <v>67</v>
      </c>
      <c r="BF37" s="132">
        <v>62</v>
      </c>
      <c r="BG37" s="132">
        <v>69</v>
      </c>
      <c r="BH37" s="132">
        <v>15</v>
      </c>
      <c r="BI37" s="132">
        <f t="shared" si="27"/>
        <v>793</v>
      </c>
      <c r="BJ37" s="133">
        <f t="shared" si="13"/>
        <v>66.083333333333329</v>
      </c>
      <c r="BK37" s="183"/>
      <c r="BL37" s="537">
        <v>49</v>
      </c>
      <c r="BM37" s="132">
        <v>18</v>
      </c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>
        <f t="shared" si="28"/>
        <v>67</v>
      </c>
      <c r="BY37" s="133">
        <f t="shared" si="14"/>
        <v>33.5</v>
      </c>
      <c r="CA37" s="169">
        <f>ROW()</f>
        <v>37</v>
      </c>
      <c r="CB37" s="169">
        <f>IFERROR(_xlfn.XLOOKUP($A$1,$2:$2,37:37)-_xlfn.XLOOKUP(EDATE($A$1,-12),$2:$2,37:37),"")</f>
        <v>-100</v>
      </c>
      <c r="CC37" s="169">
        <f t="shared" si="15"/>
        <v>-11</v>
      </c>
      <c r="CD37" s="169">
        <f>IFERROR(
  SUM(
    _xlfn.XLOOKUP(DATE(YEAR($A$1),1,1),$2:$2,37:37):
    _xlfn.XLOOKUP($A$1,$2:$2,37:37)
  )
 -SUM(
    _xlfn.XLOOKUP(DATE(YEAR($A$1)-1,1,1),$2:$2,37:37):
    _xlfn.XLOOKUP(EDATE($A$1,-12),$2:$2,37:37)
  ),"")</f>
        <v>-100</v>
      </c>
      <c r="CE37" s="4517">
        <f>IFERROR(
  _xlfn.XLOOKUP($A$1,$B$2:$BY$2,$B37:$BY37)
 -_xlfn.XLOOKUP(EDATE($A$1,-1),$B$2:$BY$2,$B37:$BY37),"")</f>
        <v>-31</v>
      </c>
    </row>
    <row r="38" spans="1:87" ht="17.149999999999999" customHeight="1" x14ac:dyDescent="0.55000000000000004">
      <c r="A38" s="7210"/>
      <c r="B38" s="7214"/>
      <c r="C38" s="73" t="s">
        <v>404</v>
      </c>
      <c r="D38" s="134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>
        <f t="shared" si="25"/>
        <v>0</v>
      </c>
      <c r="Q38" s="136">
        <f t="shared" si="22"/>
        <v>0</v>
      </c>
      <c r="R38" s="132"/>
      <c r="S38" s="134">
        <v>217</v>
      </c>
      <c r="T38" s="135">
        <v>366</v>
      </c>
      <c r="U38" s="135">
        <v>239</v>
      </c>
      <c r="V38" s="135">
        <v>154</v>
      </c>
      <c r="W38" s="135">
        <v>139</v>
      </c>
      <c r="X38" s="135">
        <v>75</v>
      </c>
      <c r="Y38" s="135">
        <v>88</v>
      </c>
      <c r="Z38" s="135">
        <v>108</v>
      </c>
      <c r="AA38" s="135">
        <v>55</v>
      </c>
      <c r="AB38" s="135">
        <v>121</v>
      </c>
      <c r="AC38" s="135">
        <v>52</v>
      </c>
      <c r="AD38" s="135">
        <v>34</v>
      </c>
      <c r="AE38" s="135">
        <f t="shared" si="23"/>
        <v>1648</v>
      </c>
      <c r="AF38" s="136">
        <f t="shared" si="24"/>
        <v>137.33333333333334</v>
      </c>
      <c r="AG38" s="132"/>
      <c r="AH38" s="134">
        <v>43</v>
      </c>
      <c r="AI38" s="135">
        <v>28</v>
      </c>
      <c r="AJ38" s="135">
        <v>48</v>
      </c>
      <c r="AK38" s="135">
        <v>41</v>
      </c>
      <c r="AL38" s="135">
        <v>73</v>
      </c>
      <c r="AM38" s="135">
        <v>40</v>
      </c>
      <c r="AN38" s="135">
        <v>142</v>
      </c>
      <c r="AO38" s="135">
        <v>46</v>
      </c>
      <c r="AP38" s="135">
        <v>65</v>
      </c>
      <c r="AQ38" s="135">
        <v>49</v>
      </c>
      <c r="AR38" s="135">
        <v>34</v>
      </c>
      <c r="AS38" s="135">
        <v>21</v>
      </c>
      <c r="AT38" s="135">
        <f t="shared" si="26"/>
        <v>630</v>
      </c>
      <c r="AU38" s="136">
        <f t="shared" si="12"/>
        <v>52.5</v>
      </c>
      <c r="AV38" s="132"/>
      <c r="AW38" s="4520">
        <v>41</v>
      </c>
      <c r="AX38" s="135">
        <v>96</v>
      </c>
      <c r="AY38" s="135">
        <v>41</v>
      </c>
      <c r="AZ38" s="135">
        <v>68</v>
      </c>
      <c r="BA38" s="135">
        <v>122</v>
      </c>
      <c r="BB38" s="135">
        <v>55</v>
      </c>
      <c r="BC38" s="135">
        <v>231</v>
      </c>
      <c r="BD38" s="135">
        <v>60</v>
      </c>
      <c r="BE38" s="135">
        <v>101</v>
      </c>
      <c r="BF38" s="135">
        <v>64</v>
      </c>
      <c r="BG38" s="135">
        <v>58</v>
      </c>
      <c r="BH38" s="135">
        <v>28</v>
      </c>
      <c r="BI38" s="135">
        <f t="shared" si="27"/>
        <v>965</v>
      </c>
      <c r="BJ38" s="136">
        <f t="shared" si="13"/>
        <v>80.416666666666671</v>
      </c>
      <c r="BK38" s="183"/>
      <c r="BL38" s="4520">
        <v>82</v>
      </c>
      <c r="BM38" s="135">
        <v>59</v>
      </c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>
        <f t="shared" si="28"/>
        <v>141</v>
      </c>
      <c r="BY38" s="136">
        <f t="shared" si="14"/>
        <v>70.5</v>
      </c>
      <c r="CA38" s="169">
        <f>ROW()</f>
        <v>38</v>
      </c>
      <c r="CB38" s="169">
        <f>IFERROR(_xlfn.XLOOKUP($A$1,$2:$2,38:38)-_xlfn.XLOOKUP(EDATE($A$1,-12),$2:$2,38:38),"")</f>
        <v>-37</v>
      </c>
      <c r="CC38" s="169">
        <f t="shared" si="15"/>
        <v>27.916666666666671</v>
      </c>
      <c r="CD38" s="169">
        <f>IFERROR(
  SUM(
    _xlfn.XLOOKUP(DATE(YEAR($A$1),1,1),$2:$2,38:38):
    _xlfn.XLOOKUP($A$1,$2:$2,38:38)
  )
 -SUM(
    _xlfn.XLOOKUP(DATE(YEAR($A$1)-1,1,1),$2:$2,38:38):
    _xlfn.XLOOKUP(EDATE($A$1,-12),$2:$2,38:38)
  ),"")</f>
        <v>4</v>
      </c>
      <c r="CE38" s="4517">
        <f>IFERROR(
  _xlfn.XLOOKUP($A$1,$B$2:$BY$2,$B38:$BY38)
 -_xlfn.XLOOKUP(EDATE($A$1,-1),$B$2:$BY$2,$B38:$BY38),"")</f>
        <v>-23</v>
      </c>
    </row>
    <row r="39" spans="1:87" ht="17.05" customHeight="1" x14ac:dyDescent="0.55000000000000004">
      <c r="A39" s="7210"/>
      <c r="B39" s="7203" t="s">
        <v>413</v>
      </c>
      <c r="C39" s="64" t="s">
        <v>400</v>
      </c>
      <c r="D39" s="143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>
        <f>SUM(D39:O39)</f>
        <v>0</v>
      </c>
      <c r="Q39" s="145">
        <f t="shared" si="22"/>
        <v>0</v>
      </c>
      <c r="R39" s="183"/>
      <c r="S39" s="143">
        <v>3690</v>
      </c>
      <c r="T39" s="144">
        <v>4519</v>
      </c>
      <c r="U39" s="144">
        <v>3452</v>
      </c>
      <c r="V39" s="144">
        <v>3562</v>
      </c>
      <c r="W39" s="144">
        <v>3622</v>
      </c>
      <c r="X39" s="144">
        <v>3309</v>
      </c>
      <c r="Y39" s="144">
        <v>3793</v>
      </c>
      <c r="Z39" s="144">
        <v>4870</v>
      </c>
      <c r="AA39" s="144">
        <v>3171</v>
      </c>
      <c r="AB39" s="144">
        <v>4627</v>
      </c>
      <c r="AC39" s="144">
        <v>3290</v>
      </c>
      <c r="AD39" s="144">
        <v>2751</v>
      </c>
      <c r="AE39" s="144">
        <f t="shared" si="23"/>
        <v>44656</v>
      </c>
      <c r="AF39" s="145">
        <f t="shared" si="24"/>
        <v>3721.3333333333335</v>
      </c>
      <c r="AG39" s="183"/>
      <c r="AH39" s="143">
        <v>4376</v>
      </c>
      <c r="AI39" s="144">
        <v>3220</v>
      </c>
      <c r="AJ39" s="144">
        <v>3765</v>
      </c>
      <c r="AK39" s="144">
        <v>3786</v>
      </c>
      <c r="AL39" s="144">
        <v>4329</v>
      </c>
      <c r="AM39" s="144">
        <v>3818</v>
      </c>
      <c r="AN39" s="144">
        <v>4866</v>
      </c>
      <c r="AO39" s="144">
        <v>4091</v>
      </c>
      <c r="AP39" s="144">
        <v>4058</v>
      </c>
      <c r="AQ39" s="144">
        <v>4056</v>
      </c>
      <c r="AR39" s="144">
        <v>3886</v>
      </c>
      <c r="AS39" s="144">
        <v>3100</v>
      </c>
      <c r="AT39" s="144">
        <f>SUM(AH39:AS39)</f>
        <v>47351</v>
      </c>
      <c r="AU39" s="145">
        <f t="shared" si="12"/>
        <v>3945.9166666666665</v>
      </c>
      <c r="AV39" s="183"/>
      <c r="AW39" s="481">
        <v>2917</v>
      </c>
      <c r="AX39" s="144">
        <v>4684</v>
      </c>
      <c r="AY39" s="144">
        <v>3395</v>
      </c>
      <c r="AZ39" s="144">
        <v>4120</v>
      </c>
      <c r="BA39" s="144">
        <v>6813</v>
      </c>
      <c r="BB39" s="144">
        <v>4524</v>
      </c>
      <c r="BC39" s="144">
        <v>5455</v>
      </c>
      <c r="BD39" s="144">
        <v>4090.0000000000005</v>
      </c>
      <c r="BE39" s="144">
        <v>4687</v>
      </c>
      <c r="BF39" s="144">
        <v>4302</v>
      </c>
      <c r="BG39" s="144">
        <v>4046</v>
      </c>
      <c r="BH39" s="144">
        <v>4508</v>
      </c>
      <c r="BI39" s="144">
        <f>SUM(AW39:BH39)</f>
        <v>53541</v>
      </c>
      <c r="BJ39" s="145">
        <f t="shared" si="13"/>
        <v>4461.75</v>
      </c>
      <c r="BK39" s="183"/>
      <c r="BL39" s="481">
        <v>7432.9999999999991</v>
      </c>
      <c r="BM39" s="144">
        <v>3421.9999999999995</v>
      </c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>
        <f>SUM(BL39:BW39)</f>
        <v>10854.999999999998</v>
      </c>
      <c r="BY39" s="145">
        <f t="shared" si="14"/>
        <v>5427.4999999999991</v>
      </c>
      <c r="CA39" s="169">
        <f>ROW()</f>
        <v>39</v>
      </c>
      <c r="CB39" s="169">
        <f>IFERROR(_xlfn.XLOOKUP($A$1,$2:$2,39:39)-_xlfn.XLOOKUP(EDATE($A$1,-12),$2:$2,39:39),"")</f>
        <v>-1262.0000000000005</v>
      </c>
      <c r="CC39" s="169">
        <f t="shared" si="15"/>
        <v>515.83333333333348</v>
      </c>
      <c r="CD39" s="169">
        <f>IFERROR(
  SUM(
    _xlfn.XLOOKUP(DATE(YEAR($A$1),1,1),$2:$2,39:39):
    _xlfn.XLOOKUP($A$1,$2:$2,39:39)
  )
 -SUM(
    _xlfn.XLOOKUP(DATE(YEAR($A$1)-1,1,1),$2:$2,39:39):
    _xlfn.XLOOKUP(EDATE($A$1,-12),$2:$2,39:39)
  ),"")</f>
        <v>3253.9999999999982</v>
      </c>
      <c r="CE39" s="4517">
        <f>IFERROR(
  _xlfn.XLOOKUP($A$1,$B$2:$BY$2,$B39:$BY39)
 -_xlfn.XLOOKUP(EDATE($A$1,-1),$B$2:$BY$2,$B39:$BY39),"")</f>
        <v>-4010.9999999999995</v>
      </c>
    </row>
    <row r="40" spans="1:87" ht="17.05" customHeight="1" x14ac:dyDescent="0.55000000000000004">
      <c r="A40" s="7210"/>
      <c r="B40" s="7204"/>
      <c r="C40" s="65" t="s">
        <v>401</v>
      </c>
      <c r="D40" s="146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>
        <f>SUM(D40:O40)</f>
        <v>0</v>
      </c>
      <c r="Q40" s="148">
        <f t="shared" si="22"/>
        <v>0</v>
      </c>
      <c r="R40" s="183"/>
      <c r="S40" s="146">
        <v>2623</v>
      </c>
      <c r="T40" s="147">
        <v>2993</v>
      </c>
      <c r="U40" s="147">
        <v>2091</v>
      </c>
      <c r="V40" s="147">
        <v>1849</v>
      </c>
      <c r="W40" s="147">
        <v>2096</v>
      </c>
      <c r="X40" s="147">
        <v>2045</v>
      </c>
      <c r="Y40" s="147">
        <v>2313</v>
      </c>
      <c r="Z40" s="147">
        <v>3173</v>
      </c>
      <c r="AA40" s="147">
        <v>2183</v>
      </c>
      <c r="AB40" s="147">
        <v>3129</v>
      </c>
      <c r="AC40" s="147">
        <v>2325</v>
      </c>
      <c r="AD40" s="147">
        <v>1934</v>
      </c>
      <c r="AE40" s="147">
        <f t="shared" si="23"/>
        <v>28754</v>
      </c>
      <c r="AF40" s="148">
        <f t="shared" si="24"/>
        <v>2396.1666666666665</v>
      </c>
      <c r="AG40" s="183"/>
      <c r="AH40" s="146">
        <v>2791</v>
      </c>
      <c r="AI40" s="147">
        <v>2221</v>
      </c>
      <c r="AJ40" s="147">
        <v>2615</v>
      </c>
      <c r="AK40" s="147">
        <v>2592</v>
      </c>
      <c r="AL40" s="147">
        <v>2950</v>
      </c>
      <c r="AM40" s="147">
        <v>2713</v>
      </c>
      <c r="AN40" s="147">
        <v>3316</v>
      </c>
      <c r="AO40" s="147">
        <v>2871</v>
      </c>
      <c r="AP40" s="147">
        <v>3097.9999999999995</v>
      </c>
      <c r="AQ40" s="147">
        <v>2899</v>
      </c>
      <c r="AR40" s="147">
        <v>2690</v>
      </c>
      <c r="AS40" s="147">
        <v>2306</v>
      </c>
      <c r="AT40" s="147">
        <f>SUM(AH40:AS40)</f>
        <v>33062</v>
      </c>
      <c r="AU40" s="148">
        <f t="shared" si="12"/>
        <v>2755.1666666666665</v>
      </c>
      <c r="AV40" s="183"/>
      <c r="AW40" s="482">
        <v>1978</v>
      </c>
      <c r="AX40" s="147">
        <v>3382</v>
      </c>
      <c r="AY40" s="147">
        <v>2285</v>
      </c>
      <c r="AZ40" s="147">
        <v>2628</v>
      </c>
      <c r="BA40" s="147">
        <v>4532</v>
      </c>
      <c r="BB40" s="147">
        <v>3187</v>
      </c>
      <c r="BC40" s="147">
        <v>3574.0000000000005</v>
      </c>
      <c r="BD40" s="147">
        <v>3161</v>
      </c>
      <c r="BE40" s="147">
        <v>3453.0000000000005</v>
      </c>
      <c r="BF40" s="147">
        <v>3550</v>
      </c>
      <c r="BG40" s="147">
        <v>3406</v>
      </c>
      <c r="BH40" s="147">
        <v>3109</v>
      </c>
      <c r="BI40" s="147">
        <f>SUM(AW40:BH40)</f>
        <v>38245</v>
      </c>
      <c r="BJ40" s="148">
        <f t="shared" si="13"/>
        <v>3187.0833333333335</v>
      </c>
      <c r="BK40" s="183"/>
      <c r="BL40" s="482">
        <v>4774</v>
      </c>
      <c r="BM40" s="147">
        <v>2259</v>
      </c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>
        <f>SUM(BL40:BW40)</f>
        <v>7033</v>
      </c>
      <c r="BY40" s="148">
        <f t="shared" si="14"/>
        <v>3516.5</v>
      </c>
      <c r="CA40" s="169">
        <f>ROW()</f>
        <v>40</v>
      </c>
      <c r="CB40" s="169">
        <f>IFERROR(_xlfn.XLOOKUP($A$1,$2:$2,40:40)-_xlfn.XLOOKUP(EDATE($A$1,-12),$2:$2,40:40),"")</f>
        <v>-1123</v>
      </c>
      <c r="CC40" s="169">
        <f t="shared" si="15"/>
        <v>431.91666666666697</v>
      </c>
      <c r="CD40" s="169">
        <f>IFERROR(
  SUM(
    _xlfn.XLOOKUP(DATE(YEAR($A$1),1,1),$2:$2,40:40):
    _xlfn.XLOOKUP($A$1,$2:$2,40:40)
  )
 -SUM(
    _xlfn.XLOOKUP(DATE(YEAR($A$1)-1,1,1),$2:$2,40:40):
    _xlfn.XLOOKUP(EDATE($A$1,-12),$2:$2,40:40)
  ),"")</f>
        <v>1673</v>
      </c>
      <c r="CE40" s="4517">
        <f>IFERROR(
  _xlfn.XLOOKUP($A$1,$B$2:$BY$2,$B40:$BY40)
 -_xlfn.XLOOKUP(EDATE($A$1,-1),$B$2:$BY$2,$B40:$BY40),"")</f>
        <v>-2515</v>
      </c>
    </row>
    <row r="41" spans="1:87" ht="17.05" customHeight="1" x14ac:dyDescent="0.55000000000000004">
      <c r="A41" s="7210"/>
      <c r="B41" s="7204"/>
      <c r="C41" s="65" t="s">
        <v>402</v>
      </c>
      <c r="D41" s="146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>
        <f>SUM(D41:O41)</f>
        <v>0</v>
      </c>
      <c r="Q41" s="148">
        <f t="shared" si="22"/>
        <v>0</v>
      </c>
      <c r="R41" s="183"/>
      <c r="S41" s="146">
        <v>2431</v>
      </c>
      <c r="T41" s="147">
        <v>2662</v>
      </c>
      <c r="U41" s="147">
        <v>2382</v>
      </c>
      <c r="V41" s="147">
        <v>2217</v>
      </c>
      <c r="W41" s="147">
        <v>2320</v>
      </c>
      <c r="X41" s="147">
        <v>2136</v>
      </c>
      <c r="Y41" s="147">
        <v>2694</v>
      </c>
      <c r="Z41" s="147">
        <v>3174</v>
      </c>
      <c r="AA41" s="147">
        <v>2133</v>
      </c>
      <c r="AB41" s="147">
        <v>2965</v>
      </c>
      <c r="AC41" s="147">
        <v>2174</v>
      </c>
      <c r="AD41" s="147">
        <v>1869</v>
      </c>
      <c r="AE41" s="147">
        <f t="shared" si="23"/>
        <v>29157</v>
      </c>
      <c r="AF41" s="148">
        <f t="shared" si="24"/>
        <v>2429.75</v>
      </c>
      <c r="AG41" s="183"/>
      <c r="AH41" s="146">
        <v>2562</v>
      </c>
      <c r="AI41" s="147">
        <v>2283</v>
      </c>
      <c r="AJ41" s="147">
        <v>2465</v>
      </c>
      <c r="AK41" s="147">
        <v>2520</v>
      </c>
      <c r="AL41" s="147">
        <v>3114</v>
      </c>
      <c r="AM41" s="147">
        <v>3034</v>
      </c>
      <c r="AN41" s="147">
        <v>3540</v>
      </c>
      <c r="AO41" s="147">
        <v>2794</v>
      </c>
      <c r="AP41" s="147">
        <v>2818</v>
      </c>
      <c r="AQ41" s="147">
        <v>2990</v>
      </c>
      <c r="AR41" s="147">
        <v>2623</v>
      </c>
      <c r="AS41" s="147">
        <v>2158</v>
      </c>
      <c r="AT41" s="147">
        <f>SUM(AH41:AS41)</f>
        <v>32901</v>
      </c>
      <c r="AU41" s="148">
        <f t="shared" si="12"/>
        <v>2741.75</v>
      </c>
      <c r="AV41" s="183"/>
      <c r="AW41" s="482">
        <v>2136</v>
      </c>
      <c r="AX41" s="147">
        <v>3316</v>
      </c>
      <c r="AY41" s="147">
        <v>2740</v>
      </c>
      <c r="AZ41" s="147">
        <v>3072</v>
      </c>
      <c r="BA41" s="147">
        <v>4850</v>
      </c>
      <c r="BB41" s="147">
        <v>3477.0000000000005</v>
      </c>
      <c r="BC41" s="147">
        <v>4177</v>
      </c>
      <c r="BD41" s="147">
        <v>3314</v>
      </c>
      <c r="BE41" s="147">
        <v>3615.9999999999995</v>
      </c>
      <c r="BF41" s="147">
        <v>3733</v>
      </c>
      <c r="BG41" s="147">
        <v>2918</v>
      </c>
      <c r="BH41" s="147">
        <v>3529</v>
      </c>
      <c r="BI41" s="147">
        <f>SUM(AW41:BH41)</f>
        <v>40878</v>
      </c>
      <c r="BJ41" s="148">
        <f t="shared" si="13"/>
        <v>3406.5</v>
      </c>
      <c r="BK41" s="183"/>
      <c r="BL41" s="482">
        <v>5494</v>
      </c>
      <c r="BM41" s="147">
        <v>2383</v>
      </c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>
        <f>SUM(BL41:BW41)</f>
        <v>7877</v>
      </c>
      <c r="BY41" s="148">
        <f t="shared" si="14"/>
        <v>3938.5</v>
      </c>
      <c r="CA41" s="169">
        <f>ROW()</f>
        <v>41</v>
      </c>
      <c r="CB41" s="169">
        <f>IFERROR(_xlfn.XLOOKUP($A$1,$2:$2,41:41)-_xlfn.XLOOKUP(EDATE($A$1,-12),$2:$2,41:41),"")</f>
        <v>-933</v>
      </c>
      <c r="CC41" s="169">
        <f t="shared" si="15"/>
        <v>664.75</v>
      </c>
      <c r="CD41" s="169">
        <f>IFERROR(
  SUM(
    _xlfn.XLOOKUP(DATE(YEAR($A$1),1,1),$2:$2,41:41):
    _xlfn.XLOOKUP($A$1,$2:$2,41:41)
  )
 -SUM(
    _xlfn.XLOOKUP(DATE(YEAR($A$1)-1,1,1),$2:$2,41:41):
    _xlfn.XLOOKUP(EDATE($A$1,-12),$2:$2,41:41)
  ),"")</f>
        <v>2425</v>
      </c>
      <c r="CE41" s="4517">
        <f>IFERROR(
  _xlfn.XLOOKUP($A$1,$B$2:$BY$2,$B41:$BY41)
 -_xlfn.XLOOKUP(EDATE($A$1,-1),$B$2:$BY$2,$B41:$BY41),"")</f>
        <v>-3111</v>
      </c>
    </row>
    <row r="42" spans="1:87" ht="17.05" customHeight="1" x14ac:dyDescent="0.55000000000000004">
      <c r="A42" s="7210"/>
      <c r="B42" s="7204"/>
      <c r="C42" s="65" t="s">
        <v>403</v>
      </c>
      <c r="D42" s="146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>
        <f>SUM(D42:O42)</f>
        <v>0</v>
      </c>
      <c r="Q42" s="148">
        <f t="shared" si="22"/>
        <v>0</v>
      </c>
      <c r="R42" s="183"/>
      <c r="S42" s="146">
        <v>4625</v>
      </c>
      <c r="T42" s="147">
        <v>5804</v>
      </c>
      <c r="U42" s="147">
        <v>4715</v>
      </c>
      <c r="V42" s="147">
        <v>4689</v>
      </c>
      <c r="W42" s="147">
        <v>4753</v>
      </c>
      <c r="X42" s="147">
        <v>4295</v>
      </c>
      <c r="Y42" s="147">
        <v>4728</v>
      </c>
      <c r="Z42" s="147">
        <v>6309</v>
      </c>
      <c r="AA42" s="147">
        <v>4532</v>
      </c>
      <c r="AB42" s="147">
        <v>5858</v>
      </c>
      <c r="AC42" s="147">
        <v>4508</v>
      </c>
      <c r="AD42" s="147">
        <v>3562</v>
      </c>
      <c r="AE42" s="147">
        <f t="shared" si="23"/>
        <v>58378</v>
      </c>
      <c r="AF42" s="148">
        <f t="shared" si="24"/>
        <v>4864.833333333333</v>
      </c>
      <c r="AG42" s="183"/>
      <c r="AH42" s="146">
        <v>5874</v>
      </c>
      <c r="AI42" s="147">
        <v>4728</v>
      </c>
      <c r="AJ42" s="147">
        <v>5093</v>
      </c>
      <c r="AK42" s="147">
        <v>5137</v>
      </c>
      <c r="AL42" s="147">
        <v>5241</v>
      </c>
      <c r="AM42" s="147">
        <v>4731</v>
      </c>
      <c r="AN42" s="147">
        <v>5528</v>
      </c>
      <c r="AO42" s="147">
        <v>4570</v>
      </c>
      <c r="AP42" s="147">
        <v>5647</v>
      </c>
      <c r="AQ42" s="147">
        <v>5417</v>
      </c>
      <c r="AR42" s="147">
        <v>6104</v>
      </c>
      <c r="AS42" s="147">
        <v>5417</v>
      </c>
      <c r="AT42" s="147">
        <f>SUM(AH42:AS42)</f>
        <v>63487</v>
      </c>
      <c r="AU42" s="148">
        <f t="shared" si="12"/>
        <v>5290.583333333333</v>
      </c>
      <c r="AV42" s="183"/>
      <c r="AW42" s="482">
        <v>5453</v>
      </c>
      <c r="AX42" s="147">
        <v>8121</v>
      </c>
      <c r="AY42" s="147">
        <v>5823</v>
      </c>
      <c r="AZ42" s="147">
        <v>8295</v>
      </c>
      <c r="BA42" s="147">
        <v>11803</v>
      </c>
      <c r="BB42" s="147">
        <v>10340</v>
      </c>
      <c r="BC42" s="147">
        <v>11364</v>
      </c>
      <c r="BD42" s="147">
        <v>8569</v>
      </c>
      <c r="BE42" s="147">
        <v>8875</v>
      </c>
      <c r="BF42" s="147">
        <v>9399</v>
      </c>
      <c r="BG42" s="147">
        <v>7074</v>
      </c>
      <c r="BH42" s="147">
        <v>7893</v>
      </c>
      <c r="BI42" s="147">
        <f>SUM(AW42:BH42)</f>
        <v>103009</v>
      </c>
      <c r="BJ42" s="148">
        <f t="shared" si="13"/>
        <v>8584.0833333333339</v>
      </c>
      <c r="BK42" s="183"/>
      <c r="BL42" s="482">
        <v>11767</v>
      </c>
      <c r="BM42" s="147">
        <v>5583</v>
      </c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>
        <f>SUM(BL42:BW42)</f>
        <v>17350</v>
      </c>
      <c r="BY42" s="148">
        <f t="shared" si="14"/>
        <v>8675</v>
      </c>
      <c r="CA42" s="169">
        <f>ROW()</f>
        <v>42</v>
      </c>
      <c r="CB42" s="169">
        <f>IFERROR(_xlfn.XLOOKUP($A$1,$2:$2,42:42)-_xlfn.XLOOKUP(EDATE($A$1,-12),$2:$2,42:42),"")</f>
        <v>-2538</v>
      </c>
      <c r="CC42" s="169">
        <f t="shared" si="15"/>
        <v>3293.5000000000009</v>
      </c>
      <c r="CD42" s="169">
        <f>IFERROR(
  SUM(
    _xlfn.XLOOKUP(DATE(YEAR($A$1),1,1),$2:$2,42:42):
    _xlfn.XLOOKUP($A$1,$2:$2,42:42)
  )
 -SUM(
    _xlfn.XLOOKUP(DATE(YEAR($A$1)-1,1,1),$2:$2,42:42):
    _xlfn.XLOOKUP(EDATE($A$1,-12),$2:$2,42:42)
  ),"")</f>
        <v>3776</v>
      </c>
      <c r="CE42" s="4517">
        <f>IFERROR(
  _xlfn.XLOOKUP($A$1,$B$2:$BY$2,$B42:$BY42)
 -_xlfn.XLOOKUP(EDATE($A$1,-1),$B$2:$BY$2,$B42:$BY42),"")</f>
        <v>-6184</v>
      </c>
    </row>
    <row r="43" spans="1:87" ht="17.05" customHeight="1" x14ac:dyDescent="0.55000000000000004">
      <c r="A43" s="7210"/>
      <c r="B43" s="7205"/>
      <c r="C43" s="66" t="s">
        <v>404</v>
      </c>
      <c r="D43" s="149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>
        <f>SUM(D43:O43)</f>
        <v>0</v>
      </c>
      <c r="Q43" s="151">
        <f t="shared" si="22"/>
        <v>0</v>
      </c>
      <c r="R43" s="183"/>
      <c r="S43" s="149">
        <v>5754</v>
      </c>
      <c r="T43" s="150">
        <v>6659</v>
      </c>
      <c r="U43" s="150">
        <v>5487</v>
      </c>
      <c r="V43" s="150">
        <v>5281</v>
      </c>
      <c r="W43" s="150">
        <v>5118</v>
      </c>
      <c r="X43" s="150">
        <v>4769</v>
      </c>
      <c r="Y43" s="150">
        <v>5331</v>
      </c>
      <c r="Z43" s="150">
        <v>6892</v>
      </c>
      <c r="AA43" s="150">
        <v>5009</v>
      </c>
      <c r="AB43" s="150">
        <v>6097</v>
      </c>
      <c r="AC43" s="150">
        <v>4701</v>
      </c>
      <c r="AD43" s="150">
        <v>3978</v>
      </c>
      <c r="AE43" s="150">
        <f t="shared" si="23"/>
        <v>65076</v>
      </c>
      <c r="AF43" s="151">
        <f t="shared" si="24"/>
        <v>5423</v>
      </c>
      <c r="AG43" s="183"/>
      <c r="AH43" s="149">
        <v>6084</v>
      </c>
      <c r="AI43" s="150">
        <v>4984</v>
      </c>
      <c r="AJ43" s="150">
        <v>5401</v>
      </c>
      <c r="AK43" s="150">
        <v>5190</v>
      </c>
      <c r="AL43" s="150">
        <v>5327</v>
      </c>
      <c r="AM43" s="150">
        <v>5114</v>
      </c>
      <c r="AN43" s="150">
        <v>5801</v>
      </c>
      <c r="AO43" s="150">
        <v>4338</v>
      </c>
      <c r="AP43" s="150">
        <v>5523</v>
      </c>
      <c r="AQ43" s="150">
        <v>5351</v>
      </c>
      <c r="AR43" s="150">
        <v>5761</v>
      </c>
      <c r="AS43" s="150">
        <v>4808</v>
      </c>
      <c r="AT43" s="150">
        <f>SUM(AH43:AS43)</f>
        <v>63682</v>
      </c>
      <c r="AU43" s="151">
        <f t="shared" si="12"/>
        <v>5306.833333333333</v>
      </c>
      <c r="AV43" s="183"/>
      <c r="AW43" s="483">
        <v>4755</v>
      </c>
      <c r="AX43" s="150">
        <v>6481</v>
      </c>
      <c r="AY43" s="150">
        <v>5055</v>
      </c>
      <c r="AZ43" s="150">
        <v>6165</v>
      </c>
      <c r="BA43" s="150">
        <v>8459</v>
      </c>
      <c r="BB43" s="150">
        <v>6828</v>
      </c>
      <c r="BC43" s="150">
        <v>8262</v>
      </c>
      <c r="BD43" s="150">
        <v>5649</v>
      </c>
      <c r="BE43" s="150">
        <v>6527</v>
      </c>
      <c r="BF43" s="150">
        <v>5870</v>
      </c>
      <c r="BG43" s="150">
        <v>5148</v>
      </c>
      <c r="BH43" s="150">
        <v>5101</v>
      </c>
      <c r="BI43" s="150">
        <f>SUM(AW43:BH43)</f>
        <v>74300</v>
      </c>
      <c r="BJ43" s="151">
        <f t="shared" si="13"/>
        <v>6191.666666666667</v>
      </c>
      <c r="BK43" s="183"/>
      <c r="BL43" s="483">
        <v>8181</v>
      </c>
      <c r="BM43" s="150">
        <v>3740</v>
      </c>
      <c r="BN43" s="150"/>
      <c r="BO43" s="150"/>
      <c r="BP43" s="150"/>
      <c r="BQ43" s="150"/>
      <c r="BR43" s="150"/>
      <c r="BS43" s="150"/>
      <c r="BT43" s="150"/>
      <c r="BU43" s="150"/>
      <c r="BV43" s="150"/>
      <c r="BW43" s="150"/>
      <c r="BX43" s="150">
        <f>SUM(BL43:BW43)</f>
        <v>11921</v>
      </c>
      <c r="BY43" s="151">
        <f t="shared" si="14"/>
        <v>5960.5</v>
      </c>
      <c r="CA43" s="169">
        <f>ROW()</f>
        <v>43</v>
      </c>
      <c r="CB43" s="169">
        <f>IFERROR(_xlfn.XLOOKUP($A$1,$2:$2,43:43)-_xlfn.XLOOKUP(EDATE($A$1,-12),$2:$2,43:43),"")</f>
        <v>-2741</v>
      </c>
      <c r="CC43" s="169">
        <f t="shared" si="15"/>
        <v>884.83333333333394</v>
      </c>
      <c r="CD43" s="169">
        <f>IFERROR(
  SUM(
    _xlfn.XLOOKUP(DATE(YEAR($A$1),1,1),$2:$2,43:43):
    _xlfn.XLOOKUP($A$1,$2:$2,43:43)
  )
 -SUM(
    _xlfn.XLOOKUP(DATE(YEAR($A$1)-1,1,1),$2:$2,43:43):
    _xlfn.XLOOKUP(EDATE($A$1,-12),$2:$2,43:43)
  ),"")</f>
        <v>685</v>
      </c>
      <c r="CE43" s="4517">
        <f>IFERROR(
  _xlfn.XLOOKUP($A$1,$B$2:$BY$2,$B43:$BY43)
 -_xlfn.XLOOKUP(EDATE($A$1,-1),$B$2:$BY$2,$B43:$BY43),"")</f>
        <v>-4441</v>
      </c>
    </row>
    <row r="44" spans="1:87" ht="17.05" customHeight="1" x14ac:dyDescent="0.55000000000000004">
      <c r="A44" s="7210"/>
      <c r="B44" s="7206" t="s">
        <v>414</v>
      </c>
      <c r="C44" s="68" t="s">
        <v>226</v>
      </c>
      <c r="D44" s="155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>
        <f t="shared" ref="P44:P50" si="29">SUM(D44:O44)</f>
        <v>0</v>
      </c>
      <c r="Q44" s="157">
        <f t="shared" si="22"/>
        <v>0</v>
      </c>
      <c r="R44" s="183"/>
      <c r="S44" s="155">
        <v>2619</v>
      </c>
      <c r="T44" s="156">
        <v>3197</v>
      </c>
      <c r="U44" s="156">
        <v>2379</v>
      </c>
      <c r="V44" s="156">
        <v>2500</v>
      </c>
      <c r="W44" s="156">
        <v>2571</v>
      </c>
      <c r="X44" s="156">
        <v>2312</v>
      </c>
      <c r="Y44" s="156">
        <v>2684</v>
      </c>
      <c r="Z44" s="156">
        <v>3365</v>
      </c>
      <c r="AA44" s="156">
        <v>2212</v>
      </c>
      <c r="AB44" s="156">
        <v>3193</v>
      </c>
      <c r="AC44" s="156">
        <v>2302</v>
      </c>
      <c r="AD44" s="156">
        <v>1871</v>
      </c>
      <c r="AE44" s="156">
        <f t="shared" si="23"/>
        <v>31205</v>
      </c>
      <c r="AF44" s="157">
        <f t="shared" si="24"/>
        <v>2600.4166666666665</v>
      </c>
      <c r="AG44" s="183"/>
      <c r="AH44" s="155">
        <v>2997</v>
      </c>
      <c r="AI44" s="156">
        <v>2175</v>
      </c>
      <c r="AJ44" s="156">
        <v>2705</v>
      </c>
      <c r="AK44" s="156">
        <v>2592</v>
      </c>
      <c r="AL44" s="156">
        <v>3051</v>
      </c>
      <c r="AM44" s="156">
        <v>2683</v>
      </c>
      <c r="AN44" s="156">
        <v>3332</v>
      </c>
      <c r="AO44" s="156">
        <v>2856</v>
      </c>
      <c r="AP44" s="156">
        <v>2847</v>
      </c>
      <c r="AQ44" s="156">
        <v>2939</v>
      </c>
      <c r="AR44" s="156">
        <v>2806</v>
      </c>
      <c r="AS44" s="156">
        <v>2166</v>
      </c>
      <c r="AT44" s="156">
        <f t="shared" ref="AT44:AT50" si="30">SUM(AH44:AS44)</f>
        <v>33149</v>
      </c>
      <c r="AU44" s="157">
        <f t="shared" si="12"/>
        <v>2762.4166666666665</v>
      </c>
      <c r="AV44" s="183"/>
      <c r="AW44" s="488">
        <v>2099</v>
      </c>
      <c r="AX44" s="156">
        <v>3289</v>
      </c>
      <c r="AY44" s="156">
        <v>2330</v>
      </c>
      <c r="AZ44" s="156">
        <v>2883</v>
      </c>
      <c r="BA44" s="156">
        <v>4678</v>
      </c>
      <c r="BB44" s="156">
        <v>3094</v>
      </c>
      <c r="BC44" s="156">
        <v>5455</v>
      </c>
      <c r="BD44" s="156">
        <v>4090.0000000000005</v>
      </c>
      <c r="BE44" s="156">
        <v>4687</v>
      </c>
      <c r="BF44" s="156">
        <v>4302</v>
      </c>
      <c r="BG44" s="156">
        <v>4046</v>
      </c>
      <c r="BH44" s="156">
        <v>4508</v>
      </c>
      <c r="BI44" s="156">
        <f t="shared" ref="BI44:BI50" si="31">SUM(AW44:BH44)</f>
        <v>45461</v>
      </c>
      <c r="BJ44" s="157">
        <f t="shared" si="13"/>
        <v>3788.4166666666665</v>
      </c>
      <c r="BK44" s="183"/>
      <c r="BL44" s="488">
        <v>7432.9999999999991</v>
      </c>
      <c r="BM44" s="156">
        <v>3421.9999999999995</v>
      </c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>
        <f t="shared" ref="BX44:BX64" si="32">SUM(BL44:BW44)</f>
        <v>10854.999999999998</v>
      </c>
      <c r="BY44" s="157">
        <f t="shared" si="14"/>
        <v>5427.4999999999991</v>
      </c>
      <c r="CA44" s="169">
        <f>ROW()</f>
        <v>44</v>
      </c>
      <c r="CB44" s="169">
        <f>IFERROR(_xlfn.XLOOKUP($A$1,$2:$2,44:44)-_xlfn.XLOOKUP(EDATE($A$1,-12),$2:$2,44:44),"")</f>
        <v>132.99999999999955</v>
      </c>
      <c r="CC44" s="169">
        <f t="shared" si="15"/>
        <v>1026</v>
      </c>
      <c r="CD44" s="169">
        <f>IFERROR(
  SUM(
    _xlfn.XLOOKUP(DATE(YEAR($A$1),1,1),$2:$2,44:44):
    _xlfn.XLOOKUP($A$1,$2:$2,44:44)
  )
 -SUM(
    _xlfn.XLOOKUP(DATE(YEAR($A$1)-1,1,1),$2:$2,44:44):
    _xlfn.XLOOKUP(EDATE($A$1,-12),$2:$2,44:44)
  ),"")</f>
        <v>5466.9999999999982</v>
      </c>
      <c r="CE44" s="4517">
        <f>IFERROR(
  _xlfn.XLOOKUP($A$1,$B$2:$BY$2,$B44:$BY44)
 -_xlfn.XLOOKUP(EDATE($A$1,-1),$B$2:$BY$2,$B44:$BY44),"")</f>
        <v>-4010.9999999999995</v>
      </c>
    </row>
    <row r="45" spans="1:87" s="61" customFormat="1" ht="17.05" customHeight="1" x14ac:dyDescent="0.55000000000000004">
      <c r="A45" s="7210"/>
      <c r="B45" s="7207"/>
      <c r="C45" s="76" t="s">
        <v>227</v>
      </c>
      <c r="D45" s="161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>
        <f t="shared" si="29"/>
        <v>0</v>
      </c>
      <c r="Q45" s="163">
        <f t="shared" si="22"/>
        <v>0</v>
      </c>
      <c r="R45" s="183"/>
      <c r="S45" s="161">
        <v>2623</v>
      </c>
      <c r="T45" s="162">
        <v>2993</v>
      </c>
      <c r="U45" s="162">
        <v>2091</v>
      </c>
      <c r="V45" s="162">
        <v>1849</v>
      </c>
      <c r="W45" s="162">
        <v>2096</v>
      </c>
      <c r="X45" s="162">
        <v>2045</v>
      </c>
      <c r="Y45" s="162">
        <v>2313</v>
      </c>
      <c r="Z45" s="162">
        <v>3173</v>
      </c>
      <c r="AA45" s="162">
        <v>2183</v>
      </c>
      <c r="AB45" s="162">
        <v>3129</v>
      </c>
      <c r="AC45" s="162">
        <v>2325</v>
      </c>
      <c r="AD45" s="162">
        <v>1934</v>
      </c>
      <c r="AE45" s="162">
        <f t="shared" si="23"/>
        <v>28754</v>
      </c>
      <c r="AF45" s="163">
        <f t="shared" si="24"/>
        <v>2396.1666666666665</v>
      </c>
      <c r="AG45" s="183"/>
      <c r="AH45" s="161">
        <v>2791</v>
      </c>
      <c r="AI45" s="162">
        <v>2221</v>
      </c>
      <c r="AJ45" s="162">
        <v>2615</v>
      </c>
      <c r="AK45" s="162">
        <v>2592</v>
      </c>
      <c r="AL45" s="162">
        <v>2950</v>
      </c>
      <c r="AM45" s="162">
        <v>2713</v>
      </c>
      <c r="AN45" s="162">
        <v>3316</v>
      </c>
      <c r="AO45" s="162">
        <v>2871</v>
      </c>
      <c r="AP45" s="162">
        <v>3097.9999999999995</v>
      </c>
      <c r="AQ45" s="162">
        <v>2899</v>
      </c>
      <c r="AR45" s="162">
        <v>2690</v>
      </c>
      <c r="AS45" s="162">
        <v>2306</v>
      </c>
      <c r="AT45" s="162">
        <f t="shared" si="30"/>
        <v>33062</v>
      </c>
      <c r="AU45" s="163">
        <f t="shared" si="12"/>
        <v>2755.1666666666665</v>
      </c>
      <c r="AV45" s="183"/>
      <c r="AW45" s="487">
        <v>1978</v>
      </c>
      <c r="AX45" s="162">
        <v>3382</v>
      </c>
      <c r="AY45" s="162">
        <v>2285</v>
      </c>
      <c r="AZ45" s="162">
        <v>2628</v>
      </c>
      <c r="BA45" s="162">
        <v>4532</v>
      </c>
      <c r="BB45" s="162">
        <v>3187</v>
      </c>
      <c r="BC45" s="162">
        <v>3574.0000000000005</v>
      </c>
      <c r="BD45" s="162">
        <v>3161</v>
      </c>
      <c r="BE45" s="162">
        <v>3453.0000000000005</v>
      </c>
      <c r="BF45" s="162">
        <v>3550</v>
      </c>
      <c r="BG45" s="162">
        <v>3406</v>
      </c>
      <c r="BH45" s="162">
        <v>3109</v>
      </c>
      <c r="BI45" s="162">
        <f t="shared" si="31"/>
        <v>38245</v>
      </c>
      <c r="BJ45" s="163">
        <f t="shared" si="13"/>
        <v>3187.0833333333335</v>
      </c>
      <c r="BK45" s="183"/>
      <c r="BL45" s="487">
        <v>4774</v>
      </c>
      <c r="BM45" s="162">
        <v>2259</v>
      </c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  <c r="BX45" s="162">
        <f t="shared" si="32"/>
        <v>7033</v>
      </c>
      <c r="BY45" s="163">
        <f t="shared" si="14"/>
        <v>3516.5</v>
      </c>
      <c r="CA45" s="169">
        <f>ROW()</f>
        <v>45</v>
      </c>
      <c r="CB45" s="169">
        <f>IFERROR(_xlfn.XLOOKUP($A$1,$2:$2,45:45)-_xlfn.XLOOKUP(EDATE($A$1,-12),$2:$2,45:45),"")</f>
        <v>-1123</v>
      </c>
      <c r="CC45" s="169">
        <f t="shared" si="15"/>
        <v>431.91666666666697</v>
      </c>
      <c r="CD45" s="169">
        <f>IFERROR(
  SUM(
    _xlfn.XLOOKUP(DATE(YEAR($A$1),1,1),$2:$2,45:45):
    _xlfn.XLOOKUP($A$1,$2:$2,45:45)
  )
 -SUM(
    _xlfn.XLOOKUP(DATE(YEAR($A$1)-1,1,1),$2:$2,45:45):
    _xlfn.XLOOKUP(EDATE($A$1,-12),$2:$2,45:45)
  ),"")</f>
        <v>1673</v>
      </c>
      <c r="CE45" s="4517">
        <f>IFERROR(
  _xlfn.XLOOKUP($A$1,$B$2:$BY$2,$B45:$BY45)
 -_xlfn.XLOOKUP(EDATE($A$1,-1),$B$2:$BY$2,$B45:$BY45),"")</f>
        <v>-2515</v>
      </c>
      <c r="CF45"/>
      <c r="CG45"/>
      <c r="CH45"/>
      <c r="CI45"/>
    </row>
    <row r="46" spans="1:87" s="61" customFormat="1" ht="17.05" customHeight="1" x14ac:dyDescent="0.55000000000000004">
      <c r="A46" s="7210"/>
      <c r="B46" s="7207"/>
      <c r="C46" s="68" t="s">
        <v>228</v>
      </c>
      <c r="D46" s="155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>
        <f t="shared" si="29"/>
        <v>0</v>
      </c>
      <c r="Q46" s="157">
        <f t="shared" si="22"/>
        <v>0</v>
      </c>
      <c r="R46" s="183"/>
      <c r="S46" s="155">
        <v>2431</v>
      </c>
      <c r="T46" s="156">
        <v>2662</v>
      </c>
      <c r="U46" s="156">
        <v>2382</v>
      </c>
      <c r="V46" s="156">
        <v>2217</v>
      </c>
      <c r="W46" s="156">
        <v>2320</v>
      </c>
      <c r="X46" s="156">
        <v>2136</v>
      </c>
      <c r="Y46" s="156">
        <v>2694</v>
      </c>
      <c r="Z46" s="156">
        <v>3174</v>
      </c>
      <c r="AA46" s="156">
        <v>2133</v>
      </c>
      <c r="AB46" s="156">
        <v>2965</v>
      </c>
      <c r="AC46" s="156">
        <v>2174</v>
      </c>
      <c r="AD46" s="156">
        <v>1869</v>
      </c>
      <c r="AE46" s="156">
        <f t="shared" si="23"/>
        <v>29157</v>
      </c>
      <c r="AF46" s="157">
        <f t="shared" si="24"/>
        <v>2429.75</v>
      </c>
      <c r="AG46" s="183"/>
      <c r="AH46" s="155">
        <v>2562</v>
      </c>
      <c r="AI46" s="156">
        <v>2283</v>
      </c>
      <c r="AJ46" s="156">
        <v>2465</v>
      </c>
      <c r="AK46" s="156">
        <v>2520</v>
      </c>
      <c r="AL46" s="156">
        <v>3114</v>
      </c>
      <c r="AM46" s="156">
        <v>3034</v>
      </c>
      <c r="AN46" s="156">
        <v>3540</v>
      </c>
      <c r="AO46" s="156">
        <v>2794</v>
      </c>
      <c r="AP46" s="156">
        <v>2818</v>
      </c>
      <c r="AQ46" s="156">
        <v>2990</v>
      </c>
      <c r="AR46" s="156">
        <v>2623</v>
      </c>
      <c r="AS46" s="156">
        <v>2158</v>
      </c>
      <c r="AT46" s="156">
        <f t="shared" si="30"/>
        <v>32901</v>
      </c>
      <c r="AU46" s="157">
        <f t="shared" si="12"/>
        <v>2741.75</v>
      </c>
      <c r="AV46" s="183"/>
      <c r="AW46" s="488">
        <v>2136</v>
      </c>
      <c r="AX46" s="156">
        <v>3316</v>
      </c>
      <c r="AY46" s="156">
        <v>2740</v>
      </c>
      <c r="AZ46" s="156">
        <v>3072</v>
      </c>
      <c r="BA46" s="156">
        <v>4850</v>
      </c>
      <c r="BB46" s="156">
        <v>3477.0000000000005</v>
      </c>
      <c r="BC46" s="156">
        <v>4177</v>
      </c>
      <c r="BD46" s="156">
        <v>3314</v>
      </c>
      <c r="BE46" s="156">
        <v>3615.9999999999995</v>
      </c>
      <c r="BF46" s="156">
        <v>3733</v>
      </c>
      <c r="BG46" s="156">
        <v>2918</v>
      </c>
      <c r="BH46" s="156">
        <v>3529</v>
      </c>
      <c r="BI46" s="156">
        <f t="shared" si="31"/>
        <v>40878</v>
      </c>
      <c r="BJ46" s="157">
        <f t="shared" si="13"/>
        <v>3406.5</v>
      </c>
      <c r="BK46" s="183"/>
      <c r="BL46" s="488">
        <v>5494</v>
      </c>
      <c r="BM46" s="156">
        <v>2383</v>
      </c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>
        <f t="shared" si="32"/>
        <v>7877</v>
      </c>
      <c r="BY46" s="157">
        <f t="shared" si="14"/>
        <v>3938.5</v>
      </c>
      <c r="CA46" s="169">
        <f>ROW()</f>
        <v>46</v>
      </c>
      <c r="CB46" s="169">
        <f>IFERROR(_xlfn.XLOOKUP($A$1,$2:$2,46:46)-_xlfn.XLOOKUP(EDATE($A$1,-12),$2:$2,46:46),"")</f>
        <v>-933</v>
      </c>
      <c r="CC46" s="169">
        <f t="shared" si="15"/>
        <v>664.75</v>
      </c>
      <c r="CD46" s="169">
        <f>IFERROR(
  SUM(
    _xlfn.XLOOKUP(DATE(YEAR($A$1),1,1),$2:$2,46:46):
    _xlfn.XLOOKUP($A$1,$2:$2,46:46)
  )
 -SUM(
    _xlfn.XLOOKUP(DATE(YEAR($A$1)-1,1,1),$2:$2,46:46):
    _xlfn.XLOOKUP(EDATE($A$1,-12),$2:$2,46:46)
  ),"")</f>
        <v>2425</v>
      </c>
      <c r="CE46" s="4517">
        <f>IFERROR(
  _xlfn.XLOOKUP($A$1,$B$2:$BY$2,$B46:$BY46)
 -_xlfn.XLOOKUP(EDATE($A$1,-1),$B$2:$BY$2,$B46:$BY46),"")</f>
        <v>-3111</v>
      </c>
      <c r="CF46"/>
      <c r="CG46"/>
      <c r="CH46"/>
      <c r="CI46"/>
    </row>
    <row r="47" spans="1:87" s="61" customFormat="1" ht="17.05" customHeight="1" x14ac:dyDescent="0.55000000000000004">
      <c r="A47" s="7210"/>
      <c r="B47" s="7207"/>
      <c r="C47" s="76" t="s">
        <v>229</v>
      </c>
      <c r="D47" s="161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>
        <f t="shared" si="29"/>
        <v>0</v>
      </c>
      <c r="Q47" s="163">
        <f t="shared" si="22"/>
        <v>0</v>
      </c>
      <c r="R47" s="183"/>
      <c r="S47" s="161">
        <v>2678</v>
      </c>
      <c r="T47" s="162">
        <v>3161</v>
      </c>
      <c r="U47" s="162">
        <v>2837</v>
      </c>
      <c r="V47" s="162">
        <v>2606</v>
      </c>
      <c r="W47" s="162">
        <v>2672</v>
      </c>
      <c r="X47" s="162">
        <v>2327</v>
      </c>
      <c r="Y47" s="162">
        <v>2689</v>
      </c>
      <c r="Z47" s="162">
        <v>3451</v>
      </c>
      <c r="AA47" s="162">
        <v>2689</v>
      </c>
      <c r="AB47" s="162">
        <v>3388</v>
      </c>
      <c r="AC47" s="162">
        <v>2655</v>
      </c>
      <c r="AD47" s="162">
        <v>2172</v>
      </c>
      <c r="AE47" s="162">
        <f t="shared" si="23"/>
        <v>33325</v>
      </c>
      <c r="AF47" s="163">
        <f t="shared" si="24"/>
        <v>2777.0833333333335</v>
      </c>
      <c r="AG47" s="183"/>
      <c r="AH47" s="161">
        <v>3509</v>
      </c>
      <c r="AI47" s="162">
        <v>2810</v>
      </c>
      <c r="AJ47" s="162">
        <v>2926</v>
      </c>
      <c r="AK47" s="162">
        <v>3114</v>
      </c>
      <c r="AL47" s="162">
        <v>3059</v>
      </c>
      <c r="AM47" s="162">
        <v>2808</v>
      </c>
      <c r="AN47" s="162">
        <v>3257</v>
      </c>
      <c r="AO47" s="162">
        <v>2699</v>
      </c>
      <c r="AP47" s="162">
        <v>3541</v>
      </c>
      <c r="AQ47" s="162">
        <v>3477</v>
      </c>
      <c r="AR47" s="162">
        <v>4068</v>
      </c>
      <c r="AS47" s="162">
        <v>3563.9999999999995</v>
      </c>
      <c r="AT47" s="162">
        <f t="shared" si="30"/>
        <v>38832</v>
      </c>
      <c r="AU47" s="163">
        <f t="shared" si="12"/>
        <v>3236</v>
      </c>
      <c r="AV47" s="183"/>
      <c r="AW47" s="487">
        <v>3445.0000000000005</v>
      </c>
      <c r="AX47" s="162">
        <v>5091</v>
      </c>
      <c r="AY47" s="162">
        <v>3742</v>
      </c>
      <c r="AZ47" s="162">
        <v>5422</v>
      </c>
      <c r="BA47" s="162">
        <v>7616.9999999999991</v>
      </c>
      <c r="BB47" s="162">
        <v>6801.0000000000009</v>
      </c>
      <c r="BC47" s="162">
        <v>7570</v>
      </c>
      <c r="BD47" s="162">
        <v>5511</v>
      </c>
      <c r="BE47" s="162">
        <v>5533</v>
      </c>
      <c r="BF47" s="162">
        <v>5680</v>
      </c>
      <c r="BG47" s="162">
        <v>4174</v>
      </c>
      <c r="BH47" s="162">
        <v>4586</v>
      </c>
      <c r="BI47" s="162">
        <f t="shared" si="31"/>
        <v>65172</v>
      </c>
      <c r="BJ47" s="163">
        <f t="shared" si="13"/>
        <v>5431</v>
      </c>
      <c r="BK47" s="183"/>
      <c r="BL47" s="487">
        <v>6852</v>
      </c>
      <c r="BM47" s="162">
        <v>3487.9999999999995</v>
      </c>
      <c r="BN47" s="162"/>
      <c r="BO47" s="162"/>
      <c r="BP47" s="162"/>
      <c r="BQ47" s="162"/>
      <c r="BR47" s="162"/>
      <c r="BS47" s="162"/>
      <c r="BT47" s="162"/>
      <c r="BU47" s="162"/>
      <c r="BV47" s="162"/>
      <c r="BW47" s="162"/>
      <c r="BX47" s="162">
        <f t="shared" si="32"/>
        <v>10340</v>
      </c>
      <c r="BY47" s="163">
        <f t="shared" si="14"/>
        <v>5170</v>
      </c>
      <c r="CA47" s="169">
        <f>ROW()</f>
        <v>47</v>
      </c>
      <c r="CB47" s="169">
        <f>IFERROR(_xlfn.XLOOKUP($A$1,$2:$2,47:47)-_xlfn.XLOOKUP(EDATE($A$1,-12),$2:$2,47:47),"")</f>
        <v>-1603.0000000000005</v>
      </c>
      <c r="CC47" s="169">
        <f t="shared" si="15"/>
        <v>2195</v>
      </c>
      <c r="CD47" s="169">
        <f>IFERROR(
  SUM(
    _xlfn.XLOOKUP(DATE(YEAR($A$1),1,1),$2:$2,47:47):
    _xlfn.XLOOKUP($A$1,$2:$2,47:47)
  )
 -SUM(
    _xlfn.XLOOKUP(DATE(YEAR($A$1)-1,1,1),$2:$2,47:47):
    _xlfn.XLOOKUP(EDATE($A$1,-12),$2:$2,47:47)
  ),"")</f>
        <v>1804</v>
      </c>
      <c r="CE47" s="4517">
        <f>IFERROR(
  _xlfn.XLOOKUP($A$1,$B$2:$BY$2,$B47:$BY47)
 -_xlfn.XLOOKUP(EDATE($A$1,-1),$B$2:$BY$2,$B47:$BY47),"")</f>
        <v>-3364.0000000000005</v>
      </c>
      <c r="CF47"/>
      <c r="CG47"/>
      <c r="CH47"/>
      <c r="CI47"/>
    </row>
    <row r="48" spans="1:87" ht="17.05" customHeight="1" x14ac:dyDescent="0.55000000000000004">
      <c r="A48" s="7210"/>
      <c r="B48" s="7207"/>
      <c r="C48" s="67" t="s">
        <v>230</v>
      </c>
      <c r="D48" s="152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>
        <f t="shared" si="29"/>
        <v>0</v>
      </c>
      <c r="Q48" s="154">
        <f t="shared" si="22"/>
        <v>0</v>
      </c>
      <c r="R48" s="183"/>
      <c r="S48" s="152">
        <v>1947</v>
      </c>
      <c r="T48" s="153">
        <v>2643</v>
      </c>
      <c r="U48" s="153">
        <v>1878</v>
      </c>
      <c r="V48" s="153">
        <v>2083</v>
      </c>
      <c r="W48" s="153">
        <v>2081</v>
      </c>
      <c r="X48" s="153">
        <v>1968</v>
      </c>
      <c r="Y48" s="153">
        <v>2039</v>
      </c>
      <c r="Z48" s="153">
        <v>2858</v>
      </c>
      <c r="AA48" s="153">
        <v>1843</v>
      </c>
      <c r="AB48" s="153">
        <v>2470</v>
      </c>
      <c r="AC48" s="153">
        <v>1853</v>
      </c>
      <c r="AD48" s="153">
        <v>1390</v>
      </c>
      <c r="AE48" s="153">
        <f t="shared" si="23"/>
        <v>25053</v>
      </c>
      <c r="AF48" s="154">
        <f t="shared" si="24"/>
        <v>2087.75</v>
      </c>
      <c r="AG48" s="183"/>
      <c r="AH48" s="152">
        <v>2365</v>
      </c>
      <c r="AI48" s="153">
        <v>1918</v>
      </c>
      <c r="AJ48" s="153">
        <v>2167</v>
      </c>
      <c r="AK48" s="153">
        <v>2023</v>
      </c>
      <c r="AL48" s="153">
        <v>2182</v>
      </c>
      <c r="AM48" s="153">
        <v>1923</v>
      </c>
      <c r="AN48" s="153">
        <v>2271</v>
      </c>
      <c r="AO48" s="153">
        <v>1870.9999999999998</v>
      </c>
      <c r="AP48" s="153">
        <v>2106</v>
      </c>
      <c r="AQ48" s="153">
        <v>1940</v>
      </c>
      <c r="AR48" s="153">
        <v>2036</v>
      </c>
      <c r="AS48" s="153">
        <v>1853</v>
      </c>
      <c r="AT48" s="153">
        <f t="shared" si="30"/>
        <v>24655</v>
      </c>
      <c r="AU48" s="154">
        <f t="shared" si="12"/>
        <v>2054.5833333333335</v>
      </c>
      <c r="AV48" s="183"/>
      <c r="AW48" s="487">
        <v>2007.9999999999998</v>
      </c>
      <c r="AX48" s="153">
        <v>3030</v>
      </c>
      <c r="AY48" s="153">
        <v>2081</v>
      </c>
      <c r="AZ48" s="153">
        <v>2873</v>
      </c>
      <c r="BA48" s="153">
        <v>4186</v>
      </c>
      <c r="BB48" s="153">
        <v>3539</v>
      </c>
      <c r="BC48" s="153">
        <v>3793.9999999999995</v>
      </c>
      <c r="BD48" s="153">
        <v>3058</v>
      </c>
      <c r="BE48" s="153">
        <v>3342</v>
      </c>
      <c r="BF48" s="153">
        <v>3719</v>
      </c>
      <c r="BG48" s="153">
        <v>2900</v>
      </c>
      <c r="BH48" s="153">
        <v>3307</v>
      </c>
      <c r="BI48" s="153">
        <f t="shared" si="31"/>
        <v>37837</v>
      </c>
      <c r="BJ48" s="154">
        <f t="shared" si="13"/>
        <v>3153.0833333333335</v>
      </c>
      <c r="BK48" s="183"/>
      <c r="BL48" s="487">
        <v>4915</v>
      </c>
      <c r="BM48" s="153">
        <v>2095</v>
      </c>
      <c r="BN48" s="153"/>
      <c r="BO48" s="153"/>
      <c r="BP48" s="153"/>
      <c r="BQ48" s="153"/>
      <c r="BR48" s="153"/>
      <c r="BS48" s="153"/>
      <c r="BT48" s="153"/>
      <c r="BU48" s="153"/>
      <c r="BV48" s="153"/>
      <c r="BW48" s="153"/>
      <c r="BX48" s="153">
        <f t="shared" si="32"/>
        <v>7010</v>
      </c>
      <c r="BY48" s="154">
        <f t="shared" si="14"/>
        <v>3505</v>
      </c>
      <c r="CA48" s="169">
        <f>ROW()</f>
        <v>48</v>
      </c>
      <c r="CB48" s="169">
        <f>IFERROR(_xlfn.XLOOKUP($A$1,$2:$2,48:48)-_xlfn.XLOOKUP(EDATE($A$1,-12),$2:$2,48:48),"")</f>
        <v>-935</v>
      </c>
      <c r="CC48" s="169">
        <f t="shared" si="15"/>
        <v>1098.5</v>
      </c>
      <c r="CD48" s="169">
        <f>IFERROR(
  SUM(
    _xlfn.XLOOKUP(DATE(YEAR($A$1),1,1),$2:$2,48:48):
    _xlfn.XLOOKUP($A$1,$2:$2,48:48)
  )
 -SUM(
    _xlfn.XLOOKUP(DATE(YEAR($A$1)-1,1,1),$2:$2,48:48):
    _xlfn.XLOOKUP(EDATE($A$1,-12),$2:$2,48:48)
  ),"")</f>
        <v>1972</v>
      </c>
      <c r="CE48" s="4517">
        <f>IFERROR(
  _xlfn.XLOOKUP($A$1,$B$2:$BY$2,$B48:$BY48)
 -_xlfn.XLOOKUP(EDATE($A$1,-1),$B$2:$BY$2,$B48:$BY48),"")</f>
        <v>-2820</v>
      </c>
    </row>
    <row r="49" spans="1:83" ht="17.05" customHeight="1" x14ac:dyDescent="0.55000000000000004">
      <c r="A49" s="7210"/>
      <c r="B49" s="7207"/>
      <c r="C49" s="68" t="s">
        <v>219</v>
      </c>
      <c r="D49" s="155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>
        <f t="shared" si="29"/>
        <v>0</v>
      </c>
      <c r="Q49" s="157">
        <f t="shared" si="22"/>
        <v>0</v>
      </c>
      <c r="R49" s="183"/>
      <c r="S49" s="155">
        <v>3317</v>
      </c>
      <c r="T49" s="156">
        <v>3891</v>
      </c>
      <c r="U49" s="156">
        <v>3379</v>
      </c>
      <c r="V49" s="156">
        <v>3164</v>
      </c>
      <c r="W49" s="156">
        <v>3148</v>
      </c>
      <c r="X49" s="156">
        <v>2915</v>
      </c>
      <c r="Y49" s="156">
        <v>3231</v>
      </c>
      <c r="Z49" s="156">
        <v>4135</v>
      </c>
      <c r="AA49" s="156">
        <v>2940</v>
      </c>
      <c r="AB49" s="156">
        <v>3678</v>
      </c>
      <c r="AC49" s="156">
        <v>2836</v>
      </c>
      <c r="AD49" s="156">
        <v>2361</v>
      </c>
      <c r="AE49" s="156">
        <f t="shared" si="23"/>
        <v>38995</v>
      </c>
      <c r="AF49" s="157">
        <f t="shared" si="24"/>
        <v>3249.5833333333335</v>
      </c>
      <c r="AG49" s="183"/>
      <c r="AH49" s="155">
        <v>3679</v>
      </c>
      <c r="AI49" s="156">
        <v>2890</v>
      </c>
      <c r="AJ49" s="156">
        <v>3189</v>
      </c>
      <c r="AK49" s="156">
        <v>3256</v>
      </c>
      <c r="AL49" s="156">
        <v>3385</v>
      </c>
      <c r="AM49" s="156">
        <v>2964</v>
      </c>
      <c r="AN49" s="156">
        <v>3472.9999999999995</v>
      </c>
      <c r="AO49" s="156">
        <v>2453</v>
      </c>
      <c r="AP49" s="156">
        <v>3429</v>
      </c>
      <c r="AQ49" s="156">
        <v>3276</v>
      </c>
      <c r="AR49" s="156">
        <v>3422</v>
      </c>
      <c r="AS49" s="156">
        <v>2870</v>
      </c>
      <c r="AT49" s="156">
        <f t="shared" si="30"/>
        <v>38286</v>
      </c>
      <c r="AU49" s="157">
        <f t="shared" si="12"/>
        <v>3190.5</v>
      </c>
      <c r="AV49" s="183"/>
      <c r="AW49" s="488">
        <v>2805</v>
      </c>
      <c r="AX49" s="156">
        <v>3873</v>
      </c>
      <c r="AY49" s="156">
        <v>3142</v>
      </c>
      <c r="AZ49" s="156">
        <v>3744</v>
      </c>
      <c r="BA49" s="156">
        <v>5440</v>
      </c>
      <c r="BB49" s="156">
        <v>4495</v>
      </c>
      <c r="BC49" s="156">
        <v>5186</v>
      </c>
      <c r="BD49" s="156">
        <v>3426</v>
      </c>
      <c r="BE49" s="156">
        <v>3922</v>
      </c>
      <c r="BF49" s="156">
        <v>3576</v>
      </c>
      <c r="BG49" s="156">
        <v>3144</v>
      </c>
      <c r="BH49" s="156">
        <v>3198</v>
      </c>
      <c r="BI49" s="156">
        <f t="shared" si="31"/>
        <v>45951</v>
      </c>
      <c r="BJ49" s="157">
        <f t="shared" si="13"/>
        <v>3829.25</v>
      </c>
      <c r="BK49" s="183"/>
      <c r="BL49" s="488">
        <v>4972</v>
      </c>
      <c r="BM49" s="156">
        <v>2302</v>
      </c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>
        <f t="shared" si="32"/>
        <v>7274</v>
      </c>
      <c r="BY49" s="157">
        <f t="shared" si="14"/>
        <v>3637</v>
      </c>
      <c r="CA49" s="169">
        <f>ROW()</f>
        <v>49</v>
      </c>
      <c r="CB49" s="169">
        <f>IFERROR(_xlfn.XLOOKUP($A$1,$2:$2,49:49)-_xlfn.XLOOKUP(EDATE($A$1,-12),$2:$2,49:49),"")</f>
        <v>-1571</v>
      </c>
      <c r="CC49" s="169">
        <f t="shared" si="15"/>
        <v>638.75</v>
      </c>
      <c r="CD49" s="169">
        <f>IFERROR(
  SUM(
    _xlfn.XLOOKUP(DATE(YEAR($A$1),1,1),$2:$2,49:49):
    _xlfn.XLOOKUP($A$1,$2:$2,49:49)
  )
 -SUM(
    _xlfn.XLOOKUP(DATE(YEAR($A$1)-1,1,1),$2:$2,49:49):
    _xlfn.XLOOKUP(EDATE($A$1,-12),$2:$2,49:49)
  ),"")</f>
        <v>596</v>
      </c>
      <c r="CE49" s="4517">
        <f>IFERROR(
  _xlfn.XLOOKUP($A$1,$B$2:$BY$2,$B49:$BY49)
 -_xlfn.XLOOKUP(EDATE($A$1,-1),$B$2:$BY$2,$B49:$BY49),"")</f>
        <v>-2670</v>
      </c>
    </row>
    <row r="50" spans="1:83" ht="17.149999999999999" customHeight="1" thickBot="1" x14ac:dyDescent="0.6">
      <c r="A50" s="7211"/>
      <c r="B50" s="7208"/>
      <c r="C50" s="77" t="s">
        <v>220</v>
      </c>
      <c r="D50" s="164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>
        <f t="shared" si="29"/>
        <v>0</v>
      </c>
      <c r="Q50" s="166">
        <f t="shared" si="22"/>
        <v>0</v>
      </c>
      <c r="R50" s="183"/>
      <c r="S50" s="164">
        <v>2437</v>
      </c>
      <c r="T50" s="165">
        <v>2768</v>
      </c>
      <c r="U50" s="165">
        <v>2108</v>
      </c>
      <c r="V50" s="165">
        <v>2117</v>
      </c>
      <c r="W50" s="165">
        <v>1970</v>
      </c>
      <c r="X50" s="165">
        <v>1854</v>
      </c>
      <c r="Y50" s="165">
        <v>2100</v>
      </c>
      <c r="Z50" s="165">
        <v>2757</v>
      </c>
      <c r="AA50" s="165">
        <v>2069</v>
      </c>
      <c r="AB50" s="165">
        <v>2419</v>
      </c>
      <c r="AC50" s="165">
        <v>1865</v>
      </c>
      <c r="AD50" s="165">
        <v>1617</v>
      </c>
      <c r="AE50" s="165">
        <f t="shared" si="23"/>
        <v>26081</v>
      </c>
      <c r="AF50" s="166">
        <f t="shared" si="24"/>
        <v>2173.4166666666665</v>
      </c>
      <c r="AG50" s="183"/>
      <c r="AH50" s="164">
        <v>2405</v>
      </c>
      <c r="AI50" s="165">
        <v>2094</v>
      </c>
      <c r="AJ50" s="165">
        <v>2212</v>
      </c>
      <c r="AK50" s="165">
        <v>1934</v>
      </c>
      <c r="AL50" s="165">
        <v>1942</v>
      </c>
      <c r="AM50" s="165">
        <v>2150</v>
      </c>
      <c r="AN50" s="165">
        <v>2328</v>
      </c>
      <c r="AO50" s="165">
        <v>1884.9999999999998</v>
      </c>
      <c r="AP50" s="165">
        <v>2094</v>
      </c>
      <c r="AQ50" s="165">
        <v>2075</v>
      </c>
      <c r="AR50" s="165">
        <v>2339</v>
      </c>
      <c r="AS50" s="165">
        <v>1937.9999999999998</v>
      </c>
      <c r="AT50" s="165">
        <f t="shared" si="30"/>
        <v>25396</v>
      </c>
      <c r="AU50" s="166">
        <f t="shared" si="12"/>
        <v>2116.3333333333335</v>
      </c>
      <c r="AV50" s="183"/>
      <c r="AW50" s="490">
        <v>1950</v>
      </c>
      <c r="AX50" s="165">
        <v>2608</v>
      </c>
      <c r="AY50" s="165">
        <v>1913</v>
      </c>
      <c r="AZ50" s="165">
        <v>2421</v>
      </c>
      <c r="BA50" s="165">
        <v>3019</v>
      </c>
      <c r="BB50" s="165">
        <v>2333</v>
      </c>
      <c r="BC50" s="165">
        <v>3076</v>
      </c>
      <c r="BD50" s="165">
        <v>2223</v>
      </c>
      <c r="BE50" s="165">
        <v>2605</v>
      </c>
      <c r="BF50" s="165">
        <v>2294</v>
      </c>
      <c r="BG50" s="165">
        <v>2004</v>
      </c>
      <c r="BH50" s="165">
        <v>1903</v>
      </c>
      <c r="BI50" s="165">
        <f t="shared" si="31"/>
        <v>28349</v>
      </c>
      <c r="BJ50" s="166">
        <f t="shared" si="13"/>
        <v>2362.4166666666665</v>
      </c>
      <c r="BK50" s="183"/>
      <c r="BL50" s="490">
        <v>3209</v>
      </c>
      <c r="BM50" s="165">
        <v>1438</v>
      </c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>
        <f t="shared" si="32"/>
        <v>4647</v>
      </c>
      <c r="BY50" s="166">
        <f t="shared" si="14"/>
        <v>2323.5</v>
      </c>
      <c r="CA50" s="169">
        <f>ROW()</f>
        <v>50</v>
      </c>
      <c r="CB50" s="169">
        <f>IFERROR(_xlfn.XLOOKUP($A$1,$2:$2,50:50)-_xlfn.XLOOKUP(EDATE($A$1,-12),$2:$2,50:50),"")</f>
        <v>-1170</v>
      </c>
      <c r="CC50" s="169">
        <f t="shared" si="15"/>
        <v>246.08333333333303</v>
      </c>
      <c r="CD50" s="169">
        <f>IFERROR(
  SUM(
    _xlfn.XLOOKUP(DATE(YEAR($A$1),1,1),$2:$2,50:50):
    _xlfn.XLOOKUP($A$1,$2:$2,50:50)
  )
 -SUM(
    _xlfn.XLOOKUP(DATE(YEAR($A$1)-1,1,1),$2:$2,50:50):
    _xlfn.XLOOKUP(EDATE($A$1,-12),$2:$2,50:50)
  ),"")</f>
        <v>89</v>
      </c>
      <c r="CE50" s="4517">
        <f>IFERROR(
  _xlfn.XLOOKUP($A$1,$B$2:$BY$2,$B50:$BY50)
 -_xlfn.XLOOKUP(EDATE($A$1,-1),$B$2:$BY$2,$B50:$BY50),"")</f>
        <v>-1771</v>
      </c>
    </row>
    <row r="51" spans="1:83" s="330" customFormat="1" ht="14.25" customHeight="1" thickBot="1" x14ac:dyDescent="0.6">
      <c r="A51" s="4683"/>
      <c r="B51" s="4683"/>
      <c r="C51" s="4683"/>
      <c r="D51" s="4683"/>
      <c r="E51" s="4683"/>
      <c r="F51" s="4683"/>
      <c r="G51" s="4683"/>
      <c r="H51" s="4683"/>
      <c r="I51" s="4683"/>
      <c r="J51" s="4683"/>
      <c r="K51" s="4683"/>
      <c r="L51" s="4683"/>
      <c r="M51" s="4683"/>
      <c r="N51" s="4683"/>
      <c r="O51" s="4683"/>
      <c r="P51" s="4683"/>
      <c r="Q51" s="4683"/>
      <c r="R51" s="4683"/>
      <c r="S51" s="4683"/>
      <c r="T51" s="4683"/>
      <c r="U51" s="4683"/>
      <c r="V51" s="4683"/>
      <c r="W51" s="4683"/>
      <c r="X51" s="4683"/>
      <c r="Y51" s="4683"/>
      <c r="Z51" s="4683"/>
      <c r="AA51" s="4683"/>
      <c r="AB51" s="4683"/>
      <c r="AC51" s="4683"/>
      <c r="AD51" s="4683"/>
      <c r="AE51" s="4683"/>
      <c r="AF51" s="4683"/>
      <c r="AG51" s="4683"/>
      <c r="AH51" s="4683"/>
      <c r="AI51" s="4683"/>
      <c r="AJ51" s="4683"/>
      <c r="AK51" s="4683"/>
      <c r="AL51" s="4683"/>
      <c r="AM51" s="4683"/>
      <c r="AN51" s="4683"/>
      <c r="AO51" s="4683"/>
      <c r="AP51" s="4683"/>
      <c r="AQ51" s="4683"/>
      <c r="AR51" s="4683"/>
      <c r="AS51" s="4683"/>
      <c r="AT51" s="4683"/>
      <c r="AU51" s="4683"/>
      <c r="AV51" s="4683"/>
      <c r="AW51" s="4683"/>
      <c r="AX51" s="4683"/>
      <c r="AY51" s="4683"/>
      <c r="AZ51" s="4683"/>
      <c r="BA51" s="4683"/>
      <c r="BB51" s="4683"/>
      <c r="BC51" s="4683"/>
      <c r="BD51" s="4683"/>
      <c r="BE51" s="4683"/>
      <c r="BF51" s="4683"/>
      <c r="BG51" s="4683"/>
      <c r="BH51" s="4683"/>
      <c r="BI51" s="4683"/>
      <c r="BJ51" s="4683"/>
      <c r="BK51" s="4683"/>
      <c r="BL51" s="4683"/>
      <c r="BM51" s="4683"/>
      <c r="BN51" s="4683"/>
      <c r="BO51" s="4683"/>
      <c r="BP51" s="4683"/>
      <c r="BQ51" s="4683"/>
      <c r="BR51" s="4683"/>
      <c r="BS51" s="4683"/>
      <c r="BT51" s="4683"/>
      <c r="BU51" s="4683"/>
      <c r="BV51" s="4683"/>
      <c r="BW51" s="4683"/>
      <c r="BX51" s="4683"/>
      <c r="BY51" s="4683"/>
      <c r="BZ51" s="4683"/>
      <c r="CA51" s="526"/>
      <c r="CB51" s="169">
        <f>IFERROR(_xlfn.XLOOKUP($A$1,$2:$2,51:51)-_xlfn.XLOOKUP(EDATE($A$1,-12),$2:$2,51:51),"")</f>
        <v>0</v>
      </c>
      <c r="CC51" s="526"/>
      <c r="CD51" s="169">
        <f>IFERROR(
  SUM(
    _xlfn.XLOOKUP(DATE(YEAR($A$1),1,1),$2:$2,51:51):
    _xlfn.XLOOKUP($A$1,$2:$2,51:51)
  )
 -SUM(
    _xlfn.XLOOKUP(DATE(YEAR($A$1)-1,1,1),$2:$2,51:51):
    _xlfn.XLOOKUP(EDATE($A$1,-12),$2:$2,51:51)
  ),"")</f>
        <v>0</v>
      </c>
      <c r="CE51" s="4517"/>
    </row>
    <row r="52" spans="1:83" ht="17.399999999999999" customHeight="1" x14ac:dyDescent="0.55000000000000004">
      <c r="A52" s="7197" t="s">
        <v>61</v>
      </c>
      <c r="B52" s="14" t="s">
        <v>399</v>
      </c>
      <c r="C52" s="71"/>
      <c r="D52" s="122">
        <f t="shared" ref="D52:O52" si="33">SUM(D53:D58)</f>
        <v>47530</v>
      </c>
      <c r="E52" s="123">
        <f t="shared" si="33"/>
        <v>56599</v>
      </c>
      <c r="F52" s="123">
        <f t="shared" si="33"/>
        <v>50765</v>
      </c>
      <c r="G52" s="123">
        <f t="shared" si="33"/>
        <v>51500</v>
      </c>
      <c r="H52" s="123">
        <f t="shared" si="33"/>
        <v>53202</v>
      </c>
      <c r="I52" s="123">
        <f t="shared" si="33"/>
        <v>51910</v>
      </c>
      <c r="J52" s="123">
        <f t="shared" si="33"/>
        <v>45735</v>
      </c>
      <c r="K52" s="123">
        <f t="shared" si="33"/>
        <v>59908</v>
      </c>
      <c r="L52" s="123">
        <f t="shared" si="33"/>
        <v>42617</v>
      </c>
      <c r="M52" s="123">
        <f t="shared" si="33"/>
        <v>65886</v>
      </c>
      <c r="N52" s="123">
        <f t="shared" si="33"/>
        <v>42350</v>
      </c>
      <c r="O52" s="123">
        <f t="shared" si="33"/>
        <v>34701</v>
      </c>
      <c r="P52" s="123">
        <f>SUM(D52:O52)</f>
        <v>602703</v>
      </c>
      <c r="Q52" s="124">
        <f>P52/12</f>
        <v>50225.25</v>
      </c>
      <c r="R52" s="183"/>
      <c r="S52" s="4673">
        <f>S53+S58</f>
        <v>39472</v>
      </c>
      <c r="T52" s="123">
        <f t="shared" ref="T52:AD52" si="34">T53+T58</f>
        <v>52312</v>
      </c>
      <c r="U52" s="123">
        <f t="shared" si="34"/>
        <v>40877</v>
      </c>
      <c r="V52" s="123">
        <f t="shared" si="34"/>
        <v>38704</v>
      </c>
      <c r="W52" s="123">
        <f t="shared" si="34"/>
        <v>43205</v>
      </c>
      <c r="X52" s="123">
        <f t="shared" si="34"/>
        <v>40045</v>
      </c>
      <c r="Y52" s="123">
        <f t="shared" si="34"/>
        <v>39620</v>
      </c>
      <c r="Z52" s="123">
        <f t="shared" si="34"/>
        <v>57674</v>
      </c>
      <c r="AA52" s="123">
        <f t="shared" si="34"/>
        <v>35933</v>
      </c>
      <c r="AB52" s="123">
        <f t="shared" si="34"/>
        <v>66601</v>
      </c>
      <c r="AC52" s="123">
        <f t="shared" si="34"/>
        <v>37572</v>
      </c>
      <c r="AD52" s="123">
        <f t="shared" si="34"/>
        <v>30999</v>
      </c>
      <c r="AE52" s="123">
        <f>SUM(S52:AD52)</f>
        <v>523014</v>
      </c>
      <c r="AF52" s="124">
        <f>AE52/12</f>
        <v>43584.5</v>
      </c>
      <c r="AG52" s="183"/>
      <c r="AH52" s="4673">
        <v>54380</v>
      </c>
      <c r="AI52" s="123">
        <v>38344</v>
      </c>
      <c r="AJ52" s="123">
        <v>39337</v>
      </c>
      <c r="AK52" s="123">
        <v>42410</v>
      </c>
      <c r="AL52" s="123">
        <v>43143</v>
      </c>
      <c r="AM52" s="123">
        <v>38323</v>
      </c>
      <c r="AN52" s="123">
        <v>55181</v>
      </c>
      <c r="AO52" s="123">
        <v>41157</v>
      </c>
      <c r="AP52" s="123">
        <v>62578.999999999993</v>
      </c>
      <c r="AQ52" s="123">
        <v>55555</v>
      </c>
      <c r="AR52" s="123">
        <v>43193</v>
      </c>
      <c r="AS52" s="123">
        <v>35792</v>
      </c>
      <c r="AT52" s="123">
        <f>SUM(AH52:AS52)</f>
        <v>549394</v>
      </c>
      <c r="AU52" s="124">
        <f t="shared" si="12"/>
        <v>45782.833333333336</v>
      </c>
      <c r="AV52" s="183"/>
      <c r="AW52" s="476">
        <v>33725</v>
      </c>
      <c r="AX52" s="123">
        <v>67573</v>
      </c>
      <c r="AY52" s="123">
        <v>43042</v>
      </c>
      <c r="AZ52" s="123">
        <v>46782</v>
      </c>
      <c r="BA52" s="123">
        <v>63245</v>
      </c>
      <c r="BB52" s="123">
        <v>51216.999999999993</v>
      </c>
      <c r="BC52" s="123">
        <v>68808</v>
      </c>
      <c r="BD52" s="123">
        <v>49766</v>
      </c>
      <c r="BE52" s="123">
        <v>69431</v>
      </c>
      <c r="BF52" s="123">
        <v>56294.000000000007</v>
      </c>
      <c r="BG52" s="123">
        <v>46695</v>
      </c>
      <c r="BH52" s="123">
        <v>46355</v>
      </c>
      <c r="BI52" s="123">
        <f>SUM(AW52:BH52)</f>
        <v>642933</v>
      </c>
      <c r="BJ52" s="124">
        <f t="shared" si="13"/>
        <v>53577.75</v>
      </c>
      <c r="BK52" s="183"/>
      <c r="BL52" s="476">
        <v>69719</v>
      </c>
      <c r="BM52" s="123">
        <v>36417</v>
      </c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>
        <f t="shared" si="32"/>
        <v>106136</v>
      </c>
      <c r="BY52" s="124">
        <f t="shared" ref="BY52:BY78" si="35">AVERAGE(BL52:BW52)</f>
        <v>53068</v>
      </c>
      <c r="CA52" s="169">
        <f>ROW()</f>
        <v>52</v>
      </c>
      <c r="CB52" s="169">
        <f>IFERROR(_xlfn.XLOOKUP($A$1,$2:$2,52:52)-_xlfn.XLOOKUP(EDATE($A$1,-12),$2:$2,52:52),"")</f>
        <v>-31156</v>
      </c>
      <c r="CC52" s="169">
        <f t="shared" si="15"/>
        <v>7794.9166666666642</v>
      </c>
      <c r="CD52" s="169">
        <f>IFERROR(
  SUM(
    _xlfn.XLOOKUP(DATE(YEAR($A$1),1,1),$2:$2,52:52):
    _xlfn.XLOOKUP($A$1,$2:$2,52:52)
  )
 -SUM(
    _xlfn.XLOOKUP(DATE(YEAR($A$1)-1,1,1),$2:$2,52:52):
    _xlfn.XLOOKUP(EDATE($A$1,-12),$2:$2,52:52)
  ),"")</f>
        <v>4838</v>
      </c>
      <c r="CE52" s="4517">
        <f>IFERROR(
  _xlfn.XLOOKUP($A$1,$B$2:$BY$2,$B52:$BY52)
 -_xlfn.XLOOKUP(EDATE($A$1,-1),$B$2:$BY$2,$B52:$BY52),"")</f>
        <v>-33302</v>
      </c>
    </row>
    <row r="53" spans="1:83" ht="17.399999999999999" customHeight="1" x14ac:dyDescent="0.55000000000000004">
      <c r="A53" s="7198"/>
      <c r="B53" s="15"/>
      <c r="C53" s="78" t="s">
        <v>46</v>
      </c>
      <c r="D53" s="125">
        <v>15872</v>
      </c>
      <c r="E53" s="126">
        <v>15028</v>
      </c>
      <c r="F53" s="126">
        <v>16129</v>
      </c>
      <c r="G53" s="126">
        <v>13795</v>
      </c>
      <c r="H53" s="126">
        <v>14744</v>
      </c>
      <c r="I53" s="126">
        <v>13162</v>
      </c>
      <c r="J53" s="126">
        <v>11927</v>
      </c>
      <c r="K53" s="126">
        <v>11849</v>
      </c>
      <c r="L53" s="126">
        <v>13625</v>
      </c>
      <c r="M53" s="126">
        <v>16069</v>
      </c>
      <c r="N53" s="126">
        <v>11418</v>
      </c>
      <c r="O53" s="126">
        <v>9626</v>
      </c>
      <c r="P53" s="126">
        <f t="shared" ref="P53:P64" si="36">SUM(D53:O53)</f>
        <v>163244</v>
      </c>
      <c r="Q53" s="127">
        <f t="shared" ref="Q53:Q64" si="37">P53/12</f>
        <v>13603.666666666666</v>
      </c>
      <c r="R53" s="183"/>
      <c r="S53" s="4674">
        <v>10729</v>
      </c>
      <c r="T53" s="126">
        <v>11542</v>
      </c>
      <c r="U53" s="126">
        <v>11400</v>
      </c>
      <c r="V53" s="126">
        <v>10347</v>
      </c>
      <c r="W53" s="126">
        <v>13416</v>
      </c>
      <c r="X53" s="126">
        <v>12776</v>
      </c>
      <c r="Y53" s="126">
        <v>13585</v>
      </c>
      <c r="Z53" s="126">
        <v>13319</v>
      </c>
      <c r="AA53" s="126">
        <v>11776</v>
      </c>
      <c r="AB53" s="126">
        <v>13594</v>
      </c>
      <c r="AC53" s="126">
        <v>11211</v>
      </c>
      <c r="AD53" s="126">
        <v>9451</v>
      </c>
      <c r="AE53" s="126">
        <f t="shared" ref="AE53:AE64" si="38">SUM(S53:AD53)</f>
        <v>143146</v>
      </c>
      <c r="AF53" s="127">
        <f t="shared" ref="AF53:AF64" si="39">AE53/12</f>
        <v>11928.833333333334</v>
      </c>
      <c r="AG53" s="183"/>
      <c r="AH53" s="4674">
        <v>11852</v>
      </c>
      <c r="AI53" s="126">
        <v>12150</v>
      </c>
      <c r="AJ53" s="126">
        <v>13615</v>
      </c>
      <c r="AK53" s="126">
        <v>14224</v>
      </c>
      <c r="AL53" s="126">
        <v>16942</v>
      </c>
      <c r="AM53" s="126">
        <v>15369</v>
      </c>
      <c r="AN53" s="126">
        <v>15228</v>
      </c>
      <c r="AO53" s="126">
        <v>12997</v>
      </c>
      <c r="AP53" s="126">
        <v>14172</v>
      </c>
      <c r="AQ53" s="126">
        <v>14020</v>
      </c>
      <c r="AR53" s="126">
        <v>14835</v>
      </c>
      <c r="AS53" s="126">
        <v>12593</v>
      </c>
      <c r="AT53" s="126">
        <f t="shared" ref="AT53:AT64" si="40">SUM(AH53:AS53)</f>
        <v>167997</v>
      </c>
      <c r="AU53" s="127">
        <f t="shared" si="12"/>
        <v>13999.75</v>
      </c>
      <c r="AV53" s="183"/>
      <c r="AW53" s="477">
        <v>12037</v>
      </c>
      <c r="AX53" s="126">
        <v>17634</v>
      </c>
      <c r="AY53" s="126">
        <v>14042</v>
      </c>
      <c r="AZ53" s="126">
        <v>16713</v>
      </c>
      <c r="BA53" s="126">
        <v>32341</v>
      </c>
      <c r="BB53" s="126">
        <v>20917</v>
      </c>
      <c r="BC53" s="126">
        <v>21910</v>
      </c>
      <c r="BD53" s="126">
        <v>13357.000000000002</v>
      </c>
      <c r="BE53" s="126">
        <v>16259</v>
      </c>
      <c r="BF53" s="126">
        <v>13784</v>
      </c>
      <c r="BG53" s="126">
        <v>15575</v>
      </c>
      <c r="BH53" s="126">
        <v>15600.000000000002</v>
      </c>
      <c r="BI53" s="126">
        <f>SUM(AW53:BH53)</f>
        <v>210169</v>
      </c>
      <c r="BJ53" s="127">
        <f t="shared" si="13"/>
        <v>17514.083333333332</v>
      </c>
      <c r="BK53" s="183"/>
      <c r="BL53" s="477">
        <v>23075</v>
      </c>
      <c r="BM53" s="126">
        <v>12719.999999999998</v>
      </c>
      <c r="BN53" s="126"/>
      <c r="BO53" s="126"/>
      <c r="BP53" s="126"/>
      <c r="BQ53" s="126"/>
      <c r="BR53" s="126"/>
      <c r="BS53" s="126"/>
      <c r="BT53" s="126"/>
      <c r="BU53" s="126"/>
      <c r="BV53" s="126"/>
      <c r="BW53" s="126"/>
      <c r="BX53" s="126">
        <f t="shared" si="32"/>
        <v>35795</v>
      </c>
      <c r="BY53" s="127">
        <f t="shared" si="35"/>
        <v>17897.5</v>
      </c>
      <c r="CA53" s="169">
        <f>ROW()</f>
        <v>53</v>
      </c>
      <c r="CB53" s="169">
        <f>IFERROR(_xlfn.XLOOKUP($A$1,$2:$2,53:53)-_xlfn.XLOOKUP(EDATE($A$1,-12),$2:$2,53:53),"")</f>
        <v>-4914.0000000000018</v>
      </c>
      <c r="CC53" s="169">
        <f t="shared" si="15"/>
        <v>3514.3333333333321</v>
      </c>
      <c r="CD53" s="169">
        <f>IFERROR(
  SUM(
    _xlfn.XLOOKUP(DATE(YEAR($A$1),1,1),$2:$2,53:53):
    _xlfn.XLOOKUP($A$1,$2:$2,53:53)
  )
 -SUM(
    _xlfn.XLOOKUP(DATE(YEAR($A$1)-1,1,1),$2:$2,53:53):
    _xlfn.XLOOKUP(EDATE($A$1,-12),$2:$2,53:53)
  ),"")</f>
        <v>6124</v>
      </c>
      <c r="CE53" s="4517">
        <f>IFERROR(
  _xlfn.XLOOKUP($A$1,$B$2:$BY$2,$B53:$BY53)
 -_xlfn.XLOOKUP(EDATE($A$1,-1),$B$2:$BY$2,$B53:$BY53),"")</f>
        <v>-10355.000000000002</v>
      </c>
    </row>
    <row r="54" spans="1:83" ht="17.399999999999999" customHeight="1" x14ac:dyDescent="0.55000000000000004">
      <c r="A54" s="7198"/>
      <c r="B54" s="15"/>
      <c r="C54" s="78" t="s">
        <v>475</v>
      </c>
      <c r="D54" s="125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7"/>
      <c r="R54" s="183"/>
      <c r="S54" s="4675">
        <f>S53/S52</f>
        <v>0.27181293068504259</v>
      </c>
      <c r="T54" s="245">
        <f t="shared" ref="T54:AD54" si="41">T53/T52</f>
        <v>0.22063771218840803</v>
      </c>
      <c r="U54" s="245">
        <f t="shared" si="41"/>
        <v>0.27888543679819949</v>
      </c>
      <c r="V54" s="245">
        <f t="shared" si="41"/>
        <v>0.26733670938404297</v>
      </c>
      <c r="W54" s="245">
        <f t="shared" si="41"/>
        <v>0.31051961578521003</v>
      </c>
      <c r="X54" s="245">
        <f t="shared" si="41"/>
        <v>0.31904107878636534</v>
      </c>
      <c r="Y54" s="245">
        <f t="shared" si="41"/>
        <v>0.34288238263503279</v>
      </c>
      <c r="Z54" s="245">
        <f t="shared" si="41"/>
        <v>0.23093595034157505</v>
      </c>
      <c r="AA54" s="245">
        <f t="shared" si="41"/>
        <v>0.32772103637325023</v>
      </c>
      <c r="AB54" s="245">
        <f t="shared" si="41"/>
        <v>0.20411104938364288</v>
      </c>
      <c r="AC54" s="245">
        <f t="shared" si="41"/>
        <v>0.29838709677419356</v>
      </c>
      <c r="AD54" s="245">
        <f t="shared" si="41"/>
        <v>0.30488080260653572</v>
      </c>
      <c r="AE54" s="245">
        <f>AE53/AE52</f>
        <v>0.27369439441391624</v>
      </c>
      <c r="AF54" s="246">
        <f>AF53/AF52</f>
        <v>0.2736943944139163</v>
      </c>
      <c r="AG54" s="247"/>
      <c r="AH54" s="4675">
        <v>0.21794777491724898</v>
      </c>
      <c r="AI54" s="245">
        <v>0.3168683496766117</v>
      </c>
      <c r="AJ54" s="245">
        <v>0.34611180313699569</v>
      </c>
      <c r="AK54" s="245">
        <v>0.33539259608582883</v>
      </c>
      <c r="AL54" s="245">
        <v>0.39269406392694062</v>
      </c>
      <c r="AM54" s="245">
        <v>0.40103854082404822</v>
      </c>
      <c r="AN54" s="245">
        <v>0.2759645530164368</v>
      </c>
      <c r="AO54" s="245">
        <v>0.31579075248438904</v>
      </c>
      <c r="AP54" s="245">
        <v>0.22646574729541863</v>
      </c>
      <c r="AQ54" s="245">
        <v>0.25236252362523626</v>
      </c>
      <c r="AR54" s="432">
        <v>0.3434584307642442</v>
      </c>
      <c r="AS54" s="432">
        <v>0.35183839964237817</v>
      </c>
      <c r="AT54" s="245">
        <f>AVERAGE(AH54:AS54)</f>
        <v>0.31466112794964807</v>
      </c>
      <c r="AU54" s="246">
        <f t="shared" si="12"/>
        <v>2.6221760662470672E-2</v>
      </c>
      <c r="AV54" s="247"/>
      <c r="AW54" s="491">
        <v>0.35691623424759084</v>
      </c>
      <c r="AX54" s="245">
        <v>0.26096221863762153</v>
      </c>
      <c r="AY54" s="245">
        <f>AY53/AY52</f>
        <v>0.32623948701268529</v>
      </c>
      <c r="AZ54" s="245">
        <v>0.35725278953443634</v>
      </c>
      <c r="BA54" s="245">
        <v>0.51136058186417899</v>
      </c>
      <c r="BB54" s="245">
        <f>BB53/BB52</f>
        <v>0.40839955483530865</v>
      </c>
      <c r="BC54" s="245">
        <v>0.31842227647947913</v>
      </c>
      <c r="BD54" s="245">
        <v>0.26839609371860312</v>
      </c>
      <c r="BE54" s="245">
        <v>0.23417493626766142</v>
      </c>
      <c r="BF54" s="245">
        <v>0.24485735602373251</v>
      </c>
      <c r="BG54" s="553">
        <v>0.3335474890245208</v>
      </c>
      <c r="BH54" s="432">
        <v>0.33653327580627768</v>
      </c>
      <c r="BI54" s="245">
        <f>AVERAGE(AW54:BH54)</f>
        <v>0.32975519112100798</v>
      </c>
      <c r="BJ54" s="246">
        <f t="shared" si="13"/>
        <v>0.32975519112100798</v>
      </c>
      <c r="BK54" s="247"/>
      <c r="BL54" s="491">
        <f>BL53/BL52</f>
        <v>0.33097147119149728</v>
      </c>
      <c r="BM54" s="245">
        <v>0.34928742071010788</v>
      </c>
      <c r="BN54" s="245"/>
      <c r="BO54" s="245"/>
      <c r="BP54" s="245"/>
      <c r="BQ54" s="245"/>
      <c r="BR54" s="245"/>
      <c r="BS54" s="245"/>
      <c r="BT54" s="245"/>
      <c r="BU54" s="245"/>
      <c r="BV54" s="553"/>
      <c r="BW54" s="432"/>
      <c r="BX54" s="245">
        <f>BY54</f>
        <v>0.34012944595080258</v>
      </c>
      <c r="BY54" s="246">
        <f t="shared" si="35"/>
        <v>0.34012944595080258</v>
      </c>
      <c r="CA54" s="169">
        <f>ROW()</f>
        <v>54</v>
      </c>
      <c r="CB54" s="169">
        <f>IFERROR(_xlfn.XLOOKUP($A$1,$2:$2,54:54)-_xlfn.XLOOKUP(EDATE($A$1,-12),$2:$2,54:54),"")</f>
        <v>8.8325202072486342E-2</v>
      </c>
      <c r="CC54" s="169">
        <f t="shared" si="15"/>
        <v>0.30353343045853731</v>
      </c>
      <c r="CD54" s="169">
        <f>IFERROR(
  SUM(
    _xlfn.XLOOKUP(DATE(YEAR($A$1),1,1),$2:$2,54:54):
    _xlfn.XLOOKUP($A$1,$2:$2,54:54)
  )
 -SUM(
    _xlfn.XLOOKUP(DATE(YEAR($A$1)-1,1,1),$2:$2,54:54):
    _xlfn.XLOOKUP(EDATE($A$1,-12),$2:$2,54:54)
  ),"")</f>
        <v>6.2380439016392786E-2</v>
      </c>
      <c r="CE54" s="4517">
        <f>IFERROR(
  _xlfn.XLOOKUP($A$1,$B$2:$BY$2,$B54:$BY54)
 -_xlfn.XLOOKUP(EDATE($A$1,-1),$B$2:$BY$2,$B54:$BY54),"")</f>
        <v>1.8315949518610597E-2</v>
      </c>
    </row>
    <row r="55" spans="1:83" ht="17.399999999999999" customHeight="1" x14ac:dyDescent="0.55000000000000004">
      <c r="A55" s="7198"/>
      <c r="B55" s="15"/>
      <c r="C55" s="181" t="s">
        <v>459</v>
      </c>
      <c r="D55" s="125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7"/>
      <c r="R55" s="183"/>
      <c r="S55" s="4674">
        <v>4080</v>
      </c>
      <c r="T55" s="126">
        <v>4963</v>
      </c>
      <c r="U55" s="126">
        <v>5120</v>
      </c>
      <c r="V55" s="126">
        <v>3363</v>
      </c>
      <c r="W55" s="126">
        <v>4513</v>
      </c>
      <c r="X55" s="126">
        <v>3939</v>
      </c>
      <c r="Y55" s="126">
        <v>2986</v>
      </c>
      <c r="Z55" s="126">
        <v>3240</v>
      </c>
      <c r="AA55" s="126">
        <v>2493</v>
      </c>
      <c r="AB55" s="126">
        <v>2646</v>
      </c>
      <c r="AC55" s="126">
        <v>2401</v>
      </c>
      <c r="AD55" s="126">
        <v>2191</v>
      </c>
      <c r="AE55" s="126">
        <f t="shared" si="38"/>
        <v>41935</v>
      </c>
      <c r="AF55" s="127">
        <f t="shared" si="39"/>
        <v>3494.5833333333335</v>
      </c>
      <c r="AG55" s="183"/>
      <c r="AH55" s="4674">
        <v>2464</v>
      </c>
      <c r="AI55" s="126">
        <v>3652</v>
      </c>
      <c r="AJ55" s="126">
        <v>4165</v>
      </c>
      <c r="AK55" s="126">
        <v>3722.9999999999995</v>
      </c>
      <c r="AL55" s="126">
        <v>4539</v>
      </c>
      <c r="AM55" s="126">
        <v>4866</v>
      </c>
      <c r="AN55" s="126">
        <v>4244</v>
      </c>
      <c r="AO55" s="126">
        <v>3743.9999999999995</v>
      </c>
      <c r="AP55" s="126">
        <v>4183</v>
      </c>
      <c r="AQ55" s="126">
        <v>3480</v>
      </c>
      <c r="AR55" s="126">
        <v>3417.0000000000005</v>
      </c>
      <c r="AS55" s="126">
        <v>3375.0000000000005</v>
      </c>
      <c r="AT55" s="126">
        <f>SUM(AH55:AS55)</f>
        <v>45852</v>
      </c>
      <c r="AU55" s="127">
        <f t="shared" si="12"/>
        <v>3821</v>
      </c>
      <c r="AV55" s="183"/>
      <c r="AW55" s="477">
        <v>3825</v>
      </c>
      <c r="AX55" s="126">
        <v>6061</v>
      </c>
      <c r="AY55" s="126">
        <v>5497</v>
      </c>
      <c r="AZ55" s="126">
        <v>2941</v>
      </c>
      <c r="BA55" s="126">
        <v>3793.9999999999995</v>
      </c>
      <c r="BB55" s="126">
        <v>3140</v>
      </c>
      <c r="BC55" s="126">
        <v>2673</v>
      </c>
      <c r="BD55" s="126">
        <v>2625</v>
      </c>
      <c r="BE55" s="126">
        <v>2837</v>
      </c>
      <c r="BF55" s="126">
        <v>2292</v>
      </c>
      <c r="BG55" s="126">
        <v>2427</v>
      </c>
      <c r="BH55" s="126">
        <v>4908</v>
      </c>
      <c r="BI55" s="126">
        <f>SUM(AW55:BH55)</f>
        <v>43020</v>
      </c>
      <c r="BJ55" s="127">
        <f t="shared" si="13"/>
        <v>3585</v>
      </c>
      <c r="BK55" s="183"/>
      <c r="BL55" s="477">
        <v>5156</v>
      </c>
      <c r="BM55" s="126">
        <v>3967</v>
      </c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>
        <f t="shared" si="32"/>
        <v>9123</v>
      </c>
      <c r="BY55" s="127">
        <f t="shared" si="35"/>
        <v>4561.5</v>
      </c>
      <c r="CA55" s="169">
        <f>ROW()</f>
        <v>55</v>
      </c>
      <c r="CB55" s="169">
        <f>IFERROR(_xlfn.XLOOKUP($A$1,$2:$2,55:55)-_xlfn.XLOOKUP(EDATE($A$1,-12),$2:$2,55:55),"")</f>
        <v>-2094</v>
      </c>
      <c r="CC55" s="169">
        <f t="shared" si="15"/>
        <v>-236</v>
      </c>
      <c r="CD55" s="169">
        <f>IFERROR(
  SUM(
    _xlfn.XLOOKUP(DATE(YEAR($A$1),1,1),$2:$2,55:55):
    _xlfn.XLOOKUP($A$1,$2:$2,55:55)
  )
 -SUM(
    _xlfn.XLOOKUP(DATE(YEAR($A$1)-1,1,1),$2:$2,55:55):
    _xlfn.XLOOKUP(EDATE($A$1,-12),$2:$2,55:55)
  ),"")</f>
        <v>-763</v>
      </c>
      <c r="CE55" s="4517">
        <f>IFERROR(
  _xlfn.XLOOKUP($A$1,$B$2:$BY$2,$B55:$BY55)
 -_xlfn.XLOOKUP(EDATE($A$1,-1),$B$2:$BY$2,$B55:$BY55),"")</f>
        <v>-1189</v>
      </c>
    </row>
    <row r="56" spans="1:83" ht="17.149999999999999" customHeight="1" x14ac:dyDescent="0.55000000000000004">
      <c r="A56" s="7198"/>
      <c r="B56" s="15"/>
      <c r="C56" s="181" t="s">
        <v>460</v>
      </c>
      <c r="D56" s="125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7"/>
      <c r="R56" s="183"/>
      <c r="S56" s="4674">
        <v>6649</v>
      </c>
      <c r="T56" s="126">
        <v>6579</v>
      </c>
      <c r="U56" s="126">
        <v>6280</v>
      </c>
      <c r="V56" s="126">
        <v>6984</v>
      </c>
      <c r="W56" s="126">
        <v>8903</v>
      </c>
      <c r="X56" s="126">
        <v>8837</v>
      </c>
      <c r="Y56" s="126">
        <v>10599</v>
      </c>
      <c r="Z56" s="126">
        <v>10079</v>
      </c>
      <c r="AA56" s="126">
        <v>9283</v>
      </c>
      <c r="AB56" s="126">
        <v>10948</v>
      </c>
      <c r="AC56" s="126">
        <v>8810</v>
      </c>
      <c r="AD56" s="126">
        <v>7260</v>
      </c>
      <c r="AE56" s="126">
        <f>SUM(S56:AD56)</f>
        <v>101211</v>
      </c>
      <c r="AF56" s="127">
        <f>AE56/12</f>
        <v>8434.25</v>
      </c>
      <c r="AG56" s="183"/>
      <c r="AH56" s="4674">
        <v>9388</v>
      </c>
      <c r="AI56" s="126">
        <v>8498</v>
      </c>
      <c r="AJ56" s="126">
        <v>9450</v>
      </c>
      <c r="AK56" s="126">
        <v>10501</v>
      </c>
      <c r="AL56" s="126">
        <v>12403</v>
      </c>
      <c r="AM56" s="126">
        <v>10503</v>
      </c>
      <c r="AN56" s="126">
        <v>10984</v>
      </c>
      <c r="AO56" s="126">
        <v>9253</v>
      </c>
      <c r="AP56" s="126">
        <v>9989</v>
      </c>
      <c r="AQ56" s="126">
        <v>10540</v>
      </c>
      <c r="AR56" s="126">
        <v>11418</v>
      </c>
      <c r="AS56" s="126">
        <v>9218</v>
      </c>
      <c r="AT56" s="126">
        <f>SUM(AH56:AS56)</f>
        <v>122145</v>
      </c>
      <c r="AU56" s="127">
        <f t="shared" si="12"/>
        <v>10178.75</v>
      </c>
      <c r="AV56" s="183"/>
      <c r="AW56" s="477">
        <v>8212</v>
      </c>
      <c r="AX56" s="126">
        <v>11573</v>
      </c>
      <c r="AY56" s="126">
        <v>8545</v>
      </c>
      <c r="AZ56" s="126">
        <v>13772.000000000002</v>
      </c>
      <c r="BA56" s="126">
        <v>28547</v>
      </c>
      <c r="BB56" s="126">
        <v>17777</v>
      </c>
      <c r="BC56" s="126">
        <v>19237</v>
      </c>
      <c r="BD56" s="126">
        <v>10732</v>
      </c>
      <c r="BE56" s="126">
        <v>13422.000000000002</v>
      </c>
      <c r="BF56" s="126">
        <v>11492</v>
      </c>
      <c r="BG56" s="126">
        <v>13148</v>
      </c>
      <c r="BH56" s="126">
        <v>10692</v>
      </c>
      <c r="BI56" s="126">
        <f>SUM(AW56:BH56)</f>
        <v>167149</v>
      </c>
      <c r="BJ56" s="127">
        <f t="shared" si="13"/>
        <v>13929.083333333334</v>
      </c>
      <c r="BK56" s="183"/>
      <c r="BL56" s="477">
        <v>17919</v>
      </c>
      <c r="BM56" s="126">
        <v>8753</v>
      </c>
      <c r="BN56" s="126"/>
      <c r="BO56" s="126"/>
      <c r="BP56" s="126"/>
      <c r="BQ56" s="126"/>
      <c r="BR56" s="126"/>
      <c r="BS56" s="126"/>
      <c r="BT56" s="126"/>
      <c r="BU56" s="126"/>
      <c r="BV56" s="126"/>
      <c r="BW56" s="126"/>
      <c r="BX56" s="126">
        <f t="shared" si="32"/>
        <v>26672</v>
      </c>
      <c r="BY56" s="127">
        <f t="shared" si="35"/>
        <v>13336</v>
      </c>
      <c r="CA56" s="169">
        <f>ROW()</f>
        <v>56</v>
      </c>
      <c r="CB56" s="169">
        <f>IFERROR(_xlfn.XLOOKUP($A$1,$2:$2,56:56)-_xlfn.XLOOKUP(EDATE($A$1,-12),$2:$2,56:56),"")</f>
        <v>-2820</v>
      </c>
      <c r="CC56" s="169">
        <f t="shared" si="15"/>
        <v>3750.3333333333339</v>
      </c>
      <c r="CD56" s="169">
        <f>IFERROR(
  SUM(
    _xlfn.XLOOKUP(DATE(YEAR($A$1),1,1),$2:$2,56:56):
    _xlfn.XLOOKUP($A$1,$2:$2,56:56)
  )
 -SUM(
    _xlfn.XLOOKUP(DATE(YEAR($A$1)-1,1,1),$2:$2,56:56):
    _xlfn.XLOOKUP(EDATE($A$1,-12),$2:$2,56:56)
  ),"")</f>
        <v>6887</v>
      </c>
      <c r="CE56" s="4517">
        <f>IFERROR(
  _xlfn.XLOOKUP($A$1,$B$2:$BY$2,$B56:$BY56)
 -_xlfn.XLOOKUP(EDATE($A$1,-1),$B$2:$BY$2,$B56:$BY56),"")</f>
        <v>-9166</v>
      </c>
    </row>
    <row r="57" spans="1:83" ht="17.399999999999999" customHeight="1" x14ac:dyDescent="0.55000000000000004">
      <c r="A57" s="7198"/>
      <c r="B57" s="15"/>
      <c r="C57" s="181" t="s">
        <v>476</v>
      </c>
      <c r="D57" s="125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7"/>
      <c r="R57" s="183"/>
      <c r="S57" s="4675">
        <f>S56/S52</f>
        <v>0.16844852047020673</v>
      </c>
      <c r="T57" s="245">
        <f t="shared" ref="T57:AF57" si="42">T56/T52</f>
        <v>0.1257646429117602</v>
      </c>
      <c r="U57" s="245">
        <f t="shared" si="42"/>
        <v>0.1536316265870783</v>
      </c>
      <c r="V57" s="245">
        <f t="shared" si="42"/>
        <v>0.18044646548160398</v>
      </c>
      <c r="W57" s="245">
        <f t="shared" si="42"/>
        <v>0.20606411294989005</v>
      </c>
      <c r="X57" s="245">
        <f t="shared" si="42"/>
        <v>0.22067673866899737</v>
      </c>
      <c r="Y57" s="245">
        <f t="shared" si="42"/>
        <v>0.26751640585562847</v>
      </c>
      <c r="Z57" s="245">
        <f t="shared" si="42"/>
        <v>0.1747581232444429</v>
      </c>
      <c r="AA57" s="245">
        <f t="shared" si="42"/>
        <v>0.25834191411794172</v>
      </c>
      <c r="AB57" s="245">
        <f t="shared" si="42"/>
        <v>0.16438191618744463</v>
      </c>
      <c r="AC57" s="245">
        <f t="shared" si="42"/>
        <v>0.23448312573192803</v>
      </c>
      <c r="AD57" s="245">
        <f t="shared" si="42"/>
        <v>0.23420110326139554</v>
      </c>
      <c r="AE57" s="245">
        <f t="shared" si="42"/>
        <v>0.19351489635076691</v>
      </c>
      <c r="AF57" s="246">
        <f t="shared" si="42"/>
        <v>0.19351489635076691</v>
      </c>
      <c r="AG57" s="247"/>
      <c r="AH57" s="4675">
        <v>0.17263699889665318</v>
      </c>
      <c r="AI57" s="245">
        <v>0.22162528687669519</v>
      </c>
      <c r="AJ57" s="245">
        <v>0.24023184279431578</v>
      </c>
      <c r="AK57" s="245">
        <v>0.24760669653383635</v>
      </c>
      <c r="AL57" s="245">
        <v>0.28748580302714227</v>
      </c>
      <c r="AM57" s="245">
        <v>0.2740651827884038</v>
      </c>
      <c r="AN57" s="245">
        <v>0.19905402221779236</v>
      </c>
      <c r="AO57" s="245">
        <v>0.22482202298515441</v>
      </c>
      <c r="AP57" s="245">
        <v>0.15962223749181037</v>
      </c>
      <c r="AQ57" s="245">
        <v>0.1897218972189722</v>
      </c>
      <c r="AR57" s="432">
        <v>0.26434838978538189</v>
      </c>
      <c r="AS57" s="432">
        <v>0.25754358515869469</v>
      </c>
      <c r="AT57" s="245">
        <f>AVERAGE(AH57:AS57)</f>
        <v>0.22823033048123773</v>
      </c>
      <c r="AU57" s="248">
        <f t="shared" si="12"/>
        <v>1.9019194206769809E-2</v>
      </c>
      <c r="AV57" s="247"/>
      <c r="AW57" s="491">
        <v>0.24349888806523351</v>
      </c>
      <c r="AX57" s="245">
        <v>0.17126663016293489</v>
      </c>
      <c r="AY57" s="245">
        <f>AY56/AY52</f>
        <v>0.19852702011988291</v>
      </c>
      <c r="AZ57" s="245">
        <v>0.29438672993886539</v>
      </c>
      <c r="BA57" s="245">
        <v>0.45137164993280099</v>
      </c>
      <c r="BB57" s="245">
        <f>BB56/BB52</f>
        <v>0.34709178593045281</v>
      </c>
      <c r="BC57" s="245">
        <v>0.27957504941285899</v>
      </c>
      <c r="BD57" s="245">
        <v>0.21564923843587991</v>
      </c>
      <c r="BE57" s="245">
        <v>0.19331422563408279</v>
      </c>
      <c r="BF57" s="245">
        <v>0.20414253739297258</v>
      </c>
      <c r="BG57" s="553">
        <v>0.28157190277331617</v>
      </c>
      <c r="BH57" s="432">
        <v>0.23065472980261029</v>
      </c>
      <c r="BI57" s="245">
        <f>AVERAGE(AW57:BH57)</f>
        <v>0.25925419896682428</v>
      </c>
      <c r="BJ57" s="248">
        <f t="shared" si="13"/>
        <v>0.25925419896682428</v>
      </c>
      <c r="BK57" s="247"/>
      <c r="BL57" s="491">
        <v>0.2570174557868013</v>
      </c>
      <c r="BM57" s="245">
        <v>0.24035477936128732</v>
      </c>
      <c r="BN57" s="245"/>
      <c r="BO57" s="245"/>
      <c r="BP57" s="245"/>
      <c r="BQ57" s="245"/>
      <c r="BR57" s="245"/>
      <c r="BS57" s="245"/>
      <c r="BT57" s="245"/>
      <c r="BU57" s="245"/>
      <c r="BV57" s="553"/>
      <c r="BW57" s="432"/>
      <c r="BX57" s="245">
        <f>BY57</f>
        <v>0.2486861175740443</v>
      </c>
      <c r="BY57" s="248">
        <f t="shared" si="35"/>
        <v>0.2486861175740443</v>
      </c>
      <c r="CA57" s="169">
        <f>ROW()</f>
        <v>57</v>
      </c>
      <c r="CB57" s="169">
        <f>IFERROR(_xlfn.XLOOKUP($A$1,$2:$2,57:57)-_xlfn.XLOOKUP(EDATE($A$1,-12),$2:$2,57:57),"")</f>
        <v>6.9088149198352433E-2</v>
      </c>
      <c r="CC57" s="169">
        <f t="shared" si="15"/>
        <v>0.24023500476005447</v>
      </c>
      <c r="CD57" s="169">
        <f>IFERROR(
  SUM(
    _xlfn.XLOOKUP(DATE(YEAR($A$1),1,1),$2:$2,57:57):
    _xlfn.XLOOKUP($A$1,$2:$2,57:57)
  )
 -SUM(
    _xlfn.XLOOKUP(DATE(YEAR($A$1)-1,1,1),$2:$2,57:57):
    _xlfn.XLOOKUP(EDATE($A$1,-12),$2:$2,57:57)
  ),"")</f>
        <v>8.2606716919920165E-2</v>
      </c>
      <c r="CE57" s="4517">
        <f>IFERROR(
  _xlfn.XLOOKUP($A$1,$B$2:$BY$2,$B57:$BY57)
 -_xlfn.XLOOKUP(EDATE($A$1,-1),$B$2:$BY$2,$B57:$BY57),"")</f>
        <v>-1.6662676425513973E-2</v>
      </c>
    </row>
    <row r="58" spans="1:83" ht="17.399999999999999" customHeight="1" x14ac:dyDescent="0.55000000000000004">
      <c r="A58" s="7198"/>
      <c r="B58" s="15"/>
      <c r="C58" s="79" t="s">
        <v>55</v>
      </c>
      <c r="D58" s="125">
        <v>31658</v>
      </c>
      <c r="E58" s="126">
        <v>41571</v>
      </c>
      <c r="F58" s="126">
        <v>34636</v>
      </c>
      <c r="G58" s="126">
        <v>37705</v>
      </c>
      <c r="H58" s="126">
        <v>38458</v>
      </c>
      <c r="I58" s="126">
        <v>38748</v>
      </c>
      <c r="J58" s="126">
        <v>33808</v>
      </c>
      <c r="K58" s="126">
        <v>48059</v>
      </c>
      <c r="L58" s="126">
        <v>28992</v>
      </c>
      <c r="M58" s="126">
        <v>49817</v>
      </c>
      <c r="N58" s="126">
        <v>30932</v>
      </c>
      <c r="O58" s="126">
        <v>25075</v>
      </c>
      <c r="P58" s="126">
        <f t="shared" si="36"/>
        <v>439459</v>
      </c>
      <c r="Q58" s="127">
        <f t="shared" si="37"/>
        <v>36621.583333333336</v>
      </c>
      <c r="R58" s="183"/>
      <c r="S58" s="4674">
        <v>28743</v>
      </c>
      <c r="T58" s="126">
        <v>40770</v>
      </c>
      <c r="U58" s="126">
        <v>29477</v>
      </c>
      <c r="V58" s="126">
        <v>28357</v>
      </c>
      <c r="W58" s="126">
        <v>29789</v>
      </c>
      <c r="X58" s="126">
        <v>27269</v>
      </c>
      <c r="Y58" s="126">
        <v>26035</v>
      </c>
      <c r="Z58" s="126">
        <v>44355</v>
      </c>
      <c r="AA58" s="126">
        <v>24157</v>
      </c>
      <c r="AB58" s="126">
        <v>53007</v>
      </c>
      <c r="AC58" s="126">
        <v>26361</v>
      </c>
      <c r="AD58" s="126">
        <v>21548</v>
      </c>
      <c r="AE58" s="126">
        <f t="shared" si="38"/>
        <v>379868</v>
      </c>
      <c r="AF58" s="127">
        <f t="shared" si="39"/>
        <v>31655.666666666668</v>
      </c>
      <c r="AG58" s="183"/>
      <c r="AH58" s="4674">
        <v>42528</v>
      </c>
      <c r="AI58" s="126">
        <v>26194</v>
      </c>
      <c r="AJ58" s="126">
        <v>25722</v>
      </c>
      <c r="AK58" s="126">
        <v>28186</v>
      </c>
      <c r="AL58" s="126">
        <v>26201</v>
      </c>
      <c r="AM58" s="126">
        <v>22954</v>
      </c>
      <c r="AN58" s="126">
        <v>39953</v>
      </c>
      <c r="AO58" s="126">
        <v>28160</v>
      </c>
      <c r="AP58" s="126">
        <v>48406.999999999993</v>
      </c>
      <c r="AQ58" s="126">
        <v>41535</v>
      </c>
      <c r="AR58" s="126">
        <v>28358</v>
      </c>
      <c r="AS58" s="126">
        <v>23199</v>
      </c>
      <c r="AT58" s="126">
        <f t="shared" si="40"/>
        <v>381397</v>
      </c>
      <c r="AU58" s="127">
        <f t="shared" si="12"/>
        <v>31783.083333333332</v>
      </c>
      <c r="AV58" s="183"/>
      <c r="AW58" s="477">
        <v>21688</v>
      </c>
      <c r="AX58" s="126">
        <v>49939</v>
      </c>
      <c r="AY58" s="126">
        <f>AY52-AY53</f>
        <v>29000</v>
      </c>
      <c r="AZ58" s="126">
        <v>30069</v>
      </c>
      <c r="BA58" s="126">
        <v>30904</v>
      </c>
      <c r="BB58" s="126">
        <f>BB52-BB53</f>
        <v>30299.999999999993</v>
      </c>
      <c r="BC58" s="126">
        <v>46898</v>
      </c>
      <c r="BD58" s="126">
        <v>36409</v>
      </c>
      <c r="BE58" s="126">
        <v>53172</v>
      </c>
      <c r="BF58" s="126">
        <v>42510.000000000007</v>
      </c>
      <c r="BG58" s="126">
        <v>31120</v>
      </c>
      <c r="BH58" s="126">
        <v>30755</v>
      </c>
      <c r="BI58" s="126">
        <f t="shared" ref="BI58:BI64" si="43">SUM(AW58:BH58)</f>
        <v>432764</v>
      </c>
      <c r="BJ58" s="127">
        <f t="shared" si="13"/>
        <v>36063.666666666664</v>
      </c>
      <c r="BK58" s="183"/>
      <c r="BL58" s="477">
        <v>46644</v>
      </c>
      <c r="BM58" s="126">
        <v>23696</v>
      </c>
      <c r="BN58" s="126"/>
      <c r="BO58" s="126"/>
      <c r="BP58" s="126"/>
      <c r="BQ58" s="126"/>
      <c r="BR58" s="126"/>
      <c r="BS58" s="126"/>
      <c r="BT58" s="126"/>
      <c r="BU58" s="126"/>
      <c r="BV58" s="126"/>
      <c r="BW58" s="126"/>
      <c r="BX58" s="126">
        <f t="shared" si="32"/>
        <v>70340</v>
      </c>
      <c r="BY58" s="127">
        <f t="shared" si="35"/>
        <v>35170</v>
      </c>
      <c r="CA58" s="169">
        <f>ROW()</f>
        <v>58</v>
      </c>
      <c r="CB58" s="169">
        <f>IFERROR(_xlfn.XLOOKUP($A$1,$2:$2,58:58)-_xlfn.XLOOKUP(EDATE($A$1,-12),$2:$2,58:58),"")</f>
        <v>-26243</v>
      </c>
      <c r="CC58" s="169">
        <f t="shared" si="15"/>
        <v>4280.5833333333321</v>
      </c>
      <c r="CD58" s="169">
        <f>IFERROR(
  SUM(
    _xlfn.XLOOKUP(DATE(YEAR($A$1),1,1),$2:$2,58:58):
    _xlfn.XLOOKUP($A$1,$2:$2,58:58)
  )
 -SUM(
    _xlfn.XLOOKUP(DATE(YEAR($A$1)-1,1,1),$2:$2,58:58):
    _xlfn.XLOOKUP(EDATE($A$1,-12),$2:$2,58:58)
  ),"")</f>
        <v>-1287</v>
      </c>
      <c r="CE58" s="4517">
        <f>IFERROR(
  _xlfn.XLOOKUP($A$1,$B$2:$BY$2,$B58:$BY58)
 -_xlfn.XLOOKUP(EDATE($A$1,-1),$B$2:$BY$2,$B58:$BY58),"")</f>
        <v>-22948</v>
      </c>
    </row>
    <row r="59" spans="1:83" ht="17.399999999999999" customHeight="1" x14ac:dyDescent="0.55000000000000004">
      <c r="A59" s="7198"/>
      <c r="B59" s="7215" t="s">
        <v>410</v>
      </c>
      <c r="C59" s="62" t="s">
        <v>405</v>
      </c>
      <c r="D59" s="128">
        <v>15296</v>
      </c>
      <c r="E59" s="129">
        <v>15398</v>
      </c>
      <c r="F59" s="129">
        <v>14378</v>
      </c>
      <c r="G59" s="129">
        <v>15128</v>
      </c>
      <c r="H59" s="129">
        <v>14784</v>
      </c>
      <c r="I59" s="129">
        <v>17031</v>
      </c>
      <c r="J59" s="129">
        <v>13909</v>
      </c>
      <c r="K59" s="129">
        <v>20367</v>
      </c>
      <c r="L59" s="129">
        <v>12840</v>
      </c>
      <c r="M59" s="129">
        <v>20409</v>
      </c>
      <c r="N59" s="129">
        <v>14739</v>
      </c>
      <c r="O59" s="129">
        <v>12631</v>
      </c>
      <c r="P59" s="129">
        <f t="shared" si="36"/>
        <v>186910</v>
      </c>
      <c r="Q59" s="130">
        <f t="shared" si="37"/>
        <v>15575.833333333334</v>
      </c>
      <c r="R59" s="183"/>
      <c r="S59" s="4676">
        <v>13927</v>
      </c>
      <c r="T59" s="129">
        <v>18947</v>
      </c>
      <c r="U59" s="129">
        <v>15005</v>
      </c>
      <c r="V59" s="129">
        <v>14333</v>
      </c>
      <c r="W59" s="129">
        <v>15799</v>
      </c>
      <c r="X59" s="129">
        <v>14944</v>
      </c>
      <c r="Y59" s="129">
        <v>13331</v>
      </c>
      <c r="Z59" s="129">
        <v>23024</v>
      </c>
      <c r="AA59" s="129">
        <v>11009</v>
      </c>
      <c r="AB59" s="129">
        <v>20387</v>
      </c>
      <c r="AC59" s="129">
        <v>13709</v>
      </c>
      <c r="AD59" s="129">
        <v>11746</v>
      </c>
      <c r="AE59" s="129">
        <f t="shared" si="38"/>
        <v>186161</v>
      </c>
      <c r="AF59" s="130">
        <f t="shared" si="39"/>
        <v>15513.416666666666</v>
      </c>
      <c r="AG59" s="183"/>
      <c r="AH59" s="4676">
        <v>21860</v>
      </c>
      <c r="AI59" s="129">
        <v>13264</v>
      </c>
      <c r="AJ59" s="129">
        <v>14500.000000000002</v>
      </c>
      <c r="AK59" s="129">
        <v>14627</v>
      </c>
      <c r="AL59" s="129">
        <v>14834</v>
      </c>
      <c r="AM59" s="129">
        <v>13391</v>
      </c>
      <c r="AN59" s="129">
        <v>20433</v>
      </c>
      <c r="AO59" s="129">
        <v>14896</v>
      </c>
      <c r="AP59" s="129">
        <v>19229</v>
      </c>
      <c r="AQ59" s="129">
        <v>14899</v>
      </c>
      <c r="AR59" s="129">
        <v>13585</v>
      </c>
      <c r="AS59" s="129">
        <v>11801</v>
      </c>
      <c r="AT59" s="129">
        <f t="shared" si="40"/>
        <v>187319</v>
      </c>
      <c r="AU59" s="130">
        <f t="shared" si="12"/>
        <v>15609.916666666666</v>
      </c>
      <c r="AV59" s="183"/>
      <c r="AW59" s="478">
        <v>10617</v>
      </c>
      <c r="AX59" s="129">
        <v>23153</v>
      </c>
      <c r="AY59" s="129">
        <v>15414</v>
      </c>
      <c r="AZ59" s="129">
        <v>16123</v>
      </c>
      <c r="BA59" s="129">
        <v>19052</v>
      </c>
      <c r="BB59" s="129">
        <v>15091.999999999998</v>
      </c>
      <c r="BC59" s="129">
        <v>23066</v>
      </c>
      <c r="BD59" s="129">
        <v>15610</v>
      </c>
      <c r="BE59" s="129">
        <v>21456</v>
      </c>
      <c r="BF59" s="129">
        <v>13847</v>
      </c>
      <c r="BG59" s="129">
        <v>12205</v>
      </c>
      <c r="BH59" s="129">
        <v>11262</v>
      </c>
      <c r="BI59" s="129">
        <f t="shared" si="43"/>
        <v>196897</v>
      </c>
      <c r="BJ59" s="130">
        <f t="shared" si="13"/>
        <v>16408.083333333332</v>
      </c>
      <c r="BK59" s="183"/>
      <c r="BL59" s="478">
        <v>17997</v>
      </c>
      <c r="BM59" s="129">
        <v>10560</v>
      </c>
      <c r="BN59" s="129"/>
      <c r="BO59" s="129"/>
      <c r="BP59" s="129"/>
      <c r="BQ59" s="129"/>
      <c r="BR59" s="129"/>
      <c r="BS59" s="129"/>
      <c r="BT59" s="129"/>
      <c r="BU59" s="129"/>
      <c r="BV59" s="129"/>
      <c r="BW59" s="129"/>
      <c r="BX59" s="129">
        <f t="shared" si="32"/>
        <v>28557</v>
      </c>
      <c r="BY59" s="130">
        <f t="shared" si="35"/>
        <v>14278.5</v>
      </c>
      <c r="CA59" s="169">
        <f>ROW()</f>
        <v>59</v>
      </c>
      <c r="CB59" s="169">
        <f>IFERROR(_xlfn.XLOOKUP($A$1,$2:$2,59:59)-_xlfn.XLOOKUP(EDATE($A$1,-12),$2:$2,59:59),"")</f>
        <v>-12593</v>
      </c>
      <c r="CC59" s="169">
        <f t="shared" si="15"/>
        <v>798.16666666666606</v>
      </c>
      <c r="CD59" s="169">
        <f>IFERROR(
  SUM(
    _xlfn.XLOOKUP(DATE(YEAR($A$1),1,1),$2:$2,59:59):
    _xlfn.XLOOKUP($A$1,$2:$2,59:59)
  )
 -SUM(
    _xlfn.XLOOKUP(DATE(YEAR($A$1)-1,1,1),$2:$2,59:59):
    _xlfn.XLOOKUP(EDATE($A$1,-12),$2:$2,59:59)
  ),"")</f>
        <v>-5213</v>
      </c>
      <c r="CE59" s="4517">
        <f>IFERROR(
  _xlfn.XLOOKUP($A$1,$B$2:$BY$2,$B59:$BY59)
 -_xlfn.XLOOKUP(EDATE($A$1,-1),$B$2:$BY$2,$B59:$BY59),"")</f>
        <v>-7437</v>
      </c>
    </row>
    <row r="60" spans="1:83" ht="17.399999999999999" customHeight="1" x14ac:dyDescent="0.55000000000000004">
      <c r="A60" s="7198"/>
      <c r="B60" s="7213"/>
      <c r="C60" s="63" t="s">
        <v>1016</v>
      </c>
      <c r="D60" s="131">
        <v>1194</v>
      </c>
      <c r="E60" s="132">
        <v>1526</v>
      </c>
      <c r="F60" s="132">
        <v>1110</v>
      </c>
      <c r="G60" s="132">
        <v>1077</v>
      </c>
      <c r="H60" s="132">
        <v>1256</v>
      </c>
      <c r="I60" s="132">
        <v>1296</v>
      </c>
      <c r="J60" s="132">
        <v>1079</v>
      </c>
      <c r="K60" s="132">
        <v>1857</v>
      </c>
      <c r="L60" s="132">
        <v>974</v>
      </c>
      <c r="M60" s="132">
        <v>1554</v>
      </c>
      <c r="N60" s="132">
        <v>904</v>
      </c>
      <c r="O60" s="132">
        <v>728</v>
      </c>
      <c r="P60" s="132">
        <f>SUM(D60:O60)</f>
        <v>14555</v>
      </c>
      <c r="Q60" s="133">
        <f t="shared" ref="Q60" si="44">P60/12</f>
        <v>1212.9166666666667</v>
      </c>
      <c r="R60" s="183"/>
      <c r="S60" s="4677">
        <v>561</v>
      </c>
      <c r="T60" s="132">
        <v>1124</v>
      </c>
      <c r="U60" s="132">
        <v>570</v>
      </c>
      <c r="V60" s="132">
        <v>499</v>
      </c>
      <c r="W60" s="132">
        <v>589</v>
      </c>
      <c r="X60" s="132">
        <v>256</v>
      </c>
      <c r="Y60" s="132">
        <v>220</v>
      </c>
      <c r="Z60" s="132">
        <v>501</v>
      </c>
      <c r="AA60" s="132">
        <v>131</v>
      </c>
      <c r="AB60" s="132">
        <v>403</v>
      </c>
      <c r="AC60" s="132">
        <v>136</v>
      </c>
      <c r="AD60" s="132">
        <v>68</v>
      </c>
      <c r="AE60" s="132">
        <f t="shared" ref="AE60" si="45">SUM(S60:AD60)</f>
        <v>5058</v>
      </c>
      <c r="AF60" s="133">
        <f t="shared" ref="AF60" si="46">AE60/12</f>
        <v>421.5</v>
      </c>
      <c r="AG60" s="183"/>
      <c r="AH60" s="4677">
        <v>115</v>
      </c>
      <c r="AI60" s="132">
        <v>139</v>
      </c>
      <c r="AJ60" s="132">
        <v>209</v>
      </c>
      <c r="AK60" s="132">
        <v>181</v>
      </c>
      <c r="AL60" s="132">
        <v>274</v>
      </c>
      <c r="AM60" s="132">
        <v>170</v>
      </c>
      <c r="AN60" s="132">
        <v>647</v>
      </c>
      <c r="AO60" s="132">
        <v>171</v>
      </c>
      <c r="AP60" s="132">
        <v>209</v>
      </c>
      <c r="AQ60" s="132">
        <v>171</v>
      </c>
      <c r="AR60" s="132">
        <v>126</v>
      </c>
      <c r="AS60" s="132">
        <v>92</v>
      </c>
      <c r="AT60" s="132">
        <f>SUM(AH60:AS60)</f>
        <v>2504</v>
      </c>
      <c r="AU60" s="133">
        <f t="shared" ref="AU60" si="47">AT60/12</f>
        <v>208.66666666666666</v>
      </c>
      <c r="AV60" s="183"/>
      <c r="AW60" s="479">
        <v>111.00000000000001</v>
      </c>
      <c r="AX60" s="132">
        <v>343</v>
      </c>
      <c r="AY60" s="132">
        <v>117</v>
      </c>
      <c r="AZ60" s="132">
        <v>122</v>
      </c>
      <c r="BA60" s="132">
        <v>171</v>
      </c>
      <c r="BB60" s="132">
        <v>123</v>
      </c>
      <c r="BC60" s="132">
        <v>268</v>
      </c>
      <c r="BD60" s="132">
        <v>95</v>
      </c>
      <c r="BE60" s="132">
        <v>198</v>
      </c>
      <c r="BF60" s="132">
        <v>186</v>
      </c>
      <c r="BG60" s="132">
        <v>130</v>
      </c>
      <c r="BH60" s="132">
        <v>74</v>
      </c>
      <c r="BI60" s="132">
        <f t="shared" ref="BI60" si="48">SUM(AW60:BH60)</f>
        <v>1938</v>
      </c>
      <c r="BJ60" s="133">
        <f t="shared" si="13"/>
        <v>161.5</v>
      </c>
      <c r="BK60" s="183"/>
      <c r="BL60" s="479">
        <v>202</v>
      </c>
      <c r="BM60" s="132">
        <v>74</v>
      </c>
      <c r="BN60" s="132"/>
      <c r="BO60" s="132"/>
      <c r="BP60" s="132"/>
      <c r="BQ60" s="132"/>
      <c r="BR60" s="132"/>
      <c r="BS60" s="132"/>
      <c r="BT60" s="132"/>
      <c r="BU60" s="132"/>
      <c r="BV60" s="132"/>
      <c r="BW60" s="132"/>
      <c r="BX60" s="132">
        <f t="shared" si="32"/>
        <v>276</v>
      </c>
      <c r="BY60" s="133">
        <f t="shared" si="35"/>
        <v>138</v>
      </c>
      <c r="CA60" s="169">
        <f>ROW()</f>
        <v>60</v>
      </c>
      <c r="CB60" s="169">
        <f>IFERROR(_xlfn.XLOOKUP($A$1,$2:$2,60:60)-_xlfn.XLOOKUP(EDATE($A$1,-12),$2:$2,60:60),"")</f>
        <v>-269</v>
      </c>
      <c r="CC60" s="169">
        <f t="shared" ref="CC60" si="49">BJ60-AU60</f>
        <v>-47.166666666666657</v>
      </c>
      <c r="CD60" s="169">
        <f>IFERROR(
  SUM(
    _xlfn.XLOOKUP(DATE(YEAR($A$1),1,1),$2:$2,60:60):
    _xlfn.XLOOKUP($A$1,$2:$2,60:60)
  )
 -SUM(
    _xlfn.XLOOKUP(DATE(YEAR($A$1)-1,1,1),$2:$2,60:60):
    _xlfn.XLOOKUP(EDATE($A$1,-12),$2:$2,60:60)
  ),"")</f>
        <v>-178</v>
      </c>
      <c r="CE60" s="4517">
        <f>IFERROR(
  _xlfn.XLOOKUP($A$1,$B$2:$BY$2,$B60:$BY60)
 -_xlfn.XLOOKUP(EDATE($A$1,-1),$B$2:$BY$2,$B60:$BY60),"")</f>
        <v>-128</v>
      </c>
    </row>
    <row r="61" spans="1:83" ht="17.399999999999999" customHeight="1" x14ac:dyDescent="0.55000000000000004">
      <c r="A61" s="7198"/>
      <c r="B61" s="7213"/>
      <c r="C61" s="63" t="s">
        <v>407</v>
      </c>
      <c r="D61" s="131">
        <v>22686</v>
      </c>
      <c r="E61" s="132">
        <v>27775</v>
      </c>
      <c r="F61" s="132">
        <v>24420</v>
      </c>
      <c r="G61" s="132">
        <v>26129</v>
      </c>
      <c r="H61" s="132">
        <v>27292</v>
      </c>
      <c r="I61" s="132">
        <v>25283</v>
      </c>
      <c r="J61" s="132">
        <v>23321</v>
      </c>
      <c r="K61" s="132">
        <v>26381</v>
      </c>
      <c r="L61" s="132">
        <v>18197</v>
      </c>
      <c r="M61" s="132">
        <v>26156</v>
      </c>
      <c r="N61" s="132">
        <v>18537</v>
      </c>
      <c r="O61" s="132">
        <v>16308</v>
      </c>
      <c r="P61" s="132">
        <f t="shared" si="36"/>
        <v>282485</v>
      </c>
      <c r="Q61" s="133">
        <f t="shared" si="37"/>
        <v>23540.416666666668</v>
      </c>
      <c r="R61" s="183"/>
      <c r="S61" s="4677">
        <v>18311</v>
      </c>
      <c r="T61" s="132">
        <v>21737</v>
      </c>
      <c r="U61" s="132">
        <v>17362</v>
      </c>
      <c r="V61" s="132">
        <v>17102</v>
      </c>
      <c r="W61" s="132">
        <v>17457</v>
      </c>
      <c r="X61" s="132">
        <v>16154</v>
      </c>
      <c r="Y61" s="132">
        <v>18417</v>
      </c>
      <c r="Z61" s="132">
        <v>23729</v>
      </c>
      <c r="AA61" s="132">
        <v>16459</v>
      </c>
      <c r="AB61" s="132">
        <v>22104</v>
      </c>
      <c r="AC61" s="132">
        <v>16430</v>
      </c>
      <c r="AD61" s="132">
        <v>13546</v>
      </c>
      <c r="AE61" s="132">
        <f t="shared" si="38"/>
        <v>218808</v>
      </c>
      <c r="AF61" s="133">
        <f t="shared" si="39"/>
        <v>18234</v>
      </c>
      <c r="AG61" s="183"/>
      <c r="AH61" s="4677">
        <v>20995</v>
      </c>
      <c r="AI61" s="132">
        <v>16692</v>
      </c>
      <c r="AJ61" s="132">
        <v>18382</v>
      </c>
      <c r="AK61" s="132">
        <v>18432</v>
      </c>
      <c r="AL61" s="132">
        <v>20146</v>
      </c>
      <c r="AM61" s="132">
        <v>18628</v>
      </c>
      <c r="AN61" s="132">
        <v>22197</v>
      </c>
      <c r="AO61" s="132">
        <v>17830</v>
      </c>
      <c r="AP61" s="132">
        <v>20436</v>
      </c>
      <c r="AQ61" s="132">
        <v>19986</v>
      </c>
      <c r="AR61" s="132">
        <v>20330</v>
      </c>
      <c r="AS61" s="132">
        <v>17003</v>
      </c>
      <c r="AT61" s="132">
        <f t="shared" si="40"/>
        <v>231057</v>
      </c>
      <c r="AU61" s="133">
        <f t="shared" si="12"/>
        <v>19254.75</v>
      </c>
      <c r="AV61" s="183"/>
      <c r="AW61" s="479">
        <v>16386</v>
      </c>
      <c r="AX61" s="132">
        <v>24943</v>
      </c>
      <c r="AY61" s="132">
        <v>18218</v>
      </c>
      <c r="AZ61" s="132">
        <v>21598</v>
      </c>
      <c r="BA61" s="132">
        <v>32548</v>
      </c>
      <c r="BB61" s="132">
        <v>27162</v>
      </c>
      <c r="BC61" s="132">
        <v>29379.999999999996</v>
      </c>
      <c r="BD61" s="132">
        <v>23534</v>
      </c>
      <c r="BE61" s="132">
        <v>26146</v>
      </c>
      <c r="BF61" s="132">
        <v>25966.000000000004</v>
      </c>
      <c r="BG61" s="132">
        <v>21706</v>
      </c>
      <c r="BH61" s="132">
        <v>23268</v>
      </c>
      <c r="BI61" s="132">
        <f t="shared" si="43"/>
        <v>290855</v>
      </c>
      <c r="BJ61" s="133">
        <f t="shared" si="13"/>
        <v>24237.916666666668</v>
      </c>
      <c r="BK61" s="183"/>
      <c r="BL61" s="479">
        <v>36140</v>
      </c>
      <c r="BM61" s="132">
        <v>15782</v>
      </c>
      <c r="BN61" s="132"/>
      <c r="BO61" s="132"/>
      <c r="BP61" s="132"/>
      <c r="BQ61" s="132"/>
      <c r="BR61" s="132"/>
      <c r="BS61" s="132"/>
      <c r="BT61" s="132"/>
      <c r="BU61" s="132"/>
      <c r="BV61" s="132"/>
      <c r="BW61" s="132"/>
      <c r="BX61" s="132">
        <f t="shared" si="32"/>
        <v>51922</v>
      </c>
      <c r="BY61" s="133">
        <f t="shared" si="35"/>
        <v>25961</v>
      </c>
      <c r="CA61" s="169">
        <f>ROW()</f>
        <v>61</v>
      </c>
      <c r="CB61" s="169">
        <f>IFERROR(_xlfn.XLOOKUP($A$1,$2:$2,61:61)-_xlfn.XLOOKUP(EDATE($A$1,-12),$2:$2,61:61),"")</f>
        <v>-9161</v>
      </c>
      <c r="CC61" s="169">
        <f t="shared" si="15"/>
        <v>4983.1666666666679</v>
      </c>
      <c r="CD61" s="169">
        <f>IFERROR(
  SUM(
    _xlfn.XLOOKUP(DATE(YEAR($A$1),1,1),$2:$2,61:61):
    _xlfn.XLOOKUP($A$1,$2:$2,61:61)
  )
 -SUM(
    _xlfn.XLOOKUP(DATE(YEAR($A$1)-1,1,1),$2:$2,61:61):
    _xlfn.XLOOKUP(EDATE($A$1,-12),$2:$2,61:61)
  ),"")</f>
        <v>10593</v>
      </c>
      <c r="CE61" s="4517">
        <f>IFERROR(
  _xlfn.XLOOKUP($A$1,$B$2:$BY$2,$B61:$BY61)
 -_xlfn.XLOOKUP(EDATE($A$1,-1),$B$2:$BY$2,$B61:$BY61),"")</f>
        <v>-20358</v>
      </c>
    </row>
    <row r="62" spans="1:83" ht="17.399999999999999" customHeight="1" x14ac:dyDescent="0.55000000000000004">
      <c r="A62" s="7198"/>
      <c r="B62" s="7213"/>
      <c r="C62" s="63" t="s">
        <v>875</v>
      </c>
      <c r="D62" s="131">
        <v>4502</v>
      </c>
      <c r="E62" s="132">
        <v>7534</v>
      </c>
      <c r="F62" s="132">
        <v>7136</v>
      </c>
      <c r="G62" s="132">
        <v>5708</v>
      </c>
      <c r="H62" s="132">
        <v>5995</v>
      </c>
      <c r="I62" s="132">
        <v>4320</v>
      </c>
      <c r="J62" s="132">
        <v>3836</v>
      </c>
      <c r="K62" s="132">
        <v>7051</v>
      </c>
      <c r="L62" s="132">
        <v>4200</v>
      </c>
      <c r="M62" s="132">
        <v>12755</v>
      </c>
      <c r="N62" s="132">
        <v>5333</v>
      </c>
      <c r="O62" s="132">
        <v>3119</v>
      </c>
      <c r="P62" s="132">
        <f t="shared" si="36"/>
        <v>71489</v>
      </c>
      <c r="Q62" s="133">
        <f t="shared" si="37"/>
        <v>5957.416666666667</v>
      </c>
      <c r="R62" s="183"/>
      <c r="S62" s="4677">
        <v>4046</v>
      </c>
      <c r="T62" s="132">
        <v>6295</v>
      </c>
      <c r="U62" s="132">
        <v>4082</v>
      </c>
      <c r="V62" s="132">
        <v>3829</v>
      </c>
      <c r="W62" s="132">
        <v>5373</v>
      </c>
      <c r="X62" s="132">
        <v>4861</v>
      </c>
      <c r="Y62" s="132">
        <v>4364</v>
      </c>
      <c r="Z62" s="132">
        <v>7455</v>
      </c>
      <c r="AA62" s="132">
        <v>2693</v>
      </c>
      <c r="AB62" s="132">
        <v>16731</v>
      </c>
      <c r="AC62" s="132">
        <v>4833</v>
      </c>
      <c r="AD62" s="132">
        <v>3634</v>
      </c>
      <c r="AE62" s="132">
        <f t="shared" si="38"/>
        <v>68196</v>
      </c>
      <c r="AF62" s="133">
        <f t="shared" si="39"/>
        <v>5683</v>
      </c>
      <c r="AG62" s="183"/>
      <c r="AH62" s="4677">
        <v>9400</v>
      </c>
      <c r="AI62" s="132">
        <v>7027</v>
      </c>
      <c r="AJ62" s="132">
        <v>5089</v>
      </c>
      <c r="AK62" s="132">
        <v>7031</v>
      </c>
      <c r="AL62" s="132">
        <v>6738</v>
      </c>
      <c r="AM62" s="132">
        <v>4348</v>
      </c>
      <c r="AN62" s="132">
        <v>9542</v>
      </c>
      <c r="AO62" s="132">
        <v>6902</v>
      </c>
      <c r="AP62" s="132">
        <v>20218</v>
      </c>
      <c r="AQ62" s="132">
        <v>15131</v>
      </c>
      <c r="AR62" s="132">
        <v>6956</v>
      </c>
      <c r="AS62" s="132">
        <v>6135</v>
      </c>
      <c r="AT62" s="132">
        <f t="shared" si="40"/>
        <v>104517</v>
      </c>
      <c r="AU62" s="133">
        <f t="shared" si="12"/>
        <v>8709.75</v>
      </c>
      <c r="AV62" s="183"/>
      <c r="AW62" s="479">
        <v>5384</v>
      </c>
      <c r="AX62" s="132">
        <v>16915</v>
      </c>
      <c r="AY62" s="132">
        <v>7408</v>
      </c>
      <c r="AZ62" s="132">
        <v>7814</v>
      </c>
      <c r="BA62" s="132">
        <v>9792</v>
      </c>
      <c r="BB62" s="132">
        <v>7562</v>
      </c>
      <c r="BC62" s="132">
        <v>12735</v>
      </c>
      <c r="BD62" s="132">
        <v>9471</v>
      </c>
      <c r="BE62" s="132">
        <v>19886</v>
      </c>
      <c r="BF62" s="132">
        <v>11925</v>
      </c>
      <c r="BG62" s="132">
        <v>8605</v>
      </c>
      <c r="BH62" s="132">
        <v>8793</v>
      </c>
      <c r="BI62" s="132">
        <f t="shared" si="43"/>
        <v>126290</v>
      </c>
      <c r="BJ62" s="133">
        <f t="shared" si="13"/>
        <v>10524.166666666666</v>
      </c>
      <c r="BK62" s="183"/>
      <c r="BL62" s="479">
        <v>11824</v>
      </c>
      <c r="BM62" s="132">
        <v>7465</v>
      </c>
      <c r="BN62" s="132"/>
      <c r="BO62" s="132"/>
      <c r="BP62" s="132"/>
      <c r="BQ62" s="132"/>
      <c r="BR62" s="132"/>
      <c r="BS62" s="132"/>
      <c r="BT62" s="132"/>
      <c r="BU62" s="132"/>
      <c r="BV62" s="132"/>
      <c r="BW62" s="132"/>
      <c r="BX62" s="132">
        <f t="shared" si="32"/>
        <v>19289</v>
      </c>
      <c r="BY62" s="133">
        <f t="shared" si="35"/>
        <v>9644.5</v>
      </c>
      <c r="CA62" s="169">
        <f>ROW()</f>
        <v>62</v>
      </c>
      <c r="CB62" s="169">
        <f>IFERROR(_xlfn.XLOOKUP($A$1,$2:$2,62:62)-_xlfn.XLOOKUP(EDATE($A$1,-12),$2:$2,62:62),"")</f>
        <v>-9450</v>
      </c>
      <c r="CC62" s="169">
        <f t="shared" si="15"/>
        <v>1814.4166666666661</v>
      </c>
      <c r="CD62" s="169">
        <f>IFERROR(
  SUM(
    _xlfn.XLOOKUP(DATE(YEAR($A$1),1,1),$2:$2,62:62):
    _xlfn.XLOOKUP($A$1,$2:$2,62:62)
  )
 -SUM(
    _xlfn.XLOOKUP(DATE(YEAR($A$1)-1,1,1),$2:$2,62:62):
    _xlfn.XLOOKUP(EDATE($A$1,-12),$2:$2,62:62)
  ),"")</f>
        <v>-3010</v>
      </c>
      <c r="CE62" s="4517">
        <f>IFERROR(
  _xlfn.XLOOKUP($A$1,$B$2:$BY$2,$B62:$BY62)
 -_xlfn.XLOOKUP(EDATE($A$1,-1),$B$2:$BY$2,$B62:$BY62),"")</f>
        <v>-4359</v>
      </c>
    </row>
    <row r="63" spans="1:83" ht="17.399999999999999" customHeight="1" x14ac:dyDescent="0.55000000000000004">
      <c r="A63" s="7198"/>
      <c r="B63" s="7213"/>
      <c r="C63" s="63" t="s">
        <v>408</v>
      </c>
      <c r="D63" s="131">
        <v>3829</v>
      </c>
      <c r="E63" s="132">
        <v>4337</v>
      </c>
      <c r="F63" s="132">
        <v>3629</v>
      </c>
      <c r="G63" s="132">
        <v>3334</v>
      </c>
      <c r="H63" s="132">
        <v>3740</v>
      </c>
      <c r="I63" s="132">
        <v>3793</v>
      </c>
      <c r="J63" s="132">
        <v>3422</v>
      </c>
      <c r="K63" s="132">
        <v>3974</v>
      </c>
      <c r="L63" s="132">
        <v>6215</v>
      </c>
      <c r="M63" s="132">
        <v>4794</v>
      </c>
      <c r="N63" s="132">
        <v>2609</v>
      </c>
      <c r="O63" s="132">
        <v>1682</v>
      </c>
      <c r="P63" s="132">
        <f t="shared" si="36"/>
        <v>45358</v>
      </c>
      <c r="Q63" s="133">
        <f t="shared" si="37"/>
        <v>3779.8333333333335</v>
      </c>
      <c r="R63" s="183"/>
      <c r="S63" s="4677">
        <v>2496</v>
      </c>
      <c r="T63" s="132">
        <v>4069</v>
      </c>
      <c r="U63" s="132">
        <v>3743</v>
      </c>
      <c r="V63" s="132">
        <v>2856</v>
      </c>
      <c r="W63" s="132">
        <v>3927</v>
      </c>
      <c r="X63" s="132">
        <v>3738</v>
      </c>
      <c r="Y63" s="132">
        <v>3212</v>
      </c>
      <c r="Z63" s="132">
        <v>2878</v>
      </c>
      <c r="AA63" s="132">
        <v>5597</v>
      </c>
      <c r="AB63" s="132">
        <v>6888</v>
      </c>
      <c r="AC63" s="132">
        <v>2375</v>
      </c>
      <c r="AD63" s="132">
        <v>1945</v>
      </c>
      <c r="AE63" s="132">
        <f t="shared" si="38"/>
        <v>43724</v>
      </c>
      <c r="AF63" s="133">
        <f t="shared" si="39"/>
        <v>3643.6666666666665</v>
      </c>
      <c r="AG63" s="183"/>
      <c r="AH63" s="4677">
        <v>1934</v>
      </c>
      <c r="AI63" s="132">
        <v>1162</v>
      </c>
      <c r="AJ63" s="132">
        <v>1151</v>
      </c>
      <c r="AK63" s="132">
        <v>2139</v>
      </c>
      <c r="AL63" s="132">
        <v>1151</v>
      </c>
      <c r="AM63" s="132">
        <v>1786</v>
      </c>
      <c r="AN63" s="132">
        <v>2362</v>
      </c>
      <c r="AO63" s="132">
        <v>1358</v>
      </c>
      <c r="AP63" s="132">
        <v>2486</v>
      </c>
      <c r="AQ63" s="132">
        <v>5368</v>
      </c>
      <c r="AR63" s="132">
        <v>2196</v>
      </c>
      <c r="AS63" s="132">
        <v>761</v>
      </c>
      <c r="AT63" s="132">
        <f t="shared" si="40"/>
        <v>23854</v>
      </c>
      <c r="AU63" s="133">
        <f t="shared" si="12"/>
        <v>1987.8333333333333</v>
      </c>
      <c r="AV63" s="183"/>
      <c r="AW63" s="479">
        <v>1227</v>
      </c>
      <c r="AX63" s="132">
        <v>2219</v>
      </c>
      <c r="AY63" s="132">
        <v>1885</v>
      </c>
      <c r="AZ63" s="132">
        <v>1124</v>
      </c>
      <c r="BA63" s="132">
        <v>1682</v>
      </c>
      <c r="BB63" s="132">
        <v>1278</v>
      </c>
      <c r="BC63" s="132">
        <v>3359</v>
      </c>
      <c r="BD63" s="132">
        <v>1055</v>
      </c>
      <c r="BE63" s="132">
        <v>1745</v>
      </c>
      <c r="BF63" s="132">
        <v>4370</v>
      </c>
      <c r="BG63" s="132">
        <v>4049</v>
      </c>
      <c r="BH63" s="132">
        <v>2958</v>
      </c>
      <c r="BI63" s="132">
        <f t="shared" si="43"/>
        <v>26951</v>
      </c>
      <c r="BJ63" s="133">
        <f t="shared" si="13"/>
        <v>2245.9166666666665</v>
      </c>
      <c r="BK63" s="183"/>
      <c r="BL63" s="479">
        <v>3556</v>
      </c>
      <c r="BM63" s="132">
        <v>2536</v>
      </c>
      <c r="BN63" s="132"/>
      <c r="BO63" s="132"/>
      <c r="BP63" s="132"/>
      <c r="BQ63" s="132"/>
      <c r="BR63" s="132"/>
      <c r="BS63" s="132"/>
      <c r="BT63" s="132"/>
      <c r="BU63" s="132"/>
      <c r="BV63" s="132"/>
      <c r="BW63" s="132"/>
      <c r="BX63" s="132">
        <f t="shared" si="32"/>
        <v>6092</v>
      </c>
      <c r="BY63" s="133">
        <f t="shared" si="35"/>
        <v>3046</v>
      </c>
      <c r="CA63" s="169">
        <f>ROW()</f>
        <v>63</v>
      </c>
      <c r="CB63" s="169">
        <f>IFERROR(_xlfn.XLOOKUP($A$1,$2:$2,63:63)-_xlfn.XLOOKUP(EDATE($A$1,-12),$2:$2,63:63),"")</f>
        <v>317</v>
      </c>
      <c r="CC63" s="169">
        <f t="shared" si="15"/>
        <v>258.08333333333326</v>
      </c>
      <c r="CD63" s="169">
        <f>IFERROR(
  SUM(
    _xlfn.XLOOKUP(DATE(YEAR($A$1),1,1),$2:$2,63:63):
    _xlfn.XLOOKUP($A$1,$2:$2,63:63)
  )
 -SUM(
    _xlfn.XLOOKUP(DATE(YEAR($A$1)-1,1,1),$2:$2,63:63):
    _xlfn.XLOOKUP(EDATE($A$1,-12),$2:$2,63:63)
  ),"")</f>
        <v>2646</v>
      </c>
      <c r="CE63" s="4517">
        <f>IFERROR(
  _xlfn.XLOOKUP($A$1,$B$2:$BY$2,$B63:$BY63)
 -_xlfn.XLOOKUP(EDATE($A$1,-1),$B$2:$BY$2,$B63:$BY63),"")</f>
        <v>-1020</v>
      </c>
    </row>
    <row r="64" spans="1:83" ht="20.25" customHeight="1" thickBot="1" x14ac:dyDescent="0.6">
      <c r="A64" s="7199"/>
      <c r="B64" s="7218"/>
      <c r="C64" s="4682" t="s">
        <v>409</v>
      </c>
      <c r="D64" s="210">
        <v>23</v>
      </c>
      <c r="E64" s="211">
        <v>29</v>
      </c>
      <c r="F64" s="211">
        <v>92</v>
      </c>
      <c r="G64" s="211">
        <v>124</v>
      </c>
      <c r="H64" s="211">
        <v>135</v>
      </c>
      <c r="I64" s="211">
        <v>187</v>
      </c>
      <c r="J64" s="211">
        <v>168</v>
      </c>
      <c r="K64" s="211">
        <v>278</v>
      </c>
      <c r="L64" s="211">
        <v>191</v>
      </c>
      <c r="M64" s="211">
        <v>218</v>
      </c>
      <c r="N64" s="211">
        <v>228</v>
      </c>
      <c r="O64" s="211">
        <v>233</v>
      </c>
      <c r="P64" s="211">
        <f t="shared" si="36"/>
        <v>1906</v>
      </c>
      <c r="Q64" s="212">
        <f t="shared" si="37"/>
        <v>158.83333333333334</v>
      </c>
      <c r="R64" s="183"/>
      <c r="S64" s="4678">
        <v>131</v>
      </c>
      <c r="T64" s="211">
        <v>140</v>
      </c>
      <c r="U64" s="211">
        <v>115</v>
      </c>
      <c r="V64" s="211">
        <v>85</v>
      </c>
      <c r="W64" s="211">
        <v>60</v>
      </c>
      <c r="X64" s="211">
        <v>92</v>
      </c>
      <c r="Y64" s="4679">
        <v>76</v>
      </c>
      <c r="Z64" s="211">
        <v>87</v>
      </c>
      <c r="AA64" s="211">
        <v>44</v>
      </c>
      <c r="AB64" s="211">
        <v>87</v>
      </c>
      <c r="AC64" s="211">
        <v>89</v>
      </c>
      <c r="AD64" s="211">
        <v>60</v>
      </c>
      <c r="AE64" s="211">
        <f t="shared" si="38"/>
        <v>1066</v>
      </c>
      <c r="AF64" s="212">
        <f t="shared" si="39"/>
        <v>88.833333333333329</v>
      </c>
      <c r="AG64" s="183"/>
      <c r="AH64" s="4678">
        <v>76</v>
      </c>
      <c r="AI64" s="211">
        <v>60</v>
      </c>
      <c r="AJ64" s="211">
        <v>6</v>
      </c>
      <c r="AK64" s="211">
        <v>0</v>
      </c>
      <c r="AL64" s="211">
        <v>0</v>
      </c>
      <c r="AM64" s="211">
        <v>0</v>
      </c>
      <c r="AN64" s="211">
        <v>0</v>
      </c>
      <c r="AO64" s="211">
        <v>0</v>
      </c>
      <c r="AP64" s="211">
        <v>0</v>
      </c>
      <c r="AQ64" s="211">
        <v>0</v>
      </c>
      <c r="AR64" s="211">
        <v>0</v>
      </c>
      <c r="AS64" s="211">
        <v>0</v>
      </c>
      <c r="AT64" s="211">
        <f t="shared" si="40"/>
        <v>142</v>
      </c>
      <c r="AU64" s="212">
        <f t="shared" si="12"/>
        <v>11.833333333333334</v>
      </c>
      <c r="AV64" s="183"/>
      <c r="AW64" s="479">
        <v>0</v>
      </c>
      <c r="AX64" s="132">
        <v>0</v>
      </c>
      <c r="AY64" s="132">
        <v>0</v>
      </c>
      <c r="AZ64" s="132">
        <v>1</v>
      </c>
      <c r="BA64" s="132">
        <v>0</v>
      </c>
      <c r="BB64" s="132">
        <v>0</v>
      </c>
      <c r="BC64" s="132">
        <v>0</v>
      </c>
      <c r="BD64" s="132">
        <v>0</v>
      </c>
      <c r="BE64" s="132">
        <v>0</v>
      </c>
      <c r="BF64" s="132">
        <v>0</v>
      </c>
      <c r="BG64" s="132">
        <v>0</v>
      </c>
      <c r="BH64" s="132">
        <v>0</v>
      </c>
      <c r="BI64" s="132">
        <f t="shared" si="43"/>
        <v>1</v>
      </c>
      <c r="BJ64" s="133">
        <f t="shared" si="13"/>
        <v>8.3333333333333329E-2</v>
      </c>
      <c r="BK64" s="183"/>
      <c r="BL64" s="479">
        <v>0</v>
      </c>
      <c r="BM64" s="132">
        <v>0</v>
      </c>
      <c r="BN64" s="132"/>
      <c r="BO64" s="132"/>
      <c r="BP64" s="132"/>
      <c r="BQ64" s="132"/>
      <c r="BR64" s="132"/>
      <c r="BS64" s="132"/>
      <c r="BT64" s="132"/>
      <c r="BU64" s="132"/>
      <c r="BV64" s="132"/>
      <c r="BW64" s="132"/>
      <c r="BX64" s="132">
        <f t="shared" si="32"/>
        <v>0</v>
      </c>
      <c r="BY64" s="133">
        <f t="shared" si="35"/>
        <v>0</v>
      </c>
      <c r="CA64" s="169">
        <f>ROW()</f>
        <v>64</v>
      </c>
      <c r="CB64" s="169">
        <f>IFERROR(_xlfn.XLOOKUP($A$1,$2:$2,64:64)-_xlfn.XLOOKUP(EDATE($A$1,-12),$2:$2,64:64),"")</f>
        <v>0</v>
      </c>
      <c r="CC64" s="169">
        <f t="shared" si="15"/>
        <v>-11.75</v>
      </c>
      <c r="CD64" s="169">
        <f>IFERROR(
  SUM(
    _xlfn.XLOOKUP(DATE(YEAR($A$1),1,1),$2:$2,64:64):
    _xlfn.XLOOKUP($A$1,$2:$2,64:64)
  )
 -SUM(
    _xlfn.XLOOKUP(DATE(YEAR($A$1)-1,1,1),$2:$2,64:64):
    _xlfn.XLOOKUP(EDATE($A$1,-12),$2:$2,64:64)
  ),"")</f>
        <v>0</v>
      </c>
      <c r="CE64" s="4517">
        <f>IFERROR(
  _xlfn.XLOOKUP($A$1,$B$2:$BY$2,$B64:$BY64)
 -_xlfn.XLOOKUP(EDATE($A$1,-1),$B$2:$BY$2,$B64:$BY64),"")</f>
        <v>0</v>
      </c>
    </row>
    <row r="65" spans="1:87" s="1" customFormat="1" ht="5.25" customHeight="1" thickBot="1" x14ac:dyDescent="0.6">
      <c r="A65" s="58"/>
      <c r="B65" s="95"/>
      <c r="C65" s="83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83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83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83"/>
      <c r="AW65" s="492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83"/>
      <c r="BL65" s="492"/>
      <c r="BM65" s="156"/>
      <c r="BN65" s="156"/>
      <c r="BO65" s="156"/>
      <c r="BP65" s="156"/>
      <c r="BQ65" s="156"/>
      <c r="BR65" s="156"/>
      <c r="BS65" s="156"/>
      <c r="BT65" s="156"/>
      <c r="BU65" s="156"/>
      <c r="BV65" s="156"/>
      <c r="BW65" s="156"/>
      <c r="BX65" s="156"/>
      <c r="BY65" s="156"/>
      <c r="CA65" s="169">
        <f>ROW()</f>
        <v>65</v>
      </c>
      <c r="CB65" s="169">
        <f>IFERROR(_xlfn.XLOOKUP($A$1,$2:$2,65:65)-_xlfn.XLOOKUP(EDATE($A$1,-12),$2:$2,65:65),"")</f>
        <v>0</v>
      </c>
      <c r="CC65" s="169">
        <f t="shared" ref="CC65:CC90" si="50">BJ65-AU65</f>
        <v>0</v>
      </c>
      <c r="CD65" s="169">
        <f>IFERROR(
  SUM(
    _xlfn.XLOOKUP(DATE(YEAR($A$1),1,1),$2:$2,65:65):
    _xlfn.XLOOKUP($A$1,$2:$2,65:65)
  )
 -SUM(
    _xlfn.XLOOKUP(DATE(YEAR($A$1)-1,1,1),$2:$2,65:65):
    _xlfn.XLOOKUP(EDATE($A$1,-12),$2:$2,65:65)
  ),"")</f>
        <v>0</v>
      </c>
      <c r="CE65" s="4517">
        <f>IFERROR(
  _xlfn.XLOOKUP($A$1,$B$2:$BY$2,$B65:$BY65)
 -_xlfn.XLOOKUP(EDATE($A$1,-1),$B$2:$BY$2,$B65:$BY65),"")</f>
        <v>0</v>
      </c>
      <c r="CF65"/>
      <c r="CG65"/>
      <c r="CH65"/>
      <c r="CI65"/>
    </row>
    <row r="66" spans="1:87" ht="20.25" customHeight="1" x14ac:dyDescent="0.55000000000000004">
      <c r="A66" s="7197" t="s">
        <v>81</v>
      </c>
      <c r="B66" s="14" t="s">
        <v>415</v>
      </c>
      <c r="C66" s="71"/>
      <c r="D66" s="122">
        <v>54546.979625170134</v>
      </c>
      <c r="E66" s="123">
        <v>58670.79353381064</v>
      </c>
      <c r="F66" s="123">
        <v>53521.485396905606</v>
      </c>
      <c r="G66" s="123">
        <v>55528.703110552546</v>
      </c>
      <c r="H66" s="123">
        <v>55086.456050428271</v>
      </c>
      <c r="I66" s="123">
        <v>58215.442361273279</v>
      </c>
      <c r="J66" s="123">
        <v>57211.01877834271</v>
      </c>
      <c r="K66" s="123">
        <v>64831.791251934941</v>
      </c>
      <c r="L66" s="123">
        <v>56404.67820010701</v>
      </c>
      <c r="M66" s="123">
        <v>63414.163024136375</v>
      </c>
      <c r="N66" s="123">
        <v>57422.625551225814</v>
      </c>
      <c r="O66" s="123">
        <v>59322.386476955326</v>
      </c>
      <c r="P66" s="123">
        <v>58086.99367142644</v>
      </c>
      <c r="Q66" s="124">
        <v>58086.99367142644</v>
      </c>
      <c r="R66" s="183"/>
      <c r="S66" s="4673">
        <v>59351.038928186426</v>
      </c>
      <c r="T66" s="123">
        <v>63511.345366619265</v>
      </c>
      <c r="U66" s="123">
        <v>59805.40387251458</v>
      </c>
      <c r="V66" s="123">
        <v>61863.718820519498</v>
      </c>
      <c r="W66" s="123">
        <v>58854.549000272709</v>
      </c>
      <c r="X66" s="123">
        <v>58517.12687731786</v>
      </c>
      <c r="Y66" s="123">
        <v>56787.158949974844</v>
      </c>
      <c r="Z66" s="123">
        <v>69013.626053232263</v>
      </c>
      <c r="AA66" s="123">
        <v>56337.762414347519</v>
      </c>
      <c r="AB66" s="123">
        <v>63652.501619565257</v>
      </c>
      <c r="AC66" s="123">
        <v>61422.04840181733</v>
      </c>
      <c r="AD66" s="123">
        <v>58732.119217876629</v>
      </c>
      <c r="AE66" s="123">
        <v>61190.481927399909</v>
      </c>
      <c r="AF66" s="124">
        <v>61190.481927399909</v>
      </c>
      <c r="AG66" s="183"/>
      <c r="AH66" s="4673">
        <v>66693.559813750879</v>
      </c>
      <c r="AI66" s="123">
        <v>59977.9737115592</v>
      </c>
      <c r="AJ66" s="123">
        <v>57320.616502855279</v>
      </c>
      <c r="AK66" s="123">
        <v>55523.126033544417</v>
      </c>
      <c r="AL66" s="123">
        <v>54794.962335132856</v>
      </c>
      <c r="AM66" s="123">
        <v>54741.360556272688</v>
      </c>
      <c r="AN66" s="123">
        <v>63160.168608437103</v>
      </c>
      <c r="AO66" s="123">
        <v>57820.341690231355</v>
      </c>
      <c r="AP66" s="123">
        <v>64020.102716004396</v>
      </c>
      <c r="AQ66" s="123">
        <v>58235.93174079046</v>
      </c>
      <c r="AR66" s="123">
        <v>60025.901492508507</v>
      </c>
      <c r="AS66" s="123">
        <v>60335.523445962863</v>
      </c>
      <c r="AT66" s="123">
        <f t="shared" ref="AT66:AT71" si="51">AVERAGE(AH66:AS66)</f>
        <v>59387.464053920827</v>
      </c>
      <c r="AU66" s="124">
        <f>AT66</f>
        <v>59387.464053920827</v>
      </c>
      <c r="AV66" s="183"/>
      <c r="AW66" s="476">
        <v>58207.926233766244</v>
      </c>
      <c r="AX66" s="123">
        <v>63258.986313234047</v>
      </c>
      <c r="AY66" s="123">
        <v>58651.542771001077</v>
      </c>
      <c r="AZ66" s="123">
        <v>57854.61525310429</v>
      </c>
      <c r="BA66" s="123">
        <v>53350.99735128574</v>
      </c>
      <c r="BB66" s="123">
        <v>58044.210804309514</v>
      </c>
      <c r="BC66" s="123">
        <v>58725.850233619822</v>
      </c>
      <c r="BD66" s="123">
        <v>65489.31030111741</v>
      </c>
      <c r="BE66" s="123">
        <v>67606.045241009866</v>
      </c>
      <c r="BF66" s="123">
        <v>64583.838000639895</v>
      </c>
      <c r="BG66" s="123">
        <v>63187.728906604025</v>
      </c>
      <c r="BH66" s="123">
        <v>63059.546679142222</v>
      </c>
      <c r="BI66" s="123">
        <f>BJ66</f>
        <v>61001.716507402853</v>
      </c>
      <c r="BJ66" s="124">
        <f t="shared" si="13"/>
        <v>61001.716507402853</v>
      </c>
      <c r="BK66" s="183"/>
      <c r="BL66" s="476">
        <v>56727.408050622871</v>
      </c>
      <c r="BM66" s="123">
        <v>55755.66664181104</v>
      </c>
      <c r="BN66" s="123"/>
      <c r="BO66" s="123"/>
      <c r="BP66" s="123"/>
      <c r="BQ66" s="123"/>
      <c r="BR66" s="123"/>
      <c r="BS66" s="123"/>
      <c r="BT66" s="123"/>
      <c r="BU66" s="123"/>
      <c r="BV66" s="123"/>
      <c r="BW66" s="123"/>
      <c r="BX66" s="123">
        <f t="shared" ref="BX66:BX80" si="52">BY66</f>
        <v>56241.537346216952</v>
      </c>
      <c r="BY66" s="124">
        <f t="shared" si="35"/>
        <v>56241.537346216952</v>
      </c>
      <c r="CA66" s="169">
        <f>ROW()</f>
        <v>66</v>
      </c>
      <c r="CB66" s="169">
        <f>IFERROR(_xlfn.XLOOKUP($A$1,$2:$2,66:66)-_xlfn.XLOOKUP(EDATE($A$1,-12),$2:$2,66:66),"")</f>
        <v>-7503.3196714230071</v>
      </c>
      <c r="CC66" s="169">
        <f t="shared" si="50"/>
        <v>1614.2524534820259</v>
      </c>
      <c r="CD66" s="169">
        <f>IFERROR(
  SUM(
    _xlfn.XLOOKUP(DATE(YEAR($A$1),1,1),$2:$2,66:66):
    _xlfn.XLOOKUP($A$1,$2:$2,66:66)
  )
 -SUM(
    _xlfn.XLOOKUP(DATE(YEAR($A$1)-1,1,1),$2:$2,66:66):
    _xlfn.XLOOKUP(EDATE($A$1,-12),$2:$2,66:66)
  ),"")</f>
        <v>-8983.8378545663873</v>
      </c>
      <c r="CE66" s="4517">
        <f>IFERROR(
  _xlfn.XLOOKUP($A$1,$B$2:$BY$2,$B66:$BY66)
 -_xlfn.XLOOKUP(EDATE($A$1,-1),$B$2:$BY$2,$B66:$BY66),"")</f>
        <v>-971.74140881183121</v>
      </c>
    </row>
    <row r="67" spans="1:87" ht="17.399999999999999" customHeight="1" x14ac:dyDescent="0.55000000000000004">
      <c r="A67" s="7198"/>
      <c r="B67" s="15"/>
      <c r="C67" s="47" t="s">
        <v>405</v>
      </c>
      <c r="D67" s="174">
        <v>64533.894444979051</v>
      </c>
      <c r="E67" s="175">
        <v>66358.218348792623</v>
      </c>
      <c r="F67" s="175">
        <v>61067.878810534567</v>
      </c>
      <c r="G67" s="175">
        <v>62644.294912999736</v>
      </c>
      <c r="H67" s="175">
        <v>64092.12737104109</v>
      </c>
      <c r="I67" s="175">
        <v>67383.47098733719</v>
      </c>
      <c r="J67" s="175">
        <v>63401.428189826278</v>
      </c>
      <c r="K67" s="175">
        <v>73090.312324781728</v>
      </c>
      <c r="L67" s="175">
        <v>65642.066736424254</v>
      </c>
      <c r="M67" s="175">
        <v>72704.693750216407</v>
      </c>
      <c r="N67" s="175">
        <v>66770.675196569893</v>
      </c>
      <c r="O67" s="175">
        <v>66335.1947922338</v>
      </c>
      <c r="P67" s="175">
        <v>66583.427591922882</v>
      </c>
      <c r="Q67" s="176">
        <v>66583.427591922882</v>
      </c>
      <c r="R67" s="183"/>
      <c r="S67" s="4680">
        <v>68569.764032381689</v>
      </c>
      <c r="T67" s="175">
        <v>72582.175554769798</v>
      </c>
      <c r="U67" s="175">
        <v>66872.797905578278</v>
      </c>
      <c r="V67" s="175">
        <v>69468.311915357626</v>
      </c>
      <c r="W67" s="175">
        <v>68557.391494357798</v>
      </c>
      <c r="X67" s="175">
        <v>67288.931325785379</v>
      </c>
      <c r="Y67" s="175">
        <v>65140.6220638655</v>
      </c>
      <c r="Z67" s="175">
        <v>78058.583737572786</v>
      </c>
      <c r="AA67" s="175">
        <v>67745.820798333269</v>
      </c>
      <c r="AB67" s="175">
        <v>75552.496398836971</v>
      </c>
      <c r="AC67" s="175">
        <v>67895.926133202171</v>
      </c>
      <c r="AD67" s="175">
        <v>65662.779727092493</v>
      </c>
      <c r="AE67" s="175">
        <v>70177.963814250674</v>
      </c>
      <c r="AF67" s="176">
        <v>70177.963814250674</v>
      </c>
      <c r="AG67" s="183"/>
      <c r="AH67" s="4680">
        <v>75454.835965601131</v>
      </c>
      <c r="AI67" s="175">
        <v>66009.74235882581</v>
      </c>
      <c r="AJ67" s="175">
        <v>62302.99543696738</v>
      </c>
      <c r="AK67" s="175">
        <v>62168.173244572383</v>
      </c>
      <c r="AL67" s="175">
        <v>61598.253714061713</v>
      </c>
      <c r="AM67" s="175">
        <v>61453.515467982535</v>
      </c>
      <c r="AN67" s="175">
        <v>72783.777800053635</v>
      </c>
      <c r="AO67" s="175">
        <v>63267.388992768647</v>
      </c>
      <c r="AP67" s="175">
        <v>71169.452929936015</v>
      </c>
      <c r="AQ67" s="175">
        <v>65177.443318658319</v>
      </c>
      <c r="AR67" s="175">
        <v>64354.457858567614</v>
      </c>
      <c r="AS67" s="175">
        <v>62186.922996649817</v>
      </c>
      <c r="AT67" s="175">
        <f t="shared" si="51"/>
        <v>65660.580007053752</v>
      </c>
      <c r="AU67" s="176">
        <f t="shared" ref="AU67:AU72" si="53">AT67</f>
        <v>65660.580007053752</v>
      </c>
      <c r="AV67" s="183"/>
      <c r="AW67" s="493">
        <v>57827.123598105281</v>
      </c>
      <c r="AX67" s="175">
        <v>69717.108301485103</v>
      </c>
      <c r="AY67" s="175">
        <v>58937.93814809632</v>
      </c>
      <c r="AZ67" s="175">
        <v>56596.837679055418</v>
      </c>
      <c r="BA67" s="175">
        <v>54712.572661462065</v>
      </c>
      <c r="BB67" s="175">
        <v>57041.760307832934</v>
      </c>
      <c r="BC67" s="175">
        <v>67885.451937892212</v>
      </c>
      <c r="BD67" s="175">
        <v>61760.388384475387</v>
      </c>
      <c r="BE67" s="175">
        <v>71950.849837879912</v>
      </c>
      <c r="BF67" s="175">
        <v>63945.411294106139</v>
      </c>
      <c r="BG67" s="175">
        <v>61983.973046428298</v>
      </c>
      <c r="BH67" s="175">
        <v>60204.929117055297</v>
      </c>
      <c r="BI67" s="175">
        <f t="shared" ref="BI67:BI72" si="54">BJ67</f>
        <v>61880.362026156188</v>
      </c>
      <c r="BJ67" s="176">
        <f t="shared" si="13"/>
        <v>61880.362026156188</v>
      </c>
      <c r="BK67" s="183"/>
      <c r="BL67" s="493">
        <v>54209.776866088636</v>
      </c>
      <c r="BM67" s="175">
        <v>54130.095164407481</v>
      </c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>
        <f t="shared" si="52"/>
        <v>54169.936015248059</v>
      </c>
      <c r="BY67" s="176">
        <f t="shared" si="35"/>
        <v>54169.936015248059</v>
      </c>
      <c r="CA67" s="169">
        <f>ROW()</f>
        <v>67</v>
      </c>
      <c r="CB67" s="169">
        <f>IFERROR(_xlfn.XLOOKUP($A$1,$2:$2,67:67)-_xlfn.XLOOKUP(EDATE($A$1,-12),$2:$2,67:67),"")</f>
        <v>-15587.013137077622</v>
      </c>
      <c r="CC67" s="169">
        <f t="shared" si="50"/>
        <v>-3780.2179808975634</v>
      </c>
      <c r="CD67" s="169">
        <f>IFERROR(
  SUM(
    _xlfn.XLOOKUP(DATE(YEAR($A$1),1,1),$2:$2,67:67):
    _xlfn.XLOOKUP($A$1,$2:$2,67:67)
  )
 -SUM(
    _xlfn.XLOOKUP(DATE(YEAR($A$1)-1,1,1),$2:$2,67:67):
    _xlfn.XLOOKUP(EDATE($A$1,-12),$2:$2,67:67)
  ),"")</f>
        <v>-19204.35986909426</v>
      </c>
      <c r="CE67" s="4517">
        <f>IFERROR(
  _xlfn.XLOOKUP($A$1,$B$2:$BY$2,$B67:$BY67)
 -_xlfn.XLOOKUP(EDATE($A$1,-1),$B$2:$BY$2,$B67:$BY67),"")</f>
        <v>-79.681701681154664</v>
      </c>
    </row>
    <row r="68" spans="1:87" ht="17.399999999999999" customHeight="1" x14ac:dyDescent="0.55000000000000004">
      <c r="A68" s="7198"/>
      <c r="B68" s="96"/>
      <c r="C68" s="47" t="s">
        <v>1016</v>
      </c>
      <c r="D68" s="174">
        <v>53985.166017693016</v>
      </c>
      <c r="E68" s="175">
        <v>55706.29219179209</v>
      </c>
      <c r="F68" s="175">
        <v>49607.755138141009</v>
      </c>
      <c r="G68" s="175">
        <v>52014.790172446046</v>
      </c>
      <c r="H68" s="175">
        <v>52209.737585809715</v>
      </c>
      <c r="I68" s="175">
        <v>53052.246501470472</v>
      </c>
      <c r="J68" s="175">
        <v>49539.217096164582</v>
      </c>
      <c r="K68" s="175">
        <v>65342.606009565367</v>
      </c>
      <c r="L68" s="175">
        <v>43733.307843285453</v>
      </c>
      <c r="M68" s="175">
        <v>59982.348473477985</v>
      </c>
      <c r="N68" s="175">
        <v>55591.817484518462</v>
      </c>
      <c r="O68" s="175">
        <v>54904.180558938308</v>
      </c>
      <c r="P68" s="175">
        <v>54371.957196099873</v>
      </c>
      <c r="Q68" s="176">
        <v>54371.957196099873</v>
      </c>
      <c r="R68" s="183"/>
      <c r="S68" s="4680">
        <v>57609.547626864711</v>
      </c>
      <c r="T68" s="175">
        <v>67739.669229589388</v>
      </c>
      <c r="U68" s="175">
        <v>50800.886201058172</v>
      </c>
      <c r="V68" s="175">
        <v>55983.987187101629</v>
      </c>
      <c r="W68" s="175">
        <v>52048.415533956846</v>
      </c>
      <c r="X68" s="175">
        <v>45859.287019241099</v>
      </c>
      <c r="Y68" s="175">
        <v>43166.743245421232</v>
      </c>
      <c r="Z68" s="175">
        <v>61342.509581754675</v>
      </c>
      <c r="AA68" s="175">
        <v>42296.819472222232</v>
      </c>
      <c r="AB68" s="175">
        <v>59314.103724365646</v>
      </c>
      <c r="AC68" s="175">
        <v>44092.913826735487</v>
      </c>
      <c r="AD68" s="175">
        <v>42141.150943826637</v>
      </c>
      <c r="AE68" s="175">
        <v>55584.018973050588</v>
      </c>
      <c r="AF68" s="176">
        <v>55584.018973050588</v>
      </c>
      <c r="AG68" s="183"/>
      <c r="AH68" s="4680">
        <v>48391.372761904742</v>
      </c>
      <c r="AI68" s="175">
        <v>46766.314543987086</v>
      </c>
      <c r="AJ68" s="175">
        <v>48013.831904761908</v>
      </c>
      <c r="AK68" s="175">
        <v>47133.165363618245</v>
      </c>
      <c r="AL68" s="175">
        <v>44799.120804953549</v>
      </c>
      <c r="AM68" s="175">
        <v>41779.319636530949</v>
      </c>
      <c r="AN68" s="175">
        <v>61487.116287257144</v>
      </c>
      <c r="AO68" s="175">
        <v>43685.986925566351</v>
      </c>
      <c r="AP68" s="175">
        <v>50840.424918722521</v>
      </c>
      <c r="AQ68" s="175">
        <v>47714.913425925923</v>
      </c>
      <c r="AR68" s="175">
        <v>45462.382712643674</v>
      </c>
      <c r="AS68" s="175">
        <v>43468.247982683992</v>
      </c>
      <c r="AT68" s="175">
        <f t="shared" ref="AT68" si="55">AVERAGE(AH68:AS68)</f>
        <v>47461.849772379675</v>
      </c>
      <c r="AU68" s="176">
        <f t="shared" ref="AU68" si="56">AT68</f>
        <v>47461.849772379675</v>
      </c>
      <c r="AV68" s="183"/>
      <c r="AW68" s="493">
        <v>39379.459189857764</v>
      </c>
      <c r="AX68" s="175">
        <v>58738.425671321143</v>
      </c>
      <c r="AY68" s="175">
        <v>40933.665130177527</v>
      </c>
      <c r="AZ68" s="175">
        <v>45735.117899305551</v>
      </c>
      <c r="BA68" s="175">
        <v>44543.387909302321</v>
      </c>
      <c r="BB68" s="175">
        <v>42789.085251308898</v>
      </c>
      <c r="BC68" s="175">
        <v>50391.31568831169</v>
      </c>
      <c r="BD68" s="175">
        <v>47153.238416666667</v>
      </c>
      <c r="BE68" s="175">
        <v>52850.971426710101</v>
      </c>
      <c r="BF68" s="175">
        <v>52740.644038461549</v>
      </c>
      <c r="BG68" s="175">
        <v>45430.233098445598</v>
      </c>
      <c r="BH68" s="175">
        <v>48130.432427184474</v>
      </c>
      <c r="BI68" s="175">
        <f t="shared" si="54"/>
        <v>47401.331345587772</v>
      </c>
      <c r="BJ68" s="176">
        <f t="shared" si="13"/>
        <v>47401.331345587772</v>
      </c>
      <c r="BK68" s="183"/>
      <c r="BL68" s="493">
        <v>50610.046040892194</v>
      </c>
      <c r="BM68" s="175">
        <v>41604.173571428568</v>
      </c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>
        <f t="shared" si="52"/>
        <v>46107.109806160384</v>
      </c>
      <c r="BY68" s="176">
        <f t="shared" si="35"/>
        <v>46107.109806160384</v>
      </c>
      <c r="CA68" s="169">
        <f>ROW()</f>
        <v>68</v>
      </c>
      <c r="CB68" s="169">
        <f>IFERROR(_xlfn.XLOOKUP($A$1,$2:$2,68:68)-_xlfn.XLOOKUP(EDATE($A$1,-12),$2:$2,68:68),"")</f>
        <v>-17134.252099892576</v>
      </c>
      <c r="CC68" s="169">
        <f t="shared" ref="CC68" si="57">BJ68-AU68</f>
        <v>-60.518426791903039</v>
      </c>
      <c r="CD68" s="169">
        <f>IFERROR(
  SUM(
    _xlfn.XLOOKUP(DATE(YEAR($A$1),1,1),$2:$2,68:68):
    _xlfn.XLOOKUP($A$1,$2:$2,68:68)
  )
 -SUM(
    _xlfn.XLOOKUP(DATE(YEAR($A$1)-1,1,1),$2:$2,68:68):
    _xlfn.XLOOKUP(EDATE($A$1,-12),$2:$2,68:68)
  ),"")</f>
        <v>-5903.6652488581312</v>
      </c>
      <c r="CE68" s="4517">
        <f>IFERROR(
  _xlfn.XLOOKUP($A$1,$B$2:$BY$2,$B68:$BY68)
 -_xlfn.XLOOKUP(EDATE($A$1,-1),$B$2:$BY$2,$B68:$BY68),"")</f>
        <v>-9005.8724694636257</v>
      </c>
    </row>
    <row r="69" spans="1:87" ht="17.399999999999999" customHeight="1" x14ac:dyDescent="0.55000000000000004">
      <c r="A69" s="7198"/>
      <c r="B69" s="15"/>
      <c r="C69" s="47" t="s">
        <v>407</v>
      </c>
      <c r="D69" s="174">
        <v>52436.355212209215</v>
      </c>
      <c r="E69" s="175">
        <v>58999.611336719434</v>
      </c>
      <c r="F69" s="175">
        <v>53159.503107779172</v>
      </c>
      <c r="G69" s="175">
        <v>55166.112810142818</v>
      </c>
      <c r="H69" s="175">
        <v>56863.486656016466</v>
      </c>
      <c r="I69" s="175">
        <v>57689.18613506409</v>
      </c>
      <c r="J69" s="175">
        <v>58399.89183527042</v>
      </c>
      <c r="K69" s="175">
        <v>64282.068942409918</v>
      </c>
      <c r="L69" s="175">
        <v>61070.354866012254</v>
      </c>
      <c r="M69" s="175">
        <v>64303.724276701854</v>
      </c>
      <c r="N69" s="175">
        <v>58115.279281570583</v>
      </c>
      <c r="O69" s="175">
        <v>60457.681891274697</v>
      </c>
      <c r="P69" s="175">
        <v>58399.238547342771</v>
      </c>
      <c r="Q69" s="176">
        <v>58399.238547342771</v>
      </c>
      <c r="R69" s="183"/>
      <c r="S69" s="4680">
        <v>61372.458441735136</v>
      </c>
      <c r="T69" s="175">
        <v>63716.267129370783</v>
      </c>
      <c r="U69" s="175">
        <v>61095.138694299414</v>
      </c>
      <c r="V69" s="175">
        <v>62971.275870995159</v>
      </c>
      <c r="W69" s="175">
        <v>57472.401940027223</v>
      </c>
      <c r="X69" s="175">
        <v>58161.040234540822</v>
      </c>
      <c r="Y69" s="175">
        <v>55360.30131133533</v>
      </c>
      <c r="Z69" s="175">
        <v>68927.307997667143</v>
      </c>
      <c r="AA69" s="175">
        <v>59682.703747049891</v>
      </c>
      <c r="AB69" s="175">
        <v>68592.989316122286</v>
      </c>
      <c r="AC69" s="175">
        <v>63168.279961171931</v>
      </c>
      <c r="AD69" s="175">
        <v>60172.567682864144</v>
      </c>
      <c r="AE69" s="175">
        <v>62137.312037248565</v>
      </c>
      <c r="AF69" s="176">
        <v>62137.312037248565</v>
      </c>
      <c r="AG69" s="183"/>
      <c r="AH69" s="4680">
        <v>70224.196944142459</v>
      </c>
      <c r="AI69" s="175">
        <v>65025.411242683564</v>
      </c>
      <c r="AJ69" s="175">
        <v>61325.605784367552</v>
      </c>
      <c r="AK69" s="175">
        <v>58050.871521406792</v>
      </c>
      <c r="AL69" s="175">
        <v>55417.103366633266</v>
      </c>
      <c r="AM69" s="175">
        <v>57462.38001427774</v>
      </c>
      <c r="AN69" s="175">
        <v>64747.08329614711</v>
      </c>
      <c r="AO69" s="175">
        <v>63269.28117294635</v>
      </c>
      <c r="AP69" s="175">
        <v>70766.794098049068</v>
      </c>
      <c r="AQ69" s="175">
        <v>69183.431891658372</v>
      </c>
      <c r="AR69" s="175">
        <v>65503.872289353822</v>
      </c>
      <c r="AS69" s="175">
        <v>68710.801892126357</v>
      </c>
      <c r="AT69" s="175">
        <f t="shared" si="51"/>
        <v>64140.569459482707</v>
      </c>
      <c r="AU69" s="176">
        <f t="shared" si="53"/>
        <v>64140.569459482707</v>
      </c>
      <c r="AV69" s="183"/>
      <c r="AW69" s="493">
        <v>68742.97391260638</v>
      </c>
      <c r="AX69" s="175">
        <v>73668.401063153346</v>
      </c>
      <c r="AY69" s="175">
        <v>71520.370640616675</v>
      </c>
      <c r="AZ69" s="175">
        <v>70197.087476298242</v>
      </c>
      <c r="BA69" s="175">
        <v>63150.605977560663</v>
      </c>
      <c r="BB69" s="175">
        <v>68005.091417013391</v>
      </c>
      <c r="BC69" s="175">
        <v>65837.548701830747</v>
      </c>
      <c r="BD69" s="175">
        <v>79601.65190343406</v>
      </c>
      <c r="BE69" s="175">
        <v>77420.272080553754</v>
      </c>
      <c r="BF69" s="175">
        <v>79800.996086927262</v>
      </c>
      <c r="BG69" s="175">
        <v>79593.897374108914</v>
      </c>
      <c r="BH69" s="175">
        <v>76690.85685239645</v>
      </c>
      <c r="BI69" s="175">
        <f t="shared" si="54"/>
        <v>72852.479457208319</v>
      </c>
      <c r="BJ69" s="176">
        <f t="shared" si="13"/>
        <v>72852.479457208319</v>
      </c>
      <c r="BK69" s="183"/>
      <c r="BL69" s="493">
        <v>56819.893261044061</v>
      </c>
      <c r="BM69" s="175">
        <v>65239.487072126991</v>
      </c>
      <c r="BN69" s="175"/>
      <c r="BO69" s="175"/>
      <c r="BP69" s="175"/>
      <c r="BQ69" s="175"/>
      <c r="BR69" s="175"/>
      <c r="BS69" s="175"/>
      <c r="BT69" s="175"/>
      <c r="BU69" s="175"/>
      <c r="BV69" s="175"/>
      <c r="BW69" s="175"/>
      <c r="BX69" s="175">
        <f t="shared" si="52"/>
        <v>61029.690166585526</v>
      </c>
      <c r="BY69" s="176">
        <f t="shared" si="35"/>
        <v>61029.690166585526</v>
      </c>
      <c r="CA69" s="169">
        <f>ROW()</f>
        <v>69</v>
      </c>
      <c r="CB69" s="169">
        <f>IFERROR(_xlfn.XLOOKUP($A$1,$2:$2,69:69)-_xlfn.XLOOKUP(EDATE($A$1,-12),$2:$2,69:69),"")</f>
        <v>-8428.9139910263548</v>
      </c>
      <c r="CC69" s="169">
        <f t="shared" si="50"/>
        <v>8711.9099977256119</v>
      </c>
      <c r="CD69" s="169">
        <f>IFERROR(
  SUM(
    _xlfn.XLOOKUP(DATE(YEAR($A$1),1,1),$2:$2,69:69):
    _xlfn.XLOOKUP($A$1,$2:$2,69:69)
  )
 -SUM(
    _xlfn.XLOOKUP(DATE(YEAR($A$1)-1,1,1),$2:$2,69:69):
    _xlfn.XLOOKUP(EDATE($A$1,-12),$2:$2,69:69)
  ),"")</f>
        <v>-20351.994642588659</v>
      </c>
      <c r="CE69" s="4517">
        <f>IFERROR(
  _xlfn.XLOOKUP($A$1,$B$2:$BY$2,$B69:$BY69)
 -_xlfn.XLOOKUP(EDATE($A$1,-1),$B$2:$BY$2,$B69:$BY69),"")</f>
        <v>8419.5938110829302</v>
      </c>
    </row>
    <row r="70" spans="1:87" ht="17.399999999999999" customHeight="1" x14ac:dyDescent="0.55000000000000004">
      <c r="A70" s="7198"/>
      <c r="B70" s="15"/>
      <c r="C70" s="47" t="s">
        <v>875</v>
      </c>
      <c r="D70" s="174">
        <v>48717.133352395627</v>
      </c>
      <c r="E70" s="175">
        <v>52664.256496923015</v>
      </c>
      <c r="F70" s="175">
        <v>47407.457766896594</v>
      </c>
      <c r="G70" s="175">
        <v>49564.832912807273</v>
      </c>
      <c r="H70" s="175">
        <v>43633.245508040316</v>
      </c>
      <c r="I70" s="175">
        <v>50661.675691942211</v>
      </c>
      <c r="J70" s="175">
        <v>51750.62604330523</v>
      </c>
      <c r="K70" s="175">
        <v>58365.775087181937</v>
      </c>
      <c r="L70" s="175">
        <v>54019.516852220178</v>
      </c>
      <c r="M70" s="175">
        <v>60594.132782283079</v>
      </c>
      <c r="N70" s="175">
        <v>50035.59003257232</v>
      </c>
      <c r="O70" s="175">
        <v>52799.824480453433</v>
      </c>
      <c r="P70" s="175">
        <v>52536.586244686208</v>
      </c>
      <c r="Q70" s="176">
        <v>52536.586244686208</v>
      </c>
      <c r="R70" s="183"/>
      <c r="S70" s="4680">
        <v>49823.106006234113</v>
      </c>
      <c r="T70" s="175">
        <v>56638.76492993463</v>
      </c>
      <c r="U70" s="175">
        <v>52858.877456250579</v>
      </c>
      <c r="V70" s="175">
        <v>50899.501308864383</v>
      </c>
      <c r="W70" s="175">
        <v>50772.118486075851</v>
      </c>
      <c r="X70" s="175">
        <v>50760.879726497464</v>
      </c>
      <c r="Y70" s="175">
        <v>51022.092981638256</v>
      </c>
      <c r="Z70" s="175">
        <v>56367.625332349671</v>
      </c>
      <c r="AA70" s="175">
        <v>45690.90322192273</v>
      </c>
      <c r="AB70" s="175">
        <v>54882.919881180969</v>
      </c>
      <c r="AC70" s="175">
        <v>48674.391312413034</v>
      </c>
      <c r="AD70" s="175">
        <v>45700.142494820095</v>
      </c>
      <c r="AE70" s="175">
        <v>52189.639162779291</v>
      </c>
      <c r="AF70" s="176">
        <v>52189.639162779291</v>
      </c>
      <c r="AG70" s="183"/>
      <c r="AH70" s="4680">
        <v>49778.114176241579</v>
      </c>
      <c r="AI70" s="175">
        <v>48082.189149581252</v>
      </c>
      <c r="AJ70" s="175">
        <v>44046.619100558994</v>
      </c>
      <c r="AK70" s="175">
        <v>46757.434522344724</v>
      </c>
      <c r="AL70" s="175">
        <v>46174.832477591204</v>
      </c>
      <c r="AM70" s="175">
        <v>45544.892050547511</v>
      </c>
      <c r="AN70" s="175">
        <v>50294.567562874159</v>
      </c>
      <c r="AO70" s="175">
        <v>48632.424231895209</v>
      </c>
      <c r="AP70" s="175">
        <v>53631.621902207335</v>
      </c>
      <c r="AQ70" s="175">
        <v>51597.911038241007</v>
      </c>
      <c r="AR70" s="175">
        <v>49442.150639152947</v>
      </c>
      <c r="AS70" s="175">
        <v>46853.293934922534</v>
      </c>
      <c r="AT70" s="175">
        <f t="shared" si="51"/>
        <v>48403.004232179868</v>
      </c>
      <c r="AU70" s="176">
        <f t="shared" si="53"/>
        <v>48403.004232179868</v>
      </c>
      <c r="AV70" s="183"/>
      <c r="AW70" s="493">
        <v>42397.211865989048</v>
      </c>
      <c r="AX70" s="175">
        <v>44956.946769228671</v>
      </c>
      <c r="AY70" s="175">
        <v>44565.967351892046</v>
      </c>
      <c r="AZ70" s="175">
        <v>44272.646028308955</v>
      </c>
      <c r="BA70" s="175">
        <v>41797.00053873111</v>
      </c>
      <c r="BB70" s="175">
        <v>42815.510791010049</v>
      </c>
      <c r="BC70" s="175">
        <v>46158.557923705368</v>
      </c>
      <c r="BD70" s="175">
        <v>47925.489318702843</v>
      </c>
      <c r="BE70" s="175">
        <v>55343.823319167321</v>
      </c>
      <c r="BF70" s="175">
        <v>50730.074827705226</v>
      </c>
      <c r="BG70" s="175">
        <v>49365.5166731891</v>
      </c>
      <c r="BH70" s="175">
        <v>47172.151636288996</v>
      </c>
      <c r="BI70" s="175">
        <f t="shared" si="54"/>
        <v>46458.40808699323</v>
      </c>
      <c r="BJ70" s="176">
        <f t="shared" si="13"/>
        <v>46458.40808699323</v>
      </c>
      <c r="BK70" s="183"/>
      <c r="BL70" s="493">
        <v>59488.754484042365</v>
      </c>
      <c r="BM70" s="175">
        <v>49541.917615158331</v>
      </c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>
        <f t="shared" si="52"/>
        <v>54515.336049600344</v>
      </c>
      <c r="BY70" s="176">
        <f t="shared" si="35"/>
        <v>54515.336049600344</v>
      </c>
      <c r="CA70" s="169">
        <f>ROW()</f>
        <v>70</v>
      </c>
      <c r="CB70" s="169">
        <f>IFERROR(_xlfn.XLOOKUP($A$1,$2:$2,70:70)-_xlfn.XLOOKUP(EDATE($A$1,-12),$2:$2,70:70),"")</f>
        <v>4584.9708459296598</v>
      </c>
      <c r="CC70" s="169">
        <f t="shared" si="50"/>
        <v>-1944.5961451866388</v>
      </c>
      <c r="CD70" s="169">
        <f>IFERROR(
  SUM(
    _xlfn.XLOOKUP(DATE(YEAR($A$1),1,1),$2:$2,70:70):
    _xlfn.XLOOKUP($A$1,$2:$2,70:70)
  )
 -SUM(
    _xlfn.XLOOKUP(DATE(YEAR($A$1)-1,1,1),$2:$2,70:70):
    _xlfn.XLOOKUP(EDATE($A$1,-12),$2:$2,70:70)
  ),"")</f>
        <v>21676.513463982963</v>
      </c>
      <c r="CE70" s="4517">
        <f>IFERROR(
  _xlfn.XLOOKUP($A$1,$B$2:$BY$2,$B70:$BY70)
 -_xlfn.XLOOKUP(EDATE($A$1,-1),$B$2:$BY$2,$B70:$BY70),"")</f>
        <v>-9946.8368688840346</v>
      </c>
    </row>
    <row r="71" spans="1:87" ht="17.399999999999999" customHeight="1" x14ac:dyDescent="0.55000000000000004">
      <c r="A71" s="7198"/>
      <c r="B71" s="96"/>
      <c r="C71" s="47" t="s">
        <v>408</v>
      </c>
      <c r="D71" s="174">
        <v>36400.466307695526</v>
      </c>
      <c r="E71" s="175">
        <v>43619.988392384475</v>
      </c>
      <c r="F71" s="175">
        <v>42656.327304022103</v>
      </c>
      <c r="G71" s="175">
        <v>41454.32557835077</v>
      </c>
      <c r="H71" s="175">
        <v>34915.031862625634</v>
      </c>
      <c r="I71" s="175">
        <v>37430.610762476572</v>
      </c>
      <c r="J71" s="175">
        <v>40130.910761680869</v>
      </c>
      <c r="K71" s="175">
        <v>43045.397212077813</v>
      </c>
      <c r="L71" s="175">
        <v>31230.88454905387</v>
      </c>
      <c r="M71" s="175">
        <v>34053.406852662876</v>
      </c>
      <c r="N71" s="175">
        <v>31599.792051487861</v>
      </c>
      <c r="O71" s="175">
        <v>32186.798839222476</v>
      </c>
      <c r="P71" s="175">
        <v>37282.585986093181</v>
      </c>
      <c r="Q71" s="176">
        <v>37282.585986093181</v>
      </c>
      <c r="R71" s="183"/>
      <c r="S71" s="4680">
        <v>30594.357634782609</v>
      </c>
      <c r="T71" s="175">
        <v>38144.568733620137</v>
      </c>
      <c r="U71" s="175">
        <v>40783.707871284874</v>
      </c>
      <c r="V71" s="175">
        <v>40158.35451146197</v>
      </c>
      <c r="W71" s="175">
        <v>41567.215397766566</v>
      </c>
      <c r="X71" s="175">
        <v>39684.33781234426</v>
      </c>
      <c r="Y71" s="175">
        <v>40755.814624018829</v>
      </c>
      <c r="Z71" s="175">
        <v>43644.094057278628</v>
      </c>
      <c r="AA71" s="175">
        <v>31069.713948354616</v>
      </c>
      <c r="AB71" s="175">
        <v>34940.156275779715</v>
      </c>
      <c r="AC71" s="175">
        <v>46828.204492661789</v>
      </c>
      <c r="AD71" s="175">
        <v>42016.019380572092</v>
      </c>
      <c r="AE71" s="175">
        <v>38285.580836967012</v>
      </c>
      <c r="AF71" s="176">
        <v>38285.580836967012</v>
      </c>
      <c r="AG71" s="183"/>
      <c r="AH71" s="4680">
        <v>43348.556016067741</v>
      </c>
      <c r="AI71" s="175">
        <v>31804.459955723403</v>
      </c>
      <c r="AJ71" s="175">
        <v>33965.910465686284</v>
      </c>
      <c r="AK71" s="175">
        <v>29115.913998225355</v>
      </c>
      <c r="AL71" s="175">
        <v>33759.993802102654</v>
      </c>
      <c r="AM71" s="175">
        <v>21154.013628858062</v>
      </c>
      <c r="AN71" s="175">
        <v>34193.931962858136</v>
      </c>
      <c r="AO71" s="175">
        <v>24520.691425995672</v>
      </c>
      <c r="AP71" s="175">
        <v>46746.197533882842</v>
      </c>
      <c r="AQ71" s="175">
        <v>23504.661101947244</v>
      </c>
      <c r="AR71" s="175">
        <v>29892.134616656098</v>
      </c>
      <c r="AS71" s="175">
        <v>27182.268647764438</v>
      </c>
      <c r="AT71" s="175">
        <f t="shared" si="51"/>
        <v>31599.061096313995</v>
      </c>
      <c r="AU71" s="176">
        <f t="shared" si="53"/>
        <v>31599.061096313995</v>
      </c>
      <c r="AV71" s="183"/>
      <c r="AW71" s="493">
        <v>29887.383549149909</v>
      </c>
      <c r="AX71" s="175">
        <v>44720.083948027037</v>
      </c>
      <c r="AY71" s="175">
        <v>30297.991646299492</v>
      </c>
      <c r="AZ71" s="175">
        <v>30209.415554479416</v>
      </c>
      <c r="BA71" s="175">
        <v>36457.082010420687</v>
      </c>
      <c r="BB71" s="175">
        <v>41353.788707668558</v>
      </c>
      <c r="BC71" s="175">
        <v>30543.227446296289</v>
      </c>
      <c r="BD71" s="175">
        <v>34539.809876215142</v>
      </c>
      <c r="BE71" s="175">
        <v>36104.497903368072</v>
      </c>
      <c r="BF71" s="175">
        <v>28310.074714529928</v>
      </c>
      <c r="BG71" s="175">
        <v>23898.496966440274</v>
      </c>
      <c r="BH71" s="175">
        <v>35216.417781589502</v>
      </c>
      <c r="BI71" s="175">
        <f t="shared" si="54"/>
        <v>33461.522508707021</v>
      </c>
      <c r="BJ71" s="176">
        <f t="shared" si="13"/>
        <v>33461.522508707021</v>
      </c>
      <c r="BK71" s="183"/>
      <c r="BL71" s="493">
        <v>50359.987680193968</v>
      </c>
      <c r="BM71" s="175">
        <v>31331.931854017101</v>
      </c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>
        <f t="shared" si="52"/>
        <v>40845.959767105538</v>
      </c>
      <c r="BY71" s="176">
        <f t="shared" si="35"/>
        <v>40845.959767105538</v>
      </c>
      <c r="CA71" s="169">
        <f>ROW()</f>
        <v>71</v>
      </c>
      <c r="CB71" s="169">
        <f>IFERROR(_xlfn.XLOOKUP($A$1,$2:$2,71:71)-_xlfn.XLOOKUP(EDATE($A$1,-12),$2:$2,71:71),"")</f>
        <v>-13388.152094009936</v>
      </c>
      <c r="CC71" s="169">
        <f t="shared" si="50"/>
        <v>1862.461412393026</v>
      </c>
      <c r="CD71" s="169">
        <f>IFERROR(
  SUM(
    _xlfn.XLOOKUP(DATE(YEAR($A$1),1,1),$2:$2,71:71):
    _xlfn.XLOOKUP($A$1,$2:$2,71:71)
  )
 -SUM(
    _xlfn.XLOOKUP(DATE(YEAR($A$1)-1,1,1),$2:$2,71:71):
    _xlfn.XLOOKUP(EDATE($A$1,-12),$2:$2,71:71)
  ),"")</f>
        <v>7084.4520370341343</v>
      </c>
      <c r="CE71" s="4517">
        <f>IFERROR(
  _xlfn.XLOOKUP($A$1,$B$2:$BY$2,$B71:$BY71)
 -_xlfn.XLOOKUP(EDATE($A$1,-1),$B$2:$BY$2,$B71:$BY71),"")</f>
        <v>-19028.055826176867</v>
      </c>
    </row>
    <row r="72" spans="1:87" ht="17.399999999999999" customHeight="1" thickBot="1" x14ac:dyDescent="0.6">
      <c r="A72" s="7199"/>
      <c r="B72" s="97"/>
      <c r="C72" s="81" t="s">
        <v>409</v>
      </c>
      <c r="D72" s="177">
        <v>64296.936521739313</v>
      </c>
      <c r="E72" s="178">
        <v>66945.957931034325</v>
      </c>
      <c r="F72" s="178">
        <v>66971.391551459252</v>
      </c>
      <c r="G72" s="178">
        <v>66925.575733333317</v>
      </c>
      <c r="H72" s="178">
        <v>64492.667667356778</v>
      </c>
      <c r="I72" s="178">
        <v>64408.298130511452</v>
      </c>
      <c r="J72" s="178">
        <v>62882.591878009625</v>
      </c>
      <c r="K72" s="178">
        <v>67673.686115970282</v>
      </c>
      <c r="L72" s="178">
        <v>64049.659634766511</v>
      </c>
      <c r="M72" s="178">
        <v>64892.250643402382</v>
      </c>
      <c r="N72" s="178">
        <v>66920.997009602026</v>
      </c>
      <c r="O72" s="178">
        <v>68880.624493797688</v>
      </c>
      <c r="P72" s="178">
        <v>65920.718887158437</v>
      </c>
      <c r="Q72" s="179">
        <v>65920.718887158437</v>
      </c>
      <c r="R72" s="183"/>
      <c r="S72" s="4681">
        <v>69471.726470374342</v>
      </c>
      <c r="T72" s="178">
        <v>68912.850707483041</v>
      </c>
      <c r="U72" s="178">
        <v>67191.294699792954</v>
      </c>
      <c r="V72" s="178">
        <v>73793.799473389401</v>
      </c>
      <c r="W72" s="178">
        <v>75164.708040593279</v>
      </c>
      <c r="X72" s="178">
        <v>57400.561386800291</v>
      </c>
      <c r="Y72" s="178">
        <v>64470.113707052406</v>
      </c>
      <c r="Z72" s="178">
        <v>67498.38995184598</v>
      </c>
      <c r="AA72" s="178">
        <v>70291.333614718707</v>
      </c>
      <c r="AB72" s="178">
        <v>69451.521294810052</v>
      </c>
      <c r="AC72" s="178">
        <v>68962.198116639964</v>
      </c>
      <c r="AD72" s="178">
        <v>67009.670095238034</v>
      </c>
      <c r="AE72" s="178">
        <v>67891.873998088297</v>
      </c>
      <c r="AF72" s="179">
        <v>67891.873998088297</v>
      </c>
      <c r="AG72" s="183"/>
      <c r="AH72" s="4681" t="s">
        <v>461</v>
      </c>
      <c r="AI72" s="178" t="s">
        <v>461</v>
      </c>
      <c r="AJ72" s="178" t="s">
        <v>461</v>
      </c>
      <c r="AK72" s="178">
        <v>0</v>
      </c>
      <c r="AL72" s="178">
        <v>0</v>
      </c>
      <c r="AM72" s="178" t="s">
        <v>461</v>
      </c>
      <c r="AN72" s="178">
        <v>0</v>
      </c>
      <c r="AO72" s="178">
        <v>0</v>
      </c>
      <c r="AP72" s="178">
        <v>0</v>
      </c>
      <c r="AQ72" s="178">
        <v>0</v>
      </c>
      <c r="AR72" s="178">
        <v>0</v>
      </c>
      <c r="AS72" s="178">
        <v>0</v>
      </c>
      <c r="AT72" s="178">
        <v>0</v>
      </c>
      <c r="AU72" s="179">
        <f t="shared" si="53"/>
        <v>0</v>
      </c>
      <c r="AV72" s="183"/>
      <c r="AW72" s="494">
        <v>0</v>
      </c>
      <c r="AX72" s="178">
        <v>0</v>
      </c>
      <c r="AY72" s="178">
        <v>0</v>
      </c>
      <c r="AZ72" s="178">
        <v>0</v>
      </c>
      <c r="BA72" s="178">
        <v>0</v>
      </c>
      <c r="BB72" s="178">
        <v>0</v>
      </c>
      <c r="BC72" s="178">
        <v>0</v>
      </c>
      <c r="BD72" s="178">
        <v>0</v>
      </c>
      <c r="BE72" s="178">
        <v>0</v>
      </c>
      <c r="BF72" s="178"/>
      <c r="BG72" s="178">
        <v>0</v>
      </c>
      <c r="BH72" s="178">
        <v>0</v>
      </c>
      <c r="BI72" s="178">
        <f t="shared" si="54"/>
        <v>0</v>
      </c>
      <c r="BJ72" s="179"/>
      <c r="BK72" s="183"/>
      <c r="BL72" s="494">
        <v>0</v>
      </c>
      <c r="BM72" s="178">
        <v>0</v>
      </c>
      <c r="BN72" s="178"/>
      <c r="BO72" s="178"/>
      <c r="BP72" s="178"/>
      <c r="BQ72" s="178"/>
      <c r="BR72" s="178"/>
      <c r="BS72" s="178"/>
      <c r="BT72" s="178"/>
      <c r="BU72" s="178"/>
      <c r="BV72" s="178"/>
      <c r="BW72" s="178"/>
      <c r="BX72" s="178">
        <f t="shared" si="52"/>
        <v>0</v>
      </c>
      <c r="BY72" s="179"/>
      <c r="CA72" s="169">
        <f>ROW()</f>
        <v>72</v>
      </c>
      <c r="CB72" s="169">
        <f>IFERROR(_xlfn.XLOOKUP($A$1,$2:$2,72:72)-_xlfn.XLOOKUP(EDATE($A$1,-12),$2:$2,72:72),"")</f>
        <v>0</v>
      </c>
      <c r="CC72" s="169">
        <f t="shared" si="50"/>
        <v>0</v>
      </c>
      <c r="CD72" s="169">
        <f>IFERROR(
  SUM(
    _xlfn.XLOOKUP(DATE(YEAR($A$1),1,1),$2:$2,72:72):
    _xlfn.XLOOKUP($A$1,$2:$2,72:72)
  )
 -SUM(
    _xlfn.XLOOKUP(DATE(YEAR($A$1)-1,1,1),$2:$2,72:72):
    _xlfn.XLOOKUP(EDATE($A$1,-12),$2:$2,72:72)
  ),"")</f>
        <v>0</v>
      </c>
      <c r="CE72" s="4517">
        <f>IFERROR(
  _xlfn.XLOOKUP($A$1,$B$2:$BY$2,$B72:$BY72)
 -_xlfn.XLOOKUP(EDATE($A$1,-1),$B$2:$BY$2,$B72:$BY72),"")</f>
        <v>0</v>
      </c>
    </row>
    <row r="73" spans="1:87" s="1" customFormat="1" ht="6" customHeight="1" thickBot="1" x14ac:dyDescent="0.6">
      <c r="B73" s="20"/>
      <c r="C73" s="13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7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7"/>
      <c r="AH73" s="54"/>
      <c r="AI73" s="54"/>
      <c r="AJ73" s="54"/>
      <c r="AK73" s="54"/>
      <c r="AL73" s="54"/>
      <c r="AM73" s="54"/>
      <c r="AN73" s="54"/>
      <c r="AO73" s="54"/>
      <c r="AP73" s="54"/>
      <c r="AQ73" s="396"/>
      <c r="AR73" s="54"/>
      <c r="AS73" s="54"/>
      <c r="AT73" s="54"/>
      <c r="AU73" s="54"/>
      <c r="AV73" s="469"/>
      <c r="AW73" s="475"/>
      <c r="AX73" s="54"/>
      <c r="AY73" s="396"/>
      <c r="AZ73" s="54"/>
      <c r="BA73" s="396"/>
      <c r="BB73" s="396"/>
      <c r="BC73" s="54"/>
      <c r="BD73" s="54"/>
      <c r="BE73" s="54"/>
      <c r="BF73" s="396"/>
      <c r="BG73" s="54"/>
      <c r="BH73" s="54"/>
      <c r="BI73" s="54"/>
      <c r="BJ73" s="54"/>
      <c r="BK73" s="4392"/>
      <c r="BL73" s="475"/>
      <c r="BM73" s="396"/>
      <c r="BN73" s="396"/>
      <c r="BO73" s="54"/>
      <c r="BP73" s="396"/>
      <c r="BQ73" s="396"/>
      <c r="BR73" s="54"/>
      <c r="BS73" s="54"/>
      <c r="BT73" s="54"/>
      <c r="BU73" s="396"/>
      <c r="BV73" s="54"/>
      <c r="BW73" s="54"/>
      <c r="BX73" s="54"/>
      <c r="BY73" s="54"/>
      <c r="CA73" s="169">
        <f>ROW()</f>
        <v>73</v>
      </c>
      <c r="CB73" s="169">
        <f>IFERROR(_xlfn.XLOOKUP($A$1,$2:$2,73:73)-_xlfn.XLOOKUP(EDATE($A$1,-12),$2:$2,73:73),"")</f>
        <v>0</v>
      </c>
      <c r="CC73" s="169">
        <f t="shared" si="50"/>
        <v>0</v>
      </c>
      <c r="CD73" s="169">
        <f>IFERROR(
  SUM(
    _xlfn.XLOOKUP(DATE(YEAR($A$1),1,1),$2:$2,73:73):
    _xlfn.XLOOKUP($A$1,$2:$2,73:73)
  )
 -SUM(
    _xlfn.XLOOKUP(DATE(YEAR($A$1)-1,1,1),$2:$2,73:73):
    _xlfn.XLOOKUP(EDATE($A$1,-12),$2:$2,73:73)
  ),"")</f>
        <v>0</v>
      </c>
      <c r="CE73" s="4517">
        <f>IFERROR(
  _xlfn.XLOOKUP($A$1,$B$2:$BY$2,$B73:$BY73)
 -_xlfn.XLOOKUP(EDATE($A$1,-1),$B$2:$BY$2,$B73:$BY73),"")</f>
        <v>0</v>
      </c>
      <c r="CF73"/>
      <c r="CG73"/>
      <c r="CH73"/>
      <c r="CI73"/>
    </row>
    <row r="74" spans="1:87" ht="17.399999999999999" customHeight="1" x14ac:dyDescent="0.55000000000000004">
      <c r="A74" s="7197" t="s">
        <v>1130</v>
      </c>
      <c r="B74" s="14" t="s">
        <v>415</v>
      </c>
      <c r="C74" s="71"/>
      <c r="D74" s="122">
        <v>54546.979625170134</v>
      </c>
      <c r="E74" s="123">
        <v>58670.79353381064</v>
      </c>
      <c r="F74" s="123">
        <v>53521.485396905606</v>
      </c>
      <c r="G74" s="123">
        <v>55528.703110552546</v>
      </c>
      <c r="H74" s="123">
        <v>55086.456050428271</v>
      </c>
      <c r="I74" s="123">
        <v>58215.442361273279</v>
      </c>
      <c r="J74" s="123">
        <v>57211.01877834271</v>
      </c>
      <c r="K74" s="123">
        <v>64831.791251934941</v>
      </c>
      <c r="L74" s="123">
        <v>56404.67820010701</v>
      </c>
      <c r="M74" s="123">
        <v>63414.163024136375</v>
      </c>
      <c r="N74" s="123">
        <v>57422.625551225814</v>
      </c>
      <c r="O74" s="123">
        <v>59322.386476955326</v>
      </c>
      <c r="P74" s="123"/>
      <c r="Q74" s="124"/>
      <c r="R74" s="183"/>
      <c r="S74" s="122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4"/>
      <c r="AG74" s="183"/>
      <c r="AH74" s="122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4"/>
      <c r="AV74" s="183"/>
      <c r="AW74" s="476"/>
      <c r="AX74" s="123"/>
      <c r="AY74" s="123"/>
      <c r="AZ74" s="123"/>
      <c r="BA74" s="123">
        <v>59377.341108805478</v>
      </c>
      <c r="BB74" s="123">
        <v>58065.527459411904</v>
      </c>
      <c r="BC74" s="123">
        <v>55043.836797929922</v>
      </c>
      <c r="BD74" s="123">
        <v>56541.49739933775</v>
      </c>
      <c r="BE74" s="123">
        <v>56710.196930751779</v>
      </c>
      <c r="BF74" s="123">
        <v>57241.060167179603</v>
      </c>
      <c r="BG74" s="123">
        <v>57759.459238184172</v>
      </c>
      <c r="BH74" s="123">
        <v>62520.776627580883</v>
      </c>
      <c r="BI74" s="123">
        <f>BJ74</f>
        <v>57907.461966147683</v>
      </c>
      <c r="BJ74" s="124">
        <f t="shared" si="13"/>
        <v>57907.461966147683</v>
      </c>
      <c r="BK74" s="183"/>
      <c r="BL74" s="476">
        <v>62260.520456522914</v>
      </c>
      <c r="BM74" s="123">
        <v>57563.967622760822</v>
      </c>
      <c r="BN74" s="123"/>
      <c r="BO74" s="123"/>
      <c r="BP74" s="123"/>
      <c r="BQ74" s="123"/>
      <c r="BR74" s="123"/>
      <c r="BS74" s="123"/>
      <c r="BT74" s="123"/>
      <c r="BU74" s="123"/>
      <c r="BV74" s="123"/>
      <c r="BW74" s="123"/>
      <c r="BX74" s="123">
        <f t="shared" si="52"/>
        <v>59912.244039641868</v>
      </c>
      <c r="BY74" s="124">
        <f t="shared" si="35"/>
        <v>59912.244039641868</v>
      </c>
      <c r="CA74" s="169">
        <f>ROW()</f>
        <v>74</v>
      </c>
      <c r="CB74" s="169">
        <f>IFERROR(_xlfn.XLOOKUP($A$1,$2:$2,74:74)-_xlfn.XLOOKUP(EDATE($A$1,-12),$2:$2,74:74),"")</f>
        <v>57563.967622760822</v>
      </c>
      <c r="CC74" s="169">
        <f t="shared" ref="CC74:CC81" si="58">BJ74-AU74</f>
        <v>57907.461966147683</v>
      </c>
      <c r="CD74" s="169">
        <f>IFERROR(
  SUM(
    _xlfn.XLOOKUP(DATE(YEAR($A$1),1,1),$2:$2,74:74):
    _xlfn.XLOOKUP($A$1,$2:$2,74:74)
  )
 -SUM(
    _xlfn.XLOOKUP(DATE(YEAR($A$1)-1,1,1),$2:$2,74:74):
    _xlfn.XLOOKUP(EDATE($A$1,-12),$2:$2,74:74)
  ),"")</f>
        <v>119824.48807928374</v>
      </c>
      <c r="CE74" s="4517">
        <f>IFERROR(
  _xlfn.XLOOKUP($A$1,$B$2:$BY$2,$B74:$BY74)
 -_xlfn.XLOOKUP(EDATE($A$1,-1),$B$2:$BY$2,$B74:$BY74),"")</f>
        <v>-4696.5528337620926</v>
      </c>
    </row>
    <row r="75" spans="1:87" ht="17.399999999999999" customHeight="1" x14ac:dyDescent="0.55000000000000004">
      <c r="A75" s="7198"/>
      <c r="B75" s="15"/>
      <c r="C75" s="47" t="s">
        <v>405</v>
      </c>
      <c r="D75" s="174">
        <v>64533.894444979051</v>
      </c>
      <c r="E75" s="175">
        <v>66358.218348792623</v>
      </c>
      <c r="F75" s="175">
        <v>61067.878810534567</v>
      </c>
      <c r="G75" s="175">
        <v>62644.294912999736</v>
      </c>
      <c r="H75" s="175">
        <v>64092.12737104109</v>
      </c>
      <c r="I75" s="175">
        <v>67383.47098733719</v>
      </c>
      <c r="J75" s="175">
        <v>63401.428189826278</v>
      </c>
      <c r="K75" s="175">
        <v>73090.312324781728</v>
      </c>
      <c r="L75" s="175">
        <v>65642.066736424254</v>
      </c>
      <c r="M75" s="175">
        <v>72704.693750216407</v>
      </c>
      <c r="N75" s="175">
        <v>66770.675196569893</v>
      </c>
      <c r="O75" s="175">
        <v>66335.1947922338</v>
      </c>
      <c r="P75" s="175"/>
      <c r="Q75" s="176"/>
      <c r="R75" s="183"/>
      <c r="S75" s="174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6"/>
      <c r="AG75" s="183"/>
      <c r="AH75" s="174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6"/>
      <c r="AV75" s="183"/>
      <c r="AW75" s="493"/>
      <c r="AX75" s="175"/>
      <c r="AY75" s="175"/>
      <c r="AZ75" s="175"/>
      <c r="BA75" s="175">
        <v>60005.147374859691</v>
      </c>
      <c r="BB75" s="175">
        <v>58380.605209210466</v>
      </c>
      <c r="BC75" s="175">
        <v>53224.282065590742</v>
      </c>
      <c r="BD75" s="175">
        <v>59197.066140034985</v>
      </c>
      <c r="BE75" s="175">
        <v>58415.619704747311</v>
      </c>
      <c r="BF75" s="175">
        <v>59142.672914680807</v>
      </c>
      <c r="BG75" s="175">
        <v>59325.957358314568</v>
      </c>
      <c r="BH75" s="175">
        <v>57914.158434969904</v>
      </c>
      <c r="BI75" s="175">
        <f t="shared" ref="BI75:BI78" si="59">BJ75</f>
        <v>58200.688650301054</v>
      </c>
      <c r="BJ75" s="176">
        <f t="shared" si="13"/>
        <v>58200.688650301054</v>
      </c>
      <c r="BK75" s="183"/>
      <c r="BL75" s="493">
        <v>57615.005842243496</v>
      </c>
      <c r="BM75" s="175">
        <v>54367.472978989346</v>
      </c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>
        <f t="shared" si="52"/>
        <v>55991.239410616421</v>
      </c>
      <c r="BY75" s="176">
        <f t="shared" si="35"/>
        <v>55991.239410616421</v>
      </c>
      <c r="CA75" s="169">
        <f>ROW()</f>
        <v>75</v>
      </c>
      <c r="CB75" s="169">
        <f>IFERROR(_xlfn.XLOOKUP($A$1,$2:$2,75:75)-_xlfn.XLOOKUP(EDATE($A$1,-12),$2:$2,75:75),"")</f>
        <v>54367.472978989346</v>
      </c>
      <c r="CC75" s="169">
        <f t="shared" si="58"/>
        <v>58200.688650301054</v>
      </c>
      <c r="CD75" s="169">
        <f>IFERROR(
  SUM(
    _xlfn.XLOOKUP(DATE(YEAR($A$1),1,1),$2:$2,75:75):
    _xlfn.XLOOKUP($A$1,$2:$2,75:75)
  )
 -SUM(
    _xlfn.XLOOKUP(DATE(YEAR($A$1)-1,1,1),$2:$2,75:75):
    _xlfn.XLOOKUP(EDATE($A$1,-12),$2:$2,75:75)
  ),"")</f>
        <v>111982.47882123284</v>
      </c>
      <c r="CE75" s="4517">
        <f>IFERROR(
  _xlfn.XLOOKUP($A$1,$B$2:$BY$2,$B75:$BY75)
 -_xlfn.XLOOKUP(EDATE($A$1,-1),$B$2:$BY$2,$B75:$BY75),"")</f>
        <v>-3247.5328632541496</v>
      </c>
    </row>
    <row r="76" spans="1:87" ht="17.399999999999999" customHeight="1" x14ac:dyDescent="0.55000000000000004">
      <c r="A76" s="7198"/>
      <c r="B76" s="96"/>
      <c r="C76" s="47" t="s">
        <v>1016</v>
      </c>
      <c r="D76" s="174">
        <v>53985.166017693016</v>
      </c>
      <c r="E76" s="175">
        <v>55706.29219179209</v>
      </c>
      <c r="F76" s="175">
        <v>49607.755138141009</v>
      </c>
      <c r="G76" s="175">
        <v>52014.790172446046</v>
      </c>
      <c r="H76" s="175">
        <v>52209.737585809715</v>
      </c>
      <c r="I76" s="175">
        <v>53052.246501470472</v>
      </c>
      <c r="J76" s="175">
        <v>49539.217096164582</v>
      </c>
      <c r="K76" s="175">
        <v>65342.606009565367</v>
      </c>
      <c r="L76" s="175">
        <v>43733.307843285453</v>
      </c>
      <c r="M76" s="175">
        <v>59982.348473477985</v>
      </c>
      <c r="N76" s="175">
        <v>55591.817484518462</v>
      </c>
      <c r="O76" s="175">
        <v>54904.180558938308</v>
      </c>
      <c r="P76" s="175"/>
      <c r="Q76" s="176"/>
      <c r="R76" s="183"/>
      <c r="S76" s="174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6"/>
      <c r="AG76" s="183"/>
      <c r="AH76" s="174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6"/>
      <c r="AV76" s="183"/>
      <c r="AW76" s="493"/>
      <c r="AX76" s="175"/>
      <c r="AY76" s="175"/>
      <c r="AZ76" s="175"/>
      <c r="BA76" s="175">
        <v>48089.844121593298</v>
      </c>
      <c r="BB76" s="175">
        <v>46705.977008695671</v>
      </c>
      <c r="BC76" s="175">
        <v>40076.814040540536</v>
      </c>
      <c r="BD76" s="175">
        <v>47476.689692589207</v>
      </c>
      <c r="BE76" s="175">
        <v>47375.719409863952</v>
      </c>
      <c r="BF76" s="175">
        <v>47797.843414755363</v>
      </c>
      <c r="BG76" s="175">
        <v>48710.335506859483</v>
      </c>
      <c r="BH76" s="175">
        <v>47221.845674558586</v>
      </c>
      <c r="BI76" s="175">
        <f t="shared" si="59"/>
        <v>46681.883608682016</v>
      </c>
      <c r="BJ76" s="176">
        <f t="shared" ref="BJ76:BJ134" si="60">AVERAGE(AW76:BH76)</f>
        <v>46681.883608682016</v>
      </c>
      <c r="BK76" s="183"/>
      <c r="BL76" s="493">
        <v>47602.787753526973</v>
      </c>
      <c r="BM76" s="175">
        <v>46256.62028087167</v>
      </c>
      <c r="BN76" s="175"/>
      <c r="BO76" s="175"/>
      <c r="BP76" s="175"/>
      <c r="BQ76" s="175"/>
      <c r="BR76" s="175"/>
      <c r="BS76" s="175"/>
      <c r="BT76" s="175"/>
      <c r="BU76" s="175"/>
      <c r="BV76" s="175"/>
      <c r="BW76" s="175"/>
      <c r="BX76" s="175">
        <f t="shared" si="52"/>
        <v>46929.704017199321</v>
      </c>
      <c r="BY76" s="176">
        <f t="shared" si="35"/>
        <v>46929.704017199321</v>
      </c>
      <c r="CA76" s="169">
        <f>ROW()</f>
        <v>76</v>
      </c>
      <c r="CB76" s="169">
        <f>IFERROR(_xlfn.XLOOKUP($A$1,$2:$2,76:76)-_xlfn.XLOOKUP(EDATE($A$1,-12),$2:$2,76:76),"")</f>
        <v>46256.62028087167</v>
      </c>
      <c r="CC76" s="169">
        <f t="shared" si="58"/>
        <v>46681.883608682016</v>
      </c>
      <c r="CD76" s="169">
        <f>IFERROR(
  SUM(
    _xlfn.XLOOKUP(DATE(YEAR($A$1),1,1),$2:$2,76:76):
    _xlfn.XLOOKUP($A$1,$2:$2,76:76)
  )
 -SUM(
    _xlfn.XLOOKUP(DATE(YEAR($A$1)-1,1,1),$2:$2,76:76):
    _xlfn.XLOOKUP(EDATE($A$1,-12),$2:$2,76:76)
  ),"")</f>
        <v>93859.408034398642</v>
      </c>
      <c r="CE76" s="4517">
        <f>IFERROR(
  _xlfn.XLOOKUP($A$1,$B$2:$BY$2,$B76:$BY76)
 -_xlfn.XLOOKUP(EDATE($A$1,-1),$B$2:$BY$2,$B76:$BY76),"")</f>
        <v>-1346.1674726553028</v>
      </c>
    </row>
    <row r="77" spans="1:87" ht="17.399999999999999" customHeight="1" x14ac:dyDescent="0.55000000000000004">
      <c r="A77" s="7198"/>
      <c r="B77" s="15"/>
      <c r="C77" s="47" t="s">
        <v>407</v>
      </c>
      <c r="D77" s="174">
        <v>52436.355212209215</v>
      </c>
      <c r="E77" s="175">
        <v>58999.611336719434</v>
      </c>
      <c r="F77" s="175">
        <v>53159.503107779172</v>
      </c>
      <c r="G77" s="175">
        <v>55166.112810142818</v>
      </c>
      <c r="H77" s="175">
        <v>56863.486656016466</v>
      </c>
      <c r="I77" s="175">
        <v>57689.18613506409</v>
      </c>
      <c r="J77" s="175">
        <v>58399.89183527042</v>
      </c>
      <c r="K77" s="175">
        <v>64282.068942409918</v>
      </c>
      <c r="L77" s="175">
        <v>61070.354866012254</v>
      </c>
      <c r="M77" s="175">
        <v>64303.724276701854</v>
      </c>
      <c r="N77" s="175">
        <v>58115.279281570583</v>
      </c>
      <c r="O77" s="175">
        <v>60457.681891274697</v>
      </c>
      <c r="P77" s="175"/>
      <c r="Q77" s="176"/>
      <c r="R77" s="183"/>
      <c r="S77" s="174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6"/>
      <c r="AG77" s="183"/>
      <c r="AH77" s="174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6"/>
      <c r="AV77" s="183"/>
      <c r="AW77" s="493"/>
      <c r="AX77" s="175"/>
      <c r="AY77" s="175"/>
      <c r="AZ77" s="175"/>
      <c r="BA77" s="175">
        <v>68871.077795097866</v>
      </c>
      <c r="BB77" s="175">
        <v>66653.97732862948</v>
      </c>
      <c r="BC77" s="175">
        <v>61458.373407016814</v>
      </c>
      <c r="BD77" s="175">
        <v>64705.321101613459</v>
      </c>
      <c r="BE77" s="175">
        <v>65039.173472683477</v>
      </c>
      <c r="BF77" s="175">
        <v>64879.445470831561</v>
      </c>
      <c r="BG77" s="175">
        <v>65978.148823257317</v>
      </c>
      <c r="BH77" s="175">
        <v>66189.562186038936</v>
      </c>
      <c r="BI77" s="175">
        <f t="shared" si="59"/>
        <v>65471.884948146107</v>
      </c>
      <c r="BJ77" s="176">
        <f t="shared" si="60"/>
        <v>65471.884948146107</v>
      </c>
      <c r="BK77" s="183"/>
      <c r="BL77" s="493">
        <v>65793.843441639925</v>
      </c>
      <c r="BM77" s="175">
        <v>59491.047242761371</v>
      </c>
      <c r="BN77" s="175"/>
      <c r="BO77" s="175"/>
      <c r="BP77" s="175"/>
      <c r="BQ77" s="175"/>
      <c r="BR77" s="175"/>
      <c r="BS77" s="175"/>
      <c r="BT77" s="175"/>
      <c r="BU77" s="175"/>
      <c r="BV77" s="175"/>
      <c r="BW77" s="175"/>
      <c r="BX77" s="175">
        <f t="shared" si="52"/>
        <v>62642.445342200648</v>
      </c>
      <c r="BY77" s="176">
        <f t="shared" si="35"/>
        <v>62642.445342200648</v>
      </c>
      <c r="CA77" s="169">
        <f>ROW()</f>
        <v>77</v>
      </c>
      <c r="CB77" s="169">
        <f>IFERROR(_xlfn.XLOOKUP($A$1,$2:$2,77:77)-_xlfn.XLOOKUP(EDATE($A$1,-12),$2:$2,77:77),"")</f>
        <v>59491.047242761371</v>
      </c>
      <c r="CC77" s="169">
        <f t="shared" si="58"/>
        <v>65471.884948146107</v>
      </c>
      <c r="CD77" s="169">
        <f>IFERROR(
  SUM(
    _xlfn.XLOOKUP(DATE(YEAR($A$1),1,1),$2:$2,77:77):
    _xlfn.XLOOKUP($A$1,$2:$2,77:77)
  )
 -SUM(
    _xlfn.XLOOKUP(DATE(YEAR($A$1)-1,1,1),$2:$2,77:77):
    _xlfn.XLOOKUP(EDATE($A$1,-12),$2:$2,77:77)
  ),"")</f>
        <v>125284.8906844013</v>
      </c>
      <c r="CE77" s="4517">
        <f>IFERROR(
  _xlfn.XLOOKUP($A$1,$B$2:$BY$2,$B77:$BY77)
 -_xlfn.XLOOKUP(EDATE($A$1,-1),$B$2:$BY$2,$B77:$BY77),"")</f>
        <v>-6302.7961988785537</v>
      </c>
    </row>
    <row r="78" spans="1:87" ht="17.399999999999999" customHeight="1" x14ac:dyDescent="0.55000000000000004">
      <c r="A78" s="7198"/>
      <c r="B78" s="15"/>
      <c r="C78" s="47" t="s">
        <v>875</v>
      </c>
      <c r="D78" s="174">
        <v>48717.133352395627</v>
      </c>
      <c r="E78" s="175">
        <v>52664.256496923015</v>
      </c>
      <c r="F78" s="175">
        <v>47407.457766896594</v>
      </c>
      <c r="G78" s="175">
        <v>49564.832912807273</v>
      </c>
      <c r="H78" s="175">
        <v>43633.245508040316</v>
      </c>
      <c r="I78" s="175">
        <v>50661.675691942211</v>
      </c>
      <c r="J78" s="175">
        <v>51750.62604330523</v>
      </c>
      <c r="K78" s="175">
        <v>58365.775087181937</v>
      </c>
      <c r="L78" s="175">
        <v>54019.516852220178</v>
      </c>
      <c r="M78" s="175">
        <v>60594.132782283079</v>
      </c>
      <c r="N78" s="175">
        <v>50035.59003257232</v>
      </c>
      <c r="O78" s="175">
        <v>52799.824480453433</v>
      </c>
      <c r="P78" s="175"/>
      <c r="Q78" s="176"/>
      <c r="R78" s="183"/>
      <c r="S78" s="174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6"/>
      <c r="AG78" s="183"/>
      <c r="AH78" s="174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6"/>
      <c r="AV78" s="183"/>
      <c r="AW78" s="493"/>
      <c r="AX78" s="175"/>
      <c r="AY78" s="175"/>
      <c r="AZ78" s="175"/>
      <c r="BA78" s="175">
        <v>44327.920031069298</v>
      </c>
      <c r="BB78" s="175">
        <v>44310.632893106987</v>
      </c>
      <c r="BC78" s="175">
        <v>43294.755026469327</v>
      </c>
      <c r="BD78" s="175">
        <v>44922.838132835765</v>
      </c>
      <c r="BE78" s="175">
        <v>45487.467479966144</v>
      </c>
      <c r="BF78" s="175">
        <v>47134.692012439002</v>
      </c>
      <c r="BG78" s="175">
        <v>47805.459406573966</v>
      </c>
      <c r="BH78" s="175">
        <v>48000.893162396358</v>
      </c>
      <c r="BI78" s="175">
        <f t="shared" si="59"/>
        <v>45660.5822681071</v>
      </c>
      <c r="BJ78" s="176">
        <f t="shared" si="60"/>
        <v>45660.5822681071</v>
      </c>
      <c r="BK78" s="183"/>
      <c r="BL78" s="493">
        <v>48239.738976230154</v>
      </c>
      <c r="BM78" s="175">
        <v>45279.321455741287</v>
      </c>
      <c r="BN78" s="175"/>
      <c r="BO78" s="175"/>
      <c r="BP78" s="175"/>
      <c r="BQ78" s="175"/>
      <c r="BR78" s="175"/>
      <c r="BS78" s="175"/>
      <c r="BT78" s="175"/>
      <c r="BU78" s="175"/>
      <c r="BV78" s="175"/>
      <c r="BW78" s="175"/>
      <c r="BX78" s="175">
        <f t="shared" si="52"/>
        <v>46759.530215985724</v>
      </c>
      <c r="BY78" s="176">
        <f t="shared" si="35"/>
        <v>46759.530215985724</v>
      </c>
      <c r="CA78" s="169">
        <f>ROW()</f>
        <v>78</v>
      </c>
      <c r="CB78" s="169">
        <f>IFERROR(_xlfn.XLOOKUP($A$1,$2:$2,78:78)-_xlfn.XLOOKUP(EDATE($A$1,-12),$2:$2,78:78),"")</f>
        <v>45279.321455741287</v>
      </c>
      <c r="CC78" s="169">
        <f t="shared" si="58"/>
        <v>45660.5822681071</v>
      </c>
      <c r="CD78" s="169">
        <f>IFERROR(
  SUM(
    _xlfn.XLOOKUP(DATE(YEAR($A$1),1,1),$2:$2,78:78):
    _xlfn.XLOOKUP($A$1,$2:$2,78:78)
  )
 -SUM(
    _xlfn.XLOOKUP(DATE(YEAR($A$1)-1,1,1),$2:$2,78:78):
    _xlfn.XLOOKUP(EDATE($A$1,-12),$2:$2,78:78)
  ),"")</f>
        <v>93519.060431971448</v>
      </c>
      <c r="CE78" s="4517">
        <f>IFERROR(
  _xlfn.XLOOKUP($A$1,$B$2:$BY$2,$B78:$BY78)
 -_xlfn.XLOOKUP(EDATE($A$1,-1),$B$2:$BY$2,$B78:$BY78),"")</f>
        <v>-2960.417520488867</v>
      </c>
    </row>
    <row r="79" spans="1:87" ht="17.399999999999999" customHeight="1" x14ac:dyDescent="0.55000000000000004">
      <c r="A79" s="7198"/>
      <c r="B79" s="96"/>
      <c r="C79" s="47" t="s">
        <v>408</v>
      </c>
      <c r="D79" s="174">
        <v>36400.466307695526</v>
      </c>
      <c r="E79" s="175">
        <v>43619.988392384475</v>
      </c>
      <c r="F79" s="175">
        <v>42656.327304022103</v>
      </c>
      <c r="G79" s="175">
        <v>41454.32557835077</v>
      </c>
      <c r="H79" s="175">
        <v>34915.031862625634</v>
      </c>
      <c r="I79" s="175">
        <v>37430.610762476572</v>
      </c>
      <c r="J79" s="175">
        <v>40130.910761680869</v>
      </c>
      <c r="K79" s="175">
        <v>43045.397212077813</v>
      </c>
      <c r="L79" s="175">
        <v>31230.88454905387</v>
      </c>
      <c r="M79" s="175">
        <v>34053.406852662876</v>
      </c>
      <c r="N79" s="175">
        <v>31599.792051487861</v>
      </c>
      <c r="O79" s="175">
        <v>32186.798839222476</v>
      </c>
      <c r="P79" s="175"/>
      <c r="Q79" s="176"/>
      <c r="R79" s="183"/>
      <c r="S79" s="174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6"/>
      <c r="AG79" s="183"/>
      <c r="AH79" s="174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6"/>
      <c r="AV79" s="183"/>
      <c r="AW79" s="493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6"/>
      <c r="BK79" s="183"/>
      <c r="BL79" s="493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>
        <f t="shared" si="52"/>
        <v>0</v>
      </c>
      <c r="BY79" s="176"/>
      <c r="CA79" s="169">
        <f>ROW()</f>
        <v>79</v>
      </c>
      <c r="CB79" s="169">
        <f>IFERROR(_xlfn.XLOOKUP($A$1,$2:$2,79:79)-_xlfn.XLOOKUP(EDATE($A$1,-12),$2:$2,79:79),"")</f>
        <v>0</v>
      </c>
      <c r="CC79" s="169">
        <f t="shared" si="58"/>
        <v>0</v>
      </c>
      <c r="CD79" s="169">
        <f>IFERROR(
  SUM(
    _xlfn.XLOOKUP(DATE(YEAR($A$1),1,1),$2:$2,79:79):
    _xlfn.XLOOKUP($A$1,$2:$2,79:79)
  )
 -SUM(
    _xlfn.XLOOKUP(DATE(YEAR($A$1)-1,1,1),$2:$2,79:79):
    _xlfn.XLOOKUP(EDATE($A$1,-12),$2:$2,79:79)
  ),"")</f>
        <v>0</v>
      </c>
      <c r="CE79" s="4517">
        <f>IFERROR(
  _xlfn.XLOOKUP($A$1,$B$2:$BY$2,$B79:$BY79)
 -_xlfn.XLOOKUP(EDATE($A$1,-1),$B$2:$BY$2,$B79:$BY79),"")</f>
        <v>0</v>
      </c>
    </row>
    <row r="80" spans="1:87" ht="17.399999999999999" customHeight="1" thickBot="1" x14ac:dyDescent="0.6">
      <c r="A80" s="7199"/>
      <c r="B80" s="97"/>
      <c r="C80" s="81" t="s">
        <v>409</v>
      </c>
      <c r="D80" s="177">
        <v>64296.936521739313</v>
      </c>
      <c r="E80" s="178">
        <v>66945.957931034325</v>
      </c>
      <c r="F80" s="178">
        <v>66971.391551459252</v>
      </c>
      <c r="G80" s="178">
        <v>66925.575733333317</v>
      </c>
      <c r="H80" s="178">
        <v>64492.667667356778</v>
      </c>
      <c r="I80" s="178">
        <v>64408.298130511452</v>
      </c>
      <c r="J80" s="178">
        <v>62882.591878009625</v>
      </c>
      <c r="K80" s="178">
        <v>67673.686115970282</v>
      </c>
      <c r="L80" s="178">
        <v>64049.659634766511</v>
      </c>
      <c r="M80" s="178">
        <v>64892.250643402382</v>
      </c>
      <c r="N80" s="178">
        <v>66920.997009602026</v>
      </c>
      <c r="O80" s="178">
        <v>68880.624493797688</v>
      </c>
      <c r="P80" s="178"/>
      <c r="Q80" s="179"/>
      <c r="R80" s="183"/>
      <c r="S80" s="177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9"/>
      <c r="AG80" s="183"/>
      <c r="AH80" s="177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9"/>
      <c r="AV80" s="183"/>
      <c r="AW80" s="494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  <c r="BJ80" s="179"/>
      <c r="BK80" s="183"/>
      <c r="BL80" s="494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>
        <f t="shared" si="52"/>
        <v>0</v>
      </c>
      <c r="BY80" s="179"/>
      <c r="CA80" s="169">
        <f>ROW()</f>
        <v>80</v>
      </c>
      <c r="CB80" s="169">
        <f>IFERROR(_xlfn.XLOOKUP($A$1,$2:$2,80:80)-_xlfn.XLOOKUP(EDATE($A$1,-12),$2:$2,80:80),"")</f>
        <v>0</v>
      </c>
      <c r="CC80" s="169">
        <f t="shared" si="58"/>
        <v>0</v>
      </c>
      <c r="CD80" s="169">
        <f>IFERROR(
  SUM(
    _xlfn.XLOOKUP(DATE(YEAR($A$1),1,1),$2:$2,80:80):
    _xlfn.XLOOKUP($A$1,$2:$2,80:80)
  )
 -SUM(
    _xlfn.XLOOKUP(DATE(YEAR($A$1)-1,1,1),$2:$2,80:80):
    _xlfn.XLOOKUP(EDATE($A$1,-12),$2:$2,80:80)
  ),"")</f>
        <v>0</v>
      </c>
      <c r="CE80" s="4517">
        <f>IFERROR(
  _xlfn.XLOOKUP($A$1,$B$2:$BY$2,$B80:$BY80)
 -_xlfn.XLOOKUP(EDATE($A$1,-1),$B$2:$BY$2,$B80:$BY80),"")</f>
        <v>0</v>
      </c>
    </row>
    <row r="81" spans="1:87" s="1" customFormat="1" ht="6" customHeight="1" x14ac:dyDescent="0.55000000000000004">
      <c r="B81" s="20"/>
      <c r="C81" s="13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1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1"/>
      <c r="AH81" s="54"/>
      <c r="AI81" s="54"/>
      <c r="AJ81" s="54"/>
      <c r="AK81" s="54"/>
      <c r="AL81" s="54"/>
      <c r="AM81" s="54"/>
      <c r="AN81" s="54"/>
      <c r="AO81" s="54"/>
      <c r="AP81" s="54"/>
      <c r="AQ81" s="396"/>
      <c r="AR81" s="54"/>
      <c r="AS81" s="54"/>
      <c r="AT81" s="54"/>
      <c r="AU81" s="54"/>
      <c r="AV81" s="541"/>
      <c r="AW81" s="475"/>
      <c r="AX81" s="54"/>
      <c r="AY81" s="396"/>
      <c r="AZ81" s="54"/>
      <c r="BA81" s="396"/>
      <c r="BB81" s="396"/>
      <c r="BC81" s="54"/>
      <c r="BD81" s="54"/>
      <c r="BE81" s="54"/>
      <c r="BF81" s="396"/>
      <c r="BG81" s="54"/>
      <c r="BH81" s="54"/>
      <c r="BI81" s="54"/>
      <c r="BJ81" s="54"/>
      <c r="BK81" s="4392"/>
      <c r="BL81" s="475"/>
      <c r="BM81" s="396"/>
      <c r="BN81" s="396"/>
      <c r="BO81" s="54"/>
      <c r="BP81" s="396"/>
      <c r="BQ81" s="396"/>
      <c r="BR81" s="54"/>
      <c r="BS81" s="54"/>
      <c r="BT81" s="54"/>
      <c r="BU81" s="396"/>
      <c r="BV81" s="54"/>
      <c r="BW81" s="54"/>
      <c r="BX81" s="54"/>
      <c r="BY81" s="54"/>
      <c r="CA81" s="169">
        <f>ROW()</f>
        <v>81</v>
      </c>
      <c r="CB81" s="169">
        <f>IFERROR(_xlfn.XLOOKUP($A$1,$2:$2,81:81)-_xlfn.XLOOKUP(EDATE($A$1,-12),$2:$2,81:81),"")</f>
        <v>0</v>
      </c>
      <c r="CC81" s="169">
        <f t="shared" si="58"/>
        <v>0</v>
      </c>
      <c r="CD81" s="169">
        <f>IFERROR(
  SUM(
    _xlfn.XLOOKUP(DATE(YEAR($A$1),1,1),$2:$2,81:81):
    _xlfn.XLOOKUP($A$1,$2:$2,81:81)
  )
 -SUM(
    _xlfn.XLOOKUP(DATE(YEAR($A$1)-1,1,1),$2:$2,81:81):
    _xlfn.XLOOKUP(EDATE($A$1,-12),$2:$2,81:81)
  ),"")</f>
        <v>0</v>
      </c>
      <c r="CE81" s="4517">
        <f>IFERROR(
  _xlfn.XLOOKUP($A$1,$B$2:$BY$2,$B81:$BY81)
 -_xlfn.XLOOKUP(EDATE($A$1,-1),$B$2:$BY$2,$B81:$BY81),"")</f>
        <v>0</v>
      </c>
      <c r="CF81"/>
      <c r="CG81"/>
      <c r="CH81"/>
      <c r="CI81"/>
    </row>
    <row r="82" spans="1:87" hidden="1" x14ac:dyDescent="0.55000000000000004">
      <c r="A82" s="7197" t="s">
        <v>96</v>
      </c>
      <c r="B82" s="14" t="s">
        <v>416</v>
      </c>
      <c r="C82" s="71"/>
      <c r="D82" s="184">
        <f>D83/D84</f>
        <v>1.0042033353599424</v>
      </c>
      <c r="E82" s="185">
        <f t="shared" ref="E82:P82" si="61">E83/E84</f>
        <v>1.0489383684535605</v>
      </c>
      <c r="F82" s="185">
        <f t="shared" si="61"/>
        <v>1.0240425506720996</v>
      </c>
      <c r="G82" s="185">
        <f t="shared" si="61"/>
        <v>1.0529794467245837</v>
      </c>
      <c r="H82" s="185">
        <f t="shared" si="61"/>
        <v>1.0732229068404724</v>
      </c>
      <c r="I82" s="185">
        <f t="shared" si="61"/>
        <v>1.1158564546069991</v>
      </c>
      <c r="J82" s="185">
        <f t="shared" si="61"/>
        <v>1.0246299640002663</v>
      </c>
      <c r="K82" s="185">
        <f t="shared" si="61"/>
        <v>1.1611674782189148</v>
      </c>
      <c r="L82" s="185">
        <f t="shared" si="61"/>
        <v>1.0937465513668472</v>
      </c>
      <c r="M82" s="185">
        <f t="shared" si="61"/>
        <v>1.1566072638148421</v>
      </c>
      <c r="N82" s="185">
        <f t="shared" si="61"/>
        <v>1.0475079778838698</v>
      </c>
      <c r="O82" s="185">
        <f t="shared" si="61"/>
        <v>0.9928872072151298</v>
      </c>
      <c r="P82" s="185">
        <f t="shared" si="61"/>
        <v>1.0690735963713687</v>
      </c>
      <c r="Q82" s="186">
        <f>P82</f>
        <v>1.0690735963713687</v>
      </c>
      <c r="R82" s="187"/>
      <c r="S82" s="184">
        <f t="shared" ref="S82:AE82" si="62">S83/S84</f>
        <v>1.0224312874397989</v>
      </c>
      <c r="T82" s="185">
        <f t="shared" si="62"/>
        <v>1.0727506409238561</v>
      </c>
      <c r="U82" s="185">
        <f t="shared" si="62"/>
        <v>1.0266659099970559</v>
      </c>
      <c r="V82" s="185">
        <f t="shared" si="62"/>
        <v>1.0814911645695313</v>
      </c>
      <c r="W82" s="185">
        <f t="shared" si="62"/>
        <v>1.0620834803763346</v>
      </c>
      <c r="X82" s="185">
        <f t="shared" si="62"/>
        <v>1.0033935415001363</v>
      </c>
      <c r="Y82" s="185">
        <f t="shared" si="62"/>
        <v>0.94112986463415904</v>
      </c>
      <c r="Z82" s="185">
        <f t="shared" si="62"/>
        <v>1.1102915455290032</v>
      </c>
      <c r="AA82" s="185">
        <f t="shared" si="62"/>
        <v>0.97841789207567231</v>
      </c>
      <c r="AB82" s="185">
        <f t="shared" si="62"/>
        <v>1.0614991415621882</v>
      </c>
      <c r="AC82" s="185">
        <f t="shared" si="62"/>
        <v>0.96720045057262072</v>
      </c>
      <c r="AD82" s="185">
        <f t="shared" si="62"/>
        <v>0.91090044131953918</v>
      </c>
      <c r="AE82" s="185">
        <f t="shared" si="62"/>
        <v>1.023857159509433</v>
      </c>
      <c r="AF82" s="186">
        <f>AE82</f>
        <v>1.023857159509433</v>
      </c>
      <c r="AG82" s="187"/>
      <c r="AH82" s="184">
        <v>1.059310739227495</v>
      </c>
      <c r="AI82" s="185">
        <v>0.95700539014538322</v>
      </c>
      <c r="AJ82" s="185">
        <v>0.99638416370071847</v>
      </c>
      <c r="AK82" s="185">
        <v>1.0242104808546983</v>
      </c>
      <c r="AL82" s="185">
        <v>1.0228015375290502</v>
      </c>
      <c r="AM82" s="185">
        <v>0.99631254818697945</v>
      </c>
      <c r="AN82" s="185">
        <v>1.1015986838922469</v>
      </c>
      <c r="AO82" s="185">
        <v>1.0272000501408662</v>
      </c>
      <c r="AP82" s="185">
        <v>1.0888416613570786</v>
      </c>
      <c r="AQ82" s="185">
        <v>1.0212692174468303</v>
      </c>
      <c r="AR82" s="185">
        <v>0.96720045057262072</v>
      </c>
      <c r="AS82" s="185">
        <v>0.95262156758550331</v>
      </c>
      <c r="AT82" s="185">
        <f>AT83/AT84</f>
        <v>1.022415893079917</v>
      </c>
      <c r="AU82" s="186">
        <f>AT82</f>
        <v>1.022415893079917</v>
      </c>
      <c r="AV82" s="187"/>
      <c r="AW82" s="49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 t="e">
        <f>BI83/BI84</f>
        <v>#DIV/0!</v>
      </c>
      <c r="BJ82" s="186"/>
      <c r="BK82" s="187"/>
      <c r="BL82" s="495"/>
      <c r="BM82" s="185"/>
      <c r="BN82" s="185"/>
      <c r="BO82" s="185"/>
      <c r="BP82" s="185"/>
      <c r="BQ82" s="185"/>
      <c r="BR82" s="185"/>
      <c r="BS82" s="185"/>
      <c r="BT82" s="185"/>
      <c r="BU82" s="185"/>
      <c r="BV82" s="185"/>
      <c r="BW82" s="185"/>
      <c r="BX82" s="185" t="e">
        <f>BX83/BX84</f>
        <v>#DIV/0!</v>
      </c>
      <c r="BY82" s="186" t="e">
        <f>BX82</f>
        <v>#DIV/0!</v>
      </c>
      <c r="CA82" s="169">
        <f>ROW()</f>
        <v>82</v>
      </c>
      <c r="CB82" s="169">
        <f>IFERROR(_xlfn.XLOOKUP($A$1,$2:$2,82:82)-_xlfn.XLOOKUP(EDATE($A$1,-12),$2:$2,82:82),"")</f>
        <v>0</v>
      </c>
      <c r="CC82" s="169">
        <f t="shared" si="50"/>
        <v>-1.022415893079917</v>
      </c>
      <c r="CD82" s="169" t="e">
        <f t="shared" ref="CD82:CD84" si="63">BI82-SUM(AH82:AS82)</f>
        <v>#DIV/0!</v>
      </c>
      <c r="CE82" s="278" t="e">
        <f>HLOOKUP($A$1,$AW$2:$BH$391,ROW()-1,0)-HLOOKUP($A$1-1,$AW$2:$BH$391,ROW()-1,1)</f>
        <v>#N/A</v>
      </c>
    </row>
    <row r="83" spans="1:87" hidden="1" x14ac:dyDescent="0.55000000000000004">
      <c r="A83" s="7198"/>
      <c r="B83" s="15"/>
      <c r="C83" s="72" t="s">
        <v>417</v>
      </c>
      <c r="D83" s="188">
        <f>D85</f>
        <v>2045075360.3610036</v>
      </c>
      <c r="E83" s="189">
        <f t="shared" ref="E83:O83" si="64">E85</f>
        <v>2211562637.3829989</v>
      </c>
      <c r="F83" s="189">
        <f t="shared" si="64"/>
        <v>2099110877.9499984</v>
      </c>
      <c r="G83" s="189">
        <f t="shared" si="64"/>
        <v>2030095441.1690056</v>
      </c>
      <c r="H83" s="189">
        <f t="shared" si="64"/>
        <v>2009503833.1239994</v>
      </c>
      <c r="I83" s="189">
        <f t="shared" si="64"/>
        <v>2116991883.4579973</v>
      </c>
      <c r="J83" s="189">
        <f t="shared" si="64"/>
        <v>1948607814.7209916</v>
      </c>
      <c r="K83" s="189">
        <f t="shared" si="64"/>
        <v>2712295749.5530033</v>
      </c>
      <c r="L83" s="189">
        <f t="shared" si="64"/>
        <v>1947255846.5699992</v>
      </c>
      <c r="M83" s="189">
        <f t="shared" si="64"/>
        <v>3039475730.0650015</v>
      </c>
      <c r="N83" s="189">
        <f t="shared" si="64"/>
        <v>2252664305.0960011</v>
      </c>
      <c r="O83" s="189">
        <f t="shared" si="64"/>
        <v>2043532827.2199988</v>
      </c>
      <c r="P83" s="189">
        <f t="shared" ref="P83:P90" si="65">SUM(D83:O83)</f>
        <v>26456172306.669998</v>
      </c>
      <c r="Q83" s="190">
        <f t="shared" ref="Q83:Q90" si="66">P83/12</f>
        <v>2204681025.5558333</v>
      </c>
      <c r="R83" s="191"/>
      <c r="S83" s="188">
        <f>S85</f>
        <v>2146434999.8200021</v>
      </c>
      <c r="T83" s="189">
        <f t="shared" ref="T83:AD83" si="67">T85</f>
        <v>2783777096.2589931</v>
      </c>
      <c r="U83" s="189">
        <f t="shared" si="67"/>
        <v>2218001921.2099972</v>
      </c>
      <c r="V83" s="189">
        <f t="shared" si="67"/>
        <v>2044851598.5689988</v>
      </c>
      <c r="W83" s="189">
        <f t="shared" si="67"/>
        <v>2194413551.9740052</v>
      </c>
      <c r="X83" s="189">
        <f t="shared" si="67"/>
        <v>2181068489.3159957</v>
      </c>
      <c r="Y83" s="189">
        <f t="shared" si="67"/>
        <v>2190930319.7789993</v>
      </c>
      <c r="Z83" s="189">
        <f t="shared" si="67"/>
        <v>3067910423.1840019</v>
      </c>
      <c r="AA83" s="189">
        <f t="shared" si="67"/>
        <v>1726380939.471</v>
      </c>
      <c r="AB83" s="189">
        <f t="shared" si="67"/>
        <v>3224598063.0719986</v>
      </c>
      <c r="AC83" s="189">
        <f t="shared" si="67"/>
        <v>2077823853.2640009</v>
      </c>
      <c r="AD83" s="189">
        <f t="shared" si="67"/>
        <v>1871903319.1970003</v>
      </c>
      <c r="AE83" s="189">
        <f t="shared" ref="AE83:AE90" si="68">SUM(S83:AD83)</f>
        <v>27728094575.11499</v>
      </c>
      <c r="AF83" s="190">
        <f t="shared" ref="AF83:AF90" si="69">AE83/12</f>
        <v>2310674547.926249</v>
      </c>
      <c r="AG83" s="191"/>
      <c r="AH83" s="188">
        <v>3324011751.1559978</v>
      </c>
      <c r="AI83" s="189">
        <v>2350373145.7179999</v>
      </c>
      <c r="AJ83" s="189">
        <v>2219992674.5770006</v>
      </c>
      <c r="AK83" s="189">
        <v>2188192175.6050005</v>
      </c>
      <c r="AL83" s="189">
        <v>2193287703.9849997</v>
      </c>
      <c r="AM83" s="189">
        <v>1978367034.7059989</v>
      </c>
      <c r="AN83" s="189">
        <v>2970511739.7090006</v>
      </c>
      <c r="AO83" s="189">
        <v>2142165356.799005</v>
      </c>
      <c r="AP83" s="189">
        <v>3214134666.9460063</v>
      </c>
      <c r="AQ83" s="189">
        <v>2693030905.0510006</v>
      </c>
      <c r="AR83" s="189">
        <v>2077823853.2640009</v>
      </c>
      <c r="AS83" s="189">
        <v>2018552316</v>
      </c>
      <c r="AT83" s="189">
        <f t="shared" ref="AT83:AT90" si="70">SUM(AH83:AS83)</f>
        <v>29370443323.516014</v>
      </c>
      <c r="AU83" s="190">
        <f>AT83/12</f>
        <v>2447536943.6263347</v>
      </c>
      <c r="AV83" s="191"/>
      <c r="AW83" s="496"/>
      <c r="AX83" s="189"/>
      <c r="AY83" s="189"/>
      <c r="AZ83" s="189"/>
      <c r="BA83" s="189"/>
      <c r="BB83" s="189"/>
      <c r="BC83" s="189"/>
      <c r="BD83" s="189"/>
      <c r="BE83" s="189"/>
      <c r="BF83" s="189"/>
      <c r="BG83" s="189"/>
      <c r="BH83" s="189"/>
      <c r="BI83" s="189">
        <f t="shared" ref="BI83:BI90" si="71">SUM(AW83:BH83)</f>
        <v>0</v>
      </c>
      <c r="BJ83" s="190"/>
      <c r="BK83" s="191"/>
      <c r="BL83" s="496"/>
      <c r="BM83" s="189"/>
      <c r="BN83" s="189"/>
      <c r="BO83" s="189"/>
      <c r="BP83" s="189"/>
      <c r="BQ83" s="189"/>
      <c r="BR83" s="189"/>
      <c r="BS83" s="189"/>
      <c r="BT83" s="189"/>
      <c r="BU83" s="189"/>
      <c r="BV83" s="189"/>
      <c r="BW83" s="189"/>
      <c r="BX83" s="189">
        <f t="shared" ref="BX83:BX90" si="72">SUM(BL83:BW83)</f>
        <v>0</v>
      </c>
      <c r="BY83" s="190">
        <f t="shared" ref="BY83:BY90" si="73">BX83/$A$1</f>
        <v>0</v>
      </c>
      <c r="CA83" s="169">
        <f>ROW()</f>
        <v>83</v>
      </c>
      <c r="CB83" s="169">
        <f>IFERROR(_xlfn.XLOOKUP($A$1,$2:$2,83:83)-_xlfn.XLOOKUP(EDATE($A$1,-12),$2:$2,83:83),"")</f>
        <v>0</v>
      </c>
      <c r="CC83" s="169">
        <f t="shared" si="50"/>
        <v>-2447536943.6263347</v>
      </c>
      <c r="CD83" s="169">
        <f t="shared" si="63"/>
        <v>-29370443323.516014</v>
      </c>
      <c r="CE83" s="278" t="e">
        <f>HLOOKUP($A$1,$AW$2:$BH$391,ROW()-1,0)-HLOOKUP($A$1-1,$AW$2:$BH$391,ROW()-1,1)</f>
        <v>#N/A</v>
      </c>
    </row>
    <row r="84" spans="1:87" hidden="1" x14ac:dyDescent="0.55000000000000004">
      <c r="A84" s="7198"/>
      <c r="B84" s="15"/>
      <c r="C84" s="72" t="s">
        <v>418</v>
      </c>
      <c r="D84" s="188">
        <f>D88</f>
        <v>2036515203.9929996</v>
      </c>
      <c r="E84" s="189">
        <f t="shared" ref="E84:O84" si="74">E88</f>
        <v>2108381868.6540031</v>
      </c>
      <c r="F84" s="189">
        <f t="shared" si="74"/>
        <v>2049827789.452997</v>
      </c>
      <c r="G84" s="189">
        <f t="shared" si="74"/>
        <v>1927953529.8470035</v>
      </c>
      <c r="H84" s="189">
        <f t="shared" si="74"/>
        <v>1872401176.2289929</v>
      </c>
      <c r="I84" s="189">
        <f t="shared" si="74"/>
        <v>1897190158.0330014</v>
      </c>
      <c r="J84" s="189">
        <f t="shared" si="74"/>
        <v>1901767353.2729959</v>
      </c>
      <c r="K84" s="189">
        <f t="shared" si="74"/>
        <v>2335835097.374002</v>
      </c>
      <c r="L84" s="189">
        <f t="shared" si="74"/>
        <v>1780353816.0980053</v>
      </c>
      <c r="M84" s="189">
        <f t="shared" si="74"/>
        <v>2627923777.7219963</v>
      </c>
      <c r="N84" s="189">
        <f t="shared" si="74"/>
        <v>2150498471.2829928</v>
      </c>
      <c r="O84" s="189">
        <f t="shared" si="74"/>
        <v>2058172179.4479971</v>
      </c>
      <c r="P84" s="189">
        <f t="shared" si="65"/>
        <v>24746820421.406986</v>
      </c>
      <c r="Q84" s="190">
        <f t="shared" si="66"/>
        <v>2062235035.1172488</v>
      </c>
      <c r="R84" s="191"/>
      <c r="S84" s="188">
        <f>S88</f>
        <v>2099344010.8769999</v>
      </c>
      <c r="T84" s="189">
        <f t="shared" ref="T84:AD84" si="75">T88</f>
        <v>2594989916.6329985</v>
      </c>
      <c r="U84" s="189">
        <f t="shared" si="75"/>
        <v>2160393073.9419971</v>
      </c>
      <c r="V84" s="189">
        <f t="shared" si="75"/>
        <v>1890770507.9429994</v>
      </c>
      <c r="W84" s="189">
        <f t="shared" si="75"/>
        <v>2066140367.0420003</v>
      </c>
      <c r="X84" s="189">
        <f t="shared" si="75"/>
        <v>2173691975.3889999</v>
      </c>
      <c r="Y84" s="189">
        <f t="shared" si="75"/>
        <v>2327978743.5399995</v>
      </c>
      <c r="Z84" s="189">
        <f t="shared" si="75"/>
        <v>2763157510.7800021</v>
      </c>
      <c r="AA84" s="189">
        <f t="shared" si="75"/>
        <v>1764461743.241996</v>
      </c>
      <c r="AB84" s="189">
        <f t="shared" si="75"/>
        <v>3037777362.9910045</v>
      </c>
      <c r="AC84" s="189">
        <f t="shared" si="75"/>
        <v>2148286688.6940007</v>
      </c>
      <c r="AD84" s="189">
        <f t="shared" si="75"/>
        <v>2055003197.1500015</v>
      </c>
      <c r="AE84" s="189">
        <f t="shared" si="68"/>
        <v>27081995098.223</v>
      </c>
      <c r="AF84" s="190">
        <f t="shared" si="69"/>
        <v>2256832924.8519168</v>
      </c>
      <c r="AG84" s="191"/>
      <c r="AH84" s="188">
        <v>3137900549.9179983</v>
      </c>
      <c r="AI84" s="189">
        <v>2455966465.7279973</v>
      </c>
      <c r="AJ84" s="189">
        <v>2228048934.791997</v>
      </c>
      <c r="AK84" s="189">
        <v>2136467275.5339954</v>
      </c>
      <c r="AL84" s="189">
        <v>2144392263.3159952</v>
      </c>
      <c r="AM84" s="189">
        <v>1985689167.8280015</v>
      </c>
      <c r="AN84" s="189">
        <v>2696546195.2200027</v>
      </c>
      <c r="AO84" s="189">
        <v>2085441250.2269998</v>
      </c>
      <c r="AP84" s="189">
        <v>2951884356.5740008</v>
      </c>
      <c r="AQ84" s="189">
        <v>2636945145.3589964</v>
      </c>
      <c r="AR84" s="189">
        <v>2148286688.6940007</v>
      </c>
      <c r="AS84" s="189">
        <v>2118944589</v>
      </c>
      <c r="AT84" s="189">
        <f t="shared" si="70"/>
        <v>28726512882.189987</v>
      </c>
      <c r="AU84" s="190">
        <f t="shared" ref="AU84:AU90" si="76">AT84/12</f>
        <v>2393876073.5158324</v>
      </c>
      <c r="AV84" s="191"/>
      <c r="AW84" s="496"/>
      <c r="AX84" s="189"/>
      <c r="AY84" s="189"/>
      <c r="AZ84" s="189"/>
      <c r="BA84" s="189"/>
      <c r="BB84" s="189"/>
      <c r="BC84" s="189"/>
      <c r="BD84" s="189"/>
      <c r="BE84" s="189"/>
      <c r="BF84" s="189"/>
      <c r="BG84" s="189"/>
      <c r="BH84" s="189"/>
      <c r="BI84" s="189">
        <f t="shared" si="71"/>
        <v>0</v>
      </c>
      <c r="BJ84" s="190"/>
      <c r="BK84" s="191"/>
      <c r="BL84" s="496"/>
      <c r="BM84" s="189"/>
      <c r="BN84" s="189"/>
      <c r="BO84" s="189"/>
      <c r="BP84" s="189"/>
      <c r="BQ84" s="189"/>
      <c r="BR84" s="189"/>
      <c r="BS84" s="189"/>
      <c r="BT84" s="189"/>
      <c r="BU84" s="189"/>
      <c r="BV84" s="189"/>
      <c r="BW84" s="189"/>
      <c r="BX84" s="189">
        <f t="shared" si="72"/>
        <v>0</v>
      </c>
      <c r="BY84" s="190">
        <f t="shared" si="73"/>
        <v>0</v>
      </c>
      <c r="CA84" s="169">
        <f>ROW()</f>
        <v>84</v>
      </c>
      <c r="CB84" s="169">
        <f>IFERROR(_xlfn.XLOOKUP($A$1,$2:$2,84:84)-_xlfn.XLOOKUP(EDATE($A$1,-12),$2:$2,84:84),"")</f>
        <v>0</v>
      </c>
      <c r="CC84" s="169">
        <f t="shared" si="50"/>
        <v>-2393876073.5158324</v>
      </c>
      <c r="CD84" s="169">
        <f t="shared" si="63"/>
        <v>-28726512882.189987</v>
      </c>
      <c r="CE84" s="278" t="e">
        <f>HLOOKUP($A$1,$AW$2:$BH$391,ROW()-1,0)-HLOOKUP($A$1-1,$AW$2:$BH$391,ROW()-1,1)</f>
        <v>#N/A</v>
      </c>
    </row>
    <row r="85" spans="1:87" hidden="1" x14ac:dyDescent="0.55000000000000004">
      <c r="A85" s="7198"/>
      <c r="B85" s="98" t="s">
        <v>419</v>
      </c>
      <c r="C85" s="84"/>
      <c r="D85" s="192">
        <f>D86+D87</f>
        <v>2045075360.3610036</v>
      </c>
      <c r="E85" s="193">
        <f t="shared" ref="E85:O85" si="77">E86+E87</f>
        <v>2211562637.3829989</v>
      </c>
      <c r="F85" s="193">
        <f t="shared" si="77"/>
        <v>2099110877.9499984</v>
      </c>
      <c r="G85" s="193">
        <f t="shared" si="77"/>
        <v>2030095441.1690056</v>
      </c>
      <c r="H85" s="193">
        <f t="shared" si="77"/>
        <v>2009503833.1239994</v>
      </c>
      <c r="I85" s="193">
        <f t="shared" si="77"/>
        <v>2116991883.4579973</v>
      </c>
      <c r="J85" s="193">
        <f t="shared" si="77"/>
        <v>1948607814.7209916</v>
      </c>
      <c r="K85" s="193">
        <f t="shared" si="77"/>
        <v>2712295749.5530033</v>
      </c>
      <c r="L85" s="193">
        <f t="shared" si="77"/>
        <v>1947255846.5699992</v>
      </c>
      <c r="M85" s="193">
        <f t="shared" si="77"/>
        <v>3039475730.0650015</v>
      </c>
      <c r="N85" s="193">
        <f t="shared" si="77"/>
        <v>2252664305.0960011</v>
      </c>
      <c r="O85" s="193">
        <f t="shared" si="77"/>
        <v>2043532827.2199988</v>
      </c>
      <c r="P85" s="193">
        <f t="shared" si="65"/>
        <v>26456172306.669998</v>
      </c>
      <c r="Q85" s="194">
        <f t="shared" si="66"/>
        <v>2204681025.5558333</v>
      </c>
      <c r="R85" s="191"/>
      <c r="S85" s="192">
        <f t="shared" ref="S85:AD85" si="78">S86+S87</f>
        <v>2146434999.8200021</v>
      </c>
      <c r="T85" s="193">
        <f t="shared" si="78"/>
        <v>2783777096.2589931</v>
      </c>
      <c r="U85" s="193">
        <f t="shared" si="78"/>
        <v>2218001921.2099972</v>
      </c>
      <c r="V85" s="193">
        <f t="shared" si="78"/>
        <v>2044851598.5689988</v>
      </c>
      <c r="W85" s="193">
        <f t="shared" si="78"/>
        <v>2194413551.9740052</v>
      </c>
      <c r="X85" s="193">
        <f t="shared" si="78"/>
        <v>2181068489.3159957</v>
      </c>
      <c r="Y85" s="193">
        <f t="shared" si="78"/>
        <v>2190930319.7789993</v>
      </c>
      <c r="Z85" s="193">
        <f t="shared" si="78"/>
        <v>3067910423.1840019</v>
      </c>
      <c r="AA85" s="193">
        <f t="shared" si="78"/>
        <v>1726380939.471</v>
      </c>
      <c r="AB85" s="193">
        <f t="shared" si="78"/>
        <v>3224598063.0719986</v>
      </c>
      <c r="AC85" s="193">
        <f t="shared" si="78"/>
        <v>2077823853.2640009</v>
      </c>
      <c r="AD85" s="193">
        <f t="shared" si="78"/>
        <v>1871903319.1970003</v>
      </c>
      <c r="AE85" s="193">
        <f t="shared" si="68"/>
        <v>27728094575.11499</v>
      </c>
      <c r="AF85" s="194">
        <f t="shared" si="69"/>
        <v>2310674547.926249</v>
      </c>
      <c r="AG85" s="191"/>
      <c r="AH85" s="192">
        <v>3324011751.1559978</v>
      </c>
      <c r="AI85" s="193">
        <v>2350373145.7179999</v>
      </c>
      <c r="AJ85" s="193">
        <v>2219992674.5770006</v>
      </c>
      <c r="AK85" s="193">
        <v>2188192175.6050005</v>
      </c>
      <c r="AL85" s="193">
        <v>2193287703.9849997</v>
      </c>
      <c r="AM85" s="193">
        <v>1978367034.7059989</v>
      </c>
      <c r="AN85" s="193">
        <v>2970511739.7090006</v>
      </c>
      <c r="AO85" s="193">
        <v>2142165356.799005</v>
      </c>
      <c r="AP85" s="193">
        <v>3214134666.9460063</v>
      </c>
      <c r="AQ85" s="193">
        <v>2693030905.0510006</v>
      </c>
      <c r="AR85" s="193">
        <v>2077823853.2640009</v>
      </c>
      <c r="AS85" s="193">
        <v>2018552316</v>
      </c>
      <c r="AT85" s="193">
        <f t="shared" si="70"/>
        <v>29370443323.516014</v>
      </c>
      <c r="AU85" s="194">
        <f t="shared" si="76"/>
        <v>2447536943.6263347</v>
      </c>
      <c r="AV85" s="191"/>
      <c r="AW85" s="497"/>
      <c r="AX85" s="193"/>
      <c r="AY85" s="193"/>
      <c r="AZ85" s="193"/>
      <c r="BA85" s="193"/>
      <c r="BB85" s="193"/>
      <c r="BC85" s="193"/>
      <c r="BD85" s="193"/>
      <c r="BE85" s="193"/>
      <c r="BF85" s="193"/>
      <c r="BG85" s="193"/>
      <c r="BH85" s="193"/>
      <c r="BI85" s="193">
        <f t="shared" si="71"/>
        <v>0</v>
      </c>
      <c r="BJ85" s="194"/>
      <c r="BK85" s="191"/>
      <c r="BL85" s="497"/>
      <c r="BM85" s="193"/>
      <c r="BN85" s="193"/>
      <c r="BO85" s="193"/>
      <c r="BP85" s="193"/>
      <c r="BQ85" s="193"/>
      <c r="BR85" s="193"/>
      <c r="BS85" s="193"/>
      <c r="BT85" s="193"/>
      <c r="BU85" s="193"/>
      <c r="BV85" s="193"/>
      <c r="BW85" s="193"/>
      <c r="BX85" s="193">
        <f t="shared" si="72"/>
        <v>0</v>
      </c>
      <c r="BY85" s="194">
        <f t="shared" si="73"/>
        <v>0</v>
      </c>
      <c r="CA85" s="169">
        <f>ROW()</f>
        <v>85</v>
      </c>
      <c r="CB85" s="169">
        <f>IFERROR(_xlfn.XLOOKUP($A$1,$2:$2,85:85)-_xlfn.XLOOKUP(EDATE($A$1,-12),$2:$2,85:85),"")</f>
        <v>0</v>
      </c>
      <c r="CC85" s="169">
        <f t="shared" si="50"/>
        <v>-2447536943.6263347</v>
      </c>
      <c r="CD85" s="169">
        <f t="shared" ref="CD85:CD90" si="79">BI85-SUM(AH85:AS85)</f>
        <v>-29370443323.516014</v>
      </c>
      <c r="CE85" s="278" t="e">
        <f>HLOOKUP($A$1,$AW$2:$BH$391,ROW()-1,0)-HLOOKUP($A$1-1,$AW$2:$BH$391,ROW()-1,1)</f>
        <v>#N/A</v>
      </c>
    </row>
    <row r="86" spans="1:87" hidden="1" x14ac:dyDescent="0.55000000000000004">
      <c r="A86" s="7198"/>
      <c r="B86" s="99"/>
      <c r="C86" s="63" t="s">
        <v>19</v>
      </c>
      <c r="D86" s="195">
        <v>1773386406.5400035</v>
      </c>
      <c r="E86" s="196">
        <v>1806185111.444999</v>
      </c>
      <c r="F86" s="196">
        <v>1689762266.9579983</v>
      </c>
      <c r="G86" s="196">
        <v>1660676850.9200058</v>
      </c>
      <c r="H86" s="196">
        <v>1661514750.6439996</v>
      </c>
      <c r="I86" s="196">
        <v>1798667725.9289973</v>
      </c>
      <c r="J86" s="196">
        <v>1640298214.2199917</v>
      </c>
      <c r="K86" s="196">
        <v>2244254780.7960033</v>
      </c>
      <c r="L86" s="196">
        <v>1579591749.3019991</v>
      </c>
      <c r="M86" s="196">
        <v>2267911918.8040013</v>
      </c>
      <c r="N86" s="196">
        <v>1811648223.138001</v>
      </c>
      <c r="O86" s="196">
        <v>1674355246.6959989</v>
      </c>
      <c r="P86" s="196">
        <f t="shared" si="65"/>
        <v>21608253245.391998</v>
      </c>
      <c r="Q86" s="197">
        <f t="shared" si="66"/>
        <v>1800687770.4493332</v>
      </c>
      <c r="R86" s="191"/>
      <c r="S86" s="195">
        <v>1785962679.9930019</v>
      </c>
      <c r="T86" s="196">
        <v>2344608612.3169932</v>
      </c>
      <c r="U86" s="196">
        <v>1874144364.054997</v>
      </c>
      <c r="V86" s="196">
        <v>1716996000.6719987</v>
      </c>
      <c r="W86" s="196">
        <v>1786460199.4980052</v>
      </c>
      <c r="X86" s="196">
        <v>1779732082.6469958</v>
      </c>
      <c r="Y86" s="196">
        <v>1723770319.0559993</v>
      </c>
      <c r="Z86" s="196">
        <v>2492847412.9780021</v>
      </c>
      <c r="AA86" s="196">
        <v>1418906996.1049998</v>
      </c>
      <c r="AB86" s="196">
        <v>2254226099.2299981</v>
      </c>
      <c r="AC86" s="196">
        <v>1640111990.3230009</v>
      </c>
      <c r="AD86" s="196">
        <v>1513954481.9620001</v>
      </c>
      <c r="AE86" s="196">
        <f t="shared" si="68"/>
        <v>22331721238.835995</v>
      </c>
      <c r="AF86" s="197">
        <f t="shared" si="69"/>
        <v>1860976769.9029996</v>
      </c>
      <c r="AG86" s="191"/>
      <c r="AH86" s="195">
        <v>2629987757.9769979</v>
      </c>
      <c r="AI86" s="196">
        <v>1750037720.5179999</v>
      </c>
      <c r="AJ86" s="196">
        <v>1709728853.2630005</v>
      </c>
      <c r="AK86" s="196">
        <v>1637484770.9580004</v>
      </c>
      <c r="AL86" s="196">
        <v>1631238397.3499997</v>
      </c>
      <c r="AM86" s="196">
        <v>1533865913.898999</v>
      </c>
      <c r="AN86" s="196">
        <v>2260900830.2650008</v>
      </c>
      <c r="AO86" s="196">
        <v>1562634320.1460049</v>
      </c>
      <c r="AP86" s="196">
        <v>2016540991.2410061</v>
      </c>
      <c r="AQ86" s="196">
        <v>1658513341.3650002</v>
      </c>
      <c r="AR86" s="196">
        <v>1640111990.3230009</v>
      </c>
      <c r="AS86" s="196">
        <v>1447231028</v>
      </c>
      <c r="AT86" s="196">
        <f t="shared" si="70"/>
        <v>21478275915.305012</v>
      </c>
      <c r="AU86" s="197">
        <f t="shared" si="76"/>
        <v>1789856326.2754176</v>
      </c>
      <c r="AV86" s="191"/>
      <c r="AW86" s="498"/>
      <c r="AX86" s="196"/>
      <c r="AY86" s="196"/>
      <c r="AZ86" s="196"/>
      <c r="BA86" s="196"/>
      <c r="BB86" s="196"/>
      <c r="BC86" s="196"/>
      <c r="BD86" s="196"/>
      <c r="BE86" s="196"/>
      <c r="BF86" s="196"/>
      <c r="BG86" s="196"/>
      <c r="BH86" s="196"/>
      <c r="BI86" s="196">
        <f t="shared" si="71"/>
        <v>0</v>
      </c>
      <c r="BJ86" s="197"/>
      <c r="BK86" s="191"/>
      <c r="BL86" s="498"/>
      <c r="BM86" s="196"/>
      <c r="BN86" s="196"/>
      <c r="BO86" s="196"/>
      <c r="BP86" s="196"/>
      <c r="BQ86" s="196"/>
      <c r="BR86" s="196"/>
      <c r="BS86" s="196"/>
      <c r="BT86" s="196"/>
      <c r="BU86" s="196"/>
      <c r="BV86" s="196"/>
      <c r="BW86" s="196"/>
      <c r="BX86" s="196">
        <f t="shared" si="72"/>
        <v>0</v>
      </c>
      <c r="BY86" s="197">
        <f t="shared" si="73"/>
        <v>0</v>
      </c>
      <c r="CA86" s="169">
        <f>ROW()</f>
        <v>86</v>
      </c>
      <c r="CB86" s="169">
        <f>IFERROR(_xlfn.XLOOKUP($A$1,$2:$2,86:86)-_xlfn.XLOOKUP(EDATE($A$1,-12),$2:$2,86:86),"")</f>
        <v>0</v>
      </c>
      <c r="CC86" s="169">
        <f t="shared" si="50"/>
        <v>-1789856326.2754176</v>
      </c>
      <c r="CD86" s="169">
        <f t="shared" si="79"/>
        <v>-21478275915.305012</v>
      </c>
      <c r="CE86" s="278" t="e">
        <f>HLOOKUP($A$1,$AW$2:$BH$391,ROW()-1,0)-HLOOKUP($A$1-1,$AW$2:$BH$391,ROW()-1,1)</f>
        <v>#N/A</v>
      </c>
    </row>
    <row r="87" spans="1:87" hidden="1" x14ac:dyDescent="0.55000000000000004">
      <c r="A87" s="7198"/>
      <c r="B87" s="100"/>
      <c r="C87" s="73" t="s">
        <v>875</v>
      </c>
      <c r="D87" s="198">
        <v>271688953.82100004</v>
      </c>
      <c r="E87" s="199">
        <v>405377525.93799996</v>
      </c>
      <c r="F87" s="199">
        <v>409348610.99199998</v>
      </c>
      <c r="G87" s="199">
        <v>369418590.24899983</v>
      </c>
      <c r="H87" s="199">
        <v>347989082.47999984</v>
      </c>
      <c r="I87" s="199">
        <v>318324157.52899992</v>
      </c>
      <c r="J87" s="199">
        <v>308309600.50099999</v>
      </c>
      <c r="K87" s="199">
        <v>468040968.75700021</v>
      </c>
      <c r="L87" s="199">
        <v>367664097.26800001</v>
      </c>
      <c r="M87" s="199">
        <v>771563811.26100004</v>
      </c>
      <c r="N87" s="199">
        <v>441016081.958</v>
      </c>
      <c r="O87" s="199">
        <v>369177580.52400005</v>
      </c>
      <c r="P87" s="199">
        <f t="shared" si="65"/>
        <v>4847919061.2779999</v>
      </c>
      <c r="Q87" s="200">
        <f t="shared" si="66"/>
        <v>403993255.10649997</v>
      </c>
      <c r="R87" s="191"/>
      <c r="S87" s="198">
        <v>360472319.82700008</v>
      </c>
      <c r="T87" s="199">
        <v>439168483.94200009</v>
      </c>
      <c r="U87" s="199">
        <v>343857557.15500003</v>
      </c>
      <c r="V87" s="199">
        <v>327855597.89700007</v>
      </c>
      <c r="W87" s="199">
        <v>407953352.47599995</v>
      </c>
      <c r="X87" s="199">
        <v>401336406.66899997</v>
      </c>
      <c r="Y87" s="199">
        <v>467160000.72299987</v>
      </c>
      <c r="Z87" s="199">
        <v>575063010.20599985</v>
      </c>
      <c r="AA87" s="199">
        <v>307473943.36600024</v>
      </c>
      <c r="AB87" s="199">
        <v>970371963.84200037</v>
      </c>
      <c r="AC87" s="199">
        <v>437711862.94099993</v>
      </c>
      <c r="AD87" s="199">
        <v>357948837.23500007</v>
      </c>
      <c r="AE87" s="199">
        <f t="shared" si="68"/>
        <v>5396373336.2790003</v>
      </c>
      <c r="AF87" s="200">
        <f t="shared" si="69"/>
        <v>449697778.02325004</v>
      </c>
      <c r="AG87" s="191"/>
      <c r="AH87" s="198">
        <v>694023993.17900002</v>
      </c>
      <c r="AI87" s="199">
        <v>600335425.20000005</v>
      </c>
      <c r="AJ87" s="199">
        <v>510263821.31400013</v>
      </c>
      <c r="AK87" s="199">
        <v>550707404.64699996</v>
      </c>
      <c r="AL87" s="199">
        <v>562049306.63499999</v>
      </c>
      <c r="AM87" s="199">
        <v>444501120.80699992</v>
      </c>
      <c r="AN87" s="199">
        <v>709610909.44400001</v>
      </c>
      <c r="AO87" s="199">
        <v>579531036.65300012</v>
      </c>
      <c r="AP87" s="199">
        <v>1197593675.7050002</v>
      </c>
      <c r="AQ87" s="199">
        <v>1034517563.6860002</v>
      </c>
      <c r="AR87" s="199">
        <v>437711862.94099993</v>
      </c>
      <c r="AS87" s="199">
        <v>571321288</v>
      </c>
      <c r="AT87" s="199">
        <f t="shared" si="70"/>
        <v>7892167408.2110004</v>
      </c>
      <c r="AU87" s="200">
        <f t="shared" si="76"/>
        <v>657680617.35091674</v>
      </c>
      <c r="AV87" s="191"/>
      <c r="AW87" s="499"/>
      <c r="AX87" s="199"/>
      <c r="AY87" s="199"/>
      <c r="AZ87" s="199"/>
      <c r="BA87" s="199"/>
      <c r="BB87" s="199"/>
      <c r="BC87" s="199"/>
      <c r="BD87" s="199"/>
      <c r="BE87" s="199"/>
      <c r="BF87" s="199"/>
      <c r="BG87" s="199"/>
      <c r="BH87" s="199"/>
      <c r="BI87" s="199">
        <f t="shared" si="71"/>
        <v>0</v>
      </c>
      <c r="BJ87" s="200"/>
      <c r="BK87" s="191"/>
      <c r="BL87" s="499"/>
      <c r="BM87" s="199"/>
      <c r="BN87" s="199"/>
      <c r="BO87" s="199"/>
      <c r="BP87" s="199"/>
      <c r="BQ87" s="199"/>
      <c r="BR87" s="199"/>
      <c r="BS87" s="199"/>
      <c r="BT87" s="199"/>
      <c r="BU87" s="199"/>
      <c r="BV87" s="199"/>
      <c r="BW87" s="199"/>
      <c r="BX87" s="199">
        <f t="shared" si="72"/>
        <v>0</v>
      </c>
      <c r="BY87" s="200">
        <f t="shared" si="73"/>
        <v>0</v>
      </c>
      <c r="CA87" s="169">
        <f>ROW()</f>
        <v>87</v>
      </c>
      <c r="CB87" s="169">
        <f>IFERROR(_xlfn.XLOOKUP($A$1,$2:$2,87:87)-_xlfn.XLOOKUP(EDATE($A$1,-12),$2:$2,87:87),"")</f>
        <v>0</v>
      </c>
      <c r="CC87" s="169">
        <f t="shared" si="50"/>
        <v>-657680617.35091674</v>
      </c>
      <c r="CD87" s="169">
        <f t="shared" si="79"/>
        <v>-7892167408.2110004</v>
      </c>
      <c r="CE87" s="278" t="e">
        <f>HLOOKUP($A$1,$AW$2:$BH$391,ROW()-1,0)-HLOOKUP($A$1-1,$AW$2:$BH$391,ROW()-1,1)</f>
        <v>#N/A</v>
      </c>
    </row>
    <row r="88" spans="1:87" hidden="1" x14ac:dyDescent="0.55000000000000004">
      <c r="A88" s="7198"/>
      <c r="B88" s="101" t="s">
        <v>420</v>
      </c>
      <c r="C88" s="85"/>
      <c r="D88" s="201">
        <f t="shared" ref="D88:O88" si="80">D89+D90</f>
        <v>2036515203.9929996</v>
      </c>
      <c r="E88" s="202">
        <f t="shared" si="80"/>
        <v>2108381868.6540031</v>
      </c>
      <c r="F88" s="202">
        <f t="shared" si="80"/>
        <v>2049827789.452997</v>
      </c>
      <c r="G88" s="202">
        <f t="shared" si="80"/>
        <v>1927953529.8470035</v>
      </c>
      <c r="H88" s="202">
        <f t="shared" si="80"/>
        <v>1872401176.2289929</v>
      </c>
      <c r="I88" s="202">
        <f t="shared" si="80"/>
        <v>1897190158.0330014</v>
      </c>
      <c r="J88" s="202">
        <f t="shared" si="80"/>
        <v>1901767353.2729959</v>
      </c>
      <c r="K88" s="202">
        <f t="shared" si="80"/>
        <v>2335835097.374002</v>
      </c>
      <c r="L88" s="202">
        <f t="shared" si="80"/>
        <v>1780353816.0980053</v>
      </c>
      <c r="M88" s="202">
        <f t="shared" si="80"/>
        <v>2627923777.7219963</v>
      </c>
      <c r="N88" s="202">
        <f t="shared" si="80"/>
        <v>2150498471.2829928</v>
      </c>
      <c r="O88" s="202">
        <f t="shared" si="80"/>
        <v>2058172179.4479971</v>
      </c>
      <c r="P88" s="202">
        <f t="shared" si="65"/>
        <v>24746820421.406986</v>
      </c>
      <c r="Q88" s="203">
        <f t="shared" si="66"/>
        <v>2062235035.1172488</v>
      </c>
      <c r="R88" s="191"/>
      <c r="S88" s="201">
        <f t="shared" ref="S88:AD88" si="81">S89+S90</f>
        <v>2099344010.8769999</v>
      </c>
      <c r="T88" s="202">
        <f t="shared" si="81"/>
        <v>2594989916.6329985</v>
      </c>
      <c r="U88" s="202">
        <f t="shared" si="81"/>
        <v>2160393073.9419971</v>
      </c>
      <c r="V88" s="202">
        <f t="shared" si="81"/>
        <v>1890770507.9429994</v>
      </c>
      <c r="W88" s="202">
        <f t="shared" si="81"/>
        <v>2066140367.0420003</v>
      </c>
      <c r="X88" s="202">
        <f t="shared" si="81"/>
        <v>2173691975.3889999</v>
      </c>
      <c r="Y88" s="202">
        <f t="shared" si="81"/>
        <v>2327978743.5399995</v>
      </c>
      <c r="Z88" s="202">
        <f t="shared" si="81"/>
        <v>2763157510.7800021</v>
      </c>
      <c r="AA88" s="202">
        <f t="shared" si="81"/>
        <v>1764461743.241996</v>
      </c>
      <c r="AB88" s="202">
        <f t="shared" si="81"/>
        <v>3037777362.9910045</v>
      </c>
      <c r="AC88" s="202">
        <f t="shared" si="81"/>
        <v>2148286688.6940007</v>
      </c>
      <c r="AD88" s="202">
        <f t="shared" si="81"/>
        <v>2055003197.1500015</v>
      </c>
      <c r="AE88" s="202">
        <f t="shared" si="68"/>
        <v>27081995098.223</v>
      </c>
      <c r="AF88" s="203">
        <f t="shared" si="69"/>
        <v>2256832924.8519168</v>
      </c>
      <c r="AG88" s="191"/>
      <c r="AH88" s="201">
        <v>3137900549.9179983</v>
      </c>
      <c r="AI88" s="202">
        <v>2455966465.7279973</v>
      </c>
      <c r="AJ88" s="202">
        <v>2228048934.791997</v>
      </c>
      <c r="AK88" s="202">
        <v>2136467275.5339954</v>
      </c>
      <c r="AL88" s="202">
        <v>2144392263.3159952</v>
      </c>
      <c r="AM88" s="202">
        <v>1985689167.8280015</v>
      </c>
      <c r="AN88" s="202">
        <v>2696546195.2200027</v>
      </c>
      <c r="AO88" s="202">
        <v>2085441250.2269998</v>
      </c>
      <c r="AP88" s="202">
        <v>2951884356.5740008</v>
      </c>
      <c r="AQ88" s="202">
        <v>2636945145.3589964</v>
      </c>
      <c r="AR88" s="202">
        <v>2148286688.6940007</v>
      </c>
      <c r="AS88" s="202">
        <v>2118944589</v>
      </c>
      <c r="AT88" s="202">
        <f t="shared" si="70"/>
        <v>28726512882.189987</v>
      </c>
      <c r="AU88" s="203">
        <f t="shared" si="76"/>
        <v>2393876073.5158324</v>
      </c>
      <c r="AV88" s="191"/>
      <c r="AW88" s="500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>
        <f t="shared" si="71"/>
        <v>0</v>
      </c>
      <c r="BJ88" s="203"/>
      <c r="BK88" s="191"/>
      <c r="BL88" s="500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>
        <f t="shared" si="72"/>
        <v>0</v>
      </c>
      <c r="BY88" s="203">
        <f t="shared" si="73"/>
        <v>0</v>
      </c>
      <c r="CA88" s="169">
        <f>ROW()</f>
        <v>88</v>
      </c>
      <c r="CB88" s="169">
        <f>IFERROR(_xlfn.XLOOKUP($A$1,$2:$2,88:88)-_xlfn.XLOOKUP(EDATE($A$1,-12),$2:$2,88:88),"")</f>
        <v>0</v>
      </c>
      <c r="CC88" s="169">
        <f t="shared" si="50"/>
        <v>-2393876073.5158324</v>
      </c>
      <c r="CD88" s="169">
        <f t="shared" si="79"/>
        <v>-28726512882.189987</v>
      </c>
      <c r="CE88" s="278" t="e">
        <f>HLOOKUP($A$1,$AW$2:$BH$391,ROW()-1,0)-HLOOKUP($A$1-1,$AW$2:$BH$391,ROW()-1,1)</f>
        <v>#N/A</v>
      </c>
    </row>
    <row r="89" spans="1:87" hidden="1" x14ac:dyDescent="0.55000000000000004">
      <c r="A89" s="7198"/>
      <c r="B89" s="102"/>
      <c r="C89" s="86" t="s">
        <v>19</v>
      </c>
      <c r="D89" s="204">
        <v>1767965313.9149995</v>
      </c>
      <c r="E89" s="205">
        <v>1740546362.6710031</v>
      </c>
      <c r="F89" s="205">
        <v>1672953520.8099971</v>
      </c>
      <c r="G89" s="205">
        <v>1576751548.3980036</v>
      </c>
      <c r="H89" s="205">
        <v>1545594405.7519929</v>
      </c>
      <c r="I89" s="205">
        <v>1602932031.1860015</v>
      </c>
      <c r="J89" s="205">
        <v>1615756063.6429958</v>
      </c>
      <c r="K89" s="205">
        <v>1918787452.407002</v>
      </c>
      <c r="L89" s="205">
        <v>1451258443.6090052</v>
      </c>
      <c r="M89" s="205">
        <v>1965162589.3079967</v>
      </c>
      <c r="N89" s="205">
        <v>1751706940.5059929</v>
      </c>
      <c r="O89" s="205">
        <v>1710750369.6529973</v>
      </c>
      <c r="P89" s="205">
        <f t="shared" si="65"/>
        <v>20320165041.857986</v>
      </c>
      <c r="Q89" s="206">
        <f t="shared" si="66"/>
        <v>1693347086.8214989</v>
      </c>
      <c r="R89" s="191"/>
      <c r="S89" s="204">
        <v>1745642793.4599996</v>
      </c>
      <c r="T89" s="205">
        <v>2186236800.5599985</v>
      </c>
      <c r="U89" s="205">
        <v>1830397744.6959972</v>
      </c>
      <c r="V89" s="205">
        <v>1586072405.9329996</v>
      </c>
      <c r="W89" s="205">
        <v>1679746553.8800001</v>
      </c>
      <c r="X89" s="205">
        <v>1790625002.3270001</v>
      </c>
      <c r="Y89" s="205">
        <v>1867878615.7939997</v>
      </c>
      <c r="Z89" s="205">
        <v>2236411581.3400025</v>
      </c>
      <c r="AA89" s="205">
        <v>1461562104.0009959</v>
      </c>
      <c r="AB89" s="205">
        <v>2099065095.233005</v>
      </c>
      <c r="AC89" s="205">
        <v>1698767790.8640008</v>
      </c>
      <c r="AD89" s="205">
        <v>1687426600.8480017</v>
      </c>
      <c r="AE89" s="205">
        <f t="shared" si="68"/>
        <v>21869833088.936001</v>
      </c>
      <c r="AF89" s="206">
        <f t="shared" si="69"/>
        <v>1822486090.7446668</v>
      </c>
      <c r="AG89" s="191"/>
      <c r="AH89" s="204">
        <v>2459071143.1589985</v>
      </c>
      <c r="AI89" s="205">
        <v>1866698934.8109972</v>
      </c>
      <c r="AJ89" s="205">
        <v>1767582268.1049974</v>
      </c>
      <c r="AK89" s="205">
        <v>1645235310.2799952</v>
      </c>
      <c r="AL89" s="205">
        <v>1673698835.7749951</v>
      </c>
      <c r="AM89" s="205">
        <v>1610930397.1010015</v>
      </c>
      <c r="AN89" s="205">
        <v>2067062625.0190024</v>
      </c>
      <c r="AO89" s="205">
        <v>1582622397.4549994</v>
      </c>
      <c r="AP89" s="205">
        <v>1861872180.6950004</v>
      </c>
      <c r="AQ89" s="205">
        <v>1710643944.1939971</v>
      </c>
      <c r="AR89" s="205">
        <v>1698767790.8640008</v>
      </c>
      <c r="AS89" s="205">
        <v>1563717726</v>
      </c>
      <c r="AT89" s="205">
        <f t="shared" si="70"/>
        <v>21507903553.457989</v>
      </c>
      <c r="AU89" s="206">
        <f t="shared" si="76"/>
        <v>1792325296.1214991</v>
      </c>
      <c r="AV89" s="191"/>
      <c r="AW89" s="501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5">
        <f t="shared" si="71"/>
        <v>0</v>
      </c>
      <c r="BJ89" s="206"/>
      <c r="BK89" s="191"/>
      <c r="BL89" s="501"/>
      <c r="BM89" s="205"/>
      <c r="BN89" s="205"/>
      <c r="BO89" s="205"/>
      <c r="BP89" s="205"/>
      <c r="BQ89" s="205"/>
      <c r="BR89" s="205"/>
      <c r="BS89" s="205"/>
      <c r="BT89" s="205"/>
      <c r="BU89" s="205"/>
      <c r="BV89" s="205"/>
      <c r="BW89" s="205"/>
      <c r="BX89" s="205">
        <f t="shared" si="72"/>
        <v>0</v>
      </c>
      <c r="BY89" s="206">
        <f t="shared" si="73"/>
        <v>0</v>
      </c>
      <c r="CA89" s="169">
        <f>ROW()</f>
        <v>89</v>
      </c>
      <c r="CB89" s="169">
        <f>IFERROR(_xlfn.XLOOKUP($A$1,$2:$2,89:89)-_xlfn.XLOOKUP(EDATE($A$1,-12),$2:$2,89:89),"")</f>
        <v>0</v>
      </c>
      <c r="CC89" s="169">
        <f t="shared" si="50"/>
        <v>-1792325296.1214991</v>
      </c>
      <c r="CD89" s="169">
        <f t="shared" si="79"/>
        <v>-21507903553.457989</v>
      </c>
      <c r="CE89" s="278" t="e">
        <f>HLOOKUP($A$1,$AW$2:$BH$391,ROW()-1,0)-HLOOKUP($A$1-1,$AW$2:$BH$391,ROW()-1,1)</f>
        <v>#N/A</v>
      </c>
    </row>
    <row r="90" spans="1:87" ht="18" hidden="1" thickBot="1" x14ac:dyDescent="0.6">
      <c r="A90" s="7199"/>
      <c r="B90" s="103"/>
      <c r="C90" s="91" t="s">
        <v>875</v>
      </c>
      <c r="D90" s="207">
        <v>268549890.07800013</v>
      </c>
      <c r="E90" s="208">
        <v>367835505.98299992</v>
      </c>
      <c r="F90" s="208">
        <v>376874268.64299995</v>
      </c>
      <c r="G90" s="208">
        <v>351201981.44899994</v>
      </c>
      <c r="H90" s="208">
        <v>326806770.47700006</v>
      </c>
      <c r="I90" s="208">
        <v>294258126.84699994</v>
      </c>
      <c r="J90" s="208">
        <v>286011289.63</v>
      </c>
      <c r="K90" s="208">
        <v>417047644.96699989</v>
      </c>
      <c r="L90" s="208">
        <v>329095372.4890002</v>
      </c>
      <c r="M90" s="208">
        <v>662761188.41399956</v>
      </c>
      <c r="N90" s="208">
        <v>398791530.77699977</v>
      </c>
      <c r="O90" s="208">
        <v>347421809.79499996</v>
      </c>
      <c r="P90" s="208">
        <f t="shared" si="65"/>
        <v>4426655379.5489998</v>
      </c>
      <c r="Q90" s="209">
        <f t="shared" si="66"/>
        <v>368887948.29574996</v>
      </c>
      <c r="R90" s="191"/>
      <c r="S90" s="207">
        <v>353701217.41700017</v>
      </c>
      <c r="T90" s="208">
        <v>408753116.07299978</v>
      </c>
      <c r="U90" s="208">
        <v>329995329.24599999</v>
      </c>
      <c r="V90" s="208">
        <v>304698102.00999987</v>
      </c>
      <c r="W90" s="208">
        <v>386393813.16200012</v>
      </c>
      <c r="X90" s="208">
        <v>383066973.06199992</v>
      </c>
      <c r="Y90" s="208">
        <v>460100127.74599975</v>
      </c>
      <c r="Z90" s="208">
        <v>526745929.43999952</v>
      </c>
      <c r="AA90" s="208">
        <v>302899639.24100012</v>
      </c>
      <c r="AB90" s="208">
        <v>938712267.75799942</v>
      </c>
      <c r="AC90" s="208">
        <v>449518897.8300001</v>
      </c>
      <c r="AD90" s="208">
        <v>367576596.30199975</v>
      </c>
      <c r="AE90" s="208">
        <f t="shared" si="68"/>
        <v>5212162009.2869987</v>
      </c>
      <c r="AF90" s="209">
        <f t="shared" si="69"/>
        <v>434346834.10724992</v>
      </c>
      <c r="AG90" s="191"/>
      <c r="AH90" s="207">
        <v>678829406.75899959</v>
      </c>
      <c r="AI90" s="208">
        <v>589267530.91699994</v>
      </c>
      <c r="AJ90" s="208">
        <v>460466666.6869998</v>
      </c>
      <c r="AK90" s="208">
        <v>491231965.25400013</v>
      </c>
      <c r="AL90" s="208">
        <v>470693427.54100007</v>
      </c>
      <c r="AM90" s="208">
        <v>374758770.72699994</v>
      </c>
      <c r="AN90" s="208">
        <v>629483570.20100009</v>
      </c>
      <c r="AO90" s="208">
        <v>502818852.77200025</v>
      </c>
      <c r="AP90" s="208">
        <v>1090012175.8790004</v>
      </c>
      <c r="AQ90" s="208">
        <v>926301201.16499949</v>
      </c>
      <c r="AR90" s="208">
        <v>449518897.8300001</v>
      </c>
      <c r="AS90" s="208">
        <v>555226863</v>
      </c>
      <c r="AT90" s="208">
        <f t="shared" si="70"/>
        <v>7218609328.7320004</v>
      </c>
      <c r="AU90" s="209">
        <f t="shared" si="76"/>
        <v>601550777.39433336</v>
      </c>
      <c r="AV90" s="191"/>
      <c r="AW90" s="502"/>
      <c r="AX90" s="208"/>
      <c r="AY90" s="208"/>
      <c r="AZ90" s="208"/>
      <c r="BA90" s="208"/>
      <c r="BB90" s="208"/>
      <c r="BC90" s="208"/>
      <c r="BD90" s="208"/>
      <c r="BE90" s="208"/>
      <c r="BF90" s="208"/>
      <c r="BG90" s="208"/>
      <c r="BH90" s="208"/>
      <c r="BI90" s="208">
        <f t="shared" si="71"/>
        <v>0</v>
      </c>
      <c r="BJ90" s="209"/>
      <c r="BK90" s="191"/>
      <c r="BL90" s="502"/>
      <c r="BM90" s="208"/>
      <c r="BN90" s="208"/>
      <c r="BO90" s="208"/>
      <c r="BP90" s="208"/>
      <c r="BQ90" s="208"/>
      <c r="BR90" s="208"/>
      <c r="BS90" s="208"/>
      <c r="BT90" s="208"/>
      <c r="BU90" s="208"/>
      <c r="BV90" s="208"/>
      <c r="BW90" s="208"/>
      <c r="BX90" s="208">
        <f t="shared" si="72"/>
        <v>0</v>
      </c>
      <c r="BY90" s="209">
        <f t="shared" si="73"/>
        <v>0</v>
      </c>
      <c r="CA90" s="169">
        <f>ROW()</f>
        <v>90</v>
      </c>
      <c r="CB90" s="169">
        <f>IFERROR(_xlfn.XLOOKUP($A$1,$2:$2,90:90)-_xlfn.XLOOKUP(EDATE($A$1,-12),$2:$2,90:90),"")</f>
        <v>0</v>
      </c>
      <c r="CC90" s="169">
        <f t="shared" si="50"/>
        <v>-601550777.39433336</v>
      </c>
      <c r="CD90" s="169">
        <f t="shared" si="79"/>
        <v>-7218609328.7320004</v>
      </c>
      <c r="CE90" s="278" t="e">
        <f>HLOOKUP($A$1,$AW$2:$BH$391,ROW()-1,0)-HLOOKUP($A$1-1,$AW$2:$BH$391,ROW()-1,1)</f>
        <v>#N/A</v>
      </c>
    </row>
    <row r="91" spans="1:87" s="3" customFormat="1" ht="7.3" customHeight="1" x14ac:dyDescent="0.55000000000000004">
      <c r="A91" s="58"/>
      <c r="B91" s="104"/>
      <c r="C91" s="87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57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57"/>
      <c r="AH91" s="80"/>
      <c r="AI91" s="80"/>
      <c r="AJ91" s="80"/>
      <c r="AK91" s="80"/>
      <c r="AL91" s="80"/>
      <c r="AM91" s="80"/>
      <c r="AN91" s="80"/>
      <c r="AO91" s="80"/>
      <c r="AP91" s="80"/>
      <c r="AQ91" s="396"/>
      <c r="AR91" s="80"/>
      <c r="AS91" s="80"/>
      <c r="AT91" s="80"/>
      <c r="AU91" s="80"/>
      <c r="AV91" s="469"/>
      <c r="AW91" s="475"/>
      <c r="AX91" s="80"/>
      <c r="AY91" s="396"/>
      <c r="AZ91" s="80"/>
      <c r="BA91" s="396"/>
      <c r="BB91" s="396"/>
      <c r="BC91" s="80"/>
      <c r="BD91" s="80"/>
      <c r="BE91" s="80"/>
      <c r="BF91" s="396"/>
      <c r="BG91" s="80"/>
      <c r="BH91" s="80"/>
      <c r="BI91" s="80"/>
      <c r="BJ91" s="80"/>
      <c r="BK91" s="4392"/>
      <c r="BL91" s="475"/>
      <c r="BM91" s="396"/>
      <c r="BN91" s="396"/>
      <c r="BO91" s="80"/>
      <c r="BP91" s="396"/>
      <c r="BQ91" s="396"/>
      <c r="BR91" s="80"/>
      <c r="BS91" s="80"/>
      <c r="BT91" s="80"/>
      <c r="BU91" s="396"/>
      <c r="BV91" s="80"/>
      <c r="BW91" s="80"/>
      <c r="BX91" s="80"/>
      <c r="BY91" s="80"/>
      <c r="CB91" s="169">
        <f>IFERROR(_xlfn.XLOOKUP($A$1,$2:$2,91:91)-_xlfn.XLOOKUP(EDATE($A$1,-12),$2:$2,91:91),"")</f>
        <v>0</v>
      </c>
      <c r="CD91"/>
      <c r="CE91"/>
      <c r="CF91"/>
      <c r="CG91"/>
      <c r="CH91"/>
      <c r="CI91"/>
    </row>
    <row r="92" spans="1:87" s="90" customFormat="1" ht="10.3" customHeight="1" x14ac:dyDescent="0.55000000000000004">
      <c r="A92" s="59"/>
      <c r="B92" s="105"/>
      <c r="C92" s="88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57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57"/>
      <c r="AH92" s="89"/>
      <c r="AI92" s="89"/>
      <c r="AJ92" s="89"/>
      <c r="AK92" s="89"/>
      <c r="AL92" s="89"/>
      <c r="AM92" s="89"/>
      <c r="AN92" s="89"/>
      <c r="AO92" s="89"/>
      <c r="AP92" s="89"/>
      <c r="AQ92" s="425"/>
      <c r="AR92" s="89"/>
      <c r="AS92" s="89"/>
      <c r="AT92" s="89"/>
      <c r="AU92" s="89"/>
      <c r="AV92" s="469"/>
      <c r="AW92" s="503"/>
      <c r="AX92" s="89"/>
      <c r="AY92" s="425"/>
      <c r="AZ92" s="89"/>
      <c r="BA92" s="425"/>
      <c r="BB92" s="425"/>
      <c r="BC92" s="89"/>
      <c r="BD92" s="89"/>
      <c r="BE92" s="89"/>
      <c r="BF92" s="425"/>
      <c r="BG92" s="89"/>
      <c r="BH92" s="89"/>
      <c r="BI92" s="89"/>
      <c r="BJ92" s="89"/>
      <c r="BK92" s="4392"/>
      <c r="BL92" s="503"/>
      <c r="BM92" s="425"/>
      <c r="BN92" s="425"/>
      <c r="BO92" s="89"/>
      <c r="BP92" s="425"/>
      <c r="BQ92" s="425"/>
      <c r="BR92" s="89"/>
      <c r="BS92" s="89"/>
      <c r="BT92" s="89"/>
      <c r="BU92" s="425"/>
      <c r="BV92" s="89"/>
      <c r="BW92" s="89"/>
      <c r="BX92" s="89"/>
      <c r="BY92" s="89"/>
      <c r="CB92" s="443"/>
      <c r="CD92" s="60"/>
    </row>
    <row r="93" spans="1:87" s="46" customFormat="1" ht="10.3" customHeight="1" thickBot="1" x14ac:dyDescent="0.6">
      <c r="A93" s="4717"/>
      <c r="B93" s="4718"/>
      <c r="C93" s="4719"/>
      <c r="D93" s="4688"/>
      <c r="E93" s="4688"/>
      <c r="F93" s="4688"/>
      <c r="G93" s="4688"/>
      <c r="H93" s="4688"/>
      <c r="I93" s="4688"/>
      <c r="J93" s="4688"/>
      <c r="K93" s="4688"/>
      <c r="L93" s="4688"/>
      <c r="M93" s="4688"/>
      <c r="N93" s="4688"/>
      <c r="O93" s="4688"/>
      <c r="P93" s="4688"/>
      <c r="Q93" s="4688"/>
      <c r="R93" s="4688"/>
      <c r="S93" s="4688"/>
      <c r="T93" s="4688"/>
      <c r="U93" s="4688"/>
      <c r="V93" s="4688"/>
      <c r="W93" s="4688"/>
      <c r="X93" s="4688"/>
      <c r="Y93" s="4688"/>
      <c r="Z93" s="4688"/>
      <c r="AA93" s="4688"/>
      <c r="AB93" s="4688"/>
      <c r="AC93" s="4688"/>
      <c r="AD93" s="4688"/>
      <c r="AE93" s="4688"/>
      <c r="AF93" s="4688"/>
      <c r="AG93" s="4688"/>
      <c r="AH93" s="4688"/>
      <c r="AI93" s="4688"/>
      <c r="AJ93" s="4688"/>
      <c r="AK93" s="4688"/>
      <c r="AL93" s="4688"/>
      <c r="AM93" s="4688"/>
      <c r="AN93" s="4688"/>
      <c r="AO93" s="4688"/>
      <c r="AP93" s="4688"/>
      <c r="AQ93" s="4686"/>
      <c r="AR93" s="4688"/>
      <c r="AS93" s="4688"/>
      <c r="AT93" s="4688"/>
      <c r="AU93" s="4688"/>
      <c r="AV93" s="4688"/>
      <c r="AW93" s="4720"/>
      <c r="AX93" s="4688"/>
      <c r="AY93" s="4686"/>
      <c r="AZ93" s="4688"/>
      <c r="BA93" s="4686"/>
      <c r="BB93" s="4686"/>
      <c r="BC93" s="4688"/>
      <c r="BD93" s="4688"/>
      <c r="BE93" s="4688"/>
      <c r="BF93" s="4686"/>
      <c r="BG93" s="4688"/>
      <c r="BH93" s="4688"/>
      <c r="BI93" s="4688"/>
      <c r="BJ93" s="4688"/>
      <c r="BK93" s="4688"/>
      <c r="BL93" s="4720"/>
      <c r="BM93" s="6238"/>
      <c r="BN93" s="4686"/>
      <c r="BO93" s="4688"/>
      <c r="BP93" s="4686"/>
      <c r="BQ93" s="4686"/>
      <c r="BR93" s="4688"/>
      <c r="BS93" s="4688"/>
      <c r="BT93" s="4688"/>
      <c r="BU93" s="4686"/>
      <c r="BV93" s="4688"/>
      <c r="BW93" s="4688"/>
      <c r="BX93" s="4688"/>
      <c r="BY93" s="4688"/>
      <c r="CB93" s="4721"/>
      <c r="CD93" s="330"/>
    </row>
    <row r="94" spans="1:87" ht="21.55" customHeight="1" x14ac:dyDescent="0.55000000000000004">
      <c r="A94" s="4693" t="s">
        <v>1158</v>
      </c>
      <c r="B94" s="4694" t="s">
        <v>1157</v>
      </c>
      <c r="C94" s="4695"/>
      <c r="D94" s="4696"/>
      <c r="E94" s="4696"/>
      <c r="F94" s="4696"/>
      <c r="G94" s="4696"/>
      <c r="H94" s="4696"/>
      <c r="I94" s="4696"/>
      <c r="J94" s="4696"/>
      <c r="K94" s="4696"/>
      <c r="L94" s="4696"/>
      <c r="M94" s="4696"/>
      <c r="N94" s="4696"/>
      <c r="O94" s="4696"/>
      <c r="P94" s="4696"/>
      <c r="Q94" s="4697"/>
      <c r="R94" s="183"/>
      <c r="S94" s="4705">
        <v>0.33787175123316121</v>
      </c>
      <c r="T94" s="4706">
        <v>0.33673075438190103</v>
      </c>
      <c r="U94" s="4706">
        <v>0.34027311995278081</v>
      </c>
      <c r="V94" s="4706">
        <v>0.34592486142475876</v>
      </c>
      <c r="W94" s="4706">
        <v>0.35140293949226953</v>
      </c>
      <c r="X94" s="4706">
        <v>0.35617931196983976</v>
      </c>
      <c r="Y94" s="4706">
        <v>0.34039981403998143</v>
      </c>
      <c r="Z94" s="4706">
        <v>0.32317431926760959</v>
      </c>
      <c r="AA94" s="4706">
        <v>0.33479941356790616</v>
      </c>
      <c r="AB94" s="4706">
        <v>0.33431613431613433</v>
      </c>
      <c r="AC94" s="4706">
        <v>0.34381900124013187</v>
      </c>
      <c r="AD94" s="4706">
        <v>0.28388287165724146</v>
      </c>
      <c r="AE94" s="4696"/>
      <c r="AF94" s="4707">
        <v>0.33466525830078803</v>
      </c>
      <c r="AG94" s="183"/>
      <c r="AH94" s="4705">
        <v>0.30240376836087085</v>
      </c>
      <c r="AI94" s="4706">
        <v>0.28138622020775955</v>
      </c>
      <c r="AJ94" s="4706">
        <v>0.27626877078470657</v>
      </c>
      <c r="AK94" s="4706">
        <v>0.28459412558647729</v>
      </c>
      <c r="AL94" s="4706">
        <v>0.29096109133556924</v>
      </c>
      <c r="AM94" s="4706">
        <v>0.29886309047237791</v>
      </c>
      <c r="AN94" s="4706">
        <v>0.28899507167337951</v>
      </c>
      <c r="AO94" s="4706">
        <v>0.28192418182842338</v>
      </c>
      <c r="AP94" s="4706">
        <v>0.30680027730509868</v>
      </c>
      <c r="AQ94" s="4706">
        <v>0.2682902485277972</v>
      </c>
      <c r="AR94" s="4706">
        <v>0.27267925524891062</v>
      </c>
      <c r="AS94" s="4706">
        <v>0.26418197530175896</v>
      </c>
      <c r="AT94" s="4696"/>
      <c r="AU94" s="4707">
        <v>0.28416091057018561</v>
      </c>
      <c r="AV94" s="183"/>
      <c r="AW94" s="4711">
        <v>0.27355267889248469</v>
      </c>
      <c r="AX94" s="4712">
        <v>0.28989645119131396</v>
      </c>
      <c r="AY94" s="4712">
        <v>0.29195652173913045</v>
      </c>
      <c r="AZ94" s="4712">
        <v>0.31255863180429605</v>
      </c>
      <c r="BA94" s="4712">
        <v>0.31335876514429017</v>
      </c>
      <c r="BB94" s="4712">
        <v>0.33667481151974604</v>
      </c>
      <c r="BC94" s="4712">
        <v>0.35286598761733573</v>
      </c>
      <c r="BD94" s="4712">
        <v>0.24433726213208665</v>
      </c>
      <c r="BE94" s="4712">
        <v>0.36561587978390908</v>
      </c>
      <c r="BF94" s="4712">
        <v>0.30965862751951528</v>
      </c>
      <c r="BG94" s="4712">
        <v>0.31752462461702075</v>
      </c>
      <c r="BH94" s="4712">
        <v>0.31537012524182872</v>
      </c>
      <c r="BI94" s="4706">
        <v>0.30990663900414939</v>
      </c>
      <c r="BJ94" s="4713">
        <v>0.30990663900414939</v>
      </c>
      <c r="BK94" s="183"/>
      <c r="BL94" s="6215">
        <v>0.35083694837493468</v>
      </c>
      <c r="BM94" s="4712">
        <v>0.32338250667905682</v>
      </c>
      <c r="BN94" s="4696"/>
      <c r="BO94" s="4696"/>
      <c r="BP94" s="4696"/>
      <c r="BQ94" s="4696"/>
      <c r="BR94" s="4696"/>
      <c r="BS94" s="4696"/>
      <c r="BT94" s="4696"/>
      <c r="BU94" s="4696"/>
      <c r="BV94" s="4696"/>
      <c r="BW94" s="4696"/>
      <c r="BX94" s="4696"/>
      <c r="BY94" s="4707">
        <f>AVERAGE(BL94:BW94)</f>
        <v>0.33710972752699575</v>
      </c>
      <c r="CA94" s="169"/>
      <c r="CB94" s="171">
        <f>IFERROR(_xlfn.XLOOKUP($A$1,$2:$2,94:94)-_xlfn.XLOOKUP(EDATE($A$1,-12),$2:$2,94:94),"")</f>
        <v>3.3486055487742861E-2</v>
      </c>
      <c r="CC94" s="171">
        <f t="shared" ref="CC94" si="82">BJ94-AU94</f>
        <v>2.5745728433963777E-2</v>
      </c>
      <c r="CD94" s="171">
        <f>IFERROR(
  SUM(
    _xlfn.XLOOKUP(DATE(YEAR($A$1),1,1),$2:$2,94:94):
    _xlfn.XLOOKUP($A$1,$2:$2,94:94)
  )
 -SUM(
    _xlfn.XLOOKUP(DATE(YEAR($A$1)-1,1,1),$2:$2,94:94):
    _xlfn.XLOOKUP(EDATE($A$1,-12),$2:$2,94:94)
  ),"")</f>
        <v>0.11077032497019279</v>
      </c>
      <c r="CE94" s="6413">
        <f>IFERROR(
  _xlfn.XLOOKUP($A$1,$B$2:$BY$2,$B94:$BY94)
 -_xlfn.XLOOKUP(EDATE($A$1,-1),$B$2:$BY$2,$B94:$BY94),"")</f>
        <v>-2.7454441695877851E-2</v>
      </c>
    </row>
    <row r="95" spans="1:87" ht="21.55" customHeight="1" thickBot="1" x14ac:dyDescent="0.6">
      <c r="A95" s="4698" t="s">
        <v>1172</v>
      </c>
      <c r="B95" s="4699" t="s">
        <v>1157</v>
      </c>
      <c r="C95" s="4700"/>
      <c r="D95" s="4701"/>
      <c r="E95" s="4701"/>
      <c r="F95" s="4701"/>
      <c r="G95" s="4701"/>
      <c r="H95" s="4701"/>
      <c r="I95" s="4701"/>
      <c r="J95" s="4701"/>
      <c r="K95" s="4701"/>
      <c r="L95" s="4701"/>
      <c r="M95" s="4701"/>
      <c r="N95" s="4701"/>
      <c r="O95" s="4701"/>
      <c r="P95" s="4701"/>
      <c r="Q95" s="4702"/>
      <c r="R95" s="183"/>
      <c r="S95" s="4708">
        <v>0.26220622485708234</v>
      </c>
      <c r="T95" s="4709">
        <v>0.27711931369229031</v>
      </c>
      <c r="U95" s="4709">
        <v>0.2595657821488217</v>
      </c>
      <c r="V95" s="4709">
        <v>0.27896660779562166</v>
      </c>
      <c r="W95" s="4709">
        <v>0.27865098769744245</v>
      </c>
      <c r="X95" s="4709">
        <v>0.27718550106609807</v>
      </c>
      <c r="Y95" s="4709">
        <v>0.25099584529061547</v>
      </c>
      <c r="Z95" s="4709">
        <v>0.25780994171196542</v>
      </c>
      <c r="AA95" s="4709">
        <v>0.25605654191680505</v>
      </c>
      <c r="AB95" s="4709">
        <v>0.25067084078711988</v>
      </c>
      <c r="AC95" s="4709">
        <v>0.27032236896070871</v>
      </c>
      <c r="AD95" s="4709">
        <v>0.26525534898448455</v>
      </c>
      <c r="AE95" s="4701"/>
      <c r="AF95" s="4710">
        <v>0.26313118076957526</v>
      </c>
      <c r="AG95" s="183"/>
      <c r="AH95" s="4708">
        <v>0.2768208745676814</v>
      </c>
      <c r="AI95" s="4709">
        <v>0.26007765902085583</v>
      </c>
      <c r="AJ95" s="4709">
        <v>0.2646319809708868</v>
      </c>
      <c r="AK95" s="4709">
        <v>0.28950718312420437</v>
      </c>
      <c r="AL95" s="4709">
        <v>0.29955153903648846</v>
      </c>
      <c r="AM95" s="4709">
        <v>0.29264001197963463</v>
      </c>
      <c r="AN95" s="4709">
        <v>0.29312645979312646</v>
      </c>
      <c r="AO95" s="4709">
        <v>0.28902045209903121</v>
      </c>
      <c r="AP95" s="4709">
        <v>0.28846835353320577</v>
      </c>
      <c r="AQ95" s="4709">
        <v>0.27751963350785341</v>
      </c>
      <c r="AR95" s="4709">
        <v>0.29018456969096951</v>
      </c>
      <c r="AS95" s="4709">
        <v>0.27934815035799521</v>
      </c>
      <c r="AT95" s="4701"/>
      <c r="AU95" s="4710">
        <v>0.2769903298450126</v>
      </c>
      <c r="AV95" s="183"/>
      <c r="AW95" s="4714">
        <v>0.2766663966955536</v>
      </c>
      <c r="AX95" s="4715">
        <v>0.31161837153085892</v>
      </c>
      <c r="AY95" s="4715">
        <v>0.30004396496330615</v>
      </c>
      <c r="AZ95" s="4715">
        <v>0.31788744252315265</v>
      </c>
      <c r="BA95" s="4715">
        <v>0.28822559970701339</v>
      </c>
      <c r="BB95" s="4715">
        <v>0.30318968884259861</v>
      </c>
      <c r="BC95" s="4715">
        <v>0.32081042801930049</v>
      </c>
      <c r="BD95" s="4715">
        <v>0.31598666345856391</v>
      </c>
      <c r="BE95" s="4715">
        <v>0.31415696335767385</v>
      </c>
      <c r="BF95" s="4715">
        <v>0.2774830533451223</v>
      </c>
      <c r="BG95" s="4715">
        <v>0.28424983803970882</v>
      </c>
      <c r="BH95" s="4715">
        <v>0.27302316676239707</v>
      </c>
      <c r="BI95" s="4709">
        <v>0.29951077454818442</v>
      </c>
      <c r="BJ95" s="4716">
        <v>0.29951077454818442</v>
      </c>
      <c r="BK95" s="183"/>
      <c r="BL95" s="6216">
        <v>0.31847673818476741</v>
      </c>
      <c r="BM95" s="4715">
        <v>0.33475445223961142</v>
      </c>
      <c r="BN95" s="4701"/>
      <c r="BO95" s="4701"/>
      <c r="BP95" s="4701"/>
      <c r="BQ95" s="4701"/>
      <c r="BR95" s="4701"/>
      <c r="BS95" s="4701"/>
      <c r="BT95" s="4701"/>
      <c r="BU95" s="4701"/>
      <c r="BV95" s="4701"/>
      <c r="BW95" s="4701"/>
      <c r="BX95" s="4701"/>
      <c r="BY95" s="4710">
        <f>AVERAGE(BL95:BW95)</f>
        <v>0.32661559521218941</v>
      </c>
      <c r="CA95" s="169"/>
      <c r="CB95" s="171">
        <f>IFERROR(_xlfn.XLOOKUP($A$1,$2:$2,95:95)-_xlfn.XLOOKUP(EDATE($A$1,-12),$2:$2,95:95),"")</f>
        <v>2.3136080708752504E-2</v>
      </c>
      <c r="CC95" s="171">
        <f t="shared" ref="CC95:CC158" si="83">BJ95-AU95</f>
        <v>2.2520444703171827E-2</v>
      </c>
      <c r="CD95" s="171">
        <f>IFERROR(
  SUM(
    _xlfn.XLOOKUP(DATE(YEAR($A$1),1,1),$2:$2,95:95):
    _xlfn.XLOOKUP($A$1,$2:$2,95:95)
  )
 -SUM(
    _xlfn.XLOOKUP(DATE(YEAR($A$1)-1,1,1),$2:$2,95:95):
    _xlfn.XLOOKUP(EDATE($A$1,-12),$2:$2,95:95)
  ),"")</f>
        <v>6.4946422197966314E-2</v>
      </c>
      <c r="CE95" s="6413">
        <f>IFERROR(
  _xlfn.XLOOKUP($A$1,$B$2:$BY$2,$B95:$BY95)
 -_xlfn.XLOOKUP(EDATE($A$1,-1),$B$2:$BY$2,$B95:$BY95),"")</f>
        <v>1.6277714054844017E-2</v>
      </c>
    </row>
    <row r="96" spans="1:87" s="94" customFormat="1" ht="7.75" customHeight="1" thickBot="1" x14ac:dyDescent="0.6">
      <c r="A96" s="170"/>
      <c r="B96" s="104"/>
      <c r="C96" s="87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57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57"/>
      <c r="AH96" s="80"/>
      <c r="AI96" s="80"/>
      <c r="AJ96" s="80"/>
      <c r="AK96" s="80"/>
      <c r="AL96" s="80"/>
      <c r="AM96" s="80"/>
      <c r="AN96" s="80"/>
      <c r="AO96" s="80"/>
      <c r="AP96" s="80"/>
      <c r="AQ96" s="54"/>
      <c r="AR96" s="80"/>
      <c r="AS96" s="80"/>
      <c r="AT96" s="80"/>
      <c r="AU96" s="80"/>
      <c r="AV96" s="469"/>
      <c r="AW96" s="5580"/>
      <c r="AX96" s="80"/>
      <c r="AY96" s="54"/>
      <c r="AZ96" s="80"/>
      <c r="BA96" s="54"/>
      <c r="BB96" s="54"/>
      <c r="BC96" s="80"/>
      <c r="BD96" s="80"/>
      <c r="BE96" s="80"/>
      <c r="BF96" s="54"/>
      <c r="BG96" s="80"/>
      <c r="BH96" s="80"/>
      <c r="BI96" s="80"/>
      <c r="BJ96" s="80"/>
      <c r="BK96" s="4392"/>
      <c r="BL96" s="475"/>
      <c r="BM96" s="396"/>
      <c r="BN96" s="54"/>
      <c r="BO96" s="80"/>
      <c r="BP96" s="54"/>
      <c r="BQ96" s="54"/>
      <c r="BR96" s="80"/>
      <c r="BS96" s="80"/>
      <c r="BT96" s="80"/>
      <c r="BU96" s="54"/>
      <c r="BV96" s="80"/>
      <c r="BW96" s="80"/>
      <c r="BX96" s="80"/>
      <c r="BY96" s="80"/>
      <c r="CB96" s="444">
        <f>IFERROR(_xlfn.XLOOKUP($A$1,$2:$2,96:96)-_xlfn.XLOOKUP(EDATE($A$1,-12),$2:$2,96:96),"")</f>
        <v>0</v>
      </c>
      <c r="CC96" s="94">
        <f t="shared" si="83"/>
        <v>0</v>
      </c>
      <c r="CD96" s="300">
        <f>IFERROR(
  SUM(
    _xlfn.XLOOKUP(DATE(YEAR($A$1),1,1),$2:$2,96:96):
    _xlfn.XLOOKUP($A$1,$2:$2,96:96)
  )
 -SUM(
    _xlfn.XLOOKUP(DATE(YEAR($A$1)-1,1,1),$2:$2,96:96):
    _xlfn.XLOOKUP(EDATE($A$1,-12),$2:$2,96:96)
  ),"")</f>
        <v>0</v>
      </c>
      <c r="CE96" s="94">
        <f>IFERROR(
  _xlfn.XLOOKUP($A$1,$B$2:$BY$2,$B96:$BY96)
 -_xlfn.XLOOKUP(EDATE($A$1,-1),$B$2:$BY$2,$B96:$BY96),"")</f>
        <v>0</v>
      </c>
    </row>
    <row r="97" spans="1:83" s="3" customFormat="1" ht="21.55" customHeight="1" x14ac:dyDescent="0.55000000000000004">
      <c r="A97" s="5581" t="s">
        <v>1168</v>
      </c>
      <c r="B97" s="5582" t="s">
        <v>1157</v>
      </c>
      <c r="C97" s="5583"/>
      <c r="D97" s="5584"/>
      <c r="E97" s="5584"/>
      <c r="F97" s="5584"/>
      <c r="G97" s="5584"/>
      <c r="H97" s="5584"/>
      <c r="I97" s="5584"/>
      <c r="J97" s="5584"/>
      <c r="K97" s="5584"/>
      <c r="L97" s="5584"/>
      <c r="M97" s="5584"/>
      <c r="N97" s="5584"/>
      <c r="O97" s="5584"/>
      <c r="P97" s="5584"/>
      <c r="Q97" s="5585"/>
      <c r="R97" s="4691"/>
      <c r="S97" s="5591"/>
      <c r="T97" s="5584"/>
      <c r="U97" s="5584"/>
      <c r="V97" s="5584"/>
      <c r="W97" s="5584"/>
      <c r="X97" s="5584"/>
      <c r="Y97" s="5584"/>
      <c r="Z97" s="5584"/>
      <c r="AA97" s="5584"/>
      <c r="AB97" s="5584"/>
      <c r="AC97" s="5584"/>
      <c r="AD97" s="5584"/>
      <c r="AE97" s="5584"/>
      <c r="AF97" s="5585"/>
      <c r="AG97" s="4691"/>
      <c r="AH97" s="5591"/>
      <c r="AI97" s="5584"/>
      <c r="AJ97" s="5584"/>
      <c r="AK97" s="5584"/>
      <c r="AL97" s="5584"/>
      <c r="AM97" s="5584"/>
      <c r="AN97" s="5584"/>
      <c r="AO97" s="5584"/>
      <c r="AP97" s="5584"/>
      <c r="AQ97" s="5593"/>
      <c r="AR97" s="5584"/>
      <c r="AS97" s="5584"/>
      <c r="AT97" s="5584"/>
      <c r="AU97" s="5585"/>
      <c r="AV97" s="4691"/>
      <c r="AW97" s="5595">
        <v>1095</v>
      </c>
      <c r="AX97" s="5593">
        <v>2711</v>
      </c>
      <c r="AY97" s="5593">
        <v>1427</v>
      </c>
      <c r="AZ97" s="5593">
        <v>2603</v>
      </c>
      <c r="BA97" s="5593">
        <v>10936</v>
      </c>
      <c r="BB97" s="5593">
        <v>5155</v>
      </c>
      <c r="BC97" s="5593">
        <v>6269</v>
      </c>
      <c r="BD97" s="5593">
        <v>3062</v>
      </c>
      <c r="BE97" s="5593">
        <v>2961</v>
      </c>
      <c r="BF97" s="5593">
        <v>1757</v>
      </c>
      <c r="BG97" s="5593">
        <v>1307</v>
      </c>
      <c r="BH97" s="5593">
        <v>254</v>
      </c>
      <c r="BI97" s="5593">
        <f>SUM(AW97:BH97)</f>
        <v>39537</v>
      </c>
      <c r="BJ97" s="5585">
        <f t="shared" ref="BJ97:BJ98" si="84">AVERAGE(AW97:BH97)</f>
        <v>3294.75</v>
      </c>
      <c r="BK97" s="4691"/>
      <c r="BL97" s="5595">
        <v>-4737</v>
      </c>
      <c r="BM97" s="5593">
        <v>-591</v>
      </c>
      <c r="BN97" s="5593"/>
      <c r="BO97" s="5584"/>
      <c r="BP97" s="5593"/>
      <c r="BQ97" s="5593"/>
      <c r="BR97" s="5584"/>
      <c r="BS97" s="5584"/>
      <c r="BT97" s="5584"/>
      <c r="BU97" s="5593"/>
      <c r="BV97" s="5584"/>
      <c r="BW97" s="5584"/>
      <c r="BX97" s="5584"/>
      <c r="BY97" s="5585">
        <f t="shared" ref="BY97:BY98" si="85">AVERAGE(BL97:BW97)</f>
        <v>-2664</v>
      </c>
      <c r="CB97" s="325">
        <f>IFERROR(_xlfn.XLOOKUP($A$1,$2:$2,97:97)-_xlfn.XLOOKUP(EDATE($A$1,-12),$2:$2,97:97),"")</f>
        <v>-3302</v>
      </c>
      <c r="CC97" s="3">
        <f t="shared" si="83"/>
        <v>3294.75</v>
      </c>
      <c r="CD97" s="1">
        <f>IFERROR(
  SUM(
    _xlfn.XLOOKUP(DATE(YEAR($A$1),1,1),$2:$2,97:97):
    _xlfn.XLOOKUP($A$1,$2:$2,97:97)
  )
 -SUM(
    _xlfn.XLOOKUP(DATE(YEAR($A$1)-1,1,1),$2:$2,97:97):
    _xlfn.XLOOKUP(EDATE($A$1,-12),$2:$2,97:97)
  ),"")</f>
        <v>-9134</v>
      </c>
      <c r="CE97" s="3">
        <f>IFERROR(
  _xlfn.XLOOKUP($A$1,$B$2:$BY$2,$B97:$BY97)
 -_xlfn.XLOOKUP(EDATE($A$1,-1),$B$2:$BY$2,$B97:$BY97),"")</f>
        <v>4146</v>
      </c>
    </row>
    <row r="98" spans="1:83" s="3" customFormat="1" ht="21.55" customHeight="1" thickBot="1" x14ac:dyDescent="0.6">
      <c r="A98" s="5586" t="s">
        <v>1169</v>
      </c>
      <c r="B98" s="5587" t="s">
        <v>1157</v>
      </c>
      <c r="C98" s="5588"/>
      <c r="D98" s="5589"/>
      <c r="E98" s="5589"/>
      <c r="F98" s="5589"/>
      <c r="G98" s="5589"/>
      <c r="H98" s="5589"/>
      <c r="I98" s="5589"/>
      <c r="J98" s="5589"/>
      <c r="K98" s="5589"/>
      <c r="L98" s="5589"/>
      <c r="M98" s="5589"/>
      <c r="N98" s="5589"/>
      <c r="O98" s="5589"/>
      <c r="P98" s="5589"/>
      <c r="Q98" s="5590"/>
      <c r="R98" s="4691"/>
      <c r="S98" s="5592"/>
      <c r="T98" s="5589"/>
      <c r="U98" s="5589"/>
      <c r="V98" s="5589"/>
      <c r="W98" s="5589"/>
      <c r="X98" s="5589"/>
      <c r="Y98" s="5589"/>
      <c r="Z98" s="5589"/>
      <c r="AA98" s="5589"/>
      <c r="AB98" s="5589"/>
      <c r="AC98" s="5589"/>
      <c r="AD98" s="5589"/>
      <c r="AE98" s="5589"/>
      <c r="AF98" s="5590"/>
      <c r="AG98" s="4691"/>
      <c r="AH98" s="5592"/>
      <c r="AI98" s="5589"/>
      <c r="AJ98" s="5589"/>
      <c r="AK98" s="5589"/>
      <c r="AL98" s="5589"/>
      <c r="AM98" s="5589"/>
      <c r="AN98" s="5589"/>
      <c r="AO98" s="5589"/>
      <c r="AP98" s="5589"/>
      <c r="AQ98" s="5594"/>
      <c r="AR98" s="5589"/>
      <c r="AS98" s="5589"/>
      <c r="AT98" s="5589"/>
      <c r="AU98" s="5590"/>
      <c r="AV98" s="4691"/>
      <c r="AW98" s="5596">
        <v>6044</v>
      </c>
      <c r="AX98" s="5594">
        <v>7855</v>
      </c>
      <c r="AY98" s="5594">
        <v>7787</v>
      </c>
      <c r="AZ98" s="5594">
        <v>7667</v>
      </c>
      <c r="BA98" s="5594">
        <v>6582</v>
      </c>
      <c r="BB98" s="5594">
        <v>7120</v>
      </c>
      <c r="BC98" s="5594">
        <v>7804</v>
      </c>
      <c r="BD98" s="5594">
        <v>7228</v>
      </c>
      <c r="BE98" s="5594">
        <v>7587</v>
      </c>
      <c r="BF98" s="5594">
        <v>6932</v>
      </c>
      <c r="BG98" s="5594">
        <v>6823</v>
      </c>
      <c r="BH98" s="5594">
        <v>7253</v>
      </c>
      <c r="BI98" s="5594">
        <f>SUM(AW98:BH98)</f>
        <v>86682</v>
      </c>
      <c r="BJ98" s="5590">
        <f t="shared" si="84"/>
        <v>7223.5</v>
      </c>
      <c r="BK98" s="4691"/>
      <c r="BL98" s="5596">
        <v>12924</v>
      </c>
      <c r="BM98" s="5594">
        <v>7045</v>
      </c>
      <c r="BN98" s="5594"/>
      <c r="BO98" s="5589"/>
      <c r="BP98" s="5594"/>
      <c r="BQ98" s="5594"/>
      <c r="BR98" s="5589"/>
      <c r="BS98" s="5589"/>
      <c r="BT98" s="5589"/>
      <c r="BU98" s="5594"/>
      <c r="BV98" s="5589"/>
      <c r="BW98" s="5589"/>
      <c r="BX98" s="5589"/>
      <c r="BY98" s="5590">
        <f t="shared" si="85"/>
        <v>9984.5</v>
      </c>
      <c r="CB98" s="325">
        <f>IFERROR(_xlfn.XLOOKUP($A$1,$2:$2,98:98)-_xlfn.XLOOKUP(EDATE($A$1,-12),$2:$2,98:98),"")</f>
        <v>-810</v>
      </c>
      <c r="CC98" s="3">
        <f t="shared" si="83"/>
        <v>7223.5</v>
      </c>
      <c r="CD98" s="1">
        <f>IFERROR(
  SUM(
    _xlfn.XLOOKUP(DATE(YEAR($A$1),1,1),$2:$2,98:98):
    _xlfn.XLOOKUP($A$1,$2:$2,98:98)
  )
 -SUM(
    _xlfn.XLOOKUP(DATE(YEAR($A$1)-1,1,1),$2:$2,98:98):
    _xlfn.XLOOKUP(EDATE($A$1,-12),$2:$2,98:98)
  ),"")</f>
        <v>6070</v>
      </c>
      <c r="CE98" s="3">
        <f>IFERROR(
  _xlfn.XLOOKUP($A$1,$B$2:$BY$2,$B98:$BY98)
 -_xlfn.XLOOKUP(EDATE($A$1,-1),$B$2:$BY$2,$B98:$BY98),"")</f>
        <v>-5879</v>
      </c>
    </row>
    <row r="99" spans="1:83" s="3" customFormat="1" ht="18" customHeight="1" thickBot="1" x14ac:dyDescent="0.6">
      <c r="A99" s="170"/>
      <c r="B99" s="104"/>
      <c r="C99" s="87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4691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4691"/>
      <c r="AH99" s="80"/>
      <c r="AI99" s="80"/>
      <c r="AJ99" s="80"/>
      <c r="AK99" s="80"/>
      <c r="AL99" s="80"/>
      <c r="AM99" s="80"/>
      <c r="AN99" s="80"/>
      <c r="AO99" s="80"/>
      <c r="AP99" s="80"/>
      <c r="AQ99" s="54"/>
      <c r="AR99" s="80"/>
      <c r="AS99" s="80"/>
      <c r="AT99" s="80"/>
      <c r="AU99" s="80"/>
      <c r="AV99" s="4691"/>
      <c r="AW99" s="5580"/>
      <c r="AX99" s="80"/>
      <c r="AY99" s="54"/>
      <c r="AZ99" s="80"/>
      <c r="BA99" s="54"/>
      <c r="BB99" s="54"/>
      <c r="BC99" s="80"/>
      <c r="BD99" s="80"/>
      <c r="BE99" s="80"/>
      <c r="BF99" s="54"/>
      <c r="BG99" s="80"/>
      <c r="BH99" s="80"/>
      <c r="BI99" s="80"/>
      <c r="BJ99" s="80"/>
      <c r="BK99" s="4691"/>
      <c r="BL99" s="475"/>
      <c r="BM99" s="396"/>
      <c r="BN99" s="54"/>
      <c r="BO99" s="80"/>
      <c r="BP99" s="54"/>
      <c r="BQ99" s="54"/>
      <c r="BR99" s="80"/>
      <c r="BS99" s="80"/>
      <c r="BT99" s="80"/>
      <c r="BU99" s="54"/>
      <c r="BV99" s="80"/>
      <c r="BW99" s="80"/>
      <c r="BX99" s="80"/>
      <c r="BY99" s="80"/>
      <c r="CB99" s="325">
        <f>IFERROR(_xlfn.XLOOKUP($A$1,$2:$2,99:99)-_xlfn.XLOOKUP(EDATE($A$1,-12),$2:$2,99:99),"")</f>
        <v>0</v>
      </c>
      <c r="CC99" s="3">
        <f t="shared" si="83"/>
        <v>0</v>
      </c>
      <c r="CD99" s="1">
        <f>IFERROR(
  SUM(
    _xlfn.XLOOKUP(DATE(YEAR($A$1),1,1),$2:$2,99:99):
    _xlfn.XLOOKUP($A$1,$2:$2,99:99)
  )
 -SUM(
    _xlfn.XLOOKUP(DATE(YEAR($A$1)-1,1,1),$2:$2,99:99):
    _xlfn.XLOOKUP(EDATE($A$1,-12),$2:$2,99:99)
  ),"")</f>
        <v>0</v>
      </c>
      <c r="CE99" s="3">
        <f>IFERROR(
  _xlfn.XLOOKUP($A$1,$B$2:$BY$2,$B99:$BY99)
 -_xlfn.XLOOKUP(EDATE($A$1,-1),$B$2:$BY$2,$B99:$BY99),"")</f>
        <v>0</v>
      </c>
    </row>
    <row r="100" spans="1:83" ht="17.399999999999999" customHeight="1" x14ac:dyDescent="0.55000000000000004">
      <c r="A100" s="7197" t="s">
        <v>426</v>
      </c>
      <c r="B100" s="14" t="s">
        <v>421</v>
      </c>
      <c r="C100" s="71"/>
      <c r="D100" s="122">
        <f t="shared" ref="D100:O100" si="86">SUM(D101:D102)</f>
        <v>14203</v>
      </c>
      <c r="E100" s="123">
        <f t="shared" si="86"/>
        <v>14299</v>
      </c>
      <c r="F100" s="123">
        <f t="shared" si="86"/>
        <v>15076</v>
      </c>
      <c r="G100" s="123">
        <f t="shared" si="86"/>
        <v>16761</v>
      </c>
      <c r="H100" s="123">
        <f t="shared" si="86"/>
        <v>17335</v>
      </c>
      <c r="I100" s="123">
        <f t="shared" si="86"/>
        <v>17375</v>
      </c>
      <c r="J100" s="123">
        <f t="shared" si="86"/>
        <v>15519</v>
      </c>
      <c r="K100" s="123">
        <f t="shared" si="86"/>
        <v>17061</v>
      </c>
      <c r="L100" s="123">
        <f t="shared" si="86"/>
        <v>13790</v>
      </c>
      <c r="M100" s="123">
        <f t="shared" si="86"/>
        <v>16266</v>
      </c>
      <c r="N100" s="123">
        <f t="shared" si="86"/>
        <v>14851</v>
      </c>
      <c r="O100" s="123">
        <f t="shared" si="86"/>
        <v>13178</v>
      </c>
      <c r="P100" s="123">
        <f>SUM(D100:O100)</f>
        <v>185714</v>
      </c>
      <c r="Q100" s="124">
        <f>P100/12</f>
        <v>15476.166666666666</v>
      </c>
      <c r="R100" s="183"/>
      <c r="S100" s="122">
        <f t="shared" ref="S100:AD100" si="87">SUM(S101:S102)</f>
        <v>14515</v>
      </c>
      <c r="T100" s="123">
        <f t="shared" si="87"/>
        <v>16613</v>
      </c>
      <c r="U100" s="123">
        <f t="shared" si="87"/>
        <v>15878</v>
      </c>
      <c r="V100" s="123">
        <f t="shared" si="87"/>
        <v>15091</v>
      </c>
      <c r="W100" s="123">
        <f t="shared" si="87"/>
        <v>16140</v>
      </c>
      <c r="X100" s="123">
        <f t="shared" si="87"/>
        <v>15315</v>
      </c>
      <c r="Y100" s="123">
        <f t="shared" si="87"/>
        <v>13410</v>
      </c>
      <c r="Z100" s="123">
        <f t="shared" si="87"/>
        <v>17717</v>
      </c>
      <c r="AA100" s="123">
        <f t="shared" si="87"/>
        <v>12417</v>
      </c>
      <c r="AB100" s="123">
        <f t="shared" si="87"/>
        <v>14905</v>
      </c>
      <c r="AC100" s="123">
        <f t="shared" si="87"/>
        <v>13802</v>
      </c>
      <c r="AD100" s="123">
        <f t="shared" si="87"/>
        <v>11497</v>
      </c>
      <c r="AE100" s="123">
        <f>SUM(S100:AD100)</f>
        <v>177300</v>
      </c>
      <c r="AF100" s="124">
        <f>AE100/12</f>
        <v>14775</v>
      </c>
      <c r="AG100" s="183"/>
      <c r="AH100" s="122">
        <v>16770</v>
      </c>
      <c r="AI100" s="123">
        <v>12981</v>
      </c>
      <c r="AJ100" s="123">
        <v>13375</v>
      </c>
      <c r="AK100" s="123">
        <v>13284</v>
      </c>
      <c r="AL100" s="123">
        <v>14141</v>
      </c>
      <c r="AM100" s="123">
        <v>13296</v>
      </c>
      <c r="AN100" s="123">
        <v>16115</v>
      </c>
      <c r="AO100" s="123">
        <v>13414</v>
      </c>
      <c r="AP100" s="123">
        <v>14255</v>
      </c>
      <c r="AQ100" s="123">
        <v>14389</v>
      </c>
      <c r="AR100" s="123">
        <v>13845</v>
      </c>
      <c r="AS100" s="123">
        <v>12721</v>
      </c>
      <c r="AT100" s="123">
        <f>SUM(AH100:AS100)</f>
        <v>168586</v>
      </c>
      <c r="AU100" s="124">
        <f>AT100/12</f>
        <v>14048.833333333334</v>
      </c>
      <c r="AV100" s="183"/>
      <c r="AW100" s="476">
        <v>11584</v>
      </c>
      <c r="AX100" s="123">
        <v>19049</v>
      </c>
      <c r="AY100" s="123">
        <f>AY101+AY102</f>
        <v>15232</v>
      </c>
      <c r="AZ100" s="123">
        <v>16870</v>
      </c>
      <c r="BA100" s="123">
        <f>SUM(BA101:BA102)</f>
        <v>24218</v>
      </c>
      <c r="BB100" s="123">
        <v>19039</v>
      </c>
      <c r="BC100" s="123">
        <v>22359</v>
      </c>
      <c r="BD100" s="123">
        <v>17243</v>
      </c>
      <c r="BE100" s="123">
        <v>19522</v>
      </c>
      <c r="BF100" s="123">
        <v>15375</v>
      </c>
      <c r="BG100" s="123">
        <v>14339</v>
      </c>
      <c r="BH100" s="123">
        <v>12667</v>
      </c>
      <c r="BI100" s="123">
        <f t="shared" ref="BI100:BI127" si="88">SUM(AW100:BH100)</f>
        <v>207497</v>
      </c>
      <c r="BJ100" s="124">
        <f t="shared" si="60"/>
        <v>17291.416666666668</v>
      </c>
      <c r="BK100" s="183"/>
      <c r="BL100" s="476">
        <v>17803</v>
      </c>
      <c r="BM100" s="123">
        <f>SUM(BM101:BM102)</f>
        <v>11706</v>
      </c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>
        <f t="shared" ref="BX100:BX150" si="89">SUM(BL100:BW100)</f>
        <v>29509</v>
      </c>
      <c r="BY100" s="124">
        <f>AVERAGE(BL100:BW100)</f>
        <v>14754.5</v>
      </c>
      <c r="CA100" s="169">
        <f>ROW()</f>
        <v>100</v>
      </c>
      <c r="CB100" s="169">
        <f>IFERROR(_xlfn.XLOOKUP($A$1,$2:$2,100:100)-_xlfn.XLOOKUP(EDATE($A$1,-12),$2:$2,100:100),"")</f>
        <v>-7343</v>
      </c>
      <c r="CC100" s="169">
        <f t="shared" si="83"/>
        <v>3242.5833333333339</v>
      </c>
      <c r="CD100" s="169">
        <f>IFERROR(
  SUM(
    _xlfn.XLOOKUP(DATE(YEAR($A$1),1,1),$2:$2,100:100):
    _xlfn.XLOOKUP($A$1,$2:$2,100:100)
  )
 -SUM(
    _xlfn.XLOOKUP(DATE(YEAR($A$1)-1,1,1),$2:$2,100:100):
    _xlfn.XLOOKUP(EDATE($A$1,-12),$2:$2,100:100)
  ),"")</f>
        <v>-1124</v>
      </c>
      <c r="CE100" s="4517">
        <f>IFERROR(
  _xlfn.XLOOKUP($A$1,$B$2:$BY$2,$B100:$BY100)
 -_xlfn.XLOOKUP(EDATE($A$1,-1),$B$2:$BY$2,$B100:$BY100),"")</f>
        <v>-6097</v>
      </c>
    </row>
    <row r="101" spans="1:83" ht="17.399999999999999" customHeight="1" x14ac:dyDescent="0.55000000000000004">
      <c r="A101" s="7198"/>
      <c r="B101" s="15"/>
      <c r="C101" s="78" t="s">
        <v>247</v>
      </c>
      <c r="D101" s="125">
        <v>8835</v>
      </c>
      <c r="E101" s="126">
        <v>7940</v>
      </c>
      <c r="F101" s="126">
        <v>8642</v>
      </c>
      <c r="G101" s="126">
        <v>9004</v>
      </c>
      <c r="H101" s="126">
        <v>9187</v>
      </c>
      <c r="I101" s="126">
        <v>8604</v>
      </c>
      <c r="J101" s="126">
        <v>7114</v>
      </c>
      <c r="K101" s="126">
        <v>8473</v>
      </c>
      <c r="L101" s="126">
        <v>7793</v>
      </c>
      <c r="M101" s="126">
        <v>9518</v>
      </c>
      <c r="N101" s="126">
        <v>7874</v>
      </c>
      <c r="O101" s="126">
        <v>6548</v>
      </c>
      <c r="P101" s="126">
        <f t="shared" ref="P101:P139" si="90">SUM(D101:O101)</f>
        <v>99532</v>
      </c>
      <c r="Q101" s="127">
        <f t="shared" ref="Q101:Q233" si="91">P101/12</f>
        <v>8294.3333333333339</v>
      </c>
      <c r="R101" s="183"/>
      <c r="S101" s="125">
        <v>6504</v>
      </c>
      <c r="T101" s="126">
        <v>7852</v>
      </c>
      <c r="U101" s="126">
        <v>7526</v>
      </c>
      <c r="V101" s="126">
        <v>7295</v>
      </c>
      <c r="W101" s="126">
        <v>8110</v>
      </c>
      <c r="X101" s="126">
        <v>7625</v>
      </c>
      <c r="Y101" s="126">
        <v>6435</v>
      </c>
      <c r="Z101" s="126">
        <v>8676</v>
      </c>
      <c r="AA101" s="126">
        <v>6562</v>
      </c>
      <c r="AB101" s="126">
        <v>7068</v>
      </c>
      <c r="AC101" s="126">
        <v>7026</v>
      </c>
      <c r="AD101" s="126">
        <v>5514</v>
      </c>
      <c r="AE101" s="126">
        <f t="shared" ref="AE101:AE139" si="92">SUM(S101:AD101)</f>
        <v>86193</v>
      </c>
      <c r="AF101" s="127">
        <f t="shared" ref="AF101:AF233" si="93">AE101/12</f>
        <v>7182.75</v>
      </c>
      <c r="AG101" s="183"/>
      <c r="AH101" s="125">
        <v>8034</v>
      </c>
      <c r="AI101" s="126">
        <v>6503</v>
      </c>
      <c r="AJ101" s="126">
        <v>7899</v>
      </c>
      <c r="AK101" s="126">
        <v>7960</v>
      </c>
      <c r="AL101" s="126">
        <v>8817</v>
      </c>
      <c r="AM101" s="126">
        <v>8714</v>
      </c>
      <c r="AN101" s="126">
        <v>9485</v>
      </c>
      <c r="AO101" s="126">
        <v>8409</v>
      </c>
      <c r="AP101" s="126">
        <v>8734</v>
      </c>
      <c r="AQ101" s="126">
        <v>8898</v>
      </c>
      <c r="AR101" s="126">
        <v>8418</v>
      </c>
      <c r="AS101" s="126">
        <v>7890</v>
      </c>
      <c r="AT101" s="126">
        <f t="shared" ref="AT101:AT139" si="94">SUM(AH101:AS101)</f>
        <v>99761</v>
      </c>
      <c r="AU101" s="127">
        <f t="shared" ref="AU101:AU154" si="95">AT101/12</f>
        <v>8313.4166666666661</v>
      </c>
      <c r="AV101" s="183"/>
      <c r="AW101" s="477">
        <v>7148</v>
      </c>
      <c r="AX101" s="126">
        <v>10554</v>
      </c>
      <c r="AY101" s="126">
        <v>9221</v>
      </c>
      <c r="AZ101" s="126">
        <v>10270</v>
      </c>
      <c r="BA101" s="126">
        <v>17518</v>
      </c>
      <c r="BB101" s="126">
        <v>12275</v>
      </c>
      <c r="BC101" s="126">
        <v>14241</v>
      </c>
      <c r="BD101" s="126">
        <v>10314</v>
      </c>
      <c r="BE101" s="126">
        <v>10564</v>
      </c>
      <c r="BF101" s="126">
        <v>8702</v>
      </c>
      <c r="BG101" s="126">
        <v>8154</v>
      </c>
      <c r="BH101" s="126">
        <v>7523</v>
      </c>
      <c r="BI101" s="126">
        <f t="shared" si="88"/>
        <v>126484</v>
      </c>
      <c r="BJ101" s="127">
        <f t="shared" si="60"/>
        <v>10540.333333333334</v>
      </c>
      <c r="BK101" s="183"/>
      <c r="BL101" s="477">
        <v>9301</v>
      </c>
      <c r="BM101" s="126">
        <v>7102</v>
      </c>
      <c r="BN101" s="126"/>
      <c r="BO101" s="126"/>
      <c r="BP101" s="126"/>
      <c r="BQ101" s="126"/>
      <c r="BR101" s="126"/>
      <c r="BS101" s="126"/>
      <c r="BT101" s="126"/>
      <c r="BU101" s="126"/>
      <c r="BV101" s="126"/>
      <c r="BW101" s="126"/>
      <c r="BX101" s="126">
        <f t="shared" si="89"/>
        <v>16403</v>
      </c>
      <c r="BY101" s="127">
        <f t="shared" ref="BY101:BY163" si="96">AVERAGE(BL101:BW101)</f>
        <v>8201.5</v>
      </c>
      <c r="CA101" s="169">
        <f>ROW()</f>
        <v>101</v>
      </c>
      <c r="CB101" s="169">
        <f>IFERROR(_xlfn.XLOOKUP($A$1,$2:$2,101:101)-_xlfn.XLOOKUP(EDATE($A$1,-12),$2:$2,101:101),"")</f>
        <v>-3452</v>
      </c>
      <c r="CC101" s="169">
        <f t="shared" si="83"/>
        <v>2226.9166666666679</v>
      </c>
      <c r="CD101" s="169">
        <f>IFERROR(
  SUM(
    _xlfn.XLOOKUP(DATE(YEAR($A$1),1,1),$2:$2,101:101):
    _xlfn.XLOOKUP($A$1,$2:$2,101:101)
  )
 -SUM(
    _xlfn.XLOOKUP(DATE(YEAR($A$1)-1,1,1),$2:$2,101:101):
    _xlfn.XLOOKUP(EDATE($A$1,-12),$2:$2,101:101)
  ),"")</f>
        <v>-1299</v>
      </c>
      <c r="CE101" s="4517">
        <f>IFERROR(
  _xlfn.XLOOKUP($A$1,$B$2:$BY$2,$B101:$BY101)
 -_xlfn.XLOOKUP(EDATE($A$1,-1),$B$2:$BY$2,$B101:$BY101),"")</f>
        <v>-2199</v>
      </c>
    </row>
    <row r="102" spans="1:83" ht="17.399999999999999" customHeight="1" x14ac:dyDescent="0.55000000000000004">
      <c r="A102" s="7198"/>
      <c r="B102" s="15"/>
      <c r="C102" s="79" t="s">
        <v>422</v>
      </c>
      <c r="D102" s="125">
        <v>5368</v>
      </c>
      <c r="E102" s="126">
        <v>6359</v>
      </c>
      <c r="F102" s="126">
        <v>6434</v>
      </c>
      <c r="G102" s="126">
        <v>7757</v>
      </c>
      <c r="H102" s="126">
        <v>8148</v>
      </c>
      <c r="I102" s="126">
        <v>8771</v>
      </c>
      <c r="J102" s="126">
        <v>8405</v>
      </c>
      <c r="K102" s="126">
        <v>8588</v>
      </c>
      <c r="L102" s="126">
        <v>5997</v>
      </c>
      <c r="M102" s="126">
        <v>6748</v>
      </c>
      <c r="N102" s="126">
        <v>6977</v>
      </c>
      <c r="O102" s="126">
        <v>6630</v>
      </c>
      <c r="P102" s="126">
        <f t="shared" si="90"/>
        <v>86182</v>
      </c>
      <c r="Q102" s="127">
        <f t="shared" si="91"/>
        <v>7181.833333333333</v>
      </c>
      <c r="R102" s="183"/>
      <c r="S102" s="125">
        <v>8011</v>
      </c>
      <c r="T102" s="126">
        <v>8761</v>
      </c>
      <c r="U102" s="126">
        <v>8352</v>
      </c>
      <c r="V102" s="126">
        <v>7796</v>
      </c>
      <c r="W102" s="126">
        <v>8030</v>
      </c>
      <c r="X102" s="126">
        <v>7690</v>
      </c>
      <c r="Y102" s="126">
        <v>6975</v>
      </c>
      <c r="Z102" s="126">
        <v>9041</v>
      </c>
      <c r="AA102" s="126">
        <v>5855</v>
      </c>
      <c r="AB102" s="126">
        <v>7837</v>
      </c>
      <c r="AC102" s="126">
        <v>6776</v>
      </c>
      <c r="AD102" s="126">
        <v>5983</v>
      </c>
      <c r="AE102" s="126">
        <f t="shared" si="92"/>
        <v>91107</v>
      </c>
      <c r="AF102" s="127">
        <f t="shared" si="93"/>
        <v>7592.25</v>
      </c>
      <c r="AG102" s="183"/>
      <c r="AH102" s="125">
        <v>8736</v>
      </c>
      <c r="AI102" s="126">
        <v>6478</v>
      </c>
      <c r="AJ102" s="126">
        <v>5476</v>
      </c>
      <c r="AK102" s="126">
        <v>5324</v>
      </c>
      <c r="AL102" s="126">
        <v>5324</v>
      </c>
      <c r="AM102" s="126">
        <v>4582</v>
      </c>
      <c r="AN102" s="126">
        <v>6630</v>
      </c>
      <c r="AO102" s="126">
        <v>5005</v>
      </c>
      <c r="AP102" s="126">
        <v>5521</v>
      </c>
      <c r="AQ102" s="126">
        <v>5491</v>
      </c>
      <c r="AR102" s="126">
        <v>5427</v>
      </c>
      <c r="AS102" s="126">
        <v>4831</v>
      </c>
      <c r="AT102" s="126">
        <f t="shared" si="94"/>
        <v>68825</v>
      </c>
      <c r="AU102" s="127">
        <f t="shared" si="95"/>
        <v>5735.416666666667</v>
      </c>
      <c r="AV102" s="183"/>
      <c r="AW102" s="477">
        <v>4436</v>
      </c>
      <c r="AX102" s="126">
        <v>8495</v>
      </c>
      <c r="AY102" s="126">
        <v>6011</v>
      </c>
      <c r="AZ102" s="126">
        <v>6600</v>
      </c>
      <c r="BA102" s="126">
        <v>6700</v>
      </c>
      <c r="BB102" s="126">
        <v>6764</v>
      </c>
      <c r="BC102" s="126">
        <v>8118</v>
      </c>
      <c r="BD102" s="126">
        <v>6929</v>
      </c>
      <c r="BE102" s="126">
        <v>8958</v>
      </c>
      <c r="BF102" s="126">
        <v>6673</v>
      </c>
      <c r="BG102" s="126">
        <v>6185</v>
      </c>
      <c r="BH102" s="126">
        <v>5144</v>
      </c>
      <c r="BI102" s="126">
        <f t="shared" si="88"/>
        <v>81013</v>
      </c>
      <c r="BJ102" s="127">
        <f t="shared" si="60"/>
        <v>6751.083333333333</v>
      </c>
      <c r="BK102" s="183"/>
      <c r="BL102" s="477">
        <v>8502</v>
      </c>
      <c r="BM102" s="126">
        <v>4604</v>
      </c>
      <c r="BN102" s="126"/>
      <c r="BO102" s="126"/>
      <c r="BP102" s="126"/>
      <c r="BQ102" s="126"/>
      <c r="BR102" s="126"/>
      <c r="BS102" s="126"/>
      <c r="BT102" s="126"/>
      <c r="BU102" s="126"/>
      <c r="BV102" s="126"/>
      <c r="BW102" s="126"/>
      <c r="BX102" s="126">
        <f t="shared" si="89"/>
        <v>13106</v>
      </c>
      <c r="BY102" s="127">
        <f t="shared" si="96"/>
        <v>6553</v>
      </c>
      <c r="CA102" s="169">
        <f>ROW()</f>
        <v>102</v>
      </c>
      <c r="CB102" s="169">
        <f>IFERROR(_xlfn.XLOOKUP($A$1,$2:$2,102:102)-_xlfn.XLOOKUP(EDATE($A$1,-12),$2:$2,102:102),"")</f>
        <v>-3891</v>
      </c>
      <c r="CC102" s="169">
        <f t="shared" si="83"/>
        <v>1015.6666666666661</v>
      </c>
      <c r="CD102" s="169">
        <f>IFERROR(
  SUM(
    _xlfn.XLOOKUP(DATE(YEAR($A$1),1,1),$2:$2,102:102):
    _xlfn.XLOOKUP($A$1,$2:$2,102:102)
  )
 -SUM(
    _xlfn.XLOOKUP(DATE(YEAR($A$1)-1,1,1),$2:$2,102:102):
    _xlfn.XLOOKUP(EDATE($A$1,-12),$2:$2,102:102)
  ),"")</f>
        <v>175</v>
      </c>
      <c r="CE102" s="4517">
        <f>IFERROR(
  _xlfn.XLOOKUP($A$1,$B$2:$BY$2,$B102:$BY102)
 -_xlfn.XLOOKUP(EDATE($A$1,-1),$B$2:$BY$2,$B102:$BY102),"")</f>
        <v>-3898</v>
      </c>
    </row>
    <row r="103" spans="1:83" ht="17.399999999999999" customHeight="1" x14ac:dyDescent="0.55000000000000004">
      <c r="A103" s="7198"/>
      <c r="B103" s="7215" t="s">
        <v>425</v>
      </c>
      <c r="C103" s="62" t="s">
        <v>405</v>
      </c>
      <c r="D103" s="128">
        <v>5825</v>
      </c>
      <c r="E103" s="129">
        <v>5400</v>
      </c>
      <c r="F103" s="129">
        <v>5544</v>
      </c>
      <c r="G103" s="129">
        <v>5936</v>
      </c>
      <c r="H103" s="129">
        <v>5899</v>
      </c>
      <c r="I103" s="129">
        <v>6442</v>
      </c>
      <c r="J103" s="129">
        <v>6180</v>
      </c>
      <c r="K103" s="129">
        <v>6673</v>
      </c>
      <c r="L103" s="129">
        <v>5436</v>
      </c>
      <c r="M103" s="129">
        <v>5746</v>
      </c>
      <c r="N103" s="129">
        <v>6588</v>
      </c>
      <c r="O103" s="129">
        <v>6276</v>
      </c>
      <c r="P103" s="129">
        <f t="shared" si="90"/>
        <v>71945</v>
      </c>
      <c r="Q103" s="130">
        <f t="shared" si="91"/>
        <v>5995.416666666667</v>
      </c>
      <c r="R103" s="183"/>
      <c r="S103" s="128">
        <v>7624</v>
      </c>
      <c r="T103" s="129">
        <v>7990</v>
      </c>
      <c r="U103" s="129">
        <v>7749</v>
      </c>
      <c r="V103" s="129">
        <v>7779</v>
      </c>
      <c r="W103" s="129">
        <v>7369</v>
      </c>
      <c r="X103" s="129">
        <v>7156</v>
      </c>
      <c r="Y103" s="129">
        <v>5893</v>
      </c>
      <c r="Z103" s="129">
        <v>8458</v>
      </c>
      <c r="AA103" s="129">
        <v>5353</v>
      </c>
      <c r="AB103" s="129">
        <v>6845</v>
      </c>
      <c r="AC103" s="129">
        <v>6254</v>
      </c>
      <c r="AD103" s="129">
        <v>5472</v>
      </c>
      <c r="AE103" s="129">
        <f t="shared" si="92"/>
        <v>83942</v>
      </c>
      <c r="AF103" s="130">
        <f t="shared" si="93"/>
        <v>6995.166666666667</v>
      </c>
      <c r="AG103" s="183"/>
      <c r="AH103" s="128">
        <v>8509</v>
      </c>
      <c r="AI103" s="129">
        <v>6541</v>
      </c>
      <c r="AJ103" s="129">
        <v>5975</v>
      </c>
      <c r="AK103" s="129">
        <v>5892</v>
      </c>
      <c r="AL103" s="129">
        <v>6106</v>
      </c>
      <c r="AM103" s="129">
        <v>5312</v>
      </c>
      <c r="AN103" s="129">
        <v>7187</v>
      </c>
      <c r="AO103" s="129">
        <v>5377</v>
      </c>
      <c r="AP103" s="129">
        <v>6029</v>
      </c>
      <c r="AQ103" s="129">
        <v>5701</v>
      </c>
      <c r="AR103" s="129">
        <v>5527</v>
      </c>
      <c r="AS103" s="129">
        <v>4999</v>
      </c>
      <c r="AT103" s="129">
        <f t="shared" si="94"/>
        <v>73155</v>
      </c>
      <c r="AU103" s="130">
        <f t="shared" si="95"/>
        <v>6096.25</v>
      </c>
      <c r="AV103" s="183"/>
      <c r="AW103" s="478">
        <v>4201</v>
      </c>
      <c r="AX103" s="129">
        <v>8836</v>
      </c>
      <c r="AY103" s="129">
        <v>6326</v>
      </c>
      <c r="AZ103" s="129">
        <v>6931</v>
      </c>
      <c r="BA103" s="129">
        <v>10007</v>
      </c>
      <c r="BB103" s="129">
        <v>6188</v>
      </c>
      <c r="BC103" s="129">
        <v>8880</v>
      </c>
      <c r="BD103" s="129">
        <v>6068</v>
      </c>
      <c r="BE103" s="129">
        <v>6814</v>
      </c>
      <c r="BF103" s="129">
        <v>5090</v>
      </c>
      <c r="BG103" s="129">
        <v>4902</v>
      </c>
      <c r="BH103" s="129">
        <v>4509</v>
      </c>
      <c r="BI103" s="129">
        <f t="shared" si="88"/>
        <v>78752</v>
      </c>
      <c r="BJ103" s="130">
        <f t="shared" si="60"/>
        <v>6562.666666666667</v>
      </c>
      <c r="BK103" s="183"/>
      <c r="BL103" s="478">
        <v>6836</v>
      </c>
      <c r="BM103" s="129">
        <v>4271</v>
      </c>
      <c r="BN103" s="129"/>
      <c r="BO103" s="129"/>
      <c r="BP103" s="129"/>
      <c r="BQ103" s="129"/>
      <c r="BR103" s="129"/>
      <c r="BS103" s="129"/>
      <c r="BT103" s="129"/>
      <c r="BU103" s="129"/>
      <c r="BV103" s="129"/>
      <c r="BW103" s="129"/>
      <c r="BX103" s="129">
        <f t="shared" si="89"/>
        <v>11107</v>
      </c>
      <c r="BY103" s="130">
        <f t="shared" si="96"/>
        <v>5553.5</v>
      </c>
      <c r="CA103" s="169">
        <f>ROW()</f>
        <v>103</v>
      </c>
      <c r="CB103" s="169">
        <f>IFERROR(_xlfn.XLOOKUP($A$1,$2:$2,103:103)-_xlfn.XLOOKUP(EDATE($A$1,-12),$2:$2,103:103),"")</f>
        <v>-4565</v>
      </c>
      <c r="CC103" s="169">
        <f t="shared" si="83"/>
        <v>466.41666666666697</v>
      </c>
      <c r="CD103" s="169">
        <f>IFERROR(
  SUM(
    _xlfn.XLOOKUP(DATE(YEAR($A$1),1,1),$2:$2,103:103):
    _xlfn.XLOOKUP($A$1,$2:$2,103:103)
  )
 -SUM(
    _xlfn.XLOOKUP(DATE(YEAR($A$1)-1,1,1),$2:$2,103:103):
    _xlfn.XLOOKUP(EDATE($A$1,-12),$2:$2,103:103)
  ),"")</f>
        <v>-1930</v>
      </c>
      <c r="CE103" s="4517">
        <f>IFERROR(
  _xlfn.XLOOKUP($A$1,$B$2:$BY$2,$B103:$BY103)
 -_xlfn.XLOOKUP(EDATE($A$1,-1),$B$2:$BY$2,$B103:$BY103),"")</f>
        <v>-2565</v>
      </c>
    </row>
    <row r="104" spans="1:83" ht="17.399999999999999" customHeight="1" x14ac:dyDescent="0.55000000000000004">
      <c r="A104" s="7198"/>
      <c r="B104" s="7213"/>
      <c r="C104" s="63" t="s">
        <v>1016</v>
      </c>
      <c r="D104" s="131">
        <v>1173</v>
      </c>
      <c r="E104" s="132">
        <v>1163</v>
      </c>
      <c r="F104" s="132">
        <v>1581</v>
      </c>
      <c r="G104" s="132">
        <v>1625</v>
      </c>
      <c r="H104" s="132">
        <v>1675</v>
      </c>
      <c r="I104" s="132">
        <v>1710</v>
      </c>
      <c r="J104" s="132">
        <v>1550</v>
      </c>
      <c r="K104" s="132">
        <v>1331</v>
      </c>
      <c r="L104" s="132">
        <v>1658</v>
      </c>
      <c r="M104" s="132">
        <v>2815</v>
      </c>
      <c r="N104" s="132">
        <v>1939</v>
      </c>
      <c r="O104" s="132">
        <v>1792</v>
      </c>
      <c r="P104" s="132">
        <f>SUM(D104:O104)</f>
        <v>20012</v>
      </c>
      <c r="Q104" s="133">
        <f>P104/12</f>
        <v>1667.6666666666667</v>
      </c>
      <c r="R104" s="183"/>
      <c r="S104" s="131">
        <v>1538</v>
      </c>
      <c r="T104" s="132">
        <v>1837</v>
      </c>
      <c r="U104" s="132">
        <v>2071</v>
      </c>
      <c r="V104" s="132">
        <v>2123</v>
      </c>
      <c r="W104" s="132">
        <v>2726</v>
      </c>
      <c r="X104" s="132">
        <v>2490</v>
      </c>
      <c r="Y104" s="132">
        <v>2087</v>
      </c>
      <c r="Z104" s="132">
        <v>2088</v>
      </c>
      <c r="AA104" s="132">
        <v>1824</v>
      </c>
      <c r="AB104" s="132">
        <v>1567</v>
      </c>
      <c r="AC104" s="132">
        <v>1903</v>
      </c>
      <c r="AD104" s="132">
        <v>1826</v>
      </c>
      <c r="AE104" s="132">
        <f>SUM(S104:AD104)</f>
        <v>24080</v>
      </c>
      <c r="AF104" s="133">
        <f>AE104/12</f>
        <v>2006.6666666666667</v>
      </c>
      <c r="AG104" s="183"/>
      <c r="AH104" s="131">
        <v>1623</v>
      </c>
      <c r="AI104" s="132">
        <v>1308</v>
      </c>
      <c r="AJ104" s="132">
        <v>1361</v>
      </c>
      <c r="AK104" s="132">
        <v>1458</v>
      </c>
      <c r="AL104" s="132">
        <v>1635</v>
      </c>
      <c r="AM104" s="132">
        <v>2257</v>
      </c>
      <c r="AN104" s="132">
        <v>2102</v>
      </c>
      <c r="AO104" s="132">
        <v>1847</v>
      </c>
      <c r="AP104" s="132">
        <v>2020</v>
      </c>
      <c r="AQ104" s="132">
        <v>1727</v>
      </c>
      <c r="AR104" s="132">
        <v>1207</v>
      </c>
      <c r="AS104" s="132">
        <v>901</v>
      </c>
      <c r="AT104" s="132">
        <f>SUM(AH104:AS104)</f>
        <v>19446</v>
      </c>
      <c r="AU104" s="133">
        <f t="shared" ref="AU104" si="97">AT104/12</f>
        <v>1620.5</v>
      </c>
      <c r="AV104" s="183"/>
      <c r="AW104" s="479">
        <v>1561</v>
      </c>
      <c r="AX104" s="132">
        <v>2141</v>
      </c>
      <c r="AY104" s="132">
        <v>2083</v>
      </c>
      <c r="AZ104" s="132">
        <v>2824</v>
      </c>
      <c r="BA104" s="132">
        <v>3005</v>
      </c>
      <c r="BB104" s="132">
        <v>3772</v>
      </c>
      <c r="BC104" s="132">
        <v>4530</v>
      </c>
      <c r="BD104" s="132">
        <v>4335</v>
      </c>
      <c r="BE104" s="132">
        <v>5627</v>
      </c>
      <c r="BF104" s="132">
        <v>3937</v>
      </c>
      <c r="BG104" s="132">
        <v>3163</v>
      </c>
      <c r="BH104" s="132">
        <v>1402</v>
      </c>
      <c r="BI104" s="132">
        <f t="shared" si="88"/>
        <v>38380</v>
      </c>
      <c r="BJ104" s="133">
        <f t="shared" si="60"/>
        <v>3198.3333333333335</v>
      </c>
      <c r="BK104" s="183"/>
      <c r="BL104" s="479">
        <v>3652</v>
      </c>
      <c r="BM104" s="132">
        <v>2053</v>
      </c>
      <c r="BN104" s="132"/>
      <c r="BO104" s="132"/>
      <c r="BP104" s="132"/>
      <c r="BQ104" s="132"/>
      <c r="BR104" s="132"/>
      <c r="BS104" s="132"/>
      <c r="BT104" s="132"/>
      <c r="BU104" s="132"/>
      <c r="BV104" s="132"/>
      <c r="BW104" s="132"/>
      <c r="BX104" s="132">
        <f t="shared" si="89"/>
        <v>5705</v>
      </c>
      <c r="BY104" s="133">
        <f t="shared" si="96"/>
        <v>2852.5</v>
      </c>
      <c r="CA104" s="169">
        <f>ROW()</f>
        <v>104</v>
      </c>
      <c r="CB104" s="169">
        <f>IFERROR(_xlfn.XLOOKUP($A$1,$2:$2,104:104)-_xlfn.XLOOKUP(EDATE($A$1,-12),$2:$2,104:104),"")</f>
        <v>-88</v>
      </c>
      <c r="CC104" s="169">
        <f t="shared" si="83"/>
        <v>1577.8333333333335</v>
      </c>
      <c r="CD104" s="169">
        <f>IFERROR(
  SUM(
    _xlfn.XLOOKUP(DATE(YEAR($A$1),1,1),$2:$2,104:104):
    _xlfn.XLOOKUP($A$1,$2:$2,104:104)
  )
 -SUM(
    _xlfn.XLOOKUP(DATE(YEAR($A$1)-1,1,1),$2:$2,104:104):
    _xlfn.XLOOKUP(EDATE($A$1,-12),$2:$2,104:104)
  ),"")</f>
        <v>2003</v>
      </c>
      <c r="CE104" s="4517">
        <f>IFERROR(
  _xlfn.XLOOKUP($A$1,$B$2:$BY$2,$B104:$BY104)
 -_xlfn.XLOOKUP(EDATE($A$1,-1),$B$2:$BY$2,$B104:$BY104),"")</f>
        <v>-1599</v>
      </c>
    </row>
    <row r="105" spans="1:83" ht="17.399999999999999" customHeight="1" x14ac:dyDescent="0.55000000000000004">
      <c r="A105" s="7198"/>
      <c r="B105" s="7213"/>
      <c r="C105" s="63" t="s">
        <v>407</v>
      </c>
      <c r="D105" s="131">
        <v>6325</v>
      </c>
      <c r="E105" s="132">
        <v>6935</v>
      </c>
      <c r="F105" s="132">
        <v>6807</v>
      </c>
      <c r="G105" s="132">
        <v>8288</v>
      </c>
      <c r="H105" s="132">
        <v>8952</v>
      </c>
      <c r="I105" s="132">
        <v>8467</v>
      </c>
      <c r="J105" s="132">
        <v>7095</v>
      </c>
      <c r="K105" s="132">
        <v>7899</v>
      </c>
      <c r="L105" s="132">
        <v>5417</v>
      </c>
      <c r="M105" s="132">
        <v>6082</v>
      </c>
      <c r="N105" s="132">
        <v>5283</v>
      </c>
      <c r="O105" s="132">
        <v>4637</v>
      </c>
      <c r="P105" s="132">
        <f t="shared" si="90"/>
        <v>82187</v>
      </c>
      <c r="Q105" s="133">
        <f t="shared" si="91"/>
        <v>6848.916666666667</v>
      </c>
      <c r="R105" s="183"/>
      <c r="S105" s="131">
        <v>5170</v>
      </c>
      <c r="T105" s="132">
        <v>6553</v>
      </c>
      <c r="U105" s="132">
        <v>5908</v>
      </c>
      <c r="V105" s="132">
        <v>5071</v>
      </c>
      <c r="W105" s="132">
        <v>5930</v>
      </c>
      <c r="X105" s="132">
        <v>5388</v>
      </c>
      <c r="Y105" s="132">
        <v>5122</v>
      </c>
      <c r="Z105" s="132">
        <v>6801</v>
      </c>
      <c r="AA105" s="132">
        <v>5054</v>
      </c>
      <c r="AB105" s="132">
        <v>6222</v>
      </c>
      <c r="AC105" s="132">
        <v>5264</v>
      </c>
      <c r="AD105" s="132">
        <v>4014</v>
      </c>
      <c r="AE105" s="132">
        <f t="shared" si="92"/>
        <v>66497</v>
      </c>
      <c r="AF105" s="133">
        <f t="shared" si="93"/>
        <v>5541.416666666667</v>
      </c>
      <c r="AG105" s="183"/>
      <c r="AH105" s="131">
        <v>6033</v>
      </c>
      <c r="AI105" s="132">
        <v>4745</v>
      </c>
      <c r="AJ105" s="132">
        <v>5577</v>
      </c>
      <c r="AK105" s="132">
        <v>5389</v>
      </c>
      <c r="AL105" s="132">
        <v>5755</v>
      </c>
      <c r="AM105" s="132">
        <v>5297</v>
      </c>
      <c r="AN105" s="132">
        <v>6304</v>
      </c>
      <c r="AO105" s="132">
        <v>5820</v>
      </c>
      <c r="AP105" s="132">
        <v>5963</v>
      </c>
      <c r="AQ105" s="132">
        <v>6590</v>
      </c>
      <c r="AR105" s="132">
        <v>6558</v>
      </c>
      <c r="AS105" s="132">
        <v>5911</v>
      </c>
      <c r="AT105" s="132">
        <f t="shared" si="94"/>
        <v>69942</v>
      </c>
      <c r="AU105" s="133">
        <f t="shared" si="95"/>
        <v>5828.5</v>
      </c>
      <c r="AV105" s="183"/>
      <c r="AW105" s="479">
        <v>5569</v>
      </c>
      <c r="AX105" s="132">
        <v>7758</v>
      </c>
      <c r="AY105" s="132">
        <v>6335</v>
      </c>
      <c r="AZ105" s="132">
        <v>6739</v>
      </c>
      <c r="BA105" s="132">
        <v>10648</v>
      </c>
      <c r="BB105" s="132">
        <v>8587</v>
      </c>
      <c r="BC105" s="132">
        <v>8014</v>
      </c>
      <c r="BD105" s="132">
        <v>6472</v>
      </c>
      <c r="BE105" s="132">
        <v>6181</v>
      </c>
      <c r="BF105" s="132">
        <v>5974</v>
      </c>
      <c r="BG105" s="132">
        <v>5852</v>
      </c>
      <c r="BH105" s="132">
        <v>6250</v>
      </c>
      <c r="BI105" s="132">
        <f t="shared" si="88"/>
        <v>84379</v>
      </c>
      <c r="BJ105" s="133">
        <f t="shared" si="60"/>
        <v>7031.583333333333</v>
      </c>
      <c r="BK105" s="183"/>
      <c r="BL105" s="479">
        <v>6711</v>
      </c>
      <c r="BM105" s="132">
        <v>4564</v>
      </c>
      <c r="BN105" s="132"/>
      <c r="BO105" s="132"/>
      <c r="BP105" s="132"/>
      <c r="BQ105" s="132"/>
      <c r="BR105" s="132"/>
      <c r="BS105" s="132"/>
      <c r="BT105" s="132"/>
      <c r="BU105" s="132"/>
      <c r="BV105" s="132"/>
      <c r="BW105" s="132"/>
      <c r="BX105" s="132">
        <f t="shared" si="89"/>
        <v>11275</v>
      </c>
      <c r="BY105" s="133">
        <f t="shared" si="96"/>
        <v>5637.5</v>
      </c>
      <c r="CA105" s="169">
        <f>ROW()</f>
        <v>105</v>
      </c>
      <c r="CB105" s="169">
        <f>IFERROR(_xlfn.XLOOKUP($A$1,$2:$2,105:105)-_xlfn.XLOOKUP(EDATE($A$1,-12),$2:$2,105:105),"")</f>
        <v>-3194</v>
      </c>
      <c r="CC105" s="169">
        <f t="shared" si="83"/>
        <v>1203.083333333333</v>
      </c>
      <c r="CD105" s="169">
        <f>IFERROR(
  SUM(
    _xlfn.XLOOKUP(DATE(YEAR($A$1),1,1),$2:$2,105:105):
    _xlfn.XLOOKUP($A$1,$2:$2,105:105)
  )
 -SUM(
    _xlfn.XLOOKUP(DATE(YEAR($A$1)-1,1,1),$2:$2,105:105):
    _xlfn.XLOOKUP(EDATE($A$1,-12),$2:$2,105:105)
  ),"")</f>
        <v>-2052</v>
      </c>
      <c r="CE105" s="4517">
        <f>IFERROR(
  _xlfn.XLOOKUP($A$1,$B$2:$BY$2,$B105:$BY105)
 -_xlfn.XLOOKUP(EDATE($A$1,-1),$B$2:$BY$2,$B105:$BY105),"")</f>
        <v>-2147</v>
      </c>
    </row>
    <row r="106" spans="1:83" ht="17.399999999999999" customHeight="1" x14ac:dyDescent="0.55000000000000004">
      <c r="A106" s="7198"/>
      <c r="B106" s="7213"/>
      <c r="C106" s="63" t="s">
        <v>875</v>
      </c>
      <c r="D106" s="131">
        <v>880</v>
      </c>
      <c r="E106" s="132">
        <v>801</v>
      </c>
      <c r="F106" s="132">
        <v>1144</v>
      </c>
      <c r="G106" s="132">
        <v>912</v>
      </c>
      <c r="H106" s="132">
        <v>809</v>
      </c>
      <c r="I106" s="132">
        <v>756</v>
      </c>
      <c r="J106" s="132">
        <v>694</v>
      </c>
      <c r="K106" s="132">
        <v>1158</v>
      </c>
      <c r="L106" s="132">
        <v>1279</v>
      </c>
      <c r="M106" s="132">
        <v>1623</v>
      </c>
      <c r="N106" s="132">
        <v>1041</v>
      </c>
      <c r="O106" s="132">
        <v>473</v>
      </c>
      <c r="P106" s="132">
        <f t="shared" si="90"/>
        <v>11570</v>
      </c>
      <c r="Q106" s="133">
        <f t="shared" si="91"/>
        <v>964.16666666666663</v>
      </c>
      <c r="R106" s="183"/>
      <c r="S106" s="131">
        <v>183</v>
      </c>
      <c r="T106" s="132">
        <v>233</v>
      </c>
      <c r="U106" s="132">
        <v>150</v>
      </c>
      <c r="V106" s="132">
        <v>118</v>
      </c>
      <c r="W106" s="132">
        <v>115</v>
      </c>
      <c r="X106" s="132">
        <v>281</v>
      </c>
      <c r="Y106" s="132">
        <v>308</v>
      </c>
      <c r="Z106" s="132">
        <v>370</v>
      </c>
      <c r="AA106" s="132">
        <v>186</v>
      </c>
      <c r="AB106" s="132">
        <v>271</v>
      </c>
      <c r="AC106" s="132">
        <v>381</v>
      </c>
      <c r="AD106" s="132">
        <v>185</v>
      </c>
      <c r="AE106" s="132">
        <f t="shared" si="92"/>
        <v>2781</v>
      </c>
      <c r="AF106" s="133">
        <f t="shared" si="93"/>
        <v>231.75</v>
      </c>
      <c r="AG106" s="183"/>
      <c r="AH106" s="131">
        <v>605</v>
      </c>
      <c r="AI106" s="132">
        <v>387</v>
      </c>
      <c r="AJ106" s="132">
        <v>462</v>
      </c>
      <c r="AK106" s="132">
        <v>545</v>
      </c>
      <c r="AL106" s="132">
        <v>645</v>
      </c>
      <c r="AM106" s="132">
        <v>430</v>
      </c>
      <c r="AN106" s="132">
        <v>522</v>
      </c>
      <c r="AO106" s="132">
        <v>370</v>
      </c>
      <c r="AP106" s="132">
        <v>233</v>
      </c>
      <c r="AQ106" s="132">
        <v>371</v>
      </c>
      <c r="AR106" s="132">
        <v>69</v>
      </c>
      <c r="AS106" s="132">
        <v>503</v>
      </c>
      <c r="AT106" s="132">
        <f t="shared" si="94"/>
        <v>5142</v>
      </c>
      <c r="AU106" s="133">
        <f t="shared" si="95"/>
        <v>428.5</v>
      </c>
      <c r="AV106" s="183"/>
      <c r="AW106" s="479">
        <v>189</v>
      </c>
      <c r="AX106" s="132">
        <v>22</v>
      </c>
      <c r="AY106" s="132">
        <v>124</v>
      </c>
      <c r="AZ106" s="132">
        <v>186</v>
      </c>
      <c r="BA106" s="132">
        <v>524</v>
      </c>
      <c r="BB106" s="132">
        <v>316</v>
      </c>
      <c r="BC106" s="132">
        <v>518</v>
      </c>
      <c r="BD106" s="132">
        <v>200</v>
      </c>
      <c r="BE106" s="132">
        <v>277</v>
      </c>
      <c r="BF106" s="132">
        <v>198</v>
      </c>
      <c r="BG106" s="132">
        <v>306</v>
      </c>
      <c r="BH106" s="132">
        <v>272</v>
      </c>
      <c r="BI106" s="132">
        <f t="shared" si="88"/>
        <v>3132</v>
      </c>
      <c r="BJ106" s="133">
        <f t="shared" si="60"/>
        <v>261</v>
      </c>
      <c r="BK106" s="183"/>
      <c r="BL106" s="479">
        <v>268</v>
      </c>
      <c r="BM106" s="132">
        <v>257</v>
      </c>
      <c r="BN106" s="132"/>
      <c r="BO106" s="132"/>
      <c r="BP106" s="132"/>
      <c r="BQ106" s="132"/>
      <c r="BR106" s="132"/>
      <c r="BS106" s="132"/>
      <c r="BT106" s="132"/>
      <c r="BU106" s="132"/>
      <c r="BV106" s="132"/>
      <c r="BW106" s="132"/>
      <c r="BX106" s="132">
        <f t="shared" si="89"/>
        <v>525</v>
      </c>
      <c r="BY106" s="133">
        <f t="shared" si="96"/>
        <v>262.5</v>
      </c>
      <c r="CA106" s="169">
        <f>ROW()</f>
        <v>106</v>
      </c>
      <c r="CB106" s="169">
        <f>IFERROR(_xlfn.XLOOKUP($A$1,$2:$2,106:106)-_xlfn.XLOOKUP(EDATE($A$1,-12),$2:$2,106:106),"")</f>
        <v>235</v>
      </c>
      <c r="CC106" s="169">
        <f t="shared" si="83"/>
        <v>-167.5</v>
      </c>
      <c r="CD106" s="169">
        <f>IFERROR(
  SUM(
    _xlfn.XLOOKUP(DATE(YEAR($A$1),1,1),$2:$2,106:106):
    _xlfn.XLOOKUP($A$1,$2:$2,106:106)
  )
 -SUM(
    _xlfn.XLOOKUP(DATE(YEAR($A$1)-1,1,1),$2:$2,106:106):
    _xlfn.XLOOKUP(EDATE($A$1,-12),$2:$2,106:106)
  ),"")</f>
        <v>314</v>
      </c>
      <c r="CE106" s="4517">
        <f>IFERROR(
  _xlfn.XLOOKUP($A$1,$B$2:$BY$2,$B106:$BY106)
 -_xlfn.XLOOKUP(EDATE($A$1,-1),$B$2:$BY$2,$B106:$BY106),"")</f>
        <v>-11</v>
      </c>
    </row>
    <row r="107" spans="1:83" ht="17.399999999999999" customHeight="1" x14ac:dyDescent="0.55000000000000004">
      <c r="A107" s="7198"/>
      <c r="B107" s="7213"/>
      <c r="C107" s="63" t="s">
        <v>22</v>
      </c>
      <c r="D107" s="131">
        <v>0</v>
      </c>
      <c r="E107" s="132">
        <v>0</v>
      </c>
      <c r="F107" s="132">
        <v>0</v>
      </c>
      <c r="G107" s="132">
        <v>0</v>
      </c>
      <c r="H107" s="132">
        <v>0</v>
      </c>
      <c r="I107" s="132">
        <v>0</v>
      </c>
      <c r="J107" s="132">
        <v>0</v>
      </c>
      <c r="K107" s="132">
        <v>0</v>
      </c>
      <c r="L107" s="132">
        <v>0</v>
      </c>
      <c r="M107" s="132">
        <v>0</v>
      </c>
      <c r="N107" s="132">
        <v>0</v>
      </c>
      <c r="O107" s="132">
        <v>0</v>
      </c>
      <c r="P107" s="132">
        <f t="shared" si="90"/>
        <v>0</v>
      </c>
      <c r="Q107" s="133">
        <f t="shared" si="91"/>
        <v>0</v>
      </c>
      <c r="R107" s="183"/>
      <c r="S107" s="131">
        <v>0</v>
      </c>
      <c r="T107" s="132">
        <v>0</v>
      </c>
      <c r="U107" s="132">
        <v>0</v>
      </c>
      <c r="V107" s="132">
        <v>0</v>
      </c>
      <c r="W107" s="132">
        <v>0</v>
      </c>
      <c r="X107" s="132">
        <v>0</v>
      </c>
      <c r="Y107" s="132">
        <v>0</v>
      </c>
      <c r="Z107" s="132">
        <v>0</v>
      </c>
      <c r="AA107" s="132">
        <v>0</v>
      </c>
      <c r="AB107" s="132">
        <v>0</v>
      </c>
      <c r="AC107" s="132">
        <v>0</v>
      </c>
      <c r="AD107" s="132">
        <v>0</v>
      </c>
      <c r="AE107" s="132">
        <f t="shared" si="92"/>
        <v>0</v>
      </c>
      <c r="AF107" s="133">
        <f t="shared" si="93"/>
        <v>0</v>
      </c>
      <c r="AG107" s="183"/>
      <c r="AH107" s="131">
        <v>0</v>
      </c>
      <c r="AI107" s="132">
        <v>0</v>
      </c>
      <c r="AJ107" s="132">
        <v>0</v>
      </c>
      <c r="AK107" s="132">
        <v>0</v>
      </c>
      <c r="AL107" s="132">
        <v>0</v>
      </c>
      <c r="AM107" s="132">
        <v>0</v>
      </c>
      <c r="AN107" s="132">
        <v>0</v>
      </c>
      <c r="AO107" s="132">
        <v>0</v>
      </c>
      <c r="AP107" s="132">
        <v>0</v>
      </c>
      <c r="AQ107" s="132">
        <v>0</v>
      </c>
      <c r="AR107" s="132">
        <v>89</v>
      </c>
      <c r="AS107" s="132">
        <v>0</v>
      </c>
      <c r="AT107" s="132">
        <f t="shared" si="94"/>
        <v>89</v>
      </c>
      <c r="AU107" s="133">
        <f t="shared" si="95"/>
        <v>7.416666666666667</v>
      </c>
      <c r="AV107" s="183"/>
      <c r="AW107" s="479">
        <v>0</v>
      </c>
      <c r="AX107" s="132">
        <v>0</v>
      </c>
      <c r="AY107" s="132">
        <v>0</v>
      </c>
      <c r="AZ107" s="132">
        <v>185</v>
      </c>
      <c r="BA107" s="132">
        <v>33</v>
      </c>
      <c r="BB107" s="132">
        <v>176</v>
      </c>
      <c r="BC107" s="132">
        <v>417</v>
      </c>
      <c r="BD107" s="132">
        <v>168</v>
      </c>
      <c r="BE107" s="132">
        <v>623</v>
      </c>
      <c r="BF107" s="132">
        <v>176</v>
      </c>
      <c r="BG107" s="132">
        <v>116</v>
      </c>
      <c r="BH107" s="132">
        <v>234</v>
      </c>
      <c r="BI107" s="132">
        <f t="shared" si="88"/>
        <v>2128</v>
      </c>
      <c r="BJ107" s="133">
        <f t="shared" si="60"/>
        <v>177.33333333333334</v>
      </c>
      <c r="BK107" s="183"/>
      <c r="BL107" s="479">
        <v>4295</v>
      </c>
      <c r="BM107" s="132">
        <v>561</v>
      </c>
      <c r="BN107" s="132"/>
      <c r="BO107" s="132"/>
      <c r="BP107" s="132"/>
      <c r="BQ107" s="132"/>
      <c r="BR107" s="132"/>
      <c r="BS107" s="132"/>
      <c r="BT107" s="132"/>
      <c r="BU107" s="132"/>
      <c r="BV107" s="132"/>
      <c r="BW107" s="132"/>
      <c r="BX107" s="132">
        <f t="shared" si="89"/>
        <v>4856</v>
      </c>
      <c r="BY107" s="133">
        <f t="shared" si="96"/>
        <v>2428</v>
      </c>
      <c r="CA107" s="169">
        <f>ROW()</f>
        <v>107</v>
      </c>
      <c r="CB107" s="169">
        <f>IFERROR(_xlfn.XLOOKUP($A$1,$2:$2,107:107)-_xlfn.XLOOKUP(EDATE($A$1,-12),$2:$2,107:107),"")</f>
        <v>561</v>
      </c>
      <c r="CC107" s="169">
        <f t="shared" si="83"/>
        <v>169.91666666666669</v>
      </c>
      <c r="CD107" s="169">
        <f>IFERROR(
  SUM(
    _xlfn.XLOOKUP(DATE(YEAR($A$1),1,1),$2:$2,107:107):
    _xlfn.XLOOKUP($A$1,$2:$2,107:107)
  )
 -SUM(
    _xlfn.XLOOKUP(DATE(YEAR($A$1)-1,1,1),$2:$2,107:107):
    _xlfn.XLOOKUP(EDATE($A$1,-12),$2:$2,107:107)
  ),"")</f>
        <v>4856</v>
      </c>
      <c r="CE107" s="4517">
        <f>IFERROR(
  _xlfn.XLOOKUP($A$1,$B$2:$BY$2,$B107:$BY107)
 -_xlfn.XLOOKUP(EDATE($A$1,-1),$B$2:$BY$2,$B107:$BY107),"")</f>
        <v>-3734</v>
      </c>
    </row>
    <row r="108" spans="1:83" ht="17.399999999999999" customHeight="1" x14ac:dyDescent="0.55000000000000004">
      <c r="A108" s="7198"/>
      <c r="B108" s="7203" t="s">
        <v>411</v>
      </c>
      <c r="C108" s="64" t="s">
        <v>400</v>
      </c>
      <c r="D108" s="143">
        <f>D113+D114</f>
        <v>772</v>
      </c>
      <c r="E108" s="144">
        <f t="shared" ref="E108:O108" si="98">E113+E114</f>
        <v>856</v>
      </c>
      <c r="F108" s="144">
        <f t="shared" si="98"/>
        <v>755</v>
      </c>
      <c r="G108" s="144">
        <f t="shared" si="98"/>
        <v>722</v>
      </c>
      <c r="H108" s="144">
        <f t="shared" si="98"/>
        <v>837</v>
      </c>
      <c r="I108" s="144">
        <f t="shared" si="98"/>
        <v>871</v>
      </c>
      <c r="J108" s="144">
        <f t="shared" si="98"/>
        <v>897</v>
      </c>
      <c r="K108" s="144">
        <f t="shared" si="98"/>
        <v>944</v>
      </c>
      <c r="L108" s="144">
        <f t="shared" si="98"/>
        <v>772</v>
      </c>
      <c r="M108" s="144">
        <f t="shared" si="98"/>
        <v>733</v>
      </c>
      <c r="N108" s="144">
        <f t="shared" si="98"/>
        <v>842</v>
      </c>
      <c r="O108" s="144">
        <f t="shared" si="98"/>
        <v>858</v>
      </c>
      <c r="P108" s="144">
        <f t="shared" si="90"/>
        <v>9859</v>
      </c>
      <c r="Q108" s="145">
        <f t="shared" si="91"/>
        <v>821.58333333333337</v>
      </c>
      <c r="R108" s="183"/>
      <c r="S108" s="143">
        <f>S113+S114</f>
        <v>999</v>
      </c>
      <c r="T108" s="144">
        <f t="shared" ref="T108:AD108" si="99">T113+T114</f>
        <v>1116</v>
      </c>
      <c r="U108" s="144">
        <f t="shared" si="99"/>
        <v>992</v>
      </c>
      <c r="V108" s="144">
        <f t="shared" si="99"/>
        <v>1097</v>
      </c>
      <c r="W108" s="144">
        <f t="shared" si="99"/>
        <v>992</v>
      </c>
      <c r="X108" s="144">
        <f t="shared" si="99"/>
        <v>882</v>
      </c>
      <c r="Y108" s="144">
        <f t="shared" si="99"/>
        <v>780</v>
      </c>
      <c r="Z108" s="144">
        <f t="shared" si="99"/>
        <v>1155</v>
      </c>
      <c r="AA108" s="144">
        <f t="shared" si="99"/>
        <v>663</v>
      </c>
      <c r="AB108" s="144">
        <f t="shared" si="99"/>
        <v>873</v>
      </c>
      <c r="AC108" s="144">
        <f t="shared" si="99"/>
        <v>728</v>
      </c>
      <c r="AD108" s="144">
        <f t="shared" si="99"/>
        <v>703</v>
      </c>
      <c r="AE108" s="144">
        <f t="shared" si="92"/>
        <v>10980</v>
      </c>
      <c r="AF108" s="145">
        <f t="shared" si="93"/>
        <v>915</v>
      </c>
      <c r="AG108" s="183"/>
      <c r="AH108" s="143">
        <v>1146</v>
      </c>
      <c r="AI108" s="144">
        <v>810</v>
      </c>
      <c r="AJ108" s="144">
        <v>895</v>
      </c>
      <c r="AK108" s="144">
        <v>940</v>
      </c>
      <c r="AL108" s="144">
        <v>893</v>
      </c>
      <c r="AM108" s="144">
        <v>773</v>
      </c>
      <c r="AN108" s="144">
        <v>1190</v>
      </c>
      <c r="AO108" s="144">
        <v>908</v>
      </c>
      <c r="AP108" s="144">
        <v>1029</v>
      </c>
      <c r="AQ108" s="144">
        <v>865</v>
      </c>
      <c r="AR108" s="144">
        <v>849</v>
      </c>
      <c r="AS108" s="144">
        <v>784</v>
      </c>
      <c r="AT108" s="144">
        <f t="shared" si="94"/>
        <v>11082</v>
      </c>
      <c r="AU108" s="145">
        <f t="shared" si="95"/>
        <v>923.5</v>
      </c>
      <c r="AV108" s="183"/>
      <c r="AW108" s="481">
        <v>659</v>
      </c>
      <c r="AX108" s="144">
        <v>1435</v>
      </c>
      <c r="AY108" s="144">
        <v>1003.0000000000001</v>
      </c>
      <c r="AZ108" s="144">
        <v>1220</v>
      </c>
      <c r="BA108" s="144">
        <v>1748</v>
      </c>
      <c r="BB108" s="144">
        <v>1025</v>
      </c>
      <c r="BC108" s="144">
        <v>1481</v>
      </c>
      <c r="BD108" s="144">
        <v>989</v>
      </c>
      <c r="BE108" s="144">
        <v>1133</v>
      </c>
      <c r="BF108" s="144">
        <v>774</v>
      </c>
      <c r="BG108" s="144">
        <v>833</v>
      </c>
      <c r="BH108" s="144">
        <v>785</v>
      </c>
      <c r="BI108" s="144">
        <f t="shared" si="88"/>
        <v>13085</v>
      </c>
      <c r="BJ108" s="145">
        <f t="shared" si="60"/>
        <v>1090.4166666666667</v>
      </c>
      <c r="BK108" s="183"/>
      <c r="BL108" s="481">
        <v>1108</v>
      </c>
      <c r="BM108" s="144">
        <v>712</v>
      </c>
      <c r="BN108" s="144"/>
      <c r="BO108" s="144"/>
      <c r="BP108" s="144"/>
      <c r="BQ108" s="144"/>
      <c r="BR108" s="144"/>
      <c r="BS108" s="144"/>
      <c r="BT108" s="144"/>
      <c r="BU108" s="144"/>
      <c r="BV108" s="144"/>
      <c r="BW108" s="144"/>
      <c r="BX108" s="144">
        <f t="shared" si="89"/>
        <v>1820</v>
      </c>
      <c r="BY108" s="145">
        <f>AVERAGE(BL108:BW108)</f>
        <v>910</v>
      </c>
      <c r="CA108" s="169">
        <f>ROW()</f>
        <v>108</v>
      </c>
      <c r="CB108" s="169">
        <f>IFERROR(_xlfn.XLOOKUP($A$1,$2:$2,108:108)-_xlfn.XLOOKUP(EDATE($A$1,-12),$2:$2,108:108),"")</f>
        <v>-723</v>
      </c>
      <c r="CC108" s="169">
        <f t="shared" si="83"/>
        <v>166.91666666666674</v>
      </c>
      <c r="CD108" s="169">
        <f>IFERROR(
  SUM(
    _xlfn.XLOOKUP(DATE(YEAR($A$1),1,1),$2:$2,108:108):
    _xlfn.XLOOKUP($A$1,$2:$2,108:108)
  )
 -SUM(
    _xlfn.XLOOKUP(DATE(YEAR($A$1)-1,1,1),$2:$2,108:108):
    _xlfn.XLOOKUP(EDATE($A$1,-12),$2:$2,108:108)
  ),"")</f>
        <v>-274</v>
      </c>
      <c r="CE108" s="4517">
        <f>IFERROR(
  _xlfn.XLOOKUP($A$1,$B$2:$BY$2,$B108:$BY108)
 -_xlfn.XLOOKUP(EDATE($A$1,-1),$B$2:$BY$2,$B108:$BY108),"")</f>
        <v>-396</v>
      </c>
    </row>
    <row r="109" spans="1:83" ht="17.399999999999999" customHeight="1" x14ac:dyDescent="0.55000000000000004">
      <c r="A109" s="7198"/>
      <c r="B109" s="7204"/>
      <c r="C109" s="65" t="s">
        <v>401</v>
      </c>
      <c r="D109" s="146">
        <f>D115+D116</f>
        <v>984</v>
      </c>
      <c r="E109" s="147">
        <f t="shared" ref="E109:O109" si="100">E115+E116</f>
        <v>806</v>
      </c>
      <c r="F109" s="147">
        <f t="shared" si="100"/>
        <v>838</v>
      </c>
      <c r="G109" s="147">
        <f t="shared" si="100"/>
        <v>1007</v>
      </c>
      <c r="H109" s="147">
        <f t="shared" si="100"/>
        <v>932</v>
      </c>
      <c r="I109" s="147">
        <f t="shared" si="100"/>
        <v>1148</v>
      </c>
      <c r="J109" s="147">
        <f t="shared" si="100"/>
        <v>1188</v>
      </c>
      <c r="K109" s="147">
        <f t="shared" si="100"/>
        <v>1122</v>
      </c>
      <c r="L109" s="147">
        <f t="shared" si="100"/>
        <v>985</v>
      </c>
      <c r="M109" s="147">
        <f t="shared" si="100"/>
        <v>956</v>
      </c>
      <c r="N109" s="147">
        <f t="shared" si="100"/>
        <v>892</v>
      </c>
      <c r="O109" s="147">
        <f t="shared" si="100"/>
        <v>957</v>
      </c>
      <c r="P109" s="147">
        <f t="shared" si="90"/>
        <v>11815</v>
      </c>
      <c r="Q109" s="148">
        <f t="shared" si="91"/>
        <v>984.58333333333337</v>
      </c>
      <c r="R109" s="183"/>
      <c r="S109" s="146">
        <f>S115+S116</f>
        <v>1298</v>
      </c>
      <c r="T109" s="147">
        <f t="shared" ref="T109:AD109" si="101">T115+T116</f>
        <v>1361</v>
      </c>
      <c r="U109" s="147">
        <f t="shared" si="101"/>
        <v>1371</v>
      </c>
      <c r="V109" s="147">
        <f t="shared" si="101"/>
        <v>1220</v>
      </c>
      <c r="W109" s="147">
        <f t="shared" si="101"/>
        <v>1295</v>
      </c>
      <c r="X109" s="147">
        <f t="shared" si="101"/>
        <v>1153</v>
      </c>
      <c r="Y109" s="147">
        <f t="shared" si="101"/>
        <v>970</v>
      </c>
      <c r="Z109" s="147">
        <f t="shared" si="101"/>
        <v>1403</v>
      </c>
      <c r="AA109" s="147">
        <f t="shared" si="101"/>
        <v>870</v>
      </c>
      <c r="AB109" s="147">
        <f t="shared" si="101"/>
        <v>1246</v>
      </c>
      <c r="AC109" s="147">
        <f t="shared" si="101"/>
        <v>1005</v>
      </c>
      <c r="AD109" s="147">
        <f t="shared" si="101"/>
        <v>880</v>
      </c>
      <c r="AE109" s="147">
        <f t="shared" si="92"/>
        <v>14072</v>
      </c>
      <c r="AF109" s="148">
        <f t="shared" si="93"/>
        <v>1172.6666666666667</v>
      </c>
      <c r="AG109" s="183"/>
      <c r="AH109" s="146">
        <v>1386</v>
      </c>
      <c r="AI109" s="147">
        <v>977</v>
      </c>
      <c r="AJ109" s="147">
        <v>895</v>
      </c>
      <c r="AK109" s="147">
        <v>872</v>
      </c>
      <c r="AL109" s="147">
        <v>936</v>
      </c>
      <c r="AM109" s="147">
        <v>831</v>
      </c>
      <c r="AN109" s="147">
        <v>1118</v>
      </c>
      <c r="AO109" s="147">
        <v>868</v>
      </c>
      <c r="AP109" s="147">
        <v>905</v>
      </c>
      <c r="AQ109" s="147">
        <v>850</v>
      </c>
      <c r="AR109" s="147">
        <v>956</v>
      </c>
      <c r="AS109" s="147">
        <v>826</v>
      </c>
      <c r="AT109" s="147">
        <f t="shared" si="94"/>
        <v>11420</v>
      </c>
      <c r="AU109" s="148">
        <f t="shared" si="95"/>
        <v>951.66666666666663</v>
      </c>
      <c r="AV109" s="183"/>
      <c r="AW109" s="482">
        <v>780</v>
      </c>
      <c r="AX109" s="147">
        <v>1428</v>
      </c>
      <c r="AY109" s="147">
        <v>1048</v>
      </c>
      <c r="AZ109" s="147">
        <v>1048</v>
      </c>
      <c r="BA109" s="147">
        <v>1803</v>
      </c>
      <c r="BB109" s="147">
        <v>962</v>
      </c>
      <c r="BC109" s="147">
        <v>1375</v>
      </c>
      <c r="BD109" s="147">
        <v>998</v>
      </c>
      <c r="BE109" s="147">
        <v>1193</v>
      </c>
      <c r="BF109" s="147">
        <v>822</v>
      </c>
      <c r="BG109" s="147">
        <v>738</v>
      </c>
      <c r="BH109" s="147">
        <v>770</v>
      </c>
      <c r="BI109" s="147">
        <f t="shared" si="88"/>
        <v>12965</v>
      </c>
      <c r="BJ109" s="148">
        <f t="shared" si="60"/>
        <v>1080.4166666666667</v>
      </c>
      <c r="BK109" s="183"/>
      <c r="BL109" s="482">
        <v>1186</v>
      </c>
      <c r="BM109" s="147">
        <v>737</v>
      </c>
      <c r="BN109" s="147"/>
      <c r="BO109" s="147"/>
      <c r="BP109" s="147"/>
      <c r="BQ109" s="147"/>
      <c r="BR109" s="147"/>
      <c r="BS109" s="147"/>
      <c r="BT109" s="147"/>
      <c r="BU109" s="147"/>
      <c r="BV109" s="147"/>
      <c r="BW109" s="147"/>
      <c r="BX109" s="147">
        <f t="shared" si="89"/>
        <v>1923</v>
      </c>
      <c r="BY109" s="148">
        <f t="shared" si="96"/>
        <v>961.5</v>
      </c>
      <c r="CA109" s="169">
        <f>ROW()</f>
        <v>109</v>
      </c>
      <c r="CB109" s="169">
        <f>IFERROR(_xlfn.XLOOKUP($A$1,$2:$2,109:109)-_xlfn.XLOOKUP(EDATE($A$1,-12),$2:$2,109:109),"")</f>
        <v>-691</v>
      </c>
      <c r="CC109" s="169">
        <f t="shared" si="83"/>
        <v>128.75000000000011</v>
      </c>
      <c r="CD109" s="169">
        <f>IFERROR(
  SUM(
    _xlfn.XLOOKUP(DATE(YEAR($A$1),1,1),$2:$2,109:109):
    _xlfn.XLOOKUP($A$1,$2:$2,109:109)
  )
 -SUM(
    _xlfn.XLOOKUP(DATE(YEAR($A$1)-1,1,1),$2:$2,109:109):
    _xlfn.XLOOKUP(EDATE($A$1,-12),$2:$2,109:109)
  ),"")</f>
        <v>-285</v>
      </c>
      <c r="CE109" s="4517">
        <f>IFERROR(
  _xlfn.XLOOKUP($A$1,$B$2:$BY$2,$B109:$BY109)
 -_xlfn.XLOOKUP(EDATE($A$1,-1),$B$2:$BY$2,$B109:$BY109),"")</f>
        <v>-449</v>
      </c>
    </row>
    <row r="110" spans="1:83" ht="17.399999999999999" customHeight="1" x14ac:dyDescent="0.55000000000000004">
      <c r="A110" s="7198"/>
      <c r="B110" s="7204"/>
      <c r="C110" s="65" t="s">
        <v>402</v>
      </c>
      <c r="D110" s="146">
        <f>D117+D118</f>
        <v>1371</v>
      </c>
      <c r="E110" s="147">
        <f t="shared" ref="E110:O110" si="102">E117+E118</f>
        <v>1303</v>
      </c>
      <c r="F110" s="147">
        <f t="shared" si="102"/>
        <v>1375</v>
      </c>
      <c r="G110" s="147">
        <f t="shared" si="102"/>
        <v>1460</v>
      </c>
      <c r="H110" s="147">
        <f t="shared" si="102"/>
        <v>1419</v>
      </c>
      <c r="I110" s="147">
        <f t="shared" si="102"/>
        <v>1454</v>
      </c>
      <c r="J110" s="147">
        <f t="shared" si="102"/>
        <v>1441</v>
      </c>
      <c r="K110" s="147">
        <f t="shared" si="102"/>
        <v>1577</v>
      </c>
      <c r="L110" s="147">
        <f t="shared" si="102"/>
        <v>1328</v>
      </c>
      <c r="M110" s="147">
        <f t="shared" si="102"/>
        <v>1407</v>
      </c>
      <c r="N110" s="147">
        <f t="shared" si="102"/>
        <v>1634</v>
      </c>
      <c r="O110" s="147">
        <f t="shared" si="102"/>
        <v>1507</v>
      </c>
      <c r="P110" s="147">
        <f t="shared" si="90"/>
        <v>17276</v>
      </c>
      <c r="Q110" s="148">
        <f t="shared" si="91"/>
        <v>1439.6666666666667</v>
      </c>
      <c r="R110" s="183"/>
      <c r="S110" s="146">
        <f>S117+S118</f>
        <v>1835</v>
      </c>
      <c r="T110" s="147">
        <f t="shared" ref="T110:AD110" si="103">T117+T118</f>
        <v>1850</v>
      </c>
      <c r="U110" s="147">
        <f t="shared" si="103"/>
        <v>1922</v>
      </c>
      <c r="V110" s="147">
        <f t="shared" si="103"/>
        <v>1838</v>
      </c>
      <c r="W110" s="147">
        <f t="shared" si="103"/>
        <v>1746</v>
      </c>
      <c r="X110" s="147">
        <f t="shared" si="103"/>
        <v>1770</v>
      </c>
      <c r="Y110" s="147">
        <f t="shared" si="103"/>
        <v>1409</v>
      </c>
      <c r="Z110" s="147">
        <f t="shared" si="103"/>
        <v>1968</v>
      </c>
      <c r="AA110" s="147">
        <f t="shared" si="103"/>
        <v>1351</v>
      </c>
      <c r="AB110" s="147">
        <f t="shared" si="103"/>
        <v>1660</v>
      </c>
      <c r="AC110" s="147">
        <f t="shared" si="103"/>
        <v>1647</v>
      </c>
      <c r="AD110" s="147">
        <f t="shared" si="103"/>
        <v>1270</v>
      </c>
      <c r="AE110" s="147">
        <f t="shared" si="92"/>
        <v>20266</v>
      </c>
      <c r="AF110" s="148">
        <f t="shared" si="93"/>
        <v>1688.8333333333333</v>
      </c>
      <c r="AG110" s="183"/>
      <c r="AH110" s="146">
        <v>2058</v>
      </c>
      <c r="AI110" s="147">
        <v>1662</v>
      </c>
      <c r="AJ110" s="147">
        <v>1283</v>
      </c>
      <c r="AK110" s="147">
        <v>1249</v>
      </c>
      <c r="AL110" s="147">
        <v>1348</v>
      </c>
      <c r="AM110" s="147">
        <v>1028</v>
      </c>
      <c r="AN110" s="147">
        <v>1567</v>
      </c>
      <c r="AO110" s="147">
        <v>1191</v>
      </c>
      <c r="AP110" s="147">
        <v>1347</v>
      </c>
      <c r="AQ110" s="147">
        <v>1338</v>
      </c>
      <c r="AR110" s="147">
        <v>1223</v>
      </c>
      <c r="AS110" s="147">
        <v>1110</v>
      </c>
      <c r="AT110" s="147">
        <f t="shared" si="94"/>
        <v>16404</v>
      </c>
      <c r="AU110" s="148">
        <f t="shared" si="95"/>
        <v>1367</v>
      </c>
      <c r="AV110" s="183"/>
      <c r="AW110" s="482">
        <v>969</v>
      </c>
      <c r="AX110" s="147">
        <v>1934</v>
      </c>
      <c r="AY110" s="147">
        <v>1278</v>
      </c>
      <c r="AZ110" s="147">
        <v>1440</v>
      </c>
      <c r="BA110" s="147">
        <v>2265</v>
      </c>
      <c r="BB110" s="147">
        <v>1392</v>
      </c>
      <c r="BC110" s="147">
        <v>1937</v>
      </c>
      <c r="BD110" s="147">
        <v>1319</v>
      </c>
      <c r="BE110" s="147">
        <v>1498</v>
      </c>
      <c r="BF110" s="147">
        <v>1090</v>
      </c>
      <c r="BG110" s="147">
        <v>1114</v>
      </c>
      <c r="BH110" s="147">
        <v>1031</v>
      </c>
      <c r="BI110" s="147">
        <f t="shared" si="88"/>
        <v>17267</v>
      </c>
      <c r="BJ110" s="148">
        <f t="shared" si="60"/>
        <v>1438.9166666666667</v>
      </c>
      <c r="BK110" s="183"/>
      <c r="BL110" s="482">
        <v>1509</v>
      </c>
      <c r="BM110" s="147">
        <v>968</v>
      </c>
      <c r="BN110" s="147"/>
      <c r="BO110" s="147"/>
      <c r="BP110" s="147"/>
      <c r="BQ110" s="147"/>
      <c r="BR110" s="147"/>
      <c r="BS110" s="147"/>
      <c r="BT110" s="147"/>
      <c r="BU110" s="147"/>
      <c r="BV110" s="147"/>
      <c r="BW110" s="147"/>
      <c r="BX110" s="147">
        <f t="shared" si="89"/>
        <v>2477</v>
      </c>
      <c r="BY110" s="148">
        <f t="shared" si="96"/>
        <v>1238.5</v>
      </c>
      <c r="CA110" s="169">
        <f>ROW()</f>
        <v>110</v>
      </c>
      <c r="CB110" s="169">
        <f>IFERROR(_xlfn.XLOOKUP($A$1,$2:$2,110:110)-_xlfn.XLOOKUP(EDATE($A$1,-12),$2:$2,110:110),"")</f>
        <v>-966</v>
      </c>
      <c r="CC110" s="169">
        <f t="shared" si="83"/>
        <v>71.916666666666742</v>
      </c>
      <c r="CD110" s="169">
        <f>IFERROR(
  SUM(
    _xlfn.XLOOKUP(DATE(YEAR($A$1),1,1),$2:$2,110:110):
    _xlfn.XLOOKUP($A$1,$2:$2,110:110)
  )
 -SUM(
    _xlfn.XLOOKUP(DATE(YEAR($A$1)-1,1,1),$2:$2,110:110):
    _xlfn.XLOOKUP(EDATE($A$1,-12),$2:$2,110:110)
  ),"")</f>
        <v>-426</v>
      </c>
      <c r="CE110" s="4517">
        <f>IFERROR(
  _xlfn.XLOOKUP($A$1,$B$2:$BY$2,$B110:$BY110)
 -_xlfn.XLOOKUP(EDATE($A$1,-1),$B$2:$BY$2,$B110:$BY110),"")</f>
        <v>-541</v>
      </c>
    </row>
    <row r="111" spans="1:83" ht="17.399999999999999" customHeight="1" x14ac:dyDescent="0.55000000000000004">
      <c r="A111" s="7198"/>
      <c r="B111" s="7204"/>
      <c r="C111" s="65" t="s">
        <v>403</v>
      </c>
      <c r="D111" s="146">
        <f>D119+D120</f>
        <v>1565</v>
      </c>
      <c r="E111" s="147">
        <f t="shared" ref="E111:O111" si="104">E119+E120</f>
        <v>1393</v>
      </c>
      <c r="F111" s="147">
        <f t="shared" si="104"/>
        <v>1612</v>
      </c>
      <c r="G111" s="147">
        <f t="shared" si="104"/>
        <v>1715</v>
      </c>
      <c r="H111" s="147">
        <f t="shared" si="104"/>
        <v>1741</v>
      </c>
      <c r="I111" s="147">
        <f t="shared" si="104"/>
        <v>1984</v>
      </c>
      <c r="J111" s="147">
        <f t="shared" si="104"/>
        <v>1781</v>
      </c>
      <c r="K111" s="147">
        <f t="shared" si="104"/>
        <v>1946</v>
      </c>
      <c r="L111" s="147">
        <f t="shared" si="104"/>
        <v>1526</v>
      </c>
      <c r="M111" s="147">
        <f t="shared" si="104"/>
        <v>1698</v>
      </c>
      <c r="N111" s="147">
        <f t="shared" si="104"/>
        <v>2086</v>
      </c>
      <c r="O111" s="147">
        <f t="shared" si="104"/>
        <v>1939</v>
      </c>
      <c r="P111" s="147">
        <f t="shared" si="90"/>
        <v>20986</v>
      </c>
      <c r="Q111" s="148">
        <f t="shared" si="91"/>
        <v>1748.8333333333333</v>
      </c>
      <c r="R111" s="183"/>
      <c r="S111" s="146">
        <f>S119+S120</f>
        <v>2214</v>
      </c>
      <c r="T111" s="147">
        <f t="shared" ref="T111:AD111" si="105">T119+T120</f>
        <v>2331</v>
      </c>
      <c r="U111" s="147">
        <f t="shared" si="105"/>
        <v>2123</v>
      </c>
      <c r="V111" s="147">
        <f t="shared" si="105"/>
        <v>2235</v>
      </c>
      <c r="W111" s="147">
        <f t="shared" si="105"/>
        <v>2070</v>
      </c>
      <c r="X111" s="147">
        <f t="shared" si="105"/>
        <v>2096</v>
      </c>
      <c r="Y111" s="147">
        <f t="shared" si="105"/>
        <v>1663</v>
      </c>
      <c r="Z111" s="147">
        <f t="shared" si="105"/>
        <v>2433</v>
      </c>
      <c r="AA111" s="147">
        <f t="shared" si="105"/>
        <v>1480</v>
      </c>
      <c r="AB111" s="147">
        <f t="shared" si="105"/>
        <v>1855</v>
      </c>
      <c r="AC111" s="147">
        <f t="shared" si="105"/>
        <v>1805</v>
      </c>
      <c r="AD111" s="147">
        <f t="shared" si="105"/>
        <v>1612</v>
      </c>
      <c r="AE111" s="147">
        <f t="shared" si="92"/>
        <v>23917</v>
      </c>
      <c r="AF111" s="148">
        <f t="shared" si="93"/>
        <v>1993.0833333333333</v>
      </c>
      <c r="AG111" s="183"/>
      <c r="AH111" s="146">
        <v>2456</v>
      </c>
      <c r="AI111" s="147">
        <v>2088</v>
      </c>
      <c r="AJ111" s="147">
        <v>1681</v>
      </c>
      <c r="AK111" s="147">
        <v>1709</v>
      </c>
      <c r="AL111" s="147">
        <v>1788</v>
      </c>
      <c r="AM111" s="147">
        <v>1597</v>
      </c>
      <c r="AN111" s="147">
        <v>2010</v>
      </c>
      <c r="AO111" s="147">
        <v>1466</v>
      </c>
      <c r="AP111" s="147">
        <v>1611</v>
      </c>
      <c r="AQ111" s="147">
        <v>1643</v>
      </c>
      <c r="AR111" s="147">
        <v>1525</v>
      </c>
      <c r="AS111" s="147">
        <v>1380</v>
      </c>
      <c r="AT111" s="147">
        <f t="shared" si="94"/>
        <v>20954</v>
      </c>
      <c r="AU111" s="148">
        <f t="shared" si="95"/>
        <v>1746.1666666666667</v>
      </c>
      <c r="AV111" s="183"/>
      <c r="AW111" s="482">
        <v>1023</v>
      </c>
      <c r="AX111" s="147">
        <v>2301</v>
      </c>
      <c r="AY111" s="147">
        <v>1698</v>
      </c>
      <c r="AZ111" s="147">
        <v>1991</v>
      </c>
      <c r="BA111" s="147">
        <v>2452</v>
      </c>
      <c r="BB111" s="147">
        <v>1719</v>
      </c>
      <c r="BC111" s="147">
        <v>2475</v>
      </c>
      <c r="BD111" s="147">
        <v>1615</v>
      </c>
      <c r="BE111" s="147">
        <v>1699</v>
      </c>
      <c r="BF111" s="147">
        <v>1410</v>
      </c>
      <c r="BG111" s="147">
        <v>1280</v>
      </c>
      <c r="BH111" s="147">
        <v>1066</v>
      </c>
      <c r="BI111" s="147">
        <f t="shared" si="88"/>
        <v>20729</v>
      </c>
      <c r="BJ111" s="148">
        <f t="shared" si="60"/>
        <v>1727.4166666666667</v>
      </c>
      <c r="BK111" s="183"/>
      <c r="BL111" s="482">
        <v>1682</v>
      </c>
      <c r="BM111" s="147">
        <v>1039</v>
      </c>
      <c r="BN111" s="147"/>
      <c r="BO111" s="147"/>
      <c r="BP111" s="147"/>
      <c r="BQ111" s="147"/>
      <c r="BR111" s="147"/>
      <c r="BS111" s="147"/>
      <c r="BT111" s="147"/>
      <c r="BU111" s="147"/>
      <c r="BV111" s="147"/>
      <c r="BW111" s="147"/>
      <c r="BX111" s="147">
        <f t="shared" si="89"/>
        <v>2721</v>
      </c>
      <c r="BY111" s="148">
        <f t="shared" si="96"/>
        <v>1360.5</v>
      </c>
      <c r="CA111" s="169">
        <f>ROW()</f>
        <v>111</v>
      </c>
      <c r="CB111" s="169">
        <f>IFERROR(_xlfn.XLOOKUP($A$1,$2:$2,111:111)-_xlfn.XLOOKUP(EDATE($A$1,-12),$2:$2,111:111),"")</f>
        <v>-1262</v>
      </c>
      <c r="CC111" s="169">
        <f t="shared" si="83"/>
        <v>-18.75</v>
      </c>
      <c r="CD111" s="169">
        <f>IFERROR(
  SUM(
    _xlfn.XLOOKUP(DATE(YEAR($A$1),1,1),$2:$2,111:111):
    _xlfn.XLOOKUP($A$1,$2:$2,111:111)
  )
 -SUM(
    _xlfn.XLOOKUP(DATE(YEAR($A$1)-1,1,1),$2:$2,111:111):
    _xlfn.XLOOKUP(EDATE($A$1,-12),$2:$2,111:111)
  ),"")</f>
        <v>-603</v>
      </c>
      <c r="CE111" s="4517">
        <f>IFERROR(
  _xlfn.XLOOKUP($A$1,$B$2:$BY$2,$B111:$BY111)
 -_xlfn.XLOOKUP(EDATE($A$1,-1),$B$2:$BY$2,$B111:$BY111),"")</f>
        <v>-643</v>
      </c>
    </row>
    <row r="112" spans="1:83" ht="17.399999999999999" customHeight="1" x14ac:dyDescent="0.55000000000000004">
      <c r="A112" s="7198"/>
      <c r="B112" s="7205"/>
      <c r="C112" s="66" t="s">
        <v>404</v>
      </c>
      <c r="D112" s="149">
        <f>D121+D122</f>
        <v>1133</v>
      </c>
      <c r="E112" s="150">
        <f t="shared" ref="E112:O112" si="106">E121+E122</f>
        <v>1042</v>
      </c>
      <c r="F112" s="150">
        <f t="shared" si="106"/>
        <v>964</v>
      </c>
      <c r="G112" s="150">
        <f t="shared" si="106"/>
        <v>1032</v>
      </c>
      <c r="H112" s="150">
        <f t="shared" si="106"/>
        <v>970</v>
      </c>
      <c r="I112" s="150">
        <f t="shared" si="106"/>
        <v>985</v>
      </c>
      <c r="J112" s="150">
        <f t="shared" si="106"/>
        <v>873</v>
      </c>
      <c r="K112" s="150">
        <f t="shared" si="106"/>
        <v>1084</v>
      </c>
      <c r="L112" s="150">
        <f t="shared" si="106"/>
        <v>825</v>
      </c>
      <c r="M112" s="150">
        <f t="shared" si="106"/>
        <v>952</v>
      </c>
      <c r="N112" s="150">
        <f t="shared" si="106"/>
        <v>1134</v>
      </c>
      <c r="O112" s="150">
        <f t="shared" si="106"/>
        <v>1015</v>
      </c>
      <c r="P112" s="150">
        <f t="shared" si="90"/>
        <v>12009</v>
      </c>
      <c r="Q112" s="151">
        <f t="shared" si="91"/>
        <v>1000.75</v>
      </c>
      <c r="R112" s="183"/>
      <c r="S112" s="149">
        <f>S121+S122</f>
        <v>1278</v>
      </c>
      <c r="T112" s="150">
        <f t="shared" ref="T112:AD112" si="107">T121+T122</f>
        <v>1332</v>
      </c>
      <c r="U112" s="150">
        <f t="shared" si="107"/>
        <v>1341</v>
      </c>
      <c r="V112" s="150">
        <f t="shared" si="107"/>
        <v>1389</v>
      </c>
      <c r="W112" s="150">
        <f t="shared" si="107"/>
        <v>1266</v>
      </c>
      <c r="X112" s="150">
        <f t="shared" si="107"/>
        <v>1254</v>
      </c>
      <c r="Y112" s="150">
        <f t="shared" si="107"/>
        <v>1071</v>
      </c>
      <c r="Z112" s="150">
        <f t="shared" si="107"/>
        <v>1499</v>
      </c>
      <c r="AA112" s="150">
        <f t="shared" si="107"/>
        <v>989</v>
      </c>
      <c r="AB112" s="150">
        <f t="shared" si="107"/>
        <v>1211</v>
      </c>
      <c r="AC112" s="150">
        <f t="shared" si="107"/>
        <v>1069</v>
      </c>
      <c r="AD112" s="150">
        <f t="shared" si="107"/>
        <v>1007</v>
      </c>
      <c r="AE112" s="150">
        <f t="shared" si="92"/>
        <v>14706</v>
      </c>
      <c r="AF112" s="151">
        <f t="shared" si="93"/>
        <v>1225.5</v>
      </c>
      <c r="AG112" s="183"/>
      <c r="AH112" s="149">
        <v>1463</v>
      </c>
      <c r="AI112" s="150">
        <v>1004</v>
      </c>
      <c r="AJ112" s="150">
        <v>1221</v>
      </c>
      <c r="AK112" s="150">
        <v>1122</v>
      </c>
      <c r="AL112" s="150">
        <v>1141</v>
      </c>
      <c r="AM112" s="150">
        <v>1083</v>
      </c>
      <c r="AN112" s="150">
        <v>1302</v>
      </c>
      <c r="AO112" s="150">
        <v>944</v>
      </c>
      <c r="AP112" s="150">
        <v>1137</v>
      </c>
      <c r="AQ112" s="150">
        <v>1005</v>
      </c>
      <c r="AR112" s="150">
        <v>974</v>
      </c>
      <c r="AS112" s="150">
        <v>899</v>
      </c>
      <c r="AT112" s="150">
        <f t="shared" si="94"/>
        <v>13295</v>
      </c>
      <c r="AU112" s="151">
        <f t="shared" si="95"/>
        <v>1107.9166666666667</v>
      </c>
      <c r="AV112" s="183"/>
      <c r="AW112" s="483">
        <v>770</v>
      </c>
      <c r="AX112" s="150">
        <v>1738</v>
      </c>
      <c r="AY112" s="150">
        <v>1299</v>
      </c>
      <c r="AZ112" s="150">
        <v>1232</v>
      </c>
      <c r="BA112" s="150">
        <v>1739</v>
      </c>
      <c r="BB112" s="150">
        <v>1090</v>
      </c>
      <c r="BC112" s="150">
        <v>1612</v>
      </c>
      <c r="BD112" s="150">
        <v>1147</v>
      </c>
      <c r="BE112" s="150">
        <v>1291</v>
      </c>
      <c r="BF112" s="150">
        <v>994</v>
      </c>
      <c r="BG112" s="150">
        <v>937</v>
      </c>
      <c r="BH112" s="150">
        <v>857</v>
      </c>
      <c r="BI112" s="150">
        <f t="shared" si="88"/>
        <v>14706</v>
      </c>
      <c r="BJ112" s="151">
        <f t="shared" si="60"/>
        <v>1225.5</v>
      </c>
      <c r="BK112" s="183"/>
      <c r="BL112" s="483">
        <v>1351</v>
      </c>
      <c r="BM112" s="150">
        <v>815</v>
      </c>
      <c r="BN112" s="150"/>
      <c r="BO112" s="150"/>
      <c r="BP112" s="150"/>
      <c r="BQ112" s="150"/>
      <c r="BR112" s="150"/>
      <c r="BS112" s="150"/>
      <c r="BT112" s="150"/>
      <c r="BU112" s="150"/>
      <c r="BV112" s="150"/>
      <c r="BW112" s="150"/>
      <c r="BX112" s="150">
        <f t="shared" si="89"/>
        <v>2166</v>
      </c>
      <c r="BY112" s="151">
        <f t="shared" si="96"/>
        <v>1083</v>
      </c>
      <c r="CA112" s="169">
        <f>ROW()</f>
        <v>112</v>
      </c>
      <c r="CB112" s="169">
        <f>IFERROR(_xlfn.XLOOKUP($A$1,$2:$2,112:112)-_xlfn.XLOOKUP(EDATE($A$1,-12),$2:$2,112:112),"")</f>
        <v>-923</v>
      </c>
      <c r="CC112" s="169">
        <f t="shared" si="83"/>
        <v>117.58333333333326</v>
      </c>
      <c r="CD112" s="169">
        <f>IFERROR(
  SUM(
    _xlfn.XLOOKUP(DATE(YEAR($A$1),1,1),$2:$2,112:112):
    _xlfn.XLOOKUP($A$1,$2:$2,112:112)
  )
 -SUM(
    _xlfn.XLOOKUP(DATE(YEAR($A$1)-1,1,1),$2:$2,112:112):
    _xlfn.XLOOKUP(EDATE($A$1,-12),$2:$2,112:112)
  ),"")</f>
        <v>-342</v>
      </c>
      <c r="CE112" s="4517">
        <f>IFERROR(
  _xlfn.XLOOKUP($A$1,$B$2:$BY$2,$B112:$BY112)
 -_xlfn.XLOOKUP(EDATE($A$1,-1),$B$2:$BY$2,$B112:$BY112),"")</f>
        <v>-536</v>
      </c>
    </row>
    <row r="113" spans="1:83" ht="17.399999999999999" customHeight="1" x14ac:dyDescent="0.55000000000000004">
      <c r="A113" s="7198"/>
      <c r="B113" s="7206" t="s">
        <v>412</v>
      </c>
      <c r="C113" s="67" t="s">
        <v>211</v>
      </c>
      <c r="D113" s="152">
        <v>378</v>
      </c>
      <c r="E113" s="153">
        <v>411</v>
      </c>
      <c r="F113" s="153">
        <v>360</v>
      </c>
      <c r="G113" s="153">
        <v>330</v>
      </c>
      <c r="H113" s="153">
        <v>360</v>
      </c>
      <c r="I113" s="153">
        <v>401</v>
      </c>
      <c r="J113" s="153">
        <v>469</v>
      </c>
      <c r="K113" s="153">
        <v>471</v>
      </c>
      <c r="L113" s="153">
        <v>421</v>
      </c>
      <c r="M113" s="153">
        <v>354</v>
      </c>
      <c r="N113" s="153">
        <v>373</v>
      </c>
      <c r="O113" s="153">
        <v>390</v>
      </c>
      <c r="P113" s="153">
        <f t="shared" si="90"/>
        <v>4718</v>
      </c>
      <c r="Q113" s="154">
        <f t="shared" si="91"/>
        <v>393.16666666666669</v>
      </c>
      <c r="R113" s="183"/>
      <c r="S113" s="152">
        <v>502</v>
      </c>
      <c r="T113" s="153">
        <v>565</v>
      </c>
      <c r="U113" s="153">
        <v>569</v>
      </c>
      <c r="V113" s="153">
        <v>626</v>
      </c>
      <c r="W113" s="153">
        <v>533</v>
      </c>
      <c r="X113" s="153">
        <v>449</v>
      </c>
      <c r="Y113" s="153">
        <v>403</v>
      </c>
      <c r="Z113" s="153">
        <v>597</v>
      </c>
      <c r="AA113" s="153">
        <v>323</v>
      </c>
      <c r="AB113" s="153">
        <v>453</v>
      </c>
      <c r="AC113" s="153">
        <v>419</v>
      </c>
      <c r="AD113" s="153">
        <v>414</v>
      </c>
      <c r="AE113" s="153">
        <f t="shared" si="92"/>
        <v>5853</v>
      </c>
      <c r="AF113" s="154">
        <f t="shared" si="93"/>
        <v>487.75</v>
      </c>
      <c r="AG113" s="183"/>
      <c r="AH113" s="152">
        <v>576</v>
      </c>
      <c r="AI113" s="153">
        <v>429</v>
      </c>
      <c r="AJ113" s="153">
        <v>445</v>
      </c>
      <c r="AK113" s="153">
        <v>514</v>
      </c>
      <c r="AL113" s="153">
        <v>453</v>
      </c>
      <c r="AM113" s="153">
        <v>395</v>
      </c>
      <c r="AN113" s="153">
        <v>555</v>
      </c>
      <c r="AO113" s="153">
        <v>412</v>
      </c>
      <c r="AP113" s="153">
        <v>431</v>
      </c>
      <c r="AQ113" s="153">
        <v>384</v>
      </c>
      <c r="AR113" s="153">
        <v>387</v>
      </c>
      <c r="AS113" s="153">
        <v>360</v>
      </c>
      <c r="AT113" s="153">
        <f t="shared" si="94"/>
        <v>5341</v>
      </c>
      <c r="AU113" s="154">
        <f t="shared" si="95"/>
        <v>445.08333333333331</v>
      </c>
      <c r="AV113" s="183"/>
      <c r="AW113" s="487">
        <v>313</v>
      </c>
      <c r="AX113" s="153">
        <v>682</v>
      </c>
      <c r="AY113" s="153">
        <v>481</v>
      </c>
      <c r="AZ113" s="153">
        <v>579</v>
      </c>
      <c r="BA113" s="153">
        <v>859</v>
      </c>
      <c r="BB113" s="153">
        <v>508</v>
      </c>
      <c r="BC113" s="153">
        <v>760</v>
      </c>
      <c r="BD113" s="153">
        <v>441</v>
      </c>
      <c r="BE113" s="153">
        <v>574</v>
      </c>
      <c r="BF113" s="153">
        <v>372</v>
      </c>
      <c r="BG113" s="153">
        <v>391</v>
      </c>
      <c r="BH113" s="153">
        <v>392</v>
      </c>
      <c r="BI113" s="153">
        <f t="shared" si="88"/>
        <v>6352</v>
      </c>
      <c r="BJ113" s="154">
        <f t="shared" si="60"/>
        <v>529.33333333333337</v>
      </c>
      <c r="BK113" s="183"/>
      <c r="BL113" s="487">
        <v>545</v>
      </c>
      <c r="BM113" s="153">
        <v>361</v>
      </c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>
        <f>SUM(BL113:BW113)</f>
        <v>906</v>
      </c>
      <c r="BY113" s="154">
        <f t="shared" si="96"/>
        <v>453</v>
      </c>
      <c r="CA113" s="169">
        <f>ROW()</f>
        <v>113</v>
      </c>
      <c r="CB113" s="169">
        <f>IFERROR(_xlfn.XLOOKUP($A$1,$2:$2,113:113)-_xlfn.XLOOKUP(EDATE($A$1,-12),$2:$2,113:113),"")</f>
        <v>-321</v>
      </c>
      <c r="CC113" s="169">
        <f t="shared" si="83"/>
        <v>84.250000000000057</v>
      </c>
      <c r="CD113" s="169">
        <f>IFERROR(
  SUM(
    _xlfn.XLOOKUP(DATE(YEAR($A$1),1,1),$2:$2,113:113):
    _xlfn.XLOOKUP($A$1,$2:$2,113:113)
  )
 -SUM(
    _xlfn.XLOOKUP(DATE(YEAR($A$1)-1,1,1),$2:$2,113:113):
    _xlfn.XLOOKUP(EDATE($A$1,-12),$2:$2,113:113)
  ),"")</f>
        <v>-89</v>
      </c>
      <c r="CE113" s="4517">
        <f>IFERROR(
  _xlfn.XLOOKUP($A$1,$B$2:$BY$2,$B113:$BY113)
 -_xlfn.XLOOKUP(EDATE($A$1,-1),$B$2:$BY$2,$B113:$BY113),"")</f>
        <v>-184</v>
      </c>
    </row>
    <row r="114" spans="1:83" ht="17.399999999999999" customHeight="1" x14ac:dyDescent="0.55000000000000004">
      <c r="A114" s="7198"/>
      <c r="B114" s="7207"/>
      <c r="C114" s="67" t="s">
        <v>212</v>
      </c>
      <c r="D114" s="152">
        <v>394</v>
      </c>
      <c r="E114" s="153">
        <v>445</v>
      </c>
      <c r="F114" s="153">
        <v>395</v>
      </c>
      <c r="G114" s="153">
        <v>392</v>
      </c>
      <c r="H114" s="153">
        <v>477</v>
      </c>
      <c r="I114" s="153">
        <v>470</v>
      </c>
      <c r="J114" s="153">
        <v>428</v>
      </c>
      <c r="K114" s="153">
        <v>473</v>
      </c>
      <c r="L114" s="153">
        <v>351</v>
      </c>
      <c r="M114" s="153">
        <v>379</v>
      </c>
      <c r="N114" s="153">
        <v>469</v>
      </c>
      <c r="O114" s="153">
        <v>468</v>
      </c>
      <c r="P114" s="153">
        <f t="shared" si="90"/>
        <v>5141</v>
      </c>
      <c r="Q114" s="154">
        <f t="shared" si="91"/>
        <v>428.41666666666669</v>
      </c>
      <c r="R114" s="183"/>
      <c r="S114" s="152">
        <v>497</v>
      </c>
      <c r="T114" s="153">
        <v>551</v>
      </c>
      <c r="U114" s="153">
        <v>423</v>
      </c>
      <c r="V114" s="153">
        <v>471</v>
      </c>
      <c r="W114" s="153">
        <v>459</v>
      </c>
      <c r="X114" s="153">
        <v>433</v>
      </c>
      <c r="Y114" s="153">
        <v>377</v>
      </c>
      <c r="Z114" s="153">
        <v>558</v>
      </c>
      <c r="AA114" s="153">
        <v>340</v>
      </c>
      <c r="AB114" s="153">
        <v>420</v>
      </c>
      <c r="AC114" s="153">
        <v>309</v>
      </c>
      <c r="AD114" s="153">
        <v>289</v>
      </c>
      <c r="AE114" s="153">
        <f t="shared" si="92"/>
        <v>5127</v>
      </c>
      <c r="AF114" s="154">
        <f t="shared" si="93"/>
        <v>427.25</v>
      </c>
      <c r="AG114" s="183"/>
      <c r="AH114" s="152">
        <v>570</v>
      </c>
      <c r="AI114" s="153">
        <v>381</v>
      </c>
      <c r="AJ114" s="153">
        <v>450</v>
      </c>
      <c r="AK114" s="153">
        <v>426</v>
      </c>
      <c r="AL114" s="153">
        <v>440</v>
      </c>
      <c r="AM114" s="153">
        <v>378</v>
      </c>
      <c r="AN114" s="153">
        <v>635</v>
      </c>
      <c r="AO114" s="153">
        <v>496</v>
      </c>
      <c r="AP114" s="153">
        <v>598</v>
      </c>
      <c r="AQ114" s="153">
        <v>481</v>
      </c>
      <c r="AR114" s="153">
        <v>462</v>
      </c>
      <c r="AS114" s="153">
        <v>424</v>
      </c>
      <c r="AT114" s="153">
        <f t="shared" si="94"/>
        <v>5741</v>
      </c>
      <c r="AU114" s="154">
        <f t="shared" si="95"/>
        <v>478.41666666666669</v>
      </c>
      <c r="AV114" s="183"/>
      <c r="AW114" s="487">
        <v>346</v>
      </c>
      <c r="AX114" s="153">
        <v>753</v>
      </c>
      <c r="AY114" s="153">
        <v>522</v>
      </c>
      <c r="AZ114" s="153">
        <v>641</v>
      </c>
      <c r="BA114" s="153">
        <v>889</v>
      </c>
      <c r="BB114" s="153">
        <v>517</v>
      </c>
      <c r="BC114" s="153">
        <v>721</v>
      </c>
      <c r="BD114" s="153">
        <v>548</v>
      </c>
      <c r="BE114" s="153">
        <v>559</v>
      </c>
      <c r="BF114" s="153">
        <v>402</v>
      </c>
      <c r="BG114" s="153">
        <v>442</v>
      </c>
      <c r="BH114" s="153">
        <v>393</v>
      </c>
      <c r="BI114" s="153">
        <f t="shared" si="88"/>
        <v>6733</v>
      </c>
      <c r="BJ114" s="154">
        <f t="shared" si="60"/>
        <v>561.08333333333337</v>
      </c>
      <c r="BK114" s="183"/>
      <c r="BL114" s="487">
        <v>563</v>
      </c>
      <c r="BM114" s="153">
        <v>351</v>
      </c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>
        <f t="shared" si="89"/>
        <v>914</v>
      </c>
      <c r="BY114" s="154">
        <f t="shared" si="96"/>
        <v>457</v>
      </c>
      <c r="CA114" s="169">
        <f>ROW()</f>
        <v>114</v>
      </c>
      <c r="CB114" s="169">
        <f>IFERROR(_xlfn.XLOOKUP($A$1,$2:$2,114:114)-_xlfn.XLOOKUP(EDATE($A$1,-12),$2:$2,114:114),"")</f>
        <v>-402</v>
      </c>
      <c r="CC114" s="169">
        <f t="shared" si="83"/>
        <v>82.666666666666686</v>
      </c>
      <c r="CD114" s="169">
        <f>IFERROR(
  SUM(
    _xlfn.XLOOKUP(DATE(YEAR($A$1),1,1),$2:$2,114:114):
    _xlfn.XLOOKUP($A$1,$2:$2,114:114)
  )
 -SUM(
    _xlfn.XLOOKUP(DATE(YEAR($A$1)-1,1,1),$2:$2,114:114):
    _xlfn.XLOOKUP(EDATE($A$1,-12),$2:$2,114:114)
  ),"")</f>
        <v>-185</v>
      </c>
      <c r="CE114" s="4517">
        <f>IFERROR(
  _xlfn.XLOOKUP($A$1,$B$2:$BY$2,$B114:$BY114)
 -_xlfn.XLOOKUP(EDATE($A$1,-1),$B$2:$BY$2,$B114:$BY114),"")</f>
        <v>-212</v>
      </c>
    </row>
    <row r="115" spans="1:83" ht="17.399999999999999" customHeight="1" x14ac:dyDescent="0.55000000000000004">
      <c r="A115" s="7198"/>
      <c r="B115" s="7207"/>
      <c r="C115" s="68" t="s">
        <v>213</v>
      </c>
      <c r="D115" s="155">
        <v>383</v>
      </c>
      <c r="E115" s="156">
        <v>319</v>
      </c>
      <c r="F115" s="156">
        <v>360</v>
      </c>
      <c r="G115" s="156">
        <v>441</v>
      </c>
      <c r="H115" s="156">
        <v>405</v>
      </c>
      <c r="I115" s="156">
        <v>560</v>
      </c>
      <c r="J115" s="156">
        <v>574</v>
      </c>
      <c r="K115" s="156">
        <v>529</v>
      </c>
      <c r="L115" s="156">
        <v>506</v>
      </c>
      <c r="M115" s="156">
        <v>459</v>
      </c>
      <c r="N115" s="156">
        <v>402</v>
      </c>
      <c r="O115" s="156">
        <v>421</v>
      </c>
      <c r="P115" s="156">
        <f t="shared" si="90"/>
        <v>5359</v>
      </c>
      <c r="Q115" s="157">
        <f t="shared" si="91"/>
        <v>446.58333333333331</v>
      </c>
      <c r="R115" s="183"/>
      <c r="S115" s="155">
        <v>676</v>
      </c>
      <c r="T115" s="156">
        <v>652</v>
      </c>
      <c r="U115" s="156">
        <v>689</v>
      </c>
      <c r="V115" s="156">
        <v>570</v>
      </c>
      <c r="W115" s="156">
        <v>615</v>
      </c>
      <c r="X115" s="156">
        <v>522</v>
      </c>
      <c r="Y115" s="156">
        <v>480</v>
      </c>
      <c r="Z115" s="156">
        <v>624</v>
      </c>
      <c r="AA115" s="156">
        <v>440</v>
      </c>
      <c r="AB115" s="156">
        <v>584</v>
      </c>
      <c r="AC115" s="156">
        <v>452</v>
      </c>
      <c r="AD115" s="156">
        <v>423</v>
      </c>
      <c r="AE115" s="156">
        <f t="shared" si="92"/>
        <v>6727</v>
      </c>
      <c r="AF115" s="157">
        <f t="shared" si="93"/>
        <v>560.58333333333337</v>
      </c>
      <c r="AG115" s="183"/>
      <c r="AH115" s="155">
        <v>668</v>
      </c>
      <c r="AI115" s="156">
        <v>421</v>
      </c>
      <c r="AJ115" s="156">
        <v>363</v>
      </c>
      <c r="AK115" s="156">
        <v>365</v>
      </c>
      <c r="AL115" s="156">
        <v>378</v>
      </c>
      <c r="AM115" s="156">
        <v>374</v>
      </c>
      <c r="AN115" s="156">
        <v>488</v>
      </c>
      <c r="AO115" s="156">
        <v>373</v>
      </c>
      <c r="AP115" s="156">
        <v>367</v>
      </c>
      <c r="AQ115" s="156">
        <v>350</v>
      </c>
      <c r="AR115" s="156">
        <v>407</v>
      </c>
      <c r="AS115" s="156">
        <v>335</v>
      </c>
      <c r="AT115" s="156">
        <f t="shared" si="94"/>
        <v>4889</v>
      </c>
      <c r="AU115" s="157">
        <f t="shared" si="95"/>
        <v>407.41666666666669</v>
      </c>
      <c r="AV115" s="183"/>
      <c r="AW115" s="488">
        <v>348</v>
      </c>
      <c r="AX115" s="156">
        <v>603</v>
      </c>
      <c r="AY115" s="156">
        <v>440</v>
      </c>
      <c r="AZ115" s="156">
        <v>480</v>
      </c>
      <c r="BA115" s="156">
        <v>795</v>
      </c>
      <c r="BB115" s="156">
        <v>415</v>
      </c>
      <c r="BC115" s="156">
        <v>641</v>
      </c>
      <c r="BD115" s="156">
        <v>441</v>
      </c>
      <c r="BE115" s="156">
        <v>549</v>
      </c>
      <c r="BF115" s="156">
        <v>384</v>
      </c>
      <c r="BG115" s="156">
        <v>310</v>
      </c>
      <c r="BH115" s="156">
        <v>326</v>
      </c>
      <c r="BI115" s="156">
        <f t="shared" si="88"/>
        <v>5732</v>
      </c>
      <c r="BJ115" s="157">
        <f t="shared" si="60"/>
        <v>477.66666666666669</v>
      </c>
      <c r="BK115" s="183"/>
      <c r="BL115" s="488">
        <v>499</v>
      </c>
      <c r="BM115" s="156">
        <v>314</v>
      </c>
      <c r="BN115" s="156"/>
      <c r="BO115" s="156"/>
      <c r="BP115" s="156"/>
      <c r="BQ115" s="156"/>
      <c r="BR115" s="156"/>
      <c r="BS115" s="156"/>
      <c r="BT115" s="156"/>
      <c r="BU115" s="156"/>
      <c r="BV115" s="156"/>
      <c r="BW115" s="156"/>
      <c r="BX115" s="156">
        <f t="shared" si="89"/>
        <v>813</v>
      </c>
      <c r="BY115" s="157">
        <f t="shared" si="96"/>
        <v>406.5</v>
      </c>
      <c r="CA115" s="169">
        <f>ROW()</f>
        <v>115</v>
      </c>
      <c r="CB115" s="169">
        <f>IFERROR(_xlfn.XLOOKUP($A$1,$2:$2,115:115)-_xlfn.XLOOKUP(EDATE($A$1,-12),$2:$2,115:115),"")</f>
        <v>-289</v>
      </c>
      <c r="CC115" s="169">
        <f t="shared" si="83"/>
        <v>70.25</v>
      </c>
      <c r="CD115" s="169">
        <f>IFERROR(
  SUM(
    _xlfn.XLOOKUP(DATE(YEAR($A$1),1,1),$2:$2,115:115):
    _xlfn.XLOOKUP($A$1,$2:$2,115:115)
  )
 -SUM(
    _xlfn.XLOOKUP(DATE(YEAR($A$1)-1,1,1),$2:$2,115:115):
    _xlfn.XLOOKUP(EDATE($A$1,-12),$2:$2,115:115)
  ),"")</f>
        <v>-138</v>
      </c>
      <c r="CE115" s="4517">
        <f>IFERROR(
  _xlfn.XLOOKUP($A$1,$B$2:$BY$2,$B115:$BY115)
 -_xlfn.XLOOKUP(EDATE($A$1,-1),$B$2:$BY$2,$B115:$BY115),"")</f>
        <v>-185</v>
      </c>
    </row>
    <row r="116" spans="1:83" ht="17.399999999999999" customHeight="1" x14ac:dyDescent="0.55000000000000004">
      <c r="A116" s="7198"/>
      <c r="B116" s="7207"/>
      <c r="C116" s="68" t="s">
        <v>214</v>
      </c>
      <c r="D116" s="155">
        <v>601</v>
      </c>
      <c r="E116" s="156">
        <v>487</v>
      </c>
      <c r="F116" s="156">
        <v>478</v>
      </c>
      <c r="G116" s="156">
        <v>566</v>
      </c>
      <c r="H116" s="156">
        <v>527</v>
      </c>
      <c r="I116" s="156">
        <v>588</v>
      </c>
      <c r="J116" s="156">
        <v>614</v>
      </c>
      <c r="K116" s="156">
        <v>593</v>
      </c>
      <c r="L116" s="156">
        <v>479</v>
      </c>
      <c r="M116" s="156">
        <v>497</v>
      </c>
      <c r="N116" s="156">
        <v>490</v>
      </c>
      <c r="O116" s="156">
        <v>536</v>
      </c>
      <c r="P116" s="156">
        <f t="shared" si="90"/>
        <v>6456</v>
      </c>
      <c r="Q116" s="157">
        <f t="shared" si="91"/>
        <v>538</v>
      </c>
      <c r="R116" s="183"/>
      <c r="S116" s="155">
        <v>622</v>
      </c>
      <c r="T116" s="156">
        <v>709</v>
      </c>
      <c r="U116" s="156">
        <v>682</v>
      </c>
      <c r="V116" s="156">
        <v>650</v>
      </c>
      <c r="W116" s="156">
        <v>680</v>
      </c>
      <c r="X116" s="156">
        <v>631</v>
      </c>
      <c r="Y116" s="156">
        <v>490</v>
      </c>
      <c r="Z116" s="156">
        <v>779</v>
      </c>
      <c r="AA116" s="156">
        <v>430</v>
      </c>
      <c r="AB116" s="156">
        <v>662</v>
      </c>
      <c r="AC116" s="156">
        <v>553</v>
      </c>
      <c r="AD116" s="156">
        <v>457</v>
      </c>
      <c r="AE116" s="156">
        <f t="shared" si="92"/>
        <v>7345</v>
      </c>
      <c r="AF116" s="157">
        <f t="shared" si="93"/>
        <v>612.08333333333337</v>
      </c>
      <c r="AG116" s="183"/>
      <c r="AH116" s="155">
        <v>718</v>
      </c>
      <c r="AI116" s="156">
        <v>556</v>
      </c>
      <c r="AJ116" s="156">
        <v>532</v>
      </c>
      <c r="AK116" s="156">
        <v>507</v>
      </c>
      <c r="AL116" s="156">
        <v>558</v>
      </c>
      <c r="AM116" s="156">
        <v>457</v>
      </c>
      <c r="AN116" s="156">
        <v>630</v>
      </c>
      <c r="AO116" s="156">
        <v>495</v>
      </c>
      <c r="AP116" s="156">
        <v>538</v>
      </c>
      <c r="AQ116" s="156">
        <v>500</v>
      </c>
      <c r="AR116" s="156">
        <v>549</v>
      </c>
      <c r="AS116" s="156">
        <v>491</v>
      </c>
      <c r="AT116" s="156">
        <f t="shared" si="94"/>
        <v>6531</v>
      </c>
      <c r="AU116" s="157">
        <f t="shared" si="95"/>
        <v>544.25</v>
      </c>
      <c r="AV116" s="183"/>
      <c r="AW116" s="488">
        <v>432</v>
      </c>
      <c r="AX116" s="156">
        <v>825</v>
      </c>
      <c r="AY116" s="156">
        <v>608</v>
      </c>
      <c r="AZ116" s="156">
        <v>568</v>
      </c>
      <c r="BA116" s="156">
        <v>1008</v>
      </c>
      <c r="BB116" s="156">
        <v>547</v>
      </c>
      <c r="BC116" s="156">
        <v>734</v>
      </c>
      <c r="BD116" s="156">
        <v>557</v>
      </c>
      <c r="BE116" s="156">
        <v>644</v>
      </c>
      <c r="BF116" s="156">
        <v>438</v>
      </c>
      <c r="BG116" s="156">
        <v>428</v>
      </c>
      <c r="BH116" s="156">
        <v>444</v>
      </c>
      <c r="BI116" s="156">
        <f t="shared" si="88"/>
        <v>7233</v>
      </c>
      <c r="BJ116" s="157">
        <f t="shared" si="60"/>
        <v>602.75</v>
      </c>
      <c r="BK116" s="183"/>
      <c r="BL116" s="488">
        <v>687</v>
      </c>
      <c r="BM116" s="156">
        <v>423</v>
      </c>
      <c r="BN116" s="156"/>
      <c r="BO116" s="156"/>
      <c r="BP116" s="156"/>
      <c r="BQ116" s="156"/>
      <c r="BR116" s="156"/>
      <c r="BS116" s="156"/>
      <c r="BT116" s="156"/>
      <c r="BU116" s="156"/>
      <c r="BV116" s="156"/>
      <c r="BW116" s="156"/>
      <c r="BX116" s="156">
        <f t="shared" si="89"/>
        <v>1110</v>
      </c>
      <c r="BY116" s="157">
        <f t="shared" si="96"/>
        <v>555</v>
      </c>
      <c r="CA116" s="169">
        <f>ROW()</f>
        <v>116</v>
      </c>
      <c r="CB116" s="169">
        <f>IFERROR(_xlfn.XLOOKUP($A$1,$2:$2,116:116)-_xlfn.XLOOKUP(EDATE($A$1,-12),$2:$2,116:116),"")</f>
        <v>-402</v>
      </c>
      <c r="CC116" s="169">
        <f t="shared" si="83"/>
        <v>58.5</v>
      </c>
      <c r="CD116" s="169">
        <f>IFERROR(
  SUM(
    _xlfn.XLOOKUP(DATE(YEAR($A$1),1,1),$2:$2,116:116):
    _xlfn.XLOOKUP($A$1,$2:$2,116:116)
  )
 -SUM(
    _xlfn.XLOOKUP(DATE(YEAR($A$1)-1,1,1),$2:$2,116:116):
    _xlfn.XLOOKUP(EDATE($A$1,-12),$2:$2,116:116)
  ),"")</f>
        <v>-147</v>
      </c>
      <c r="CE116" s="4517">
        <f>IFERROR(
  _xlfn.XLOOKUP($A$1,$B$2:$BY$2,$B116:$BY116)
 -_xlfn.XLOOKUP(EDATE($A$1,-1),$B$2:$BY$2,$B116:$BY116),"")</f>
        <v>-264</v>
      </c>
    </row>
    <row r="117" spans="1:83" ht="17.399999999999999" customHeight="1" x14ac:dyDescent="0.55000000000000004">
      <c r="A117" s="7198"/>
      <c r="B117" s="7207"/>
      <c r="C117" s="67" t="s">
        <v>215</v>
      </c>
      <c r="D117" s="152">
        <v>775</v>
      </c>
      <c r="E117" s="153">
        <v>802</v>
      </c>
      <c r="F117" s="153">
        <v>848</v>
      </c>
      <c r="G117" s="153">
        <v>846</v>
      </c>
      <c r="H117" s="153">
        <v>815</v>
      </c>
      <c r="I117" s="153">
        <v>862</v>
      </c>
      <c r="J117" s="153">
        <v>891</v>
      </c>
      <c r="K117" s="153">
        <v>912</v>
      </c>
      <c r="L117" s="153">
        <v>771</v>
      </c>
      <c r="M117" s="153">
        <v>814</v>
      </c>
      <c r="N117" s="153">
        <v>962</v>
      </c>
      <c r="O117" s="153">
        <v>910</v>
      </c>
      <c r="P117" s="153">
        <f t="shared" si="90"/>
        <v>10208</v>
      </c>
      <c r="Q117" s="154">
        <f t="shared" si="91"/>
        <v>850.66666666666663</v>
      </c>
      <c r="R117" s="183"/>
      <c r="S117" s="152">
        <v>1086</v>
      </c>
      <c r="T117" s="153">
        <v>1091</v>
      </c>
      <c r="U117" s="153">
        <v>1063</v>
      </c>
      <c r="V117" s="153">
        <v>1092</v>
      </c>
      <c r="W117" s="153">
        <v>976</v>
      </c>
      <c r="X117" s="153">
        <v>1027</v>
      </c>
      <c r="Y117" s="153">
        <v>825</v>
      </c>
      <c r="Z117" s="153">
        <v>1072</v>
      </c>
      <c r="AA117" s="153">
        <v>729</v>
      </c>
      <c r="AB117" s="153">
        <v>933</v>
      </c>
      <c r="AC117" s="153">
        <v>958</v>
      </c>
      <c r="AD117" s="153">
        <v>777</v>
      </c>
      <c r="AE117" s="153">
        <f t="shared" si="92"/>
        <v>11629</v>
      </c>
      <c r="AF117" s="154">
        <f t="shared" si="93"/>
        <v>969.08333333333337</v>
      </c>
      <c r="AG117" s="183"/>
      <c r="AH117" s="152">
        <v>1169</v>
      </c>
      <c r="AI117" s="153">
        <v>1000</v>
      </c>
      <c r="AJ117" s="153">
        <v>730</v>
      </c>
      <c r="AK117" s="153">
        <v>724</v>
      </c>
      <c r="AL117" s="153">
        <v>817</v>
      </c>
      <c r="AM117" s="153">
        <v>656</v>
      </c>
      <c r="AN117" s="153">
        <v>979</v>
      </c>
      <c r="AO117" s="153">
        <v>722</v>
      </c>
      <c r="AP117" s="153">
        <v>820</v>
      </c>
      <c r="AQ117" s="153">
        <v>792</v>
      </c>
      <c r="AR117" s="153">
        <v>745</v>
      </c>
      <c r="AS117" s="153">
        <v>667</v>
      </c>
      <c r="AT117" s="153">
        <f t="shared" si="94"/>
        <v>9821</v>
      </c>
      <c r="AU117" s="154">
        <f t="shared" si="95"/>
        <v>818.41666666666663</v>
      </c>
      <c r="AV117" s="183"/>
      <c r="AW117" s="487">
        <v>603</v>
      </c>
      <c r="AX117" s="153">
        <v>1188</v>
      </c>
      <c r="AY117" s="153">
        <v>725</v>
      </c>
      <c r="AZ117" s="153">
        <v>835</v>
      </c>
      <c r="BA117" s="153">
        <v>1365</v>
      </c>
      <c r="BB117" s="153">
        <v>833</v>
      </c>
      <c r="BC117" s="153">
        <v>1152</v>
      </c>
      <c r="BD117" s="153">
        <v>767</v>
      </c>
      <c r="BE117" s="153">
        <v>832</v>
      </c>
      <c r="BF117" s="153">
        <v>656</v>
      </c>
      <c r="BG117" s="153">
        <v>652</v>
      </c>
      <c r="BH117" s="153">
        <v>629</v>
      </c>
      <c r="BI117" s="153">
        <f t="shared" si="88"/>
        <v>10237</v>
      </c>
      <c r="BJ117" s="154">
        <f t="shared" si="60"/>
        <v>853.08333333333337</v>
      </c>
      <c r="BK117" s="183"/>
      <c r="BL117" s="487">
        <v>896</v>
      </c>
      <c r="BM117" s="153">
        <v>632</v>
      </c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>
        <f t="shared" si="89"/>
        <v>1528</v>
      </c>
      <c r="BY117" s="154">
        <f t="shared" si="96"/>
        <v>764</v>
      </c>
      <c r="CA117" s="169">
        <f>ROW()</f>
        <v>117</v>
      </c>
      <c r="CB117" s="169">
        <f>IFERROR(_xlfn.XLOOKUP($A$1,$2:$2,117:117)-_xlfn.XLOOKUP(EDATE($A$1,-12),$2:$2,117:117),"")</f>
        <v>-556</v>
      </c>
      <c r="CC117" s="169">
        <f t="shared" si="83"/>
        <v>34.666666666666742</v>
      </c>
      <c r="CD117" s="169">
        <f>IFERROR(
  SUM(
    _xlfn.XLOOKUP(DATE(YEAR($A$1),1,1),$2:$2,117:117):
    _xlfn.XLOOKUP($A$1,$2:$2,117:117)
  )
 -SUM(
    _xlfn.XLOOKUP(DATE(YEAR($A$1)-1,1,1),$2:$2,117:117):
    _xlfn.XLOOKUP(EDATE($A$1,-12),$2:$2,117:117)
  ),"")</f>
        <v>-263</v>
      </c>
      <c r="CE117" s="4517">
        <f>IFERROR(
  _xlfn.XLOOKUP($A$1,$B$2:$BY$2,$B117:$BY117)
 -_xlfn.XLOOKUP(EDATE($A$1,-1),$B$2:$BY$2,$B117:$BY117),"")</f>
        <v>-264</v>
      </c>
    </row>
    <row r="118" spans="1:83" ht="17.399999999999999" customHeight="1" x14ac:dyDescent="0.55000000000000004">
      <c r="A118" s="7198"/>
      <c r="B118" s="7207"/>
      <c r="C118" s="67" t="s">
        <v>216</v>
      </c>
      <c r="D118" s="152">
        <v>596</v>
      </c>
      <c r="E118" s="153">
        <v>501</v>
      </c>
      <c r="F118" s="153">
        <v>527</v>
      </c>
      <c r="G118" s="153">
        <v>614</v>
      </c>
      <c r="H118" s="153">
        <v>604</v>
      </c>
      <c r="I118" s="153">
        <v>592</v>
      </c>
      <c r="J118" s="153">
        <v>550</v>
      </c>
      <c r="K118" s="153">
        <v>665</v>
      </c>
      <c r="L118" s="153">
        <v>557</v>
      </c>
      <c r="M118" s="153">
        <v>593</v>
      </c>
      <c r="N118" s="153">
        <v>672</v>
      </c>
      <c r="O118" s="153">
        <v>597</v>
      </c>
      <c r="P118" s="153">
        <f t="shared" si="90"/>
        <v>7068</v>
      </c>
      <c r="Q118" s="154">
        <f t="shared" si="91"/>
        <v>589</v>
      </c>
      <c r="R118" s="183"/>
      <c r="S118" s="152">
        <v>749</v>
      </c>
      <c r="T118" s="153">
        <v>759</v>
      </c>
      <c r="U118" s="153">
        <v>859</v>
      </c>
      <c r="V118" s="153">
        <v>746</v>
      </c>
      <c r="W118" s="153">
        <v>770</v>
      </c>
      <c r="X118" s="153">
        <v>743</v>
      </c>
      <c r="Y118" s="153">
        <v>584</v>
      </c>
      <c r="Z118" s="153">
        <v>896</v>
      </c>
      <c r="AA118" s="153">
        <v>622</v>
      </c>
      <c r="AB118" s="153">
        <v>727</v>
      </c>
      <c r="AC118" s="153">
        <v>689</v>
      </c>
      <c r="AD118" s="153">
        <v>493</v>
      </c>
      <c r="AE118" s="153">
        <f t="shared" si="92"/>
        <v>8637</v>
      </c>
      <c r="AF118" s="154">
        <f t="shared" si="93"/>
        <v>719.75</v>
      </c>
      <c r="AG118" s="183"/>
      <c r="AH118" s="152">
        <v>889</v>
      </c>
      <c r="AI118" s="153">
        <v>662</v>
      </c>
      <c r="AJ118" s="153">
        <v>553</v>
      </c>
      <c r="AK118" s="153">
        <v>525</v>
      </c>
      <c r="AL118" s="153">
        <v>531</v>
      </c>
      <c r="AM118" s="153">
        <v>372</v>
      </c>
      <c r="AN118" s="153">
        <v>588</v>
      </c>
      <c r="AO118" s="153">
        <v>469</v>
      </c>
      <c r="AP118" s="153">
        <v>527</v>
      </c>
      <c r="AQ118" s="153">
        <v>546</v>
      </c>
      <c r="AR118" s="153">
        <v>478</v>
      </c>
      <c r="AS118" s="153">
        <v>443</v>
      </c>
      <c r="AT118" s="153">
        <f t="shared" si="94"/>
        <v>6583</v>
      </c>
      <c r="AU118" s="154">
        <f t="shared" si="95"/>
        <v>548.58333333333337</v>
      </c>
      <c r="AV118" s="183"/>
      <c r="AW118" s="487">
        <v>366</v>
      </c>
      <c r="AX118" s="153">
        <v>746</v>
      </c>
      <c r="AY118" s="153">
        <v>553</v>
      </c>
      <c r="AZ118" s="153">
        <v>605</v>
      </c>
      <c r="BA118" s="153">
        <v>900</v>
      </c>
      <c r="BB118" s="153">
        <v>559</v>
      </c>
      <c r="BC118" s="153">
        <v>785</v>
      </c>
      <c r="BD118" s="153">
        <v>552</v>
      </c>
      <c r="BE118" s="153">
        <v>666</v>
      </c>
      <c r="BF118" s="153">
        <v>434</v>
      </c>
      <c r="BG118" s="153">
        <v>462</v>
      </c>
      <c r="BH118" s="153">
        <v>402</v>
      </c>
      <c r="BI118" s="153">
        <f t="shared" si="88"/>
        <v>7030</v>
      </c>
      <c r="BJ118" s="154">
        <f t="shared" si="60"/>
        <v>585.83333333333337</v>
      </c>
      <c r="BK118" s="183"/>
      <c r="BL118" s="487">
        <v>613</v>
      </c>
      <c r="BM118" s="153">
        <v>336</v>
      </c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>
        <f t="shared" si="89"/>
        <v>949</v>
      </c>
      <c r="BY118" s="154">
        <f t="shared" si="96"/>
        <v>474.5</v>
      </c>
      <c r="CA118" s="169">
        <f>ROW()</f>
        <v>118</v>
      </c>
      <c r="CB118" s="169">
        <f>IFERROR(_xlfn.XLOOKUP($A$1,$2:$2,118:118)-_xlfn.XLOOKUP(EDATE($A$1,-12),$2:$2,118:118),"")</f>
        <v>-410</v>
      </c>
      <c r="CC118" s="169">
        <f t="shared" si="83"/>
        <v>37.25</v>
      </c>
      <c r="CD118" s="169">
        <f>IFERROR(
  SUM(
    _xlfn.XLOOKUP(DATE(YEAR($A$1),1,1),$2:$2,118:118):
    _xlfn.XLOOKUP($A$1,$2:$2,118:118)
  )
 -SUM(
    _xlfn.XLOOKUP(DATE(YEAR($A$1)-1,1,1),$2:$2,118:118):
    _xlfn.XLOOKUP(EDATE($A$1,-12),$2:$2,118:118)
  ),"")</f>
        <v>-163</v>
      </c>
      <c r="CE118" s="4517">
        <f>IFERROR(
  _xlfn.XLOOKUP($A$1,$B$2:$BY$2,$B118:$BY118)
 -_xlfn.XLOOKUP(EDATE($A$1,-1),$B$2:$BY$2,$B118:$BY118),"")</f>
        <v>-277</v>
      </c>
    </row>
    <row r="119" spans="1:83" ht="17.399999999999999" customHeight="1" x14ac:dyDescent="0.55000000000000004">
      <c r="A119" s="7198"/>
      <c r="B119" s="7207"/>
      <c r="C119" s="68" t="s">
        <v>217</v>
      </c>
      <c r="D119" s="155">
        <v>971</v>
      </c>
      <c r="E119" s="156">
        <v>823</v>
      </c>
      <c r="F119" s="156">
        <v>944</v>
      </c>
      <c r="G119" s="156">
        <v>1113</v>
      </c>
      <c r="H119" s="156">
        <v>1235</v>
      </c>
      <c r="I119" s="156">
        <v>1296</v>
      </c>
      <c r="J119" s="156">
        <v>1239</v>
      </c>
      <c r="K119" s="156">
        <v>1290</v>
      </c>
      <c r="L119" s="156">
        <v>981</v>
      </c>
      <c r="M119" s="156">
        <v>1117</v>
      </c>
      <c r="N119" s="156">
        <v>1310</v>
      </c>
      <c r="O119" s="156">
        <v>1267</v>
      </c>
      <c r="P119" s="156">
        <f t="shared" si="90"/>
        <v>13586</v>
      </c>
      <c r="Q119" s="157">
        <f t="shared" si="91"/>
        <v>1132.1666666666667</v>
      </c>
      <c r="R119" s="183"/>
      <c r="S119" s="155">
        <v>1334</v>
      </c>
      <c r="T119" s="156">
        <v>1448</v>
      </c>
      <c r="U119" s="156">
        <v>1370</v>
      </c>
      <c r="V119" s="156">
        <v>1406</v>
      </c>
      <c r="W119" s="156">
        <v>1251</v>
      </c>
      <c r="X119" s="156">
        <v>1282</v>
      </c>
      <c r="Y119" s="156">
        <v>1000</v>
      </c>
      <c r="Z119" s="156">
        <v>1505</v>
      </c>
      <c r="AA119" s="156">
        <v>925</v>
      </c>
      <c r="AB119" s="156">
        <v>1212</v>
      </c>
      <c r="AC119" s="156">
        <v>1142</v>
      </c>
      <c r="AD119" s="156">
        <v>969</v>
      </c>
      <c r="AE119" s="156">
        <f t="shared" si="92"/>
        <v>14844</v>
      </c>
      <c r="AF119" s="157">
        <f t="shared" si="93"/>
        <v>1237</v>
      </c>
      <c r="AG119" s="183"/>
      <c r="AH119" s="155">
        <v>1487</v>
      </c>
      <c r="AI119" s="156">
        <v>1345</v>
      </c>
      <c r="AJ119" s="156">
        <v>990</v>
      </c>
      <c r="AK119" s="156">
        <v>1073</v>
      </c>
      <c r="AL119" s="156">
        <v>1109</v>
      </c>
      <c r="AM119" s="156">
        <v>977</v>
      </c>
      <c r="AN119" s="156">
        <v>1205</v>
      </c>
      <c r="AO119" s="156">
        <v>904</v>
      </c>
      <c r="AP119" s="156">
        <v>933</v>
      </c>
      <c r="AQ119" s="156">
        <v>1024</v>
      </c>
      <c r="AR119" s="156">
        <v>909</v>
      </c>
      <c r="AS119" s="156">
        <v>896</v>
      </c>
      <c r="AT119" s="156">
        <f t="shared" si="94"/>
        <v>12852</v>
      </c>
      <c r="AU119" s="157">
        <f t="shared" si="95"/>
        <v>1071</v>
      </c>
      <c r="AV119" s="183"/>
      <c r="AW119" s="488">
        <v>549</v>
      </c>
      <c r="AX119" s="156">
        <v>1356</v>
      </c>
      <c r="AY119" s="156">
        <v>1025</v>
      </c>
      <c r="AZ119" s="156">
        <v>1233</v>
      </c>
      <c r="BA119" s="156">
        <v>1441</v>
      </c>
      <c r="BB119" s="156">
        <v>1032</v>
      </c>
      <c r="BC119" s="156">
        <v>1464</v>
      </c>
      <c r="BD119" s="156">
        <v>1025</v>
      </c>
      <c r="BE119" s="156">
        <v>976</v>
      </c>
      <c r="BF119" s="156">
        <v>912</v>
      </c>
      <c r="BG119" s="156">
        <v>743</v>
      </c>
      <c r="BH119" s="156">
        <v>617</v>
      </c>
      <c r="BI119" s="156">
        <f t="shared" si="88"/>
        <v>12373</v>
      </c>
      <c r="BJ119" s="157">
        <f t="shared" si="60"/>
        <v>1031.0833333333333</v>
      </c>
      <c r="BK119" s="183"/>
      <c r="BL119" s="488">
        <v>970</v>
      </c>
      <c r="BM119" s="156">
        <v>607</v>
      </c>
      <c r="BN119" s="156"/>
      <c r="BO119" s="156"/>
      <c r="BP119" s="156"/>
      <c r="BQ119" s="156"/>
      <c r="BR119" s="156"/>
      <c r="BS119" s="156"/>
      <c r="BT119" s="156"/>
      <c r="BU119" s="156"/>
      <c r="BV119" s="156"/>
      <c r="BW119" s="156"/>
      <c r="BX119" s="156">
        <f t="shared" si="89"/>
        <v>1577</v>
      </c>
      <c r="BY119" s="157">
        <f t="shared" si="96"/>
        <v>788.5</v>
      </c>
      <c r="CA119" s="169">
        <f>ROW()</f>
        <v>119</v>
      </c>
      <c r="CB119" s="169">
        <f>IFERROR(_xlfn.XLOOKUP($A$1,$2:$2,119:119)-_xlfn.XLOOKUP(EDATE($A$1,-12),$2:$2,119:119),"")</f>
        <v>-749</v>
      </c>
      <c r="CC119" s="169">
        <f t="shared" si="83"/>
        <v>-39.916666666666742</v>
      </c>
      <c r="CD119" s="169">
        <f>IFERROR(
  SUM(
    _xlfn.XLOOKUP(DATE(YEAR($A$1),1,1),$2:$2,119:119):
    _xlfn.XLOOKUP($A$1,$2:$2,119:119)
  )
 -SUM(
    _xlfn.XLOOKUP(DATE(YEAR($A$1)-1,1,1),$2:$2,119:119):
    _xlfn.XLOOKUP(EDATE($A$1,-12),$2:$2,119:119)
  ),"")</f>
        <v>-328</v>
      </c>
      <c r="CE119" s="4517">
        <f>IFERROR(
  _xlfn.XLOOKUP($A$1,$B$2:$BY$2,$B119:$BY119)
 -_xlfn.XLOOKUP(EDATE($A$1,-1),$B$2:$BY$2,$B119:$BY119),"")</f>
        <v>-363</v>
      </c>
    </row>
    <row r="120" spans="1:83" ht="17.399999999999999" customHeight="1" x14ac:dyDescent="0.55000000000000004">
      <c r="A120" s="7198"/>
      <c r="B120" s="7207"/>
      <c r="C120" s="68" t="s">
        <v>218</v>
      </c>
      <c r="D120" s="155">
        <v>594</v>
      </c>
      <c r="E120" s="156">
        <v>570</v>
      </c>
      <c r="F120" s="156">
        <v>668</v>
      </c>
      <c r="G120" s="156">
        <v>602</v>
      </c>
      <c r="H120" s="156">
        <v>506</v>
      </c>
      <c r="I120" s="156">
        <v>688</v>
      </c>
      <c r="J120" s="156">
        <v>542</v>
      </c>
      <c r="K120" s="156">
        <v>656</v>
      </c>
      <c r="L120" s="156">
        <v>545</v>
      </c>
      <c r="M120" s="156">
        <v>581</v>
      </c>
      <c r="N120" s="156">
        <v>776</v>
      </c>
      <c r="O120" s="156">
        <v>672</v>
      </c>
      <c r="P120" s="156">
        <f t="shared" si="90"/>
        <v>7400</v>
      </c>
      <c r="Q120" s="157">
        <f t="shared" si="91"/>
        <v>616.66666666666663</v>
      </c>
      <c r="R120" s="183"/>
      <c r="S120" s="155">
        <v>880</v>
      </c>
      <c r="T120" s="156">
        <v>883</v>
      </c>
      <c r="U120" s="156">
        <v>753</v>
      </c>
      <c r="V120" s="156">
        <v>829</v>
      </c>
      <c r="W120" s="156">
        <v>819</v>
      </c>
      <c r="X120" s="156">
        <v>814</v>
      </c>
      <c r="Y120" s="156">
        <v>663</v>
      </c>
      <c r="Z120" s="156">
        <v>928</v>
      </c>
      <c r="AA120" s="156">
        <v>555</v>
      </c>
      <c r="AB120" s="156">
        <v>643</v>
      </c>
      <c r="AC120" s="156">
        <v>663</v>
      </c>
      <c r="AD120" s="156">
        <v>643</v>
      </c>
      <c r="AE120" s="156">
        <f t="shared" si="92"/>
        <v>9073</v>
      </c>
      <c r="AF120" s="157">
        <f t="shared" si="93"/>
        <v>756.08333333333337</v>
      </c>
      <c r="AG120" s="183"/>
      <c r="AH120" s="155">
        <v>969</v>
      </c>
      <c r="AI120" s="156">
        <v>743</v>
      </c>
      <c r="AJ120" s="156">
        <v>691</v>
      </c>
      <c r="AK120" s="156">
        <v>636</v>
      </c>
      <c r="AL120" s="156">
        <v>679</v>
      </c>
      <c r="AM120" s="156">
        <v>620</v>
      </c>
      <c r="AN120" s="156">
        <v>805</v>
      </c>
      <c r="AO120" s="156">
        <v>562</v>
      </c>
      <c r="AP120" s="156">
        <v>678</v>
      </c>
      <c r="AQ120" s="156">
        <v>619</v>
      </c>
      <c r="AR120" s="156">
        <v>616</v>
      </c>
      <c r="AS120" s="156">
        <v>484</v>
      </c>
      <c r="AT120" s="156">
        <f t="shared" si="94"/>
        <v>8102</v>
      </c>
      <c r="AU120" s="157">
        <f t="shared" si="95"/>
        <v>675.16666666666663</v>
      </c>
      <c r="AV120" s="183"/>
      <c r="AW120" s="488">
        <v>474</v>
      </c>
      <c r="AX120" s="156">
        <v>945</v>
      </c>
      <c r="AY120" s="156">
        <v>673</v>
      </c>
      <c r="AZ120" s="156">
        <v>758</v>
      </c>
      <c r="BA120" s="156">
        <v>1011</v>
      </c>
      <c r="BB120" s="156">
        <v>687</v>
      </c>
      <c r="BC120" s="156">
        <v>1011</v>
      </c>
      <c r="BD120" s="156">
        <v>590</v>
      </c>
      <c r="BE120" s="156">
        <v>723</v>
      </c>
      <c r="BF120" s="156">
        <v>498</v>
      </c>
      <c r="BG120" s="156">
        <v>537</v>
      </c>
      <c r="BH120" s="156">
        <v>449</v>
      </c>
      <c r="BI120" s="156">
        <f t="shared" si="88"/>
        <v>8356</v>
      </c>
      <c r="BJ120" s="157">
        <f t="shared" si="60"/>
        <v>696.33333333333337</v>
      </c>
      <c r="BK120" s="183"/>
      <c r="BL120" s="488">
        <v>712</v>
      </c>
      <c r="BM120" s="156">
        <v>432</v>
      </c>
      <c r="BN120" s="156"/>
      <c r="BO120" s="156"/>
      <c r="BP120" s="156"/>
      <c r="BQ120" s="156"/>
      <c r="BR120" s="156"/>
      <c r="BS120" s="156"/>
      <c r="BT120" s="156"/>
      <c r="BU120" s="156"/>
      <c r="BV120" s="156"/>
      <c r="BW120" s="156"/>
      <c r="BX120" s="156">
        <f t="shared" si="89"/>
        <v>1144</v>
      </c>
      <c r="BY120" s="157">
        <f t="shared" si="96"/>
        <v>572</v>
      </c>
      <c r="CA120" s="169">
        <f>ROW()</f>
        <v>120</v>
      </c>
      <c r="CB120" s="169">
        <f>IFERROR(_xlfn.XLOOKUP($A$1,$2:$2,120:120)-_xlfn.XLOOKUP(EDATE($A$1,-12),$2:$2,120:120),"")</f>
        <v>-513</v>
      </c>
      <c r="CC120" s="169">
        <f t="shared" si="83"/>
        <v>21.166666666666742</v>
      </c>
      <c r="CD120" s="169">
        <f>IFERROR(
  SUM(
    _xlfn.XLOOKUP(DATE(YEAR($A$1),1,1),$2:$2,120:120):
    _xlfn.XLOOKUP($A$1,$2:$2,120:120)
  )
 -SUM(
    _xlfn.XLOOKUP(DATE(YEAR($A$1)-1,1,1),$2:$2,120:120):
    _xlfn.XLOOKUP(EDATE($A$1,-12),$2:$2,120:120)
  ),"")</f>
        <v>-275</v>
      </c>
      <c r="CE120" s="4517">
        <f>IFERROR(
  _xlfn.XLOOKUP($A$1,$B$2:$BY$2,$B120:$BY120)
 -_xlfn.XLOOKUP(EDATE($A$1,-1),$B$2:$BY$2,$B120:$BY120),"")</f>
        <v>-280</v>
      </c>
    </row>
    <row r="121" spans="1:83" ht="17.399999999999999" customHeight="1" x14ac:dyDescent="0.55000000000000004">
      <c r="A121" s="7198"/>
      <c r="B121" s="7207"/>
      <c r="C121" s="67" t="s">
        <v>219</v>
      </c>
      <c r="D121" s="152">
        <v>612</v>
      </c>
      <c r="E121" s="153">
        <v>566</v>
      </c>
      <c r="F121" s="153">
        <v>523</v>
      </c>
      <c r="G121" s="153">
        <v>534</v>
      </c>
      <c r="H121" s="153">
        <v>527</v>
      </c>
      <c r="I121" s="153">
        <v>533</v>
      </c>
      <c r="J121" s="153">
        <v>474</v>
      </c>
      <c r="K121" s="153">
        <v>615</v>
      </c>
      <c r="L121" s="153">
        <v>401</v>
      </c>
      <c r="M121" s="153">
        <v>508</v>
      </c>
      <c r="N121" s="153">
        <v>672</v>
      </c>
      <c r="O121" s="153">
        <v>547</v>
      </c>
      <c r="P121" s="153">
        <f t="shared" si="90"/>
        <v>6512</v>
      </c>
      <c r="Q121" s="154">
        <f t="shared" si="91"/>
        <v>542.66666666666663</v>
      </c>
      <c r="R121" s="183"/>
      <c r="S121" s="152">
        <v>743</v>
      </c>
      <c r="T121" s="153">
        <v>788</v>
      </c>
      <c r="U121" s="153">
        <v>661</v>
      </c>
      <c r="V121" s="153">
        <v>669</v>
      </c>
      <c r="W121" s="153">
        <v>631</v>
      </c>
      <c r="X121" s="153">
        <v>659</v>
      </c>
      <c r="Y121" s="153">
        <v>526</v>
      </c>
      <c r="Z121" s="153">
        <v>809</v>
      </c>
      <c r="AA121" s="153">
        <v>457</v>
      </c>
      <c r="AB121" s="153">
        <v>613</v>
      </c>
      <c r="AC121" s="153">
        <v>489</v>
      </c>
      <c r="AD121" s="153">
        <v>452</v>
      </c>
      <c r="AE121" s="153">
        <f t="shared" si="92"/>
        <v>7497</v>
      </c>
      <c r="AF121" s="154">
        <f t="shared" si="93"/>
        <v>624.75</v>
      </c>
      <c r="AG121" s="183"/>
      <c r="AH121" s="152">
        <v>754</v>
      </c>
      <c r="AI121" s="153">
        <v>458</v>
      </c>
      <c r="AJ121" s="153">
        <v>659</v>
      </c>
      <c r="AK121" s="153">
        <v>606</v>
      </c>
      <c r="AL121" s="153">
        <v>585</v>
      </c>
      <c r="AM121" s="153">
        <v>575</v>
      </c>
      <c r="AN121" s="153">
        <v>679</v>
      </c>
      <c r="AO121" s="153">
        <v>520</v>
      </c>
      <c r="AP121" s="153">
        <v>523</v>
      </c>
      <c r="AQ121" s="153">
        <v>487</v>
      </c>
      <c r="AR121" s="153">
        <v>506</v>
      </c>
      <c r="AS121" s="153">
        <v>475</v>
      </c>
      <c r="AT121" s="153">
        <f t="shared" si="94"/>
        <v>6827</v>
      </c>
      <c r="AU121" s="154">
        <f t="shared" si="95"/>
        <v>568.91666666666663</v>
      </c>
      <c r="AV121" s="183"/>
      <c r="AW121" s="487">
        <v>403</v>
      </c>
      <c r="AX121" s="153">
        <v>964</v>
      </c>
      <c r="AY121" s="153">
        <v>657</v>
      </c>
      <c r="AZ121" s="153">
        <v>641</v>
      </c>
      <c r="BA121" s="153">
        <v>912</v>
      </c>
      <c r="BB121" s="153">
        <v>509</v>
      </c>
      <c r="BC121" s="153">
        <v>812</v>
      </c>
      <c r="BD121" s="153">
        <v>573</v>
      </c>
      <c r="BE121" s="153">
        <v>715</v>
      </c>
      <c r="BF121" s="153">
        <v>495</v>
      </c>
      <c r="BG121" s="153">
        <v>447</v>
      </c>
      <c r="BH121" s="153">
        <v>417</v>
      </c>
      <c r="BI121" s="153">
        <f t="shared" si="88"/>
        <v>7545</v>
      </c>
      <c r="BJ121" s="154">
        <f t="shared" si="60"/>
        <v>628.75</v>
      </c>
      <c r="BK121" s="183"/>
      <c r="BL121" s="487">
        <v>735</v>
      </c>
      <c r="BM121" s="153">
        <v>450</v>
      </c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>
        <f t="shared" si="89"/>
        <v>1185</v>
      </c>
      <c r="BY121" s="154">
        <f t="shared" si="96"/>
        <v>592.5</v>
      </c>
      <c r="CA121" s="169">
        <f>ROW()</f>
        <v>121</v>
      </c>
      <c r="CB121" s="169">
        <f>IFERROR(_xlfn.XLOOKUP($A$1,$2:$2,121:121)-_xlfn.XLOOKUP(EDATE($A$1,-12),$2:$2,121:121),"")</f>
        <v>-514</v>
      </c>
      <c r="CC121" s="169">
        <f t="shared" si="83"/>
        <v>59.833333333333371</v>
      </c>
      <c r="CD121" s="169">
        <f>IFERROR(
  SUM(
    _xlfn.XLOOKUP(DATE(YEAR($A$1),1,1),$2:$2,121:121):
    _xlfn.XLOOKUP($A$1,$2:$2,121:121)
  )
 -SUM(
    _xlfn.XLOOKUP(DATE(YEAR($A$1)-1,1,1),$2:$2,121:121):
    _xlfn.XLOOKUP(EDATE($A$1,-12),$2:$2,121:121)
  ),"")</f>
        <v>-182</v>
      </c>
      <c r="CE121" s="4517">
        <f>IFERROR(
  _xlfn.XLOOKUP($A$1,$B$2:$BY$2,$B121:$BY121)
 -_xlfn.XLOOKUP(EDATE($A$1,-1),$B$2:$BY$2,$B121:$BY121),"")</f>
        <v>-285</v>
      </c>
    </row>
    <row r="122" spans="1:83" ht="18" customHeight="1" thickBot="1" x14ac:dyDescent="0.6">
      <c r="A122" s="7198"/>
      <c r="B122" s="7208"/>
      <c r="C122" s="69" t="s">
        <v>220</v>
      </c>
      <c r="D122" s="158">
        <v>521</v>
      </c>
      <c r="E122" s="159">
        <v>476</v>
      </c>
      <c r="F122" s="159">
        <v>441</v>
      </c>
      <c r="G122" s="159">
        <v>498</v>
      </c>
      <c r="H122" s="159">
        <v>443</v>
      </c>
      <c r="I122" s="159">
        <v>452</v>
      </c>
      <c r="J122" s="159">
        <v>399</v>
      </c>
      <c r="K122" s="159">
        <v>469</v>
      </c>
      <c r="L122" s="159">
        <v>424</v>
      </c>
      <c r="M122" s="159">
        <v>444</v>
      </c>
      <c r="N122" s="159">
        <v>462</v>
      </c>
      <c r="O122" s="159">
        <v>468</v>
      </c>
      <c r="P122" s="159">
        <f t="shared" si="90"/>
        <v>5497</v>
      </c>
      <c r="Q122" s="160">
        <f t="shared" si="91"/>
        <v>458.08333333333331</v>
      </c>
      <c r="R122" s="183"/>
      <c r="S122" s="158">
        <v>535</v>
      </c>
      <c r="T122" s="159">
        <v>544</v>
      </c>
      <c r="U122" s="159">
        <v>680</v>
      </c>
      <c r="V122" s="159">
        <v>720</v>
      </c>
      <c r="W122" s="159">
        <v>635</v>
      </c>
      <c r="X122" s="159">
        <v>595</v>
      </c>
      <c r="Y122" s="159">
        <v>545</v>
      </c>
      <c r="Z122" s="159">
        <v>690</v>
      </c>
      <c r="AA122" s="159">
        <v>532</v>
      </c>
      <c r="AB122" s="159">
        <v>598</v>
      </c>
      <c r="AC122" s="159">
        <v>580</v>
      </c>
      <c r="AD122" s="159">
        <v>555</v>
      </c>
      <c r="AE122" s="159">
        <f t="shared" si="92"/>
        <v>7209</v>
      </c>
      <c r="AF122" s="160">
        <f t="shared" si="93"/>
        <v>600.75</v>
      </c>
      <c r="AG122" s="183"/>
      <c r="AH122" s="158">
        <v>709</v>
      </c>
      <c r="AI122" s="159">
        <v>546</v>
      </c>
      <c r="AJ122" s="159">
        <v>562</v>
      </c>
      <c r="AK122" s="159">
        <v>516</v>
      </c>
      <c r="AL122" s="159">
        <v>556</v>
      </c>
      <c r="AM122" s="159">
        <v>508</v>
      </c>
      <c r="AN122" s="159">
        <v>623</v>
      </c>
      <c r="AO122" s="159">
        <v>424</v>
      </c>
      <c r="AP122" s="159">
        <v>614</v>
      </c>
      <c r="AQ122" s="159">
        <v>518</v>
      </c>
      <c r="AR122" s="159">
        <v>468</v>
      </c>
      <c r="AS122" s="159">
        <v>424</v>
      </c>
      <c r="AT122" s="159">
        <f t="shared" si="94"/>
        <v>6468</v>
      </c>
      <c r="AU122" s="160">
        <f t="shared" si="95"/>
        <v>539</v>
      </c>
      <c r="AV122" s="183"/>
      <c r="AW122" s="489">
        <v>367</v>
      </c>
      <c r="AX122" s="159">
        <v>774</v>
      </c>
      <c r="AY122" s="159">
        <v>642</v>
      </c>
      <c r="AZ122" s="159">
        <v>591</v>
      </c>
      <c r="BA122" s="159">
        <v>827</v>
      </c>
      <c r="BB122" s="159">
        <v>581</v>
      </c>
      <c r="BC122" s="159">
        <v>800</v>
      </c>
      <c r="BD122" s="159">
        <v>574</v>
      </c>
      <c r="BE122" s="159">
        <v>576</v>
      </c>
      <c r="BF122" s="159">
        <v>499</v>
      </c>
      <c r="BG122" s="159">
        <v>490</v>
      </c>
      <c r="BH122" s="159">
        <v>440</v>
      </c>
      <c r="BI122" s="159">
        <f t="shared" si="88"/>
        <v>7161</v>
      </c>
      <c r="BJ122" s="160">
        <f t="shared" si="60"/>
        <v>596.75</v>
      </c>
      <c r="BK122" s="183"/>
      <c r="BL122" s="489">
        <v>616</v>
      </c>
      <c r="BM122" s="159">
        <v>365</v>
      </c>
      <c r="BN122" s="159"/>
      <c r="BO122" s="159"/>
      <c r="BP122" s="159"/>
      <c r="BQ122" s="159"/>
      <c r="BR122" s="159"/>
      <c r="BS122" s="159"/>
      <c r="BT122" s="159"/>
      <c r="BU122" s="159"/>
      <c r="BV122" s="159"/>
      <c r="BW122" s="159"/>
      <c r="BX122" s="159">
        <f t="shared" si="89"/>
        <v>981</v>
      </c>
      <c r="BY122" s="160">
        <f t="shared" si="96"/>
        <v>490.5</v>
      </c>
      <c r="CA122" s="169">
        <f>ROW()</f>
        <v>122</v>
      </c>
      <c r="CB122" s="169">
        <f>IFERROR(_xlfn.XLOOKUP($A$1,$2:$2,122:122)-_xlfn.XLOOKUP(EDATE($A$1,-12),$2:$2,122:122),"")</f>
        <v>-409</v>
      </c>
      <c r="CC122" s="169">
        <f t="shared" si="83"/>
        <v>57.75</v>
      </c>
      <c r="CD122" s="169">
        <f>IFERROR(
  SUM(
    _xlfn.XLOOKUP(DATE(YEAR($A$1),1,1),$2:$2,122:122):
    _xlfn.XLOOKUP($A$1,$2:$2,122:122)
  )
 -SUM(
    _xlfn.XLOOKUP(DATE(YEAR($A$1)-1,1,1),$2:$2,122:122):
    _xlfn.XLOOKUP(EDATE($A$1,-12),$2:$2,122:122)
  ),"")</f>
        <v>-160</v>
      </c>
      <c r="CE122" s="4517">
        <f>IFERROR(
  _xlfn.XLOOKUP($A$1,$B$2:$BY$2,$B122:$BY122)
 -_xlfn.XLOOKUP(EDATE($A$1,-1),$B$2:$BY$2,$B122:$BY122),"")</f>
        <v>-251</v>
      </c>
    </row>
    <row r="123" spans="1:83" ht="17.399999999999999" customHeight="1" x14ac:dyDescent="0.55000000000000004">
      <c r="A123" s="7198"/>
      <c r="B123" s="7212" t="s">
        <v>1023</v>
      </c>
      <c r="C123" s="84" t="s">
        <v>400</v>
      </c>
      <c r="D123" s="128" t="e">
        <f>#REF!+#REF!</f>
        <v>#REF!</v>
      </c>
      <c r="E123" s="129" t="e">
        <f>#REF!+#REF!</f>
        <v>#REF!</v>
      </c>
      <c r="F123" s="129" t="e">
        <f>#REF!+#REF!</f>
        <v>#REF!</v>
      </c>
      <c r="G123" s="129" t="e">
        <f>#REF!+#REF!</f>
        <v>#REF!</v>
      </c>
      <c r="H123" s="129" t="e">
        <f>#REF!+#REF!</f>
        <v>#REF!</v>
      </c>
      <c r="I123" s="129" t="e">
        <f>#REF!+#REF!</f>
        <v>#REF!</v>
      </c>
      <c r="J123" s="129" t="e">
        <f>#REF!+#REF!</f>
        <v>#REF!</v>
      </c>
      <c r="K123" s="129" t="e">
        <f>#REF!+#REF!</f>
        <v>#REF!</v>
      </c>
      <c r="L123" s="129" t="e">
        <f>#REF!+#REF!</f>
        <v>#REF!</v>
      </c>
      <c r="M123" s="129" t="e">
        <f>#REF!+#REF!</f>
        <v>#REF!</v>
      </c>
      <c r="N123" s="129" t="e">
        <f>#REF!+#REF!</f>
        <v>#REF!</v>
      </c>
      <c r="O123" s="129" t="e">
        <f>#REF!+#REF!</f>
        <v>#REF!</v>
      </c>
      <c r="P123" s="129" t="e">
        <f t="shared" si="90"/>
        <v>#REF!</v>
      </c>
      <c r="Q123" s="130" t="e">
        <f t="shared" si="91"/>
        <v>#REF!</v>
      </c>
      <c r="R123" s="132"/>
      <c r="S123" s="128" t="e">
        <f>#REF!+#REF!</f>
        <v>#REF!</v>
      </c>
      <c r="T123" s="129" t="e">
        <f>#REF!+#REF!</f>
        <v>#REF!</v>
      </c>
      <c r="U123" s="129" t="e">
        <f>#REF!+#REF!</f>
        <v>#REF!</v>
      </c>
      <c r="V123" s="129" t="e">
        <f>#REF!+#REF!</f>
        <v>#REF!</v>
      </c>
      <c r="W123" s="129" t="e">
        <f>#REF!+#REF!</f>
        <v>#REF!</v>
      </c>
      <c r="X123" s="129" t="e">
        <f>#REF!+#REF!</f>
        <v>#REF!</v>
      </c>
      <c r="Y123" s="129" t="e">
        <f>#REF!+#REF!</f>
        <v>#REF!</v>
      </c>
      <c r="Z123" s="129" t="e">
        <f>#REF!+#REF!</f>
        <v>#REF!</v>
      </c>
      <c r="AA123" s="129" t="e">
        <f>#REF!+#REF!</f>
        <v>#REF!</v>
      </c>
      <c r="AB123" s="129" t="e">
        <f>#REF!+#REF!</f>
        <v>#REF!</v>
      </c>
      <c r="AC123" s="129" t="e">
        <f>#REF!+#REF!</f>
        <v>#REF!</v>
      </c>
      <c r="AD123" s="129" t="e">
        <f>#REF!+#REF!</f>
        <v>#REF!</v>
      </c>
      <c r="AE123" s="129" t="e">
        <f t="shared" si="92"/>
        <v>#REF!</v>
      </c>
      <c r="AF123" s="130" t="e">
        <f t="shared" si="93"/>
        <v>#REF!</v>
      </c>
      <c r="AG123" s="132"/>
      <c r="AH123" s="128">
        <v>298</v>
      </c>
      <c r="AI123" s="129">
        <v>283</v>
      </c>
      <c r="AJ123" s="129">
        <v>288</v>
      </c>
      <c r="AK123" s="129">
        <v>335</v>
      </c>
      <c r="AL123" s="129">
        <v>226</v>
      </c>
      <c r="AM123" s="129">
        <v>457</v>
      </c>
      <c r="AN123" s="129">
        <v>284</v>
      </c>
      <c r="AO123" s="129">
        <v>389</v>
      </c>
      <c r="AP123" s="129">
        <v>303</v>
      </c>
      <c r="AQ123" s="129">
        <v>865</v>
      </c>
      <c r="AR123" s="129">
        <v>213</v>
      </c>
      <c r="AS123" s="129">
        <v>232</v>
      </c>
      <c r="AT123" s="129">
        <f t="shared" si="94"/>
        <v>4173</v>
      </c>
      <c r="AU123" s="130">
        <f t="shared" si="95"/>
        <v>347.75</v>
      </c>
      <c r="AV123" s="132"/>
      <c r="AW123" s="4519">
        <v>196</v>
      </c>
      <c r="AX123" s="129">
        <v>369</v>
      </c>
      <c r="AY123" s="129">
        <v>322</v>
      </c>
      <c r="AZ123" s="129">
        <v>466</v>
      </c>
      <c r="BA123" s="129">
        <v>780</v>
      </c>
      <c r="BB123" s="129">
        <v>793</v>
      </c>
      <c r="BC123" s="129">
        <v>1298</v>
      </c>
      <c r="BD123" s="129">
        <v>1309</v>
      </c>
      <c r="BE123" s="129">
        <v>1129</v>
      </c>
      <c r="BF123" s="129">
        <v>1091</v>
      </c>
      <c r="BG123" s="129">
        <v>532</v>
      </c>
      <c r="BH123" s="129">
        <v>239</v>
      </c>
      <c r="BI123" s="129">
        <f t="shared" si="88"/>
        <v>8524</v>
      </c>
      <c r="BJ123" s="130">
        <f t="shared" si="60"/>
        <v>710.33333333333337</v>
      </c>
      <c r="BK123" s="183"/>
      <c r="BL123" s="4519">
        <v>886.99999999999989</v>
      </c>
      <c r="BM123" s="129">
        <v>484</v>
      </c>
      <c r="BN123" s="129"/>
      <c r="BO123" s="129"/>
      <c r="BP123" s="129"/>
      <c r="BQ123" s="129"/>
      <c r="BR123" s="129"/>
      <c r="BS123" s="129"/>
      <c r="BT123" s="129"/>
      <c r="BU123" s="129"/>
      <c r="BV123" s="129"/>
      <c r="BW123" s="129"/>
      <c r="BX123" s="129">
        <f t="shared" si="89"/>
        <v>1371</v>
      </c>
      <c r="BY123" s="130">
        <f t="shared" si="96"/>
        <v>685.5</v>
      </c>
      <c r="CA123" s="169">
        <f>ROW()</f>
        <v>123</v>
      </c>
      <c r="CB123" s="169">
        <f>IFERROR(_xlfn.XLOOKUP($A$1,$2:$2,123:123)-_xlfn.XLOOKUP(EDATE($A$1,-12),$2:$2,123:123),"")</f>
        <v>115</v>
      </c>
      <c r="CC123" s="169">
        <f t="shared" si="83"/>
        <v>362.58333333333337</v>
      </c>
      <c r="CD123" s="169">
        <f>IFERROR(
  SUM(
    _xlfn.XLOOKUP(DATE(YEAR($A$1),1,1),$2:$2,123:123):
    _xlfn.XLOOKUP($A$1,$2:$2,123:123)
  )
 -SUM(
    _xlfn.XLOOKUP(DATE(YEAR($A$1)-1,1,1),$2:$2,123:123):
    _xlfn.XLOOKUP(EDATE($A$1,-12),$2:$2,123:123)
  ),"")</f>
        <v>806</v>
      </c>
      <c r="CE123" s="4517">
        <f>IFERROR(
  _xlfn.XLOOKUP($A$1,$B$2:$BY$2,$B123:$BY123)
 -_xlfn.XLOOKUP(EDATE($A$1,-1),$B$2:$BY$2,$B123:$BY123),"")</f>
        <v>-402.99999999999989</v>
      </c>
    </row>
    <row r="124" spans="1:83" ht="17.399999999999999" customHeight="1" x14ac:dyDescent="0.55000000000000004">
      <c r="A124" s="7198"/>
      <c r="B124" s="7213"/>
      <c r="C124" s="63" t="s">
        <v>401</v>
      </c>
      <c r="D124" s="131" t="e">
        <f>#REF!+#REF!</f>
        <v>#REF!</v>
      </c>
      <c r="E124" s="132" t="e">
        <f>#REF!+#REF!</f>
        <v>#REF!</v>
      </c>
      <c r="F124" s="132" t="e">
        <f>#REF!+#REF!</f>
        <v>#REF!</v>
      </c>
      <c r="G124" s="132" t="e">
        <f>#REF!+#REF!</f>
        <v>#REF!</v>
      </c>
      <c r="H124" s="132" t="e">
        <f>#REF!+#REF!</f>
        <v>#REF!</v>
      </c>
      <c r="I124" s="132" t="e">
        <f>#REF!+#REF!</f>
        <v>#REF!</v>
      </c>
      <c r="J124" s="132" t="e">
        <f>#REF!+#REF!</f>
        <v>#REF!</v>
      </c>
      <c r="K124" s="132" t="e">
        <f>#REF!+#REF!</f>
        <v>#REF!</v>
      </c>
      <c r="L124" s="132" t="e">
        <f>#REF!+#REF!</f>
        <v>#REF!</v>
      </c>
      <c r="M124" s="132" t="e">
        <f>#REF!+#REF!</f>
        <v>#REF!</v>
      </c>
      <c r="N124" s="132" t="e">
        <f>#REF!+#REF!</f>
        <v>#REF!</v>
      </c>
      <c r="O124" s="132" t="e">
        <f>#REF!+#REF!</f>
        <v>#REF!</v>
      </c>
      <c r="P124" s="132" t="e">
        <f t="shared" si="90"/>
        <v>#REF!</v>
      </c>
      <c r="Q124" s="133" t="e">
        <f t="shared" si="91"/>
        <v>#REF!</v>
      </c>
      <c r="R124" s="132"/>
      <c r="S124" s="131" t="e">
        <f>#REF!+#REF!</f>
        <v>#REF!</v>
      </c>
      <c r="T124" s="132" t="e">
        <f>#REF!+#REF!</f>
        <v>#REF!</v>
      </c>
      <c r="U124" s="132" t="e">
        <f>#REF!+#REF!</f>
        <v>#REF!</v>
      </c>
      <c r="V124" s="132" t="e">
        <f>#REF!+#REF!</f>
        <v>#REF!</v>
      </c>
      <c r="W124" s="132" t="e">
        <f>#REF!+#REF!</f>
        <v>#REF!</v>
      </c>
      <c r="X124" s="132" t="e">
        <f>#REF!+#REF!</f>
        <v>#REF!</v>
      </c>
      <c r="Y124" s="132" t="e">
        <f>#REF!+#REF!</f>
        <v>#REF!</v>
      </c>
      <c r="Z124" s="132" t="e">
        <f>#REF!+#REF!</f>
        <v>#REF!</v>
      </c>
      <c r="AA124" s="132" t="e">
        <f>#REF!+#REF!</f>
        <v>#REF!</v>
      </c>
      <c r="AB124" s="132" t="e">
        <f>#REF!+#REF!</f>
        <v>#REF!</v>
      </c>
      <c r="AC124" s="132" t="e">
        <f>#REF!+#REF!</f>
        <v>#REF!</v>
      </c>
      <c r="AD124" s="132" t="e">
        <f>#REF!+#REF!</f>
        <v>#REF!</v>
      </c>
      <c r="AE124" s="132" t="e">
        <f t="shared" si="92"/>
        <v>#REF!</v>
      </c>
      <c r="AF124" s="133" t="e">
        <f t="shared" si="93"/>
        <v>#REF!</v>
      </c>
      <c r="AG124" s="132"/>
      <c r="AH124" s="131">
        <v>330</v>
      </c>
      <c r="AI124" s="132">
        <v>186</v>
      </c>
      <c r="AJ124" s="132">
        <v>238</v>
      </c>
      <c r="AK124" s="132">
        <v>193</v>
      </c>
      <c r="AL124" s="132">
        <v>217</v>
      </c>
      <c r="AM124" s="132">
        <v>315</v>
      </c>
      <c r="AN124" s="132">
        <v>202</v>
      </c>
      <c r="AO124" s="132">
        <v>192</v>
      </c>
      <c r="AP124" s="132">
        <v>283</v>
      </c>
      <c r="AQ124" s="132">
        <v>850</v>
      </c>
      <c r="AR124" s="132">
        <v>174</v>
      </c>
      <c r="AS124" s="132">
        <v>144</v>
      </c>
      <c r="AT124" s="132">
        <f t="shared" si="94"/>
        <v>3324</v>
      </c>
      <c r="AU124" s="133">
        <f t="shared" si="95"/>
        <v>277</v>
      </c>
      <c r="AV124" s="132"/>
      <c r="AW124" s="537">
        <v>93</v>
      </c>
      <c r="AX124" s="132">
        <v>148</v>
      </c>
      <c r="AY124" s="132">
        <v>124</v>
      </c>
      <c r="AZ124" s="132">
        <v>142</v>
      </c>
      <c r="BA124" s="132">
        <v>266</v>
      </c>
      <c r="BB124" s="132">
        <v>189</v>
      </c>
      <c r="BC124" s="132">
        <v>531</v>
      </c>
      <c r="BD124" s="132">
        <v>762</v>
      </c>
      <c r="BE124" s="132">
        <v>492</v>
      </c>
      <c r="BF124" s="132">
        <v>591</v>
      </c>
      <c r="BG124" s="132">
        <v>447</v>
      </c>
      <c r="BH124" s="132">
        <v>279</v>
      </c>
      <c r="BI124" s="132">
        <f t="shared" si="88"/>
        <v>4064</v>
      </c>
      <c r="BJ124" s="133">
        <f t="shared" si="60"/>
        <v>338.66666666666669</v>
      </c>
      <c r="BK124" s="183"/>
      <c r="BL124" s="537">
        <v>416</v>
      </c>
      <c r="BM124" s="132">
        <v>272</v>
      </c>
      <c r="BN124" s="132"/>
      <c r="BO124" s="132"/>
      <c r="BP124" s="132"/>
      <c r="BQ124" s="132"/>
      <c r="BR124" s="132"/>
      <c r="BS124" s="132"/>
      <c r="BT124" s="132"/>
      <c r="BU124" s="132"/>
      <c r="BV124" s="132"/>
      <c r="BW124" s="132"/>
      <c r="BX124" s="132">
        <f t="shared" si="89"/>
        <v>688</v>
      </c>
      <c r="BY124" s="133">
        <f t="shared" si="96"/>
        <v>344</v>
      </c>
      <c r="CA124" s="169">
        <f>ROW()</f>
        <v>124</v>
      </c>
      <c r="CB124" s="169">
        <f>IFERROR(_xlfn.XLOOKUP($A$1,$2:$2,124:124)-_xlfn.XLOOKUP(EDATE($A$1,-12),$2:$2,124:124),"")</f>
        <v>124</v>
      </c>
      <c r="CC124" s="169">
        <f t="shared" si="83"/>
        <v>61.666666666666686</v>
      </c>
      <c r="CD124" s="169">
        <f>IFERROR(
  SUM(
    _xlfn.XLOOKUP(DATE(YEAR($A$1),1,1),$2:$2,124:124):
    _xlfn.XLOOKUP($A$1,$2:$2,124:124)
  )
 -SUM(
    _xlfn.XLOOKUP(DATE(YEAR($A$1)-1,1,1),$2:$2,124:124):
    _xlfn.XLOOKUP(EDATE($A$1,-12),$2:$2,124:124)
  ),"")</f>
        <v>447</v>
      </c>
      <c r="CE124" s="4517">
        <f>IFERROR(
  _xlfn.XLOOKUP($A$1,$B$2:$BY$2,$B124:$BY124)
 -_xlfn.XLOOKUP(EDATE($A$1,-1),$B$2:$BY$2,$B124:$BY124),"")</f>
        <v>-144</v>
      </c>
    </row>
    <row r="125" spans="1:83" ht="17.399999999999999" customHeight="1" x14ac:dyDescent="0.55000000000000004">
      <c r="A125" s="7198"/>
      <c r="B125" s="7213"/>
      <c r="C125" s="63" t="s">
        <v>402</v>
      </c>
      <c r="D125" s="131" t="e">
        <f>#REF!+#REF!</f>
        <v>#REF!</v>
      </c>
      <c r="E125" s="132" t="e">
        <f>#REF!+#REF!</f>
        <v>#REF!</v>
      </c>
      <c r="F125" s="132" t="e">
        <f>#REF!+#REF!</f>
        <v>#REF!</v>
      </c>
      <c r="G125" s="132" t="e">
        <f>#REF!+#REF!</f>
        <v>#REF!</v>
      </c>
      <c r="H125" s="132" t="e">
        <f>#REF!+#REF!</f>
        <v>#REF!</v>
      </c>
      <c r="I125" s="132" t="e">
        <f>#REF!+#REF!</f>
        <v>#REF!</v>
      </c>
      <c r="J125" s="132" t="e">
        <f>#REF!+#REF!</f>
        <v>#REF!</v>
      </c>
      <c r="K125" s="132" t="e">
        <f>#REF!+#REF!</f>
        <v>#REF!</v>
      </c>
      <c r="L125" s="132" t="e">
        <f>#REF!+#REF!</f>
        <v>#REF!</v>
      </c>
      <c r="M125" s="132" t="e">
        <f>#REF!+#REF!</f>
        <v>#REF!</v>
      </c>
      <c r="N125" s="132" t="e">
        <f>#REF!+#REF!</f>
        <v>#REF!</v>
      </c>
      <c r="O125" s="132" t="e">
        <f>#REF!+#REF!</f>
        <v>#REF!</v>
      </c>
      <c r="P125" s="132" t="e">
        <f t="shared" si="90"/>
        <v>#REF!</v>
      </c>
      <c r="Q125" s="133" t="e">
        <f t="shared" si="91"/>
        <v>#REF!</v>
      </c>
      <c r="R125" s="132"/>
      <c r="S125" s="131" t="e">
        <f>#REF!+#REF!</f>
        <v>#REF!</v>
      </c>
      <c r="T125" s="132" t="e">
        <f>#REF!+#REF!</f>
        <v>#REF!</v>
      </c>
      <c r="U125" s="132" t="e">
        <f>#REF!+#REF!</f>
        <v>#REF!</v>
      </c>
      <c r="V125" s="132" t="e">
        <f>#REF!+#REF!</f>
        <v>#REF!</v>
      </c>
      <c r="W125" s="132" t="e">
        <f>#REF!+#REF!</f>
        <v>#REF!</v>
      </c>
      <c r="X125" s="132" t="e">
        <f>#REF!+#REF!</f>
        <v>#REF!</v>
      </c>
      <c r="Y125" s="132" t="e">
        <f>#REF!+#REF!</f>
        <v>#REF!</v>
      </c>
      <c r="Z125" s="132" t="e">
        <f>#REF!+#REF!</f>
        <v>#REF!</v>
      </c>
      <c r="AA125" s="132" t="e">
        <f>#REF!+#REF!</f>
        <v>#REF!</v>
      </c>
      <c r="AB125" s="132" t="e">
        <f>#REF!+#REF!</f>
        <v>#REF!</v>
      </c>
      <c r="AC125" s="132" t="e">
        <f>#REF!+#REF!</f>
        <v>#REF!</v>
      </c>
      <c r="AD125" s="132" t="e">
        <f>#REF!+#REF!</f>
        <v>#REF!</v>
      </c>
      <c r="AE125" s="132" t="e">
        <f t="shared" si="92"/>
        <v>#REF!</v>
      </c>
      <c r="AF125" s="133" t="e">
        <f t="shared" si="93"/>
        <v>#REF!</v>
      </c>
      <c r="AG125" s="132"/>
      <c r="AH125" s="131">
        <v>233</v>
      </c>
      <c r="AI125" s="132">
        <v>225</v>
      </c>
      <c r="AJ125" s="132">
        <v>173</v>
      </c>
      <c r="AK125" s="132">
        <v>257</v>
      </c>
      <c r="AL125" s="132">
        <v>299</v>
      </c>
      <c r="AM125" s="132">
        <v>353</v>
      </c>
      <c r="AN125" s="132">
        <v>485</v>
      </c>
      <c r="AO125" s="132">
        <v>392</v>
      </c>
      <c r="AP125" s="132">
        <v>259</v>
      </c>
      <c r="AQ125" s="132">
        <v>1338</v>
      </c>
      <c r="AR125" s="132">
        <v>153</v>
      </c>
      <c r="AS125" s="132">
        <v>168</v>
      </c>
      <c r="AT125" s="132">
        <f t="shared" si="94"/>
        <v>4335</v>
      </c>
      <c r="AU125" s="133">
        <f t="shared" si="95"/>
        <v>361.25</v>
      </c>
      <c r="AV125" s="132"/>
      <c r="AW125" s="537">
        <v>408</v>
      </c>
      <c r="AX125" s="132">
        <v>304</v>
      </c>
      <c r="AY125" s="132">
        <v>174</v>
      </c>
      <c r="AZ125" s="132">
        <v>273</v>
      </c>
      <c r="BA125" s="132">
        <v>313</v>
      </c>
      <c r="BB125" s="132">
        <v>576</v>
      </c>
      <c r="BC125" s="132">
        <v>463</v>
      </c>
      <c r="BD125" s="132">
        <v>335</v>
      </c>
      <c r="BE125" s="132">
        <v>455</v>
      </c>
      <c r="BF125" s="132">
        <v>267</v>
      </c>
      <c r="BG125" s="132">
        <v>717</v>
      </c>
      <c r="BH125" s="132">
        <v>228</v>
      </c>
      <c r="BI125" s="132">
        <f t="shared" si="88"/>
        <v>4513</v>
      </c>
      <c r="BJ125" s="133">
        <f t="shared" si="60"/>
        <v>376.08333333333331</v>
      </c>
      <c r="BK125" s="183"/>
      <c r="BL125" s="537">
        <v>364</v>
      </c>
      <c r="BM125" s="132">
        <v>318</v>
      </c>
      <c r="BN125" s="132"/>
      <c r="BO125" s="132"/>
      <c r="BP125" s="132"/>
      <c r="BQ125" s="132"/>
      <c r="BR125" s="132"/>
      <c r="BS125" s="132"/>
      <c r="BT125" s="132"/>
      <c r="BU125" s="132"/>
      <c r="BV125" s="132"/>
      <c r="BW125" s="132"/>
      <c r="BX125" s="132">
        <f t="shared" si="89"/>
        <v>682</v>
      </c>
      <c r="BY125" s="133">
        <f t="shared" si="96"/>
        <v>341</v>
      </c>
      <c r="CA125" s="169">
        <f>ROW()</f>
        <v>125</v>
      </c>
      <c r="CB125" s="169">
        <f>IFERROR(_xlfn.XLOOKUP($A$1,$2:$2,125:125)-_xlfn.XLOOKUP(EDATE($A$1,-12),$2:$2,125:125),"")</f>
        <v>14</v>
      </c>
      <c r="CC125" s="169">
        <f t="shared" si="83"/>
        <v>14.833333333333314</v>
      </c>
      <c r="CD125" s="169">
        <f>IFERROR(
  SUM(
    _xlfn.XLOOKUP(DATE(YEAR($A$1),1,1),$2:$2,125:125):
    _xlfn.XLOOKUP($A$1,$2:$2,125:125)
  )
 -SUM(
    _xlfn.XLOOKUP(DATE(YEAR($A$1)-1,1,1),$2:$2,125:125):
    _xlfn.XLOOKUP(EDATE($A$1,-12),$2:$2,125:125)
  ),"")</f>
        <v>-30</v>
      </c>
      <c r="CE125" s="4517">
        <f>IFERROR(
  _xlfn.XLOOKUP($A$1,$B$2:$BY$2,$B125:$BY125)
 -_xlfn.XLOOKUP(EDATE($A$1,-1),$B$2:$BY$2,$B125:$BY125),"")</f>
        <v>-46</v>
      </c>
    </row>
    <row r="126" spans="1:83" ht="17.399999999999999" customHeight="1" x14ac:dyDescent="0.55000000000000004">
      <c r="A126" s="7198"/>
      <c r="B126" s="7213"/>
      <c r="C126" s="63" t="s">
        <v>403</v>
      </c>
      <c r="D126" s="131" t="e">
        <f>#REF!+#REF!</f>
        <v>#REF!</v>
      </c>
      <c r="E126" s="132" t="e">
        <f>#REF!+#REF!</f>
        <v>#REF!</v>
      </c>
      <c r="F126" s="132" t="e">
        <f>#REF!+#REF!</f>
        <v>#REF!</v>
      </c>
      <c r="G126" s="132" t="e">
        <f>#REF!+#REF!</f>
        <v>#REF!</v>
      </c>
      <c r="H126" s="132" t="e">
        <f>#REF!+#REF!</f>
        <v>#REF!</v>
      </c>
      <c r="I126" s="132" t="e">
        <f>#REF!+#REF!</f>
        <v>#REF!</v>
      </c>
      <c r="J126" s="132" t="e">
        <f>#REF!+#REF!</f>
        <v>#REF!</v>
      </c>
      <c r="K126" s="132" t="e">
        <f>#REF!+#REF!</f>
        <v>#REF!</v>
      </c>
      <c r="L126" s="132" t="e">
        <f>#REF!+#REF!</f>
        <v>#REF!</v>
      </c>
      <c r="M126" s="132" t="e">
        <f>#REF!+#REF!</f>
        <v>#REF!</v>
      </c>
      <c r="N126" s="132" t="e">
        <f>#REF!+#REF!</f>
        <v>#REF!</v>
      </c>
      <c r="O126" s="132" t="e">
        <f>#REF!+#REF!</f>
        <v>#REF!</v>
      </c>
      <c r="P126" s="132" t="e">
        <f t="shared" si="90"/>
        <v>#REF!</v>
      </c>
      <c r="Q126" s="133" t="e">
        <f t="shared" si="91"/>
        <v>#REF!</v>
      </c>
      <c r="R126" s="132"/>
      <c r="S126" s="131" t="e">
        <f>#REF!+#REF!</f>
        <v>#REF!</v>
      </c>
      <c r="T126" s="132" t="e">
        <f>#REF!+#REF!</f>
        <v>#REF!</v>
      </c>
      <c r="U126" s="132" t="e">
        <f>#REF!+#REF!</f>
        <v>#REF!</v>
      </c>
      <c r="V126" s="132" t="e">
        <f>#REF!+#REF!</f>
        <v>#REF!</v>
      </c>
      <c r="W126" s="132" t="e">
        <f>#REF!+#REF!</f>
        <v>#REF!</v>
      </c>
      <c r="X126" s="132" t="e">
        <f>#REF!+#REF!</f>
        <v>#REF!</v>
      </c>
      <c r="Y126" s="132" t="e">
        <f>#REF!+#REF!</f>
        <v>#REF!</v>
      </c>
      <c r="Z126" s="132" t="e">
        <f>#REF!+#REF!</f>
        <v>#REF!</v>
      </c>
      <c r="AA126" s="132" t="e">
        <f>#REF!+#REF!</f>
        <v>#REF!</v>
      </c>
      <c r="AB126" s="132" t="e">
        <f>#REF!+#REF!</f>
        <v>#REF!</v>
      </c>
      <c r="AC126" s="132" t="e">
        <f>#REF!+#REF!</f>
        <v>#REF!</v>
      </c>
      <c r="AD126" s="132" t="e">
        <f>#REF!+#REF!</f>
        <v>#REF!</v>
      </c>
      <c r="AE126" s="132" t="e">
        <f t="shared" si="92"/>
        <v>#REF!</v>
      </c>
      <c r="AF126" s="133" t="e">
        <f t="shared" si="93"/>
        <v>#REF!</v>
      </c>
      <c r="AG126" s="132"/>
      <c r="AH126" s="131">
        <v>375</v>
      </c>
      <c r="AI126" s="132">
        <v>245</v>
      </c>
      <c r="AJ126" s="132">
        <v>369</v>
      </c>
      <c r="AK126" s="132">
        <v>394</v>
      </c>
      <c r="AL126" s="132">
        <v>385</v>
      </c>
      <c r="AM126" s="132">
        <v>473</v>
      </c>
      <c r="AN126" s="132">
        <v>460</v>
      </c>
      <c r="AO126" s="132">
        <v>361</v>
      </c>
      <c r="AP126" s="132">
        <v>357</v>
      </c>
      <c r="AQ126" s="132">
        <v>1643</v>
      </c>
      <c r="AR126" s="132">
        <v>224</v>
      </c>
      <c r="AS126" s="132">
        <v>225</v>
      </c>
      <c r="AT126" s="132">
        <f t="shared" si="94"/>
        <v>5511</v>
      </c>
      <c r="AU126" s="133">
        <f t="shared" si="95"/>
        <v>459.25</v>
      </c>
      <c r="AV126" s="132"/>
      <c r="AW126" s="537">
        <v>234</v>
      </c>
      <c r="AX126" s="132">
        <v>371</v>
      </c>
      <c r="AY126" s="132">
        <v>578</v>
      </c>
      <c r="AZ126" s="132">
        <v>934</v>
      </c>
      <c r="BA126" s="132">
        <v>633</v>
      </c>
      <c r="BB126" s="132">
        <v>567</v>
      </c>
      <c r="BC126" s="132">
        <v>949</v>
      </c>
      <c r="BD126" s="132">
        <v>717</v>
      </c>
      <c r="BE126" s="132">
        <v>1196</v>
      </c>
      <c r="BF126" s="132">
        <v>635</v>
      </c>
      <c r="BG126" s="132">
        <v>391</v>
      </c>
      <c r="BH126" s="132">
        <v>193</v>
      </c>
      <c r="BI126" s="132">
        <f t="shared" si="88"/>
        <v>7398</v>
      </c>
      <c r="BJ126" s="133">
        <f t="shared" si="60"/>
        <v>616.5</v>
      </c>
      <c r="BK126" s="183"/>
      <c r="BL126" s="537">
        <v>417</v>
      </c>
      <c r="BM126" s="132">
        <v>255</v>
      </c>
      <c r="BN126" s="132"/>
      <c r="BO126" s="132"/>
      <c r="BP126" s="132"/>
      <c r="BQ126" s="132"/>
      <c r="BR126" s="132"/>
      <c r="BS126" s="132"/>
      <c r="BT126" s="132"/>
      <c r="BU126" s="132"/>
      <c r="BV126" s="132"/>
      <c r="BW126" s="132"/>
      <c r="BX126" s="132">
        <f t="shared" si="89"/>
        <v>672</v>
      </c>
      <c r="BY126" s="133">
        <f t="shared" si="96"/>
        <v>336</v>
      </c>
      <c r="CA126" s="169">
        <f>ROW()</f>
        <v>126</v>
      </c>
      <c r="CB126" s="169">
        <f>IFERROR(_xlfn.XLOOKUP($A$1,$2:$2,126:126)-_xlfn.XLOOKUP(EDATE($A$1,-12),$2:$2,126:126),"")</f>
        <v>-116</v>
      </c>
      <c r="CC126" s="169">
        <f t="shared" si="83"/>
        <v>157.25</v>
      </c>
      <c r="CD126" s="169">
        <f>IFERROR(
  SUM(
    _xlfn.XLOOKUP(DATE(YEAR($A$1),1,1),$2:$2,126:126):
    _xlfn.XLOOKUP($A$1,$2:$2,126:126)
  )
 -SUM(
    _xlfn.XLOOKUP(DATE(YEAR($A$1)-1,1,1),$2:$2,126:126):
    _xlfn.XLOOKUP(EDATE($A$1,-12),$2:$2,126:126)
  ),"")</f>
        <v>67</v>
      </c>
      <c r="CE126" s="4517">
        <f>IFERROR(
  _xlfn.XLOOKUP($A$1,$B$2:$BY$2,$B126:$BY126)
 -_xlfn.XLOOKUP(EDATE($A$1,-1),$B$2:$BY$2,$B126:$BY126),"")</f>
        <v>-162</v>
      </c>
    </row>
    <row r="127" spans="1:83" ht="17.149999999999999" customHeight="1" x14ac:dyDescent="0.55000000000000004">
      <c r="A127" s="7198"/>
      <c r="B127" s="7214"/>
      <c r="C127" s="73" t="s">
        <v>404</v>
      </c>
      <c r="D127" s="134" t="e">
        <f>#REF!+#REF!</f>
        <v>#REF!</v>
      </c>
      <c r="E127" s="135" t="e">
        <f>#REF!+#REF!</f>
        <v>#REF!</v>
      </c>
      <c r="F127" s="135" t="e">
        <f>#REF!+#REF!</f>
        <v>#REF!</v>
      </c>
      <c r="G127" s="135" t="e">
        <f>#REF!+#REF!</f>
        <v>#REF!</v>
      </c>
      <c r="H127" s="135" t="e">
        <f>#REF!+#REF!</f>
        <v>#REF!</v>
      </c>
      <c r="I127" s="135" t="e">
        <f>#REF!+#REF!</f>
        <v>#REF!</v>
      </c>
      <c r="J127" s="135" t="e">
        <f>#REF!+#REF!</f>
        <v>#REF!</v>
      </c>
      <c r="K127" s="135" t="e">
        <f>#REF!+#REF!</f>
        <v>#REF!</v>
      </c>
      <c r="L127" s="135" t="e">
        <f>#REF!+#REF!</f>
        <v>#REF!</v>
      </c>
      <c r="M127" s="135" t="e">
        <f>#REF!+#REF!</f>
        <v>#REF!</v>
      </c>
      <c r="N127" s="135" t="e">
        <f>#REF!+#REF!</f>
        <v>#REF!</v>
      </c>
      <c r="O127" s="135" t="e">
        <f>#REF!+#REF!</f>
        <v>#REF!</v>
      </c>
      <c r="P127" s="135" t="e">
        <f t="shared" si="90"/>
        <v>#REF!</v>
      </c>
      <c r="Q127" s="136" t="e">
        <f t="shared" si="91"/>
        <v>#REF!</v>
      </c>
      <c r="R127" s="132"/>
      <c r="S127" s="134" t="e">
        <f>#REF!+#REF!</f>
        <v>#REF!</v>
      </c>
      <c r="T127" s="135" t="e">
        <f>#REF!+#REF!</f>
        <v>#REF!</v>
      </c>
      <c r="U127" s="135" t="e">
        <f>#REF!+#REF!</f>
        <v>#REF!</v>
      </c>
      <c r="V127" s="135" t="e">
        <f>#REF!+#REF!</f>
        <v>#REF!</v>
      </c>
      <c r="W127" s="135" t="e">
        <f>#REF!+#REF!</f>
        <v>#REF!</v>
      </c>
      <c r="X127" s="135" t="e">
        <f>#REF!+#REF!</f>
        <v>#REF!</v>
      </c>
      <c r="Y127" s="135" t="e">
        <f>#REF!+#REF!</f>
        <v>#REF!</v>
      </c>
      <c r="Z127" s="135" t="e">
        <f>#REF!+#REF!</f>
        <v>#REF!</v>
      </c>
      <c r="AA127" s="135" t="e">
        <f>#REF!+#REF!</f>
        <v>#REF!</v>
      </c>
      <c r="AB127" s="135" t="e">
        <f>#REF!+#REF!</f>
        <v>#REF!</v>
      </c>
      <c r="AC127" s="135" t="e">
        <f>#REF!+#REF!</f>
        <v>#REF!</v>
      </c>
      <c r="AD127" s="135" t="e">
        <f>#REF!+#REF!</f>
        <v>#REF!</v>
      </c>
      <c r="AE127" s="135" t="e">
        <f t="shared" si="92"/>
        <v>#REF!</v>
      </c>
      <c r="AF127" s="136" t="e">
        <f t="shared" si="93"/>
        <v>#REF!</v>
      </c>
      <c r="AG127" s="132"/>
      <c r="AH127" s="134">
        <v>387</v>
      </c>
      <c r="AI127" s="135">
        <v>369</v>
      </c>
      <c r="AJ127" s="135">
        <v>293</v>
      </c>
      <c r="AK127" s="135">
        <v>279</v>
      </c>
      <c r="AL127" s="135">
        <v>508</v>
      </c>
      <c r="AM127" s="135">
        <v>659</v>
      </c>
      <c r="AN127" s="135">
        <v>671</v>
      </c>
      <c r="AO127" s="135">
        <v>513</v>
      </c>
      <c r="AP127" s="135">
        <v>818</v>
      </c>
      <c r="AQ127" s="135">
        <v>1005</v>
      </c>
      <c r="AR127" s="135">
        <v>443</v>
      </c>
      <c r="AS127" s="135">
        <v>531</v>
      </c>
      <c r="AT127" s="135">
        <f t="shared" si="94"/>
        <v>6476</v>
      </c>
      <c r="AU127" s="136">
        <f t="shared" si="95"/>
        <v>539.66666666666663</v>
      </c>
      <c r="AV127" s="132"/>
      <c r="AW127" s="4520">
        <v>630</v>
      </c>
      <c r="AX127" s="135">
        <v>949</v>
      </c>
      <c r="AY127" s="135">
        <v>885</v>
      </c>
      <c r="AZ127" s="135">
        <v>1009</v>
      </c>
      <c r="BA127" s="135">
        <v>1013</v>
      </c>
      <c r="BB127" s="135">
        <v>1491</v>
      </c>
      <c r="BC127" s="135">
        <v>1289</v>
      </c>
      <c r="BD127" s="135">
        <v>1212</v>
      </c>
      <c r="BE127" s="135">
        <v>2355</v>
      </c>
      <c r="BF127" s="135">
        <v>1353</v>
      </c>
      <c r="BG127" s="135">
        <v>1076</v>
      </c>
      <c r="BH127" s="135">
        <v>463</v>
      </c>
      <c r="BI127" s="135">
        <f t="shared" si="88"/>
        <v>13725</v>
      </c>
      <c r="BJ127" s="136">
        <f t="shared" si="60"/>
        <v>1143.75</v>
      </c>
      <c r="BK127" s="183"/>
      <c r="BL127" s="4520">
        <v>1568</v>
      </c>
      <c r="BM127" s="135">
        <v>724</v>
      </c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>
        <f t="shared" si="89"/>
        <v>2292</v>
      </c>
      <c r="BY127" s="136">
        <f t="shared" si="96"/>
        <v>1146</v>
      </c>
      <c r="CA127" s="169">
        <f>ROW()</f>
        <v>127</v>
      </c>
      <c r="CB127" s="169">
        <f>IFERROR(_xlfn.XLOOKUP($A$1,$2:$2,127:127)-_xlfn.XLOOKUP(EDATE($A$1,-12),$2:$2,127:127),"")</f>
        <v>-225</v>
      </c>
      <c r="CC127" s="169">
        <f t="shared" si="83"/>
        <v>604.08333333333337</v>
      </c>
      <c r="CD127" s="169">
        <f>IFERROR(
  SUM(
    _xlfn.XLOOKUP(DATE(YEAR($A$1),1,1),$2:$2,127:127):
    _xlfn.XLOOKUP($A$1,$2:$2,127:127)
  )
 -SUM(
    _xlfn.XLOOKUP(DATE(YEAR($A$1)-1,1,1),$2:$2,127:127):
    _xlfn.XLOOKUP(EDATE($A$1,-12),$2:$2,127:127)
  ),"")</f>
        <v>713</v>
      </c>
      <c r="CE127" s="4517">
        <f>IFERROR(
  _xlfn.XLOOKUP($A$1,$B$2:$BY$2,$B127:$BY127)
 -_xlfn.XLOOKUP(EDATE($A$1,-1),$B$2:$BY$2,$B127:$BY127),"")</f>
        <v>-844</v>
      </c>
    </row>
    <row r="128" spans="1:83" x14ac:dyDescent="0.55000000000000004">
      <c r="A128" s="7198"/>
      <c r="B128" s="7203" t="s">
        <v>413</v>
      </c>
      <c r="C128" s="64" t="s">
        <v>400</v>
      </c>
      <c r="D128" s="143" t="e">
        <f>D133+#REF!</f>
        <v>#REF!</v>
      </c>
      <c r="E128" s="144" t="e">
        <f>E133+#REF!</f>
        <v>#REF!</v>
      </c>
      <c r="F128" s="144" t="e">
        <f>F133+#REF!</f>
        <v>#REF!</v>
      </c>
      <c r="G128" s="144" t="e">
        <f>G133+#REF!</f>
        <v>#REF!</v>
      </c>
      <c r="H128" s="144" t="e">
        <f>H133+#REF!</f>
        <v>#REF!</v>
      </c>
      <c r="I128" s="144" t="e">
        <f>I133+#REF!</f>
        <v>#REF!</v>
      </c>
      <c r="J128" s="144" t="e">
        <f>J133+#REF!</f>
        <v>#REF!</v>
      </c>
      <c r="K128" s="144" t="e">
        <f>K133+#REF!</f>
        <v>#REF!</v>
      </c>
      <c r="L128" s="144" t="e">
        <f>L133+#REF!</f>
        <v>#REF!</v>
      </c>
      <c r="M128" s="144" t="e">
        <f>M133+#REF!</f>
        <v>#REF!</v>
      </c>
      <c r="N128" s="144" t="e">
        <f>N133+#REF!</f>
        <v>#REF!</v>
      </c>
      <c r="O128" s="144" t="e">
        <f>O133+#REF!</f>
        <v>#REF!</v>
      </c>
      <c r="P128" s="144" t="e">
        <f t="shared" si="90"/>
        <v>#REF!</v>
      </c>
      <c r="Q128" s="145" t="e">
        <f t="shared" si="91"/>
        <v>#REF!</v>
      </c>
      <c r="R128" s="183"/>
      <c r="S128" s="143" t="e">
        <f>S133+#REF!</f>
        <v>#REF!</v>
      </c>
      <c r="T128" s="144" t="e">
        <f>T133+#REF!</f>
        <v>#REF!</v>
      </c>
      <c r="U128" s="144" t="e">
        <f>U133+#REF!</f>
        <v>#REF!</v>
      </c>
      <c r="V128" s="144" t="e">
        <f>V133+#REF!</f>
        <v>#REF!</v>
      </c>
      <c r="W128" s="144" t="e">
        <f>W133+#REF!</f>
        <v>#REF!</v>
      </c>
      <c r="X128" s="144" t="e">
        <f>X133+#REF!</f>
        <v>#REF!</v>
      </c>
      <c r="Y128" s="144" t="e">
        <f>Y133+#REF!</f>
        <v>#REF!</v>
      </c>
      <c r="Z128" s="144" t="e">
        <f>Z133+#REF!</f>
        <v>#REF!</v>
      </c>
      <c r="AA128" s="144" t="e">
        <f>AA133+#REF!</f>
        <v>#REF!</v>
      </c>
      <c r="AB128" s="144" t="e">
        <f>AB133+#REF!</f>
        <v>#REF!</v>
      </c>
      <c r="AC128" s="144" t="e">
        <f>AC133+#REF!</f>
        <v>#REF!</v>
      </c>
      <c r="AD128" s="144" t="e">
        <f>AD133+#REF!</f>
        <v>#REF!</v>
      </c>
      <c r="AE128" s="144" t="e">
        <f t="shared" si="92"/>
        <v>#REF!</v>
      </c>
      <c r="AF128" s="145" t="e">
        <f t="shared" si="93"/>
        <v>#REF!</v>
      </c>
      <c r="AG128" s="183"/>
      <c r="AH128" s="143">
        <v>1250</v>
      </c>
      <c r="AI128" s="144">
        <v>850</v>
      </c>
      <c r="AJ128" s="144">
        <v>1094</v>
      </c>
      <c r="AK128" s="144">
        <v>981</v>
      </c>
      <c r="AL128" s="144">
        <v>1259</v>
      </c>
      <c r="AM128" s="144">
        <v>1116</v>
      </c>
      <c r="AN128" s="144">
        <v>1451</v>
      </c>
      <c r="AO128" s="144">
        <v>1333</v>
      </c>
      <c r="AP128" s="144">
        <v>1294</v>
      </c>
      <c r="AQ128" s="144">
        <v>1376</v>
      </c>
      <c r="AR128" s="144">
        <v>1243</v>
      </c>
      <c r="AS128" s="144">
        <v>1001</v>
      </c>
      <c r="AT128" s="144">
        <f t="shared" si="94"/>
        <v>14248</v>
      </c>
      <c r="AU128" s="145">
        <f t="shared" si="95"/>
        <v>1187.3333333333333</v>
      </c>
      <c r="AV128" s="183"/>
      <c r="AW128" s="481">
        <v>1017</v>
      </c>
      <c r="AX128" s="144">
        <v>1432</v>
      </c>
      <c r="AY128" s="144">
        <v>1070</v>
      </c>
      <c r="AZ128" s="144">
        <v>1158</v>
      </c>
      <c r="BA128" s="144">
        <v>1981</v>
      </c>
      <c r="BB128" s="144">
        <v>1337</v>
      </c>
      <c r="BC128" s="144">
        <v>1347</v>
      </c>
      <c r="BD128" s="144">
        <v>1156</v>
      </c>
      <c r="BE128" s="144">
        <v>1078</v>
      </c>
      <c r="BF128" s="144">
        <v>998</v>
      </c>
      <c r="BG128" s="144">
        <v>1049</v>
      </c>
      <c r="BH128" s="144">
        <v>1165</v>
      </c>
      <c r="BI128" s="144">
        <f t="shared" ref="BI128:BI150" si="108">SUM(AW128:BH128)</f>
        <v>14788</v>
      </c>
      <c r="BJ128" s="145">
        <f t="shared" si="60"/>
        <v>1232.3333333333333</v>
      </c>
      <c r="BK128" s="183"/>
      <c r="BL128" s="481">
        <v>1134</v>
      </c>
      <c r="BM128" s="144">
        <v>787</v>
      </c>
      <c r="BN128" s="144"/>
      <c r="BO128" s="144"/>
      <c r="BP128" s="144"/>
      <c r="BQ128" s="144"/>
      <c r="BR128" s="144"/>
      <c r="BS128" s="144"/>
      <c r="BT128" s="144"/>
      <c r="BU128" s="144"/>
      <c r="BV128" s="144"/>
      <c r="BW128" s="144"/>
      <c r="BX128" s="144">
        <f t="shared" si="89"/>
        <v>1921</v>
      </c>
      <c r="BY128" s="145">
        <f t="shared" si="96"/>
        <v>960.5</v>
      </c>
      <c r="CA128" s="169">
        <f>ROW()</f>
        <v>128</v>
      </c>
      <c r="CB128" s="169">
        <f>IFERROR(_xlfn.XLOOKUP($A$1,$2:$2,128:128)-_xlfn.XLOOKUP(EDATE($A$1,-12),$2:$2,128:128),"")</f>
        <v>-645</v>
      </c>
      <c r="CC128" s="169">
        <f t="shared" si="83"/>
        <v>45</v>
      </c>
      <c r="CD128" s="169">
        <f>IFERROR(
  SUM(
    _xlfn.XLOOKUP(DATE(YEAR($A$1),1,1),$2:$2,128:128):
    _xlfn.XLOOKUP($A$1,$2:$2,128:128)
  )
 -SUM(
    _xlfn.XLOOKUP(DATE(YEAR($A$1)-1,1,1),$2:$2,128:128):
    _xlfn.XLOOKUP(EDATE($A$1,-12),$2:$2,128:128)
  ),"")</f>
        <v>-528</v>
      </c>
      <c r="CE128" s="4517">
        <f>IFERROR(
  _xlfn.XLOOKUP($A$1,$B$2:$BY$2,$B128:$BY128)
 -_xlfn.XLOOKUP(EDATE($A$1,-1),$B$2:$BY$2,$B128:$BY128),"")</f>
        <v>-347</v>
      </c>
    </row>
    <row r="129" spans="1:87" x14ac:dyDescent="0.55000000000000004">
      <c r="A129" s="7198"/>
      <c r="B129" s="7204"/>
      <c r="C129" s="65" t="s">
        <v>401</v>
      </c>
      <c r="D129" s="146">
        <f>D134</f>
        <v>909</v>
      </c>
      <c r="E129" s="147">
        <f t="shared" ref="E129:O129" si="109">E134</f>
        <v>1155</v>
      </c>
      <c r="F129" s="147">
        <f t="shared" si="109"/>
        <v>1170</v>
      </c>
      <c r="G129" s="147">
        <f t="shared" si="109"/>
        <v>1387</v>
      </c>
      <c r="H129" s="147">
        <f t="shared" si="109"/>
        <v>1479</v>
      </c>
      <c r="I129" s="147">
        <f t="shared" si="109"/>
        <v>1140</v>
      </c>
      <c r="J129" s="147">
        <f t="shared" si="109"/>
        <v>991</v>
      </c>
      <c r="K129" s="147">
        <f t="shared" si="109"/>
        <v>1195</v>
      </c>
      <c r="L129" s="147">
        <f t="shared" si="109"/>
        <v>717</v>
      </c>
      <c r="M129" s="147">
        <f t="shared" si="109"/>
        <v>873</v>
      </c>
      <c r="N129" s="147">
        <f t="shared" si="109"/>
        <v>808</v>
      </c>
      <c r="O129" s="147">
        <f t="shared" si="109"/>
        <v>692</v>
      </c>
      <c r="P129" s="147">
        <f t="shared" si="90"/>
        <v>12516</v>
      </c>
      <c r="Q129" s="148">
        <f t="shared" si="91"/>
        <v>1043</v>
      </c>
      <c r="R129" s="183"/>
      <c r="S129" s="146">
        <f>S134</f>
        <v>742</v>
      </c>
      <c r="T129" s="147">
        <f t="shared" ref="T129:AD129" si="110">T134</f>
        <v>930</v>
      </c>
      <c r="U129" s="147">
        <f t="shared" si="110"/>
        <v>818</v>
      </c>
      <c r="V129" s="147">
        <f t="shared" si="110"/>
        <v>554</v>
      </c>
      <c r="W129" s="147">
        <f t="shared" si="110"/>
        <v>694</v>
      </c>
      <c r="X129" s="147">
        <f t="shared" si="110"/>
        <v>593</v>
      </c>
      <c r="Y129" s="147">
        <f t="shared" si="110"/>
        <v>607</v>
      </c>
      <c r="Z129" s="147">
        <f t="shared" si="110"/>
        <v>811</v>
      </c>
      <c r="AA129" s="147">
        <f t="shared" si="110"/>
        <v>629</v>
      </c>
      <c r="AB129" s="147">
        <f t="shared" si="110"/>
        <v>871</v>
      </c>
      <c r="AC129" s="147">
        <f t="shared" si="110"/>
        <v>654</v>
      </c>
      <c r="AD129" s="147">
        <f t="shared" si="110"/>
        <v>574</v>
      </c>
      <c r="AE129" s="147">
        <f t="shared" si="92"/>
        <v>8477</v>
      </c>
      <c r="AF129" s="148">
        <f t="shared" si="93"/>
        <v>706.41666666666663</v>
      </c>
      <c r="AG129" s="183"/>
      <c r="AH129" s="146">
        <v>721</v>
      </c>
      <c r="AI129" s="147">
        <v>538</v>
      </c>
      <c r="AJ129" s="147">
        <v>779</v>
      </c>
      <c r="AK129" s="147">
        <v>768</v>
      </c>
      <c r="AL129" s="147">
        <v>742</v>
      </c>
      <c r="AM129" s="147">
        <v>715</v>
      </c>
      <c r="AN129" s="147">
        <v>850</v>
      </c>
      <c r="AO129" s="147">
        <v>1115</v>
      </c>
      <c r="AP129" s="147">
        <v>1065</v>
      </c>
      <c r="AQ129" s="147">
        <v>1057</v>
      </c>
      <c r="AR129" s="147">
        <v>892</v>
      </c>
      <c r="AS129" s="147">
        <v>889</v>
      </c>
      <c r="AT129" s="147">
        <f t="shared" si="94"/>
        <v>10131</v>
      </c>
      <c r="AU129" s="148">
        <f t="shared" si="95"/>
        <v>844.25</v>
      </c>
      <c r="AV129" s="183"/>
      <c r="AW129" s="482">
        <v>749</v>
      </c>
      <c r="AX129" s="147">
        <v>1078</v>
      </c>
      <c r="AY129" s="147">
        <v>788</v>
      </c>
      <c r="AZ129" s="147">
        <v>763</v>
      </c>
      <c r="BA129" s="147">
        <v>1405</v>
      </c>
      <c r="BB129" s="147">
        <v>978</v>
      </c>
      <c r="BC129" s="147">
        <v>968</v>
      </c>
      <c r="BD129" s="147">
        <v>977</v>
      </c>
      <c r="BE129" s="147">
        <v>886</v>
      </c>
      <c r="BF129" s="147">
        <v>870</v>
      </c>
      <c r="BG129" s="147">
        <v>746</v>
      </c>
      <c r="BH129" s="147">
        <v>855</v>
      </c>
      <c r="BI129" s="147">
        <f t="shared" si="108"/>
        <v>11063</v>
      </c>
      <c r="BJ129" s="148">
        <f t="shared" si="60"/>
        <v>921.91666666666663</v>
      </c>
      <c r="BK129" s="183"/>
      <c r="BL129" s="482">
        <v>890.00000000000011</v>
      </c>
      <c r="BM129" s="147">
        <v>572</v>
      </c>
      <c r="BN129" s="147"/>
      <c r="BO129" s="147"/>
      <c r="BP129" s="147"/>
      <c r="BQ129" s="147"/>
      <c r="BR129" s="147"/>
      <c r="BS129" s="147"/>
      <c r="BT129" s="147"/>
      <c r="BU129" s="147"/>
      <c r="BV129" s="147"/>
      <c r="BW129" s="147"/>
      <c r="BX129" s="147">
        <f t="shared" si="89"/>
        <v>1462</v>
      </c>
      <c r="BY129" s="148">
        <f t="shared" si="96"/>
        <v>731</v>
      </c>
      <c r="CA129" s="169">
        <f>ROW()</f>
        <v>129</v>
      </c>
      <c r="CB129" s="169">
        <f>IFERROR(_xlfn.XLOOKUP($A$1,$2:$2,129:129)-_xlfn.XLOOKUP(EDATE($A$1,-12),$2:$2,129:129),"")</f>
        <v>-506</v>
      </c>
      <c r="CC129" s="169">
        <f t="shared" si="83"/>
        <v>77.666666666666629</v>
      </c>
      <c r="CD129" s="169">
        <f>IFERROR(
  SUM(
    _xlfn.XLOOKUP(DATE(YEAR($A$1),1,1),$2:$2,129:129):
    _xlfn.XLOOKUP($A$1,$2:$2,129:129)
  )
 -SUM(
    _xlfn.XLOOKUP(DATE(YEAR($A$1)-1,1,1),$2:$2,129:129):
    _xlfn.XLOOKUP(EDATE($A$1,-12),$2:$2,129:129)
  ),"")</f>
        <v>-365</v>
      </c>
      <c r="CE129" s="4517">
        <f>IFERROR(
  _xlfn.XLOOKUP($A$1,$B$2:$BY$2,$B129:$BY129)
 -_xlfn.XLOOKUP(EDATE($A$1,-1),$B$2:$BY$2,$B129:$BY129),"")</f>
        <v>-318.00000000000011</v>
      </c>
    </row>
    <row r="130" spans="1:87" x14ac:dyDescent="0.55000000000000004">
      <c r="A130" s="7198"/>
      <c r="B130" s="7204"/>
      <c r="C130" s="65" t="s">
        <v>402</v>
      </c>
      <c r="D130" s="146">
        <f>D135</f>
        <v>972</v>
      </c>
      <c r="E130" s="147">
        <f t="shared" ref="E130:O130" si="111">E135</f>
        <v>1074</v>
      </c>
      <c r="F130" s="147">
        <f t="shared" si="111"/>
        <v>1040</v>
      </c>
      <c r="G130" s="147">
        <f t="shared" si="111"/>
        <v>1272</v>
      </c>
      <c r="H130" s="147">
        <f t="shared" si="111"/>
        <v>1252</v>
      </c>
      <c r="I130" s="147">
        <f t="shared" si="111"/>
        <v>1178</v>
      </c>
      <c r="J130" s="147">
        <f t="shared" si="111"/>
        <v>988</v>
      </c>
      <c r="K130" s="147">
        <f t="shared" si="111"/>
        <v>1120</v>
      </c>
      <c r="L130" s="147">
        <f t="shared" si="111"/>
        <v>784</v>
      </c>
      <c r="M130" s="147">
        <f t="shared" si="111"/>
        <v>884</v>
      </c>
      <c r="N130" s="147">
        <f t="shared" si="111"/>
        <v>725</v>
      </c>
      <c r="O130" s="147">
        <f t="shared" si="111"/>
        <v>611</v>
      </c>
      <c r="P130" s="147">
        <f t="shared" si="90"/>
        <v>11900</v>
      </c>
      <c r="Q130" s="148">
        <f t="shared" si="91"/>
        <v>991.66666666666663</v>
      </c>
      <c r="R130" s="183"/>
      <c r="S130" s="146">
        <f>S135</f>
        <v>721</v>
      </c>
      <c r="T130" s="147">
        <f t="shared" ref="T130:AD130" si="112">T135</f>
        <v>777</v>
      </c>
      <c r="U130" s="147">
        <f t="shared" si="112"/>
        <v>771</v>
      </c>
      <c r="V130" s="147">
        <f t="shared" si="112"/>
        <v>676</v>
      </c>
      <c r="W130" s="147">
        <f t="shared" si="112"/>
        <v>796</v>
      </c>
      <c r="X130" s="147">
        <f t="shared" si="112"/>
        <v>745</v>
      </c>
      <c r="Y130" s="147">
        <f t="shared" si="112"/>
        <v>732</v>
      </c>
      <c r="Z130" s="147">
        <f t="shared" si="112"/>
        <v>876</v>
      </c>
      <c r="AA130" s="147">
        <f t="shared" si="112"/>
        <v>587</v>
      </c>
      <c r="AB130" s="147">
        <f t="shared" si="112"/>
        <v>825</v>
      </c>
      <c r="AC130" s="147">
        <f t="shared" si="112"/>
        <v>703</v>
      </c>
      <c r="AD130" s="147">
        <f t="shared" si="112"/>
        <v>540</v>
      </c>
      <c r="AE130" s="147">
        <f t="shared" si="92"/>
        <v>8749</v>
      </c>
      <c r="AF130" s="148">
        <f t="shared" si="93"/>
        <v>729.08333333333337</v>
      </c>
      <c r="AG130" s="183"/>
      <c r="AH130" s="146">
        <v>656</v>
      </c>
      <c r="AI130" s="147">
        <v>577</v>
      </c>
      <c r="AJ130" s="147">
        <v>808</v>
      </c>
      <c r="AK130" s="147">
        <v>697</v>
      </c>
      <c r="AL130" s="147">
        <v>812</v>
      </c>
      <c r="AM130" s="147">
        <v>814</v>
      </c>
      <c r="AN130" s="147">
        <v>973</v>
      </c>
      <c r="AO130" s="147">
        <v>881</v>
      </c>
      <c r="AP130" s="147">
        <v>783</v>
      </c>
      <c r="AQ130" s="147">
        <v>938</v>
      </c>
      <c r="AR130" s="147">
        <v>899</v>
      </c>
      <c r="AS130" s="147">
        <v>823</v>
      </c>
      <c r="AT130" s="147">
        <f t="shared" si="94"/>
        <v>9661</v>
      </c>
      <c r="AU130" s="148">
        <f t="shared" si="95"/>
        <v>805.08333333333337</v>
      </c>
      <c r="AV130" s="183"/>
      <c r="AW130" s="482">
        <v>718</v>
      </c>
      <c r="AX130" s="147">
        <v>1090</v>
      </c>
      <c r="AY130" s="147">
        <v>988</v>
      </c>
      <c r="AZ130" s="147">
        <v>870</v>
      </c>
      <c r="BA130" s="147">
        <v>1405</v>
      </c>
      <c r="BB130" s="147">
        <v>1151</v>
      </c>
      <c r="BC130" s="147">
        <v>1040</v>
      </c>
      <c r="BD130" s="147">
        <v>712</v>
      </c>
      <c r="BE130" s="147">
        <v>797</v>
      </c>
      <c r="BF130" s="147">
        <v>733</v>
      </c>
      <c r="BG130" s="147">
        <v>683</v>
      </c>
      <c r="BH130" s="147">
        <v>843</v>
      </c>
      <c r="BI130" s="147">
        <f t="shared" si="108"/>
        <v>11030</v>
      </c>
      <c r="BJ130" s="148">
        <f t="shared" si="60"/>
        <v>919.16666666666663</v>
      </c>
      <c r="BK130" s="183"/>
      <c r="BL130" s="482">
        <v>1047</v>
      </c>
      <c r="BM130" s="147">
        <v>715</v>
      </c>
      <c r="BN130" s="147"/>
      <c r="BO130" s="147"/>
      <c r="BP130" s="147"/>
      <c r="BQ130" s="147"/>
      <c r="BR130" s="147"/>
      <c r="BS130" s="147"/>
      <c r="BT130" s="147"/>
      <c r="BU130" s="147"/>
      <c r="BV130" s="147"/>
      <c r="BW130" s="147"/>
      <c r="BX130" s="147">
        <f t="shared" si="89"/>
        <v>1762</v>
      </c>
      <c r="BY130" s="148">
        <f t="shared" si="96"/>
        <v>881</v>
      </c>
      <c r="CA130" s="169">
        <f>ROW()</f>
        <v>130</v>
      </c>
      <c r="CB130" s="169">
        <f>IFERROR(_xlfn.XLOOKUP($A$1,$2:$2,130:130)-_xlfn.XLOOKUP(EDATE($A$1,-12),$2:$2,130:130),"")</f>
        <v>-375</v>
      </c>
      <c r="CC130" s="169">
        <f t="shared" si="83"/>
        <v>114.08333333333326</v>
      </c>
      <c r="CD130" s="169">
        <f>IFERROR(
  SUM(
    _xlfn.XLOOKUP(DATE(YEAR($A$1),1,1),$2:$2,130:130):
    _xlfn.XLOOKUP($A$1,$2:$2,130:130)
  )
 -SUM(
    _xlfn.XLOOKUP(DATE(YEAR($A$1)-1,1,1),$2:$2,130:130):
    _xlfn.XLOOKUP(EDATE($A$1,-12),$2:$2,130:130)
  ),"")</f>
        <v>-46</v>
      </c>
      <c r="CE130" s="4517">
        <f>IFERROR(
  _xlfn.XLOOKUP($A$1,$B$2:$BY$2,$B130:$BY130)
 -_xlfn.XLOOKUP(EDATE($A$1,-1),$B$2:$BY$2,$B130:$BY130),"")</f>
        <v>-332</v>
      </c>
    </row>
    <row r="131" spans="1:87" x14ac:dyDescent="0.55000000000000004">
      <c r="A131" s="7198"/>
      <c r="B131" s="7204"/>
      <c r="C131" s="65" t="s">
        <v>403</v>
      </c>
      <c r="D131" s="146">
        <f>D136+D137</f>
        <v>1632</v>
      </c>
      <c r="E131" s="147">
        <f t="shared" ref="E131:O131" si="113">E136+E137</f>
        <v>1730</v>
      </c>
      <c r="F131" s="147">
        <f t="shared" si="113"/>
        <v>1728</v>
      </c>
      <c r="G131" s="147">
        <f t="shared" si="113"/>
        <v>2081</v>
      </c>
      <c r="H131" s="147">
        <f t="shared" si="113"/>
        <v>2114</v>
      </c>
      <c r="I131" s="147">
        <f t="shared" si="113"/>
        <v>2124</v>
      </c>
      <c r="J131" s="147">
        <f t="shared" si="113"/>
        <v>1975</v>
      </c>
      <c r="K131" s="147">
        <f t="shared" si="113"/>
        <v>2189</v>
      </c>
      <c r="L131" s="147">
        <f t="shared" si="113"/>
        <v>1557</v>
      </c>
      <c r="M131" s="147">
        <f t="shared" si="113"/>
        <v>1575</v>
      </c>
      <c r="N131" s="147">
        <f t="shared" si="113"/>
        <v>1342</v>
      </c>
      <c r="O131" s="147">
        <f t="shared" si="113"/>
        <v>1029</v>
      </c>
      <c r="P131" s="147">
        <f t="shared" si="90"/>
        <v>21076</v>
      </c>
      <c r="Q131" s="148">
        <f t="shared" si="91"/>
        <v>1756.3333333333333</v>
      </c>
      <c r="R131" s="183"/>
      <c r="S131" s="146">
        <f>S136+S137</f>
        <v>1251</v>
      </c>
      <c r="T131" s="147">
        <f t="shared" ref="T131:AD131" si="114">T136+T137</f>
        <v>1727</v>
      </c>
      <c r="U131" s="147">
        <f t="shared" si="114"/>
        <v>1474</v>
      </c>
      <c r="V131" s="147">
        <f t="shared" si="114"/>
        <v>1340</v>
      </c>
      <c r="W131" s="147">
        <f t="shared" si="114"/>
        <v>1563</v>
      </c>
      <c r="X131" s="147">
        <f t="shared" si="114"/>
        <v>1446</v>
      </c>
      <c r="Y131" s="147">
        <f t="shared" si="114"/>
        <v>1314</v>
      </c>
      <c r="Z131" s="147">
        <f t="shared" si="114"/>
        <v>1752</v>
      </c>
      <c r="AA131" s="147">
        <f t="shared" si="114"/>
        <v>1291</v>
      </c>
      <c r="AB131" s="147">
        <f t="shared" si="114"/>
        <v>1703</v>
      </c>
      <c r="AC131" s="147">
        <f t="shared" si="114"/>
        <v>1410</v>
      </c>
      <c r="AD131" s="147">
        <f t="shared" si="114"/>
        <v>1016</v>
      </c>
      <c r="AE131" s="147">
        <f t="shared" si="92"/>
        <v>17287</v>
      </c>
      <c r="AF131" s="148">
        <f t="shared" si="93"/>
        <v>1440.5833333333333</v>
      </c>
      <c r="AG131" s="183"/>
      <c r="AH131" s="146">
        <v>1753</v>
      </c>
      <c r="AI131" s="147">
        <v>1458</v>
      </c>
      <c r="AJ131" s="147">
        <v>1608</v>
      </c>
      <c r="AK131" s="147">
        <v>1566</v>
      </c>
      <c r="AL131" s="147">
        <v>1660</v>
      </c>
      <c r="AM131" s="147">
        <v>1388</v>
      </c>
      <c r="AN131" s="147">
        <v>1631</v>
      </c>
      <c r="AO131" s="147">
        <v>1427</v>
      </c>
      <c r="AP131" s="147">
        <v>1542</v>
      </c>
      <c r="AQ131" s="147">
        <v>1670</v>
      </c>
      <c r="AR131" s="147">
        <v>1832</v>
      </c>
      <c r="AS131" s="147">
        <v>1747</v>
      </c>
      <c r="AT131" s="147">
        <f t="shared" si="94"/>
        <v>19282</v>
      </c>
      <c r="AU131" s="148">
        <f t="shared" si="95"/>
        <v>1606.8333333333333</v>
      </c>
      <c r="AV131" s="183"/>
      <c r="AW131" s="482">
        <v>1729</v>
      </c>
      <c r="AX131" s="147">
        <v>2246</v>
      </c>
      <c r="AY131" s="147">
        <v>1897.0000000000002</v>
      </c>
      <c r="AZ131" s="147">
        <v>2215</v>
      </c>
      <c r="BA131" s="147">
        <v>3626</v>
      </c>
      <c r="BB131" s="147">
        <v>3351</v>
      </c>
      <c r="BC131" s="147">
        <v>2897</v>
      </c>
      <c r="BD131" s="147">
        <v>2270</v>
      </c>
      <c r="BE131" s="147">
        <v>1965</v>
      </c>
      <c r="BF131" s="147">
        <v>2049</v>
      </c>
      <c r="BG131" s="147">
        <v>1964</v>
      </c>
      <c r="BH131" s="147">
        <v>1909</v>
      </c>
      <c r="BI131" s="147">
        <f t="shared" si="108"/>
        <v>28118</v>
      </c>
      <c r="BJ131" s="148">
        <f t="shared" si="60"/>
        <v>2343.1666666666665</v>
      </c>
      <c r="BK131" s="183"/>
      <c r="BL131" s="482">
        <v>2033</v>
      </c>
      <c r="BM131" s="147">
        <v>1298</v>
      </c>
      <c r="BN131" s="147"/>
      <c r="BO131" s="147"/>
      <c r="BP131" s="147"/>
      <c r="BQ131" s="147"/>
      <c r="BR131" s="147"/>
      <c r="BS131" s="147"/>
      <c r="BT131" s="147"/>
      <c r="BU131" s="147"/>
      <c r="BV131" s="147"/>
      <c r="BW131" s="147"/>
      <c r="BX131" s="147">
        <f t="shared" si="89"/>
        <v>3331</v>
      </c>
      <c r="BY131" s="148">
        <f t="shared" si="96"/>
        <v>1665.5</v>
      </c>
      <c r="CA131" s="169">
        <f>ROW()</f>
        <v>131</v>
      </c>
      <c r="CB131" s="169">
        <f>IFERROR(_xlfn.XLOOKUP($A$1,$2:$2,131:131)-_xlfn.XLOOKUP(EDATE($A$1,-12),$2:$2,131:131),"")</f>
        <v>-948</v>
      </c>
      <c r="CC131" s="169">
        <f t="shared" si="83"/>
        <v>736.33333333333326</v>
      </c>
      <c r="CD131" s="169">
        <f>IFERROR(
  SUM(
    _xlfn.XLOOKUP(DATE(YEAR($A$1),1,1),$2:$2,131:131):
    _xlfn.XLOOKUP($A$1,$2:$2,131:131)
  )
 -SUM(
    _xlfn.XLOOKUP(DATE(YEAR($A$1)-1,1,1),$2:$2,131:131):
    _xlfn.XLOOKUP(EDATE($A$1,-12),$2:$2,131:131)
  ),"")</f>
        <v>-644</v>
      </c>
      <c r="CE131" s="4517">
        <f>IFERROR(
  _xlfn.XLOOKUP($A$1,$B$2:$BY$2,$B131:$BY131)
 -_xlfn.XLOOKUP(EDATE($A$1,-1),$B$2:$BY$2,$B131:$BY131),"")</f>
        <v>-735</v>
      </c>
    </row>
    <row r="132" spans="1:87" x14ac:dyDescent="0.55000000000000004">
      <c r="A132" s="7198"/>
      <c r="B132" s="7205"/>
      <c r="C132" s="66" t="s">
        <v>404</v>
      </c>
      <c r="D132" s="149">
        <f>D138+D139</f>
        <v>1685</v>
      </c>
      <c r="E132" s="150">
        <f t="shared" ref="E132:O132" si="115">E138+E139</f>
        <v>1666</v>
      </c>
      <c r="F132" s="150">
        <f t="shared" si="115"/>
        <v>1567</v>
      </c>
      <c r="G132" s="150">
        <f t="shared" si="115"/>
        <v>1958</v>
      </c>
      <c r="H132" s="150">
        <f t="shared" si="115"/>
        <v>2218</v>
      </c>
      <c r="I132" s="150">
        <f t="shared" si="115"/>
        <v>2075</v>
      </c>
      <c r="J132" s="150">
        <f t="shared" si="115"/>
        <v>1781</v>
      </c>
      <c r="K132" s="150">
        <f t="shared" si="115"/>
        <v>1999</v>
      </c>
      <c r="L132" s="150">
        <f t="shared" si="115"/>
        <v>1383</v>
      </c>
      <c r="M132" s="150">
        <f t="shared" si="115"/>
        <v>1475</v>
      </c>
      <c r="N132" s="150">
        <f t="shared" si="115"/>
        <v>1393</v>
      </c>
      <c r="O132" s="150">
        <f t="shared" si="115"/>
        <v>1341</v>
      </c>
      <c r="P132" s="150">
        <f t="shared" si="90"/>
        <v>20541</v>
      </c>
      <c r="Q132" s="151">
        <f t="shared" si="91"/>
        <v>1711.75</v>
      </c>
      <c r="R132" s="183"/>
      <c r="S132" s="149">
        <f>S138+S139</f>
        <v>1473</v>
      </c>
      <c r="T132" s="150">
        <f t="shared" ref="T132:AD132" si="116">T138+T139</f>
        <v>1781</v>
      </c>
      <c r="U132" s="150">
        <f t="shared" si="116"/>
        <v>1547</v>
      </c>
      <c r="V132" s="150">
        <f t="shared" si="116"/>
        <v>1454</v>
      </c>
      <c r="W132" s="150">
        <f t="shared" si="116"/>
        <v>1723</v>
      </c>
      <c r="X132" s="150">
        <f t="shared" si="116"/>
        <v>1502</v>
      </c>
      <c r="Y132" s="150">
        <f t="shared" si="116"/>
        <v>1442</v>
      </c>
      <c r="Z132" s="150">
        <f t="shared" si="116"/>
        <v>1918</v>
      </c>
      <c r="AA132" s="150">
        <f t="shared" si="116"/>
        <v>1398</v>
      </c>
      <c r="AB132" s="150">
        <f t="shared" si="116"/>
        <v>1602</v>
      </c>
      <c r="AC132" s="150">
        <f t="shared" si="116"/>
        <v>1371</v>
      </c>
      <c r="AD132" s="150">
        <f t="shared" si="116"/>
        <v>1040</v>
      </c>
      <c r="AE132" s="150">
        <f t="shared" si="92"/>
        <v>18251</v>
      </c>
      <c r="AF132" s="151">
        <f t="shared" si="93"/>
        <v>1520.9166666666667</v>
      </c>
      <c r="AG132" s="183"/>
      <c r="AH132" s="149">
        <v>1653</v>
      </c>
      <c r="AI132" s="150">
        <v>1322</v>
      </c>
      <c r="AJ132" s="150">
        <v>1288</v>
      </c>
      <c r="AK132" s="150">
        <v>1377</v>
      </c>
      <c r="AL132" s="150">
        <v>1282</v>
      </c>
      <c r="AM132" s="150">
        <v>1264</v>
      </c>
      <c r="AN132" s="150">
        <v>1399</v>
      </c>
      <c r="AO132" s="150">
        <v>1064</v>
      </c>
      <c r="AP132" s="150">
        <v>1279</v>
      </c>
      <c r="AQ132" s="150">
        <v>1549</v>
      </c>
      <c r="AR132" s="150">
        <v>1692</v>
      </c>
      <c r="AS132" s="150">
        <v>1451</v>
      </c>
      <c r="AT132" s="150">
        <f t="shared" si="94"/>
        <v>16620</v>
      </c>
      <c r="AU132" s="151">
        <f t="shared" si="95"/>
        <v>1385</v>
      </c>
      <c r="AV132" s="183"/>
      <c r="AW132" s="483">
        <v>1356</v>
      </c>
      <c r="AX132" s="150">
        <v>1912</v>
      </c>
      <c r="AY132" s="150">
        <v>1592</v>
      </c>
      <c r="AZ132" s="150">
        <v>1733</v>
      </c>
      <c r="BA132" s="150">
        <v>2231</v>
      </c>
      <c r="BB132" s="150">
        <v>1770</v>
      </c>
      <c r="BC132" s="150">
        <v>1762</v>
      </c>
      <c r="BD132" s="150">
        <v>1357</v>
      </c>
      <c r="BE132" s="150">
        <v>1455</v>
      </c>
      <c r="BF132" s="150">
        <v>1324</v>
      </c>
      <c r="BG132" s="150">
        <v>1410</v>
      </c>
      <c r="BH132" s="150">
        <v>1478</v>
      </c>
      <c r="BI132" s="150">
        <f t="shared" si="108"/>
        <v>19380</v>
      </c>
      <c r="BJ132" s="151">
        <f t="shared" si="60"/>
        <v>1615</v>
      </c>
      <c r="BK132" s="183"/>
      <c r="BL132" s="483">
        <v>1604</v>
      </c>
      <c r="BM132" s="150">
        <v>1192</v>
      </c>
      <c r="BN132" s="150"/>
      <c r="BO132" s="150"/>
      <c r="BP132" s="150"/>
      <c r="BQ132" s="150"/>
      <c r="BR132" s="150"/>
      <c r="BS132" s="150"/>
      <c r="BT132" s="150"/>
      <c r="BU132" s="150"/>
      <c r="BV132" s="150"/>
      <c r="BW132" s="150"/>
      <c r="BX132" s="150">
        <f t="shared" si="89"/>
        <v>2796</v>
      </c>
      <c r="BY132" s="151">
        <f t="shared" si="96"/>
        <v>1398</v>
      </c>
      <c r="CA132" s="169">
        <f>ROW()</f>
        <v>132</v>
      </c>
      <c r="CB132" s="169">
        <f>IFERROR(_xlfn.XLOOKUP($A$1,$2:$2,132:132)-_xlfn.XLOOKUP(EDATE($A$1,-12),$2:$2,132:132),"")</f>
        <v>-720</v>
      </c>
      <c r="CC132" s="169">
        <f t="shared" si="83"/>
        <v>230</v>
      </c>
      <c r="CD132" s="169">
        <f>IFERROR(
  SUM(
    _xlfn.XLOOKUP(DATE(YEAR($A$1),1,1),$2:$2,132:132):
    _xlfn.XLOOKUP($A$1,$2:$2,132:132)
  )
 -SUM(
    _xlfn.XLOOKUP(DATE(YEAR($A$1)-1,1,1),$2:$2,132:132):
    _xlfn.XLOOKUP(EDATE($A$1,-12),$2:$2,132:132)
  ),"")</f>
        <v>-472</v>
      </c>
      <c r="CE132" s="4517">
        <f>IFERROR(
  _xlfn.XLOOKUP($A$1,$B$2:$BY$2,$B132:$BY132)
 -_xlfn.XLOOKUP(EDATE($A$1,-1),$B$2:$BY$2,$B132:$BY132),"")</f>
        <v>-412</v>
      </c>
    </row>
    <row r="133" spans="1:87" x14ac:dyDescent="0.55000000000000004">
      <c r="A133" s="7198"/>
      <c r="B133" s="7206" t="s">
        <v>414</v>
      </c>
      <c r="C133" s="68" t="s">
        <v>226</v>
      </c>
      <c r="D133" s="155">
        <v>784</v>
      </c>
      <c r="E133" s="156">
        <v>950</v>
      </c>
      <c r="F133" s="156">
        <v>925</v>
      </c>
      <c r="G133" s="156">
        <v>1218</v>
      </c>
      <c r="H133" s="156">
        <v>1398</v>
      </c>
      <c r="I133" s="156">
        <v>1393</v>
      </c>
      <c r="J133" s="156">
        <v>991</v>
      </c>
      <c r="K133" s="156">
        <v>963</v>
      </c>
      <c r="L133" s="156">
        <v>783</v>
      </c>
      <c r="M133" s="156">
        <v>989</v>
      </c>
      <c r="N133" s="156">
        <v>689</v>
      </c>
      <c r="O133" s="156">
        <v>743</v>
      </c>
      <c r="P133" s="156">
        <f t="shared" si="90"/>
        <v>11826</v>
      </c>
      <c r="Q133" s="157">
        <f t="shared" si="91"/>
        <v>985.5</v>
      </c>
      <c r="R133" s="183"/>
      <c r="S133" s="155">
        <v>724</v>
      </c>
      <c r="T133" s="156">
        <v>986</v>
      </c>
      <c r="U133" s="156">
        <v>880</v>
      </c>
      <c r="V133" s="156">
        <v>760</v>
      </c>
      <c r="W133" s="156">
        <v>784</v>
      </c>
      <c r="X133" s="156">
        <v>747</v>
      </c>
      <c r="Y133" s="156">
        <v>711</v>
      </c>
      <c r="Z133" s="156">
        <v>928</v>
      </c>
      <c r="AA133" s="156">
        <v>783</v>
      </c>
      <c r="AB133" s="156">
        <v>837</v>
      </c>
      <c r="AC133" s="156">
        <v>797</v>
      </c>
      <c r="AD133" s="156">
        <v>561</v>
      </c>
      <c r="AE133" s="156">
        <f t="shared" si="92"/>
        <v>9498</v>
      </c>
      <c r="AF133" s="157">
        <f t="shared" si="93"/>
        <v>791.5</v>
      </c>
      <c r="AG133" s="183"/>
      <c r="AH133" s="155">
        <v>921</v>
      </c>
      <c r="AI133" s="156">
        <v>552</v>
      </c>
      <c r="AJ133" s="156">
        <v>706</v>
      </c>
      <c r="AK133" s="156">
        <v>673</v>
      </c>
      <c r="AL133" s="156">
        <v>868</v>
      </c>
      <c r="AM133" s="156">
        <v>741</v>
      </c>
      <c r="AN133" s="156">
        <v>982</v>
      </c>
      <c r="AO133" s="156">
        <v>981</v>
      </c>
      <c r="AP133" s="156">
        <v>910</v>
      </c>
      <c r="AQ133" s="156">
        <v>993</v>
      </c>
      <c r="AR133" s="156">
        <v>853</v>
      </c>
      <c r="AS133" s="156">
        <v>708</v>
      </c>
      <c r="AT133" s="156">
        <f t="shared" si="94"/>
        <v>9888</v>
      </c>
      <c r="AU133" s="157">
        <f t="shared" si="95"/>
        <v>824</v>
      </c>
      <c r="AV133" s="183"/>
      <c r="AW133" s="488">
        <v>686</v>
      </c>
      <c r="AX133" s="156">
        <v>1010</v>
      </c>
      <c r="AY133" s="156">
        <v>725</v>
      </c>
      <c r="AZ133" s="156">
        <v>842</v>
      </c>
      <c r="BA133" s="156">
        <v>1396</v>
      </c>
      <c r="BB133" s="156">
        <v>933</v>
      </c>
      <c r="BC133" s="156">
        <v>1347</v>
      </c>
      <c r="BD133" s="156">
        <v>1156</v>
      </c>
      <c r="BE133" s="156">
        <v>1078</v>
      </c>
      <c r="BF133" s="156">
        <v>998</v>
      </c>
      <c r="BG133" s="156">
        <v>1049</v>
      </c>
      <c r="BH133" s="156">
        <v>1165</v>
      </c>
      <c r="BI133" s="156">
        <f t="shared" si="108"/>
        <v>12385</v>
      </c>
      <c r="BJ133" s="157">
        <f t="shared" si="60"/>
        <v>1032.0833333333333</v>
      </c>
      <c r="BK133" s="183"/>
      <c r="BL133" s="488">
        <v>1134</v>
      </c>
      <c r="BM133" s="156">
        <v>787</v>
      </c>
      <c r="BN133" s="156"/>
      <c r="BO133" s="156"/>
      <c r="BP133" s="156"/>
      <c r="BQ133" s="156"/>
      <c r="BR133" s="156"/>
      <c r="BS133" s="156"/>
      <c r="BT133" s="156"/>
      <c r="BU133" s="156"/>
      <c r="BV133" s="156"/>
      <c r="BW133" s="156"/>
      <c r="BX133" s="156">
        <f t="shared" si="89"/>
        <v>1921</v>
      </c>
      <c r="BY133" s="157">
        <f t="shared" si="96"/>
        <v>960.5</v>
      </c>
      <c r="CA133" s="169">
        <f>ROW()</f>
        <v>133</v>
      </c>
      <c r="CB133" s="169">
        <f>IFERROR(_xlfn.XLOOKUP($A$1,$2:$2,133:133)-_xlfn.XLOOKUP(EDATE($A$1,-12),$2:$2,133:133),"")</f>
        <v>-223</v>
      </c>
      <c r="CC133" s="169">
        <f t="shared" si="83"/>
        <v>208.08333333333326</v>
      </c>
      <c r="CD133" s="169">
        <f>IFERROR(
  SUM(
    _xlfn.XLOOKUP(DATE(YEAR($A$1),1,1),$2:$2,133:133):
    _xlfn.XLOOKUP($A$1,$2:$2,133:133)
  )
 -SUM(
    _xlfn.XLOOKUP(DATE(YEAR($A$1)-1,1,1),$2:$2,133:133):
    _xlfn.XLOOKUP(EDATE($A$1,-12),$2:$2,133:133)
  ),"")</f>
        <v>225</v>
      </c>
      <c r="CE133" s="4517">
        <f>IFERROR(
  _xlfn.XLOOKUP($A$1,$B$2:$BY$2,$B133:$BY133)
 -_xlfn.XLOOKUP(EDATE($A$1,-1),$B$2:$BY$2,$B133:$BY133),"")</f>
        <v>-347</v>
      </c>
    </row>
    <row r="134" spans="1:87" s="61" customFormat="1" x14ac:dyDescent="0.55000000000000004">
      <c r="A134" s="7198"/>
      <c r="B134" s="7207"/>
      <c r="C134" s="76" t="s">
        <v>227</v>
      </c>
      <c r="D134" s="161">
        <v>909</v>
      </c>
      <c r="E134" s="162">
        <v>1155</v>
      </c>
      <c r="F134" s="162">
        <v>1170</v>
      </c>
      <c r="G134" s="162">
        <v>1387</v>
      </c>
      <c r="H134" s="162">
        <v>1479</v>
      </c>
      <c r="I134" s="162">
        <v>1140</v>
      </c>
      <c r="J134" s="162">
        <v>991</v>
      </c>
      <c r="K134" s="162">
        <v>1195</v>
      </c>
      <c r="L134" s="162">
        <v>717</v>
      </c>
      <c r="M134" s="162">
        <v>873</v>
      </c>
      <c r="N134" s="162">
        <v>808</v>
      </c>
      <c r="O134" s="162">
        <v>692</v>
      </c>
      <c r="P134" s="162">
        <f t="shared" si="90"/>
        <v>12516</v>
      </c>
      <c r="Q134" s="163">
        <f t="shared" si="91"/>
        <v>1043</v>
      </c>
      <c r="R134" s="183"/>
      <c r="S134" s="161">
        <v>742</v>
      </c>
      <c r="T134" s="162">
        <v>930</v>
      </c>
      <c r="U134" s="162">
        <v>818</v>
      </c>
      <c r="V134" s="162">
        <v>554</v>
      </c>
      <c r="W134" s="162">
        <v>694</v>
      </c>
      <c r="X134" s="162">
        <v>593</v>
      </c>
      <c r="Y134" s="162">
        <v>607</v>
      </c>
      <c r="Z134" s="162">
        <v>811</v>
      </c>
      <c r="AA134" s="162">
        <v>629</v>
      </c>
      <c r="AB134" s="162">
        <v>871</v>
      </c>
      <c r="AC134" s="162">
        <v>654</v>
      </c>
      <c r="AD134" s="162">
        <v>574</v>
      </c>
      <c r="AE134" s="162">
        <f t="shared" si="92"/>
        <v>8477</v>
      </c>
      <c r="AF134" s="163">
        <f t="shared" si="93"/>
        <v>706.41666666666663</v>
      </c>
      <c r="AG134" s="183"/>
      <c r="AH134" s="161">
        <v>721</v>
      </c>
      <c r="AI134" s="162">
        <v>538</v>
      </c>
      <c r="AJ134" s="162">
        <v>779</v>
      </c>
      <c r="AK134" s="162">
        <v>768</v>
      </c>
      <c r="AL134" s="162">
        <v>742</v>
      </c>
      <c r="AM134" s="162">
        <v>715</v>
      </c>
      <c r="AN134" s="162">
        <v>850</v>
      </c>
      <c r="AO134" s="162">
        <v>1115</v>
      </c>
      <c r="AP134" s="162">
        <v>1065</v>
      </c>
      <c r="AQ134" s="162">
        <v>1057</v>
      </c>
      <c r="AR134" s="162">
        <v>892</v>
      </c>
      <c r="AS134" s="162">
        <v>889</v>
      </c>
      <c r="AT134" s="162">
        <f t="shared" si="94"/>
        <v>10131</v>
      </c>
      <c r="AU134" s="163">
        <f t="shared" si="95"/>
        <v>844.25</v>
      </c>
      <c r="AV134" s="183"/>
      <c r="AW134" s="487">
        <v>749</v>
      </c>
      <c r="AX134" s="162">
        <v>1078</v>
      </c>
      <c r="AY134" s="162">
        <v>788</v>
      </c>
      <c r="AZ134" s="162">
        <v>763</v>
      </c>
      <c r="BA134" s="162">
        <v>1405</v>
      </c>
      <c r="BB134" s="162">
        <v>978</v>
      </c>
      <c r="BC134" s="162">
        <v>968</v>
      </c>
      <c r="BD134" s="162">
        <v>977</v>
      </c>
      <c r="BE134" s="162">
        <v>886</v>
      </c>
      <c r="BF134" s="162">
        <v>870</v>
      </c>
      <c r="BG134" s="162">
        <v>746</v>
      </c>
      <c r="BH134" s="162">
        <v>855</v>
      </c>
      <c r="BI134" s="162">
        <f t="shared" si="108"/>
        <v>11063</v>
      </c>
      <c r="BJ134" s="163">
        <f t="shared" si="60"/>
        <v>921.91666666666663</v>
      </c>
      <c r="BK134" s="183"/>
      <c r="BL134" s="487">
        <v>890.00000000000011</v>
      </c>
      <c r="BM134" s="162">
        <v>572</v>
      </c>
      <c r="BN134" s="162"/>
      <c r="BO134" s="162"/>
      <c r="BP134" s="162"/>
      <c r="BQ134" s="162"/>
      <c r="BR134" s="162"/>
      <c r="BS134" s="162"/>
      <c r="BT134" s="162"/>
      <c r="BU134" s="162"/>
      <c r="BV134" s="162"/>
      <c r="BW134" s="162"/>
      <c r="BX134" s="162">
        <f t="shared" si="89"/>
        <v>1462</v>
      </c>
      <c r="BY134" s="163">
        <f t="shared" si="96"/>
        <v>731</v>
      </c>
      <c r="CA134" s="169">
        <f>ROW()</f>
        <v>134</v>
      </c>
      <c r="CB134" s="169">
        <f>IFERROR(_xlfn.XLOOKUP($A$1,$2:$2,134:134)-_xlfn.XLOOKUP(EDATE($A$1,-12),$2:$2,134:134),"")</f>
        <v>-506</v>
      </c>
      <c r="CC134" s="169">
        <f t="shared" si="83"/>
        <v>77.666666666666629</v>
      </c>
      <c r="CD134" s="169">
        <f>IFERROR(
  SUM(
    _xlfn.XLOOKUP(DATE(YEAR($A$1),1,1),$2:$2,134:134):
    _xlfn.XLOOKUP($A$1,$2:$2,134:134)
  )
 -SUM(
    _xlfn.XLOOKUP(DATE(YEAR($A$1)-1,1,1),$2:$2,134:134):
    _xlfn.XLOOKUP(EDATE($A$1,-12),$2:$2,134:134)
  ),"")</f>
        <v>-365</v>
      </c>
      <c r="CE134" s="4517">
        <f>IFERROR(
  _xlfn.XLOOKUP($A$1,$B$2:$BY$2,$B134:$BY134)
 -_xlfn.XLOOKUP(EDATE($A$1,-1),$B$2:$BY$2,$B134:$BY134),"")</f>
        <v>-318.00000000000011</v>
      </c>
      <c r="CF134"/>
      <c r="CG134"/>
      <c r="CH134"/>
      <c r="CI134"/>
    </row>
    <row r="135" spans="1:87" s="61" customFormat="1" x14ac:dyDescent="0.55000000000000004">
      <c r="A135" s="7198"/>
      <c r="B135" s="7207"/>
      <c r="C135" s="68" t="s">
        <v>228</v>
      </c>
      <c r="D135" s="155">
        <v>972</v>
      </c>
      <c r="E135" s="156">
        <v>1074</v>
      </c>
      <c r="F135" s="156">
        <v>1040</v>
      </c>
      <c r="G135" s="156">
        <v>1272</v>
      </c>
      <c r="H135" s="156">
        <v>1252</v>
      </c>
      <c r="I135" s="156">
        <v>1178</v>
      </c>
      <c r="J135" s="156">
        <v>988</v>
      </c>
      <c r="K135" s="156">
        <v>1120</v>
      </c>
      <c r="L135" s="156">
        <v>784</v>
      </c>
      <c r="M135" s="156">
        <v>884</v>
      </c>
      <c r="N135" s="156">
        <v>725</v>
      </c>
      <c r="O135" s="156">
        <v>611</v>
      </c>
      <c r="P135" s="156">
        <f t="shared" si="90"/>
        <v>11900</v>
      </c>
      <c r="Q135" s="157">
        <f t="shared" si="91"/>
        <v>991.66666666666663</v>
      </c>
      <c r="R135" s="183"/>
      <c r="S135" s="155">
        <v>721</v>
      </c>
      <c r="T135" s="156">
        <v>777</v>
      </c>
      <c r="U135" s="156">
        <v>771</v>
      </c>
      <c r="V135" s="156">
        <v>676</v>
      </c>
      <c r="W135" s="156">
        <v>796</v>
      </c>
      <c r="X135" s="156">
        <v>745</v>
      </c>
      <c r="Y135" s="156">
        <v>732</v>
      </c>
      <c r="Z135" s="156">
        <v>876</v>
      </c>
      <c r="AA135" s="156">
        <v>587</v>
      </c>
      <c r="AB135" s="156">
        <v>825</v>
      </c>
      <c r="AC135" s="156">
        <v>703</v>
      </c>
      <c r="AD135" s="156">
        <v>540</v>
      </c>
      <c r="AE135" s="156">
        <f t="shared" si="92"/>
        <v>8749</v>
      </c>
      <c r="AF135" s="157">
        <f t="shared" si="93"/>
        <v>729.08333333333337</v>
      </c>
      <c r="AG135" s="183"/>
      <c r="AH135" s="155">
        <v>656</v>
      </c>
      <c r="AI135" s="156">
        <v>577</v>
      </c>
      <c r="AJ135" s="156">
        <v>808</v>
      </c>
      <c r="AK135" s="156">
        <v>697</v>
      </c>
      <c r="AL135" s="156">
        <v>812</v>
      </c>
      <c r="AM135" s="156">
        <v>814</v>
      </c>
      <c r="AN135" s="156">
        <v>973</v>
      </c>
      <c r="AO135" s="156">
        <v>881</v>
      </c>
      <c r="AP135" s="156">
        <v>783</v>
      </c>
      <c r="AQ135" s="156">
        <v>938</v>
      </c>
      <c r="AR135" s="156">
        <v>899</v>
      </c>
      <c r="AS135" s="156">
        <v>823</v>
      </c>
      <c r="AT135" s="156">
        <f t="shared" si="94"/>
        <v>9661</v>
      </c>
      <c r="AU135" s="157">
        <f t="shared" si="95"/>
        <v>805.08333333333337</v>
      </c>
      <c r="AV135" s="183"/>
      <c r="AW135" s="488">
        <v>718</v>
      </c>
      <c r="AX135" s="156">
        <v>1090</v>
      </c>
      <c r="AY135" s="156">
        <v>988</v>
      </c>
      <c r="AZ135" s="156">
        <v>870</v>
      </c>
      <c r="BA135" s="156">
        <v>1405</v>
      </c>
      <c r="BB135" s="156">
        <v>1151</v>
      </c>
      <c r="BC135" s="156">
        <v>1040</v>
      </c>
      <c r="BD135" s="156">
        <v>712</v>
      </c>
      <c r="BE135" s="156">
        <v>797</v>
      </c>
      <c r="BF135" s="156">
        <v>733</v>
      </c>
      <c r="BG135" s="156">
        <v>683</v>
      </c>
      <c r="BH135" s="156">
        <v>843</v>
      </c>
      <c r="BI135" s="156">
        <f t="shared" si="108"/>
        <v>11030</v>
      </c>
      <c r="BJ135" s="157">
        <f t="shared" ref="BJ135:BJ202" si="117">AVERAGE(AW135:BH135)</f>
        <v>919.16666666666663</v>
      </c>
      <c r="BK135" s="183"/>
      <c r="BL135" s="488">
        <v>1047</v>
      </c>
      <c r="BM135" s="156">
        <v>715</v>
      </c>
      <c r="BN135" s="156"/>
      <c r="BO135" s="156"/>
      <c r="BP135" s="156"/>
      <c r="BQ135" s="156"/>
      <c r="BR135" s="156"/>
      <c r="BS135" s="156"/>
      <c r="BT135" s="156"/>
      <c r="BU135" s="156"/>
      <c r="BV135" s="156"/>
      <c r="BW135" s="156"/>
      <c r="BX135" s="156">
        <f t="shared" si="89"/>
        <v>1762</v>
      </c>
      <c r="BY135" s="157">
        <f t="shared" si="96"/>
        <v>881</v>
      </c>
      <c r="CA135" s="169">
        <f>ROW()</f>
        <v>135</v>
      </c>
      <c r="CB135" s="169">
        <f>IFERROR(_xlfn.XLOOKUP($A$1,$2:$2,135:135)-_xlfn.XLOOKUP(EDATE($A$1,-12),$2:$2,135:135),"")</f>
        <v>-375</v>
      </c>
      <c r="CC135" s="169">
        <f t="shared" si="83"/>
        <v>114.08333333333326</v>
      </c>
      <c r="CD135" s="169">
        <f>IFERROR(
  SUM(
    _xlfn.XLOOKUP(DATE(YEAR($A$1),1,1),$2:$2,135:135):
    _xlfn.XLOOKUP($A$1,$2:$2,135:135)
  )
 -SUM(
    _xlfn.XLOOKUP(DATE(YEAR($A$1)-1,1,1),$2:$2,135:135):
    _xlfn.XLOOKUP(EDATE($A$1,-12),$2:$2,135:135)
  ),"")</f>
        <v>-46</v>
      </c>
      <c r="CE135" s="4517">
        <f>IFERROR(
  _xlfn.XLOOKUP($A$1,$B$2:$BY$2,$B135:$BY135)
 -_xlfn.XLOOKUP(EDATE($A$1,-1),$B$2:$BY$2,$B135:$BY135),"")</f>
        <v>-332</v>
      </c>
      <c r="CF135"/>
      <c r="CG135"/>
      <c r="CH135"/>
      <c r="CI135"/>
    </row>
    <row r="136" spans="1:87" s="61" customFormat="1" x14ac:dyDescent="0.55000000000000004">
      <c r="A136" s="7198"/>
      <c r="B136" s="7207"/>
      <c r="C136" s="76" t="s">
        <v>229</v>
      </c>
      <c r="D136" s="161">
        <v>768</v>
      </c>
      <c r="E136" s="162">
        <v>858</v>
      </c>
      <c r="F136" s="162">
        <v>870</v>
      </c>
      <c r="G136" s="162">
        <v>1039</v>
      </c>
      <c r="H136" s="162">
        <v>1149</v>
      </c>
      <c r="I136" s="162">
        <v>1189</v>
      </c>
      <c r="J136" s="162">
        <v>1124</v>
      </c>
      <c r="K136" s="162">
        <v>1237</v>
      </c>
      <c r="L136" s="162">
        <v>969</v>
      </c>
      <c r="M136" s="162">
        <v>932</v>
      </c>
      <c r="N136" s="162">
        <v>871</v>
      </c>
      <c r="O136" s="162">
        <v>713</v>
      </c>
      <c r="P136" s="162">
        <f t="shared" si="90"/>
        <v>11719</v>
      </c>
      <c r="Q136" s="163">
        <f t="shared" si="91"/>
        <v>976.58333333333337</v>
      </c>
      <c r="R136" s="183"/>
      <c r="S136" s="161">
        <v>778</v>
      </c>
      <c r="T136" s="162">
        <v>947</v>
      </c>
      <c r="U136" s="162">
        <v>932</v>
      </c>
      <c r="V136" s="162">
        <v>789</v>
      </c>
      <c r="W136" s="162">
        <v>879</v>
      </c>
      <c r="X136" s="162">
        <v>800</v>
      </c>
      <c r="Y136" s="162">
        <v>815</v>
      </c>
      <c r="Z136" s="162">
        <v>1115</v>
      </c>
      <c r="AA136" s="162">
        <v>802</v>
      </c>
      <c r="AB136" s="162">
        <v>1040</v>
      </c>
      <c r="AC136" s="162">
        <v>853</v>
      </c>
      <c r="AD136" s="162">
        <v>623</v>
      </c>
      <c r="AE136" s="162">
        <f t="shared" si="92"/>
        <v>10373</v>
      </c>
      <c r="AF136" s="163">
        <f t="shared" si="93"/>
        <v>864.41666666666663</v>
      </c>
      <c r="AG136" s="183"/>
      <c r="AH136" s="161">
        <v>1126</v>
      </c>
      <c r="AI136" s="162">
        <v>917</v>
      </c>
      <c r="AJ136" s="162">
        <v>1016</v>
      </c>
      <c r="AK136" s="162">
        <v>1036</v>
      </c>
      <c r="AL136" s="162">
        <v>1087</v>
      </c>
      <c r="AM136" s="162">
        <v>900</v>
      </c>
      <c r="AN136" s="162">
        <v>1089</v>
      </c>
      <c r="AO136" s="162">
        <v>892</v>
      </c>
      <c r="AP136" s="162">
        <v>998</v>
      </c>
      <c r="AQ136" s="162">
        <v>1139</v>
      </c>
      <c r="AR136" s="162">
        <v>1241</v>
      </c>
      <c r="AS136" s="162">
        <v>1215</v>
      </c>
      <c r="AT136" s="162">
        <f t="shared" si="94"/>
        <v>12656</v>
      </c>
      <c r="AU136" s="163">
        <f t="shared" si="95"/>
        <v>1054.6666666666667</v>
      </c>
      <c r="AV136" s="183"/>
      <c r="AW136" s="487">
        <v>1119</v>
      </c>
      <c r="AX136" s="162">
        <v>1506</v>
      </c>
      <c r="AY136" s="162">
        <v>1216</v>
      </c>
      <c r="AZ136" s="162">
        <v>1516</v>
      </c>
      <c r="BA136" s="162">
        <v>2492</v>
      </c>
      <c r="BB136" s="162">
        <v>2472</v>
      </c>
      <c r="BC136" s="162">
        <v>2050</v>
      </c>
      <c r="BD136" s="162">
        <v>1553</v>
      </c>
      <c r="BE136" s="162">
        <v>1290</v>
      </c>
      <c r="BF136" s="162">
        <v>1312</v>
      </c>
      <c r="BG136" s="162">
        <v>1238</v>
      </c>
      <c r="BH136" s="162">
        <v>1209</v>
      </c>
      <c r="BI136" s="162">
        <f t="shared" si="108"/>
        <v>18973</v>
      </c>
      <c r="BJ136" s="163">
        <f t="shared" si="117"/>
        <v>1581.0833333333333</v>
      </c>
      <c r="BK136" s="183"/>
      <c r="BL136" s="487">
        <v>1235</v>
      </c>
      <c r="BM136" s="162">
        <v>876</v>
      </c>
      <c r="BN136" s="162"/>
      <c r="BO136" s="162"/>
      <c r="BP136" s="162"/>
      <c r="BQ136" s="162"/>
      <c r="BR136" s="162"/>
      <c r="BS136" s="162"/>
      <c r="BT136" s="162"/>
      <c r="BU136" s="162"/>
      <c r="BV136" s="162"/>
      <c r="BW136" s="162"/>
      <c r="BX136" s="162">
        <f t="shared" si="89"/>
        <v>2111</v>
      </c>
      <c r="BY136" s="163">
        <f t="shared" si="96"/>
        <v>1055.5</v>
      </c>
      <c r="CA136" s="169">
        <f>ROW()</f>
        <v>136</v>
      </c>
      <c r="CB136" s="169">
        <f>IFERROR(_xlfn.XLOOKUP($A$1,$2:$2,136:136)-_xlfn.XLOOKUP(EDATE($A$1,-12),$2:$2,136:136),"")</f>
        <v>-630</v>
      </c>
      <c r="CC136" s="169">
        <f t="shared" si="83"/>
        <v>526.41666666666652</v>
      </c>
      <c r="CD136" s="169">
        <f>IFERROR(
  SUM(
    _xlfn.XLOOKUP(DATE(YEAR($A$1),1,1),$2:$2,136:136):
    _xlfn.XLOOKUP($A$1,$2:$2,136:136)
  )
 -SUM(
    _xlfn.XLOOKUP(DATE(YEAR($A$1)-1,1,1),$2:$2,136:136):
    _xlfn.XLOOKUP(EDATE($A$1,-12),$2:$2,136:136)
  ),"")</f>
        <v>-514</v>
      </c>
      <c r="CE136" s="4517">
        <f>IFERROR(
  _xlfn.XLOOKUP($A$1,$B$2:$BY$2,$B136:$BY136)
 -_xlfn.XLOOKUP(EDATE($A$1,-1),$B$2:$BY$2,$B136:$BY136),"")</f>
        <v>-359</v>
      </c>
      <c r="CG136"/>
      <c r="CH136"/>
    </row>
    <row r="137" spans="1:87" x14ac:dyDescent="0.55000000000000004">
      <c r="A137" s="7198"/>
      <c r="B137" s="7207"/>
      <c r="C137" s="67" t="s">
        <v>230</v>
      </c>
      <c r="D137" s="152">
        <v>864</v>
      </c>
      <c r="E137" s="153">
        <v>872</v>
      </c>
      <c r="F137" s="153">
        <v>858</v>
      </c>
      <c r="G137" s="153">
        <v>1042</v>
      </c>
      <c r="H137" s="153">
        <v>965</v>
      </c>
      <c r="I137" s="153">
        <v>935</v>
      </c>
      <c r="J137" s="153">
        <v>851</v>
      </c>
      <c r="K137" s="153">
        <v>952</v>
      </c>
      <c r="L137" s="153">
        <v>588</v>
      </c>
      <c r="M137" s="153">
        <v>643</v>
      </c>
      <c r="N137" s="153">
        <v>471</v>
      </c>
      <c r="O137" s="153">
        <v>316</v>
      </c>
      <c r="P137" s="153">
        <f t="shared" si="90"/>
        <v>9357</v>
      </c>
      <c r="Q137" s="154">
        <f t="shared" si="91"/>
        <v>779.75</v>
      </c>
      <c r="R137" s="183"/>
      <c r="S137" s="152">
        <v>473</v>
      </c>
      <c r="T137" s="153">
        <v>780</v>
      </c>
      <c r="U137" s="153">
        <v>542</v>
      </c>
      <c r="V137" s="153">
        <v>551</v>
      </c>
      <c r="W137" s="153">
        <v>684</v>
      </c>
      <c r="X137" s="153">
        <v>646</v>
      </c>
      <c r="Y137" s="153">
        <v>499</v>
      </c>
      <c r="Z137" s="153">
        <v>637</v>
      </c>
      <c r="AA137" s="153">
        <v>489</v>
      </c>
      <c r="AB137" s="153">
        <v>663</v>
      </c>
      <c r="AC137" s="153">
        <v>557</v>
      </c>
      <c r="AD137" s="153">
        <v>393</v>
      </c>
      <c r="AE137" s="153">
        <f t="shared" si="92"/>
        <v>6914</v>
      </c>
      <c r="AF137" s="154">
        <f t="shared" si="93"/>
        <v>576.16666666666663</v>
      </c>
      <c r="AG137" s="183"/>
      <c r="AH137" s="152">
        <v>627</v>
      </c>
      <c r="AI137" s="153">
        <v>541</v>
      </c>
      <c r="AJ137" s="153">
        <v>592</v>
      </c>
      <c r="AK137" s="153">
        <v>530</v>
      </c>
      <c r="AL137" s="153">
        <v>573</v>
      </c>
      <c r="AM137" s="153">
        <v>488</v>
      </c>
      <c r="AN137" s="153">
        <v>542</v>
      </c>
      <c r="AO137" s="153">
        <v>535</v>
      </c>
      <c r="AP137" s="153">
        <v>544</v>
      </c>
      <c r="AQ137" s="153">
        <v>531</v>
      </c>
      <c r="AR137" s="153">
        <v>591</v>
      </c>
      <c r="AS137" s="153">
        <v>532</v>
      </c>
      <c r="AT137" s="153">
        <f t="shared" si="94"/>
        <v>6626</v>
      </c>
      <c r="AU137" s="154">
        <f t="shared" si="95"/>
        <v>552.16666666666663</v>
      </c>
      <c r="AV137" s="183"/>
      <c r="AW137" s="487">
        <v>610</v>
      </c>
      <c r="AX137" s="153">
        <v>740</v>
      </c>
      <c r="AY137" s="153">
        <v>681</v>
      </c>
      <c r="AZ137" s="153">
        <v>699</v>
      </c>
      <c r="BA137" s="153">
        <v>1134</v>
      </c>
      <c r="BB137" s="153">
        <v>879</v>
      </c>
      <c r="BC137" s="153">
        <v>847</v>
      </c>
      <c r="BD137" s="153">
        <v>717</v>
      </c>
      <c r="BE137" s="153">
        <v>675</v>
      </c>
      <c r="BF137" s="153">
        <v>737</v>
      </c>
      <c r="BG137" s="153">
        <v>726</v>
      </c>
      <c r="BH137" s="153">
        <v>700</v>
      </c>
      <c r="BI137" s="153">
        <f t="shared" si="108"/>
        <v>9145</v>
      </c>
      <c r="BJ137" s="154">
        <f t="shared" si="117"/>
        <v>762.08333333333337</v>
      </c>
      <c r="BK137" s="183"/>
      <c r="BL137" s="487">
        <v>798</v>
      </c>
      <c r="BM137" s="153">
        <v>422</v>
      </c>
      <c r="BN137" s="153"/>
      <c r="BO137" s="153"/>
      <c r="BP137" s="153"/>
      <c r="BQ137" s="153"/>
      <c r="BR137" s="153"/>
      <c r="BS137" s="153"/>
      <c r="BT137" s="153"/>
      <c r="BU137" s="153"/>
      <c r="BV137" s="153"/>
      <c r="BW137" s="153"/>
      <c r="BX137" s="153">
        <f t="shared" si="89"/>
        <v>1220</v>
      </c>
      <c r="BY137" s="154">
        <f t="shared" si="96"/>
        <v>610</v>
      </c>
      <c r="CA137" s="169">
        <f>ROW()</f>
        <v>137</v>
      </c>
      <c r="CB137" s="169">
        <f>IFERROR(_xlfn.XLOOKUP($A$1,$2:$2,137:137)-_xlfn.XLOOKUP(EDATE($A$1,-12),$2:$2,137:137),"")</f>
        <v>-318</v>
      </c>
      <c r="CC137" s="169">
        <f t="shared" si="83"/>
        <v>209.91666666666674</v>
      </c>
      <c r="CD137" s="169">
        <f>IFERROR(
  SUM(
    _xlfn.XLOOKUP(DATE(YEAR($A$1),1,1),$2:$2,137:137):
    _xlfn.XLOOKUP($A$1,$2:$2,137:137)
  )
 -SUM(
    _xlfn.XLOOKUP(DATE(YEAR($A$1)-1,1,1),$2:$2,137:137):
    _xlfn.XLOOKUP(EDATE($A$1,-12),$2:$2,137:137)
  ),"")</f>
        <v>-130</v>
      </c>
      <c r="CE137" s="4517">
        <f>IFERROR(
  _xlfn.XLOOKUP($A$1,$B$2:$BY$2,$B137:$BY137)
 -_xlfn.XLOOKUP(EDATE($A$1,-1),$B$2:$BY$2,$B137:$BY137),"")</f>
        <v>-376</v>
      </c>
    </row>
    <row r="138" spans="1:87" x14ac:dyDescent="0.55000000000000004">
      <c r="A138" s="7198"/>
      <c r="B138" s="7207"/>
      <c r="C138" s="68" t="s">
        <v>231</v>
      </c>
      <c r="D138" s="155">
        <v>796</v>
      </c>
      <c r="E138" s="156">
        <v>792</v>
      </c>
      <c r="F138" s="156">
        <v>778</v>
      </c>
      <c r="G138" s="156">
        <v>995</v>
      </c>
      <c r="H138" s="156">
        <v>1179</v>
      </c>
      <c r="I138" s="156">
        <v>1100</v>
      </c>
      <c r="J138" s="156">
        <v>911</v>
      </c>
      <c r="K138" s="156">
        <v>1177</v>
      </c>
      <c r="L138" s="156">
        <v>772</v>
      </c>
      <c r="M138" s="156">
        <v>694</v>
      </c>
      <c r="N138" s="156">
        <v>658</v>
      </c>
      <c r="O138" s="156">
        <v>786</v>
      </c>
      <c r="P138" s="156">
        <f t="shared" si="90"/>
        <v>10638</v>
      </c>
      <c r="Q138" s="157">
        <f t="shared" si="91"/>
        <v>886.5</v>
      </c>
      <c r="R138" s="183"/>
      <c r="S138" s="155">
        <v>736</v>
      </c>
      <c r="T138" s="156">
        <v>1001</v>
      </c>
      <c r="U138" s="156">
        <v>924</v>
      </c>
      <c r="V138" s="156">
        <v>895</v>
      </c>
      <c r="W138" s="156">
        <v>1015</v>
      </c>
      <c r="X138" s="156">
        <v>963</v>
      </c>
      <c r="Y138" s="156">
        <v>891</v>
      </c>
      <c r="Z138" s="156">
        <v>1169</v>
      </c>
      <c r="AA138" s="156">
        <v>881</v>
      </c>
      <c r="AB138" s="156">
        <v>1023</v>
      </c>
      <c r="AC138" s="156">
        <v>794</v>
      </c>
      <c r="AD138" s="156">
        <v>635</v>
      </c>
      <c r="AE138" s="156">
        <f t="shared" si="92"/>
        <v>10927</v>
      </c>
      <c r="AF138" s="157">
        <f t="shared" si="93"/>
        <v>910.58333333333337</v>
      </c>
      <c r="AG138" s="183"/>
      <c r="AH138" s="155">
        <v>1034</v>
      </c>
      <c r="AI138" s="156">
        <v>778</v>
      </c>
      <c r="AJ138" s="156">
        <v>738</v>
      </c>
      <c r="AK138" s="156">
        <v>837</v>
      </c>
      <c r="AL138" s="156">
        <v>804</v>
      </c>
      <c r="AM138" s="156">
        <v>732</v>
      </c>
      <c r="AN138" s="156">
        <v>841</v>
      </c>
      <c r="AO138" s="156">
        <v>580</v>
      </c>
      <c r="AP138" s="156">
        <v>750</v>
      </c>
      <c r="AQ138" s="156">
        <v>910</v>
      </c>
      <c r="AR138" s="156">
        <v>1031</v>
      </c>
      <c r="AS138" s="156">
        <v>857</v>
      </c>
      <c r="AT138" s="156">
        <f t="shared" si="94"/>
        <v>9892</v>
      </c>
      <c r="AU138" s="157">
        <f t="shared" si="95"/>
        <v>824.33333333333337</v>
      </c>
      <c r="AV138" s="183"/>
      <c r="AW138" s="488">
        <v>812</v>
      </c>
      <c r="AX138" s="156">
        <v>1112</v>
      </c>
      <c r="AY138" s="156">
        <v>935</v>
      </c>
      <c r="AZ138" s="156">
        <v>1046</v>
      </c>
      <c r="BA138" s="156">
        <v>1448</v>
      </c>
      <c r="BB138" s="156">
        <v>1159</v>
      </c>
      <c r="BC138" s="156">
        <v>1034</v>
      </c>
      <c r="BD138" s="156">
        <v>795</v>
      </c>
      <c r="BE138" s="156">
        <v>827</v>
      </c>
      <c r="BF138" s="156">
        <v>805</v>
      </c>
      <c r="BG138" s="156">
        <v>887</v>
      </c>
      <c r="BH138" s="156">
        <v>847</v>
      </c>
      <c r="BI138" s="156">
        <f t="shared" si="108"/>
        <v>11707</v>
      </c>
      <c r="BJ138" s="157">
        <f t="shared" si="117"/>
        <v>975.58333333333337</v>
      </c>
      <c r="BK138" s="183"/>
      <c r="BL138" s="488">
        <v>911</v>
      </c>
      <c r="BM138" s="156">
        <v>751</v>
      </c>
      <c r="BN138" s="156"/>
      <c r="BO138" s="156"/>
      <c r="BP138" s="156"/>
      <c r="BQ138" s="156"/>
      <c r="BR138" s="156"/>
      <c r="BS138" s="156"/>
      <c r="BT138" s="156"/>
      <c r="BU138" s="156"/>
      <c r="BV138" s="156"/>
      <c r="BW138" s="156"/>
      <c r="BX138" s="156">
        <f t="shared" si="89"/>
        <v>1662</v>
      </c>
      <c r="BY138" s="157">
        <f t="shared" si="96"/>
        <v>831</v>
      </c>
      <c r="CA138" s="169">
        <f>ROW()</f>
        <v>138</v>
      </c>
      <c r="CB138" s="169">
        <f>IFERROR(_xlfn.XLOOKUP($A$1,$2:$2,138:138)-_xlfn.XLOOKUP(EDATE($A$1,-12),$2:$2,138:138),"")</f>
        <v>-361</v>
      </c>
      <c r="CC138" s="169">
        <f t="shared" si="83"/>
        <v>151.25</v>
      </c>
      <c r="CD138" s="169">
        <f>IFERROR(
  SUM(
    _xlfn.XLOOKUP(DATE(YEAR($A$1),1,1),$2:$2,138:138):
    _xlfn.XLOOKUP($A$1,$2:$2,138:138)
  )
 -SUM(
    _xlfn.XLOOKUP(DATE(YEAR($A$1)-1,1,1),$2:$2,138:138):
    _xlfn.XLOOKUP(EDATE($A$1,-12),$2:$2,138:138)
  ),"")</f>
        <v>-262</v>
      </c>
      <c r="CE138" s="4517">
        <f>IFERROR(
  _xlfn.XLOOKUP($A$1,$B$2:$BY$2,$B138:$BY138)
 -_xlfn.XLOOKUP(EDATE($A$1,-1),$B$2:$BY$2,$B138:$BY138),"")</f>
        <v>-160</v>
      </c>
    </row>
    <row r="139" spans="1:87" ht="18" thickBot="1" x14ac:dyDescent="0.6">
      <c r="A139" s="7199"/>
      <c r="B139" s="7208"/>
      <c r="C139" s="77" t="s">
        <v>232</v>
      </c>
      <c r="D139" s="164">
        <v>889</v>
      </c>
      <c r="E139" s="165">
        <v>874</v>
      </c>
      <c r="F139" s="165">
        <v>789</v>
      </c>
      <c r="G139" s="165">
        <v>963</v>
      </c>
      <c r="H139" s="165">
        <v>1039</v>
      </c>
      <c r="I139" s="165">
        <v>975</v>
      </c>
      <c r="J139" s="165">
        <v>870</v>
      </c>
      <c r="K139" s="165">
        <v>822</v>
      </c>
      <c r="L139" s="165">
        <v>611</v>
      </c>
      <c r="M139" s="165">
        <v>781</v>
      </c>
      <c r="N139" s="165">
        <v>735</v>
      </c>
      <c r="O139" s="165">
        <v>555</v>
      </c>
      <c r="P139" s="165">
        <f t="shared" si="90"/>
        <v>9903</v>
      </c>
      <c r="Q139" s="166">
        <f t="shared" si="91"/>
        <v>825.25</v>
      </c>
      <c r="R139" s="183"/>
      <c r="S139" s="164">
        <v>737</v>
      </c>
      <c r="T139" s="165">
        <v>780</v>
      </c>
      <c r="U139" s="165">
        <v>623</v>
      </c>
      <c r="V139" s="165">
        <v>559</v>
      </c>
      <c r="W139" s="165">
        <v>708</v>
      </c>
      <c r="X139" s="165">
        <v>539</v>
      </c>
      <c r="Y139" s="165">
        <v>551</v>
      </c>
      <c r="Z139" s="165">
        <v>749</v>
      </c>
      <c r="AA139" s="165">
        <v>517</v>
      </c>
      <c r="AB139" s="165">
        <v>579</v>
      </c>
      <c r="AC139" s="165">
        <v>577</v>
      </c>
      <c r="AD139" s="165">
        <v>405</v>
      </c>
      <c r="AE139" s="165">
        <f t="shared" si="92"/>
        <v>7324</v>
      </c>
      <c r="AF139" s="166">
        <f t="shared" si="93"/>
        <v>610.33333333333337</v>
      </c>
      <c r="AG139" s="183"/>
      <c r="AH139" s="164">
        <v>619</v>
      </c>
      <c r="AI139" s="165">
        <v>544</v>
      </c>
      <c r="AJ139" s="165">
        <v>550</v>
      </c>
      <c r="AK139" s="165">
        <v>540</v>
      </c>
      <c r="AL139" s="165">
        <v>478</v>
      </c>
      <c r="AM139" s="165">
        <v>532</v>
      </c>
      <c r="AN139" s="165">
        <v>558</v>
      </c>
      <c r="AO139" s="165">
        <v>484</v>
      </c>
      <c r="AP139" s="165">
        <v>529</v>
      </c>
      <c r="AQ139" s="165">
        <v>639</v>
      </c>
      <c r="AR139" s="165">
        <v>661</v>
      </c>
      <c r="AS139" s="165">
        <v>594</v>
      </c>
      <c r="AT139" s="165">
        <f t="shared" si="94"/>
        <v>6728</v>
      </c>
      <c r="AU139" s="166">
        <f t="shared" si="95"/>
        <v>560.66666666666663</v>
      </c>
      <c r="AV139" s="183"/>
      <c r="AW139" s="490">
        <v>544</v>
      </c>
      <c r="AX139" s="165">
        <v>800</v>
      </c>
      <c r="AY139" s="165">
        <v>657</v>
      </c>
      <c r="AZ139" s="165">
        <v>687</v>
      </c>
      <c r="BA139" s="165">
        <v>783</v>
      </c>
      <c r="BB139" s="165">
        <v>611</v>
      </c>
      <c r="BC139" s="165">
        <v>728</v>
      </c>
      <c r="BD139" s="165">
        <v>562</v>
      </c>
      <c r="BE139" s="165">
        <v>628</v>
      </c>
      <c r="BF139" s="165">
        <v>519</v>
      </c>
      <c r="BG139" s="165">
        <v>523</v>
      </c>
      <c r="BH139" s="165">
        <v>631</v>
      </c>
      <c r="BI139" s="165">
        <f t="shared" si="108"/>
        <v>7673</v>
      </c>
      <c r="BJ139" s="166">
        <f t="shared" si="117"/>
        <v>639.41666666666663</v>
      </c>
      <c r="BK139" s="183"/>
      <c r="BL139" s="490">
        <v>693</v>
      </c>
      <c r="BM139" s="165">
        <v>441</v>
      </c>
      <c r="BN139" s="165"/>
      <c r="BO139" s="165"/>
      <c r="BP139" s="165"/>
      <c r="BQ139" s="165"/>
      <c r="BR139" s="165"/>
      <c r="BS139" s="165"/>
      <c r="BT139" s="165"/>
      <c r="BU139" s="165"/>
      <c r="BV139" s="165"/>
      <c r="BW139" s="165"/>
      <c r="BX139" s="165">
        <f t="shared" si="89"/>
        <v>1134</v>
      </c>
      <c r="BY139" s="166">
        <f t="shared" si="96"/>
        <v>567</v>
      </c>
      <c r="CA139" s="169">
        <f>ROW()</f>
        <v>139</v>
      </c>
      <c r="CB139" s="169">
        <f>IFERROR(_xlfn.XLOOKUP($A$1,$2:$2,139:139)-_xlfn.XLOOKUP(EDATE($A$1,-12),$2:$2,139:139),"")</f>
        <v>-359</v>
      </c>
      <c r="CC139" s="169">
        <f t="shared" si="83"/>
        <v>78.75</v>
      </c>
      <c r="CD139" s="169">
        <f>IFERROR(
  SUM(
    _xlfn.XLOOKUP(DATE(YEAR($A$1),1,1),$2:$2,139:139):
    _xlfn.XLOOKUP($A$1,$2:$2,139:139)
  )
 -SUM(
    _xlfn.XLOOKUP(DATE(YEAR($A$1)-1,1,1),$2:$2,139:139):
    _xlfn.XLOOKUP(EDATE($A$1,-12),$2:$2,139:139)
  ),"")</f>
        <v>-210</v>
      </c>
      <c r="CE139" s="4517">
        <f>IFERROR(
  _xlfn.XLOOKUP($A$1,$B$2:$BY$2,$B139:$BY139)
 -_xlfn.XLOOKUP(EDATE($A$1,-1),$B$2:$BY$2,$B139:$BY139),"")</f>
        <v>-252</v>
      </c>
    </row>
    <row r="140" spans="1:87" ht="17.399999999999999" customHeight="1" x14ac:dyDescent="0.55000000000000004">
      <c r="A140" s="7197" t="s">
        <v>423</v>
      </c>
      <c r="B140" s="14" t="s">
        <v>424</v>
      </c>
      <c r="C140" s="71"/>
      <c r="D140" s="122">
        <f>D141+D142</f>
        <v>8835</v>
      </c>
      <c r="E140" s="123">
        <f t="shared" ref="E140:O140" si="118">E141+E142</f>
        <v>7940</v>
      </c>
      <c r="F140" s="123">
        <f t="shared" si="118"/>
        <v>8642</v>
      </c>
      <c r="G140" s="123">
        <f t="shared" si="118"/>
        <v>9004</v>
      </c>
      <c r="H140" s="123">
        <f t="shared" si="118"/>
        <v>9187</v>
      </c>
      <c r="I140" s="123">
        <f t="shared" si="118"/>
        <v>8604</v>
      </c>
      <c r="J140" s="123">
        <f t="shared" si="118"/>
        <v>7114</v>
      </c>
      <c r="K140" s="123">
        <f t="shared" si="118"/>
        <v>8473</v>
      </c>
      <c r="L140" s="123">
        <f t="shared" si="118"/>
        <v>7793</v>
      </c>
      <c r="M140" s="123">
        <f t="shared" si="118"/>
        <v>9518</v>
      </c>
      <c r="N140" s="123">
        <f t="shared" si="118"/>
        <v>7874</v>
      </c>
      <c r="O140" s="123">
        <f t="shared" si="118"/>
        <v>6548</v>
      </c>
      <c r="P140" s="123">
        <f>SUM(D140:O140)</f>
        <v>99532</v>
      </c>
      <c r="Q140" s="124">
        <f>P140/12</f>
        <v>8294.3333333333339</v>
      </c>
      <c r="R140" s="183"/>
      <c r="S140" s="122">
        <f t="shared" ref="S140:AD140" si="119">S141+S142</f>
        <v>6504</v>
      </c>
      <c r="T140" s="123">
        <f t="shared" si="119"/>
        <v>7852</v>
      </c>
      <c r="U140" s="123">
        <f t="shared" si="119"/>
        <v>7526</v>
      </c>
      <c r="V140" s="123">
        <f t="shared" si="119"/>
        <v>7295</v>
      </c>
      <c r="W140" s="123">
        <f t="shared" si="119"/>
        <v>8110</v>
      </c>
      <c r="X140" s="123">
        <f t="shared" si="119"/>
        <v>7625</v>
      </c>
      <c r="Y140" s="123">
        <f t="shared" si="119"/>
        <v>6435</v>
      </c>
      <c r="Z140" s="123">
        <f t="shared" si="119"/>
        <v>8676</v>
      </c>
      <c r="AA140" s="123">
        <f t="shared" si="119"/>
        <v>6562</v>
      </c>
      <c r="AB140" s="123">
        <f t="shared" si="119"/>
        <v>7068</v>
      </c>
      <c r="AC140" s="123">
        <f t="shared" si="119"/>
        <v>7026</v>
      </c>
      <c r="AD140" s="123">
        <f t="shared" si="119"/>
        <v>5514</v>
      </c>
      <c r="AE140" s="123">
        <f>SUM(S140:AD140)</f>
        <v>86193</v>
      </c>
      <c r="AF140" s="124">
        <f>AE140/12</f>
        <v>7182.75</v>
      </c>
      <c r="AG140" s="183"/>
      <c r="AH140" s="122">
        <v>8034</v>
      </c>
      <c r="AI140" s="123">
        <v>6503</v>
      </c>
      <c r="AJ140" s="123">
        <v>7899</v>
      </c>
      <c r="AK140" s="123">
        <v>7960</v>
      </c>
      <c r="AL140" s="123">
        <v>8817</v>
      </c>
      <c r="AM140" s="123">
        <v>8714</v>
      </c>
      <c r="AN140" s="123">
        <v>9485</v>
      </c>
      <c r="AO140" s="123">
        <v>8409</v>
      </c>
      <c r="AP140" s="123">
        <v>8734</v>
      </c>
      <c r="AQ140" s="123">
        <v>8898</v>
      </c>
      <c r="AR140" s="123">
        <v>8418</v>
      </c>
      <c r="AS140" s="123">
        <v>7890</v>
      </c>
      <c r="AT140" s="123">
        <f>SUM(AH140:AS140)</f>
        <v>99761</v>
      </c>
      <c r="AU140" s="124">
        <f t="shared" si="95"/>
        <v>8313.4166666666661</v>
      </c>
      <c r="AV140" s="183"/>
      <c r="AW140" s="476">
        <v>7148</v>
      </c>
      <c r="AX140" s="123">
        <v>10554</v>
      </c>
      <c r="AY140" s="123">
        <v>9221</v>
      </c>
      <c r="AZ140" s="123">
        <v>10270</v>
      </c>
      <c r="BA140" s="123">
        <f>SUM(BA141:BA142)</f>
        <v>17518</v>
      </c>
      <c r="BB140" s="123">
        <v>12275</v>
      </c>
      <c r="BC140" s="123">
        <v>14241</v>
      </c>
      <c r="BD140" s="123">
        <v>10314</v>
      </c>
      <c r="BE140" s="123">
        <v>10564</v>
      </c>
      <c r="BF140" s="123">
        <v>8702</v>
      </c>
      <c r="BG140" s="123">
        <v>8154</v>
      </c>
      <c r="BH140" s="123">
        <v>7523</v>
      </c>
      <c r="BI140" s="123">
        <f t="shared" si="108"/>
        <v>126484</v>
      </c>
      <c r="BJ140" s="124">
        <f t="shared" si="117"/>
        <v>10540.333333333334</v>
      </c>
      <c r="BK140" s="183"/>
      <c r="BL140" s="476">
        <v>9301</v>
      </c>
      <c r="BM140" s="123">
        <v>7102</v>
      </c>
      <c r="BN140" s="123"/>
      <c r="BO140" s="123"/>
      <c r="BP140" s="123"/>
      <c r="BQ140" s="123"/>
      <c r="BR140" s="123"/>
      <c r="BS140" s="123"/>
      <c r="BT140" s="123"/>
      <c r="BU140" s="123"/>
      <c r="BV140" s="123"/>
      <c r="BW140" s="123"/>
      <c r="BX140" s="123">
        <f t="shared" si="89"/>
        <v>16403</v>
      </c>
      <c r="BY140" s="124">
        <f t="shared" si="96"/>
        <v>8201.5</v>
      </c>
      <c r="BZ140" s="169">
        <v>4295</v>
      </c>
      <c r="CA140" s="169">
        <f>ROW()</f>
        <v>140</v>
      </c>
      <c r="CB140" s="169">
        <f>IFERROR(_xlfn.XLOOKUP($A$1,$2:$2,140:140)-_xlfn.XLOOKUP(EDATE($A$1,-12),$2:$2,140:140),"")</f>
        <v>-3452</v>
      </c>
      <c r="CC140" s="169">
        <f t="shared" si="83"/>
        <v>2226.9166666666679</v>
      </c>
      <c r="CD140" s="169">
        <f>IFERROR(
  SUM(
    _xlfn.XLOOKUP(DATE(YEAR($A$1),1,1),$2:$2,140:140):
    _xlfn.XLOOKUP($A$1,$2:$2,140:140)
  )
 -SUM(
    _xlfn.XLOOKUP(DATE(YEAR($A$1)-1,1,1),$2:$2,140:140):
    _xlfn.XLOOKUP(EDATE($A$1,-12),$2:$2,140:140)
  ),"")</f>
        <v>-1299</v>
      </c>
      <c r="CE140" s="4517">
        <f>IFERROR(
  _xlfn.XLOOKUP($A$1,$B$2:$BY$2,$B140:$BY140)
 -_xlfn.XLOOKUP(EDATE($A$1,-1),$B$2:$BY$2,$B140:$BY140),"")</f>
        <v>-2199</v>
      </c>
    </row>
    <row r="141" spans="1:87" ht="17.399999999999999" customHeight="1" x14ac:dyDescent="0.55000000000000004">
      <c r="A141" s="7198"/>
      <c r="B141" s="15"/>
      <c r="C141" s="78" t="s">
        <v>86</v>
      </c>
      <c r="D141" s="125">
        <v>3459</v>
      </c>
      <c r="E141" s="126">
        <v>3444</v>
      </c>
      <c r="F141" s="126">
        <v>3792</v>
      </c>
      <c r="G141" s="126">
        <v>3944</v>
      </c>
      <c r="H141" s="126">
        <v>4007</v>
      </c>
      <c r="I141" s="126">
        <v>3854</v>
      </c>
      <c r="J141" s="126">
        <v>3318</v>
      </c>
      <c r="K141" s="126">
        <v>3808</v>
      </c>
      <c r="L141" s="126">
        <v>3491</v>
      </c>
      <c r="M141" s="126">
        <v>3945</v>
      </c>
      <c r="N141" s="126">
        <v>3453</v>
      </c>
      <c r="O141" s="126">
        <v>2878</v>
      </c>
      <c r="P141" s="126">
        <f>SUM(D141:O141)</f>
        <v>43393</v>
      </c>
      <c r="Q141" s="127">
        <f t="shared" si="91"/>
        <v>3616.0833333333335</v>
      </c>
      <c r="R141" s="183"/>
      <c r="S141" s="125">
        <v>2954</v>
      </c>
      <c r="T141" s="126">
        <v>3612</v>
      </c>
      <c r="U141" s="126">
        <v>3606</v>
      </c>
      <c r="V141" s="126">
        <v>3357</v>
      </c>
      <c r="W141" s="126">
        <v>3570</v>
      </c>
      <c r="X141" s="126">
        <v>3411</v>
      </c>
      <c r="Y141" s="126">
        <v>2964</v>
      </c>
      <c r="Z141" s="126">
        <v>3917</v>
      </c>
      <c r="AA141" s="126">
        <v>3062</v>
      </c>
      <c r="AB141" s="126">
        <v>3218</v>
      </c>
      <c r="AC141" s="126">
        <v>3120</v>
      </c>
      <c r="AD141" s="126">
        <v>2566</v>
      </c>
      <c r="AE141" s="126">
        <f t="shared" ref="AE141:AE183" si="120">SUM(S141:AD141)</f>
        <v>39357</v>
      </c>
      <c r="AF141" s="127">
        <f t="shared" ref="AF141:AF183" si="121">AE141/12</f>
        <v>3279.75</v>
      </c>
      <c r="AG141" s="183"/>
      <c r="AH141" s="125">
        <v>3853</v>
      </c>
      <c r="AI141" s="126">
        <v>3103</v>
      </c>
      <c r="AJ141" s="126">
        <v>3794</v>
      </c>
      <c r="AK141" s="126">
        <v>3703</v>
      </c>
      <c r="AL141" s="126">
        <v>4011</v>
      </c>
      <c r="AM141" s="126">
        <v>3938</v>
      </c>
      <c r="AN141" s="126">
        <v>4325</v>
      </c>
      <c r="AO141" s="126">
        <v>3793.9999999999995</v>
      </c>
      <c r="AP141" s="126">
        <v>4097</v>
      </c>
      <c r="AQ141" s="126">
        <v>4126</v>
      </c>
      <c r="AR141" s="126">
        <v>3849</v>
      </c>
      <c r="AS141" s="126">
        <v>3635</v>
      </c>
      <c r="AT141" s="126">
        <f>SUM(AH141:AS141)</f>
        <v>46228</v>
      </c>
      <c r="AU141" s="127">
        <f t="shared" si="95"/>
        <v>3852.3333333333335</v>
      </c>
      <c r="AV141" s="183"/>
      <c r="AW141" s="477">
        <v>3381</v>
      </c>
      <c r="AX141" s="126">
        <v>4834</v>
      </c>
      <c r="AY141" s="126">
        <v>4355</v>
      </c>
      <c r="AZ141" s="126">
        <v>4818</v>
      </c>
      <c r="BA141" s="126">
        <v>8532</v>
      </c>
      <c r="BB141" s="126">
        <v>5781</v>
      </c>
      <c r="BC141" s="126">
        <v>6665</v>
      </c>
      <c r="BD141" s="126">
        <v>4492</v>
      </c>
      <c r="BE141" s="126">
        <v>4825</v>
      </c>
      <c r="BF141" s="126">
        <v>3747</v>
      </c>
      <c r="BG141" s="126">
        <v>3673</v>
      </c>
      <c r="BH141" s="126">
        <v>3502</v>
      </c>
      <c r="BI141" s="126">
        <f t="shared" si="108"/>
        <v>58605</v>
      </c>
      <c r="BJ141" s="127">
        <f t="shared" si="117"/>
        <v>4883.75</v>
      </c>
      <c r="BK141" s="183"/>
      <c r="BL141" s="477">
        <v>4141</v>
      </c>
      <c r="BM141" s="126">
        <v>3011</v>
      </c>
      <c r="BN141" s="126"/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>
        <f t="shared" si="89"/>
        <v>7152</v>
      </c>
      <c r="BY141" s="127">
        <f t="shared" si="96"/>
        <v>3576</v>
      </c>
      <c r="CA141" s="169">
        <f>ROW()</f>
        <v>141</v>
      </c>
      <c r="CB141" s="169">
        <f>IFERROR(_xlfn.XLOOKUP($A$1,$2:$2,141:141)-_xlfn.XLOOKUP(EDATE($A$1,-12),$2:$2,141:141),"")</f>
        <v>-1823</v>
      </c>
      <c r="CC141" s="169">
        <f t="shared" si="83"/>
        <v>1031.4166666666665</v>
      </c>
      <c r="CD141" s="169">
        <f>IFERROR(
  SUM(
    _xlfn.XLOOKUP(DATE(YEAR($A$1),1,1),$2:$2,141:141):
    _xlfn.XLOOKUP($A$1,$2:$2,141:141)
  )
 -SUM(
    _xlfn.XLOOKUP(DATE(YEAR($A$1)-1,1,1),$2:$2,141:141):
    _xlfn.XLOOKUP(EDATE($A$1,-12),$2:$2,141:141)
  ),"")</f>
        <v>-1063</v>
      </c>
      <c r="CE141" s="4517">
        <f>IFERROR(
  _xlfn.XLOOKUP($A$1,$B$2:$BY$2,$B141:$BY141)
 -_xlfn.XLOOKUP(EDATE($A$1,-1),$B$2:$BY$2,$B141:$BY141),"")</f>
        <v>-1130</v>
      </c>
    </row>
    <row r="142" spans="1:87" ht="17.399999999999999" customHeight="1" x14ac:dyDescent="0.55000000000000004">
      <c r="A142" s="7198"/>
      <c r="B142" s="15"/>
      <c r="C142" s="79" t="s">
        <v>87</v>
      </c>
      <c r="D142" s="125">
        <v>5376</v>
      </c>
      <c r="E142" s="126">
        <v>4496</v>
      </c>
      <c r="F142" s="126">
        <v>4850</v>
      </c>
      <c r="G142" s="126">
        <v>5060</v>
      </c>
      <c r="H142" s="126">
        <v>5180</v>
      </c>
      <c r="I142" s="126">
        <v>4750</v>
      </c>
      <c r="J142" s="126">
        <v>3796</v>
      </c>
      <c r="K142" s="126">
        <v>4665</v>
      </c>
      <c r="L142" s="126">
        <v>4302</v>
      </c>
      <c r="M142" s="126">
        <v>5573</v>
      </c>
      <c r="N142" s="126">
        <v>4421</v>
      </c>
      <c r="O142" s="126">
        <v>3670</v>
      </c>
      <c r="P142" s="126">
        <f>SUM(D142:O142)</f>
        <v>56139</v>
      </c>
      <c r="Q142" s="127">
        <f t="shared" si="91"/>
        <v>4678.25</v>
      </c>
      <c r="R142" s="183"/>
      <c r="S142" s="125">
        <v>3550</v>
      </c>
      <c r="T142" s="126">
        <v>4240</v>
      </c>
      <c r="U142" s="126">
        <v>3920</v>
      </c>
      <c r="V142" s="126">
        <v>3938</v>
      </c>
      <c r="W142" s="126">
        <v>4540</v>
      </c>
      <c r="X142" s="126">
        <v>4214</v>
      </c>
      <c r="Y142" s="126">
        <v>3471</v>
      </c>
      <c r="Z142" s="126">
        <v>4759</v>
      </c>
      <c r="AA142" s="126">
        <v>3500</v>
      </c>
      <c r="AB142" s="126">
        <v>3850</v>
      </c>
      <c r="AC142" s="126">
        <v>3906</v>
      </c>
      <c r="AD142" s="126">
        <v>2948</v>
      </c>
      <c r="AE142" s="126">
        <f t="shared" si="120"/>
        <v>46836</v>
      </c>
      <c r="AF142" s="127">
        <f t="shared" si="121"/>
        <v>3903</v>
      </c>
      <c r="AG142" s="183"/>
      <c r="AH142" s="125">
        <v>4181</v>
      </c>
      <c r="AI142" s="126">
        <v>3400</v>
      </c>
      <c r="AJ142" s="126">
        <v>4105</v>
      </c>
      <c r="AK142" s="126">
        <v>4257</v>
      </c>
      <c r="AL142" s="126">
        <v>4806</v>
      </c>
      <c r="AM142" s="126">
        <v>4776</v>
      </c>
      <c r="AN142" s="126">
        <v>5160</v>
      </c>
      <c r="AO142" s="126">
        <v>4615</v>
      </c>
      <c r="AP142" s="126">
        <v>4637</v>
      </c>
      <c r="AQ142" s="126">
        <v>4772</v>
      </c>
      <c r="AR142" s="126">
        <v>4569</v>
      </c>
      <c r="AS142" s="126">
        <v>4255</v>
      </c>
      <c r="AT142" s="126">
        <f>SUM(AH142:AS142)</f>
        <v>53533</v>
      </c>
      <c r="AU142" s="127">
        <f t="shared" si="95"/>
        <v>4461.083333333333</v>
      </c>
      <c r="AV142" s="183"/>
      <c r="AW142" s="477">
        <v>3767</v>
      </c>
      <c r="AX142" s="126">
        <v>5720</v>
      </c>
      <c r="AY142" s="126">
        <v>4866</v>
      </c>
      <c r="AZ142" s="126">
        <v>5452</v>
      </c>
      <c r="BA142" s="126">
        <v>8986</v>
      </c>
      <c r="BB142" s="126">
        <v>6494</v>
      </c>
      <c r="BC142" s="126">
        <v>7576</v>
      </c>
      <c r="BD142" s="126">
        <v>5822</v>
      </c>
      <c r="BE142" s="126">
        <v>5739</v>
      </c>
      <c r="BF142" s="126">
        <v>4955</v>
      </c>
      <c r="BG142" s="126">
        <v>4481</v>
      </c>
      <c r="BH142" s="126">
        <v>4021</v>
      </c>
      <c r="BI142" s="126">
        <f t="shared" si="108"/>
        <v>67879</v>
      </c>
      <c r="BJ142" s="127">
        <f t="shared" si="117"/>
        <v>5656.583333333333</v>
      </c>
      <c r="BK142" s="183"/>
      <c r="BL142" s="477">
        <v>5160</v>
      </c>
      <c r="BM142" s="126">
        <v>4091</v>
      </c>
      <c r="BN142" s="126"/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26">
        <f t="shared" si="89"/>
        <v>9251</v>
      </c>
      <c r="BY142" s="127">
        <f t="shared" si="96"/>
        <v>4625.5</v>
      </c>
      <c r="CA142" s="169">
        <f>ROW()</f>
        <v>142</v>
      </c>
      <c r="CB142" s="169">
        <f>IFERROR(_xlfn.XLOOKUP($A$1,$2:$2,142:142)-_xlfn.XLOOKUP(EDATE($A$1,-12),$2:$2,142:142),"")</f>
        <v>-1629</v>
      </c>
      <c r="CC142" s="169">
        <f t="shared" si="83"/>
        <v>1195.5</v>
      </c>
      <c r="CD142" s="169">
        <f>IFERROR(
  SUM(
    _xlfn.XLOOKUP(DATE(YEAR($A$1),1,1),$2:$2,142:142):
    _xlfn.XLOOKUP($A$1,$2:$2,142:142)
  )
 -SUM(
    _xlfn.XLOOKUP(DATE(YEAR($A$1)-1,1,1),$2:$2,142:142):
    _xlfn.XLOOKUP(EDATE($A$1,-12),$2:$2,142:142)
  ),"")</f>
        <v>-236</v>
      </c>
      <c r="CE142" s="4517">
        <f>IFERROR(
  _xlfn.XLOOKUP($A$1,$B$2:$BY$2,$B142:$BY142)
 -_xlfn.XLOOKUP(EDATE($A$1,-1),$B$2:$BY$2,$B142:$BY142),"")</f>
        <v>-1069</v>
      </c>
    </row>
    <row r="143" spans="1:87" ht="17.399999999999999" customHeight="1" x14ac:dyDescent="0.55000000000000004">
      <c r="A143" s="7198"/>
      <c r="B143" s="15"/>
      <c r="C143" s="240" t="s">
        <v>1174</v>
      </c>
      <c r="D143" s="174">
        <v>5238</v>
      </c>
      <c r="E143" s="175">
        <v>4389</v>
      </c>
      <c r="F143" s="175">
        <v>4719</v>
      </c>
      <c r="G143" s="175">
        <v>4901</v>
      </c>
      <c r="H143" s="175">
        <v>4929</v>
      </c>
      <c r="I143" s="175">
        <v>4537</v>
      </c>
      <c r="J143" s="175">
        <v>3544</v>
      </c>
      <c r="K143" s="175">
        <v>4229</v>
      </c>
      <c r="L143" s="175">
        <v>3616</v>
      </c>
      <c r="M143" s="175">
        <v>3771</v>
      </c>
      <c r="N143" s="175">
        <v>3650</v>
      </c>
      <c r="O143" s="175">
        <v>3088</v>
      </c>
      <c r="P143" s="175">
        <f t="shared" ref="P143:P183" si="122">SUM(D143:O143)</f>
        <v>50611</v>
      </c>
      <c r="Q143" s="176">
        <f t="shared" si="91"/>
        <v>4217.583333333333</v>
      </c>
      <c r="R143" s="175"/>
      <c r="S143" s="174">
        <v>3238</v>
      </c>
      <c r="T143" s="175">
        <v>3753</v>
      </c>
      <c r="U143" s="175">
        <v>3388</v>
      </c>
      <c r="V143" s="175">
        <v>3435</v>
      </c>
      <c r="W143" s="175">
        <v>3610</v>
      </c>
      <c r="X143" s="175">
        <v>3349</v>
      </c>
      <c r="Y143" s="175">
        <v>2896</v>
      </c>
      <c r="Z143" s="175">
        <v>3956</v>
      </c>
      <c r="AA143" s="175">
        <v>2952</v>
      </c>
      <c r="AB143" s="175">
        <v>3508</v>
      </c>
      <c r="AC143" s="175">
        <v>3471</v>
      </c>
      <c r="AD143" s="175">
        <v>2405</v>
      </c>
      <c r="AE143" s="175">
        <f t="shared" si="120"/>
        <v>39961</v>
      </c>
      <c r="AF143" s="176">
        <f t="shared" si="121"/>
        <v>3330.0833333333335</v>
      </c>
      <c r="AG143" s="175"/>
      <c r="AH143" s="174">
        <v>3807</v>
      </c>
      <c r="AI143" s="175">
        <v>3148</v>
      </c>
      <c r="AJ143" s="175">
        <v>3730</v>
      </c>
      <c r="AK143" s="175">
        <v>3742</v>
      </c>
      <c r="AL143" s="175">
        <v>4228</v>
      </c>
      <c r="AM143" s="175">
        <v>3879</v>
      </c>
      <c r="AN143" s="175">
        <v>4460</v>
      </c>
      <c r="AO143" s="175">
        <v>4262</v>
      </c>
      <c r="AP143" s="175">
        <v>4052.9999999999995</v>
      </c>
      <c r="AQ143" s="175">
        <v>4359</v>
      </c>
      <c r="AR143" s="175">
        <v>4362</v>
      </c>
      <c r="AS143" s="175">
        <v>3856.0000000000005</v>
      </c>
      <c r="AT143" s="175">
        <f t="shared" ref="AT143:AT183" si="123">SUM(AH143:AS143)</f>
        <v>47886</v>
      </c>
      <c r="AU143" s="176">
        <f t="shared" si="95"/>
        <v>3990.5</v>
      </c>
      <c r="AV143" s="175"/>
      <c r="AW143" s="493">
        <v>3460</v>
      </c>
      <c r="AX143" s="175">
        <v>5357</v>
      </c>
      <c r="AY143" s="175">
        <v>4534</v>
      </c>
      <c r="AZ143" s="175">
        <v>5003</v>
      </c>
      <c r="BA143" s="175">
        <v>8818</v>
      </c>
      <c r="BB143" s="175">
        <v>5900</v>
      </c>
      <c r="BC143" s="175">
        <v>6867</v>
      </c>
      <c r="BD143" s="175">
        <v>4725</v>
      </c>
      <c r="BE143" s="175">
        <v>4742</v>
      </c>
      <c r="BF143" s="175">
        <v>3798</v>
      </c>
      <c r="BG143" s="175">
        <v>3801</v>
      </c>
      <c r="BH143" s="175">
        <v>3644</v>
      </c>
      <c r="BI143" s="175">
        <f t="shared" si="108"/>
        <v>60649</v>
      </c>
      <c r="BJ143" s="176">
        <f t="shared" si="117"/>
        <v>5054.083333333333</v>
      </c>
      <c r="BK143" s="175"/>
      <c r="BL143" s="493">
        <v>4523</v>
      </c>
      <c r="BM143" s="175">
        <v>3218</v>
      </c>
      <c r="BN143" s="175"/>
      <c r="BO143" s="175"/>
      <c r="BP143" s="175"/>
      <c r="BQ143" s="175"/>
      <c r="BR143" s="175"/>
      <c r="BS143" s="175"/>
      <c r="BT143" s="175"/>
      <c r="BU143" s="175"/>
      <c r="BV143" s="175"/>
      <c r="BW143" s="175"/>
      <c r="BX143" s="175">
        <f t="shared" si="89"/>
        <v>7741</v>
      </c>
      <c r="BY143" s="176">
        <f t="shared" si="96"/>
        <v>3870.5</v>
      </c>
      <c r="CA143" s="169">
        <f>ROW()</f>
        <v>143</v>
      </c>
      <c r="CB143" s="169">
        <f>IFERROR(_xlfn.XLOOKUP($A$1,$2:$2,143:143)-_xlfn.XLOOKUP(EDATE($A$1,-12),$2:$2,143:143),"")</f>
        <v>-2139</v>
      </c>
      <c r="CC143" s="169">
        <f t="shared" si="83"/>
        <v>1063.583333333333</v>
      </c>
      <c r="CD143" s="169">
        <f>IFERROR(
  SUM(
    _xlfn.XLOOKUP(DATE(YEAR($A$1),1,1),$2:$2,143:143):
    _xlfn.XLOOKUP($A$1,$2:$2,143:143)
  )
 -SUM(
    _xlfn.XLOOKUP(DATE(YEAR($A$1)-1,1,1),$2:$2,143:143):
    _xlfn.XLOOKUP(EDATE($A$1,-12),$2:$2,143:143)
  ),"")</f>
        <v>-1076</v>
      </c>
      <c r="CE143" s="4517">
        <f>IFERROR(
  _xlfn.XLOOKUP($A$1,$B$2:$BY$2,$B143:$BY143)
 -_xlfn.XLOOKUP(EDATE($A$1,-1),$B$2:$BY$2,$B143:$BY143),"")</f>
        <v>-1305</v>
      </c>
    </row>
    <row r="144" spans="1:87" s="55" customFormat="1" ht="17.399999999999999" customHeight="1" x14ac:dyDescent="0.55000000000000004">
      <c r="A144" s="7198"/>
      <c r="B144" s="213"/>
      <c r="C144" s="241" t="s">
        <v>428</v>
      </c>
      <c r="D144" s="242">
        <v>2766</v>
      </c>
      <c r="E144" s="243">
        <v>2714</v>
      </c>
      <c r="F144" s="243">
        <v>2827</v>
      </c>
      <c r="G144" s="243">
        <v>3055</v>
      </c>
      <c r="H144" s="243">
        <v>3244</v>
      </c>
      <c r="I144" s="243">
        <v>3130</v>
      </c>
      <c r="J144" s="243">
        <v>2572</v>
      </c>
      <c r="K144" s="243">
        <v>3102</v>
      </c>
      <c r="L144" s="243">
        <v>2617</v>
      </c>
      <c r="M144" s="243">
        <v>2979</v>
      </c>
      <c r="N144" s="243">
        <v>2686</v>
      </c>
      <c r="O144" s="243">
        <v>2185</v>
      </c>
      <c r="P144" s="243">
        <f t="shared" si="122"/>
        <v>33877</v>
      </c>
      <c r="Q144" s="244">
        <f t="shared" si="91"/>
        <v>2823.0833333333335</v>
      </c>
      <c r="R144" s="243"/>
      <c r="S144" s="242">
        <v>2571</v>
      </c>
      <c r="T144" s="243">
        <v>3047</v>
      </c>
      <c r="U144" s="243">
        <v>2781</v>
      </c>
      <c r="V144" s="243">
        <v>2728</v>
      </c>
      <c r="W144" s="243">
        <v>2895</v>
      </c>
      <c r="X144" s="243">
        <v>2708</v>
      </c>
      <c r="Y144" s="243">
        <v>2321</v>
      </c>
      <c r="Z144" s="243">
        <v>3172</v>
      </c>
      <c r="AA144" s="243">
        <v>2222</v>
      </c>
      <c r="AB144" s="243">
        <v>2965</v>
      </c>
      <c r="AC144" s="243">
        <v>2544</v>
      </c>
      <c r="AD144" s="243">
        <v>1956</v>
      </c>
      <c r="AE144" s="243">
        <f t="shared" si="120"/>
        <v>31910</v>
      </c>
      <c r="AF144" s="244">
        <f t="shared" si="121"/>
        <v>2659.1666666666665</v>
      </c>
      <c r="AG144" s="243"/>
      <c r="AH144" s="242">
        <v>2927</v>
      </c>
      <c r="AI144" s="243">
        <v>2307</v>
      </c>
      <c r="AJ144" s="243">
        <v>2847</v>
      </c>
      <c r="AK144" s="243">
        <v>2865</v>
      </c>
      <c r="AL144" s="243">
        <v>3145</v>
      </c>
      <c r="AM144" s="243">
        <v>2960</v>
      </c>
      <c r="AN144" s="243">
        <v>3488</v>
      </c>
      <c r="AO144" s="243">
        <v>3390</v>
      </c>
      <c r="AP144" s="243">
        <v>3291</v>
      </c>
      <c r="AQ144" s="243">
        <v>3395</v>
      </c>
      <c r="AR144" s="243">
        <v>3337</v>
      </c>
      <c r="AS144" s="243">
        <v>3027.0000000000005</v>
      </c>
      <c r="AT144" s="243">
        <f t="shared" si="123"/>
        <v>36979</v>
      </c>
      <c r="AU144" s="244">
        <f t="shared" si="95"/>
        <v>3081.5833333333335</v>
      </c>
      <c r="AV144" s="243"/>
      <c r="AW144" s="487">
        <v>2800</v>
      </c>
      <c r="AX144" s="243">
        <v>4207</v>
      </c>
      <c r="AY144" s="243">
        <f>AY143-AY145</f>
        <v>3498</v>
      </c>
      <c r="AZ144" s="243">
        <v>3916</v>
      </c>
      <c r="BA144" s="243">
        <f>BA143-BA145</f>
        <v>7296</v>
      </c>
      <c r="BB144" s="243">
        <f>BB143-BB145</f>
        <v>4820</v>
      </c>
      <c r="BC144" s="243">
        <v>5674</v>
      </c>
      <c r="BD144" s="243">
        <v>3600</v>
      </c>
      <c r="BE144" s="243">
        <v>3867</v>
      </c>
      <c r="BF144" s="243">
        <v>3025</v>
      </c>
      <c r="BG144" s="243">
        <v>2945</v>
      </c>
      <c r="BH144" s="243">
        <v>2855</v>
      </c>
      <c r="BI144" s="243">
        <f t="shared" si="108"/>
        <v>48503</v>
      </c>
      <c r="BJ144" s="244">
        <f t="shared" si="117"/>
        <v>4041.9166666666665</v>
      </c>
      <c r="BK144" s="243"/>
      <c r="BL144" s="487">
        <v>3390</v>
      </c>
      <c r="BM144" s="243">
        <f t="shared" ref="BM144" si="124">BM143-BM145</f>
        <v>2357</v>
      </c>
      <c r="BN144" s="243"/>
      <c r="BO144" s="243"/>
      <c r="BP144" s="243"/>
      <c r="BQ144" s="243"/>
      <c r="BR144" s="243"/>
      <c r="BS144" s="243"/>
      <c r="BT144" s="243"/>
      <c r="BU144" s="243"/>
      <c r="BV144" s="243"/>
      <c r="BW144" s="243"/>
      <c r="BX144" s="243">
        <f t="shared" si="89"/>
        <v>5747</v>
      </c>
      <c r="BY144" s="244">
        <f t="shared" si="96"/>
        <v>2873.5</v>
      </c>
      <c r="CA144" s="169">
        <f>ROW()</f>
        <v>144</v>
      </c>
      <c r="CB144" s="169">
        <f>IFERROR(_xlfn.XLOOKUP($A$1,$2:$2,144:144)-_xlfn.XLOOKUP(EDATE($A$1,-12),$2:$2,144:144),"")</f>
        <v>-1850</v>
      </c>
      <c r="CC144" s="169">
        <f t="shared" si="83"/>
        <v>960.33333333333303</v>
      </c>
      <c r="CD144" s="169">
        <f>IFERROR(
  SUM(
    _xlfn.XLOOKUP(DATE(YEAR($A$1),1,1),$2:$2,144:144):
    _xlfn.XLOOKUP($A$1,$2:$2,144:144)
  )
 -SUM(
    _xlfn.XLOOKUP(DATE(YEAR($A$1)-1,1,1),$2:$2,144:144):
    _xlfn.XLOOKUP(EDATE($A$1,-12),$2:$2,144:144)
  ),"")</f>
        <v>-1260</v>
      </c>
      <c r="CE144" s="4517">
        <f>IFERROR(
  _xlfn.XLOOKUP($A$1,$B$2:$BY$2,$B144:$BY144)
 -_xlfn.XLOOKUP(EDATE($A$1,-1),$B$2:$BY$2,$B144:$BY144),"")</f>
        <v>-1033</v>
      </c>
      <c r="CG144"/>
      <c r="CH144"/>
    </row>
    <row r="145" spans="1:86" s="55" customFormat="1" ht="17.399999999999999" customHeight="1" x14ac:dyDescent="0.55000000000000004">
      <c r="A145" s="7198"/>
      <c r="B145" s="213"/>
      <c r="C145" s="241" t="s">
        <v>429</v>
      </c>
      <c r="D145" s="242">
        <v>2472</v>
      </c>
      <c r="E145" s="243">
        <v>1675</v>
      </c>
      <c r="F145" s="243">
        <v>1892</v>
      </c>
      <c r="G145" s="243">
        <v>1846</v>
      </c>
      <c r="H145" s="243">
        <v>1685</v>
      </c>
      <c r="I145" s="243">
        <v>1407</v>
      </c>
      <c r="J145" s="243">
        <v>972</v>
      </c>
      <c r="K145" s="243">
        <v>1127</v>
      </c>
      <c r="L145" s="243">
        <v>999</v>
      </c>
      <c r="M145" s="243">
        <v>792</v>
      </c>
      <c r="N145" s="243">
        <v>964</v>
      </c>
      <c r="O145" s="243">
        <v>903</v>
      </c>
      <c r="P145" s="243">
        <f t="shared" si="122"/>
        <v>16734</v>
      </c>
      <c r="Q145" s="244">
        <f t="shared" si="91"/>
        <v>1394.5</v>
      </c>
      <c r="R145" s="243"/>
      <c r="S145" s="242">
        <v>856</v>
      </c>
      <c r="T145" s="243">
        <v>930</v>
      </c>
      <c r="U145" s="243">
        <v>804</v>
      </c>
      <c r="V145" s="243">
        <v>867</v>
      </c>
      <c r="W145" s="243">
        <v>874</v>
      </c>
      <c r="X145" s="243">
        <v>806</v>
      </c>
      <c r="Y145" s="243">
        <v>703</v>
      </c>
      <c r="Z145" s="243">
        <v>953</v>
      </c>
      <c r="AA145" s="243">
        <v>1084</v>
      </c>
      <c r="AB145" s="243">
        <v>1316</v>
      </c>
      <c r="AC145" s="243">
        <v>1426</v>
      </c>
      <c r="AD145" s="243">
        <v>592</v>
      </c>
      <c r="AE145" s="243">
        <f t="shared" si="120"/>
        <v>11211</v>
      </c>
      <c r="AF145" s="244">
        <f t="shared" si="121"/>
        <v>934.25</v>
      </c>
      <c r="AG145" s="243"/>
      <c r="AH145" s="242">
        <v>880</v>
      </c>
      <c r="AI145" s="243">
        <v>841</v>
      </c>
      <c r="AJ145" s="243">
        <v>883</v>
      </c>
      <c r="AK145" s="243">
        <v>877</v>
      </c>
      <c r="AL145" s="243">
        <v>1083</v>
      </c>
      <c r="AM145" s="243">
        <v>919</v>
      </c>
      <c r="AN145" s="243">
        <v>972</v>
      </c>
      <c r="AO145" s="243">
        <v>872</v>
      </c>
      <c r="AP145" s="243">
        <v>762</v>
      </c>
      <c r="AQ145" s="243">
        <v>964</v>
      </c>
      <c r="AR145" s="243">
        <v>1025</v>
      </c>
      <c r="AS145" s="243">
        <v>829</v>
      </c>
      <c r="AT145" s="243">
        <f t="shared" si="123"/>
        <v>10907</v>
      </c>
      <c r="AU145" s="244">
        <f t="shared" si="95"/>
        <v>908.91666666666663</v>
      </c>
      <c r="AV145" s="243"/>
      <c r="AW145" s="487">
        <v>660</v>
      </c>
      <c r="AX145" s="243">
        <v>1150</v>
      </c>
      <c r="AY145" s="243">
        <v>1036</v>
      </c>
      <c r="AZ145" s="243">
        <v>1087</v>
      </c>
      <c r="BA145" s="243">
        <v>1522</v>
      </c>
      <c r="BB145" s="243">
        <v>1080</v>
      </c>
      <c r="BC145" s="243">
        <v>1193</v>
      </c>
      <c r="BD145" s="243">
        <v>1125</v>
      </c>
      <c r="BE145" s="243">
        <v>875</v>
      </c>
      <c r="BF145" s="243">
        <v>773</v>
      </c>
      <c r="BG145" s="243">
        <v>856</v>
      </c>
      <c r="BH145" s="243">
        <v>789</v>
      </c>
      <c r="BI145" s="243">
        <f t="shared" si="108"/>
        <v>12146</v>
      </c>
      <c r="BJ145" s="244">
        <f t="shared" si="117"/>
        <v>1012.1666666666666</v>
      </c>
      <c r="BK145" s="243"/>
      <c r="BL145" s="487">
        <v>1133</v>
      </c>
      <c r="BM145" s="243">
        <v>861</v>
      </c>
      <c r="BN145" s="243"/>
      <c r="BO145" s="243"/>
      <c r="BP145" s="243"/>
      <c r="BQ145" s="243"/>
      <c r="BR145" s="243"/>
      <c r="BS145" s="243"/>
      <c r="BT145" s="243"/>
      <c r="BU145" s="243"/>
      <c r="BV145" s="243"/>
      <c r="BW145" s="243"/>
      <c r="BX145" s="243">
        <f t="shared" si="89"/>
        <v>1994</v>
      </c>
      <c r="BY145" s="244">
        <f t="shared" si="96"/>
        <v>997</v>
      </c>
      <c r="CA145" s="169">
        <f>ROW()</f>
        <v>145</v>
      </c>
      <c r="CB145" s="169">
        <f>IFERROR(_xlfn.XLOOKUP($A$1,$2:$2,145:145)-_xlfn.XLOOKUP(EDATE($A$1,-12),$2:$2,145:145),"")</f>
        <v>-289</v>
      </c>
      <c r="CC145" s="169">
        <f t="shared" si="83"/>
        <v>103.25</v>
      </c>
      <c r="CD145" s="169">
        <f>IFERROR(
  SUM(
    _xlfn.XLOOKUP(DATE(YEAR($A$1),1,1),$2:$2,145:145):
    _xlfn.XLOOKUP($A$1,$2:$2,145:145)
  )
 -SUM(
    _xlfn.XLOOKUP(DATE(YEAR($A$1)-1,1,1),$2:$2,145:145):
    _xlfn.XLOOKUP(EDATE($A$1,-12),$2:$2,145:145)
  ),"")</f>
        <v>184</v>
      </c>
      <c r="CE145" s="4517">
        <f>IFERROR(
  _xlfn.XLOOKUP($A$1,$B$2:$BY$2,$B145:$BY145)
 -_xlfn.XLOOKUP(EDATE($A$1,-1),$B$2:$BY$2,$B145:$BY145),"")</f>
        <v>-272</v>
      </c>
      <c r="CG145"/>
      <c r="CH145"/>
    </row>
    <row r="146" spans="1:86" ht="17.399999999999999" customHeight="1" x14ac:dyDescent="0.55000000000000004">
      <c r="A146" s="7198"/>
      <c r="B146" s="15"/>
      <c r="C146" s="240" t="s">
        <v>430</v>
      </c>
      <c r="D146" s="174">
        <v>138</v>
      </c>
      <c r="E146" s="175">
        <v>107</v>
      </c>
      <c r="F146" s="175">
        <v>131</v>
      </c>
      <c r="G146" s="175">
        <v>159</v>
      </c>
      <c r="H146" s="175">
        <v>251</v>
      </c>
      <c r="I146" s="175">
        <v>213</v>
      </c>
      <c r="J146" s="175">
        <v>252</v>
      </c>
      <c r="K146" s="175">
        <v>436</v>
      </c>
      <c r="L146" s="175">
        <v>686</v>
      </c>
      <c r="M146" s="175">
        <v>1802</v>
      </c>
      <c r="N146" s="175">
        <v>771</v>
      </c>
      <c r="O146" s="175">
        <v>582</v>
      </c>
      <c r="P146" s="175">
        <f t="shared" si="122"/>
        <v>5528</v>
      </c>
      <c r="Q146" s="176">
        <f t="shared" si="91"/>
        <v>460.66666666666669</v>
      </c>
      <c r="R146" s="175"/>
      <c r="S146" s="174">
        <v>312</v>
      </c>
      <c r="T146" s="175">
        <v>487</v>
      </c>
      <c r="U146" s="175">
        <v>532</v>
      </c>
      <c r="V146" s="175">
        <v>503</v>
      </c>
      <c r="W146" s="175">
        <v>930</v>
      </c>
      <c r="X146" s="175">
        <v>864</v>
      </c>
      <c r="Y146" s="175">
        <v>575</v>
      </c>
      <c r="Z146" s="175">
        <v>803</v>
      </c>
      <c r="AA146" s="175">
        <v>548</v>
      </c>
      <c r="AB146" s="175">
        <v>342</v>
      </c>
      <c r="AC146" s="175">
        <v>435</v>
      </c>
      <c r="AD146" s="175">
        <v>543</v>
      </c>
      <c r="AE146" s="175">
        <f t="shared" si="120"/>
        <v>6874</v>
      </c>
      <c r="AF146" s="176">
        <f t="shared" si="121"/>
        <v>572.83333333333337</v>
      </c>
      <c r="AG146" s="175"/>
      <c r="AH146" s="174">
        <v>374</v>
      </c>
      <c r="AI146" s="175">
        <v>252</v>
      </c>
      <c r="AJ146" s="175">
        <v>375</v>
      </c>
      <c r="AK146" s="175">
        <v>515</v>
      </c>
      <c r="AL146" s="175">
        <v>573</v>
      </c>
      <c r="AM146" s="175">
        <v>897.00000000000011</v>
      </c>
      <c r="AN146" s="175">
        <v>700</v>
      </c>
      <c r="AO146" s="175">
        <v>354</v>
      </c>
      <c r="AP146" s="175">
        <v>885</v>
      </c>
      <c r="AQ146" s="175">
        <v>417</v>
      </c>
      <c r="AR146" s="175">
        <v>207</v>
      </c>
      <c r="AS146" s="175">
        <v>399</v>
      </c>
      <c r="AT146" s="175">
        <f t="shared" si="123"/>
        <v>5948</v>
      </c>
      <c r="AU146" s="176">
        <f t="shared" si="95"/>
        <v>495.66666666666669</v>
      </c>
      <c r="AV146" s="243"/>
      <c r="AW146" s="493">
        <v>316</v>
      </c>
      <c r="AX146" s="175">
        <v>363</v>
      </c>
      <c r="AY146" s="175">
        <v>349</v>
      </c>
      <c r="AZ146" s="175">
        <v>453</v>
      </c>
      <c r="BA146" s="175">
        <v>204</v>
      </c>
      <c r="BB146" s="175">
        <v>631</v>
      </c>
      <c r="BC146" s="175">
        <v>709</v>
      </c>
      <c r="BD146" s="175">
        <v>1097</v>
      </c>
      <c r="BE146" s="175">
        <v>997</v>
      </c>
      <c r="BF146" s="175">
        <v>1157</v>
      </c>
      <c r="BG146" s="175">
        <v>680</v>
      </c>
      <c r="BH146" s="175">
        <v>377</v>
      </c>
      <c r="BI146" s="175">
        <f t="shared" si="108"/>
        <v>7333</v>
      </c>
      <c r="BJ146" s="176">
        <f t="shared" si="117"/>
        <v>611.08333333333337</v>
      </c>
      <c r="BK146" s="243"/>
      <c r="BL146" s="493">
        <v>637</v>
      </c>
      <c r="BM146" s="175">
        <f>BM142-BM143</f>
        <v>873</v>
      </c>
      <c r="BN146" s="175"/>
      <c r="BO146" s="175"/>
      <c r="BP146" s="175"/>
      <c r="BQ146" s="175"/>
      <c r="BR146" s="175"/>
      <c r="BS146" s="175"/>
      <c r="BT146" s="175"/>
      <c r="BU146" s="175"/>
      <c r="BV146" s="175"/>
      <c r="BW146" s="175"/>
      <c r="BX146" s="175">
        <f t="shared" si="89"/>
        <v>1510</v>
      </c>
      <c r="BY146" s="176">
        <f t="shared" si="96"/>
        <v>755</v>
      </c>
      <c r="CA146" s="169">
        <f>ROW()</f>
        <v>146</v>
      </c>
      <c r="CB146" s="169">
        <f>IFERROR(_xlfn.XLOOKUP($A$1,$2:$2,146:146)-_xlfn.XLOOKUP(EDATE($A$1,-12),$2:$2,146:146),"")</f>
        <v>510</v>
      </c>
      <c r="CC146" s="169">
        <f t="shared" si="83"/>
        <v>115.41666666666669</v>
      </c>
      <c r="CD146" s="169">
        <f>IFERROR(
  SUM(
    _xlfn.XLOOKUP(DATE(YEAR($A$1),1,1),$2:$2,146:146):
    _xlfn.XLOOKUP($A$1,$2:$2,146:146)
  )
 -SUM(
    _xlfn.XLOOKUP(DATE(YEAR($A$1)-1,1,1),$2:$2,146:146):
    _xlfn.XLOOKUP(EDATE($A$1,-12),$2:$2,146:146)
  ),"")</f>
        <v>831</v>
      </c>
      <c r="CE146" s="4517">
        <f>IFERROR(
  _xlfn.XLOOKUP($A$1,$B$2:$BY$2,$B146:$BY146)
 -_xlfn.XLOOKUP(EDATE($A$1,-1),$B$2:$BY$2,$B146:$BY146),"")</f>
        <v>236</v>
      </c>
    </row>
    <row r="147" spans="1:86" ht="17.399999999999999" customHeight="1" x14ac:dyDescent="0.55000000000000004">
      <c r="A147" s="7198"/>
      <c r="B147" s="7212" t="s">
        <v>88</v>
      </c>
      <c r="C147" s="62" t="s">
        <v>405</v>
      </c>
      <c r="D147" s="128">
        <f t="shared" ref="D147:O147" si="125">D184+D221</f>
        <v>3738</v>
      </c>
      <c r="E147" s="129">
        <f t="shared" si="125"/>
        <v>2782</v>
      </c>
      <c r="F147" s="129">
        <f t="shared" si="125"/>
        <v>2796</v>
      </c>
      <c r="G147" s="129">
        <f t="shared" si="125"/>
        <v>2739</v>
      </c>
      <c r="H147" s="129">
        <f t="shared" si="125"/>
        <v>2814</v>
      </c>
      <c r="I147" s="129">
        <f t="shared" si="125"/>
        <v>2880</v>
      </c>
      <c r="J147" s="129">
        <f t="shared" si="125"/>
        <v>2623</v>
      </c>
      <c r="K147" s="129">
        <f t="shared" si="125"/>
        <v>3109</v>
      </c>
      <c r="L147" s="129">
        <f t="shared" si="125"/>
        <v>2505</v>
      </c>
      <c r="M147" s="129">
        <f t="shared" si="125"/>
        <v>2506</v>
      </c>
      <c r="N147" s="129">
        <f t="shared" si="125"/>
        <v>2823</v>
      </c>
      <c r="O147" s="129">
        <f t="shared" si="125"/>
        <v>2556</v>
      </c>
      <c r="P147" s="129">
        <f t="shared" si="122"/>
        <v>33871</v>
      </c>
      <c r="Q147" s="130">
        <f>P147/12</f>
        <v>2822.5833333333335</v>
      </c>
      <c r="R147" s="183"/>
      <c r="S147" s="128">
        <f t="shared" ref="S147:AD147" si="126">S184+S221</f>
        <v>2978</v>
      </c>
      <c r="T147" s="129">
        <f t="shared" si="126"/>
        <v>3446</v>
      </c>
      <c r="U147" s="129">
        <f t="shared" si="126"/>
        <v>3124</v>
      </c>
      <c r="V147" s="129">
        <f t="shared" si="126"/>
        <v>3293</v>
      </c>
      <c r="W147" s="129">
        <f t="shared" si="126"/>
        <v>2860</v>
      </c>
      <c r="X147" s="129">
        <f t="shared" si="126"/>
        <v>2860</v>
      </c>
      <c r="Y147" s="129">
        <f t="shared" si="126"/>
        <v>2384</v>
      </c>
      <c r="Z147" s="129">
        <f t="shared" si="126"/>
        <v>3562</v>
      </c>
      <c r="AA147" s="129">
        <f t="shared" si="126"/>
        <v>2177</v>
      </c>
      <c r="AB147" s="129">
        <f t="shared" si="126"/>
        <v>2661</v>
      </c>
      <c r="AC147" s="129">
        <f t="shared" si="126"/>
        <v>2471</v>
      </c>
      <c r="AD147" s="129">
        <f t="shared" si="126"/>
        <v>2058</v>
      </c>
      <c r="AE147" s="129">
        <f t="shared" si="120"/>
        <v>33874</v>
      </c>
      <c r="AF147" s="130">
        <f t="shared" si="121"/>
        <v>2822.8333333333335</v>
      </c>
      <c r="AG147" s="183"/>
      <c r="AH147" s="128">
        <v>3604</v>
      </c>
      <c r="AI147" s="129">
        <v>2781</v>
      </c>
      <c r="AJ147" s="129">
        <v>3368</v>
      </c>
      <c r="AK147" s="129">
        <v>3552</v>
      </c>
      <c r="AL147" s="129">
        <v>3605</v>
      </c>
      <c r="AM147" s="129">
        <v>3115</v>
      </c>
      <c r="AN147" s="129">
        <v>3999</v>
      </c>
      <c r="AO147" s="129">
        <v>3086</v>
      </c>
      <c r="AP147" s="129">
        <v>3272</v>
      </c>
      <c r="AQ147" s="129">
        <v>3263</v>
      </c>
      <c r="AR147" s="129">
        <v>3254</v>
      </c>
      <c r="AS147" s="129">
        <v>2920</v>
      </c>
      <c r="AT147" s="129">
        <v>39819</v>
      </c>
      <c r="AU147" s="130">
        <v>3318.25</v>
      </c>
      <c r="AV147" s="243"/>
      <c r="AW147" s="478">
        <v>2493</v>
      </c>
      <c r="AX147" s="129">
        <v>4919</v>
      </c>
      <c r="AY147" s="129">
        <v>3745</v>
      </c>
      <c r="AZ147" s="129">
        <v>4432</v>
      </c>
      <c r="BA147" s="129">
        <v>7562.9999999999991</v>
      </c>
      <c r="BB147" s="129">
        <v>4089</v>
      </c>
      <c r="BC147" s="129">
        <v>5772</v>
      </c>
      <c r="BD147" s="129">
        <v>3850</v>
      </c>
      <c r="BE147" s="129">
        <v>3971</v>
      </c>
      <c r="BF147" s="129">
        <v>2774</v>
      </c>
      <c r="BG147" s="129">
        <v>2835</v>
      </c>
      <c r="BH147" s="129">
        <v>2685</v>
      </c>
      <c r="BI147" s="129">
        <f t="shared" si="108"/>
        <v>49128</v>
      </c>
      <c r="BJ147" s="130">
        <f t="shared" si="117"/>
        <v>4094</v>
      </c>
      <c r="BK147" s="243"/>
      <c r="BL147" s="478">
        <v>3860</v>
      </c>
      <c r="BM147" s="129">
        <v>2598</v>
      </c>
      <c r="BN147" s="129"/>
      <c r="BO147" s="129"/>
      <c r="BP147" s="129"/>
      <c r="BQ147" s="129"/>
      <c r="BR147" s="129"/>
      <c r="BS147" s="129"/>
      <c r="BT147" s="129"/>
      <c r="BU147" s="129"/>
      <c r="BV147" s="129"/>
      <c r="BW147" s="129"/>
      <c r="BX147" s="129">
        <f t="shared" si="89"/>
        <v>6458</v>
      </c>
      <c r="BY147" s="130">
        <f t="shared" si="96"/>
        <v>3229</v>
      </c>
      <c r="BZ147" s="311">
        <v>3700</v>
      </c>
      <c r="CA147" s="169">
        <f>ROW()</f>
        <v>147</v>
      </c>
      <c r="CB147" s="169">
        <f>IFERROR(_xlfn.XLOOKUP($A$1,$2:$2,147:147)-_xlfn.XLOOKUP(EDATE($A$1,-12),$2:$2,147:147),"")</f>
        <v>-2321</v>
      </c>
      <c r="CC147" s="169">
        <f t="shared" si="83"/>
        <v>775.75</v>
      </c>
      <c r="CD147" s="169">
        <f>IFERROR(
  SUM(
    _xlfn.XLOOKUP(DATE(YEAR($A$1),1,1),$2:$2,147:147):
    _xlfn.XLOOKUP($A$1,$2:$2,147:147)
  )
 -SUM(
    _xlfn.XLOOKUP(DATE(YEAR($A$1)-1,1,1),$2:$2,147:147):
    _xlfn.XLOOKUP(EDATE($A$1,-12),$2:$2,147:147)
  ),"")</f>
        <v>-954</v>
      </c>
      <c r="CE147" s="4517">
        <f>IFERROR(
  _xlfn.XLOOKUP($A$1,$B$2:$BY$2,$B147:$BY147)
 -_xlfn.XLOOKUP(EDATE($A$1,-1),$B$2:$BY$2,$B147:$BY147),"")</f>
        <v>-1262</v>
      </c>
    </row>
    <row r="148" spans="1:86" ht="17.399999999999999" customHeight="1" x14ac:dyDescent="0.55000000000000004">
      <c r="A148" s="7198"/>
      <c r="B148" s="7216"/>
      <c r="C148" s="63" t="s">
        <v>1016</v>
      </c>
      <c r="D148" s="131">
        <f t="shared" ref="D148:O148" si="127">D184+D221</f>
        <v>3738</v>
      </c>
      <c r="E148" s="132">
        <f t="shared" si="127"/>
        <v>2782</v>
      </c>
      <c r="F148" s="132">
        <f t="shared" si="127"/>
        <v>2796</v>
      </c>
      <c r="G148" s="132">
        <f t="shared" si="127"/>
        <v>2739</v>
      </c>
      <c r="H148" s="132">
        <f t="shared" si="127"/>
        <v>2814</v>
      </c>
      <c r="I148" s="132">
        <f t="shared" si="127"/>
        <v>2880</v>
      </c>
      <c r="J148" s="132">
        <f t="shared" si="127"/>
        <v>2623</v>
      </c>
      <c r="K148" s="132">
        <f t="shared" si="127"/>
        <v>3109</v>
      </c>
      <c r="L148" s="132">
        <f t="shared" si="127"/>
        <v>2505</v>
      </c>
      <c r="M148" s="132">
        <f t="shared" si="127"/>
        <v>2506</v>
      </c>
      <c r="N148" s="132">
        <f t="shared" si="127"/>
        <v>2823</v>
      </c>
      <c r="O148" s="132">
        <f t="shared" si="127"/>
        <v>2556</v>
      </c>
      <c r="P148" s="132">
        <f t="shared" ref="P148" si="128">SUM(D148:O148)</f>
        <v>33871</v>
      </c>
      <c r="Q148" s="133">
        <f>P148/12</f>
        <v>2822.5833333333335</v>
      </c>
      <c r="R148" s="132"/>
      <c r="S148" s="131">
        <f t="shared" ref="S148:AD148" si="129">S184+S221</f>
        <v>2978</v>
      </c>
      <c r="T148" s="132">
        <f t="shared" si="129"/>
        <v>3446</v>
      </c>
      <c r="U148" s="132">
        <f t="shared" si="129"/>
        <v>3124</v>
      </c>
      <c r="V148" s="132">
        <f t="shared" si="129"/>
        <v>3293</v>
      </c>
      <c r="W148" s="132">
        <f t="shared" si="129"/>
        <v>2860</v>
      </c>
      <c r="X148" s="132">
        <f t="shared" si="129"/>
        <v>2860</v>
      </c>
      <c r="Y148" s="132">
        <f t="shared" si="129"/>
        <v>2384</v>
      </c>
      <c r="Z148" s="132">
        <f t="shared" si="129"/>
        <v>3562</v>
      </c>
      <c r="AA148" s="132">
        <f t="shared" si="129"/>
        <v>2177</v>
      </c>
      <c r="AB148" s="132">
        <f t="shared" si="129"/>
        <v>2661</v>
      </c>
      <c r="AC148" s="132">
        <f t="shared" si="129"/>
        <v>2471</v>
      </c>
      <c r="AD148" s="132">
        <f t="shared" si="129"/>
        <v>2058</v>
      </c>
      <c r="AE148" s="132">
        <f t="shared" ref="AE148" si="130">SUM(S148:AD148)</f>
        <v>33874</v>
      </c>
      <c r="AF148" s="133">
        <f t="shared" ref="AF148" si="131">AE148/12</f>
        <v>2822.8333333333335</v>
      </c>
      <c r="AG148" s="132"/>
      <c r="AH148" s="131">
        <v>1018</v>
      </c>
      <c r="AI148" s="132">
        <v>872</v>
      </c>
      <c r="AJ148" s="132">
        <v>1003</v>
      </c>
      <c r="AK148" s="132">
        <v>902</v>
      </c>
      <c r="AL148" s="132">
        <v>1019</v>
      </c>
      <c r="AM148" s="132">
        <v>1399</v>
      </c>
      <c r="AN148" s="132">
        <v>1273</v>
      </c>
      <c r="AO148" s="132">
        <v>1465</v>
      </c>
      <c r="AP148" s="132">
        <v>1382</v>
      </c>
      <c r="AQ148" s="132">
        <v>1267</v>
      </c>
      <c r="AR148" s="132">
        <v>965</v>
      </c>
      <c r="AS148" s="132">
        <v>818</v>
      </c>
      <c r="AT148" s="132">
        <v>13383</v>
      </c>
      <c r="AU148" s="133">
        <v>1115.25</v>
      </c>
      <c r="AV148" s="243"/>
      <c r="AW148" s="537">
        <v>827</v>
      </c>
      <c r="AX148" s="132">
        <v>811</v>
      </c>
      <c r="AY148" s="132">
        <v>1119</v>
      </c>
      <c r="AZ148" s="132">
        <v>1636</v>
      </c>
      <c r="BA148" s="132">
        <v>1679</v>
      </c>
      <c r="BB148" s="132">
        <v>1794</v>
      </c>
      <c r="BC148" s="132">
        <v>2373</v>
      </c>
      <c r="BD148" s="132">
        <v>2273</v>
      </c>
      <c r="BE148" s="132">
        <v>2257</v>
      </c>
      <c r="BF148" s="132">
        <v>1917</v>
      </c>
      <c r="BG148" s="132">
        <v>1313</v>
      </c>
      <c r="BH148" s="132">
        <v>886</v>
      </c>
      <c r="BI148" s="132">
        <f t="shared" si="108"/>
        <v>18885</v>
      </c>
      <c r="BJ148" s="133">
        <f t="shared" si="117"/>
        <v>1573.75</v>
      </c>
      <c r="BK148" s="243"/>
      <c r="BL148" s="537">
        <v>1176</v>
      </c>
      <c r="BM148" s="132">
        <v>1383</v>
      </c>
      <c r="BN148" s="132"/>
      <c r="BO148" s="132"/>
      <c r="BP148" s="132"/>
      <c r="BQ148" s="132"/>
      <c r="BR148" s="132"/>
      <c r="BS148" s="132"/>
      <c r="BT148" s="132"/>
      <c r="BU148" s="132"/>
      <c r="BV148" s="132"/>
      <c r="BW148" s="132"/>
      <c r="BX148" s="132">
        <f t="shared" si="89"/>
        <v>2559</v>
      </c>
      <c r="BY148" s="133">
        <f t="shared" si="96"/>
        <v>1279.5</v>
      </c>
      <c r="BZ148" s="311">
        <f>AU148-AF148</f>
        <v>-1707.5833333333335</v>
      </c>
      <c r="CA148" s="169">
        <f>ROW()</f>
        <v>148</v>
      </c>
      <c r="CB148" s="169">
        <f>IFERROR(_xlfn.XLOOKUP($A$1,$2:$2,148:148)-_xlfn.XLOOKUP(EDATE($A$1,-12),$2:$2,148:148),"")</f>
        <v>572</v>
      </c>
      <c r="CC148" s="169">
        <f t="shared" si="83"/>
        <v>458.5</v>
      </c>
      <c r="CD148" s="169">
        <f>IFERROR(
  SUM(
    _xlfn.XLOOKUP(DATE(YEAR($A$1),1,1),$2:$2,148:148):
    _xlfn.XLOOKUP($A$1,$2:$2,148:148)
  )
 -SUM(
    _xlfn.XLOOKUP(DATE(YEAR($A$1)-1,1,1),$2:$2,148:148):
    _xlfn.XLOOKUP(EDATE($A$1,-12),$2:$2,148:148)
  ),"")</f>
        <v>921</v>
      </c>
      <c r="CE148" s="4517">
        <f>IFERROR(
  _xlfn.XLOOKUP($A$1,$B$2:$BY$2,$B148:$BY148)
 -_xlfn.XLOOKUP(EDATE($A$1,-1),$B$2:$BY$2,$B148:$BY148),"")</f>
        <v>207</v>
      </c>
    </row>
    <row r="149" spans="1:86" ht="17.399999999999999" customHeight="1" x14ac:dyDescent="0.55000000000000004">
      <c r="A149" s="7198"/>
      <c r="B149" s="7213"/>
      <c r="C149" s="63" t="s">
        <v>407</v>
      </c>
      <c r="D149" s="131">
        <f t="shared" ref="D149:O149" si="132">D186+D223</f>
        <v>3313</v>
      </c>
      <c r="E149" s="132">
        <f t="shared" si="132"/>
        <v>3511</v>
      </c>
      <c r="F149" s="132">
        <f t="shared" si="132"/>
        <v>3645</v>
      </c>
      <c r="G149" s="132">
        <f t="shared" si="132"/>
        <v>4338</v>
      </c>
      <c r="H149" s="132">
        <f t="shared" si="132"/>
        <v>4528</v>
      </c>
      <c r="I149" s="132">
        <f t="shared" si="132"/>
        <v>4011</v>
      </c>
      <c r="J149" s="132">
        <f t="shared" si="132"/>
        <v>2871</v>
      </c>
      <c r="K149" s="132">
        <f t="shared" si="132"/>
        <v>3406</v>
      </c>
      <c r="L149" s="132">
        <f t="shared" si="132"/>
        <v>2794</v>
      </c>
      <c r="M149" s="132">
        <f t="shared" si="132"/>
        <v>3077</v>
      </c>
      <c r="N149" s="132">
        <f t="shared" si="132"/>
        <v>2670</v>
      </c>
      <c r="O149" s="132">
        <f t="shared" si="132"/>
        <v>2219</v>
      </c>
      <c r="P149" s="132">
        <f t="shared" si="122"/>
        <v>40383</v>
      </c>
      <c r="Q149" s="133">
        <f>P149/12</f>
        <v>3365.25</v>
      </c>
      <c r="R149" s="183"/>
      <c r="S149" s="131">
        <f t="shared" ref="S149:AD149" si="133">S186+S223</f>
        <v>2402</v>
      </c>
      <c r="T149" s="132">
        <f t="shared" si="133"/>
        <v>2901</v>
      </c>
      <c r="U149" s="132">
        <f t="shared" si="133"/>
        <v>2742</v>
      </c>
      <c r="V149" s="132">
        <f t="shared" si="133"/>
        <v>2355</v>
      </c>
      <c r="W149" s="132">
        <f t="shared" si="133"/>
        <v>3000</v>
      </c>
      <c r="X149" s="132">
        <f t="shared" si="133"/>
        <v>2569</v>
      </c>
      <c r="Y149" s="132">
        <f t="shared" si="133"/>
        <v>2319</v>
      </c>
      <c r="Z149" s="132">
        <f t="shared" si="133"/>
        <v>3210</v>
      </c>
      <c r="AA149" s="132">
        <f t="shared" si="133"/>
        <v>2743</v>
      </c>
      <c r="AB149" s="132">
        <f t="shared" si="133"/>
        <v>2887</v>
      </c>
      <c r="AC149" s="132">
        <f t="shared" si="133"/>
        <v>2837</v>
      </c>
      <c r="AD149" s="132">
        <f t="shared" si="133"/>
        <v>1936</v>
      </c>
      <c r="AE149" s="132">
        <f t="shared" si="120"/>
        <v>31901</v>
      </c>
      <c r="AF149" s="133">
        <f t="shared" si="121"/>
        <v>2658.4166666666665</v>
      </c>
      <c r="AG149" s="183"/>
      <c r="AH149" s="131">
        <v>3004</v>
      </c>
      <c r="AI149" s="132">
        <v>2545</v>
      </c>
      <c r="AJ149" s="132">
        <v>3007</v>
      </c>
      <c r="AK149" s="132">
        <v>2830</v>
      </c>
      <c r="AL149" s="132">
        <v>3353</v>
      </c>
      <c r="AM149" s="132">
        <v>3104</v>
      </c>
      <c r="AN149" s="132">
        <v>3409</v>
      </c>
      <c r="AO149" s="132">
        <v>3396</v>
      </c>
      <c r="AP149" s="132">
        <v>3423</v>
      </c>
      <c r="AQ149" s="132">
        <v>3899</v>
      </c>
      <c r="AR149" s="132">
        <v>3919</v>
      </c>
      <c r="AS149" s="132">
        <v>3664</v>
      </c>
      <c r="AT149" s="132">
        <v>39553</v>
      </c>
      <c r="AU149" s="133">
        <v>3296.0833333333335</v>
      </c>
      <c r="AV149" s="243"/>
      <c r="AW149" s="479">
        <v>3467</v>
      </c>
      <c r="AX149" s="132">
        <v>4420</v>
      </c>
      <c r="AY149" s="132">
        <v>3884</v>
      </c>
      <c r="AZ149" s="132">
        <v>4016</v>
      </c>
      <c r="BA149" s="132">
        <v>7752</v>
      </c>
      <c r="BB149" s="132">
        <v>6076</v>
      </c>
      <c r="BC149" s="132">
        <v>5412</v>
      </c>
      <c r="BD149" s="132">
        <v>3967</v>
      </c>
      <c r="BE149" s="132">
        <v>4043</v>
      </c>
      <c r="BF149" s="132">
        <v>3808</v>
      </c>
      <c r="BG149" s="132">
        <v>3714</v>
      </c>
      <c r="BH149" s="132">
        <v>3694</v>
      </c>
      <c r="BI149" s="132">
        <f t="shared" si="108"/>
        <v>54253</v>
      </c>
      <c r="BJ149" s="133">
        <f t="shared" si="117"/>
        <v>4521.083333333333</v>
      </c>
      <c r="BK149" s="243"/>
      <c r="BL149" s="479">
        <v>3989</v>
      </c>
      <c r="BM149" s="132">
        <v>2832</v>
      </c>
      <c r="BN149" s="132"/>
      <c r="BO149" s="132"/>
      <c r="BP149" s="132"/>
      <c r="BQ149" s="132"/>
      <c r="BR149" s="132"/>
      <c r="BS149" s="132"/>
      <c r="BT149" s="132"/>
      <c r="BU149" s="132"/>
      <c r="BV149" s="132"/>
      <c r="BW149" s="132"/>
      <c r="BX149" s="132">
        <f t="shared" si="89"/>
        <v>6821</v>
      </c>
      <c r="BY149" s="133">
        <f t="shared" si="96"/>
        <v>3410.5</v>
      </c>
      <c r="BZ149" s="311">
        <f>AU149-AF149</f>
        <v>637.66666666666697</v>
      </c>
      <c r="CA149" s="169">
        <f>ROW()</f>
        <v>149</v>
      </c>
      <c r="CB149" s="169">
        <f>IFERROR(_xlfn.XLOOKUP($A$1,$2:$2,149:149)-_xlfn.XLOOKUP(EDATE($A$1,-12),$2:$2,149:149),"")</f>
        <v>-1588</v>
      </c>
      <c r="CC149" s="169">
        <f t="shared" si="83"/>
        <v>1224.9999999999995</v>
      </c>
      <c r="CD149" s="169">
        <f>IFERROR(
  SUM(
    _xlfn.XLOOKUP(DATE(YEAR($A$1),1,1),$2:$2,149:149):
    _xlfn.XLOOKUP($A$1,$2:$2,149:149)
  )
 -SUM(
    _xlfn.XLOOKUP(DATE(YEAR($A$1)-1,1,1),$2:$2,149:149):
    _xlfn.XLOOKUP(EDATE($A$1,-12),$2:$2,149:149)
  ),"")</f>
        <v>-1066</v>
      </c>
      <c r="CE149" s="4517">
        <f>IFERROR(
  _xlfn.XLOOKUP($A$1,$B$2:$BY$2,$B149:$BY149)
 -_xlfn.XLOOKUP(EDATE($A$1,-1),$B$2:$BY$2,$B149:$BY149),"")</f>
        <v>-1157</v>
      </c>
    </row>
    <row r="150" spans="1:86" ht="17.399999999999999" customHeight="1" x14ac:dyDescent="0.55000000000000004">
      <c r="A150" s="7198"/>
      <c r="B150" s="7213"/>
      <c r="C150" s="63" t="s">
        <v>875</v>
      </c>
      <c r="D150" s="131">
        <f t="shared" ref="D150:O150" si="134">D187+D224</f>
        <v>848</v>
      </c>
      <c r="E150" s="132">
        <f t="shared" si="134"/>
        <v>756</v>
      </c>
      <c r="F150" s="132">
        <f t="shared" si="134"/>
        <v>1001</v>
      </c>
      <c r="G150" s="132">
        <f t="shared" si="134"/>
        <v>752</v>
      </c>
      <c r="H150" s="132">
        <f t="shared" si="134"/>
        <v>764</v>
      </c>
      <c r="I150" s="132">
        <f t="shared" si="134"/>
        <v>659</v>
      </c>
      <c r="J150" s="132">
        <f t="shared" si="134"/>
        <v>632</v>
      </c>
      <c r="K150" s="132">
        <f t="shared" si="134"/>
        <v>1087</v>
      </c>
      <c r="L150" s="132">
        <f t="shared" si="134"/>
        <v>1221</v>
      </c>
      <c r="M150" s="132">
        <f t="shared" si="134"/>
        <v>1574</v>
      </c>
      <c r="N150" s="132">
        <f t="shared" si="134"/>
        <v>982</v>
      </c>
      <c r="O150" s="132">
        <f t="shared" si="134"/>
        <v>453</v>
      </c>
      <c r="P150" s="132">
        <f t="shared" si="122"/>
        <v>10729</v>
      </c>
      <c r="Q150" s="133">
        <f>P150/12</f>
        <v>894.08333333333337</v>
      </c>
      <c r="R150" s="183"/>
      <c r="S150" s="131">
        <f t="shared" ref="S150:AD150" si="135">S187+S224</f>
        <v>26</v>
      </c>
      <c r="T150" s="132">
        <f t="shared" si="135"/>
        <v>35</v>
      </c>
      <c r="U150" s="132">
        <f t="shared" si="135"/>
        <v>18</v>
      </c>
      <c r="V150" s="132">
        <f t="shared" si="135"/>
        <v>10</v>
      </c>
      <c r="W150" s="132">
        <f t="shared" si="135"/>
        <v>25</v>
      </c>
      <c r="X150" s="132">
        <f t="shared" si="135"/>
        <v>137</v>
      </c>
      <c r="Y150" s="132">
        <f t="shared" si="135"/>
        <v>142</v>
      </c>
      <c r="Z150" s="132">
        <f t="shared" si="135"/>
        <v>128</v>
      </c>
      <c r="AA150" s="132">
        <f t="shared" si="135"/>
        <v>114</v>
      </c>
      <c r="AB150" s="132">
        <f t="shared" si="135"/>
        <v>247</v>
      </c>
      <c r="AC150" s="132">
        <f t="shared" si="135"/>
        <v>249</v>
      </c>
      <c r="AD150" s="132">
        <f t="shared" si="135"/>
        <v>21</v>
      </c>
      <c r="AE150" s="132">
        <f t="shared" si="120"/>
        <v>1152</v>
      </c>
      <c r="AF150" s="133">
        <f t="shared" si="121"/>
        <v>96</v>
      </c>
      <c r="AG150" s="183"/>
      <c r="AH150" s="131">
        <v>86</v>
      </c>
      <c r="AI150" s="132">
        <v>53</v>
      </c>
      <c r="AJ150" s="132">
        <v>146</v>
      </c>
      <c r="AK150" s="132">
        <v>161</v>
      </c>
      <c r="AL150" s="132">
        <v>265</v>
      </c>
      <c r="AM150" s="132">
        <v>198</v>
      </c>
      <c r="AN150" s="132">
        <v>104</v>
      </c>
      <c r="AO150" s="132">
        <v>108</v>
      </c>
      <c r="AP150" s="132">
        <v>63</v>
      </c>
      <c r="AQ150" s="132">
        <v>53</v>
      </c>
      <c r="AR150" s="132">
        <v>69</v>
      </c>
      <c r="AS150" s="132">
        <v>89</v>
      </c>
      <c r="AT150" s="132">
        <v>1395</v>
      </c>
      <c r="AU150" s="133">
        <v>116.25</v>
      </c>
      <c r="AV150" s="243"/>
      <c r="AW150" s="479">
        <v>47</v>
      </c>
      <c r="AX150" s="132">
        <v>34</v>
      </c>
      <c r="AY150" s="132">
        <v>124</v>
      </c>
      <c r="AZ150" s="132">
        <v>186</v>
      </c>
      <c r="BA150" s="132">
        <v>524</v>
      </c>
      <c r="BB150" s="132">
        <v>316</v>
      </c>
      <c r="BC150" s="132">
        <v>516</v>
      </c>
      <c r="BD150" s="132">
        <v>200</v>
      </c>
      <c r="BE150" s="132">
        <v>277</v>
      </c>
      <c r="BF150" s="132">
        <v>190</v>
      </c>
      <c r="BG150" s="132">
        <v>270</v>
      </c>
      <c r="BH150" s="132">
        <v>242</v>
      </c>
      <c r="BI150" s="132">
        <f t="shared" si="108"/>
        <v>2926</v>
      </c>
      <c r="BJ150" s="133">
        <f t="shared" si="117"/>
        <v>243.83333333333334</v>
      </c>
      <c r="BK150" s="243"/>
      <c r="BL150" s="479">
        <v>250</v>
      </c>
      <c r="BM150" s="132">
        <v>232</v>
      </c>
      <c r="BN150" s="132"/>
      <c r="BO150" s="132"/>
      <c r="BP150" s="132"/>
      <c r="BQ150" s="132"/>
      <c r="BR150" s="132"/>
      <c r="BS150" s="132"/>
      <c r="BT150" s="132"/>
      <c r="BU150" s="132"/>
      <c r="BV150" s="132"/>
      <c r="BW150" s="132"/>
      <c r="BX150" s="132">
        <f t="shared" si="89"/>
        <v>482</v>
      </c>
      <c r="BY150" s="133">
        <f t="shared" si="96"/>
        <v>241</v>
      </c>
      <c r="BZ150" s="311">
        <f>AU150-AF150</f>
        <v>20.25</v>
      </c>
      <c r="CA150" s="169">
        <f>ROW()</f>
        <v>150</v>
      </c>
      <c r="CB150" s="169">
        <f>IFERROR(_xlfn.XLOOKUP($A$1,$2:$2,150:150)-_xlfn.XLOOKUP(EDATE($A$1,-12),$2:$2,150:150),"")</f>
        <v>198</v>
      </c>
      <c r="CC150" s="169">
        <f t="shared" si="83"/>
        <v>127.58333333333334</v>
      </c>
      <c r="CD150" s="169">
        <f>IFERROR(
  SUM(
    _xlfn.XLOOKUP(DATE(YEAR($A$1),1,1),$2:$2,150:150):
    _xlfn.XLOOKUP($A$1,$2:$2,150:150)
  )
 -SUM(
    _xlfn.XLOOKUP(DATE(YEAR($A$1)-1,1,1),$2:$2,150:150):
    _xlfn.XLOOKUP(EDATE($A$1,-12),$2:$2,150:150)
  ),"")</f>
        <v>401</v>
      </c>
      <c r="CE150" s="4517">
        <f>IFERROR(
  _xlfn.XLOOKUP($A$1,$B$2:$BY$2,$B150:$BY150)
 -_xlfn.XLOOKUP(EDATE($A$1,-1),$B$2:$BY$2,$B150:$BY150),"")</f>
        <v>-18</v>
      </c>
    </row>
    <row r="151" spans="1:86" ht="17.399999999999999" customHeight="1" x14ac:dyDescent="0.55000000000000004">
      <c r="A151" s="7198"/>
      <c r="B151" s="532"/>
      <c r="C151" s="538" t="s">
        <v>22</v>
      </c>
      <c r="D151" s="131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3"/>
      <c r="R151" s="132"/>
      <c r="S151" s="131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3"/>
      <c r="AG151" s="132"/>
      <c r="AH151" s="131"/>
      <c r="AI151" s="132">
        <v>1</v>
      </c>
      <c r="AJ151" s="132">
        <v>3</v>
      </c>
      <c r="AK151" s="132">
        <v>2</v>
      </c>
      <c r="AL151" s="132"/>
      <c r="AM151" s="132"/>
      <c r="AN151" s="132"/>
      <c r="AO151" s="132">
        <v>3</v>
      </c>
      <c r="AP151" s="132">
        <v>60</v>
      </c>
      <c r="AQ151" s="132">
        <v>6</v>
      </c>
      <c r="AR151" s="132">
        <v>4</v>
      </c>
      <c r="AS151" s="132"/>
      <c r="AT151" s="132">
        <f>SUM(AH151:AS151)</f>
        <v>79</v>
      </c>
      <c r="AU151" s="133">
        <f>AVERAGE(AH151:AS151)</f>
        <v>11.285714285714286</v>
      </c>
      <c r="AV151" s="243"/>
      <c r="AW151" s="537">
        <v>15</v>
      </c>
      <c r="AX151" s="132">
        <v>13</v>
      </c>
      <c r="AY151" s="132">
        <v>36</v>
      </c>
      <c r="AZ151" s="132">
        <v>0</v>
      </c>
      <c r="BA151" s="132">
        <v>0</v>
      </c>
      <c r="BB151" s="132">
        <v>0</v>
      </c>
      <c r="BC151" s="132">
        <v>168</v>
      </c>
      <c r="BD151" s="132">
        <v>24</v>
      </c>
      <c r="BE151" s="132">
        <v>16</v>
      </c>
      <c r="BF151" s="132">
        <v>13</v>
      </c>
      <c r="BG151" s="132">
        <v>22</v>
      </c>
      <c r="BH151" s="132">
        <v>16</v>
      </c>
      <c r="BI151" s="132"/>
      <c r="BJ151" s="133">
        <f t="shared" si="117"/>
        <v>26.916666666666668</v>
      </c>
      <c r="BK151" s="243"/>
      <c r="BL151" s="537">
        <v>26</v>
      </c>
      <c r="BM151" s="132">
        <v>57</v>
      </c>
      <c r="BN151" s="132"/>
      <c r="BO151" s="132"/>
      <c r="BP151" s="132"/>
      <c r="BQ151" s="132"/>
      <c r="BR151" s="132"/>
      <c r="BS151" s="132"/>
      <c r="BT151" s="132"/>
      <c r="BU151" s="132"/>
      <c r="BV151" s="132"/>
      <c r="BW151" s="132"/>
      <c r="BX151" s="132"/>
      <c r="BY151" s="133">
        <f t="shared" si="96"/>
        <v>41.5</v>
      </c>
      <c r="BZ151" s="311"/>
      <c r="CA151" s="169">
        <f>ROW()</f>
        <v>151</v>
      </c>
      <c r="CB151" s="169">
        <f>IFERROR(_xlfn.XLOOKUP($A$1,$2:$2,151:151)-_xlfn.XLOOKUP(EDATE($A$1,-12),$2:$2,151:151),"")</f>
        <v>44</v>
      </c>
      <c r="CC151" s="169">
        <f t="shared" si="83"/>
        <v>15.630952380952381</v>
      </c>
      <c r="CD151" s="169">
        <f>IFERROR(
  SUM(
    _xlfn.XLOOKUP(DATE(YEAR($A$1),1,1),$2:$2,151:151):
    _xlfn.XLOOKUP($A$1,$2:$2,151:151)
  )
 -SUM(
    _xlfn.XLOOKUP(DATE(YEAR($A$1)-1,1,1),$2:$2,151:151):
    _xlfn.XLOOKUP(EDATE($A$1,-12),$2:$2,151:151)
  ),"")</f>
        <v>55</v>
      </c>
      <c r="CE151" s="4517">
        <f>IFERROR(
  _xlfn.XLOOKUP($A$1,$B$2:$BY$2,$B151:$BY151)
 -_xlfn.XLOOKUP(EDATE($A$1,-1),$B$2:$BY$2,$B151:$BY151),"")</f>
        <v>31</v>
      </c>
    </row>
    <row r="152" spans="1:86" ht="17.399999999999999" customHeight="1" x14ac:dyDescent="0.55000000000000004">
      <c r="A152" s="7198"/>
      <c r="B152" s="7203" t="s">
        <v>411</v>
      </c>
      <c r="C152" s="64" t="s">
        <v>400</v>
      </c>
      <c r="D152" s="143">
        <f>D157+D158</f>
        <v>547</v>
      </c>
      <c r="E152" s="144">
        <f t="shared" ref="E152:O152" si="136">E157+E158</f>
        <v>428</v>
      </c>
      <c r="F152" s="144">
        <f t="shared" si="136"/>
        <v>403</v>
      </c>
      <c r="G152" s="144">
        <f t="shared" si="136"/>
        <v>396</v>
      </c>
      <c r="H152" s="144">
        <f t="shared" si="136"/>
        <v>417</v>
      </c>
      <c r="I152" s="144">
        <f t="shared" si="136"/>
        <v>470</v>
      </c>
      <c r="J152" s="144">
        <f t="shared" si="136"/>
        <v>433</v>
      </c>
      <c r="K152" s="144">
        <f t="shared" si="136"/>
        <v>478</v>
      </c>
      <c r="L152" s="144">
        <f t="shared" si="136"/>
        <v>396</v>
      </c>
      <c r="M152" s="144">
        <f t="shared" si="136"/>
        <v>330</v>
      </c>
      <c r="N152" s="144">
        <f t="shared" si="136"/>
        <v>389</v>
      </c>
      <c r="O152" s="144">
        <f t="shared" si="136"/>
        <v>361</v>
      </c>
      <c r="P152" s="144">
        <f t="shared" si="122"/>
        <v>5048</v>
      </c>
      <c r="Q152" s="145">
        <f t="shared" ref="Q152:Q183" si="137">P152/12</f>
        <v>420.66666666666669</v>
      </c>
      <c r="R152" s="183"/>
      <c r="S152" s="143">
        <f>S157+S158</f>
        <v>424</v>
      </c>
      <c r="T152" s="144">
        <f t="shared" ref="T152:AD152" si="138">T157+T158</f>
        <v>482</v>
      </c>
      <c r="U152" s="144">
        <f t="shared" si="138"/>
        <v>456</v>
      </c>
      <c r="V152" s="144">
        <f t="shared" si="138"/>
        <v>512</v>
      </c>
      <c r="W152" s="144">
        <f t="shared" si="138"/>
        <v>407</v>
      </c>
      <c r="X152" s="144">
        <f t="shared" si="138"/>
        <v>386</v>
      </c>
      <c r="Y152" s="144">
        <f t="shared" si="138"/>
        <v>354</v>
      </c>
      <c r="Z152" s="144">
        <f t="shared" si="138"/>
        <v>496</v>
      </c>
      <c r="AA152" s="144">
        <f t="shared" si="138"/>
        <v>271</v>
      </c>
      <c r="AB152" s="144">
        <f t="shared" si="138"/>
        <v>341</v>
      </c>
      <c r="AC152" s="144">
        <f t="shared" si="138"/>
        <v>284</v>
      </c>
      <c r="AD152" s="144">
        <f t="shared" si="138"/>
        <v>253</v>
      </c>
      <c r="AE152" s="144">
        <f t="shared" si="120"/>
        <v>4666</v>
      </c>
      <c r="AF152" s="145">
        <f t="shared" si="121"/>
        <v>388.83333333333331</v>
      </c>
      <c r="AG152" s="183"/>
      <c r="AH152" s="143">
        <v>448</v>
      </c>
      <c r="AI152" s="144">
        <v>352</v>
      </c>
      <c r="AJ152" s="144">
        <v>451</v>
      </c>
      <c r="AK152" s="144">
        <v>519</v>
      </c>
      <c r="AL152" s="144">
        <v>508</v>
      </c>
      <c r="AM152" s="144">
        <v>488</v>
      </c>
      <c r="AN152" s="144">
        <v>639</v>
      </c>
      <c r="AO152" s="144">
        <v>523</v>
      </c>
      <c r="AP152" s="144">
        <v>526</v>
      </c>
      <c r="AQ152" s="144">
        <v>464</v>
      </c>
      <c r="AR152" s="144">
        <v>849</v>
      </c>
      <c r="AS152" s="144">
        <v>463</v>
      </c>
      <c r="AT152" s="144">
        <f t="shared" si="123"/>
        <v>6230</v>
      </c>
      <c r="AU152" s="145">
        <f t="shared" si="95"/>
        <v>519.16666666666663</v>
      </c>
      <c r="AV152" s="243"/>
      <c r="AW152" s="481">
        <v>388</v>
      </c>
      <c r="AX152" s="144">
        <v>750</v>
      </c>
      <c r="AY152" s="144">
        <v>562</v>
      </c>
      <c r="AZ152" s="144">
        <v>699</v>
      </c>
      <c r="BA152" s="144">
        <v>1336</v>
      </c>
      <c r="BB152" s="144">
        <v>642</v>
      </c>
      <c r="BC152" s="144">
        <v>914</v>
      </c>
      <c r="BD152" s="144">
        <v>560</v>
      </c>
      <c r="BE152" s="144">
        <v>574</v>
      </c>
      <c r="BF152" s="144">
        <v>378</v>
      </c>
      <c r="BG152" s="144">
        <v>468</v>
      </c>
      <c r="BH152" s="144">
        <v>424</v>
      </c>
      <c r="BI152" s="144">
        <f t="shared" ref="BI152:BI187" si="139">SUM(AW152:BH152)</f>
        <v>7695</v>
      </c>
      <c r="BJ152" s="145">
        <f t="shared" si="117"/>
        <v>641.25</v>
      </c>
      <c r="BK152" s="243"/>
      <c r="BL152" s="481">
        <v>575</v>
      </c>
      <c r="BM152" s="144">
        <v>400</v>
      </c>
      <c r="BN152" s="144"/>
      <c r="BO152" s="144"/>
      <c r="BP152" s="144"/>
      <c r="BQ152" s="144"/>
      <c r="BR152" s="144"/>
      <c r="BS152" s="144"/>
      <c r="BT152" s="144"/>
      <c r="BU152" s="144"/>
      <c r="BV152" s="144"/>
      <c r="BW152" s="144"/>
      <c r="BX152" s="144">
        <f t="shared" ref="BX152:BX187" si="140">SUM(BL152:BW152)</f>
        <v>975</v>
      </c>
      <c r="BY152" s="145">
        <f t="shared" si="96"/>
        <v>487.5</v>
      </c>
      <c r="CA152" s="169">
        <f>ROW()</f>
        <v>152</v>
      </c>
      <c r="CB152" s="169">
        <f>IFERROR(_xlfn.XLOOKUP($A$1,$2:$2,152:152)-_xlfn.XLOOKUP(EDATE($A$1,-12),$2:$2,152:152),"")</f>
        <v>-350</v>
      </c>
      <c r="CC152" s="169">
        <f t="shared" si="83"/>
        <v>122.08333333333337</v>
      </c>
      <c r="CD152" s="169">
        <f>IFERROR(
  SUM(
    _xlfn.XLOOKUP(DATE(YEAR($A$1),1,1),$2:$2,152:152):
    _xlfn.XLOOKUP($A$1,$2:$2,152:152)
  )
 -SUM(
    _xlfn.XLOOKUP(DATE(YEAR($A$1)-1,1,1),$2:$2,152:152):
    _xlfn.XLOOKUP(EDATE($A$1,-12),$2:$2,152:152)
  ),"")</f>
        <v>-163</v>
      </c>
      <c r="CE152" s="4517">
        <f>IFERROR(
  _xlfn.XLOOKUP($A$1,$B$2:$BY$2,$B152:$BY152)
 -_xlfn.XLOOKUP(EDATE($A$1,-1),$B$2:$BY$2,$B152:$BY152),"")</f>
        <v>-175</v>
      </c>
    </row>
    <row r="153" spans="1:86" ht="17.399999999999999" customHeight="1" x14ac:dyDescent="0.55000000000000004">
      <c r="A153" s="7198"/>
      <c r="B153" s="7204"/>
      <c r="C153" s="65" t="s">
        <v>401</v>
      </c>
      <c r="D153" s="146">
        <f>D159+D160</f>
        <v>664</v>
      </c>
      <c r="E153" s="147">
        <f t="shared" ref="E153:O153" si="141">E159+E160</f>
        <v>433</v>
      </c>
      <c r="F153" s="147">
        <f t="shared" si="141"/>
        <v>451</v>
      </c>
      <c r="G153" s="147">
        <f t="shared" si="141"/>
        <v>476</v>
      </c>
      <c r="H153" s="147">
        <f t="shared" si="141"/>
        <v>445</v>
      </c>
      <c r="I153" s="147">
        <f t="shared" si="141"/>
        <v>457</v>
      </c>
      <c r="J153" s="147">
        <f t="shared" si="141"/>
        <v>438</v>
      </c>
      <c r="K153" s="147">
        <f t="shared" si="141"/>
        <v>446</v>
      </c>
      <c r="L153" s="147">
        <f t="shared" si="141"/>
        <v>454</v>
      </c>
      <c r="M153" s="147">
        <f t="shared" si="141"/>
        <v>402</v>
      </c>
      <c r="N153" s="147">
        <f t="shared" si="141"/>
        <v>405</v>
      </c>
      <c r="O153" s="147">
        <f t="shared" si="141"/>
        <v>414</v>
      </c>
      <c r="P153" s="147">
        <f t="shared" si="122"/>
        <v>5485</v>
      </c>
      <c r="Q153" s="148">
        <f t="shared" si="137"/>
        <v>457.08333333333331</v>
      </c>
      <c r="R153" s="183"/>
      <c r="S153" s="146">
        <f>S159+S160</f>
        <v>515</v>
      </c>
      <c r="T153" s="147">
        <f t="shared" ref="T153:AD153" si="142">T159+T160</f>
        <v>607</v>
      </c>
      <c r="U153" s="147">
        <f t="shared" si="142"/>
        <v>580</v>
      </c>
      <c r="V153" s="147">
        <f t="shared" si="142"/>
        <v>590</v>
      </c>
      <c r="W153" s="147">
        <f t="shared" si="142"/>
        <v>535</v>
      </c>
      <c r="X153" s="147">
        <f t="shared" si="142"/>
        <v>512</v>
      </c>
      <c r="Y153" s="147">
        <f t="shared" si="142"/>
        <v>428</v>
      </c>
      <c r="Z153" s="147">
        <f t="shared" si="142"/>
        <v>617</v>
      </c>
      <c r="AA153" s="147">
        <f t="shared" si="142"/>
        <v>364</v>
      </c>
      <c r="AB153" s="147">
        <f t="shared" si="142"/>
        <v>511</v>
      </c>
      <c r="AC153" s="147">
        <f t="shared" si="142"/>
        <v>400</v>
      </c>
      <c r="AD153" s="147">
        <f t="shared" si="142"/>
        <v>366</v>
      </c>
      <c r="AE153" s="147">
        <f t="shared" si="120"/>
        <v>6025</v>
      </c>
      <c r="AF153" s="148">
        <f t="shared" si="121"/>
        <v>502.08333333333331</v>
      </c>
      <c r="AG153" s="183"/>
      <c r="AH153" s="146">
        <v>644</v>
      </c>
      <c r="AI153" s="147">
        <v>467</v>
      </c>
      <c r="AJ153" s="147">
        <v>543</v>
      </c>
      <c r="AK153" s="147">
        <v>605</v>
      </c>
      <c r="AL153" s="147">
        <v>611</v>
      </c>
      <c r="AM153" s="147">
        <v>525</v>
      </c>
      <c r="AN153" s="147">
        <v>693</v>
      </c>
      <c r="AO153" s="147">
        <v>505</v>
      </c>
      <c r="AP153" s="147">
        <v>498</v>
      </c>
      <c r="AQ153" s="147">
        <v>501</v>
      </c>
      <c r="AR153" s="147">
        <v>956</v>
      </c>
      <c r="AS153" s="147">
        <v>513</v>
      </c>
      <c r="AT153" s="147">
        <f t="shared" si="123"/>
        <v>7061</v>
      </c>
      <c r="AU153" s="148">
        <f t="shared" si="95"/>
        <v>588.41666666666663</v>
      </c>
      <c r="AV153" s="243"/>
      <c r="AW153" s="482">
        <v>499</v>
      </c>
      <c r="AX153" s="147">
        <v>921</v>
      </c>
      <c r="AY153" s="147">
        <v>681</v>
      </c>
      <c r="AZ153" s="147">
        <v>727</v>
      </c>
      <c r="BA153" s="147">
        <v>1433</v>
      </c>
      <c r="BB153" s="147">
        <v>661</v>
      </c>
      <c r="BC153" s="147">
        <v>944</v>
      </c>
      <c r="BD153" s="147">
        <v>665</v>
      </c>
      <c r="BE153" s="147">
        <v>775</v>
      </c>
      <c r="BF153" s="147">
        <v>490</v>
      </c>
      <c r="BG153" s="147">
        <v>470</v>
      </c>
      <c r="BH153" s="147">
        <v>506</v>
      </c>
      <c r="BI153" s="147">
        <f t="shared" si="139"/>
        <v>8772</v>
      </c>
      <c r="BJ153" s="148">
        <f t="shared" si="117"/>
        <v>731</v>
      </c>
      <c r="BK153" s="243"/>
      <c r="BL153" s="482">
        <v>729</v>
      </c>
      <c r="BM153" s="147">
        <v>494</v>
      </c>
      <c r="BN153" s="147"/>
      <c r="BO153" s="147"/>
      <c r="BP153" s="147"/>
      <c r="BQ153" s="147"/>
      <c r="BR153" s="147"/>
      <c r="BS153" s="147"/>
      <c r="BT153" s="147"/>
      <c r="BU153" s="147"/>
      <c r="BV153" s="147"/>
      <c r="BW153" s="147"/>
      <c r="BX153" s="147">
        <f t="shared" si="140"/>
        <v>1223</v>
      </c>
      <c r="BY153" s="148">
        <f t="shared" si="96"/>
        <v>611.5</v>
      </c>
      <c r="CA153" s="169">
        <f>ROW()</f>
        <v>153</v>
      </c>
      <c r="CB153" s="169">
        <f>IFERROR(_xlfn.XLOOKUP($A$1,$2:$2,153:153)-_xlfn.XLOOKUP(EDATE($A$1,-12),$2:$2,153:153),"")</f>
        <v>-427</v>
      </c>
      <c r="CC153" s="169">
        <f t="shared" si="83"/>
        <v>142.58333333333337</v>
      </c>
      <c r="CD153" s="169">
        <f>IFERROR(
  SUM(
    _xlfn.XLOOKUP(DATE(YEAR($A$1),1,1),$2:$2,153:153):
    _xlfn.XLOOKUP($A$1,$2:$2,153:153)
  )
 -SUM(
    _xlfn.XLOOKUP(DATE(YEAR($A$1)-1,1,1),$2:$2,153:153):
    _xlfn.XLOOKUP(EDATE($A$1,-12),$2:$2,153:153)
  ),"")</f>
        <v>-197</v>
      </c>
      <c r="CE153" s="4517">
        <f>IFERROR(
  _xlfn.XLOOKUP($A$1,$B$2:$BY$2,$B153:$BY153)
 -_xlfn.XLOOKUP(EDATE($A$1,-1),$B$2:$BY$2,$B153:$BY153),"")</f>
        <v>-235</v>
      </c>
    </row>
    <row r="154" spans="1:86" ht="17.399999999999999" customHeight="1" x14ac:dyDescent="0.55000000000000004">
      <c r="A154" s="7198"/>
      <c r="B154" s="7204"/>
      <c r="C154" s="65" t="s">
        <v>402</v>
      </c>
      <c r="D154" s="146">
        <f>D161+D162</f>
        <v>805</v>
      </c>
      <c r="E154" s="147">
        <f t="shared" ref="E154:O154" si="143">E161+E162</f>
        <v>581</v>
      </c>
      <c r="F154" s="147">
        <f t="shared" si="143"/>
        <v>648</v>
      </c>
      <c r="G154" s="147">
        <f t="shared" si="143"/>
        <v>636</v>
      </c>
      <c r="H154" s="147">
        <f t="shared" si="143"/>
        <v>608</v>
      </c>
      <c r="I154" s="147">
        <f t="shared" si="143"/>
        <v>584</v>
      </c>
      <c r="J154" s="147">
        <f t="shared" si="143"/>
        <v>551</v>
      </c>
      <c r="K154" s="147">
        <f t="shared" si="143"/>
        <v>686</v>
      </c>
      <c r="L154" s="147">
        <f t="shared" si="143"/>
        <v>607</v>
      </c>
      <c r="M154" s="147">
        <f t="shared" si="143"/>
        <v>608</v>
      </c>
      <c r="N154" s="147">
        <f t="shared" si="143"/>
        <v>708</v>
      </c>
      <c r="O154" s="147">
        <f t="shared" si="143"/>
        <v>610</v>
      </c>
      <c r="P154" s="147">
        <f t="shared" si="122"/>
        <v>7632</v>
      </c>
      <c r="Q154" s="148">
        <f t="shared" si="137"/>
        <v>636</v>
      </c>
      <c r="R154" s="183"/>
      <c r="S154" s="146">
        <f>S161+S162</f>
        <v>711</v>
      </c>
      <c r="T154" s="147">
        <f t="shared" ref="T154:AD154" si="144">T161+T162</f>
        <v>727</v>
      </c>
      <c r="U154" s="147">
        <f t="shared" si="144"/>
        <v>717</v>
      </c>
      <c r="V154" s="147">
        <f t="shared" si="144"/>
        <v>746</v>
      </c>
      <c r="W154" s="147">
        <f t="shared" si="144"/>
        <v>663</v>
      </c>
      <c r="X154" s="147">
        <f t="shared" si="144"/>
        <v>639</v>
      </c>
      <c r="Y154" s="147">
        <f t="shared" si="144"/>
        <v>532</v>
      </c>
      <c r="Z154" s="147">
        <f t="shared" si="144"/>
        <v>846</v>
      </c>
      <c r="AA154" s="147">
        <f t="shared" si="144"/>
        <v>535</v>
      </c>
      <c r="AB154" s="147">
        <f t="shared" si="144"/>
        <v>625</v>
      </c>
      <c r="AC154" s="147">
        <f t="shared" si="144"/>
        <v>684</v>
      </c>
      <c r="AD154" s="147">
        <f t="shared" si="144"/>
        <v>468</v>
      </c>
      <c r="AE154" s="147">
        <f t="shared" si="120"/>
        <v>7893</v>
      </c>
      <c r="AF154" s="148">
        <f t="shared" si="121"/>
        <v>657.75</v>
      </c>
      <c r="AG154" s="183"/>
      <c r="AH154" s="146">
        <v>865</v>
      </c>
      <c r="AI154" s="147">
        <v>720</v>
      </c>
      <c r="AJ154" s="147">
        <v>745</v>
      </c>
      <c r="AK154" s="147">
        <v>779</v>
      </c>
      <c r="AL154" s="147">
        <v>871</v>
      </c>
      <c r="AM154" s="147">
        <v>639</v>
      </c>
      <c r="AN154" s="147">
        <v>902</v>
      </c>
      <c r="AO154" s="147">
        <v>728</v>
      </c>
      <c r="AP154" s="147">
        <v>822</v>
      </c>
      <c r="AQ154" s="147">
        <v>815</v>
      </c>
      <c r="AR154" s="147">
        <v>1223</v>
      </c>
      <c r="AS154" s="147">
        <v>726</v>
      </c>
      <c r="AT154" s="147">
        <f t="shared" si="123"/>
        <v>9835</v>
      </c>
      <c r="AU154" s="148">
        <f t="shared" si="95"/>
        <v>819.58333333333337</v>
      </c>
      <c r="AV154" s="243"/>
      <c r="AW154" s="482">
        <v>595</v>
      </c>
      <c r="AX154" s="147">
        <v>1159</v>
      </c>
      <c r="AY154" s="147">
        <v>838</v>
      </c>
      <c r="AZ154" s="147">
        <v>1024</v>
      </c>
      <c r="BA154" s="147">
        <v>1765</v>
      </c>
      <c r="BB154" s="147">
        <v>999</v>
      </c>
      <c r="BC154" s="147">
        <v>1362</v>
      </c>
      <c r="BD154" s="147">
        <v>918</v>
      </c>
      <c r="BE154" s="147">
        <v>981</v>
      </c>
      <c r="BF154" s="147">
        <v>648</v>
      </c>
      <c r="BG154" s="147">
        <v>715</v>
      </c>
      <c r="BH154" s="147">
        <v>692</v>
      </c>
      <c r="BI154" s="147">
        <f t="shared" si="139"/>
        <v>11696</v>
      </c>
      <c r="BJ154" s="148">
        <f t="shared" si="117"/>
        <v>974.66666666666663</v>
      </c>
      <c r="BK154" s="243"/>
      <c r="BL154" s="482">
        <v>952</v>
      </c>
      <c r="BM154" s="147">
        <v>615</v>
      </c>
      <c r="BN154" s="147"/>
      <c r="BO154" s="147"/>
      <c r="BP154" s="147"/>
      <c r="BQ154" s="147"/>
      <c r="BR154" s="147"/>
      <c r="BS154" s="147"/>
      <c r="BT154" s="147"/>
      <c r="BU154" s="147"/>
      <c r="BV154" s="147"/>
      <c r="BW154" s="147"/>
      <c r="BX154" s="147">
        <f t="shared" si="140"/>
        <v>1567</v>
      </c>
      <c r="BY154" s="148">
        <f t="shared" si="96"/>
        <v>783.5</v>
      </c>
      <c r="CA154" s="169">
        <f>ROW()</f>
        <v>154</v>
      </c>
      <c r="CB154" s="169">
        <f>IFERROR(_xlfn.XLOOKUP($A$1,$2:$2,154:154)-_xlfn.XLOOKUP(EDATE($A$1,-12),$2:$2,154:154),"")</f>
        <v>-544</v>
      </c>
      <c r="CC154" s="169">
        <f t="shared" si="83"/>
        <v>155.08333333333326</v>
      </c>
      <c r="CD154" s="169">
        <f>IFERROR(
  SUM(
    _xlfn.XLOOKUP(DATE(YEAR($A$1),1,1),$2:$2,154:154):
    _xlfn.XLOOKUP($A$1,$2:$2,154:154)
  )
 -SUM(
    _xlfn.XLOOKUP(DATE(YEAR($A$1)-1,1,1),$2:$2,154:154):
    _xlfn.XLOOKUP(EDATE($A$1,-12),$2:$2,154:154)
  ),"")</f>
        <v>-187</v>
      </c>
      <c r="CE154" s="4517">
        <f>IFERROR(
  _xlfn.XLOOKUP($A$1,$B$2:$BY$2,$B154:$BY154)
 -_xlfn.XLOOKUP(EDATE($A$1,-1),$B$2:$BY$2,$B154:$BY154),"")</f>
        <v>-337</v>
      </c>
    </row>
    <row r="155" spans="1:86" ht="17.399999999999999" customHeight="1" x14ac:dyDescent="0.55000000000000004">
      <c r="A155" s="7198"/>
      <c r="B155" s="7204"/>
      <c r="C155" s="65" t="s">
        <v>403</v>
      </c>
      <c r="D155" s="146">
        <f>D163+D164</f>
        <v>994</v>
      </c>
      <c r="E155" s="147">
        <f t="shared" ref="E155:O155" si="145">E163+E164</f>
        <v>812</v>
      </c>
      <c r="F155" s="147">
        <f t="shared" si="145"/>
        <v>775</v>
      </c>
      <c r="G155" s="147">
        <f t="shared" si="145"/>
        <v>747</v>
      </c>
      <c r="H155" s="147">
        <f t="shared" si="145"/>
        <v>804</v>
      </c>
      <c r="I155" s="147">
        <f t="shared" si="145"/>
        <v>865</v>
      </c>
      <c r="J155" s="147">
        <f t="shared" si="145"/>
        <v>703</v>
      </c>
      <c r="K155" s="147">
        <f t="shared" si="145"/>
        <v>912</v>
      </c>
      <c r="L155" s="147">
        <f t="shared" si="145"/>
        <v>629</v>
      </c>
      <c r="M155" s="147">
        <f t="shared" si="145"/>
        <v>691</v>
      </c>
      <c r="N155" s="147">
        <f t="shared" si="145"/>
        <v>788</v>
      </c>
      <c r="O155" s="147">
        <f t="shared" si="145"/>
        <v>733</v>
      </c>
      <c r="P155" s="147">
        <f t="shared" si="122"/>
        <v>9453</v>
      </c>
      <c r="Q155" s="148">
        <f t="shared" si="137"/>
        <v>787.75</v>
      </c>
      <c r="R155" s="183"/>
      <c r="S155" s="146">
        <f>S163+S164</f>
        <v>788</v>
      </c>
      <c r="T155" s="147">
        <f t="shared" ref="T155:AD155" si="146">T163+T164</f>
        <v>1049</v>
      </c>
      <c r="U155" s="147">
        <f t="shared" si="146"/>
        <v>876</v>
      </c>
      <c r="V155" s="147">
        <f t="shared" si="146"/>
        <v>884</v>
      </c>
      <c r="W155" s="147">
        <f t="shared" si="146"/>
        <v>794</v>
      </c>
      <c r="X155" s="147">
        <f t="shared" si="146"/>
        <v>851</v>
      </c>
      <c r="Y155" s="147">
        <f t="shared" si="146"/>
        <v>640</v>
      </c>
      <c r="Z155" s="147">
        <f t="shared" si="146"/>
        <v>988</v>
      </c>
      <c r="AA155" s="147">
        <f t="shared" si="146"/>
        <v>596</v>
      </c>
      <c r="AB155" s="147">
        <f t="shared" si="146"/>
        <v>713</v>
      </c>
      <c r="AC155" s="147">
        <f t="shared" si="146"/>
        <v>691</v>
      </c>
      <c r="AD155" s="147">
        <f t="shared" si="146"/>
        <v>602</v>
      </c>
      <c r="AE155" s="147">
        <f t="shared" si="120"/>
        <v>9472</v>
      </c>
      <c r="AF155" s="148">
        <f t="shared" si="121"/>
        <v>789.33333333333337</v>
      </c>
      <c r="AG155" s="183"/>
      <c r="AH155" s="146">
        <v>1016</v>
      </c>
      <c r="AI155" s="147">
        <v>799</v>
      </c>
      <c r="AJ155" s="147">
        <v>965</v>
      </c>
      <c r="AK155" s="147">
        <v>1005</v>
      </c>
      <c r="AL155" s="147">
        <v>989</v>
      </c>
      <c r="AM155" s="147">
        <v>877</v>
      </c>
      <c r="AN155" s="147">
        <v>1114</v>
      </c>
      <c r="AO155" s="147">
        <v>806</v>
      </c>
      <c r="AP155" s="147">
        <v>837</v>
      </c>
      <c r="AQ155" s="147">
        <v>953</v>
      </c>
      <c r="AR155" s="147">
        <v>1525</v>
      </c>
      <c r="AS155" s="147">
        <v>755</v>
      </c>
      <c r="AT155" s="147">
        <f t="shared" si="123"/>
        <v>11641</v>
      </c>
      <c r="AU155" s="148">
        <f t="shared" ref="AU155:AU213" si="147">AT155/12</f>
        <v>970.08333333333337</v>
      </c>
      <c r="AV155" s="243"/>
      <c r="AW155" s="482">
        <v>587</v>
      </c>
      <c r="AX155" s="147">
        <v>1218</v>
      </c>
      <c r="AY155" s="147">
        <v>941</v>
      </c>
      <c r="AZ155" s="147">
        <v>1292</v>
      </c>
      <c r="BA155" s="147">
        <v>1818</v>
      </c>
      <c r="BB155" s="147">
        <v>1109</v>
      </c>
      <c r="BC155" s="147">
        <v>1571</v>
      </c>
      <c r="BD155" s="147">
        <v>1032</v>
      </c>
      <c r="BE155" s="147">
        <v>1015</v>
      </c>
      <c r="BF155" s="147">
        <v>763</v>
      </c>
      <c r="BG155" s="147">
        <v>697</v>
      </c>
      <c r="BH155" s="147">
        <v>611</v>
      </c>
      <c r="BI155" s="147">
        <f t="shared" si="139"/>
        <v>12654</v>
      </c>
      <c r="BJ155" s="148">
        <f t="shared" si="117"/>
        <v>1054.5</v>
      </c>
      <c r="BK155" s="243"/>
      <c r="BL155" s="482">
        <v>934</v>
      </c>
      <c r="BM155" s="147">
        <v>606</v>
      </c>
      <c r="BN155" s="147"/>
      <c r="BO155" s="147"/>
      <c r="BP155" s="147"/>
      <c r="BQ155" s="147"/>
      <c r="BR155" s="147"/>
      <c r="BS155" s="147"/>
      <c r="BT155" s="147"/>
      <c r="BU155" s="147"/>
      <c r="BV155" s="147"/>
      <c r="BW155" s="147"/>
      <c r="BX155" s="147">
        <f t="shared" si="140"/>
        <v>1540</v>
      </c>
      <c r="BY155" s="148">
        <f t="shared" si="96"/>
        <v>770</v>
      </c>
      <c r="CA155" s="169">
        <f>ROW()</f>
        <v>155</v>
      </c>
      <c r="CB155" s="169">
        <f>IFERROR(_xlfn.XLOOKUP($A$1,$2:$2,155:155)-_xlfn.XLOOKUP(EDATE($A$1,-12),$2:$2,155:155),"")</f>
        <v>-612</v>
      </c>
      <c r="CC155" s="169">
        <f t="shared" si="83"/>
        <v>84.416666666666629</v>
      </c>
      <c r="CD155" s="169">
        <f>IFERROR(
  SUM(
    _xlfn.XLOOKUP(DATE(YEAR($A$1),1,1),$2:$2,155:155):
    _xlfn.XLOOKUP($A$1,$2:$2,155:155)
  )
 -SUM(
    _xlfn.XLOOKUP(DATE(YEAR($A$1)-1,1,1),$2:$2,155:155):
    _xlfn.XLOOKUP(EDATE($A$1,-12),$2:$2,155:155)
  ),"")</f>
        <v>-265</v>
      </c>
      <c r="CE155" s="4517">
        <f>IFERROR(
  _xlfn.XLOOKUP($A$1,$B$2:$BY$2,$B155:$BY155)
 -_xlfn.XLOOKUP(EDATE($A$1,-1),$B$2:$BY$2,$B155:$BY155),"")</f>
        <v>-328</v>
      </c>
    </row>
    <row r="156" spans="1:86" ht="17.399999999999999" customHeight="1" x14ac:dyDescent="0.55000000000000004">
      <c r="A156" s="7198"/>
      <c r="B156" s="7205"/>
      <c r="C156" s="66" t="s">
        <v>404</v>
      </c>
      <c r="D156" s="149">
        <f>D165+D166</f>
        <v>728</v>
      </c>
      <c r="E156" s="150">
        <f t="shared" ref="E156:O156" si="148">E165+E166</f>
        <v>528</v>
      </c>
      <c r="F156" s="150">
        <f t="shared" si="148"/>
        <v>519</v>
      </c>
      <c r="G156" s="150">
        <f t="shared" si="148"/>
        <v>484</v>
      </c>
      <c r="H156" s="150">
        <f t="shared" si="148"/>
        <v>540</v>
      </c>
      <c r="I156" s="150">
        <f t="shared" si="148"/>
        <v>504</v>
      </c>
      <c r="J156" s="150">
        <f t="shared" si="148"/>
        <v>498</v>
      </c>
      <c r="K156" s="150">
        <f t="shared" si="148"/>
        <v>587</v>
      </c>
      <c r="L156" s="150">
        <f t="shared" si="148"/>
        <v>419</v>
      </c>
      <c r="M156" s="150">
        <f t="shared" si="148"/>
        <v>475</v>
      </c>
      <c r="N156" s="150">
        <f t="shared" si="148"/>
        <v>533</v>
      </c>
      <c r="O156" s="150">
        <f t="shared" si="148"/>
        <v>438</v>
      </c>
      <c r="P156" s="150">
        <f t="shared" si="122"/>
        <v>6253</v>
      </c>
      <c r="Q156" s="151">
        <f t="shared" si="137"/>
        <v>521.08333333333337</v>
      </c>
      <c r="R156" s="183"/>
      <c r="S156" s="149">
        <f>S165+S166</f>
        <v>540</v>
      </c>
      <c r="T156" s="150">
        <f t="shared" ref="T156:AD156" si="149">T165+T166</f>
        <v>581</v>
      </c>
      <c r="U156" s="150">
        <f t="shared" si="149"/>
        <v>495</v>
      </c>
      <c r="V156" s="150">
        <f t="shared" si="149"/>
        <v>561</v>
      </c>
      <c r="W156" s="150">
        <f t="shared" si="149"/>
        <v>461</v>
      </c>
      <c r="X156" s="150">
        <f t="shared" si="149"/>
        <v>472</v>
      </c>
      <c r="Y156" s="150">
        <f t="shared" si="149"/>
        <v>430</v>
      </c>
      <c r="Z156" s="150">
        <f t="shared" si="149"/>
        <v>615</v>
      </c>
      <c r="AA156" s="150">
        <f t="shared" si="149"/>
        <v>411</v>
      </c>
      <c r="AB156" s="150">
        <f t="shared" si="149"/>
        <v>471</v>
      </c>
      <c r="AC156" s="150">
        <f t="shared" si="149"/>
        <v>412</v>
      </c>
      <c r="AD156" s="150">
        <f t="shared" si="149"/>
        <v>369</v>
      </c>
      <c r="AE156" s="150">
        <f t="shared" si="120"/>
        <v>5818</v>
      </c>
      <c r="AF156" s="151">
        <f t="shared" si="121"/>
        <v>484.83333333333331</v>
      </c>
      <c r="AG156" s="183"/>
      <c r="AH156" s="149">
        <v>629</v>
      </c>
      <c r="AI156" s="150">
        <v>443</v>
      </c>
      <c r="AJ156" s="150">
        <v>664</v>
      </c>
      <c r="AK156" s="150">
        <v>644</v>
      </c>
      <c r="AL156" s="150">
        <v>626</v>
      </c>
      <c r="AM156" s="150">
        <v>586</v>
      </c>
      <c r="AN156" s="150">
        <v>651</v>
      </c>
      <c r="AO156" s="150">
        <v>524</v>
      </c>
      <c r="AP156" s="150">
        <v>590</v>
      </c>
      <c r="AQ156" s="150">
        <v>530</v>
      </c>
      <c r="AR156" s="150">
        <v>974</v>
      </c>
      <c r="AS156" s="150">
        <v>463</v>
      </c>
      <c r="AT156" s="150">
        <f t="shared" si="123"/>
        <v>7324</v>
      </c>
      <c r="AU156" s="151">
        <f t="shared" si="147"/>
        <v>610.33333333333337</v>
      </c>
      <c r="AV156" s="243"/>
      <c r="AW156" s="483">
        <v>424</v>
      </c>
      <c r="AX156" s="150">
        <v>873</v>
      </c>
      <c r="AY156" s="150">
        <v>723</v>
      </c>
      <c r="AZ156" s="150">
        <v>690</v>
      </c>
      <c r="BA156" s="150">
        <v>1211</v>
      </c>
      <c r="BB156" s="150">
        <v>678</v>
      </c>
      <c r="BC156" s="150">
        <v>981</v>
      </c>
      <c r="BD156" s="150">
        <v>675</v>
      </c>
      <c r="BE156" s="150">
        <v>626</v>
      </c>
      <c r="BF156" s="150">
        <v>495</v>
      </c>
      <c r="BG156" s="150">
        <v>485</v>
      </c>
      <c r="BH156" s="150">
        <v>452</v>
      </c>
      <c r="BI156" s="150">
        <f t="shared" si="139"/>
        <v>8313</v>
      </c>
      <c r="BJ156" s="151">
        <f t="shared" si="117"/>
        <v>692.75</v>
      </c>
      <c r="BK156" s="243"/>
      <c r="BL156" s="483">
        <v>670</v>
      </c>
      <c r="BM156" s="150">
        <v>483</v>
      </c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>
        <f t="shared" si="140"/>
        <v>1153</v>
      </c>
      <c r="BY156" s="151">
        <f t="shared" si="96"/>
        <v>576.5</v>
      </c>
      <c r="CA156" s="169">
        <f>ROW()</f>
        <v>156</v>
      </c>
      <c r="CB156" s="169">
        <f>IFERROR(_xlfn.XLOOKUP($A$1,$2:$2,156:156)-_xlfn.XLOOKUP(EDATE($A$1,-12),$2:$2,156:156),"")</f>
        <v>-390</v>
      </c>
      <c r="CC156" s="169">
        <f t="shared" si="83"/>
        <v>82.416666666666629</v>
      </c>
      <c r="CD156" s="169">
        <f>IFERROR(
  SUM(
    _xlfn.XLOOKUP(DATE(YEAR($A$1),1,1),$2:$2,156:156):
    _xlfn.XLOOKUP($A$1,$2:$2,156:156)
  )
 -SUM(
    _xlfn.XLOOKUP(DATE(YEAR($A$1)-1,1,1),$2:$2,156:156):
    _xlfn.XLOOKUP(EDATE($A$1,-12),$2:$2,156:156)
  ),"")</f>
        <v>-144</v>
      </c>
      <c r="CE156" s="4517">
        <f>IFERROR(
  _xlfn.XLOOKUP($A$1,$B$2:$BY$2,$B156:$BY156)
 -_xlfn.XLOOKUP(EDATE($A$1,-1),$B$2:$BY$2,$B156:$BY156),"")</f>
        <v>-187</v>
      </c>
    </row>
    <row r="157" spans="1:86" ht="17.399999999999999" customHeight="1" x14ac:dyDescent="0.55000000000000004">
      <c r="A157" s="7198"/>
      <c r="B157" s="7206" t="s">
        <v>412</v>
      </c>
      <c r="C157" s="67" t="s">
        <v>211</v>
      </c>
      <c r="D157" s="152">
        <f t="shared" ref="D157:O157" si="150">D194+D231</f>
        <v>269</v>
      </c>
      <c r="E157" s="153">
        <f t="shared" si="150"/>
        <v>204</v>
      </c>
      <c r="F157" s="153">
        <f t="shared" si="150"/>
        <v>193</v>
      </c>
      <c r="G157" s="153">
        <f t="shared" si="150"/>
        <v>189</v>
      </c>
      <c r="H157" s="153">
        <f t="shared" si="150"/>
        <v>175</v>
      </c>
      <c r="I157" s="153">
        <f t="shared" si="150"/>
        <v>229</v>
      </c>
      <c r="J157" s="153">
        <f t="shared" si="150"/>
        <v>229</v>
      </c>
      <c r="K157" s="153">
        <f t="shared" si="150"/>
        <v>222</v>
      </c>
      <c r="L157" s="153">
        <f t="shared" si="150"/>
        <v>216</v>
      </c>
      <c r="M157" s="153">
        <f t="shared" si="150"/>
        <v>155</v>
      </c>
      <c r="N157" s="153">
        <f t="shared" si="150"/>
        <v>159</v>
      </c>
      <c r="O157" s="153">
        <f t="shared" si="150"/>
        <v>166</v>
      </c>
      <c r="P157" s="153">
        <f t="shared" si="122"/>
        <v>2406</v>
      </c>
      <c r="Q157" s="154">
        <f t="shared" si="137"/>
        <v>200.5</v>
      </c>
      <c r="R157" s="183"/>
      <c r="S157" s="152">
        <v>189</v>
      </c>
      <c r="T157" s="153">
        <v>218</v>
      </c>
      <c r="U157" s="153">
        <v>245</v>
      </c>
      <c r="V157" s="153">
        <v>271</v>
      </c>
      <c r="W157" s="153">
        <v>209</v>
      </c>
      <c r="X157" s="153">
        <v>194</v>
      </c>
      <c r="Y157" s="153">
        <v>186</v>
      </c>
      <c r="Z157" s="153">
        <v>249</v>
      </c>
      <c r="AA157" s="153">
        <v>132</v>
      </c>
      <c r="AB157" s="153">
        <v>188</v>
      </c>
      <c r="AC157" s="153">
        <v>177</v>
      </c>
      <c r="AD157" s="153">
        <v>150</v>
      </c>
      <c r="AE157" s="153">
        <f t="shared" si="120"/>
        <v>2408</v>
      </c>
      <c r="AF157" s="154">
        <f t="shared" si="121"/>
        <v>200.66666666666666</v>
      </c>
      <c r="AG157" s="183"/>
      <c r="AH157" s="152">
        <v>217</v>
      </c>
      <c r="AI157" s="153">
        <v>190</v>
      </c>
      <c r="AJ157" s="153">
        <v>240</v>
      </c>
      <c r="AK157" s="153">
        <v>267</v>
      </c>
      <c r="AL157" s="153">
        <v>240</v>
      </c>
      <c r="AM157" s="153">
        <v>240</v>
      </c>
      <c r="AN157" s="153">
        <v>251</v>
      </c>
      <c r="AO157" s="153">
        <v>219</v>
      </c>
      <c r="AP157" s="153">
        <v>190</v>
      </c>
      <c r="AQ157" s="153">
        <v>185</v>
      </c>
      <c r="AR157" s="153">
        <v>387</v>
      </c>
      <c r="AS157" s="153">
        <v>218</v>
      </c>
      <c r="AT157" s="153">
        <f t="shared" si="123"/>
        <v>2844</v>
      </c>
      <c r="AU157" s="154">
        <f t="shared" si="147"/>
        <v>237</v>
      </c>
      <c r="AV157" s="243"/>
      <c r="AW157" s="487">
        <v>193</v>
      </c>
      <c r="AX157" s="153">
        <v>333</v>
      </c>
      <c r="AY157" s="153">
        <v>266</v>
      </c>
      <c r="AZ157" s="153">
        <v>337</v>
      </c>
      <c r="BA157" s="153">
        <v>668</v>
      </c>
      <c r="BB157" s="153">
        <v>333</v>
      </c>
      <c r="BC157" s="153">
        <v>466</v>
      </c>
      <c r="BD157" s="153">
        <v>252</v>
      </c>
      <c r="BE157" s="153">
        <v>285</v>
      </c>
      <c r="BF157" s="153">
        <v>178</v>
      </c>
      <c r="BG157" s="153">
        <v>213</v>
      </c>
      <c r="BH157" s="153">
        <v>194</v>
      </c>
      <c r="BI157" s="153">
        <f t="shared" si="139"/>
        <v>3718</v>
      </c>
      <c r="BJ157" s="154">
        <f t="shared" si="117"/>
        <v>309.83333333333331</v>
      </c>
      <c r="BK157" s="243"/>
      <c r="BL157" s="487">
        <v>284</v>
      </c>
      <c r="BM157" s="153">
        <v>194</v>
      </c>
      <c r="BN157" s="153"/>
      <c r="BO157" s="153"/>
      <c r="BP157" s="153"/>
      <c r="BQ157" s="153"/>
      <c r="BR157" s="153"/>
      <c r="BS157" s="153"/>
      <c r="BT157" s="153"/>
      <c r="BU157" s="153"/>
      <c r="BV157" s="153"/>
      <c r="BW157" s="153"/>
      <c r="BX157" s="153">
        <f t="shared" si="140"/>
        <v>478</v>
      </c>
      <c r="BY157" s="154">
        <f t="shared" si="96"/>
        <v>239</v>
      </c>
      <c r="CA157" s="169">
        <f>ROW()</f>
        <v>157</v>
      </c>
      <c r="CB157" s="169">
        <f>IFERROR(_xlfn.XLOOKUP($A$1,$2:$2,157:157)-_xlfn.XLOOKUP(EDATE($A$1,-12),$2:$2,157:157),"")</f>
        <v>-139</v>
      </c>
      <c r="CC157" s="169">
        <f t="shared" si="83"/>
        <v>72.833333333333314</v>
      </c>
      <c r="CD157" s="169">
        <f>IFERROR(
  SUM(
    _xlfn.XLOOKUP(DATE(YEAR($A$1),1,1),$2:$2,157:157):
    _xlfn.XLOOKUP($A$1,$2:$2,157:157)
  )
 -SUM(
    _xlfn.XLOOKUP(DATE(YEAR($A$1)-1,1,1),$2:$2,157:157):
    _xlfn.XLOOKUP(EDATE($A$1,-12),$2:$2,157:157)
  ),"")</f>
        <v>-48</v>
      </c>
      <c r="CE157" s="4517">
        <f>IFERROR(
  _xlfn.XLOOKUP($A$1,$B$2:$BY$2,$B157:$BY157)
 -_xlfn.XLOOKUP(EDATE($A$1,-1),$B$2:$BY$2,$B157:$BY157),"")</f>
        <v>-90</v>
      </c>
    </row>
    <row r="158" spans="1:86" ht="17.399999999999999" customHeight="1" x14ac:dyDescent="0.55000000000000004">
      <c r="A158" s="7198"/>
      <c r="B158" s="7207"/>
      <c r="C158" s="67" t="s">
        <v>212</v>
      </c>
      <c r="D158" s="152">
        <f t="shared" ref="D158:O158" si="151">D195+D232</f>
        <v>278</v>
      </c>
      <c r="E158" s="153">
        <f t="shared" si="151"/>
        <v>224</v>
      </c>
      <c r="F158" s="153">
        <f t="shared" si="151"/>
        <v>210</v>
      </c>
      <c r="G158" s="153">
        <f t="shared" si="151"/>
        <v>207</v>
      </c>
      <c r="H158" s="153">
        <f t="shared" si="151"/>
        <v>242</v>
      </c>
      <c r="I158" s="153">
        <f t="shared" si="151"/>
        <v>241</v>
      </c>
      <c r="J158" s="153">
        <f t="shared" si="151"/>
        <v>204</v>
      </c>
      <c r="K158" s="153">
        <f t="shared" si="151"/>
        <v>256</v>
      </c>
      <c r="L158" s="153">
        <f t="shared" si="151"/>
        <v>180</v>
      </c>
      <c r="M158" s="153">
        <f t="shared" si="151"/>
        <v>175</v>
      </c>
      <c r="N158" s="153">
        <f t="shared" si="151"/>
        <v>230</v>
      </c>
      <c r="O158" s="153">
        <f t="shared" si="151"/>
        <v>195</v>
      </c>
      <c r="P158" s="153">
        <f t="shared" si="122"/>
        <v>2642</v>
      </c>
      <c r="Q158" s="154">
        <f t="shared" si="137"/>
        <v>220.16666666666666</v>
      </c>
      <c r="R158" s="183"/>
      <c r="S158" s="152">
        <v>235</v>
      </c>
      <c r="T158" s="153">
        <v>264</v>
      </c>
      <c r="U158" s="153">
        <v>211</v>
      </c>
      <c r="V158" s="153">
        <v>241</v>
      </c>
      <c r="W158" s="153">
        <v>198</v>
      </c>
      <c r="X158" s="153">
        <v>192</v>
      </c>
      <c r="Y158" s="153">
        <v>168</v>
      </c>
      <c r="Z158" s="153">
        <v>247</v>
      </c>
      <c r="AA158" s="153">
        <v>139</v>
      </c>
      <c r="AB158" s="153">
        <v>153</v>
      </c>
      <c r="AC158" s="153">
        <v>107</v>
      </c>
      <c r="AD158" s="153">
        <v>103</v>
      </c>
      <c r="AE158" s="153">
        <f t="shared" si="120"/>
        <v>2258</v>
      </c>
      <c r="AF158" s="154">
        <f t="shared" si="121"/>
        <v>188.16666666666666</v>
      </c>
      <c r="AG158" s="183"/>
      <c r="AH158" s="152">
        <v>231</v>
      </c>
      <c r="AI158" s="153">
        <v>162</v>
      </c>
      <c r="AJ158" s="153">
        <v>211</v>
      </c>
      <c r="AK158" s="153">
        <v>252</v>
      </c>
      <c r="AL158" s="153">
        <v>268</v>
      </c>
      <c r="AM158" s="153">
        <v>248</v>
      </c>
      <c r="AN158" s="153">
        <v>388</v>
      </c>
      <c r="AO158" s="153">
        <v>304</v>
      </c>
      <c r="AP158" s="153">
        <v>336</v>
      </c>
      <c r="AQ158" s="153">
        <v>279</v>
      </c>
      <c r="AR158" s="153">
        <v>462</v>
      </c>
      <c r="AS158" s="153">
        <v>245</v>
      </c>
      <c r="AT158" s="153">
        <f t="shared" si="123"/>
        <v>3386</v>
      </c>
      <c r="AU158" s="154">
        <f t="shared" si="147"/>
        <v>282.16666666666669</v>
      </c>
      <c r="AV158" s="183"/>
      <c r="AW158" s="487">
        <v>195</v>
      </c>
      <c r="AX158" s="153">
        <v>417</v>
      </c>
      <c r="AY158" s="153">
        <v>296</v>
      </c>
      <c r="AZ158" s="153">
        <v>362</v>
      </c>
      <c r="BA158" s="153">
        <v>668</v>
      </c>
      <c r="BB158" s="153">
        <v>309</v>
      </c>
      <c r="BC158" s="153">
        <v>448</v>
      </c>
      <c r="BD158" s="153">
        <v>308</v>
      </c>
      <c r="BE158" s="153">
        <v>289</v>
      </c>
      <c r="BF158" s="153">
        <v>200</v>
      </c>
      <c r="BG158" s="153">
        <v>255</v>
      </c>
      <c r="BH158" s="153">
        <v>230</v>
      </c>
      <c r="BI158" s="153">
        <f t="shared" si="139"/>
        <v>3977</v>
      </c>
      <c r="BJ158" s="154">
        <f t="shared" si="117"/>
        <v>331.41666666666669</v>
      </c>
      <c r="BK158" s="183"/>
      <c r="BL158" s="487">
        <v>291</v>
      </c>
      <c r="BM158" s="153">
        <v>206</v>
      </c>
      <c r="BN158" s="153"/>
      <c r="BO158" s="153"/>
      <c r="BP158" s="153"/>
      <c r="BQ158" s="153"/>
      <c r="BR158" s="153"/>
      <c r="BS158" s="153"/>
      <c r="BT158" s="153"/>
      <c r="BU158" s="153"/>
      <c r="BV158" s="153"/>
      <c r="BW158" s="153"/>
      <c r="BX158" s="153">
        <f t="shared" si="140"/>
        <v>497</v>
      </c>
      <c r="BY158" s="154">
        <f t="shared" si="96"/>
        <v>248.5</v>
      </c>
      <c r="CA158" s="169">
        <f>ROW()</f>
        <v>158</v>
      </c>
      <c r="CB158" s="169">
        <f>IFERROR(_xlfn.XLOOKUP($A$1,$2:$2,158:158)-_xlfn.XLOOKUP(EDATE($A$1,-12),$2:$2,158:158),"")</f>
        <v>-211</v>
      </c>
      <c r="CC158" s="169">
        <f t="shared" si="83"/>
        <v>49.25</v>
      </c>
      <c r="CD158" s="169">
        <f>IFERROR(
  SUM(
    _xlfn.XLOOKUP(DATE(YEAR($A$1),1,1),$2:$2,158:158):
    _xlfn.XLOOKUP($A$1,$2:$2,158:158)
  )
 -SUM(
    _xlfn.XLOOKUP(DATE(YEAR($A$1)-1,1,1),$2:$2,158:158):
    _xlfn.XLOOKUP(EDATE($A$1,-12),$2:$2,158:158)
  ),"")</f>
        <v>-115</v>
      </c>
      <c r="CE158" s="4517">
        <f>IFERROR(
  _xlfn.XLOOKUP($A$1,$B$2:$BY$2,$B158:$BY158)
 -_xlfn.XLOOKUP(EDATE($A$1,-1),$B$2:$BY$2,$B158:$BY158),"")</f>
        <v>-85</v>
      </c>
    </row>
    <row r="159" spans="1:86" ht="17.399999999999999" customHeight="1" x14ac:dyDescent="0.55000000000000004">
      <c r="A159" s="7198"/>
      <c r="B159" s="7207"/>
      <c r="C159" s="68" t="s">
        <v>213</v>
      </c>
      <c r="D159" s="155">
        <f t="shared" ref="D159:O159" si="152">D196+D233</f>
        <v>240</v>
      </c>
      <c r="E159" s="156">
        <f t="shared" si="152"/>
        <v>164</v>
      </c>
      <c r="F159" s="156">
        <f t="shared" si="152"/>
        <v>206</v>
      </c>
      <c r="G159" s="156">
        <f t="shared" si="152"/>
        <v>224</v>
      </c>
      <c r="H159" s="156">
        <f t="shared" si="152"/>
        <v>191</v>
      </c>
      <c r="I159" s="156">
        <f t="shared" si="152"/>
        <v>190</v>
      </c>
      <c r="J159" s="156">
        <f t="shared" si="152"/>
        <v>178</v>
      </c>
      <c r="K159" s="156">
        <f t="shared" si="152"/>
        <v>173</v>
      </c>
      <c r="L159" s="156">
        <f t="shared" si="152"/>
        <v>205</v>
      </c>
      <c r="M159" s="156">
        <f t="shared" si="152"/>
        <v>184</v>
      </c>
      <c r="N159" s="156">
        <f t="shared" si="152"/>
        <v>166</v>
      </c>
      <c r="O159" s="156">
        <f t="shared" si="152"/>
        <v>130</v>
      </c>
      <c r="P159" s="156">
        <f t="shared" si="122"/>
        <v>2251</v>
      </c>
      <c r="Q159" s="157">
        <f t="shared" si="137"/>
        <v>187.58333333333334</v>
      </c>
      <c r="R159" s="183"/>
      <c r="S159" s="155">
        <v>231</v>
      </c>
      <c r="T159" s="156">
        <v>238</v>
      </c>
      <c r="U159" s="156">
        <v>294</v>
      </c>
      <c r="V159" s="156">
        <v>283</v>
      </c>
      <c r="W159" s="156">
        <v>254</v>
      </c>
      <c r="X159" s="156">
        <v>203</v>
      </c>
      <c r="Y159" s="156">
        <v>183</v>
      </c>
      <c r="Z159" s="156">
        <v>258</v>
      </c>
      <c r="AA159" s="156">
        <v>160</v>
      </c>
      <c r="AB159" s="156">
        <v>222</v>
      </c>
      <c r="AC159" s="156">
        <v>186</v>
      </c>
      <c r="AD159" s="156">
        <v>171</v>
      </c>
      <c r="AE159" s="156">
        <f t="shared" si="120"/>
        <v>2683</v>
      </c>
      <c r="AF159" s="157">
        <f t="shared" si="121"/>
        <v>223.58333333333334</v>
      </c>
      <c r="AG159" s="183"/>
      <c r="AH159" s="155">
        <v>296</v>
      </c>
      <c r="AI159" s="156">
        <v>211</v>
      </c>
      <c r="AJ159" s="156">
        <v>236</v>
      </c>
      <c r="AK159" s="156">
        <v>280</v>
      </c>
      <c r="AL159" s="156">
        <v>258</v>
      </c>
      <c r="AM159" s="156">
        <v>232</v>
      </c>
      <c r="AN159" s="156">
        <v>303</v>
      </c>
      <c r="AO159" s="156">
        <v>212</v>
      </c>
      <c r="AP159" s="156">
        <v>199</v>
      </c>
      <c r="AQ159" s="156">
        <v>207</v>
      </c>
      <c r="AR159" s="156">
        <v>407</v>
      </c>
      <c r="AS159" s="156">
        <v>210</v>
      </c>
      <c r="AT159" s="156">
        <f t="shared" si="123"/>
        <v>3051</v>
      </c>
      <c r="AU159" s="157">
        <f t="shared" si="147"/>
        <v>254.25</v>
      </c>
      <c r="AV159" s="183"/>
      <c r="AW159" s="488">
        <v>234</v>
      </c>
      <c r="AX159" s="156">
        <v>403</v>
      </c>
      <c r="AY159" s="156">
        <v>284</v>
      </c>
      <c r="AZ159" s="156">
        <v>328</v>
      </c>
      <c r="BA159" s="156">
        <v>636</v>
      </c>
      <c r="BB159" s="156">
        <v>271</v>
      </c>
      <c r="BC159" s="156">
        <v>422</v>
      </c>
      <c r="BD159" s="156">
        <v>273</v>
      </c>
      <c r="BE159" s="156">
        <v>320</v>
      </c>
      <c r="BF159" s="156">
        <v>189</v>
      </c>
      <c r="BG159" s="156">
        <v>170</v>
      </c>
      <c r="BH159" s="156">
        <v>201</v>
      </c>
      <c r="BI159" s="156">
        <f t="shared" si="139"/>
        <v>3731</v>
      </c>
      <c r="BJ159" s="157">
        <f t="shared" si="117"/>
        <v>310.91666666666669</v>
      </c>
      <c r="BK159" s="183"/>
      <c r="BL159" s="488">
        <v>298</v>
      </c>
      <c r="BM159" s="156">
        <v>199</v>
      </c>
      <c r="BN159" s="156"/>
      <c r="BO159" s="156"/>
      <c r="BP159" s="156"/>
      <c r="BQ159" s="156"/>
      <c r="BR159" s="156"/>
      <c r="BS159" s="156"/>
      <c r="BT159" s="156"/>
      <c r="BU159" s="156"/>
      <c r="BV159" s="156"/>
      <c r="BW159" s="156"/>
      <c r="BX159" s="156">
        <f t="shared" si="140"/>
        <v>497</v>
      </c>
      <c r="BY159" s="157">
        <f t="shared" si="96"/>
        <v>248.5</v>
      </c>
      <c r="CA159" s="169">
        <f>ROW()</f>
        <v>159</v>
      </c>
      <c r="CB159" s="169">
        <f>IFERROR(_xlfn.XLOOKUP($A$1,$2:$2,159:159)-_xlfn.XLOOKUP(EDATE($A$1,-12),$2:$2,159:159),"")</f>
        <v>-204</v>
      </c>
      <c r="CC159" s="169">
        <f t="shared" ref="CC159:CC222" si="153">BJ159-AU159</f>
        <v>56.666666666666686</v>
      </c>
      <c r="CD159" s="169">
        <f>IFERROR(
  SUM(
    _xlfn.XLOOKUP(DATE(YEAR($A$1),1,1),$2:$2,159:159):
    _xlfn.XLOOKUP($A$1,$2:$2,159:159)
  )
 -SUM(
    _xlfn.XLOOKUP(DATE(YEAR($A$1)-1,1,1),$2:$2,159:159):
    _xlfn.XLOOKUP(EDATE($A$1,-12),$2:$2,159:159)
  ),"")</f>
        <v>-140</v>
      </c>
      <c r="CE159" s="4517">
        <f>IFERROR(
  _xlfn.XLOOKUP($A$1,$B$2:$BY$2,$B159:$BY159)
 -_xlfn.XLOOKUP(EDATE($A$1,-1),$B$2:$BY$2,$B159:$BY159),"")</f>
        <v>-99</v>
      </c>
    </row>
    <row r="160" spans="1:86" ht="17.399999999999999" customHeight="1" x14ac:dyDescent="0.55000000000000004">
      <c r="A160" s="7198"/>
      <c r="B160" s="7207"/>
      <c r="C160" s="68" t="s">
        <v>214</v>
      </c>
      <c r="D160" s="155">
        <f t="shared" ref="D160:O160" si="154">D197+D234</f>
        <v>424</v>
      </c>
      <c r="E160" s="156">
        <f t="shared" si="154"/>
        <v>269</v>
      </c>
      <c r="F160" s="156">
        <f t="shared" si="154"/>
        <v>245</v>
      </c>
      <c r="G160" s="156">
        <f t="shared" si="154"/>
        <v>252</v>
      </c>
      <c r="H160" s="156">
        <f t="shared" si="154"/>
        <v>254</v>
      </c>
      <c r="I160" s="156">
        <f t="shared" si="154"/>
        <v>267</v>
      </c>
      <c r="J160" s="156">
        <f t="shared" si="154"/>
        <v>260</v>
      </c>
      <c r="K160" s="156">
        <f t="shared" si="154"/>
        <v>273</v>
      </c>
      <c r="L160" s="156">
        <f t="shared" si="154"/>
        <v>249</v>
      </c>
      <c r="M160" s="156">
        <f t="shared" si="154"/>
        <v>218</v>
      </c>
      <c r="N160" s="156">
        <f t="shared" si="154"/>
        <v>239</v>
      </c>
      <c r="O160" s="156">
        <f t="shared" si="154"/>
        <v>284</v>
      </c>
      <c r="P160" s="156">
        <f t="shared" si="122"/>
        <v>3234</v>
      </c>
      <c r="Q160" s="157">
        <f t="shared" si="137"/>
        <v>269.5</v>
      </c>
      <c r="R160" s="183"/>
      <c r="S160" s="155">
        <v>284</v>
      </c>
      <c r="T160" s="156">
        <v>369</v>
      </c>
      <c r="U160" s="156">
        <v>286</v>
      </c>
      <c r="V160" s="156">
        <v>307</v>
      </c>
      <c r="W160" s="156">
        <v>281</v>
      </c>
      <c r="X160" s="156">
        <v>309</v>
      </c>
      <c r="Y160" s="156">
        <v>245</v>
      </c>
      <c r="Z160" s="156">
        <v>359</v>
      </c>
      <c r="AA160" s="156">
        <v>204</v>
      </c>
      <c r="AB160" s="156">
        <v>289</v>
      </c>
      <c r="AC160" s="156">
        <v>214</v>
      </c>
      <c r="AD160" s="156">
        <v>195</v>
      </c>
      <c r="AE160" s="156">
        <f t="shared" si="120"/>
        <v>3342</v>
      </c>
      <c r="AF160" s="157">
        <f t="shared" si="121"/>
        <v>278.5</v>
      </c>
      <c r="AG160" s="183"/>
      <c r="AH160" s="155">
        <v>348</v>
      </c>
      <c r="AI160" s="156">
        <v>256</v>
      </c>
      <c r="AJ160" s="156">
        <v>307</v>
      </c>
      <c r="AK160" s="156">
        <v>325</v>
      </c>
      <c r="AL160" s="156">
        <v>353</v>
      </c>
      <c r="AM160" s="156">
        <v>293</v>
      </c>
      <c r="AN160" s="156">
        <v>390</v>
      </c>
      <c r="AO160" s="156">
        <v>293</v>
      </c>
      <c r="AP160" s="156">
        <v>299</v>
      </c>
      <c r="AQ160" s="156">
        <v>294</v>
      </c>
      <c r="AR160" s="156">
        <v>549</v>
      </c>
      <c r="AS160" s="156">
        <v>303</v>
      </c>
      <c r="AT160" s="156">
        <f t="shared" si="123"/>
        <v>4010</v>
      </c>
      <c r="AU160" s="157">
        <f t="shared" si="147"/>
        <v>334.16666666666669</v>
      </c>
      <c r="AV160" s="183"/>
      <c r="AW160" s="488">
        <v>265</v>
      </c>
      <c r="AX160" s="156">
        <v>518</v>
      </c>
      <c r="AY160" s="156">
        <v>397</v>
      </c>
      <c r="AZ160" s="156">
        <v>399</v>
      </c>
      <c r="BA160" s="156">
        <v>797</v>
      </c>
      <c r="BB160" s="156">
        <v>390</v>
      </c>
      <c r="BC160" s="156">
        <v>522</v>
      </c>
      <c r="BD160" s="156">
        <v>392</v>
      </c>
      <c r="BE160" s="156">
        <v>455</v>
      </c>
      <c r="BF160" s="156">
        <v>301</v>
      </c>
      <c r="BG160" s="156">
        <v>300</v>
      </c>
      <c r="BH160" s="156">
        <v>305</v>
      </c>
      <c r="BI160" s="156">
        <f t="shared" si="139"/>
        <v>5041</v>
      </c>
      <c r="BJ160" s="157">
        <f t="shared" si="117"/>
        <v>420.08333333333331</v>
      </c>
      <c r="BK160" s="183"/>
      <c r="BL160" s="488">
        <v>431</v>
      </c>
      <c r="BM160" s="156">
        <v>295</v>
      </c>
      <c r="BN160" s="156"/>
      <c r="BO160" s="156"/>
      <c r="BP160" s="156"/>
      <c r="BQ160" s="156"/>
      <c r="BR160" s="156"/>
      <c r="BS160" s="156"/>
      <c r="BT160" s="156"/>
      <c r="BU160" s="156"/>
      <c r="BV160" s="156"/>
      <c r="BW160" s="156"/>
      <c r="BX160" s="156">
        <f t="shared" si="140"/>
        <v>726</v>
      </c>
      <c r="BY160" s="157">
        <f t="shared" si="96"/>
        <v>363</v>
      </c>
      <c r="CA160" s="169">
        <f>ROW()</f>
        <v>160</v>
      </c>
      <c r="CB160" s="169">
        <f>IFERROR(_xlfn.XLOOKUP($A$1,$2:$2,160:160)-_xlfn.XLOOKUP(EDATE($A$1,-12),$2:$2,160:160),"")</f>
        <v>-223</v>
      </c>
      <c r="CC160" s="169">
        <f t="shared" si="153"/>
        <v>85.916666666666629</v>
      </c>
      <c r="CD160" s="169">
        <f>IFERROR(
  SUM(
    _xlfn.XLOOKUP(DATE(YEAR($A$1),1,1),$2:$2,160:160):
    _xlfn.XLOOKUP($A$1,$2:$2,160:160)
  )
 -SUM(
    _xlfn.XLOOKUP(DATE(YEAR($A$1)-1,1,1),$2:$2,160:160):
    _xlfn.XLOOKUP(EDATE($A$1,-12),$2:$2,160:160)
  ),"")</f>
        <v>-57</v>
      </c>
      <c r="CE160" s="4517">
        <f>IFERROR(
  _xlfn.XLOOKUP($A$1,$B$2:$BY$2,$B160:$BY160)
 -_xlfn.XLOOKUP(EDATE($A$1,-1),$B$2:$BY$2,$B160:$BY160),"")</f>
        <v>-136</v>
      </c>
    </row>
    <row r="161" spans="1:83" ht="17.399999999999999" customHeight="1" x14ac:dyDescent="0.55000000000000004">
      <c r="A161" s="7198"/>
      <c r="B161" s="7207"/>
      <c r="C161" s="67" t="s">
        <v>215</v>
      </c>
      <c r="D161" s="152">
        <f t="shared" ref="D161:O161" si="155">D198+D235</f>
        <v>487</v>
      </c>
      <c r="E161" s="153">
        <f t="shared" si="155"/>
        <v>361</v>
      </c>
      <c r="F161" s="153">
        <f t="shared" si="155"/>
        <v>402</v>
      </c>
      <c r="G161" s="153">
        <f t="shared" si="155"/>
        <v>366</v>
      </c>
      <c r="H161" s="153">
        <f t="shared" si="155"/>
        <v>385</v>
      </c>
      <c r="I161" s="153">
        <f t="shared" si="155"/>
        <v>369</v>
      </c>
      <c r="J161" s="153">
        <f t="shared" si="155"/>
        <v>379</v>
      </c>
      <c r="K161" s="153">
        <f t="shared" si="155"/>
        <v>400</v>
      </c>
      <c r="L161" s="153">
        <f t="shared" si="155"/>
        <v>382</v>
      </c>
      <c r="M161" s="153">
        <f t="shared" si="155"/>
        <v>359</v>
      </c>
      <c r="N161" s="153">
        <f t="shared" si="155"/>
        <v>446</v>
      </c>
      <c r="O161" s="153">
        <f t="shared" si="155"/>
        <v>369</v>
      </c>
      <c r="P161" s="153">
        <f t="shared" si="122"/>
        <v>4705</v>
      </c>
      <c r="Q161" s="154">
        <f t="shared" si="137"/>
        <v>392.08333333333331</v>
      </c>
      <c r="R161" s="183"/>
      <c r="S161" s="152">
        <v>413</v>
      </c>
      <c r="T161" s="153">
        <v>400</v>
      </c>
      <c r="U161" s="153">
        <v>396</v>
      </c>
      <c r="V161" s="153">
        <v>438</v>
      </c>
      <c r="W161" s="153">
        <v>359</v>
      </c>
      <c r="X161" s="153">
        <v>362</v>
      </c>
      <c r="Y161" s="153">
        <v>317</v>
      </c>
      <c r="Z161" s="153">
        <v>419</v>
      </c>
      <c r="AA161" s="153">
        <v>278</v>
      </c>
      <c r="AB161" s="153">
        <v>307</v>
      </c>
      <c r="AC161" s="153">
        <v>396</v>
      </c>
      <c r="AD161" s="153">
        <v>294</v>
      </c>
      <c r="AE161" s="153">
        <f t="shared" si="120"/>
        <v>4379</v>
      </c>
      <c r="AF161" s="154">
        <f t="shared" si="121"/>
        <v>364.91666666666669</v>
      </c>
      <c r="AG161" s="183"/>
      <c r="AH161" s="152">
        <v>461</v>
      </c>
      <c r="AI161" s="153">
        <v>421</v>
      </c>
      <c r="AJ161" s="153">
        <v>405</v>
      </c>
      <c r="AK161" s="153">
        <v>433</v>
      </c>
      <c r="AL161" s="153">
        <v>521</v>
      </c>
      <c r="AM161" s="153">
        <v>402</v>
      </c>
      <c r="AN161" s="153">
        <v>523</v>
      </c>
      <c r="AO161" s="153">
        <v>460</v>
      </c>
      <c r="AP161" s="153">
        <v>482</v>
      </c>
      <c r="AQ161" s="153">
        <v>472</v>
      </c>
      <c r="AR161" s="153">
        <v>745</v>
      </c>
      <c r="AS161" s="153">
        <v>430</v>
      </c>
      <c r="AT161" s="153">
        <f t="shared" si="123"/>
        <v>5755</v>
      </c>
      <c r="AU161" s="154">
        <f t="shared" si="147"/>
        <v>479.58333333333331</v>
      </c>
      <c r="AV161" s="183"/>
      <c r="AW161" s="487">
        <v>376</v>
      </c>
      <c r="AX161" s="153">
        <v>663</v>
      </c>
      <c r="AY161" s="153">
        <v>472</v>
      </c>
      <c r="AZ161" s="153">
        <v>591</v>
      </c>
      <c r="BA161" s="153">
        <v>1083</v>
      </c>
      <c r="BB161" s="153">
        <v>585</v>
      </c>
      <c r="BC161" s="153">
        <v>802</v>
      </c>
      <c r="BD161" s="153">
        <v>524</v>
      </c>
      <c r="BE161" s="153">
        <v>562</v>
      </c>
      <c r="BF161" s="153">
        <v>373</v>
      </c>
      <c r="BG161" s="153">
        <v>419</v>
      </c>
      <c r="BH161" s="153">
        <v>403</v>
      </c>
      <c r="BI161" s="153">
        <f t="shared" si="139"/>
        <v>6853</v>
      </c>
      <c r="BJ161" s="154">
        <f t="shared" si="117"/>
        <v>571.08333333333337</v>
      </c>
      <c r="BK161" s="183"/>
      <c r="BL161" s="487">
        <v>551</v>
      </c>
      <c r="BM161" s="153">
        <v>398</v>
      </c>
      <c r="BN161" s="153"/>
      <c r="BO161" s="153"/>
      <c r="BP161" s="153"/>
      <c r="BQ161" s="153"/>
      <c r="BR161" s="153"/>
      <c r="BS161" s="153"/>
      <c r="BT161" s="153"/>
      <c r="BU161" s="153"/>
      <c r="BV161" s="153"/>
      <c r="BW161" s="153"/>
      <c r="BX161" s="153">
        <f t="shared" si="140"/>
        <v>949</v>
      </c>
      <c r="BY161" s="154">
        <f t="shared" si="96"/>
        <v>474.5</v>
      </c>
      <c r="CA161" s="169">
        <f>ROW()</f>
        <v>161</v>
      </c>
      <c r="CB161" s="169">
        <f>IFERROR(_xlfn.XLOOKUP($A$1,$2:$2,161:161)-_xlfn.XLOOKUP(EDATE($A$1,-12),$2:$2,161:161),"")</f>
        <v>-265</v>
      </c>
      <c r="CC161" s="169">
        <f t="shared" si="153"/>
        <v>91.500000000000057</v>
      </c>
      <c r="CD161" s="169">
        <f>IFERROR(
  SUM(
    _xlfn.XLOOKUP(DATE(YEAR($A$1),1,1),$2:$2,161:161):
    _xlfn.XLOOKUP($A$1,$2:$2,161:161)
  )
 -SUM(
    _xlfn.XLOOKUP(DATE(YEAR($A$1)-1,1,1),$2:$2,161:161):
    _xlfn.XLOOKUP(EDATE($A$1,-12),$2:$2,161:161)
  ),"")</f>
        <v>-90</v>
      </c>
      <c r="CE161" s="4517">
        <f>IFERROR(
  _xlfn.XLOOKUP($A$1,$B$2:$BY$2,$B161:$BY161)
 -_xlfn.XLOOKUP(EDATE($A$1,-1),$B$2:$BY$2,$B161:$BY161),"")</f>
        <v>-153</v>
      </c>
    </row>
    <row r="162" spans="1:83" ht="17.399999999999999" customHeight="1" x14ac:dyDescent="0.55000000000000004">
      <c r="A162" s="7198"/>
      <c r="B162" s="7207"/>
      <c r="C162" s="67" t="s">
        <v>216</v>
      </c>
      <c r="D162" s="152">
        <f t="shared" ref="D162:O162" si="156">D199+D236</f>
        <v>318</v>
      </c>
      <c r="E162" s="153">
        <f t="shared" si="156"/>
        <v>220</v>
      </c>
      <c r="F162" s="153">
        <f t="shared" si="156"/>
        <v>246</v>
      </c>
      <c r="G162" s="153">
        <f t="shared" si="156"/>
        <v>270</v>
      </c>
      <c r="H162" s="153">
        <f t="shared" si="156"/>
        <v>223</v>
      </c>
      <c r="I162" s="153">
        <f t="shared" si="156"/>
        <v>215</v>
      </c>
      <c r="J162" s="153">
        <f t="shared" si="156"/>
        <v>172</v>
      </c>
      <c r="K162" s="153">
        <f t="shared" si="156"/>
        <v>286</v>
      </c>
      <c r="L162" s="153">
        <f t="shared" si="156"/>
        <v>225</v>
      </c>
      <c r="M162" s="153">
        <f t="shared" si="156"/>
        <v>249</v>
      </c>
      <c r="N162" s="153">
        <f t="shared" si="156"/>
        <v>262</v>
      </c>
      <c r="O162" s="153">
        <f t="shared" si="156"/>
        <v>241</v>
      </c>
      <c r="P162" s="153">
        <f t="shared" si="122"/>
        <v>2927</v>
      </c>
      <c r="Q162" s="154">
        <f t="shared" si="137"/>
        <v>243.91666666666666</v>
      </c>
      <c r="R162" s="183"/>
      <c r="S162" s="152">
        <v>298</v>
      </c>
      <c r="T162" s="153">
        <v>327</v>
      </c>
      <c r="U162" s="153">
        <v>321</v>
      </c>
      <c r="V162" s="153">
        <v>308</v>
      </c>
      <c r="W162" s="153">
        <v>304</v>
      </c>
      <c r="X162" s="153">
        <v>277</v>
      </c>
      <c r="Y162" s="153">
        <v>215</v>
      </c>
      <c r="Z162" s="153">
        <v>427</v>
      </c>
      <c r="AA162" s="153">
        <v>257</v>
      </c>
      <c r="AB162" s="153">
        <v>318</v>
      </c>
      <c r="AC162" s="153">
        <v>288</v>
      </c>
      <c r="AD162" s="153">
        <v>174</v>
      </c>
      <c r="AE162" s="153">
        <f t="shared" si="120"/>
        <v>3514</v>
      </c>
      <c r="AF162" s="154">
        <f t="shared" si="121"/>
        <v>292.83333333333331</v>
      </c>
      <c r="AG162" s="183"/>
      <c r="AH162" s="152">
        <v>404</v>
      </c>
      <c r="AI162" s="153">
        <v>299</v>
      </c>
      <c r="AJ162" s="153">
        <v>340</v>
      </c>
      <c r="AK162" s="153">
        <v>346</v>
      </c>
      <c r="AL162" s="153">
        <v>350</v>
      </c>
      <c r="AM162" s="153">
        <v>237</v>
      </c>
      <c r="AN162" s="153">
        <v>379</v>
      </c>
      <c r="AO162" s="153">
        <v>268</v>
      </c>
      <c r="AP162" s="153">
        <v>340</v>
      </c>
      <c r="AQ162" s="153">
        <v>343</v>
      </c>
      <c r="AR162" s="153">
        <v>478</v>
      </c>
      <c r="AS162" s="153">
        <v>296</v>
      </c>
      <c r="AT162" s="153">
        <f t="shared" si="123"/>
        <v>4080</v>
      </c>
      <c r="AU162" s="154">
        <f t="shared" si="147"/>
        <v>340</v>
      </c>
      <c r="AV162" s="183"/>
      <c r="AW162" s="487">
        <v>219</v>
      </c>
      <c r="AX162" s="153">
        <v>496</v>
      </c>
      <c r="AY162" s="153">
        <v>366</v>
      </c>
      <c r="AZ162" s="153">
        <v>433</v>
      </c>
      <c r="BA162" s="153">
        <v>682</v>
      </c>
      <c r="BB162" s="153">
        <v>414</v>
      </c>
      <c r="BC162" s="153">
        <v>560</v>
      </c>
      <c r="BD162" s="153">
        <v>394</v>
      </c>
      <c r="BE162" s="153">
        <v>419</v>
      </c>
      <c r="BF162" s="153">
        <v>275</v>
      </c>
      <c r="BG162" s="153">
        <v>296</v>
      </c>
      <c r="BH162" s="153">
        <v>289</v>
      </c>
      <c r="BI162" s="153">
        <f t="shared" si="139"/>
        <v>4843</v>
      </c>
      <c r="BJ162" s="154">
        <f t="shared" si="117"/>
        <v>403.58333333333331</v>
      </c>
      <c r="BK162" s="183"/>
      <c r="BL162" s="487">
        <v>401</v>
      </c>
      <c r="BM162" s="153">
        <v>217</v>
      </c>
      <c r="BN162" s="153"/>
      <c r="BO162" s="153"/>
      <c r="BP162" s="153"/>
      <c r="BQ162" s="153"/>
      <c r="BR162" s="153"/>
      <c r="BS162" s="153"/>
      <c r="BT162" s="153"/>
      <c r="BU162" s="153"/>
      <c r="BV162" s="153"/>
      <c r="BW162" s="153"/>
      <c r="BX162" s="153">
        <f t="shared" si="140"/>
        <v>618</v>
      </c>
      <c r="BY162" s="154">
        <f t="shared" si="96"/>
        <v>309</v>
      </c>
      <c r="CA162" s="169">
        <f>ROW()</f>
        <v>162</v>
      </c>
      <c r="CB162" s="169">
        <f>IFERROR(_xlfn.XLOOKUP($A$1,$2:$2,162:162)-_xlfn.XLOOKUP(EDATE($A$1,-12),$2:$2,162:162),"")</f>
        <v>-279</v>
      </c>
      <c r="CC162" s="169">
        <f t="shared" si="153"/>
        <v>63.583333333333314</v>
      </c>
      <c r="CD162" s="169">
        <f>IFERROR(
  SUM(
    _xlfn.XLOOKUP(DATE(YEAR($A$1),1,1),$2:$2,162:162):
    _xlfn.XLOOKUP($A$1,$2:$2,162:162)
  )
 -SUM(
    _xlfn.XLOOKUP(DATE(YEAR($A$1)-1,1,1),$2:$2,162:162):
    _xlfn.XLOOKUP(EDATE($A$1,-12),$2:$2,162:162)
  ),"")</f>
        <v>-97</v>
      </c>
      <c r="CE162" s="4517">
        <f>IFERROR(
  _xlfn.XLOOKUP($A$1,$B$2:$BY$2,$B162:$BY162)
 -_xlfn.XLOOKUP(EDATE($A$1,-1),$B$2:$BY$2,$B162:$BY162),"")</f>
        <v>-184</v>
      </c>
    </row>
    <row r="163" spans="1:83" ht="17.399999999999999" customHeight="1" x14ac:dyDescent="0.55000000000000004">
      <c r="A163" s="7198"/>
      <c r="B163" s="7207"/>
      <c r="C163" s="68" t="s">
        <v>217</v>
      </c>
      <c r="D163" s="155">
        <f t="shared" ref="D163:O163" si="157">D200+D237</f>
        <v>639</v>
      </c>
      <c r="E163" s="156">
        <f t="shared" si="157"/>
        <v>493</v>
      </c>
      <c r="F163" s="156">
        <f t="shared" si="157"/>
        <v>464</v>
      </c>
      <c r="G163" s="156">
        <f t="shared" si="157"/>
        <v>467</v>
      </c>
      <c r="H163" s="156">
        <f t="shared" si="157"/>
        <v>549</v>
      </c>
      <c r="I163" s="156">
        <f t="shared" si="157"/>
        <v>503</v>
      </c>
      <c r="J163" s="156">
        <f t="shared" si="157"/>
        <v>434</v>
      </c>
      <c r="K163" s="156">
        <f t="shared" si="157"/>
        <v>534</v>
      </c>
      <c r="L163" s="156">
        <f t="shared" si="157"/>
        <v>378</v>
      </c>
      <c r="M163" s="156">
        <f t="shared" si="157"/>
        <v>415</v>
      </c>
      <c r="N163" s="156">
        <f t="shared" si="157"/>
        <v>496</v>
      </c>
      <c r="O163" s="156">
        <f t="shared" si="157"/>
        <v>434</v>
      </c>
      <c r="P163" s="156">
        <f t="shared" si="122"/>
        <v>5806</v>
      </c>
      <c r="Q163" s="157">
        <f t="shared" si="137"/>
        <v>483.83333333333331</v>
      </c>
      <c r="R163" s="183"/>
      <c r="S163" s="155">
        <v>457</v>
      </c>
      <c r="T163" s="156">
        <v>611</v>
      </c>
      <c r="U163" s="156">
        <v>556</v>
      </c>
      <c r="V163" s="156">
        <v>535</v>
      </c>
      <c r="W163" s="156">
        <v>464</v>
      </c>
      <c r="X163" s="156">
        <v>526</v>
      </c>
      <c r="Y163" s="156">
        <v>376</v>
      </c>
      <c r="Z163" s="156">
        <v>569</v>
      </c>
      <c r="AA163" s="156">
        <v>341</v>
      </c>
      <c r="AB163" s="156">
        <v>433</v>
      </c>
      <c r="AC163" s="156">
        <v>436</v>
      </c>
      <c r="AD163" s="156">
        <v>341</v>
      </c>
      <c r="AE163" s="156">
        <f t="shared" si="120"/>
        <v>5645</v>
      </c>
      <c r="AF163" s="157">
        <f t="shared" si="121"/>
        <v>470.41666666666669</v>
      </c>
      <c r="AG163" s="183"/>
      <c r="AH163" s="155">
        <v>562</v>
      </c>
      <c r="AI163" s="156">
        <v>469</v>
      </c>
      <c r="AJ163" s="156">
        <v>540</v>
      </c>
      <c r="AK163" s="156">
        <v>598</v>
      </c>
      <c r="AL163" s="156">
        <v>590</v>
      </c>
      <c r="AM163" s="156">
        <v>515</v>
      </c>
      <c r="AN163" s="156">
        <v>604</v>
      </c>
      <c r="AO163" s="156">
        <v>507</v>
      </c>
      <c r="AP163" s="156">
        <v>446</v>
      </c>
      <c r="AQ163" s="156">
        <v>606</v>
      </c>
      <c r="AR163" s="156">
        <v>909</v>
      </c>
      <c r="AS163" s="156">
        <v>470</v>
      </c>
      <c r="AT163" s="156">
        <f t="shared" si="123"/>
        <v>6816</v>
      </c>
      <c r="AU163" s="157">
        <f t="shared" si="147"/>
        <v>568</v>
      </c>
      <c r="AV163" s="183"/>
      <c r="AW163" s="488">
        <v>300</v>
      </c>
      <c r="AX163" s="156">
        <v>687</v>
      </c>
      <c r="AY163" s="156">
        <v>555</v>
      </c>
      <c r="AZ163" s="156">
        <v>781</v>
      </c>
      <c r="BA163" s="156">
        <v>1033</v>
      </c>
      <c r="BB163" s="156">
        <v>676</v>
      </c>
      <c r="BC163" s="156">
        <v>950</v>
      </c>
      <c r="BD163" s="156">
        <v>631</v>
      </c>
      <c r="BE163" s="156">
        <v>560</v>
      </c>
      <c r="BF163" s="156">
        <v>469</v>
      </c>
      <c r="BG163" s="156">
        <v>403</v>
      </c>
      <c r="BH163" s="156">
        <v>330</v>
      </c>
      <c r="BI163" s="156">
        <f t="shared" si="139"/>
        <v>7375</v>
      </c>
      <c r="BJ163" s="157">
        <f t="shared" si="117"/>
        <v>614.58333333333337</v>
      </c>
      <c r="BK163" s="183"/>
      <c r="BL163" s="488">
        <v>495</v>
      </c>
      <c r="BM163" s="156">
        <v>344</v>
      </c>
      <c r="BN163" s="156"/>
      <c r="BO163" s="156"/>
      <c r="BP163" s="156"/>
      <c r="BQ163" s="156"/>
      <c r="BR163" s="156"/>
      <c r="BS163" s="156"/>
      <c r="BT163" s="156"/>
      <c r="BU163" s="156"/>
      <c r="BV163" s="156"/>
      <c r="BW163" s="156"/>
      <c r="BX163" s="156">
        <f t="shared" si="140"/>
        <v>839</v>
      </c>
      <c r="BY163" s="157">
        <f t="shared" si="96"/>
        <v>419.5</v>
      </c>
      <c r="CA163" s="169">
        <f>ROW()</f>
        <v>163</v>
      </c>
      <c r="CB163" s="169">
        <f>IFERROR(_xlfn.XLOOKUP($A$1,$2:$2,163:163)-_xlfn.XLOOKUP(EDATE($A$1,-12),$2:$2,163:163),"")</f>
        <v>-343</v>
      </c>
      <c r="CC163" s="169">
        <f t="shared" si="153"/>
        <v>46.583333333333371</v>
      </c>
      <c r="CD163" s="169">
        <f>IFERROR(
  SUM(
    _xlfn.XLOOKUP(DATE(YEAR($A$1),1,1),$2:$2,163:163):
    _xlfn.XLOOKUP($A$1,$2:$2,163:163)
  )
 -SUM(
    _xlfn.XLOOKUP(DATE(YEAR($A$1)-1,1,1),$2:$2,163:163):
    _xlfn.XLOOKUP(EDATE($A$1,-12),$2:$2,163:163)
  ),"")</f>
        <v>-148</v>
      </c>
      <c r="CE163" s="4517">
        <f>IFERROR(
  _xlfn.XLOOKUP($A$1,$B$2:$BY$2,$B163:$BY163)
 -_xlfn.XLOOKUP(EDATE($A$1,-1),$B$2:$BY$2,$B163:$BY163),"")</f>
        <v>-151</v>
      </c>
    </row>
    <row r="164" spans="1:83" ht="17.399999999999999" customHeight="1" x14ac:dyDescent="0.55000000000000004">
      <c r="A164" s="7198"/>
      <c r="B164" s="7207"/>
      <c r="C164" s="68" t="s">
        <v>218</v>
      </c>
      <c r="D164" s="155">
        <f t="shared" ref="D164:O164" si="158">D201+D238</f>
        <v>355</v>
      </c>
      <c r="E164" s="156">
        <f t="shared" si="158"/>
        <v>319</v>
      </c>
      <c r="F164" s="156">
        <f t="shared" si="158"/>
        <v>311</v>
      </c>
      <c r="G164" s="156">
        <f t="shared" si="158"/>
        <v>280</v>
      </c>
      <c r="H164" s="156">
        <f t="shared" si="158"/>
        <v>255</v>
      </c>
      <c r="I164" s="156">
        <f t="shared" si="158"/>
        <v>362</v>
      </c>
      <c r="J164" s="156">
        <f t="shared" si="158"/>
        <v>269</v>
      </c>
      <c r="K164" s="156">
        <f t="shared" si="158"/>
        <v>378</v>
      </c>
      <c r="L164" s="156">
        <f t="shared" si="158"/>
        <v>251</v>
      </c>
      <c r="M164" s="156">
        <f t="shared" si="158"/>
        <v>276</v>
      </c>
      <c r="N164" s="156">
        <f t="shared" si="158"/>
        <v>292</v>
      </c>
      <c r="O164" s="156">
        <f t="shared" si="158"/>
        <v>299</v>
      </c>
      <c r="P164" s="156">
        <f t="shared" si="122"/>
        <v>3647</v>
      </c>
      <c r="Q164" s="157">
        <f t="shared" si="137"/>
        <v>303.91666666666669</v>
      </c>
      <c r="R164" s="183"/>
      <c r="S164" s="155">
        <v>331</v>
      </c>
      <c r="T164" s="156">
        <v>438</v>
      </c>
      <c r="U164" s="156">
        <v>320</v>
      </c>
      <c r="V164" s="156">
        <v>349</v>
      </c>
      <c r="W164" s="156">
        <v>330</v>
      </c>
      <c r="X164" s="156">
        <v>325</v>
      </c>
      <c r="Y164" s="156">
        <v>264</v>
      </c>
      <c r="Z164" s="156">
        <v>419</v>
      </c>
      <c r="AA164" s="156">
        <v>255</v>
      </c>
      <c r="AB164" s="156">
        <v>280</v>
      </c>
      <c r="AC164" s="156">
        <v>255</v>
      </c>
      <c r="AD164" s="156">
        <v>261</v>
      </c>
      <c r="AE164" s="156">
        <f t="shared" si="120"/>
        <v>3827</v>
      </c>
      <c r="AF164" s="157">
        <f t="shared" si="121"/>
        <v>318.91666666666669</v>
      </c>
      <c r="AG164" s="183"/>
      <c r="AH164" s="155">
        <v>454</v>
      </c>
      <c r="AI164" s="156">
        <v>330</v>
      </c>
      <c r="AJ164" s="156">
        <v>425</v>
      </c>
      <c r="AK164" s="156">
        <v>407</v>
      </c>
      <c r="AL164" s="156">
        <v>399</v>
      </c>
      <c r="AM164" s="156">
        <v>362</v>
      </c>
      <c r="AN164" s="156">
        <v>510</v>
      </c>
      <c r="AO164" s="156">
        <v>299</v>
      </c>
      <c r="AP164" s="156">
        <v>391</v>
      </c>
      <c r="AQ164" s="156">
        <v>347</v>
      </c>
      <c r="AR164" s="156">
        <v>616</v>
      </c>
      <c r="AS164" s="156">
        <v>285</v>
      </c>
      <c r="AT164" s="156">
        <f t="shared" si="123"/>
        <v>4825</v>
      </c>
      <c r="AU164" s="157">
        <f t="shared" si="147"/>
        <v>402.08333333333331</v>
      </c>
      <c r="AV164" s="183"/>
      <c r="AW164" s="488">
        <v>287</v>
      </c>
      <c r="AX164" s="156">
        <v>531</v>
      </c>
      <c r="AY164" s="156">
        <v>386</v>
      </c>
      <c r="AZ164" s="156">
        <v>511</v>
      </c>
      <c r="BA164" s="156">
        <v>785</v>
      </c>
      <c r="BB164" s="156">
        <v>433</v>
      </c>
      <c r="BC164" s="156">
        <v>621</v>
      </c>
      <c r="BD164" s="156">
        <v>401</v>
      </c>
      <c r="BE164" s="156">
        <v>455</v>
      </c>
      <c r="BF164" s="156">
        <v>294</v>
      </c>
      <c r="BG164" s="156">
        <v>294</v>
      </c>
      <c r="BH164" s="156">
        <v>281</v>
      </c>
      <c r="BI164" s="156">
        <f t="shared" si="139"/>
        <v>5279</v>
      </c>
      <c r="BJ164" s="157">
        <f t="shared" si="117"/>
        <v>439.91666666666669</v>
      </c>
      <c r="BK164" s="183"/>
      <c r="BL164" s="488">
        <v>439</v>
      </c>
      <c r="BM164" s="156">
        <v>262</v>
      </c>
      <c r="BN164" s="156"/>
      <c r="BO164" s="156"/>
      <c r="BP164" s="156"/>
      <c r="BQ164" s="156"/>
      <c r="BR164" s="156"/>
      <c r="BS164" s="156"/>
      <c r="BT164" s="156"/>
      <c r="BU164" s="156"/>
      <c r="BV164" s="156"/>
      <c r="BW164" s="156"/>
      <c r="BX164" s="156">
        <f t="shared" si="140"/>
        <v>701</v>
      </c>
      <c r="BY164" s="157">
        <f t="shared" ref="BY164:BY231" si="159">AVERAGE(BL164:BW164)</f>
        <v>350.5</v>
      </c>
      <c r="CA164" s="169">
        <f>ROW()</f>
        <v>164</v>
      </c>
      <c r="CB164" s="169">
        <f>IFERROR(_xlfn.XLOOKUP($A$1,$2:$2,164:164)-_xlfn.XLOOKUP(EDATE($A$1,-12),$2:$2,164:164),"")</f>
        <v>-269</v>
      </c>
      <c r="CC164" s="169">
        <f t="shared" si="153"/>
        <v>37.833333333333371</v>
      </c>
      <c r="CD164" s="169">
        <f>IFERROR(
  SUM(
    _xlfn.XLOOKUP(DATE(YEAR($A$1),1,1),$2:$2,164:164):
    _xlfn.XLOOKUP($A$1,$2:$2,164:164)
  )
 -SUM(
    _xlfn.XLOOKUP(DATE(YEAR($A$1)-1,1,1),$2:$2,164:164):
    _xlfn.XLOOKUP(EDATE($A$1,-12),$2:$2,164:164)
  ),"")</f>
        <v>-117</v>
      </c>
      <c r="CE164" s="4517">
        <f>IFERROR(
  _xlfn.XLOOKUP($A$1,$B$2:$BY$2,$B164:$BY164)
 -_xlfn.XLOOKUP(EDATE($A$1,-1),$B$2:$BY$2,$B164:$BY164),"")</f>
        <v>-177</v>
      </c>
    </row>
    <row r="165" spans="1:83" ht="17.399999999999999" customHeight="1" x14ac:dyDescent="0.55000000000000004">
      <c r="A165" s="7198"/>
      <c r="B165" s="7207"/>
      <c r="C165" s="67" t="s">
        <v>219</v>
      </c>
      <c r="D165" s="152">
        <f t="shared" ref="D165:O165" si="160">D202+D239</f>
        <v>414</v>
      </c>
      <c r="E165" s="153">
        <f t="shared" si="160"/>
        <v>288</v>
      </c>
      <c r="F165" s="153">
        <f t="shared" si="160"/>
        <v>301</v>
      </c>
      <c r="G165" s="153">
        <f t="shared" si="160"/>
        <v>262</v>
      </c>
      <c r="H165" s="153">
        <f t="shared" si="160"/>
        <v>337</v>
      </c>
      <c r="I165" s="153">
        <f t="shared" si="160"/>
        <v>296</v>
      </c>
      <c r="J165" s="153">
        <f t="shared" si="160"/>
        <v>312</v>
      </c>
      <c r="K165" s="153">
        <f t="shared" si="160"/>
        <v>391</v>
      </c>
      <c r="L165" s="153">
        <f t="shared" si="160"/>
        <v>248</v>
      </c>
      <c r="M165" s="153">
        <f t="shared" si="160"/>
        <v>302</v>
      </c>
      <c r="N165" s="153">
        <f t="shared" si="160"/>
        <v>371</v>
      </c>
      <c r="O165" s="153">
        <f t="shared" si="160"/>
        <v>253</v>
      </c>
      <c r="P165" s="153">
        <f t="shared" si="122"/>
        <v>3775</v>
      </c>
      <c r="Q165" s="154">
        <f t="shared" si="137"/>
        <v>314.58333333333331</v>
      </c>
      <c r="R165" s="183"/>
      <c r="S165" s="152">
        <v>356</v>
      </c>
      <c r="T165" s="153">
        <v>425</v>
      </c>
      <c r="U165" s="153">
        <v>294</v>
      </c>
      <c r="V165" s="153">
        <v>339</v>
      </c>
      <c r="W165" s="153">
        <v>281</v>
      </c>
      <c r="X165" s="153">
        <v>272</v>
      </c>
      <c r="Y165" s="153">
        <v>225</v>
      </c>
      <c r="Z165" s="153">
        <v>393</v>
      </c>
      <c r="AA165" s="153">
        <v>206</v>
      </c>
      <c r="AB165" s="153">
        <v>244</v>
      </c>
      <c r="AC165" s="153">
        <v>201</v>
      </c>
      <c r="AD165" s="153">
        <v>168</v>
      </c>
      <c r="AE165" s="153">
        <f t="shared" si="120"/>
        <v>3404</v>
      </c>
      <c r="AF165" s="154">
        <f t="shared" si="121"/>
        <v>283.66666666666669</v>
      </c>
      <c r="AG165" s="183"/>
      <c r="AH165" s="152">
        <v>391</v>
      </c>
      <c r="AI165" s="153">
        <v>218</v>
      </c>
      <c r="AJ165" s="153">
        <v>369</v>
      </c>
      <c r="AK165" s="153">
        <v>368</v>
      </c>
      <c r="AL165" s="153">
        <v>331</v>
      </c>
      <c r="AM165" s="153">
        <v>329</v>
      </c>
      <c r="AN165" s="153">
        <v>351</v>
      </c>
      <c r="AO165" s="153">
        <v>292</v>
      </c>
      <c r="AP165" s="153">
        <v>284</v>
      </c>
      <c r="AQ165" s="153">
        <v>264</v>
      </c>
      <c r="AR165" s="153">
        <v>506</v>
      </c>
      <c r="AS165" s="153">
        <v>232</v>
      </c>
      <c r="AT165" s="153">
        <f t="shared" si="123"/>
        <v>3935</v>
      </c>
      <c r="AU165" s="154">
        <f t="shared" si="147"/>
        <v>327.91666666666669</v>
      </c>
      <c r="AV165" s="183"/>
      <c r="AW165" s="487">
        <v>226</v>
      </c>
      <c r="AX165" s="153">
        <v>513</v>
      </c>
      <c r="AY165" s="153">
        <v>378</v>
      </c>
      <c r="AZ165" s="153">
        <v>392</v>
      </c>
      <c r="BA165" s="153">
        <v>646</v>
      </c>
      <c r="BB165" s="153">
        <v>308</v>
      </c>
      <c r="BC165" s="153">
        <v>527</v>
      </c>
      <c r="BD165" s="153">
        <v>342</v>
      </c>
      <c r="BE165" s="153">
        <v>350</v>
      </c>
      <c r="BF165" s="153">
        <v>246</v>
      </c>
      <c r="BG165" s="153">
        <v>241</v>
      </c>
      <c r="BH165" s="153">
        <v>221</v>
      </c>
      <c r="BI165" s="153">
        <f t="shared" si="139"/>
        <v>4390</v>
      </c>
      <c r="BJ165" s="154">
        <f t="shared" si="117"/>
        <v>365.83333333333331</v>
      </c>
      <c r="BK165" s="183"/>
      <c r="BL165" s="487">
        <v>349</v>
      </c>
      <c r="BM165" s="153">
        <v>282</v>
      </c>
      <c r="BN165" s="153"/>
      <c r="BO165" s="153"/>
      <c r="BP165" s="153"/>
      <c r="BQ165" s="153"/>
      <c r="BR165" s="153"/>
      <c r="BS165" s="153"/>
      <c r="BT165" s="153"/>
      <c r="BU165" s="153"/>
      <c r="BV165" s="153"/>
      <c r="BW165" s="153"/>
      <c r="BX165" s="153">
        <f t="shared" si="140"/>
        <v>631</v>
      </c>
      <c r="BY165" s="154">
        <f t="shared" si="159"/>
        <v>315.5</v>
      </c>
      <c r="CA165" s="169">
        <f>ROW()</f>
        <v>165</v>
      </c>
      <c r="CB165" s="169">
        <f>IFERROR(_xlfn.XLOOKUP($A$1,$2:$2,165:165)-_xlfn.XLOOKUP(EDATE($A$1,-12),$2:$2,165:165),"")</f>
        <v>-231</v>
      </c>
      <c r="CC165" s="169">
        <f t="shared" si="153"/>
        <v>37.916666666666629</v>
      </c>
      <c r="CD165" s="169">
        <f>IFERROR(
  SUM(
    _xlfn.XLOOKUP(DATE(YEAR($A$1),1,1),$2:$2,165:165):
    _xlfn.XLOOKUP($A$1,$2:$2,165:165)
  )
 -SUM(
    _xlfn.XLOOKUP(DATE(YEAR($A$1)-1,1,1),$2:$2,165:165):
    _xlfn.XLOOKUP(EDATE($A$1,-12),$2:$2,165:165)
  ),"")</f>
        <v>-108</v>
      </c>
      <c r="CE165" s="4517">
        <f>IFERROR(
  _xlfn.XLOOKUP($A$1,$B$2:$BY$2,$B165:$BY165)
 -_xlfn.XLOOKUP(EDATE($A$1,-1),$B$2:$BY$2,$B165:$BY165),"")</f>
        <v>-67</v>
      </c>
    </row>
    <row r="166" spans="1:83" ht="18" customHeight="1" thickBot="1" x14ac:dyDescent="0.6">
      <c r="A166" s="7198"/>
      <c r="B166" s="7208"/>
      <c r="C166" s="69" t="s">
        <v>220</v>
      </c>
      <c r="D166" s="158">
        <f t="shared" ref="D166:O166" si="161">D203+D240</f>
        <v>314</v>
      </c>
      <c r="E166" s="159">
        <f t="shared" si="161"/>
        <v>240</v>
      </c>
      <c r="F166" s="159">
        <f t="shared" si="161"/>
        <v>218</v>
      </c>
      <c r="G166" s="159">
        <f t="shared" si="161"/>
        <v>222</v>
      </c>
      <c r="H166" s="159">
        <f t="shared" si="161"/>
        <v>203</v>
      </c>
      <c r="I166" s="159">
        <f t="shared" si="161"/>
        <v>208</v>
      </c>
      <c r="J166" s="159">
        <f t="shared" si="161"/>
        <v>186</v>
      </c>
      <c r="K166" s="159">
        <f t="shared" si="161"/>
        <v>196</v>
      </c>
      <c r="L166" s="159">
        <f t="shared" si="161"/>
        <v>171</v>
      </c>
      <c r="M166" s="159">
        <f t="shared" si="161"/>
        <v>173</v>
      </c>
      <c r="N166" s="159">
        <f t="shared" si="161"/>
        <v>162</v>
      </c>
      <c r="O166" s="159">
        <f t="shared" si="161"/>
        <v>185</v>
      </c>
      <c r="P166" s="159">
        <f t="shared" si="122"/>
        <v>2478</v>
      </c>
      <c r="Q166" s="160">
        <f t="shared" si="137"/>
        <v>206.5</v>
      </c>
      <c r="R166" s="183"/>
      <c r="S166" s="158">
        <v>184</v>
      </c>
      <c r="T166" s="159">
        <v>156</v>
      </c>
      <c r="U166" s="159">
        <v>201</v>
      </c>
      <c r="V166" s="159">
        <v>222</v>
      </c>
      <c r="W166" s="159">
        <v>180</v>
      </c>
      <c r="X166" s="159">
        <v>200</v>
      </c>
      <c r="Y166" s="159">
        <v>205</v>
      </c>
      <c r="Z166" s="159">
        <v>222</v>
      </c>
      <c r="AA166" s="159">
        <v>205</v>
      </c>
      <c r="AB166" s="159">
        <v>227</v>
      </c>
      <c r="AC166" s="159">
        <v>211</v>
      </c>
      <c r="AD166" s="159">
        <v>201</v>
      </c>
      <c r="AE166" s="159">
        <f t="shared" si="120"/>
        <v>2414</v>
      </c>
      <c r="AF166" s="160">
        <f t="shared" si="121"/>
        <v>201.16666666666666</v>
      </c>
      <c r="AG166" s="183"/>
      <c r="AH166" s="158">
        <v>238</v>
      </c>
      <c r="AI166" s="159">
        <v>225</v>
      </c>
      <c r="AJ166" s="159">
        <v>295</v>
      </c>
      <c r="AK166" s="159">
        <v>276</v>
      </c>
      <c r="AL166" s="159">
        <v>295</v>
      </c>
      <c r="AM166" s="159">
        <v>257</v>
      </c>
      <c r="AN166" s="159">
        <v>300</v>
      </c>
      <c r="AO166" s="159">
        <v>232</v>
      </c>
      <c r="AP166" s="159">
        <v>306</v>
      </c>
      <c r="AQ166" s="159">
        <v>266</v>
      </c>
      <c r="AR166" s="159">
        <v>468</v>
      </c>
      <c r="AS166" s="159">
        <v>231</v>
      </c>
      <c r="AT166" s="159">
        <f t="shared" si="123"/>
        <v>3389</v>
      </c>
      <c r="AU166" s="160">
        <f t="shared" si="147"/>
        <v>282.41666666666669</v>
      </c>
      <c r="AV166" s="183"/>
      <c r="AW166" s="489">
        <v>198</v>
      </c>
      <c r="AX166" s="159">
        <v>360</v>
      </c>
      <c r="AY166" s="159">
        <v>345</v>
      </c>
      <c r="AZ166" s="159">
        <v>298</v>
      </c>
      <c r="BA166" s="159">
        <v>565</v>
      </c>
      <c r="BB166" s="159">
        <v>370</v>
      </c>
      <c r="BC166" s="159">
        <v>454</v>
      </c>
      <c r="BD166" s="159">
        <v>333</v>
      </c>
      <c r="BE166" s="159">
        <v>276</v>
      </c>
      <c r="BF166" s="159">
        <v>249</v>
      </c>
      <c r="BG166" s="159">
        <v>244</v>
      </c>
      <c r="BH166" s="159">
        <v>231</v>
      </c>
      <c r="BI166" s="159">
        <f t="shared" si="139"/>
        <v>3923</v>
      </c>
      <c r="BJ166" s="160">
        <f t="shared" si="117"/>
        <v>326.91666666666669</v>
      </c>
      <c r="BK166" s="183"/>
      <c r="BL166" s="489">
        <v>321</v>
      </c>
      <c r="BM166" s="159">
        <v>201</v>
      </c>
      <c r="BN166" s="159"/>
      <c r="BO166" s="159"/>
      <c r="BP166" s="159"/>
      <c r="BQ166" s="159"/>
      <c r="BR166" s="159"/>
      <c r="BS166" s="159"/>
      <c r="BT166" s="159"/>
      <c r="BU166" s="159"/>
      <c r="BV166" s="159"/>
      <c r="BW166" s="159"/>
      <c r="BX166" s="159">
        <f t="shared" si="140"/>
        <v>522</v>
      </c>
      <c r="BY166" s="160">
        <f t="shared" si="159"/>
        <v>261</v>
      </c>
      <c r="CA166" s="169">
        <f>ROW()</f>
        <v>166</v>
      </c>
      <c r="CB166" s="169">
        <f>IFERROR(_xlfn.XLOOKUP($A$1,$2:$2,166:166)-_xlfn.XLOOKUP(EDATE($A$1,-12),$2:$2,166:166),"")</f>
        <v>-159</v>
      </c>
      <c r="CC166" s="169">
        <f t="shared" si="153"/>
        <v>44.5</v>
      </c>
      <c r="CD166" s="169">
        <f>IFERROR(
  SUM(
    _xlfn.XLOOKUP(DATE(YEAR($A$1),1,1),$2:$2,166:166):
    _xlfn.XLOOKUP($A$1,$2:$2,166:166)
  )
 -SUM(
    _xlfn.XLOOKUP(DATE(YEAR($A$1)-1,1,1),$2:$2,166:166):
    _xlfn.XLOOKUP(EDATE($A$1,-12),$2:$2,166:166)
  ),"")</f>
        <v>-36</v>
      </c>
      <c r="CE166" s="4517">
        <f>IFERROR(
  _xlfn.XLOOKUP($A$1,$B$2:$BY$2,$B166:$BY166)
 -_xlfn.XLOOKUP(EDATE($A$1,-1),$B$2:$BY$2,$B166:$BY166),"")</f>
        <v>-120</v>
      </c>
    </row>
    <row r="167" spans="1:83" ht="17.399999999999999" customHeight="1" x14ac:dyDescent="0.55000000000000004">
      <c r="A167" s="7198"/>
      <c r="B167" s="7203" t="s">
        <v>1023</v>
      </c>
      <c r="C167" s="64" t="s">
        <v>400</v>
      </c>
      <c r="D167" s="143" t="e">
        <f>#REF!+#REF!</f>
        <v>#REF!</v>
      </c>
      <c r="E167" s="144" t="e">
        <f>#REF!+#REF!</f>
        <v>#REF!</v>
      </c>
      <c r="F167" s="144" t="e">
        <f>#REF!+#REF!</f>
        <v>#REF!</v>
      </c>
      <c r="G167" s="144" t="e">
        <f>#REF!+#REF!</f>
        <v>#REF!</v>
      </c>
      <c r="H167" s="144" t="e">
        <f>#REF!+#REF!</f>
        <v>#REF!</v>
      </c>
      <c r="I167" s="144" t="e">
        <f>#REF!+#REF!</f>
        <v>#REF!</v>
      </c>
      <c r="J167" s="144" t="e">
        <f>#REF!+#REF!</f>
        <v>#REF!</v>
      </c>
      <c r="K167" s="144" t="e">
        <f>#REF!+#REF!</f>
        <v>#REF!</v>
      </c>
      <c r="L167" s="144" t="e">
        <f>#REF!+#REF!</f>
        <v>#REF!</v>
      </c>
      <c r="M167" s="144" t="e">
        <f>#REF!+#REF!</f>
        <v>#REF!</v>
      </c>
      <c r="N167" s="144" t="e">
        <f>#REF!+#REF!</f>
        <v>#REF!</v>
      </c>
      <c r="O167" s="144" t="e">
        <f>#REF!+#REF!</f>
        <v>#REF!</v>
      </c>
      <c r="P167" s="144" t="e">
        <f t="shared" ref="P167:P171" si="162">SUM(D167:O167)</f>
        <v>#REF!</v>
      </c>
      <c r="Q167" s="145" t="e">
        <f t="shared" si="137"/>
        <v>#REF!</v>
      </c>
      <c r="R167" s="147"/>
      <c r="S167" s="143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>
        <f t="shared" ref="AE167:AE171" si="163">SUM(S167:AD167)</f>
        <v>0</v>
      </c>
      <c r="AF167" s="145">
        <f t="shared" si="121"/>
        <v>0</v>
      </c>
      <c r="AG167" s="147"/>
      <c r="AH167" s="143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>
        <f t="shared" ref="AT167:AT171" si="164">SUM(AH167:AS167)</f>
        <v>0</v>
      </c>
      <c r="AU167" s="145">
        <f t="shared" ref="AU167:AU171" si="165">AT167/12</f>
        <v>0</v>
      </c>
      <c r="AV167" s="147"/>
      <c r="AW167" s="6002">
        <v>131</v>
      </c>
      <c r="AX167" s="144">
        <v>163</v>
      </c>
      <c r="AY167" s="144">
        <v>179</v>
      </c>
      <c r="AZ167" s="144">
        <v>203</v>
      </c>
      <c r="BA167" s="144">
        <v>332</v>
      </c>
      <c r="BB167" s="144">
        <v>219</v>
      </c>
      <c r="BC167" s="144">
        <v>263</v>
      </c>
      <c r="BD167" s="144">
        <v>253</v>
      </c>
      <c r="BE167" s="144">
        <v>229</v>
      </c>
      <c r="BF167" s="144">
        <v>235</v>
      </c>
      <c r="BG167" s="144">
        <v>161</v>
      </c>
      <c r="BH167" s="144">
        <v>121</v>
      </c>
      <c r="BI167" s="144">
        <f t="shared" si="139"/>
        <v>2489</v>
      </c>
      <c r="BJ167" s="145">
        <f t="shared" si="117"/>
        <v>207.41666666666666</v>
      </c>
      <c r="BK167" s="183"/>
      <c r="BL167" s="6002">
        <v>87</v>
      </c>
      <c r="BM167" s="144">
        <v>237</v>
      </c>
      <c r="BN167" s="144"/>
      <c r="BO167" s="144"/>
      <c r="BP167" s="144"/>
      <c r="BQ167" s="144"/>
      <c r="BR167" s="144"/>
      <c r="BS167" s="144"/>
      <c r="BT167" s="144"/>
      <c r="BU167" s="144"/>
      <c r="BV167" s="144"/>
      <c r="BW167" s="144"/>
      <c r="BX167" s="144">
        <f t="shared" si="140"/>
        <v>324</v>
      </c>
      <c r="BY167" s="145">
        <f t="shared" si="159"/>
        <v>162</v>
      </c>
      <c r="CA167" s="169">
        <f>ROW()</f>
        <v>167</v>
      </c>
      <c r="CB167" s="169">
        <f>IFERROR(_xlfn.XLOOKUP($A$1,$2:$2,167:167)-_xlfn.XLOOKUP(EDATE($A$1,-12),$2:$2,167:167),"")</f>
        <v>74</v>
      </c>
      <c r="CC167" s="169">
        <f t="shared" si="153"/>
        <v>207.41666666666666</v>
      </c>
      <c r="CD167" s="169">
        <f>IFERROR(
  SUM(
    _xlfn.XLOOKUP(DATE(YEAR($A$1),1,1),$2:$2,167:167):
    _xlfn.XLOOKUP($A$1,$2:$2,167:167)
  )
 -SUM(
    _xlfn.XLOOKUP(DATE(YEAR($A$1)-1,1,1),$2:$2,167:167):
    _xlfn.XLOOKUP(EDATE($A$1,-12),$2:$2,167:167)
  ),"")</f>
        <v>30</v>
      </c>
      <c r="CE167" s="4517">
        <f>IFERROR(
  _xlfn.XLOOKUP($A$1,$B$2:$BY$2,$B167:$BY167)
 -_xlfn.XLOOKUP(EDATE($A$1,-1),$B$2:$BY$2,$B167:$BY167),"")</f>
        <v>150</v>
      </c>
    </row>
    <row r="168" spans="1:83" ht="17.399999999999999" customHeight="1" x14ac:dyDescent="0.55000000000000004">
      <c r="A168" s="7198"/>
      <c r="B168" s="7204"/>
      <c r="C168" s="65" t="s">
        <v>401</v>
      </c>
      <c r="D168" s="146" t="e">
        <f>#REF!+#REF!</f>
        <v>#REF!</v>
      </c>
      <c r="E168" s="147" t="e">
        <f>#REF!+#REF!</f>
        <v>#REF!</v>
      </c>
      <c r="F168" s="147" t="e">
        <f>#REF!+#REF!</f>
        <v>#REF!</v>
      </c>
      <c r="G168" s="147" t="e">
        <f>#REF!+#REF!</f>
        <v>#REF!</v>
      </c>
      <c r="H168" s="147" t="e">
        <f>#REF!+#REF!</f>
        <v>#REF!</v>
      </c>
      <c r="I168" s="147" t="e">
        <f>#REF!+#REF!</f>
        <v>#REF!</v>
      </c>
      <c r="J168" s="147" t="e">
        <f>#REF!+#REF!</f>
        <v>#REF!</v>
      </c>
      <c r="K168" s="147" t="e">
        <f>#REF!+#REF!</f>
        <v>#REF!</v>
      </c>
      <c r="L168" s="147" t="e">
        <f>#REF!+#REF!</f>
        <v>#REF!</v>
      </c>
      <c r="M168" s="147" t="e">
        <f>#REF!+#REF!</f>
        <v>#REF!</v>
      </c>
      <c r="N168" s="147" t="e">
        <f>#REF!+#REF!</f>
        <v>#REF!</v>
      </c>
      <c r="O168" s="147" t="e">
        <f>#REF!+#REF!</f>
        <v>#REF!</v>
      </c>
      <c r="P168" s="147" t="e">
        <f t="shared" si="162"/>
        <v>#REF!</v>
      </c>
      <c r="Q168" s="148" t="e">
        <f t="shared" si="137"/>
        <v>#REF!</v>
      </c>
      <c r="R168" s="147"/>
      <c r="S168" s="146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>
        <f t="shared" si="163"/>
        <v>0</v>
      </c>
      <c r="AF168" s="148">
        <f t="shared" si="121"/>
        <v>0</v>
      </c>
      <c r="AG168" s="147"/>
      <c r="AH168" s="146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>
        <f t="shared" si="164"/>
        <v>0</v>
      </c>
      <c r="AU168" s="148">
        <f t="shared" si="165"/>
        <v>0</v>
      </c>
      <c r="AV168" s="147"/>
      <c r="AW168" s="6003">
        <v>87</v>
      </c>
      <c r="AX168" s="147">
        <v>130</v>
      </c>
      <c r="AY168" s="147">
        <v>124</v>
      </c>
      <c r="AZ168" s="147">
        <v>122</v>
      </c>
      <c r="BA168" s="147">
        <v>251</v>
      </c>
      <c r="BB168" s="147">
        <v>83</v>
      </c>
      <c r="BC168" s="147">
        <v>124</v>
      </c>
      <c r="BD168" s="147">
        <v>88</v>
      </c>
      <c r="BE168" s="147">
        <v>125</v>
      </c>
      <c r="BF168" s="147">
        <v>111</v>
      </c>
      <c r="BG168" s="147">
        <v>102</v>
      </c>
      <c r="BH168" s="147">
        <v>64</v>
      </c>
      <c r="BI168" s="147">
        <f t="shared" si="139"/>
        <v>1411</v>
      </c>
      <c r="BJ168" s="148">
        <f t="shared" si="117"/>
        <v>117.58333333333333</v>
      </c>
      <c r="BK168" s="183"/>
      <c r="BL168" s="6003">
        <v>46</v>
      </c>
      <c r="BM168" s="147">
        <v>184</v>
      </c>
      <c r="BN168" s="147"/>
      <c r="BO168" s="147"/>
      <c r="BP168" s="147"/>
      <c r="BQ168" s="147"/>
      <c r="BR168" s="147"/>
      <c r="BS168" s="147"/>
      <c r="BT168" s="147"/>
      <c r="BU168" s="147"/>
      <c r="BV168" s="147"/>
      <c r="BW168" s="147"/>
      <c r="BX168" s="147">
        <f t="shared" si="140"/>
        <v>230</v>
      </c>
      <c r="BY168" s="148">
        <f t="shared" si="159"/>
        <v>115</v>
      </c>
      <c r="CA168" s="169">
        <f>ROW()</f>
        <v>168</v>
      </c>
      <c r="CB168" s="169">
        <f>IFERROR(_xlfn.XLOOKUP($A$1,$2:$2,168:168)-_xlfn.XLOOKUP(EDATE($A$1,-12),$2:$2,168:168),"")</f>
        <v>54</v>
      </c>
      <c r="CC168" s="169">
        <f t="shared" si="153"/>
        <v>117.58333333333333</v>
      </c>
      <c r="CD168" s="169">
        <f>IFERROR(
  SUM(
    _xlfn.XLOOKUP(DATE(YEAR($A$1),1,1),$2:$2,168:168):
    _xlfn.XLOOKUP($A$1,$2:$2,168:168)
  )
 -SUM(
    _xlfn.XLOOKUP(DATE(YEAR($A$1)-1,1,1),$2:$2,168:168):
    _xlfn.XLOOKUP(EDATE($A$1,-12),$2:$2,168:168)
  ),"")</f>
        <v>13</v>
      </c>
      <c r="CE168" s="4517">
        <f>IFERROR(
  _xlfn.XLOOKUP($A$1,$B$2:$BY$2,$B168:$BY168)
 -_xlfn.XLOOKUP(EDATE($A$1,-1),$B$2:$BY$2,$B168:$BY168),"")</f>
        <v>138</v>
      </c>
    </row>
    <row r="169" spans="1:83" ht="17.399999999999999" customHeight="1" x14ac:dyDescent="0.55000000000000004">
      <c r="A169" s="7198"/>
      <c r="B169" s="7204"/>
      <c r="C169" s="65" t="s">
        <v>402</v>
      </c>
      <c r="D169" s="146" t="e">
        <f>#REF!+#REF!</f>
        <v>#REF!</v>
      </c>
      <c r="E169" s="147" t="e">
        <f>#REF!+#REF!</f>
        <v>#REF!</v>
      </c>
      <c r="F169" s="147" t="e">
        <f>#REF!+#REF!</f>
        <v>#REF!</v>
      </c>
      <c r="G169" s="147" t="e">
        <f>#REF!+#REF!</f>
        <v>#REF!</v>
      </c>
      <c r="H169" s="147" t="e">
        <f>#REF!+#REF!</f>
        <v>#REF!</v>
      </c>
      <c r="I169" s="147" t="e">
        <f>#REF!+#REF!</f>
        <v>#REF!</v>
      </c>
      <c r="J169" s="147" t="e">
        <f>#REF!+#REF!</f>
        <v>#REF!</v>
      </c>
      <c r="K169" s="147" t="e">
        <f>#REF!+#REF!</f>
        <v>#REF!</v>
      </c>
      <c r="L169" s="147" t="e">
        <f>#REF!+#REF!</f>
        <v>#REF!</v>
      </c>
      <c r="M169" s="147" t="e">
        <f>#REF!+#REF!</f>
        <v>#REF!</v>
      </c>
      <c r="N169" s="147" t="e">
        <f>#REF!+#REF!</f>
        <v>#REF!</v>
      </c>
      <c r="O169" s="147" t="e">
        <f>#REF!+#REF!</f>
        <v>#REF!</v>
      </c>
      <c r="P169" s="147" t="e">
        <f t="shared" si="162"/>
        <v>#REF!</v>
      </c>
      <c r="Q169" s="148" t="e">
        <f t="shared" si="137"/>
        <v>#REF!</v>
      </c>
      <c r="R169" s="147"/>
      <c r="S169" s="146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>
        <f t="shared" si="163"/>
        <v>0</v>
      </c>
      <c r="AF169" s="148">
        <f t="shared" si="121"/>
        <v>0</v>
      </c>
      <c r="AG169" s="147"/>
      <c r="AH169" s="146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>
        <f t="shared" si="164"/>
        <v>0</v>
      </c>
      <c r="AU169" s="148">
        <f t="shared" si="165"/>
        <v>0</v>
      </c>
      <c r="AV169" s="147"/>
      <c r="AW169" s="6003">
        <v>243</v>
      </c>
      <c r="AX169" s="147">
        <v>147</v>
      </c>
      <c r="AY169" s="147">
        <v>153</v>
      </c>
      <c r="AZ169" s="147">
        <v>146</v>
      </c>
      <c r="BA169" s="147">
        <v>206</v>
      </c>
      <c r="BB169" s="147">
        <v>139</v>
      </c>
      <c r="BC169" s="147">
        <v>170</v>
      </c>
      <c r="BD169" s="147">
        <v>162</v>
      </c>
      <c r="BE169" s="147">
        <v>157</v>
      </c>
      <c r="BF169" s="147">
        <v>73</v>
      </c>
      <c r="BG169" s="147">
        <v>110</v>
      </c>
      <c r="BH169" s="147">
        <v>78</v>
      </c>
      <c r="BI169" s="147">
        <f t="shared" si="139"/>
        <v>1784</v>
      </c>
      <c r="BJ169" s="148">
        <f t="shared" si="117"/>
        <v>148.66666666666666</v>
      </c>
      <c r="BK169" s="183"/>
      <c r="BL169" s="6003">
        <v>66</v>
      </c>
      <c r="BM169" s="147">
        <v>274</v>
      </c>
      <c r="BN169" s="147"/>
      <c r="BO169" s="147"/>
      <c r="BP169" s="147"/>
      <c r="BQ169" s="147"/>
      <c r="BR169" s="147"/>
      <c r="BS169" s="147"/>
      <c r="BT169" s="147"/>
      <c r="BU169" s="147"/>
      <c r="BV169" s="147"/>
      <c r="BW169" s="147"/>
      <c r="BX169" s="147">
        <f t="shared" si="140"/>
        <v>340</v>
      </c>
      <c r="BY169" s="148">
        <f t="shared" si="159"/>
        <v>170</v>
      </c>
      <c r="CA169" s="169">
        <f>ROW()</f>
        <v>169</v>
      </c>
      <c r="CB169" s="169">
        <f>IFERROR(_xlfn.XLOOKUP($A$1,$2:$2,169:169)-_xlfn.XLOOKUP(EDATE($A$1,-12),$2:$2,169:169),"")</f>
        <v>127</v>
      </c>
      <c r="CC169" s="169">
        <f t="shared" si="153"/>
        <v>148.66666666666666</v>
      </c>
      <c r="CD169" s="169">
        <f>IFERROR(
  SUM(
    _xlfn.XLOOKUP(DATE(YEAR($A$1),1,1),$2:$2,169:169):
    _xlfn.XLOOKUP($A$1,$2:$2,169:169)
  )
 -SUM(
    _xlfn.XLOOKUP(DATE(YEAR($A$1)-1,1,1),$2:$2,169:169):
    _xlfn.XLOOKUP(EDATE($A$1,-12),$2:$2,169:169)
  ),"")</f>
        <v>-50</v>
      </c>
      <c r="CE169" s="4517">
        <f>IFERROR(
  _xlfn.XLOOKUP($A$1,$B$2:$BY$2,$B169:$BY169)
 -_xlfn.XLOOKUP(EDATE($A$1,-1),$B$2:$BY$2,$B169:$BY169),"")</f>
        <v>208</v>
      </c>
    </row>
    <row r="170" spans="1:83" ht="17.399999999999999" customHeight="1" x14ac:dyDescent="0.55000000000000004">
      <c r="A170" s="7198"/>
      <c r="B170" s="7204"/>
      <c r="C170" s="65" t="s">
        <v>403</v>
      </c>
      <c r="D170" s="146" t="e">
        <f>#REF!+#REF!</f>
        <v>#REF!</v>
      </c>
      <c r="E170" s="147" t="e">
        <f>#REF!+#REF!</f>
        <v>#REF!</v>
      </c>
      <c r="F170" s="147" t="e">
        <f>#REF!+#REF!</f>
        <v>#REF!</v>
      </c>
      <c r="G170" s="147" t="e">
        <f>#REF!+#REF!</f>
        <v>#REF!</v>
      </c>
      <c r="H170" s="147" t="e">
        <f>#REF!+#REF!</f>
        <v>#REF!</v>
      </c>
      <c r="I170" s="147" t="e">
        <f>#REF!+#REF!</f>
        <v>#REF!</v>
      </c>
      <c r="J170" s="147" t="e">
        <f>#REF!+#REF!</f>
        <v>#REF!</v>
      </c>
      <c r="K170" s="147" t="e">
        <f>#REF!+#REF!</f>
        <v>#REF!</v>
      </c>
      <c r="L170" s="147" t="e">
        <f>#REF!+#REF!</f>
        <v>#REF!</v>
      </c>
      <c r="M170" s="147" t="e">
        <f>#REF!+#REF!</f>
        <v>#REF!</v>
      </c>
      <c r="N170" s="147" t="e">
        <f>#REF!+#REF!</f>
        <v>#REF!</v>
      </c>
      <c r="O170" s="147" t="e">
        <f>#REF!+#REF!</f>
        <v>#REF!</v>
      </c>
      <c r="P170" s="147" t="e">
        <f t="shared" si="162"/>
        <v>#REF!</v>
      </c>
      <c r="Q170" s="148" t="e">
        <f t="shared" si="137"/>
        <v>#REF!</v>
      </c>
      <c r="R170" s="147"/>
      <c r="S170" s="146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>
        <f t="shared" si="163"/>
        <v>0</v>
      </c>
      <c r="AF170" s="148">
        <f t="shared" si="121"/>
        <v>0</v>
      </c>
      <c r="AG170" s="147"/>
      <c r="AH170" s="146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>
        <f t="shared" si="164"/>
        <v>0</v>
      </c>
      <c r="AU170" s="148">
        <f t="shared" si="165"/>
        <v>0</v>
      </c>
      <c r="AV170" s="147"/>
      <c r="AW170" s="6003">
        <v>209</v>
      </c>
      <c r="AX170" s="147">
        <v>150</v>
      </c>
      <c r="AY170" s="147">
        <v>267</v>
      </c>
      <c r="AZ170" s="147">
        <v>516</v>
      </c>
      <c r="BA170" s="147">
        <v>486</v>
      </c>
      <c r="BB170" s="147">
        <v>278</v>
      </c>
      <c r="BC170" s="147">
        <v>779</v>
      </c>
      <c r="BD170" s="147">
        <v>382</v>
      </c>
      <c r="BE170" s="147">
        <v>393</v>
      </c>
      <c r="BF170" s="147">
        <v>146</v>
      </c>
      <c r="BG170" s="147">
        <v>111</v>
      </c>
      <c r="BH170" s="147">
        <v>105</v>
      </c>
      <c r="BI170" s="147">
        <f t="shared" si="139"/>
        <v>3822</v>
      </c>
      <c r="BJ170" s="148">
        <f t="shared" si="117"/>
        <v>318.5</v>
      </c>
      <c r="BK170" s="183"/>
      <c r="BL170" s="6003">
        <v>89</v>
      </c>
      <c r="BM170" s="147">
        <v>165</v>
      </c>
      <c r="BN170" s="147"/>
      <c r="BO170" s="147"/>
      <c r="BP170" s="147"/>
      <c r="BQ170" s="147"/>
      <c r="BR170" s="147"/>
      <c r="BS170" s="147"/>
      <c r="BT170" s="147"/>
      <c r="BU170" s="147"/>
      <c r="BV170" s="147"/>
      <c r="BW170" s="147"/>
      <c r="BX170" s="147">
        <f t="shared" si="140"/>
        <v>254</v>
      </c>
      <c r="BY170" s="148">
        <f t="shared" si="159"/>
        <v>127</v>
      </c>
      <c r="CA170" s="169">
        <f>ROW()</f>
        <v>170</v>
      </c>
      <c r="CB170" s="169">
        <f>IFERROR(_xlfn.XLOOKUP($A$1,$2:$2,170:170)-_xlfn.XLOOKUP(EDATE($A$1,-12),$2:$2,170:170),"")</f>
        <v>15</v>
      </c>
      <c r="CC170" s="169">
        <f t="shared" si="153"/>
        <v>318.5</v>
      </c>
      <c r="CD170" s="169">
        <f>IFERROR(
  SUM(
    _xlfn.XLOOKUP(DATE(YEAR($A$1),1,1),$2:$2,170:170):
    _xlfn.XLOOKUP($A$1,$2:$2,170:170)
  )
 -SUM(
    _xlfn.XLOOKUP(DATE(YEAR($A$1)-1,1,1),$2:$2,170:170):
    _xlfn.XLOOKUP(EDATE($A$1,-12),$2:$2,170:170)
  ),"")</f>
        <v>-105</v>
      </c>
      <c r="CE170" s="4517">
        <f>IFERROR(
  _xlfn.XLOOKUP($A$1,$B$2:$BY$2,$B170:$BY170)
 -_xlfn.XLOOKUP(EDATE($A$1,-1),$B$2:$BY$2,$B170:$BY170),"")</f>
        <v>76</v>
      </c>
    </row>
    <row r="171" spans="1:83" ht="17.399999999999999" customHeight="1" x14ac:dyDescent="0.55000000000000004">
      <c r="A171" s="7198"/>
      <c r="B171" s="7205"/>
      <c r="C171" s="66" t="s">
        <v>404</v>
      </c>
      <c r="D171" s="149" t="e">
        <f>#REF!+#REF!</f>
        <v>#REF!</v>
      </c>
      <c r="E171" s="150" t="e">
        <f>#REF!+#REF!</f>
        <v>#REF!</v>
      </c>
      <c r="F171" s="150" t="e">
        <f>#REF!+#REF!</f>
        <v>#REF!</v>
      </c>
      <c r="G171" s="150" t="e">
        <f>#REF!+#REF!</f>
        <v>#REF!</v>
      </c>
      <c r="H171" s="150" t="e">
        <f>#REF!+#REF!</f>
        <v>#REF!</v>
      </c>
      <c r="I171" s="150" t="e">
        <f>#REF!+#REF!</f>
        <v>#REF!</v>
      </c>
      <c r="J171" s="150" t="e">
        <f>#REF!+#REF!</f>
        <v>#REF!</v>
      </c>
      <c r="K171" s="150" t="e">
        <f>#REF!+#REF!</f>
        <v>#REF!</v>
      </c>
      <c r="L171" s="150" t="e">
        <f>#REF!+#REF!</f>
        <v>#REF!</v>
      </c>
      <c r="M171" s="150" t="e">
        <f>#REF!+#REF!</f>
        <v>#REF!</v>
      </c>
      <c r="N171" s="150" t="e">
        <f>#REF!+#REF!</f>
        <v>#REF!</v>
      </c>
      <c r="O171" s="150" t="e">
        <f>#REF!+#REF!</f>
        <v>#REF!</v>
      </c>
      <c r="P171" s="150" t="e">
        <f t="shared" si="162"/>
        <v>#REF!</v>
      </c>
      <c r="Q171" s="151" t="e">
        <f t="shared" si="137"/>
        <v>#REF!</v>
      </c>
      <c r="R171" s="147"/>
      <c r="S171" s="149"/>
      <c r="T171" s="150"/>
      <c r="U171" s="150"/>
      <c r="V171" s="150"/>
      <c r="W171" s="150"/>
      <c r="X171" s="150"/>
      <c r="Y171" s="150"/>
      <c r="Z171" s="150"/>
      <c r="AA171" s="150"/>
      <c r="AB171" s="150"/>
      <c r="AC171" s="150"/>
      <c r="AD171" s="150"/>
      <c r="AE171" s="150">
        <f t="shared" si="163"/>
        <v>0</v>
      </c>
      <c r="AF171" s="151">
        <f t="shared" si="121"/>
        <v>0</v>
      </c>
      <c r="AG171" s="147"/>
      <c r="AH171" s="149"/>
      <c r="AI171" s="150"/>
      <c r="AJ171" s="150"/>
      <c r="AK171" s="150"/>
      <c r="AL171" s="150"/>
      <c r="AM171" s="150"/>
      <c r="AN171" s="150"/>
      <c r="AO171" s="150"/>
      <c r="AP171" s="150"/>
      <c r="AQ171" s="150"/>
      <c r="AR171" s="150"/>
      <c r="AS171" s="150"/>
      <c r="AT171" s="150">
        <f t="shared" si="164"/>
        <v>0</v>
      </c>
      <c r="AU171" s="151">
        <f t="shared" si="165"/>
        <v>0</v>
      </c>
      <c r="AV171" s="147"/>
      <c r="AW171" s="6004">
        <v>157</v>
      </c>
      <c r="AX171" s="150">
        <v>221</v>
      </c>
      <c r="AY171" s="150">
        <v>399</v>
      </c>
      <c r="AZ171" s="150">
        <v>207</v>
      </c>
      <c r="BA171" s="150">
        <v>210</v>
      </c>
      <c r="BB171" s="150">
        <v>444</v>
      </c>
      <c r="BC171" s="150">
        <v>382.5</v>
      </c>
      <c r="BD171" s="150">
        <v>294</v>
      </c>
      <c r="BE171" s="150">
        <v>356</v>
      </c>
      <c r="BF171" s="150">
        <v>204</v>
      </c>
      <c r="BG171" s="150">
        <v>164</v>
      </c>
      <c r="BH171" s="150">
        <v>141</v>
      </c>
      <c r="BI171" s="150">
        <f t="shared" si="139"/>
        <v>3179.5</v>
      </c>
      <c r="BJ171" s="151">
        <f t="shared" si="117"/>
        <v>264.95833333333331</v>
      </c>
      <c r="BK171" s="183"/>
      <c r="BL171" s="6004">
        <v>120</v>
      </c>
      <c r="BM171" s="150">
        <v>523</v>
      </c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>
        <f t="shared" si="140"/>
        <v>643</v>
      </c>
      <c r="BY171" s="151">
        <f t="shared" si="159"/>
        <v>321.5</v>
      </c>
      <c r="CA171" s="169">
        <f>ROW()</f>
        <v>171</v>
      </c>
      <c r="CB171" s="169">
        <f>IFERROR(_xlfn.XLOOKUP($A$1,$2:$2,171:171)-_xlfn.XLOOKUP(EDATE($A$1,-12),$2:$2,171:171),"")</f>
        <v>302</v>
      </c>
      <c r="CC171" s="169">
        <f t="shared" si="153"/>
        <v>264.95833333333331</v>
      </c>
      <c r="CD171" s="169">
        <f>IFERROR(
  SUM(
    _xlfn.XLOOKUP(DATE(YEAR($A$1),1,1),$2:$2,171:171):
    _xlfn.XLOOKUP($A$1,$2:$2,171:171)
  )
 -SUM(
    _xlfn.XLOOKUP(DATE(YEAR($A$1)-1,1,1),$2:$2,171:171):
    _xlfn.XLOOKUP(EDATE($A$1,-12),$2:$2,171:171)
  ),"")</f>
        <v>265</v>
      </c>
      <c r="CE171" s="4517">
        <f>IFERROR(
  _xlfn.XLOOKUP($A$1,$B$2:$BY$2,$B171:$BY171)
 -_xlfn.XLOOKUP(EDATE($A$1,-1),$B$2:$BY$2,$B171:$BY171),"")</f>
        <v>403</v>
      </c>
    </row>
    <row r="172" spans="1:83" x14ac:dyDescent="0.55000000000000004">
      <c r="A172" s="7198"/>
      <c r="B172" s="7203" t="s">
        <v>413</v>
      </c>
      <c r="C172" s="64" t="s">
        <v>400</v>
      </c>
      <c r="D172" s="143">
        <f>D177</f>
        <v>446</v>
      </c>
      <c r="E172" s="144" t="e">
        <f>E177+#REF!</f>
        <v>#REF!</v>
      </c>
      <c r="F172" s="144" t="e">
        <f>F177+#REF!</f>
        <v>#REF!</v>
      </c>
      <c r="G172" s="144" t="e">
        <f>G177+#REF!</f>
        <v>#REF!</v>
      </c>
      <c r="H172" s="144" t="e">
        <f>H177+#REF!</f>
        <v>#REF!</v>
      </c>
      <c r="I172" s="144" t="e">
        <f>I177+#REF!</f>
        <v>#REF!</v>
      </c>
      <c r="J172" s="144" t="e">
        <f>J177+#REF!</f>
        <v>#REF!</v>
      </c>
      <c r="K172" s="144" t="e">
        <f>K177+#REF!</f>
        <v>#REF!</v>
      </c>
      <c r="L172" s="144" t="e">
        <f>L177+#REF!</f>
        <v>#REF!</v>
      </c>
      <c r="M172" s="144" t="e">
        <f>M177+#REF!</f>
        <v>#REF!</v>
      </c>
      <c r="N172" s="144" t="e">
        <f>N177+#REF!</f>
        <v>#REF!</v>
      </c>
      <c r="O172" s="144" t="e">
        <f>O177+#REF!</f>
        <v>#REF!</v>
      </c>
      <c r="P172" s="144" t="e">
        <f t="shared" si="122"/>
        <v>#REF!</v>
      </c>
      <c r="Q172" s="145" t="e">
        <f t="shared" si="137"/>
        <v>#REF!</v>
      </c>
      <c r="R172" s="183"/>
      <c r="S172" s="143" t="e">
        <f>S177+#REF!</f>
        <v>#REF!</v>
      </c>
      <c r="T172" s="144" t="e">
        <f>T177+#REF!</f>
        <v>#REF!</v>
      </c>
      <c r="U172" s="144" t="e">
        <f>U177+#REF!</f>
        <v>#REF!</v>
      </c>
      <c r="V172" s="144" t="e">
        <f>V177+#REF!</f>
        <v>#REF!</v>
      </c>
      <c r="W172" s="144" t="e">
        <f>W177+#REF!</f>
        <v>#REF!</v>
      </c>
      <c r="X172" s="144" t="e">
        <f>X177+#REF!</f>
        <v>#REF!</v>
      </c>
      <c r="Y172" s="144" t="e">
        <f>Y177+#REF!</f>
        <v>#REF!</v>
      </c>
      <c r="Z172" s="144" t="e">
        <f>Z177+#REF!</f>
        <v>#REF!</v>
      </c>
      <c r="AA172" s="144" t="e">
        <f>AA177+#REF!</f>
        <v>#REF!</v>
      </c>
      <c r="AB172" s="144" t="e">
        <f>AB177+#REF!</f>
        <v>#REF!</v>
      </c>
      <c r="AC172" s="144" t="e">
        <f>AC177+#REF!</f>
        <v>#REF!</v>
      </c>
      <c r="AD172" s="144" t="e">
        <f>AD177+#REF!</f>
        <v>#REF!</v>
      </c>
      <c r="AE172" s="144" t="e">
        <f t="shared" si="120"/>
        <v>#REF!</v>
      </c>
      <c r="AF172" s="145" t="e">
        <f t="shared" si="121"/>
        <v>#REF!</v>
      </c>
      <c r="AG172" s="183"/>
      <c r="AH172" s="143">
        <v>682</v>
      </c>
      <c r="AI172" s="144">
        <v>478</v>
      </c>
      <c r="AJ172" s="144">
        <v>563</v>
      </c>
      <c r="AK172" s="144">
        <v>471</v>
      </c>
      <c r="AL172" s="144">
        <v>677</v>
      </c>
      <c r="AM172" s="144">
        <v>612</v>
      </c>
      <c r="AN172" s="144">
        <v>768</v>
      </c>
      <c r="AO172" s="144">
        <v>724</v>
      </c>
      <c r="AP172" s="144">
        <v>717</v>
      </c>
      <c r="AQ172" s="144">
        <v>796</v>
      </c>
      <c r="AR172" s="144">
        <v>1243</v>
      </c>
      <c r="AS172" s="144">
        <v>543</v>
      </c>
      <c r="AT172" s="144">
        <f t="shared" si="123"/>
        <v>8274</v>
      </c>
      <c r="AU172" s="145">
        <f t="shared" si="147"/>
        <v>689.5</v>
      </c>
      <c r="AV172" s="183"/>
      <c r="AW172" s="481">
        <v>581</v>
      </c>
      <c r="AX172" s="144">
        <v>765</v>
      </c>
      <c r="AY172" s="144">
        <v>627</v>
      </c>
      <c r="AZ172" s="144">
        <v>647</v>
      </c>
      <c r="BA172" s="144">
        <v>1370</v>
      </c>
      <c r="BB172" s="144">
        <v>801</v>
      </c>
      <c r="BC172" s="144">
        <v>802</v>
      </c>
      <c r="BD172" s="144">
        <v>650</v>
      </c>
      <c r="BE172" s="144">
        <v>677</v>
      </c>
      <c r="BF172" s="144">
        <v>590</v>
      </c>
      <c r="BG172" s="144">
        <v>641</v>
      </c>
      <c r="BH172" s="144">
        <v>732</v>
      </c>
      <c r="BI172" s="144">
        <f t="shared" si="139"/>
        <v>8883</v>
      </c>
      <c r="BJ172" s="145">
        <f t="shared" si="117"/>
        <v>740.25</v>
      </c>
      <c r="BK172" s="183"/>
      <c r="BL172" s="481">
        <v>673</v>
      </c>
      <c r="BM172" s="144">
        <v>435</v>
      </c>
      <c r="BN172" s="144"/>
      <c r="BO172" s="144"/>
      <c r="BP172" s="144"/>
      <c r="BQ172" s="144"/>
      <c r="BR172" s="144"/>
      <c r="BS172" s="144"/>
      <c r="BT172" s="144"/>
      <c r="BU172" s="144"/>
      <c r="BV172" s="144"/>
      <c r="BW172" s="144"/>
      <c r="BX172" s="144">
        <f t="shared" si="140"/>
        <v>1108</v>
      </c>
      <c r="BY172" s="145">
        <f t="shared" si="159"/>
        <v>554</v>
      </c>
      <c r="CA172" s="169">
        <f>ROW()</f>
        <v>172</v>
      </c>
      <c r="CB172" s="169">
        <f>IFERROR(_xlfn.XLOOKUP($A$1,$2:$2,172:172)-_xlfn.XLOOKUP(EDATE($A$1,-12),$2:$2,172:172),"")</f>
        <v>-330</v>
      </c>
      <c r="CC172" s="169">
        <f t="shared" si="153"/>
        <v>50.75</v>
      </c>
      <c r="CD172" s="169">
        <f>IFERROR(
  SUM(
    _xlfn.XLOOKUP(DATE(YEAR($A$1),1,1),$2:$2,172:172):
    _xlfn.XLOOKUP($A$1,$2:$2,172:172)
  )
 -SUM(
    _xlfn.XLOOKUP(DATE(YEAR($A$1)-1,1,1),$2:$2,172:172):
    _xlfn.XLOOKUP(EDATE($A$1,-12),$2:$2,172:172)
  ),"")</f>
        <v>-238</v>
      </c>
      <c r="CE172" s="4517">
        <f>IFERROR(
  _xlfn.XLOOKUP($A$1,$B$2:$BY$2,$B172:$BY172)
 -_xlfn.XLOOKUP(EDATE($A$1,-1),$B$2:$BY$2,$B172:$BY172),"")</f>
        <v>-238</v>
      </c>
    </row>
    <row r="173" spans="1:83" x14ac:dyDescent="0.55000000000000004">
      <c r="A173" s="7198"/>
      <c r="B173" s="7204"/>
      <c r="C173" s="65" t="s">
        <v>401</v>
      </c>
      <c r="D173" s="146">
        <f>D178</f>
        <v>577</v>
      </c>
      <c r="E173" s="147">
        <f t="shared" ref="E173:O173" si="166">E178</f>
        <v>678</v>
      </c>
      <c r="F173" s="147">
        <f t="shared" si="166"/>
        <v>732</v>
      </c>
      <c r="G173" s="147">
        <f t="shared" si="166"/>
        <v>912</v>
      </c>
      <c r="H173" s="147">
        <f t="shared" si="166"/>
        <v>916</v>
      </c>
      <c r="I173" s="147">
        <f t="shared" si="166"/>
        <v>674</v>
      </c>
      <c r="J173" s="147">
        <f t="shared" si="166"/>
        <v>484</v>
      </c>
      <c r="K173" s="147">
        <f t="shared" si="166"/>
        <v>622</v>
      </c>
      <c r="L173" s="147">
        <f t="shared" si="166"/>
        <v>399</v>
      </c>
      <c r="M173" s="147">
        <f t="shared" si="166"/>
        <v>545</v>
      </c>
      <c r="N173" s="147">
        <f t="shared" si="166"/>
        <v>489</v>
      </c>
      <c r="O173" s="147">
        <f t="shared" si="166"/>
        <v>404</v>
      </c>
      <c r="P173" s="147">
        <f t="shared" si="122"/>
        <v>7432</v>
      </c>
      <c r="Q173" s="148">
        <f t="shared" si="137"/>
        <v>619.33333333333337</v>
      </c>
      <c r="R173" s="183"/>
      <c r="S173" s="146">
        <f>S178</f>
        <v>430</v>
      </c>
      <c r="T173" s="147">
        <f t="shared" ref="T173:AD173" si="167">T178</f>
        <v>487</v>
      </c>
      <c r="U173" s="147">
        <f t="shared" si="167"/>
        <v>378</v>
      </c>
      <c r="V173" s="147">
        <f t="shared" si="167"/>
        <v>275</v>
      </c>
      <c r="W173" s="147">
        <f t="shared" si="167"/>
        <v>386</v>
      </c>
      <c r="X173" s="147">
        <f t="shared" si="167"/>
        <v>299</v>
      </c>
      <c r="Y173" s="147">
        <f t="shared" si="167"/>
        <v>306</v>
      </c>
      <c r="Z173" s="147">
        <f t="shared" si="167"/>
        <v>370</v>
      </c>
      <c r="AA173" s="147">
        <f t="shared" si="167"/>
        <v>346</v>
      </c>
      <c r="AB173" s="147">
        <f t="shared" si="167"/>
        <v>410</v>
      </c>
      <c r="AC173" s="147">
        <f t="shared" si="167"/>
        <v>379</v>
      </c>
      <c r="AD173" s="147">
        <f t="shared" si="167"/>
        <v>247</v>
      </c>
      <c r="AE173" s="147">
        <f t="shared" si="120"/>
        <v>4313</v>
      </c>
      <c r="AF173" s="148">
        <f t="shared" si="121"/>
        <v>359.41666666666669</v>
      </c>
      <c r="AG173" s="183"/>
      <c r="AH173" s="146">
        <v>342</v>
      </c>
      <c r="AI173" s="147">
        <v>301</v>
      </c>
      <c r="AJ173" s="147">
        <v>446</v>
      </c>
      <c r="AK173" s="147">
        <v>426</v>
      </c>
      <c r="AL173" s="147">
        <v>406</v>
      </c>
      <c r="AM173" s="147">
        <v>482</v>
      </c>
      <c r="AN173" s="147">
        <v>478</v>
      </c>
      <c r="AO173" s="147">
        <v>673</v>
      </c>
      <c r="AP173" s="147">
        <v>709</v>
      </c>
      <c r="AQ173" s="147">
        <v>709</v>
      </c>
      <c r="AR173" s="147">
        <v>892</v>
      </c>
      <c r="AS173" s="147">
        <v>587</v>
      </c>
      <c r="AT173" s="147">
        <f t="shared" si="123"/>
        <v>6451</v>
      </c>
      <c r="AU173" s="148">
        <f t="shared" si="147"/>
        <v>537.58333333333337</v>
      </c>
      <c r="AV173" s="183"/>
      <c r="AW173" s="482">
        <v>532</v>
      </c>
      <c r="AX173" s="147">
        <v>602</v>
      </c>
      <c r="AY173" s="147">
        <v>489</v>
      </c>
      <c r="AZ173" s="147">
        <v>457</v>
      </c>
      <c r="BA173" s="147">
        <v>1037</v>
      </c>
      <c r="BB173" s="147">
        <v>653</v>
      </c>
      <c r="BC173" s="147">
        <v>617</v>
      </c>
      <c r="BD173" s="147">
        <v>607</v>
      </c>
      <c r="BE173" s="147">
        <v>607</v>
      </c>
      <c r="BF173" s="147">
        <v>556</v>
      </c>
      <c r="BG173" s="147">
        <v>521</v>
      </c>
      <c r="BH173" s="147">
        <v>574</v>
      </c>
      <c r="BI173" s="147">
        <f t="shared" si="139"/>
        <v>7252</v>
      </c>
      <c r="BJ173" s="148">
        <f t="shared" si="117"/>
        <v>604.33333333333337</v>
      </c>
      <c r="BK173" s="183"/>
      <c r="BL173" s="482">
        <v>601</v>
      </c>
      <c r="BM173" s="147">
        <v>422</v>
      </c>
      <c r="BN173" s="147"/>
      <c r="BO173" s="147"/>
      <c r="BP173" s="147"/>
      <c r="BQ173" s="147"/>
      <c r="BR173" s="147"/>
      <c r="BS173" s="147"/>
      <c r="BT173" s="147"/>
      <c r="BU173" s="147"/>
      <c r="BV173" s="147"/>
      <c r="BW173" s="147"/>
      <c r="BX173" s="147">
        <f t="shared" si="140"/>
        <v>1023</v>
      </c>
      <c r="BY173" s="148">
        <f t="shared" si="159"/>
        <v>511.5</v>
      </c>
      <c r="CA173" s="169">
        <f>ROW()</f>
        <v>173</v>
      </c>
      <c r="CB173" s="169">
        <f>IFERROR(_xlfn.XLOOKUP($A$1,$2:$2,173:173)-_xlfn.XLOOKUP(EDATE($A$1,-12),$2:$2,173:173),"")</f>
        <v>-180</v>
      </c>
      <c r="CC173" s="169">
        <f t="shared" si="153"/>
        <v>66.75</v>
      </c>
      <c r="CD173" s="169">
        <f>IFERROR(
  SUM(
    _xlfn.XLOOKUP(DATE(YEAR($A$1),1,1),$2:$2,173:173):
    _xlfn.XLOOKUP($A$1,$2:$2,173:173)
  )
 -SUM(
    _xlfn.XLOOKUP(DATE(YEAR($A$1)-1,1,1),$2:$2,173:173):
    _xlfn.XLOOKUP(EDATE($A$1,-12),$2:$2,173:173)
  ),"")</f>
        <v>-111</v>
      </c>
      <c r="CE173" s="4517">
        <f>IFERROR(
  _xlfn.XLOOKUP($A$1,$B$2:$BY$2,$B173:$BY173)
 -_xlfn.XLOOKUP(EDATE($A$1,-1),$B$2:$BY$2,$B173:$BY173),"")</f>
        <v>-179</v>
      </c>
    </row>
    <row r="174" spans="1:83" x14ac:dyDescent="0.55000000000000004">
      <c r="A174" s="7198"/>
      <c r="B174" s="7204"/>
      <c r="C174" s="65" t="s">
        <v>402</v>
      </c>
      <c r="D174" s="146">
        <f>D179</f>
        <v>563</v>
      </c>
      <c r="E174" s="147">
        <f t="shared" ref="E174:O174" si="168">E179</f>
        <v>627</v>
      </c>
      <c r="F174" s="147">
        <f t="shared" si="168"/>
        <v>668</v>
      </c>
      <c r="G174" s="147">
        <f t="shared" si="168"/>
        <v>808</v>
      </c>
      <c r="H174" s="147">
        <f t="shared" si="168"/>
        <v>698</v>
      </c>
      <c r="I174" s="147">
        <f t="shared" si="168"/>
        <v>613</v>
      </c>
      <c r="J174" s="147">
        <f t="shared" si="168"/>
        <v>450</v>
      </c>
      <c r="K174" s="147">
        <f t="shared" si="168"/>
        <v>542</v>
      </c>
      <c r="L174" s="147">
        <f t="shared" si="168"/>
        <v>434</v>
      </c>
      <c r="M174" s="147">
        <f t="shared" si="168"/>
        <v>482</v>
      </c>
      <c r="N174" s="147">
        <f t="shared" si="168"/>
        <v>411</v>
      </c>
      <c r="O174" s="147">
        <f t="shared" si="168"/>
        <v>316</v>
      </c>
      <c r="P174" s="147">
        <f t="shared" si="122"/>
        <v>6612</v>
      </c>
      <c r="Q174" s="148">
        <f t="shared" si="137"/>
        <v>551</v>
      </c>
      <c r="R174" s="183"/>
      <c r="S174" s="146">
        <f>S179</f>
        <v>312</v>
      </c>
      <c r="T174" s="147">
        <f t="shared" ref="T174:AD174" si="169">T179</f>
        <v>371</v>
      </c>
      <c r="U174" s="147">
        <f t="shared" si="169"/>
        <v>371</v>
      </c>
      <c r="V174" s="147">
        <f t="shared" si="169"/>
        <v>327</v>
      </c>
      <c r="W174" s="147">
        <f t="shared" si="169"/>
        <v>414</v>
      </c>
      <c r="X174" s="147">
        <f t="shared" si="169"/>
        <v>373</v>
      </c>
      <c r="Y174" s="147">
        <f t="shared" si="169"/>
        <v>367</v>
      </c>
      <c r="Z174" s="147">
        <f t="shared" si="169"/>
        <v>412</v>
      </c>
      <c r="AA174" s="147">
        <f t="shared" si="169"/>
        <v>322</v>
      </c>
      <c r="AB174" s="147">
        <f t="shared" si="169"/>
        <v>364</v>
      </c>
      <c r="AC174" s="147">
        <f t="shared" si="169"/>
        <v>407</v>
      </c>
      <c r="AD174" s="147">
        <f t="shared" si="169"/>
        <v>261</v>
      </c>
      <c r="AE174" s="147">
        <f t="shared" si="120"/>
        <v>4301</v>
      </c>
      <c r="AF174" s="148">
        <f t="shared" si="121"/>
        <v>358.41666666666669</v>
      </c>
      <c r="AG174" s="183"/>
      <c r="AH174" s="146">
        <v>301</v>
      </c>
      <c r="AI174" s="147">
        <v>301</v>
      </c>
      <c r="AJ174" s="147">
        <v>402</v>
      </c>
      <c r="AK174" s="147">
        <v>362</v>
      </c>
      <c r="AL174" s="147">
        <v>530</v>
      </c>
      <c r="AM174" s="147">
        <v>492</v>
      </c>
      <c r="AN174" s="147">
        <v>547</v>
      </c>
      <c r="AO174" s="147">
        <v>561</v>
      </c>
      <c r="AP174" s="147">
        <v>495</v>
      </c>
      <c r="AQ174" s="147">
        <v>583</v>
      </c>
      <c r="AR174" s="147">
        <v>899</v>
      </c>
      <c r="AS174" s="147">
        <v>554</v>
      </c>
      <c r="AT174" s="147">
        <f t="shared" si="123"/>
        <v>6027</v>
      </c>
      <c r="AU174" s="148">
        <f t="shared" si="147"/>
        <v>502.25</v>
      </c>
      <c r="AV174" s="183"/>
      <c r="AW174" s="482">
        <v>483</v>
      </c>
      <c r="AX174" s="147">
        <v>698</v>
      </c>
      <c r="AY174" s="147">
        <v>681</v>
      </c>
      <c r="AZ174" s="147">
        <v>572</v>
      </c>
      <c r="BA174" s="147">
        <v>1071</v>
      </c>
      <c r="BB174" s="147">
        <v>840</v>
      </c>
      <c r="BC174" s="147">
        <v>753</v>
      </c>
      <c r="BD174" s="147">
        <v>568</v>
      </c>
      <c r="BE174" s="147">
        <v>645</v>
      </c>
      <c r="BF174" s="147">
        <v>585</v>
      </c>
      <c r="BG174" s="147">
        <v>495</v>
      </c>
      <c r="BH174" s="147">
        <v>506</v>
      </c>
      <c r="BI174" s="147">
        <f t="shared" si="139"/>
        <v>7897</v>
      </c>
      <c r="BJ174" s="148">
        <f t="shared" si="117"/>
        <v>658.08333333333337</v>
      </c>
      <c r="BK174" s="183"/>
      <c r="BL174" s="482">
        <v>696</v>
      </c>
      <c r="BM174" s="147">
        <v>469</v>
      </c>
      <c r="BN174" s="147"/>
      <c r="BO174" s="147"/>
      <c r="BP174" s="147"/>
      <c r="BQ174" s="147"/>
      <c r="BR174" s="147"/>
      <c r="BS174" s="147"/>
      <c r="BT174" s="147"/>
      <c r="BU174" s="147"/>
      <c r="BV174" s="147"/>
      <c r="BW174" s="147"/>
      <c r="BX174" s="147">
        <f t="shared" si="140"/>
        <v>1165</v>
      </c>
      <c r="BY174" s="148">
        <f t="shared" si="159"/>
        <v>582.5</v>
      </c>
      <c r="CA174" s="169">
        <f>ROW()</f>
        <v>174</v>
      </c>
      <c r="CB174" s="169">
        <f>IFERROR(_xlfn.XLOOKUP($A$1,$2:$2,174:174)-_xlfn.XLOOKUP(EDATE($A$1,-12),$2:$2,174:174),"")</f>
        <v>-229</v>
      </c>
      <c r="CC174" s="169">
        <f t="shared" si="153"/>
        <v>155.83333333333337</v>
      </c>
      <c r="CD174" s="169">
        <f>IFERROR(
  SUM(
    _xlfn.XLOOKUP(DATE(YEAR($A$1),1,1),$2:$2,174:174):
    _xlfn.XLOOKUP($A$1,$2:$2,174:174)
  )
 -SUM(
    _xlfn.XLOOKUP(DATE(YEAR($A$1)-1,1,1),$2:$2,174:174):
    _xlfn.XLOOKUP(EDATE($A$1,-12),$2:$2,174:174)
  ),"")</f>
        <v>-16</v>
      </c>
      <c r="CE174" s="4517">
        <f>IFERROR(
  _xlfn.XLOOKUP($A$1,$B$2:$BY$2,$B174:$BY174)
 -_xlfn.XLOOKUP(EDATE($A$1,-1),$B$2:$BY$2,$B174:$BY174),"")</f>
        <v>-227</v>
      </c>
    </row>
    <row r="175" spans="1:83" x14ac:dyDescent="0.55000000000000004">
      <c r="A175" s="7198"/>
      <c r="B175" s="7204"/>
      <c r="C175" s="65" t="s">
        <v>403</v>
      </c>
      <c r="D175" s="146">
        <f>D180+D181</f>
        <v>834</v>
      </c>
      <c r="E175" s="147">
        <f t="shared" ref="E175:O175" si="170">E180+E181</f>
        <v>806</v>
      </c>
      <c r="F175" s="147">
        <f t="shared" si="170"/>
        <v>872</v>
      </c>
      <c r="G175" s="147">
        <f t="shared" si="170"/>
        <v>901</v>
      </c>
      <c r="H175" s="147">
        <f t="shared" si="170"/>
        <v>973</v>
      </c>
      <c r="I175" s="147">
        <f t="shared" si="170"/>
        <v>961</v>
      </c>
      <c r="J175" s="147">
        <f t="shared" si="170"/>
        <v>773</v>
      </c>
      <c r="K175" s="147">
        <f t="shared" si="170"/>
        <v>916</v>
      </c>
      <c r="L175" s="147">
        <f t="shared" si="170"/>
        <v>740</v>
      </c>
      <c r="M175" s="147">
        <f t="shared" si="170"/>
        <v>713</v>
      </c>
      <c r="N175" s="147">
        <f t="shared" si="170"/>
        <v>595</v>
      </c>
      <c r="O175" s="147">
        <f t="shared" si="170"/>
        <v>393</v>
      </c>
      <c r="P175" s="147">
        <f t="shared" si="122"/>
        <v>9477</v>
      </c>
      <c r="Q175" s="148">
        <f t="shared" si="137"/>
        <v>789.75</v>
      </c>
      <c r="R175" s="183"/>
      <c r="S175" s="146">
        <f>S180+S181</f>
        <v>579</v>
      </c>
      <c r="T175" s="147">
        <f t="shared" ref="T175:AD175" si="171">T180+T181</f>
        <v>669</v>
      </c>
      <c r="U175" s="147">
        <f t="shared" si="171"/>
        <v>652</v>
      </c>
      <c r="V175" s="147">
        <f t="shared" si="171"/>
        <v>640</v>
      </c>
      <c r="W175" s="147">
        <f t="shared" si="171"/>
        <v>816</v>
      </c>
      <c r="X175" s="147">
        <f t="shared" si="171"/>
        <v>697</v>
      </c>
      <c r="Y175" s="147">
        <f t="shared" si="171"/>
        <v>609</v>
      </c>
      <c r="Z175" s="147">
        <f t="shared" si="171"/>
        <v>830</v>
      </c>
      <c r="AA175" s="147">
        <f t="shared" si="171"/>
        <v>706</v>
      </c>
      <c r="AB175" s="147">
        <f t="shared" si="171"/>
        <v>803</v>
      </c>
      <c r="AC175" s="147">
        <f t="shared" si="171"/>
        <v>716</v>
      </c>
      <c r="AD175" s="147">
        <f t="shared" si="171"/>
        <v>516</v>
      </c>
      <c r="AE175" s="147">
        <f t="shared" si="120"/>
        <v>8233</v>
      </c>
      <c r="AF175" s="148">
        <f t="shared" si="121"/>
        <v>686.08333333333337</v>
      </c>
      <c r="AG175" s="183"/>
      <c r="AH175" s="146">
        <v>928</v>
      </c>
      <c r="AI175" s="147">
        <v>855</v>
      </c>
      <c r="AJ175" s="147">
        <v>945</v>
      </c>
      <c r="AK175" s="147">
        <v>892</v>
      </c>
      <c r="AL175" s="147">
        <v>1026</v>
      </c>
      <c r="AM175" s="147">
        <v>847</v>
      </c>
      <c r="AN175" s="147">
        <v>877</v>
      </c>
      <c r="AO175" s="147">
        <v>848</v>
      </c>
      <c r="AP175" s="147">
        <v>862</v>
      </c>
      <c r="AQ175" s="147">
        <v>1017</v>
      </c>
      <c r="AR175" s="147">
        <v>1832</v>
      </c>
      <c r="AS175" s="147">
        <v>1123</v>
      </c>
      <c r="AT175" s="147">
        <f t="shared" si="123"/>
        <v>12052</v>
      </c>
      <c r="AU175" s="148">
        <f t="shared" si="147"/>
        <v>1004.3333333333334</v>
      </c>
      <c r="AV175" s="183"/>
      <c r="AW175" s="482">
        <v>1050</v>
      </c>
      <c r="AX175" s="147">
        <v>1279</v>
      </c>
      <c r="AY175" s="147">
        <v>1169</v>
      </c>
      <c r="AZ175" s="147">
        <v>1393</v>
      </c>
      <c r="BA175" s="147">
        <v>2849</v>
      </c>
      <c r="BB175" s="147">
        <v>2691</v>
      </c>
      <c r="BC175" s="147">
        <v>2132</v>
      </c>
      <c r="BD175" s="147">
        <v>1419</v>
      </c>
      <c r="BE175" s="147">
        <v>1271</v>
      </c>
      <c r="BF175" s="147">
        <v>1358</v>
      </c>
      <c r="BG175" s="147">
        <v>1292</v>
      </c>
      <c r="BH175" s="147">
        <v>1168</v>
      </c>
      <c r="BI175" s="147">
        <f t="shared" si="139"/>
        <v>19071</v>
      </c>
      <c r="BJ175" s="148">
        <f t="shared" si="117"/>
        <v>1589.25</v>
      </c>
      <c r="BK175" s="183"/>
      <c r="BL175" s="482">
        <v>1277</v>
      </c>
      <c r="BM175" s="147">
        <v>858</v>
      </c>
      <c r="BN175" s="147"/>
      <c r="BO175" s="147"/>
      <c r="BP175" s="147"/>
      <c r="BQ175" s="147"/>
      <c r="BR175" s="147"/>
      <c r="BS175" s="147"/>
      <c r="BT175" s="147"/>
      <c r="BU175" s="147"/>
      <c r="BV175" s="147"/>
      <c r="BW175" s="147"/>
      <c r="BX175" s="147">
        <f t="shared" si="140"/>
        <v>2135</v>
      </c>
      <c r="BY175" s="148">
        <f t="shared" si="159"/>
        <v>1067.5</v>
      </c>
      <c r="CA175" s="169">
        <f>ROW()</f>
        <v>175</v>
      </c>
      <c r="CB175" s="169">
        <f>IFERROR(_xlfn.XLOOKUP($A$1,$2:$2,175:175)-_xlfn.XLOOKUP(EDATE($A$1,-12),$2:$2,175:175),"")</f>
        <v>-421</v>
      </c>
      <c r="CC175" s="169">
        <f t="shared" si="153"/>
        <v>584.91666666666663</v>
      </c>
      <c r="CD175" s="169">
        <f>IFERROR(
  SUM(
    _xlfn.XLOOKUP(DATE(YEAR($A$1),1,1),$2:$2,175:175):
    _xlfn.XLOOKUP($A$1,$2:$2,175:175)
  )
 -SUM(
    _xlfn.XLOOKUP(DATE(YEAR($A$1)-1,1,1),$2:$2,175:175):
    _xlfn.XLOOKUP(EDATE($A$1,-12),$2:$2,175:175)
  ),"")</f>
        <v>-194</v>
      </c>
      <c r="CE175" s="4517">
        <f>IFERROR(
  _xlfn.XLOOKUP($A$1,$B$2:$BY$2,$B175:$BY175)
 -_xlfn.XLOOKUP(EDATE($A$1,-1),$B$2:$BY$2,$B175:$BY175),"")</f>
        <v>-419</v>
      </c>
    </row>
    <row r="176" spans="1:83" x14ac:dyDescent="0.55000000000000004">
      <c r="A176" s="7198"/>
      <c r="B176" s="7205"/>
      <c r="C176" s="66" t="s">
        <v>404</v>
      </c>
      <c r="D176" s="149">
        <f>D182+D183</f>
        <v>760</v>
      </c>
      <c r="E176" s="150">
        <f t="shared" ref="E176:O176" si="172">E182+E183</f>
        <v>751</v>
      </c>
      <c r="F176" s="150">
        <f t="shared" si="172"/>
        <v>696</v>
      </c>
      <c r="G176" s="150">
        <f t="shared" si="172"/>
        <v>866</v>
      </c>
      <c r="H176" s="150">
        <f t="shared" si="172"/>
        <v>865</v>
      </c>
      <c r="I176" s="150">
        <f t="shared" si="172"/>
        <v>836</v>
      </c>
      <c r="J176" s="150">
        <f t="shared" si="172"/>
        <v>600</v>
      </c>
      <c r="K176" s="150">
        <f t="shared" si="172"/>
        <v>722</v>
      </c>
      <c r="L176" s="150">
        <f t="shared" si="172"/>
        <v>635</v>
      </c>
      <c r="M176" s="150">
        <f t="shared" si="172"/>
        <v>632</v>
      </c>
      <c r="N176" s="150">
        <f t="shared" si="172"/>
        <v>655</v>
      </c>
      <c r="O176" s="150">
        <f t="shared" si="172"/>
        <v>594</v>
      </c>
      <c r="P176" s="150">
        <f t="shared" si="122"/>
        <v>8612</v>
      </c>
      <c r="Q176" s="151">
        <f t="shared" si="137"/>
        <v>717.66666666666663</v>
      </c>
      <c r="R176" s="183"/>
      <c r="S176" s="149">
        <f>S182+S183</f>
        <v>608</v>
      </c>
      <c r="T176" s="150">
        <f t="shared" ref="T176:AD176" si="173">T182+T183</f>
        <v>730</v>
      </c>
      <c r="U176" s="150">
        <f t="shared" si="173"/>
        <v>691</v>
      </c>
      <c r="V176" s="150">
        <f t="shared" si="173"/>
        <v>642</v>
      </c>
      <c r="W176" s="150">
        <f t="shared" si="173"/>
        <v>780</v>
      </c>
      <c r="X176" s="150">
        <f t="shared" si="173"/>
        <v>605</v>
      </c>
      <c r="Y176" s="150">
        <f t="shared" si="173"/>
        <v>548</v>
      </c>
      <c r="Z176" s="150">
        <f t="shared" si="173"/>
        <v>804</v>
      </c>
      <c r="AA176" s="150">
        <f t="shared" si="173"/>
        <v>638</v>
      </c>
      <c r="AB176" s="150">
        <f t="shared" si="173"/>
        <v>727</v>
      </c>
      <c r="AC176" s="150">
        <f t="shared" si="173"/>
        <v>681</v>
      </c>
      <c r="AD176" s="150">
        <f t="shared" si="173"/>
        <v>502</v>
      </c>
      <c r="AE176" s="150">
        <f t="shared" si="120"/>
        <v>7956</v>
      </c>
      <c r="AF176" s="151">
        <f t="shared" si="121"/>
        <v>663</v>
      </c>
      <c r="AG176" s="183"/>
      <c r="AH176" s="149">
        <v>751</v>
      </c>
      <c r="AI176" s="150">
        <v>610</v>
      </c>
      <c r="AJ176" s="150">
        <v>651</v>
      </c>
      <c r="AK176" s="150">
        <v>679</v>
      </c>
      <c r="AL176" s="150">
        <v>714</v>
      </c>
      <c r="AM176" s="150">
        <v>671</v>
      </c>
      <c r="AN176" s="150">
        <v>739</v>
      </c>
      <c r="AO176" s="150">
        <v>590</v>
      </c>
      <c r="AP176" s="150">
        <v>640</v>
      </c>
      <c r="AQ176" s="150">
        <v>793</v>
      </c>
      <c r="AR176" s="150">
        <v>1692</v>
      </c>
      <c r="AS176" s="150">
        <v>857</v>
      </c>
      <c r="AT176" s="150">
        <f t="shared" si="123"/>
        <v>9387</v>
      </c>
      <c r="AU176" s="151">
        <f t="shared" si="147"/>
        <v>782.25</v>
      </c>
      <c r="AV176" s="183"/>
      <c r="AW176" s="483">
        <v>819</v>
      </c>
      <c r="AX176" s="150">
        <v>1076</v>
      </c>
      <c r="AY176" s="150">
        <v>918</v>
      </c>
      <c r="AZ176" s="150">
        <v>947</v>
      </c>
      <c r="BA176" s="150">
        <v>1425</v>
      </c>
      <c r="BB176" s="150">
        <v>1091</v>
      </c>
      <c r="BC176" s="150">
        <v>1108</v>
      </c>
      <c r="BD176" s="150">
        <v>723</v>
      </c>
      <c r="BE176" s="150">
        <v>843</v>
      </c>
      <c r="BF176" s="150">
        <v>719</v>
      </c>
      <c r="BG176" s="150">
        <v>765</v>
      </c>
      <c r="BH176" s="150">
        <v>714</v>
      </c>
      <c r="BI176" s="150">
        <f t="shared" si="139"/>
        <v>11148</v>
      </c>
      <c r="BJ176" s="151">
        <f t="shared" si="117"/>
        <v>929</v>
      </c>
      <c r="BK176" s="183"/>
      <c r="BL176" s="483">
        <v>742</v>
      </c>
      <c r="BM176" s="150">
        <v>648</v>
      </c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>
        <f t="shared" si="140"/>
        <v>1390</v>
      </c>
      <c r="BY176" s="151">
        <f t="shared" si="159"/>
        <v>695</v>
      </c>
      <c r="CA176" s="169">
        <f>ROW()</f>
        <v>176</v>
      </c>
      <c r="CB176" s="169">
        <f>IFERROR(_xlfn.XLOOKUP($A$1,$2:$2,176:176)-_xlfn.XLOOKUP(EDATE($A$1,-12),$2:$2,176:176),"")</f>
        <v>-428</v>
      </c>
      <c r="CC176" s="169">
        <f t="shared" si="153"/>
        <v>146.75</v>
      </c>
      <c r="CD176" s="169">
        <f>IFERROR(
  SUM(
    _xlfn.XLOOKUP(DATE(YEAR($A$1),1,1),$2:$2,176:176):
    _xlfn.XLOOKUP($A$1,$2:$2,176:176)
  )
 -SUM(
    _xlfn.XLOOKUP(DATE(YEAR($A$1)-1,1,1),$2:$2,176:176):
    _xlfn.XLOOKUP(EDATE($A$1,-12),$2:$2,176:176)
  ),"")</f>
        <v>-505</v>
      </c>
      <c r="CE176" s="4517">
        <f>IFERROR(
  _xlfn.XLOOKUP($A$1,$B$2:$BY$2,$B176:$BY176)
 -_xlfn.XLOOKUP(EDATE($A$1,-1),$B$2:$BY$2,$B176:$BY176),"")</f>
        <v>-94</v>
      </c>
    </row>
    <row r="177" spans="1:86" x14ac:dyDescent="0.55000000000000004">
      <c r="A177" s="7198"/>
      <c r="B177" s="7206" t="s">
        <v>414</v>
      </c>
      <c r="C177" s="68" t="s">
        <v>226</v>
      </c>
      <c r="D177" s="155">
        <f t="shared" ref="D177:O177" si="174">D214+D251</f>
        <v>446</v>
      </c>
      <c r="E177" s="156">
        <f t="shared" si="174"/>
        <v>514</v>
      </c>
      <c r="F177" s="156">
        <f t="shared" si="174"/>
        <v>528</v>
      </c>
      <c r="G177" s="156">
        <f t="shared" si="174"/>
        <v>710</v>
      </c>
      <c r="H177" s="156">
        <f t="shared" si="174"/>
        <v>908</v>
      </c>
      <c r="I177" s="156">
        <f t="shared" si="174"/>
        <v>780</v>
      </c>
      <c r="J177" s="156">
        <f t="shared" si="174"/>
        <v>481</v>
      </c>
      <c r="K177" s="156">
        <f t="shared" si="174"/>
        <v>464</v>
      </c>
      <c r="L177" s="156">
        <f t="shared" si="174"/>
        <v>503</v>
      </c>
      <c r="M177" s="156">
        <f t="shared" si="174"/>
        <v>598</v>
      </c>
      <c r="N177" s="156">
        <f t="shared" si="174"/>
        <v>421</v>
      </c>
      <c r="O177" s="156">
        <f t="shared" si="174"/>
        <v>451</v>
      </c>
      <c r="P177" s="156">
        <f t="shared" si="122"/>
        <v>6804</v>
      </c>
      <c r="Q177" s="157">
        <f t="shared" si="137"/>
        <v>567</v>
      </c>
      <c r="R177" s="183"/>
      <c r="S177" s="155">
        <v>408</v>
      </c>
      <c r="T177" s="156">
        <v>564</v>
      </c>
      <c r="U177" s="156">
        <v>486</v>
      </c>
      <c r="V177" s="156">
        <v>368</v>
      </c>
      <c r="W177" s="156">
        <v>463</v>
      </c>
      <c r="X177" s="156">
        <v>458</v>
      </c>
      <c r="Y177" s="156">
        <v>391</v>
      </c>
      <c r="Z177" s="156">
        <v>521</v>
      </c>
      <c r="AA177" s="156">
        <v>501</v>
      </c>
      <c r="AB177" s="156">
        <v>427</v>
      </c>
      <c r="AC177" s="156">
        <v>502</v>
      </c>
      <c r="AD177" s="156">
        <v>276</v>
      </c>
      <c r="AE177" s="156">
        <f t="shared" si="120"/>
        <v>5365</v>
      </c>
      <c r="AF177" s="157">
        <f t="shared" si="121"/>
        <v>447.08333333333331</v>
      </c>
      <c r="AG177" s="183"/>
      <c r="AH177" s="155">
        <v>535</v>
      </c>
      <c r="AI177" s="156">
        <v>330</v>
      </c>
      <c r="AJ177" s="156">
        <v>375</v>
      </c>
      <c r="AK177" s="156">
        <v>334</v>
      </c>
      <c r="AL177" s="156">
        <v>473</v>
      </c>
      <c r="AM177" s="156">
        <v>444</v>
      </c>
      <c r="AN177" s="156">
        <v>530</v>
      </c>
      <c r="AO177" s="156">
        <v>562</v>
      </c>
      <c r="AP177" s="156">
        <v>511</v>
      </c>
      <c r="AQ177" s="156">
        <v>620</v>
      </c>
      <c r="AR177" s="156">
        <v>853</v>
      </c>
      <c r="AS177" s="156">
        <v>413</v>
      </c>
      <c r="AT177" s="156">
        <f t="shared" si="123"/>
        <v>5980</v>
      </c>
      <c r="AU177" s="157">
        <f t="shared" si="147"/>
        <v>498.33333333333331</v>
      </c>
      <c r="AV177" s="183"/>
      <c r="AW177" s="488">
        <v>393</v>
      </c>
      <c r="AX177" s="156">
        <v>569</v>
      </c>
      <c r="AY177" s="156">
        <v>452</v>
      </c>
      <c r="AZ177" s="156">
        <v>465</v>
      </c>
      <c r="BA177" s="156">
        <v>984</v>
      </c>
      <c r="BB177" s="156">
        <v>592</v>
      </c>
      <c r="BC177" s="156">
        <v>802</v>
      </c>
      <c r="BD177" s="156">
        <v>650</v>
      </c>
      <c r="BE177" s="156">
        <v>677</v>
      </c>
      <c r="BF177" s="156">
        <v>590</v>
      </c>
      <c r="BG177" s="156">
        <v>641</v>
      </c>
      <c r="BH177" s="156">
        <v>732</v>
      </c>
      <c r="BI177" s="156">
        <f t="shared" si="139"/>
        <v>7547</v>
      </c>
      <c r="BJ177" s="157">
        <f t="shared" si="117"/>
        <v>628.91666666666663</v>
      </c>
      <c r="BK177" s="183"/>
      <c r="BL177" s="488">
        <v>673</v>
      </c>
      <c r="BM177" s="156">
        <v>435</v>
      </c>
      <c r="BN177" s="156"/>
      <c r="BO177" s="156"/>
      <c r="BP177" s="156"/>
      <c r="BQ177" s="156"/>
      <c r="BR177" s="156"/>
      <c r="BS177" s="156"/>
      <c r="BT177" s="156"/>
      <c r="BU177" s="156"/>
      <c r="BV177" s="156"/>
      <c r="BW177" s="156"/>
      <c r="BX177" s="156">
        <f t="shared" si="140"/>
        <v>1108</v>
      </c>
      <c r="BY177" s="157">
        <f t="shared" si="159"/>
        <v>554</v>
      </c>
      <c r="CA177" s="169">
        <f>ROW()</f>
        <v>177</v>
      </c>
      <c r="CB177" s="169">
        <f>IFERROR(_xlfn.XLOOKUP($A$1,$2:$2,177:177)-_xlfn.XLOOKUP(EDATE($A$1,-12),$2:$2,177:177),"")</f>
        <v>-134</v>
      </c>
      <c r="CC177" s="169">
        <f t="shared" si="153"/>
        <v>130.58333333333331</v>
      </c>
      <c r="CD177" s="169">
        <f>IFERROR(
  SUM(
    _xlfn.XLOOKUP(DATE(YEAR($A$1),1,1),$2:$2,177:177):
    _xlfn.XLOOKUP($A$1,$2:$2,177:177)
  )
 -SUM(
    _xlfn.XLOOKUP(DATE(YEAR($A$1)-1,1,1),$2:$2,177:177):
    _xlfn.XLOOKUP(EDATE($A$1,-12),$2:$2,177:177)
  ),"")</f>
        <v>146</v>
      </c>
      <c r="CE177" s="4517">
        <f>IFERROR(
  _xlfn.XLOOKUP($A$1,$B$2:$BY$2,$B177:$BY177)
 -_xlfn.XLOOKUP(EDATE($A$1,-1),$B$2:$BY$2,$B177:$BY177),"")</f>
        <v>-238</v>
      </c>
    </row>
    <row r="178" spans="1:86" s="61" customFormat="1" x14ac:dyDescent="0.55000000000000004">
      <c r="A178" s="7198"/>
      <c r="B178" s="7207"/>
      <c r="C178" s="76" t="s">
        <v>227</v>
      </c>
      <c r="D178" s="161">
        <f t="shared" ref="D178:O178" si="175">D215+D252</f>
        <v>577</v>
      </c>
      <c r="E178" s="162">
        <f t="shared" si="175"/>
        <v>678</v>
      </c>
      <c r="F178" s="162">
        <f t="shared" si="175"/>
        <v>732</v>
      </c>
      <c r="G178" s="162">
        <f t="shared" si="175"/>
        <v>912</v>
      </c>
      <c r="H178" s="162">
        <f t="shared" si="175"/>
        <v>916</v>
      </c>
      <c r="I178" s="162">
        <f t="shared" si="175"/>
        <v>674</v>
      </c>
      <c r="J178" s="162">
        <f t="shared" si="175"/>
        <v>484</v>
      </c>
      <c r="K178" s="162">
        <f t="shared" si="175"/>
        <v>622</v>
      </c>
      <c r="L178" s="162">
        <f t="shared" si="175"/>
        <v>399</v>
      </c>
      <c r="M178" s="162">
        <f t="shared" si="175"/>
        <v>545</v>
      </c>
      <c r="N178" s="162">
        <f t="shared" si="175"/>
        <v>489</v>
      </c>
      <c r="O178" s="162">
        <f t="shared" si="175"/>
        <v>404</v>
      </c>
      <c r="P178" s="162">
        <f t="shared" si="122"/>
        <v>7432</v>
      </c>
      <c r="Q178" s="163">
        <f t="shared" si="137"/>
        <v>619.33333333333337</v>
      </c>
      <c r="R178" s="183"/>
      <c r="S178" s="161">
        <v>430</v>
      </c>
      <c r="T178" s="162">
        <v>487</v>
      </c>
      <c r="U178" s="162">
        <v>378</v>
      </c>
      <c r="V178" s="162">
        <v>275</v>
      </c>
      <c r="W178" s="162">
        <v>386</v>
      </c>
      <c r="X178" s="162">
        <v>299</v>
      </c>
      <c r="Y178" s="162">
        <v>306</v>
      </c>
      <c r="Z178" s="162">
        <v>370</v>
      </c>
      <c r="AA178" s="162">
        <v>346</v>
      </c>
      <c r="AB178" s="162">
        <v>410</v>
      </c>
      <c r="AC178" s="162">
        <v>379</v>
      </c>
      <c r="AD178" s="162">
        <v>247</v>
      </c>
      <c r="AE178" s="162">
        <f t="shared" si="120"/>
        <v>4313</v>
      </c>
      <c r="AF178" s="163">
        <f t="shared" si="121"/>
        <v>359.41666666666669</v>
      </c>
      <c r="AG178" s="183"/>
      <c r="AH178" s="161">
        <v>342</v>
      </c>
      <c r="AI178" s="162">
        <v>301</v>
      </c>
      <c r="AJ178" s="162">
        <v>446</v>
      </c>
      <c r="AK178" s="162">
        <v>426</v>
      </c>
      <c r="AL178" s="162">
        <v>406</v>
      </c>
      <c r="AM178" s="162">
        <v>482</v>
      </c>
      <c r="AN178" s="162">
        <v>478</v>
      </c>
      <c r="AO178" s="162">
        <v>673</v>
      </c>
      <c r="AP178" s="162">
        <v>709</v>
      </c>
      <c r="AQ178" s="162">
        <v>709</v>
      </c>
      <c r="AR178" s="162">
        <v>892</v>
      </c>
      <c r="AS178" s="162">
        <v>587</v>
      </c>
      <c r="AT178" s="162">
        <f t="shared" si="123"/>
        <v>6451</v>
      </c>
      <c r="AU178" s="163">
        <f t="shared" si="147"/>
        <v>537.58333333333337</v>
      </c>
      <c r="AV178" s="183"/>
      <c r="AW178" s="487">
        <v>532</v>
      </c>
      <c r="AX178" s="162">
        <v>602</v>
      </c>
      <c r="AY178" s="162">
        <v>489</v>
      </c>
      <c r="AZ178" s="162">
        <v>457</v>
      </c>
      <c r="BA178" s="162">
        <v>1037</v>
      </c>
      <c r="BB178" s="162">
        <v>653</v>
      </c>
      <c r="BC178" s="162">
        <v>617</v>
      </c>
      <c r="BD178" s="162">
        <v>607</v>
      </c>
      <c r="BE178" s="162">
        <v>607</v>
      </c>
      <c r="BF178" s="162">
        <v>556</v>
      </c>
      <c r="BG178" s="162">
        <v>521</v>
      </c>
      <c r="BH178" s="162">
        <v>574</v>
      </c>
      <c r="BI178" s="162">
        <f t="shared" si="139"/>
        <v>7252</v>
      </c>
      <c r="BJ178" s="163">
        <f t="shared" si="117"/>
        <v>604.33333333333337</v>
      </c>
      <c r="BK178" s="183"/>
      <c r="BL178" s="487">
        <v>601</v>
      </c>
      <c r="BM178" s="162">
        <v>422</v>
      </c>
      <c r="BN178" s="162"/>
      <c r="BO178" s="162"/>
      <c r="BP178" s="162"/>
      <c r="BQ178" s="162"/>
      <c r="BR178" s="162"/>
      <c r="BS178" s="162"/>
      <c r="BT178" s="162"/>
      <c r="BU178" s="162"/>
      <c r="BV178" s="162"/>
      <c r="BW178" s="162"/>
      <c r="BX178" s="162">
        <f t="shared" si="140"/>
        <v>1023</v>
      </c>
      <c r="BY178" s="163">
        <f t="shared" si="159"/>
        <v>511.5</v>
      </c>
      <c r="CA178" s="169">
        <f>ROW()</f>
        <v>178</v>
      </c>
      <c r="CB178" s="169">
        <f>IFERROR(_xlfn.XLOOKUP($A$1,$2:$2,178:178)-_xlfn.XLOOKUP(EDATE($A$1,-12),$2:$2,178:178),"")</f>
        <v>-180</v>
      </c>
      <c r="CC178" s="169">
        <f t="shared" si="153"/>
        <v>66.75</v>
      </c>
      <c r="CD178" s="169">
        <f>IFERROR(
  SUM(
    _xlfn.XLOOKUP(DATE(YEAR($A$1),1,1),$2:$2,178:178):
    _xlfn.XLOOKUP($A$1,$2:$2,178:178)
  )
 -SUM(
    _xlfn.XLOOKUP(DATE(YEAR($A$1)-1,1,1),$2:$2,178:178):
    _xlfn.XLOOKUP(EDATE($A$1,-12),$2:$2,178:178)
  ),"")</f>
        <v>-111</v>
      </c>
      <c r="CE178" s="4517">
        <f>IFERROR(
  _xlfn.XLOOKUP($A$1,$B$2:$BY$2,$B178:$BY178)
 -_xlfn.XLOOKUP(EDATE($A$1,-1),$B$2:$BY$2,$B178:$BY178),"")</f>
        <v>-179</v>
      </c>
      <c r="CG178"/>
      <c r="CH178"/>
    </row>
    <row r="179" spans="1:86" s="61" customFormat="1" x14ac:dyDescent="0.55000000000000004">
      <c r="A179" s="7198"/>
      <c r="B179" s="7207"/>
      <c r="C179" s="68" t="s">
        <v>228</v>
      </c>
      <c r="D179" s="155">
        <f t="shared" ref="D179:O179" si="176">D216+D253</f>
        <v>563</v>
      </c>
      <c r="E179" s="156">
        <f t="shared" si="176"/>
        <v>627</v>
      </c>
      <c r="F179" s="156">
        <f t="shared" si="176"/>
        <v>668</v>
      </c>
      <c r="G179" s="156">
        <f t="shared" si="176"/>
        <v>808</v>
      </c>
      <c r="H179" s="156">
        <f t="shared" si="176"/>
        <v>698</v>
      </c>
      <c r="I179" s="156">
        <f t="shared" si="176"/>
        <v>613</v>
      </c>
      <c r="J179" s="156">
        <f t="shared" si="176"/>
        <v>450</v>
      </c>
      <c r="K179" s="156">
        <f t="shared" si="176"/>
        <v>542</v>
      </c>
      <c r="L179" s="156">
        <f t="shared" si="176"/>
        <v>434</v>
      </c>
      <c r="M179" s="156">
        <f t="shared" si="176"/>
        <v>482</v>
      </c>
      <c r="N179" s="156">
        <f t="shared" si="176"/>
        <v>411</v>
      </c>
      <c r="O179" s="156">
        <f t="shared" si="176"/>
        <v>316</v>
      </c>
      <c r="P179" s="156">
        <f t="shared" si="122"/>
        <v>6612</v>
      </c>
      <c r="Q179" s="157">
        <f t="shared" si="137"/>
        <v>551</v>
      </c>
      <c r="R179" s="183"/>
      <c r="S179" s="155">
        <v>312</v>
      </c>
      <c r="T179" s="156">
        <v>371</v>
      </c>
      <c r="U179" s="156">
        <v>371</v>
      </c>
      <c r="V179" s="156">
        <v>327</v>
      </c>
      <c r="W179" s="156">
        <v>414</v>
      </c>
      <c r="X179" s="156">
        <v>373</v>
      </c>
      <c r="Y179" s="156">
        <v>367</v>
      </c>
      <c r="Z179" s="156">
        <v>412</v>
      </c>
      <c r="AA179" s="156">
        <v>322</v>
      </c>
      <c r="AB179" s="156">
        <v>364</v>
      </c>
      <c r="AC179" s="156">
        <v>407</v>
      </c>
      <c r="AD179" s="156">
        <v>261</v>
      </c>
      <c r="AE179" s="156">
        <f t="shared" si="120"/>
        <v>4301</v>
      </c>
      <c r="AF179" s="157">
        <f t="shared" si="121"/>
        <v>358.41666666666669</v>
      </c>
      <c r="AG179" s="183"/>
      <c r="AH179" s="155">
        <v>301</v>
      </c>
      <c r="AI179" s="156">
        <v>301</v>
      </c>
      <c r="AJ179" s="156">
        <v>402</v>
      </c>
      <c r="AK179" s="156">
        <v>362</v>
      </c>
      <c r="AL179" s="156">
        <v>530</v>
      </c>
      <c r="AM179" s="156">
        <v>492</v>
      </c>
      <c r="AN179" s="156">
        <v>547</v>
      </c>
      <c r="AO179" s="156">
        <v>561</v>
      </c>
      <c r="AP179" s="156">
        <v>495</v>
      </c>
      <c r="AQ179" s="156">
        <v>583</v>
      </c>
      <c r="AR179" s="156">
        <v>899</v>
      </c>
      <c r="AS179" s="156">
        <v>554</v>
      </c>
      <c r="AT179" s="156">
        <f t="shared" si="123"/>
        <v>6027</v>
      </c>
      <c r="AU179" s="157">
        <f t="shared" si="147"/>
        <v>502.25</v>
      </c>
      <c r="AV179" s="183"/>
      <c r="AW179" s="488">
        <v>483</v>
      </c>
      <c r="AX179" s="156">
        <v>698</v>
      </c>
      <c r="AY179" s="156">
        <v>681</v>
      </c>
      <c r="AZ179" s="156">
        <v>572</v>
      </c>
      <c r="BA179" s="156">
        <v>1071</v>
      </c>
      <c r="BB179" s="156">
        <v>840</v>
      </c>
      <c r="BC179" s="156">
        <v>753</v>
      </c>
      <c r="BD179" s="156">
        <v>568</v>
      </c>
      <c r="BE179" s="156">
        <v>645</v>
      </c>
      <c r="BF179" s="156">
        <v>585</v>
      </c>
      <c r="BG179" s="156">
        <v>495</v>
      </c>
      <c r="BH179" s="156">
        <v>506</v>
      </c>
      <c r="BI179" s="156">
        <f t="shared" si="139"/>
        <v>7897</v>
      </c>
      <c r="BJ179" s="157">
        <f t="shared" si="117"/>
        <v>658.08333333333337</v>
      </c>
      <c r="BK179" s="183"/>
      <c r="BL179" s="488">
        <v>696</v>
      </c>
      <c r="BM179" s="156">
        <v>469</v>
      </c>
      <c r="BN179" s="156"/>
      <c r="BO179" s="156"/>
      <c r="BP179" s="156"/>
      <c r="BQ179" s="156"/>
      <c r="BR179" s="156"/>
      <c r="BS179" s="156"/>
      <c r="BT179" s="156"/>
      <c r="BU179" s="156"/>
      <c r="BV179" s="156"/>
      <c r="BW179" s="156"/>
      <c r="BX179" s="156">
        <f t="shared" si="140"/>
        <v>1165</v>
      </c>
      <c r="BY179" s="157">
        <f t="shared" si="159"/>
        <v>582.5</v>
      </c>
      <c r="CA179" s="169">
        <f>ROW()</f>
        <v>179</v>
      </c>
      <c r="CB179" s="169">
        <f>IFERROR(_xlfn.XLOOKUP($A$1,$2:$2,179:179)-_xlfn.XLOOKUP(EDATE($A$1,-12),$2:$2,179:179),"")</f>
        <v>-229</v>
      </c>
      <c r="CC179" s="169">
        <f t="shared" si="153"/>
        <v>155.83333333333337</v>
      </c>
      <c r="CD179" s="169">
        <f>IFERROR(
  SUM(
    _xlfn.XLOOKUP(DATE(YEAR($A$1),1,1),$2:$2,179:179):
    _xlfn.XLOOKUP($A$1,$2:$2,179:179)
  )
 -SUM(
    _xlfn.XLOOKUP(DATE(YEAR($A$1)-1,1,1),$2:$2,179:179):
    _xlfn.XLOOKUP(EDATE($A$1,-12),$2:$2,179:179)
  ),"")</f>
        <v>-16</v>
      </c>
      <c r="CE179" s="4517">
        <f>IFERROR(
  _xlfn.XLOOKUP($A$1,$B$2:$BY$2,$B179:$BY179)
 -_xlfn.XLOOKUP(EDATE($A$1,-1),$B$2:$BY$2,$B179:$BY179),"")</f>
        <v>-227</v>
      </c>
      <c r="CG179"/>
      <c r="CH179"/>
    </row>
    <row r="180" spans="1:86" s="61" customFormat="1" x14ac:dyDescent="0.55000000000000004">
      <c r="A180" s="7198"/>
      <c r="B180" s="7207"/>
      <c r="C180" s="76" t="s">
        <v>229</v>
      </c>
      <c r="D180" s="161">
        <f t="shared" ref="D180:O180" si="177">D217+D254</f>
        <v>386</v>
      </c>
      <c r="E180" s="162">
        <f t="shared" si="177"/>
        <v>355</v>
      </c>
      <c r="F180" s="162">
        <f t="shared" si="177"/>
        <v>420</v>
      </c>
      <c r="G180" s="162">
        <f t="shared" si="177"/>
        <v>428</v>
      </c>
      <c r="H180" s="162">
        <f t="shared" si="177"/>
        <v>473</v>
      </c>
      <c r="I180" s="162">
        <f t="shared" si="177"/>
        <v>541</v>
      </c>
      <c r="J180" s="162">
        <f t="shared" si="177"/>
        <v>477</v>
      </c>
      <c r="K180" s="162">
        <f t="shared" si="177"/>
        <v>529</v>
      </c>
      <c r="L180" s="162">
        <f t="shared" si="177"/>
        <v>466</v>
      </c>
      <c r="M180" s="162">
        <f t="shared" si="177"/>
        <v>444</v>
      </c>
      <c r="N180" s="162">
        <f t="shared" si="177"/>
        <v>383</v>
      </c>
      <c r="O180" s="162">
        <f t="shared" si="177"/>
        <v>287</v>
      </c>
      <c r="P180" s="162">
        <f t="shared" si="122"/>
        <v>5189</v>
      </c>
      <c r="Q180" s="163">
        <f t="shared" si="137"/>
        <v>432.41666666666669</v>
      </c>
      <c r="R180" s="183"/>
      <c r="S180" s="161">
        <v>392</v>
      </c>
      <c r="T180" s="162">
        <v>446</v>
      </c>
      <c r="U180" s="162">
        <v>445</v>
      </c>
      <c r="V180" s="162">
        <v>407</v>
      </c>
      <c r="W180" s="162">
        <v>496</v>
      </c>
      <c r="X180" s="162">
        <v>395</v>
      </c>
      <c r="Y180" s="162">
        <v>387</v>
      </c>
      <c r="Z180" s="162">
        <v>543</v>
      </c>
      <c r="AA180" s="162">
        <v>467</v>
      </c>
      <c r="AB180" s="162">
        <v>461</v>
      </c>
      <c r="AC180" s="162">
        <v>417</v>
      </c>
      <c r="AD180" s="162">
        <v>318</v>
      </c>
      <c r="AE180" s="162">
        <f t="shared" si="120"/>
        <v>5174</v>
      </c>
      <c r="AF180" s="163">
        <f t="shared" si="121"/>
        <v>431.16666666666669</v>
      </c>
      <c r="AG180" s="183"/>
      <c r="AH180" s="161">
        <v>636</v>
      </c>
      <c r="AI180" s="162">
        <v>547</v>
      </c>
      <c r="AJ180" s="162">
        <v>649</v>
      </c>
      <c r="AK180" s="162">
        <v>602</v>
      </c>
      <c r="AL180" s="162">
        <v>734</v>
      </c>
      <c r="AM180" s="162">
        <v>583</v>
      </c>
      <c r="AN180" s="162">
        <v>600</v>
      </c>
      <c r="AO180" s="162">
        <v>500</v>
      </c>
      <c r="AP180" s="162">
        <v>554</v>
      </c>
      <c r="AQ180" s="162">
        <v>693</v>
      </c>
      <c r="AR180" s="162">
        <v>1241</v>
      </c>
      <c r="AS180" s="162">
        <v>831</v>
      </c>
      <c r="AT180" s="162">
        <f t="shared" si="123"/>
        <v>8170</v>
      </c>
      <c r="AU180" s="163">
        <f t="shared" si="147"/>
        <v>680.83333333333337</v>
      </c>
      <c r="AV180" s="183"/>
      <c r="AW180" s="487">
        <v>734</v>
      </c>
      <c r="AX180" s="162">
        <v>893</v>
      </c>
      <c r="AY180" s="162">
        <v>804</v>
      </c>
      <c r="AZ180" s="162">
        <v>1040</v>
      </c>
      <c r="BA180" s="162">
        <v>2071</v>
      </c>
      <c r="BB180" s="162">
        <v>2101</v>
      </c>
      <c r="BC180" s="162">
        <v>1635</v>
      </c>
      <c r="BD180" s="162">
        <v>1111</v>
      </c>
      <c r="BE180" s="162">
        <v>915</v>
      </c>
      <c r="BF180" s="162">
        <v>970</v>
      </c>
      <c r="BG180" s="162">
        <v>858</v>
      </c>
      <c r="BH180" s="162">
        <v>768</v>
      </c>
      <c r="BI180" s="162">
        <f t="shared" si="139"/>
        <v>13900</v>
      </c>
      <c r="BJ180" s="163">
        <f t="shared" si="117"/>
        <v>1158.3333333333333</v>
      </c>
      <c r="BK180" s="183"/>
      <c r="BL180" s="487">
        <v>769</v>
      </c>
      <c r="BM180" s="162">
        <v>616</v>
      </c>
      <c r="BN180" s="162"/>
      <c r="BO180" s="162"/>
      <c r="BP180" s="162"/>
      <c r="BQ180" s="162"/>
      <c r="BR180" s="162"/>
      <c r="BS180" s="162"/>
      <c r="BT180" s="162"/>
      <c r="BU180" s="162"/>
      <c r="BV180" s="162"/>
      <c r="BW180" s="162"/>
      <c r="BX180" s="162">
        <f t="shared" si="140"/>
        <v>1385</v>
      </c>
      <c r="BY180" s="163">
        <f t="shared" si="159"/>
        <v>692.5</v>
      </c>
      <c r="CA180" s="169">
        <f>ROW()</f>
        <v>180</v>
      </c>
      <c r="CB180" s="169">
        <f>IFERROR(_xlfn.XLOOKUP($A$1,$2:$2,180:180)-_xlfn.XLOOKUP(EDATE($A$1,-12),$2:$2,180:180),"")</f>
        <v>-277</v>
      </c>
      <c r="CC180" s="169">
        <f t="shared" si="153"/>
        <v>477.49999999999989</v>
      </c>
      <c r="CD180" s="169">
        <f>IFERROR(
  SUM(
    _xlfn.XLOOKUP(DATE(YEAR($A$1),1,1),$2:$2,180:180):
    _xlfn.XLOOKUP($A$1,$2:$2,180:180)
  )
 -SUM(
    _xlfn.XLOOKUP(DATE(YEAR($A$1)-1,1,1),$2:$2,180:180):
    _xlfn.XLOOKUP(EDATE($A$1,-12),$2:$2,180:180)
  ),"")</f>
        <v>-242</v>
      </c>
      <c r="CE180" s="4517">
        <f>IFERROR(
  _xlfn.XLOOKUP($A$1,$B$2:$BY$2,$B180:$BY180)
 -_xlfn.XLOOKUP(EDATE($A$1,-1),$B$2:$BY$2,$B180:$BY180),"")</f>
        <v>-153</v>
      </c>
      <c r="CG180"/>
      <c r="CH180"/>
    </row>
    <row r="181" spans="1:86" x14ac:dyDescent="0.55000000000000004">
      <c r="A181" s="7198"/>
      <c r="B181" s="7207"/>
      <c r="C181" s="67" t="s">
        <v>230</v>
      </c>
      <c r="D181" s="152">
        <f t="shared" ref="D181:O181" si="178">D218+D255</f>
        <v>448</v>
      </c>
      <c r="E181" s="153">
        <f t="shared" si="178"/>
        <v>451</v>
      </c>
      <c r="F181" s="153">
        <f t="shared" si="178"/>
        <v>452</v>
      </c>
      <c r="G181" s="153">
        <f t="shared" si="178"/>
        <v>473</v>
      </c>
      <c r="H181" s="153">
        <f t="shared" si="178"/>
        <v>500</v>
      </c>
      <c r="I181" s="153">
        <f t="shared" si="178"/>
        <v>420</v>
      </c>
      <c r="J181" s="153">
        <f t="shared" si="178"/>
        <v>296</v>
      </c>
      <c r="K181" s="153">
        <f t="shared" si="178"/>
        <v>387</v>
      </c>
      <c r="L181" s="153">
        <f t="shared" si="178"/>
        <v>274</v>
      </c>
      <c r="M181" s="153">
        <f t="shared" si="178"/>
        <v>269</v>
      </c>
      <c r="N181" s="153">
        <f t="shared" si="178"/>
        <v>212</v>
      </c>
      <c r="O181" s="153">
        <f t="shared" si="178"/>
        <v>106</v>
      </c>
      <c r="P181" s="153">
        <f t="shared" si="122"/>
        <v>4288</v>
      </c>
      <c r="Q181" s="154">
        <f t="shared" si="137"/>
        <v>357.33333333333331</v>
      </c>
      <c r="R181" s="183"/>
      <c r="S181" s="152">
        <v>187</v>
      </c>
      <c r="T181" s="153">
        <v>223</v>
      </c>
      <c r="U181" s="153">
        <v>207</v>
      </c>
      <c r="V181" s="153">
        <v>233</v>
      </c>
      <c r="W181" s="153">
        <v>320</v>
      </c>
      <c r="X181" s="153">
        <v>302</v>
      </c>
      <c r="Y181" s="153">
        <v>222</v>
      </c>
      <c r="Z181" s="153">
        <v>287</v>
      </c>
      <c r="AA181" s="153">
        <v>239</v>
      </c>
      <c r="AB181" s="153">
        <v>342</v>
      </c>
      <c r="AC181" s="153">
        <v>299</v>
      </c>
      <c r="AD181" s="153">
        <v>198</v>
      </c>
      <c r="AE181" s="153">
        <f t="shared" si="120"/>
        <v>3059</v>
      </c>
      <c r="AF181" s="154">
        <f t="shared" si="121"/>
        <v>254.91666666666666</v>
      </c>
      <c r="AG181" s="183"/>
      <c r="AH181" s="152">
        <v>292</v>
      </c>
      <c r="AI181" s="153">
        <v>308</v>
      </c>
      <c r="AJ181" s="153">
        <v>296</v>
      </c>
      <c r="AK181" s="153">
        <v>290</v>
      </c>
      <c r="AL181" s="153">
        <v>292</v>
      </c>
      <c r="AM181" s="153">
        <v>264</v>
      </c>
      <c r="AN181" s="153">
        <v>277</v>
      </c>
      <c r="AO181" s="153">
        <v>348</v>
      </c>
      <c r="AP181" s="153">
        <v>308</v>
      </c>
      <c r="AQ181" s="153">
        <v>324</v>
      </c>
      <c r="AR181" s="153">
        <v>591</v>
      </c>
      <c r="AS181" s="153">
        <v>292</v>
      </c>
      <c r="AT181" s="153">
        <f t="shared" si="123"/>
        <v>3882</v>
      </c>
      <c r="AU181" s="154">
        <f t="shared" si="147"/>
        <v>323.5</v>
      </c>
      <c r="AV181" s="183"/>
      <c r="AW181" s="487">
        <v>316</v>
      </c>
      <c r="AX181" s="153">
        <v>386</v>
      </c>
      <c r="AY181" s="153">
        <v>365</v>
      </c>
      <c r="AZ181" s="153">
        <v>353</v>
      </c>
      <c r="BA181" s="153">
        <v>778</v>
      </c>
      <c r="BB181" s="153">
        <v>590</v>
      </c>
      <c r="BC181" s="153">
        <v>497</v>
      </c>
      <c r="BD181" s="153">
        <v>308</v>
      </c>
      <c r="BE181" s="153">
        <v>356</v>
      </c>
      <c r="BF181" s="153">
        <v>388</v>
      </c>
      <c r="BG181" s="153">
        <v>434</v>
      </c>
      <c r="BH181" s="153">
        <v>400</v>
      </c>
      <c r="BI181" s="153">
        <f t="shared" si="139"/>
        <v>5171</v>
      </c>
      <c r="BJ181" s="154">
        <f t="shared" si="117"/>
        <v>430.91666666666669</v>
      </c>
      <c r="BK181" s="183"/>
      <c r="BL181" s="487">
        <v>508</v>
      </c>
      <c r="BM181" s="153">
        <v>242</v>
      </c>
      <c r="BN181" s="153"/>
      <c r="BO181" s="153"/>
      <c r="BP181" s="153"/>
      <c r="BQ181" s="153"/>
      <c r="BR181" s="153"/>
      <c r="BS181" s="153"/>
      <c r="BT181" s="153"/>
      <c r="BU181" s="153"/>
      <c r="BV181" s="153"/>
      <c r="BW181" s="153"/>
      <c r="BX181" s="153">
        <f t="shared" si="140"/>
        <v>750</v>
      </c>
      <c r="BY181" s="154">
        <f t="shared" si="159"/>
        <v>375</v>
      </c>
      <c r="CA181" s="169">
        <f>ROW()</f>
        <v>181</v>
      </c>
      <c r="CB181" s="169">
        <f>IFERROR(_xlfn.XLOOKUP($A$1,$2:$2,181:181)-_xlfn.XLOOKUP(EDATE($A$1,-12),$2:$2,181:181),"")</f>
        <v>-144</v>
      </c>
      <c r="CC181" s="169">
        <f t="shared" si="153"/>
        <v>107.41666666666669</v>
      </c>
      <c r="CD181" s="169">
        <f>IFERROR(
  SUM(
    _xlfn.XLOOKUP(DATE(YEAR($A$1),1,1),$2:$2,181:181):
    _xlfn.XLOOKUP($A$1,$2:$2,181:181)
  )
 -SUM(
    _xlfn.XLOOKUP(DATE(YEAR($A$1)-1,1,1),$2:$2,181:181):
    _xlfn.XLOOKUP(EDATE($A$1,-12),$2:$2,181:181)
  ),"")</f>
        <v>48</v>
      </c>
      <c r="CE181" s="4517">
        <f>IFERROR(
  _xlfn.XLOOKUP($A$1,$B$2:$BY$2,$B181:$BY181)
 -_xlfn.XLOOKUP(EDATE($A$1,-1),$B$2:$BY$2,$B181:$BY181),"")</f>
        <v>-266</v>
      </c>
    </row>
    <row r="182" spans="1:86" x14ac:dyDescent="0.55000000000000004">
      <c r="A182" s="7198"/>
      <c r="B182" s="7207"/>
      <c r="C182" s="68" t="s">
        <v>231</v>
      </c>
      <c r="D182" s="155">
        <f t="shared" ref="D182:O182" si="179">D219+D256</f>
        <v>435</v>
      </c>
      <c r="E182" s="156">
        <f t="shared" si="179"/>
        <v>417</v>
      </c>
      <c r="F182" s="156">
        <f t="shared" si="179"/>
        <v>369</v>
      </c>
      <c r="G182" s="156">
        <f t="shared" si="179"/>
        <v>539</v>
      </c>
      <c r="H182" s="156">
        <f t="shared" si="179"/>
        <v>486</v>
      </c>
      <c r="I182" s="156">
        <f t="shared" si="179"/>
        <v>427</v>
      </c>
      <c r="J182" s="156">
        <f t="shared" si="179"/>
        <v>298</v>
      </c>
      <c r="K182" s="156">
        <f t="shared" si="179"/>
        <v>440</v>
      </c>
      <c r="L182" s="156">
        <f t="shared" si="179"/>
        <v>327</v>
      </c>
      <c r="M182" s="156">
        <f t="shared" si="179"/>
        <v>329</v>
      </c>
      <c r="N182" s="156">
        <f t="shared" si="179"/>
        <v>341</v>
      </c>
      <c r="O182" s="156">
        <f t="shared" si="179"/>
        <v>403</v>
      </c>
      <c r="P182" s="156">
        <f t="shared" si="122"/>
        <v>4811</v>
      </c>
      <c r="Q182" s="157">
        <f t="shared" si="137"/>
        <v>400.91666666666669</v>
      </c>
      <c r="R182" s="183"/>
      <c r="S182" s="155">
        <v>337</v>
      </c>
      <c r="T182" s="156">
        <v>517</v>
      </c>
      <c r="U182" s="156">
        <v>455</v>
      </c>
      <c r="V182" s="156">
        <v>419</v>
      </c>
      <c r="W182" s="156">
        <v>521</v>
      </c>
      <c r="X182" s="156">
        <v>438</v>
      </c>
      <c r="Y182" s="156">
        <v>339</v>
      </c>
      <c r="Z182" s="156">
        <v>568</v>
      </c>
      <c r="AA182" s="156">
        <v>450</v>
      </c>
      <c r="AB182" s="156">
        <v>494</v>
      </c>
      <c r="AC182" s="156">
        <v>450</v>
      </c>
      <c r="AD182" s="156">
        <v>323</v>
      </c>
      <c r="AE182" s="156">
        <f t="shared" si="120"/>
        <v>5311</v>
      </c>
      <c r="AF182" s="157">
        <f t="shared" si="121"/>
        <v>442.58333333333331</v>
      </c>
      <c r="AG182" s="183"/>
      <c r="AH182" s="155">
        <v>472</v>
      </c>
      <c r="AI182" s="156">
        <v>377</v>
      </c>
      <c r="AJ182" s="156">
        <v>380</v>
      </c>
      <c r="AK182" s="156">
        <v>417</v>
      </c>
      <c r="AL182" s="156">
        <v>494</v>
      </c>
      <c r="AM182" s="156">
        <v>436</v>
      </c>
      <c r="AN182" s="156">
        <v>481</v>
      </c>
      <c r="AO182" s="156">
        <v>335</v>
      </c>
      <c r="AP182" s="156">
        <v>379</v>
      </c>
      <c r="AQ182" s="156">
        <v>445</v>
      </c>
      <c r="AR182" s="156">
        <v>1031</v>
      </c>
      <c r="AS182" s="156">
        <v>498</v>
      </c>
      <c r="AT182" s="156">
        <f t="shared" si="123"/>
        <v>5745</v>
      </c>
      <c r="AU182" s="157">
        <f t="shared" si="147"/>
        <v>478.75</v>
      </c>
      <c r="AV182" s="183"/>
      <c r="AW182" s="488">
        <v>475</v>
      </c>
      <c r="AX182" s="156">
        <v>607</v>
      </c>
      <c r="AY182" s="156">
        <v>555</v>
      </c>
      <c r="AZ182" s="156">
        <v>535</v>
      </c>
      <c r="BA182" s="156">
        <v>955</v>
      </c>
      <c r="BB182" s="156">
        <v>702</v>
      </c>
      <c r="BC182" s="156">
        <v>708</v>
      </c>
      <c r="BD182" s="156">
        <v>384</v>
      </c>
      <c r="BE182" s="156">
        <v>481</v>
      </c>
      <c r="BF182" s="156">
        <v>427</v>
      </c>
      <c r="BG182" s="156">
        <v>477</v>
      </c>
      <c r="BH182" s="156">
        <v>431</v>
      </c>
      <c r="BI182" s="156">
        <f t="shared" si="139"/>
        <v>6737</v>
      </c>
      <c r="BJ182" s="157">
        <f t="shared" si="117"/>
        <v>561.41666666666663</v>
      </c>
      <c r="BK182" s="183"/>
      <c r="BL182" s="488">
        <v>436</v>
      </c>
      <c r="BM182" s="156">
        <v>439</v>
      </c>
      <c r="BN182" s="156"/>
      <c r="BO182" s="156"/>
      <c r="BP182" s="156"/>
      <c r="BQ182" s="156"/>
      <c r="BR182" s="156"/>
      <c r="BS182" s="156"/>
      <c r="BT182" s="156"/>
      <c r="BU182" s="156"/>
      <c r="BV182" s="156"/>
      <c r="BW182" s="156"/>
      <c r="BX182" s="156">
        <f t="shared" si="140"/>
        <v>875</v>
      </c>
      <c r="BY182" s="157">
        <f t="shared" si="159"/>
        <v>437.5</v>
      </c>
      <c r="CA182" s="169">
        <f>ROW()</f>
        <v>182</v>
      </c>
      <c r="CB182" s="169">
        <f>IFERROR(_xlfn.XLOOKUP($A$1,$2:$2,182:182)-_xlfn.XLOOKUP(EDATE($A$1,-12),$2:$2,182:182),"")</f>
        <v>-168</v>
      </c>
      <c r="CC182" s="169">
        <f t="shared" si="153"/>
        <v>82.666666666666629</v>
      </c>
      <c r="CD182" s="169">
        <f>IFERROR(
  SUM(
    _xlfn.XLOOKUP(DATE(YEAR($A$1),1,1),$2:$2,182:182):
    _xlfn.XLOOKUP($A$1,$2:$2,182:182)
  )
 -SUM(
    _xlfn.XLOOKUP(DATE(YEAR($A$1)-1,1,1),$2:$2,182:182):
    _xlfn.XLOOKUP(EDATE($A$1,-12),$2:$2,182:182)
  ),"")</f>
        <v>-207</v>
      </c>
      <c r="CE182" s="4517">
        <f>IFERROR(
  _xlfn.XLOOKUP($A$1,$B$2:$BY$2,$B182:$BY182)
 -_xlfn.XLOOKUP(EDATE($A$1,-1),$B$2:$BY$2,$B182:$BY182),"")</f>
        <v>3</v>
      </c>
    </row>
    <row r="183" spans="1:86" ht="18" thickBot="1" x14ac:dyDescent="0.6">
      <c r="A183" s="7198"/>
      <c r="B183" s="7208"/>
      <c r="C183" s="77" t="s">
        <v>232</v>
      </c>
      <c r="D183" s="164">
        <f t="shared" ref="D183:O183" si="180">D220+D257</f>
        <v>325</v>
      </c>
      <c r="E183" s="165">
        <f t="shared" si="180"/>
        <v>334</v>
      </c>
      <c r="F183" s="165">
        <f t="shared" si="180"/>
        <v>327</v>
      </c>
      <c r="G183" s="165">
        <f t="shared" si="180"/>
        <v>327</v>
      </c>
      <c r="H183" s="165">
        <f t="shared" si="180"/>
        <v>379</v>
      </c>
      <c r="I183" s="165">
        <f t="shared" si="180"/>
        <v>409</v>
      </c>
      <c r="J183" s="165">
        <f t="shared" si="180"/>
        <v>302</v>
      </c>
      <c r="K183" s="165">
        <f t="shared" si="180"/>
        <v>282</v>
      </c>
      <c r="L183" s="165">
        <f t="shared" si="180"/>
        <v>308</v>
      </c>
      <c r="M183" s="165">
        <f t="shared" si="180"/>
        <v>303</v>
      </c>
      <c r="N183" s="165">
        <f t="shared" si="180"/>
        <v>314</v>
      </c>
      <c r="O183" s="165">
        <f t="shared" si="180"/>
        <v>191</v>
      </c>
      <c r="P183" s="165">
        <f t="shared" si="122"/>
        <v>3801</v>
      </c>
      <c r="Q183" s="166">
        <f t="shared" si="137"/>
        <v>316.75</v>
      </c>
      <c r="R183" s="183"/>
      <c r="S183" s="164">
        <v>271</v>
      </c>
      <c r="T183" s="165">
        <v>213</v>
      </c>
      <c r="U183" s="165">
        <v>236</v>
      </c>
      <c r="V183" s="165">
        <v>223</v>
      </c>
      <c r="W183" s="165">
        <v>259</v>
      </c>
      <c r="X183" s="165">
        <v>167</v>
      </c>
      <c r="Y183" s="165">
        <v>209</v>
      </c>
      <c r="Z183" s="165">
        <v>236</v>
      </c>
      <c r="AA183" s="165">
        <v>188</v>
      </c>
      <c r="AB183" s="165">
        <v>233</v>
      </c>
      <c r="AC183" s="165">
        <v>231</v>
      </c>
      <c r="AD183" s="165">
        <v>179</v>
      </c>
      <c r="AE183" s="165">
        <f t="shared" si="120"/>
        <v>2645</v>
      </c>
      <c r="AF183" s="166">
        <f t="shared" si="121"/>
        <v>220.41666666666666</v>
      </c>
      <c r="AG183" s="183"/>
      <c r="AH183" s="164">
        <v>279</v>
      </c>
      <c r="AI183" s="165">
        <v>233</v>
      </c>
      <c r="AJ183" s="165">
        <v>271</v>
      </c>
      <c r="AK183" s="165">
        <v>262</v>
      </c>
      <c r="AL183" s="165">
        <v>220</v>
      </c>
      <c r="AM183" s="165">
        <v>235</v>
      </c>
      <c r="AN183" s="165">
        <v>258</v>
      </c>
      <c r="AO183" s="165">
        <v>255</v>
      </c>
      <c r="AP183" s="165">
        <v>261</v>
      </c>
      <c r="AQ183" s="165">
        <v>348</v>
      </c>
      <c r="AR183" s="165">
        <v>661</v>
      </c>
      <c r="AS183" s="165">
        <v>359</v>
      </c>
      <c r="AT183" s="165">
        <f t="shared" si="123"/>
        <v>3642</v>
      </c>
      <c r="AU183" s="166">
        <f t="shared" si="147"/>
        <v>303.5</v>
      </c>
      <c r="AV183" s="183"/>
      <c r="AW183" s="490">
        <v>344</v>
      </c>
      <c r="AX183" s="165">
        <v>469</v>
      </c>
      <c r="AY183" s="165">
        <v>363</v>
      </c>
      <c r="AZ183" s="165">
        <v>412</v>
      </c>
      <c r="BA183" s="165">
        <v>470</v>
      </c>
      <c r="BB183" s="165">
        <v>389</v>
      </c>
      <c r="BC183" s="165">
        <v>400</v>
      </c>
      <c r="BD183" s="165">
        <v>339</v>
      </c>
      <c r="BE183" s="165">
        <v>362</v>
      </c>
      <c r="BF183" s="165">
        <v>292</v>
      </c>
      <c r="BG183" s="165">
        <v>288</v>
      </c>
      <c r="BH183" s="165">
        <v>283</v>
      </c>
      <c r="BI183" s="165">
        <f t="shared" si="139"/>
        <v>4411</v>
      </c>
      <c r="BJ183" s="166">
        <f t="shared" si="117"/>
        <v>367.58333333333331</v>
      </c>
      <c r="BK183" s="183"/>
      <c r="BL183" s="490">
        <v>306</v>
      </c>
      <c r="BM183" s="165">
        <v>209</v>
      </c>
      <c r="BN183" s="165"/>
      <c r="BO183" s="165"/>
      <c r="BP183" s="165"/>
      <c r="BQ183" s="165"/>
      <c r="BR183" s="165"/>
      <c r="BS183" s="165"/>
      <c r="BT183" s="165"/>
      <c r="BU183" s="165"/>
      <c r="BV183" s="165"/>
      <c r="BW183" s="165"/>
      <c r="BX183" s="165">
        <f t="shared" si="140"/>
        <v>515</v>
      </c>
      <c r="BY183" s="166">
        <f t="shared" si="159"/>
        <v>257.5</v>
      </c>
      <c r="CA183" s="169">
        <f>ROW()</f>
        <v>183</v>
      </c>
      <c r="CB183" s="169">
        <f>IFERROR(_xlfn.XLOOKUP($A$1,$2:$2,183:183)-_xlfn.XLOOKUP(EDATE($A$1,-12),$2:$2,183:183),"")</f>
        <v>-260</v>
      </c>
      <c r="CC183" s="169">
        <f t="shared" si="153"/>
        <v>64.083333333333314</v>
      </c>
      <c r="CD183" s="169">
        <f>IFERROR(
  SUM(
    _xlfn.XLOOKUP(DATE(YEAR($A$1),1,1),$2:$2,183:183):
    _xlfn.XLOOKUP($A$1,$2:$2,183:183)
  )
 -SUM(
    _xlfn.XLOOKUP(DATE(YEAR($A$1)-1,1,1),$2:$2,183:183):
    _xlfn.XLOOKUP(EDATE($A$1,-12),$2:$2,183:183)
  ),"")</f>
        <v>-298</v>
      </c>
      <c r="CE183" s="4517">
        <f>IFERROR(
  _xlfn.XLOOKUP($A$1,$B$2:$BY$2,$B183:$BY183)
 -_xlfn.XLOOKUP(EDATE($A$1,-1),$B$2:$BY$2,$B183:$BY183),"")</f>
        <v>-97</v>
      </c>
    </row>
    <row r="184" spans="1:86" ht="17.399999999999999" customHeight="1" x14ac:dyDescent="0.55000000000000004">
      <c r="A184" s="7198"/>
      <c r="B184" s="7212" t="s">
        <v>427</v>
      </c>
      <c r="C184" s="62" t="s">
        <v>405</v>
      </c>
      <c r="D184" s="128">
        <v>1367</v>
      </c>
      <c r="E184" s="129">
        <v>1173</v>
      </c>
      <c r="F184" s="129">
        <v>1191</v>
      </c>
      <c r="G184" s="129">
        <v>1184</v>
      </c>
      <c r="H184" s="129">
        <v>1249</v>
      </c>
      <c r="I184" s="129">
        <v>1264</v>
      </c>
      <c r="J184" s="129">
        <v>1186</v>
      </c>
      <c r="K184" s="129">
        <v>1354</v>
      </c>
      <c r="L184" s="129">
        <v>1112</v>
      </c>
      <c r="M184" s="129">
        <v>1130</v>
      </c>
      <c r="N184" s="129">
        <v>1216</v>
      </c>
      <c r="O184" s="129">
        <v>1058</v>
      </c>
      <c r="P184" s="129">
        <f>SUM(D184:O184)</f>
        <v>14484</v>
      </c>
      <c r="Q184" s="130">
        <f t="shared" si="91"/>
        <v>1207</v>
      </c>
      <c r="R184" s="183"/>
      <c r="S184" s="128">
        <v>1355</v>
      </c>
      <c r="T184" s="129">
        <v>1589</v>
      </c>
      <c r="U184" s="129">
        <v>1501</v>
      </c>
      <c r="V184" s="129">
        <v>1524</v>
      </c>
      <c r="W184" s="129">
        <v>1335</v>
      </c>
      <c r="X184" s="129">
        <v>1385</v>
      </c>
      <c r="Y184" s="129">
        <v>1121</v>
      </c>
      <c r="Z184" s="129">
        <v>1660</v>
      </c>
      <c r="AA184" s="129">
        <v>1022</v>
      </c>
      <c r="AB184" s="129">
        <v>1259</v>
      </c>
      <c r="AC184" s="129">
        <v>1137</v>
      </c>
      <c r="AD184" s="129">
        <v>971</v>
      </c>
      <c r="AE184" s="129">
        <f t="shared" ref="AE184:AE257" si="181">SUM(S184:AD184)</f>
        <v>15859</v>
      </c>
      <c r="AF184" s="130">
        <f t="shared" si="93"/>
        <v>1321.5833333333333</v>
      </c>
      <c r="AG184" s="183"/>
      <c r="AH184" s="128">
        <v>1708</v>
      </c>
      <c r="AI184" s="129">
        <v>1305</v>
      </c>
      <c r="AJ184" s="129">
        <v>1616</v>
      </c>
      <c r="AK184" s="129">
        <v>1650</v>
      </c>
      <c r="AL184" s="129">
        <v>1582</v>
      </c>
      <c r="AM184" s="129">
        <v>1407</v>
      </c>
      <c r="AN184" s="129">
        <v>1808</v>
      </c>
      <c r="AO184" s="129">
        <v>1410</v>
      </c>
      <c r="AP184" s="129">
        <v>1540</v>
      </c>
      <c r="AQ184" s="129">
        <v>1483</v>
      </c>
      <c r="AR184" s="129">
        <v>1409</v>
      </c>
      <c r="AS184" s="129">
        <v>1312</v>
      </c>
      <c r="AT184" s="129">
        <f>SUM(AH184:AS184)</f>
        <v>18230</v>
      </c>
      <c r="AU184" s="130">
        <f t="shared" si="147"/>
        <v>1519.1666666666667</v>
      </c>
      <c r="AV184" s="183"/>
      <c r="AW184" s="478">
        <v>1166</v>
      </c>
      <c r="AX184" s="129">
        <v>2200</v>
      </c>
      <c r="AY184" s="129">
        <v>1692</v>
      </c>
      <c r="AZ184" s="129">
        <v>2007</v>
      </c>
      <c r="BA184" s="129">
        <v>3633.9999999999995</v>
      </c>
      <c r="BB184" s="129">
        <v>1880.9999999999998</v>
      </c>
      <c r="BC184" s="129">
        <v>2673</v>
      </c>
      <c r="BD184" s="129">
        <v>1663</v>
      </c>
      <c r="BE184" s="129">
        <v>1839</v>
      </c>
      <c r="BF184" s="129">
        <v>1232</v>
      </c>
      <c r="BG184" s="129">
        <v>1248</v>
      </c>
      <c r="BH184" s="129">
        <v>1202</v>
      </c>
      <c r="BI184" s="129">
        <f t="shared" si="139"/>
        <v>22437</v>
      </c>
      <c r="BJ184" s="130">
        <f t="shared" si="117"/>
        <v>1869.75</v>
      </c>
      <c r="BK184" s="183"/>
      <c r="BL184" s="478">
        <v>1642</v>
      </c>
      <c r="BM184" s="129">
        <v>1098</v>
      </c>
      <c r="BN184" s="129"/>
      <c r="BO184" s="129"/>
      <c r="BP184" s="129"/>
      <c r="BQ184" s="129"/>
      <c r="BR184" s="129"/>
      <c r="BS184" s="129"/>
      <c r="BT184" s="129"/>
      <c r="BU184" s="129"/>
      <c r="BV184" s="129"/>
      <c r="BW184" s="129"/>
      <c r="BX184" s="129">
        <f t="shared" si="140"/>
        <v>2740</v>
      </c>
      <c r="BY184" s="130">
        <f t="shared" si="159"/>
        <v>1370</v>
      </c>
      <c r="CA184" s="169">
        <f>ROW()</f>
        <v>184</v>
      </c>
      <c r="CB184" s="169">
        <f>IFERROR(_xlfn.XLOOKUP($A$1,$2:$2,184:184)-_xlfn.XLOOKUP(EDATE($A$1,-12),$2:$2,184:184),"")</f>
        <v>-1102</v>
      </c>
      <c r="CC184" s="169">
        <f t="shared" si="153"/>
        <v>350.58333333333326</v>
      </c>
      <c r="CD184" s="169">
        <f>IFERROR(
  SUM(
    _xlfn.XLOOKUP(DATE(YEAR($A$1),1,1),$2:$2,184:184):
    _xlfn.XLOOKUP($A$1,$2:$2,184:184)
  )
 -SUM(
    _xlfn.XLOOKUP(DATE(YEAR($A$1)-1,1,1),$2:$2,184:184):
    _xlfn.XLOOKUP(EDATE($A$1,-12),$2:$2,184:184)
  ),"")</f>
        <v>-626</v>
      </c>
      <c r="CE184" s="4517">
        <f>IFERROR(
  _xlfn.XLOOKUP($A$1,$B$2:$BY$2,$B184:$BY184)
 -_xlfn.XLOOKUP(EDATE($A$1,-1),$B$2:$BY$2,$B184:$BY184),"")</f>
        <v>-544</v>
      </c>
    </row>
    <row r="185" spans="1:86" ht="17.399999999999999" customHeight="1" x14ac:dyDescent="0.55000000000000004">
      <c r="A185" s="7198"/>
      <c r="B185" s="7216"/>
      <c r="C185" s="63" t="s">
        <v>1016</v>
      </c>
      <c r="D185" s="131">
        <v>414</v>
      </c>
      <c r="E185" s="132">
        <v>420</v>
      </c>
      <c r="F185" s="132">
        <v>615</v>
      </c>
      <c r="G185" s="132">
        <v>559</v>
      </c>
      <c r="H185" s="132">
        <v>501</v>
      </c>
      <c r="I185" s="132">
        <v>518</v>
      </c>
      <c r="J185" s="132">
        <v>480</v>
      </c>
      <c r="K185" s="132">
        <v>415</v>
      </c>
      <c r="L185" s="132">
        <v>479</v>
      </c>
      <c r="M185" s="132">
        <v>646</v>
      </c>
      <c r="N185" s="132">
        <v>537</v>
      </c>
      <c r="O185" s="132">
        <v>526</v>
      </c>
      <c r="P185" s="132">
        <f>SUM(D185:O185)</f>
        <v>6110</v>
      </c>
      <c r="Q185" s="133">
        <f t="shared" ref="Q185" si="182">P185/12</f>
        <v>509.16666666666669</v>
      </c>
      <c r="R185" s="183"/>
      <c r="S185" s="131">
        <v>504</v>
      </c>
      <c r="T185" s="132">
        <v>648</v>
      </c>
      <c r="U185" s="132">
        <v>734</v>
      </c>
      <c r="V185" s="132">
        <v>726</v>
      </c>
      <c r="W185" s="132">
        <v>831</v>
      </c>
      <c r="X185" s="132">
        <v>801</v>
      </c>
      <c r="Y185" s="132">
        <v>715</v>
      </c>
      <c r="Z185" s="132">
        <v>688</v>
      </c>
      <c r="AA185" s="132">
        <v>679</v>
      </c>
      <c r="AB185" s="132">
        <v>643</v>
      </c>
      <c r="AC185" s="132">
        <v>747</v>
      </c>
      <c r="AD185" s="132">
        <v>703</v>
      </c>
      <c r="AE185" s="132">
        <f t="shared" ref="AE185" si="183">SUM(S185:AD185)</f>
        <v>8419</v>
      </c>
      <c r="AF185" s="133">
        <f t="shared" ref="AF185" si="184">AE185/12</f>
        <v>701.58333333333337</v>
      </c>
      <c r="AG185" s="183"/>
      <c r="AH185" s="131">
        <v>774</v>
      </c>
      <c r="AI185" s="132">
        <v>624</v>
      </c>
      <c r="AJ185" s="132">
        <v>731</v>
      </c>
      <c r="AK185" s="132">
        <v>672</v>
      </c>
      <c r="AL185" s="132">
        <v>727</v>
      </c>
      <c r="AM185" s="132">
        <v>947.00000000000011</v>
      </c>
      <c r="AN185" s="132">
        <v>851</v>
      </c>
      <c r="AO185" s="132">
        <v>711</v>
      </c>
      <c r="AP185" s="132">
        <v>893.00000000000011</v>
      </c>
      <c r="AQ185" s="132">
        <v>807</v>
      </c>
      <c r="AR185" s="132">
        <v>582</v>
      </c>
      <c r="AS185" s="132">
        <v>553</v>
      </c>
      <c r="AT185" s="132">
        <f>SUM(AH185:AS185)</f>
        <v>8872</v>
      </c>
      <c r="AU185" s="133">
        <f t="shared" ref="AU185" si="185">AT185/12</f>
        <v>739.33333333333337</v>
      </c>
      <c r="AV185" s="183"/>
      <c r="AW185" s="479">
        <v>551</v>
      </c>
      <c r="AX185" s="132">
        <v>529</v>
      </c>
      <c r="AY185" s="132">
        <v>772</v>
      </c>
      <c r="AZ185" s="132">
        <v>791</v>
      </c>
      <c r="BA185" s="132">
        <v>948.00000000000011</v>
      </c>
      <c r="BB185" s="132">
        <v>807</v>
      </c>
      <c r="BC185" s="132">
        <v>1069</v>
      </c>
      <c r="BD185" s="132">
        <v>828</v>
      </c>
      <c r="BE185" s="132">
        <v>887</v>
      </c>
      <c r="BF185" s="132">
        <v>578</v>
      </c>
      <c r="BG185" s="132">
        <v>487</v>
      </c>
      <c r="BH185" s="132">
        <v>381</v>
      </c>
      <c r="BI185" s="132">
        <f t="shared" si="139"/>
        <v>8628</v>
      </c>
      <c r="BJ185" s="133">
        <f t="shared" si="117"/>
        <v>719</v>
      </c>
      <c r="BK185" s="183"/>
      <c r="BL185" s="479">
        <v>407</v>
      </c>
      <c r="BM185" s="132">
        <v>413.99999999999994</v>
      </c>
      <c r="BN185" s="132"/>
      <c r="BO185" s="132"/>
      <c r="BP185" s="132"/>
      <c r="BQ185" s="132"/>
      <c r="BR185" s="132"/>
      <c r="BS185" s="132"/>
      <c r="BT185" s="132"/>
      <c r="BU185" s="132"/>
      <c r="BV185" s="132"/>
      <c r="BW185" s="132"/>
      <c r="BX185" s="132">
        <f t="shared" si="140"/>
        <v>821</v>
      </c>
      <c r="BY185" s="133">
        <f t="shared" si="159"/>
        <v>410.5</v>
      </c>
      <c r="CA185" s="169">
        <f>ROW()</f>
        <v>185</v>
      </c>
      <c r="CB185" s="169">
        <f>IFERROR(_xlfn.XLOOKUP($A$1,$2:$2,185:185)-_xlfn.XLOOKUP(EDATE($A$1,-12),$2:$2,185:185),"")</f>
        <v>-115.00000000000006</v>
      </c>
      <c r="CC185" s="169">
        <f t="shared" si="153"/>
        <v>-20.333333333333371</v>
      </c>
      <c r="CD185" s="169">
        <f>IFERROR(
  SUM(
    _xlfn.XLOOKUP(DATE(YEAR($A$1),1,1),$2:$2,185:185):
    _xlfn.XLOOKUP($A$1,$2:$2,185:185)
  )
 -SUM(
    _xlfn.XLOOKUP(DATE(YEAR($A$1)-1,1,1),$2:$2,185:185):
    _xlfn.XLOOKUP(EDATE($A$1,-12),$2:$2,185:185)
  ),"")</f>
        <v>-259</v>
      </c>
      <c r="CE185" s="4517">
        <f>IFERROR(
  _xlfn.XLOOKUP($A$1,$B$2:$BY$2,$B185:$BY185)
 -_xlfn.XLOOKUP(EDATE($A$1,-1),$B$2:$BY$2,$B185:$BY185),"")</f>
        <v>6.9999999999999432</v>
      </c>
    </row>
    <row r="186" spans="1:86" ht="17.399999999999999" customHeight="1" x14ac:dyDescent="0.55000000000000004">
      <c r="A186" s="7198"/>
      <c r="B186" s="7213"/>
      <c r="C186" s="63" t="s">
        <v>407</v>
      </c>
      <c r="D186" s="131">
        <v>1201</v>
      </c>
      <c r="E186" s="132">
        <v>1416</v>
      </c>
      <c r="F186" s="132">
        <v>1354</v>
      </c>
      <c r="G186" s="132">
        <v>1698</v>
      </c>
      <c r="H186" s="132">
        <v>1778</v>
      </c>
      <c r="I186" s="132">
        <v>1669</v>
      </c>
      <c r="J186" s="132">
        <v>1258</v>
      </c>
      <c r="K186" s="132">
        <v>1501</v>
      </c>
      <c r="L186" s="132">
        <v>1259</v>
      </c>
      <c r="M186" s="132">
        <v>1445</v>
      </c>
      <c r="N186" s="132">
        <v>1228</v>
      </c>
      <c r="O186" s="132">
        <v>1043</v>
      </c>
      <c r="P186" s="132">
        <f>SUM(D186:O186)</f>
        <v>16850</v>
      </c>
      <c r="Q186" s="133">
        <f t="shared" si="91"/>
        <v>1404.1666666666667</v>
      </c>
      <c r="R186" s="183"/>
      <c r="S186" s="131">
        <v>1082</v>
      </c>
      <c r="T186" s="132">
        <v>1358</v>
      </c>
      <c r="U186" s="132">
        <v>1363</v>
      </c>
      <c r="V186" s="132">
        <v>1102</v>
      </c>
      <c r="W186" s="132">
        <v>1391</v>
      </c>
      <c r="X186" s="132">
        <v>1155</v>
      </c>
      <c r="Y186" s="132">
        <v>1044</v>
      </c>
      <c r="Z186" s="132">
        <v>1501</v>
      </c>
      <c r="AA186" s="132">
        <v>1300</v>
      </c>
      <c r="AB186" s="132">
        <v>1194</v>
      </c>
      <c r="AC186" s="132">
        <v>1110</v>
      </c>
      <c r="AD186" s="132">
        <v>881</v>
      </c>
      <c r="AE186" s="132">
        <f t="shared" si="181"/>
        <v>14481</v>
      </c>
      <c r="AF186" s="133">
        <f t="shared" si="93"/>
        <v>1206.75</v>
      </c>
      <c r="AG186" s="183"/>
      <c r="AH186" s="131">
        <v>1360</v>
      </c>
      <c r="AI186" s="132">
        <v>1164</v>
      </c>
      <c r="AJ186" s="132">
        <v>1422</v>
      </c>
      <c r="AK186" s="132">
        <v>1301</v>
      </c>
      <c r="AL186" s="132">
        <v>1571</v>
      </c>
      <c r="AM186" s="132">
        <v>1486</v>
      </c>
      <c r="AN186" s="132">
        <v>1617</v>
      </c>
      <c r="AO186" s="132">
        <v>1621</v>
      </c>
      <c r="AP186" s="132">
        <v>1633</v>
      </c>
      <c r="AQ186" s="132">
        <v>1811</v>
      </c>
      <c r="AR186" s="132">
        <v>1822</v>
      </c>
      <c r="AS186" s="132">
        <v>1722</v>
      </c>
      <c r="AT186" s="132">
        <f>SUM(AH186:AS186)</f>
        <v>18530</v>
      </c>
      <c r="AU186" s="133">
        <f t="shared" si="147"/>
        <v>1544.1666666666667</v>
      </c>
      <c r="AV186" s="183"/>
      <c r="AW186" s="479">
        <v>1637</v>
      </c>
      <c r="AX186" s="132">
        <v>2086</v>
      </c>
      <c r="AY186" s="132">
        <v>1810</v>
      </c>
      <c r="AZ186" s="132">
        <v>1896</v>
      </c>
      <c r="BA186" s="132">
        <v>3639</v>
      </c>
      <c r="BB186" s="132">
        <v>2896</v>
      </c>
      <c r="BC186" s="132">
        <v>2548</v>
      </c>
      <c r="BD186" s="132">
        <v>1876</v>
      </c>
      <c r="BE186" s="132">
        <v>1939</v>
      </c>
      <c r="BF186" s="132">
        <v>1819.0000000000002</v>
      </c>
      <c r="BG186" s="132">
        <v>1781</v>
      </c>
      <c r="BH186" s="132">
        <v>1777</v>
      </c>
      <c r="BI186" s="132">
        <f t="shared" si="139"/>
        <v>25704</v>
      </c>
      <c r="BJ186" s="133">
        <f t="shared" si="117"/>
        <v>2142</v>
      </c>
      <c r="BK186" s="183"/>
      <c r="BL186" s="479">
        <v>1929</v>
      </c>
      <c r="BM186" s="132">
        <v>1344</v>
      </c>
      <c r="BN186" s="132"/>
      <c r="BO186" s="132"/>
      <c r="BP186" s="132"/>
      <c r="BQ186" s="132"/>
      <c r="BR186" s="132"/>
      <c r="BS186" s="132"/>
      <c r="BT186" s="132"/>
      <c r="BU186" s="132"/>
      <c r="BV186" s="132"/>
      <c r="BW186" s="132"/>
      <c r="BX186" s="132">
        <f t="shared" si="140"/>
        <v>3273</v>
      </c>
      <c r="BY186" s="133">
        <f t="shared" si="159"/>
        <v>1636.5</v>
      </c>
      <c r="CA186" s="169">
        <f>ROW()</f>
        <v>186</v>
      </c>
      <c r="CB186" s="169">
        <f>IFERROR(_xlfn.XLOOKUP($A$1,$2:$2,186:186)-_xlfn.XLOOKUP(EDATE($A$1,-12),$2:$2,186:186),"")</f>
        <v>-742</v>
      </c>
      <c r="CC186" s="169">
        <f t="shared" si="153"/>
        <v>597.83333333333326</v>
      </c>
      <c r="CD186" s="169">
        <f>IFERROR(
  SUM(
    _xlfn.XLOOKUP(DATE(YEAR($A$1),1,1),$2:$2,186:186):
    _xlfn.XLOOKUP($A$1,$2:$2,186:186)
  )
 -SUM(
    _xlfn.XLOOKUP(DATE(YEAR($A$1)-1,1,1),$2:$2,186:186):
    _xlfn.XLOOKUP(EDATE($A$1,-12),$2:$2,186:186)
  ),"")</f>
        <v>-450</v>
      </c>
      <c r="CE186" s="4517">
        <f>IFERROR(
  _xlfn.XLOOKUP($A$1,$B$2:$BY$2,$B186:$BY186)
 -_xlfn.XLOOKUP(EDATE($A$1,-1),$B$2:$BY$2,$B186:$BY186),"")</f>
        <v>-585</v>
      </c>
    </row>
    <row r="187" spans="1:86" ht="17.399999999999999" customHeight="1" x14ac:dyDescent="0.55000000000000004">
      <c r="A187" s="7198"/>
      <c r="B187" s="7213"/>
      <c r="C187" s="63" t="s">
        <v>875</v>
      </c>
      <c r="D187" s="131">
        <v>477</v>
      </c>
      <c r="E187" s="132">
        <v>435</v>
      </c>
      <c r="F187" s="132">
        <v>632</v>
      </c>
      <c r="G187" s="132">
        <v>503</v>
      </c>
      <c r="H187" s="132">
        <v>479</v>
      </c>
      <c r="I187" s="132">
        <v>403</v>
      </c>
      <c r="J187" s="132">
        <v>394</v>
      </c>
      <c r="K187" s="132">
        <v>538</v>
      </c>
      <c r="L187" s="132">
        <v>641</v>
      </c>
      <c r="M187" s="132">
        <v>724</v>
      </c>
      <c r="N187" s="132">
        <v>472</v>
      </c>
      <c r="O187" s="132">
        <v>251</v>
      </c>
      <c r="P187" s="132">
        <f>SUM(D187:O187)</f>
        <v>5949</v>
      </c>
      <c r="Q187" s="133">
        <f t="shared" si="91"/>
        <v>495.75</v>
      </c>
      <c r="R187" s="183"/>
      <c r="S187" s="131">
        <v>13</v>
      </c>
      <c r="T187" s="132">
        <v>17</v>
      </c>
      <c r="U187" s="132">
        <v>8</v>
      </c>
      <c r="V187" s="132">
        <v>5</v>
      </c>
      <c r="W187" s="132">
        <v>13</v>
      </c>
      <c r="X187" s="132">
        <v>70</v>
      </c>
      <c r="Y187" s="132">
        <v>84</v>
      </c>
      <c r="Z187" s="132">
        <v>68</v>
      </c>
      <c r="AA187" s="132">
        <v>61</v>
      </c>
      <c r="AB187" s="132">
        <v>122</v>
      </c>
      <c r="AC187" s="132">
        <v>126</v>
      </c>
      <c r="AD187" s="132">
        <v>11</v>
      </c>
      <c r="AE187" s="132">
        <f t="shared" si="181"/>
        <v>598</v>
      </c>
      <c r="AF187" s="133">
        <f t="shared" si="93"/>
        <v>49.833333333333336</v>
      </c>
      <c r="AG187" s="183"/>
      <c r="AH187" s="131">
        <v>11</v>
      </c>
      <c r="AI187" s="132">
        <v>10</v>
      </c>
      <c r="AJ187" s="132">
        <v>25</v>
      </c>
      <c r="AK187" s="132">
        <v>80</v>
      </c>
      <c r="AL187" s="132">
        <v>131</v>
      </c>
      <c r="AM187" s="132">
        <v>98</v>
      </c>
      <c r="AN187" s="132">
        <v>49</v>
      </c>
      <c r="AO187" s="132">
        <v>52</v>
      </c>
      <c r="AP187" s="132">
        <v>31</v>
      </c>
      <c r="AQ187" s="132">
        <v>25</v>
      </c>
      <c r="AR187" s="132">
        <v>34</v>
      </c>
      <c r="AS187" s="132">
        <v>48</v>
      </c>
      <c r="AT187" s="132">
        <f>SUM(AH187:AS187)</f>
        <v>594</v>
      </c>
      <c r="AU187" s="133">
        <f t="shared" si="147"/>
        <v>49.5</v>
      </c>
      <c r="AV187" s="183"/>
      <c r="AW187" s="479">
        <v>27</v>
      </c>
      <c r="AX187" s="132">
        <v>19</v>
      </c>
      <c r="AY187" s="132">
        <v>81</v>
      </c>
      <c r="AZ187" s="132">
        <v>124</v>
      </c>
      <c r="BA187" s="132">
        <v>311</v>
      </c>
      <c r="BB187" s="132">
        <v>197</v>
      </c>
      <c r="BC187" s="132">
        <v>293</v>
      </c>
      <c r="BD187" s="132">
        <v>112</v>
      </c>
      <c r="BE187" s="132">
        <v>151</v>
      </c>
      <c r="BF187" s="132">
        <v>112.00000000000001</v>
      </c>
      <c r="BG187" s="132">
        <v>145</v>
      </c>
      <c r="BH187" s="132">
        <v>130</v>
      </c>
      <c r="BI187" s="132">
        <f t="shared" si="139"/>
        <v>1702</v>
      </c>
      <c r="BJ187" s="133">
        <f t="shared" si="117"/>
        <v>141.83333333333334</v>
      </c>
      <c r="BK187" s="183"/>
      <c r="BL187" s="479">
        <v>149</v>
      </c>
      <c r="BM187" s="132">
        <v>134</v>
      </c>
      <c r="BN187" s="132"/>
      <c r="BO187" s="132"/>
      <c r="BP187" s="132"/>
      <c r="BQ187" s="132"/>
      <c r="BR187" s="132"/>
      <c r="BS187" s="132"/>
      <c r="BT187" s="132"/>
      <c r="BU187" s="132"/>
      <c r="BV187" s="132"/>
      <c r="BW187" s="132"/>
      <c r="BX187" s="132">
        <f t="shared" si="140"/>
        <v>283</v>
      </c>
      <c r="BY187" s="133">
        <f t="shared" si="159"/>
        <v>141.5</v>
      </c>
      <c r="CA187" s="169">
        <f>ROW()</f>
        <v>187</v>
      </c>
      <c r="CB187" s="169">
        <f>IFERROR(_xlfn.XLOOKUP($A$1,$2:$2,187:187)-_xlfn.XLOOKUP(EDATE($A$1,-12),$2:$2,187:187),"")</f>
        <v>115</v>
      </c>
      <c r="CC187" s="169">
        <f t="shared" si="153"/>
        <v>92.333333333333343</v>
      </c>
      <c r="CD187" s="169">
        <f>IFERROR(
  SUM(
    _xlfn.XLOOKUP(DATE(YEAR($A$1),1,1),$2:$2,187:187):
    _xlfn.XLOOKUP($A$1,$2:$2,187:187)
  )
 -SUM(
    _xlfn.XLOOKUP(DATE(YEAR($A$1)-1,1,1),$2:$2,187:187):
    _xlfn.XLOOKUP(EDATE($A$1,-12),$2:$2,187:187)
  ),"")</f>
        <v>237</v>
      </c>
      <c r="CE187" s="4517">
        <f>IFERROR(
  _xlfn.XLOOKUP($A$1,$B$2:$BY$2,$B187:$BY187)
 -_xlfn.XLOOKUP(EDATE($A$1,-1),$B$2:$BY$2,$B187:$BY187),"")</f>
        <v>-15</v>
      </c>
    </row>
    <row r="188" spans="1:86" ht="17.399999999999999" customHeight="1" x14ac:dyDescent="0.55000000000000004">
      <c r="A188" s="7198"/>
      <c r="B188" s="532"/>
      <c r="C188" s="538" t="s">
        <v>22</v>
      </c>
      <c r="D188" s="131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3"/>
      <c r="R188" s="132"/>
      <c r="S188" s="131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3"/>
      <c r="AG188" s="132"/>
      <c r="AH188" s="131"/>
      <c r="AI188" s="132">
        <v>1</v>
      </c>
      <c r="AJ188" s="132">
        <v>2</v>
      </c>
      <c r="AK188" s="132">
        <v>2</v>
      </c>
      <c r="AL188" s="132"/>
      <c r="AM188" s="132"/>
      <c r="AN188" s="132"/>
      <c r="AO188" s="132">
        <v>2</v>
      </c>
      <c r="AP188" s="132">
        <v>50</v>
      </c>
      <c r="AQ188" s="132">
        <v>4</v>
      </c>
      <c r="AR188" s="132">
        <v>2</v>
      </c>
      <c r="AS188" s="132"/>
      <c r="AT188" s="132">
        <f>SUM(AH188:AS188)</f>
        <v>63</v>
      </c>
      <c r="AU188" s="133">
        <f>AVERAGE(AH188:AS188)</f>
        <v>9</v>
      </c>
      <c r="AV188" s="132"/>
      <c r="AW188" s="537">
        <v>7</v>
      </c>
      <c r="AX188" s="132">
        <v>6</v>
      </c>
      <c r="AY188" s="132">
        <v>19</v>
      </c>
      <c r="AZ188" s="132">
        <v>12</v>
      </c>
      <c r="BA188" s="132">
        <v>0</v>
      </c>
      <c r="BB188" s="132">
        <v>0</v>
      </c>
      <c r="BC188" s="132">
        <v>82</v>
      </c>
      <c r="BD188" s="132">
        <v>13</v>
      </c>
      <c r="BE188" s="132">
        <v>9</v>
      </c>
      <c r="BF188" s="132">
        <v>6</v>
      </c>
      <c r="BG188" s="132">
        <v>12</v>
      </c>
      <c r="BH188" s="132">
        <v>12</v>
      </c>
      <c r="BI188" s="132"/>
      <c r="BJ188" s="133">
        <f t="shared" si="117"/>
        <v>14.833333333333334</v>
      </c>
      <c r="BK188" s="132"/>
      <c r="BL188" s="537">
        <v>14</v>
      </c>
      <c r="BM188" s="132">
        <v>21</v>
      </c>
      <c r="BN188" s="132"/>
      <c r="BO188" s="132"/>
      <c r="BP188" s="132"/>
      <c r="BQ188" s="132"/>
      <c r="BR188" s="132"/>
      <c r="BS188" s="132"/>
      <c r="BT188" s="132"/>
      <c r="BU188" s="132"/>
      <c r="BV188" s="132"/>
      <c r="BW188" s="132"/>
      <c r="BX188" s="132"/>
      <c r="BY188" s="133">
        <f t="shared" si="159"/>
        <v>17.5</v>
      </c>
      <c r="CA188" s="169">
        <f>ROW()</f>
        <v>188</v>
      </c>
      <c r="CB188" s="169">
        <f>IFERROR(_xlfn.XLOOKUP($A$1,$2:$2,188:188)-_xlfn.XLOOKUP(EDATE($A$1,-12),$2:$2,188:188),"")</f>
        <v>15</v>
      </c>
      <c r="CC188" s="169">
        <f t="shared" si="153"/>
        <v>5.8333333333333339</v>
      </c>
      <c r="CD188" s="169">
        <f>IFERROR(
  SUM(
    _xlfn.XLOOKUP(DATE(YEAR($A$1),1,1),$2:$2,188:188):
    _xlfn.XLOOKUP($A$1,$2:$2,188:188)
  )
 -SUM(
    _xlfn.XLOOKUP(DATE(YEAR($A$1)-1,1,1),$2:$2,188:188):
    _xlfn.XLOOKUP(EDATE($A$1,-12),$2:$2,188:188)
  ),"")</f>
        <v>22</v>
      </c>
      <c r="CE188" s="4517">
        <f>IFERROR(
  _xlfn.XLOOKUP($A$1,$B$2:$BY$2,$B188:$BY188)
 -_xlfn.XLOOKUP(EDATE($A$1,-1),$B$2:$BY$2,$B188:$BY188),"")</f>
        <v>7</v>
      </c>
    </row>
    <row r="189" spans="1:86" ht="17.399999999999999" customHeight="1" x14ac:dyDescent="0.55000000000000004">
      <c r="A189" s="7198"/>
      <c r="B189" s="7203" t="s">
        <v>411</v>
      </c>
      <c r="C189" s="64" t="s">
        <v>400</v>
      </c>
      <c r="D189" s="143">
        <f>D194+D195</f>
        <v>208</v>
      </c>
      <c r="E189" s="144">
        <f t="shared" ref="E189:O189" si="186">E194+E195</f>
        <v>200</v>
      </c>
      <c r="F189" s="144">
        <f t="shared" si="186"/>
        <v>178</v>
      </c>
      <c r="G189" s="144">
        <f t="shared" si="186"/>
        <v>179</v>
      </c>
      <c r="H189" s="144">
        <f t="shared" si="186"/>
        <v>203</v>
      </c>
      <c r="I189" s="144">
        <f t="shared" si="186"/>
        <v>204</v>
      </c>
      <c r="J189" s="144">
        <f t="shared" si="186"/>
        <v>191</v>
      </c>
      <c r="K189" s="144">
        <f t="shared" si="186"/>
        <v>209</v>
      </c>
      <c r="L189" s="144">
        <f t="shared" si="186"/>
        <v>160</v>
      </c>
      <c r="M189" s="144">
        <f t="shared" si="186"/>
        <v>152</v>
      </c>
      <c r="N189" s="144">
        <f t="shared" si="186"/>
        <v>167</v>
      </c>
      <c r="O189" s="144">
        <f t="shared" si="186"/>
        <v>141</v>
      </c>
      <c r="P189" s="144">
        <f t="shared" ref="P189:P220" si="187">SUM(D189:O189)</f>
        <v>2192</v>
      </c>
      <c r="Q189" s="145">
        <f t="shared" si="91"/>
        <v>182.66666666666666</v>
      </c>
      <c r="R189" s="183"/>
      <c r="S189" s="143">
        <v>185</v>
      </c>
      <c r="T189" s="144">
        <v>223</v>
      </c>
      <c r="U189" s="144">
        <v>216</v>
      </c>
      <c r="V189" s="144">
        <v>229</v>
      </c>
      <c r="W189" s="144">
        <v>194</v>
      </c>
      <c r="X189" s="144">
        <v>202</v>
      </c>
      <c r="Y189" s="144">
        <v>169</v>
      </c>
      <c r="Z189" s="144">
        <v>235</v>
      </c>
      <c r="AA189" s="144">
        <v>134</v>
      </c>
      <c r="AB189" s="144">
        <v>172</v>
      </c>
      <c r="AC189" s="144">
        <v>146</v>
      </c>
      <c r="AD189" s="144">
        <v>109</v>
      </c>
      <c r="AE189" s="144">
        <f t="shared" ref="AE189:AE220" si="188">SUM(S189:AD189)</f>
        <v>2214</v>
      </c>
      <c r="AF189" s="145">
        <f t="shared" si="93"/>
        <v>184.5</v>
      </c>
      <c r="AG189" s="183"/>
      <c r="AH189" s="143">
        <v>212</v>
      </c>
      <c r="AI189" s="144">
        <v>165</v>
      </c>
      <c r="AJ189" s="144">
        <v>230</v>
      </c>
      <c r="AK189" s="144">
        <v>253</v>
      </c>
      <c r="AL189" s="144">
        <v>242</v>
      </c>
      <c r="AM189" s="144">
        <v>236</v>
      </c>
      <c r="AN189" s="144">
        <v>288</v>
      </c>
      <c r="AO189" s="144">
        <v>251</v>
      </c>
      <c r="AP189" s="144">
        <v>245</v>
      </c>
      <c r="AQ189" s="144">
        <v>216</v>
      </c>
      <c r="AR189" s="144">
        <v>521</v>
      </c>
      <c r="AS189" s="144">
        <v>214</v>
      </c>
      <c r="AT189" s="144">
        <f t="shared" ref="AT189:AT220" si="189">SUM(AH189:AS189)</f>
        <v>3073</v>
      </c>
      <c r="AU189" s="145">
        <f t="shared" si="147"/>
        <v>256.08333333333331</v>
      </c>
      <c r="AV189" s="183"/>
      <c r="AW189" s="481">
        <v>193</v>
      </c>
      <c r="AX189" s="144">
        <v>358</v>
      </c>
      <c r="AY189" s="144">
        <v>269</v>
      </c>
      <c r="AZ189" s="144">
        <v>321</v>
      </c>
      <c r="BA189" s="144">
        <v>651</v>
      </c>
      <c r="BB189" s="144">
        <v>309</v>
      </c>
      <c r="BC189" s="144">
        <v>447</v>
      </c>
      <c r="BD189" s="144">
        <v>260</v>
      </c>
      <c r="BE189" s="144">
        <v>278</v>
      </c>
      <c r="BF189" s="144">
        <v>181</v>
      </c>
      <c r="BG189" s="144">
        <v>208</v>
      </c>
      <c r="BH189" s="144">
        <v>217</v>
      </c>
      <c r="BI189" s="144">
        <f t="shared" ref="BI189:BI224" si="190">SUM(AW189:BH189)</f>
        <v>3692</v>
      </c>
      <c r="BJ189" s="145">
        <f t="shared" si="117"/>
        <v>307.66666666666669</v>
      </c>
      <c r="BK189" s="183"/>
      <c r="BL189" s="481">
        <v>261</v>
      </c>
      <c r="BM189" s="144">
        <v>178</v>
      </c>
      <c r="BN189" s="144"/>
      <c r="BO189" s="144"/>
      <c r="BP189" s="144"/>
      <c r="BQ189" s="144"/>
      <c r="BR189" s="144"/>
      <c r="BS189" s="144"/>
      <c r="BT189" s="144"/>
      <c r="BU189" s="144"/>
      <c r="BV189" s="144"/>
      <c r="BW189" s="144"/>
      <c r="BX189" s="144">
        <f t="shared" ref="BX189:BX224" si="191">SUM(BL189:BW189)</f>
        <v>439</v>
      </c>
      <c r="BY189" s="145">
        <f t="shared" si="159"/>
        <v>219.5</v>
      </c>
      <c r="CA189" s="169">
        <f>ROW()</f>
        <v>189</v>
      </c>
      <c r="CB189" s="169">
        <f>IFERROR(_xlfn.XLOOKUP($A$1,$2:$2,189:189)-_xlfn.XLOOKUP(EDATE($A$1,-12),$2:$2,189:189),"")</f>
        <v>-180</v>
      </c>
      <c r="CC189" s="169">
        <f t="shared" si="153"/>
        <v>51.583333333333371</v>
      </c>
      <c r="CD189" s="169">
        <f>IFERROR(
  SUM(
    _xlfn.XLOOKUP(DATE(YEAR($A$1),1,1),$2:$2,189:189):
    _xlfn.XLOOKUP($A$1,$2:$2,189:189)
  )
 -SUM(
    _xlfn.XLOOKUP(DATE(YEAR($A$1)-1,1,1),$2:$2,189:189):
    _xlfn.XLOOKUP(EDATE($A$1,-12),$2:$2,189:189)
  ),"")</f>
        <v>-112</v>
      </c>
      <c r="CE189" s="4517">
        <f>IFERROR(
  _xlfn.XLOOKUP($A$1,$B$2:$BY$2,$B189:$BY189)
 -_xlfn.XLOOKUP(EDATE($A$1,-1),$B$2:$BY$2,$B189:$BY189),"")</f>
        <v>-83</v>
      </c>
    </row>
    <row r="190" spans="1:86" ht="17.399999999999999" customHeight="1" x14ac:dyDescent="0.55000000000000004">
      <c r="A190" s="7198"/>
      <c r="B190" s="7204"/>
      <c r="C190" s="65" t="s">
        <v>401</v>
      </c>
      <c r="D190" s="146">
        <f>D196+D197</f>
        <v>258</v>
      </c>
      <c r="E190" s="147">
        <f t="shared" ref="E190:O190" si="192">E196+E197</f>
        <v>198</v>
      </c>
      <c r="F190" s="147">
        <f t="shared" si="192"/>
        <v>219</v>
      </c>
      <c r="G190" s="147">
        <f t="shared" si="192"/>
        <v>234</v>
      </c>
      <c r="H190" s="147">
        <f t="shared" si="192"/>
        <v>218</v>
      </c>
      <c r="I190" s="147">
        <f t="shared" si="192"/>
        <v>223</v>
      </c>
      <c r="J190" s="147">
        <f t="shared" si="192"/>
        <v>219</v>
      </c>
      <c r="K190" s="147">
        <f t="shared" si="192"/>
        <v>223</v>
      </c>
      <c r="L190" s="147">
        <f t="shared" si="192"/>
        <v>223</v>
      </c>
      <c r="M190" s="147">
        <f t="shared" si="192"/>
        <v>207</v>
      </c>
      <c r="N190" s="147">
        <f t="shared" si="192"/>
        <v>177</v>
      </c>
      <c r="O190" s="147">
        <f t="shared" si="192"/>
        <v>165</v>
      </c>
      <c r="P190" s="147">
        <f t="shared" si="187"/>
        <v>2564</v>
      </c>
      <c r="Q190" s="148">
        <f t="shared" si="91"/>
        <v>213.66666666666666</v>
      </c>
      <c r="R190" s="183"/>
      <c r="S190" s="146">
        <v>255</v>
      </c>
      <c r="T190" s="147">
        <v>308</v>
      </c>
      <c r="U190" s="147">
        <v>311</v>
      </c>
      <c r="V190" s="147">
        <v>300</v>
      </c>
      <c r="W190" s="147">
        <v>263</v>
      </c>
      <c r="X190" s="147">
        <v>275</v>
      </c>
      <c r="Y190" s="147">
        <v>219</v>
      </c>
      <c r="Z190" s="147">
        <v>308</v>
      </c>
      <c r="AA190" s="147">
        <v>189</v>
      </c>
      <c r="AB190" s="147">
        <v>252</v>
      </c>
      <c r="AC190" s="147">
        <v>192</v>
      </c>
      <c r="AD190" s="147">
        <v>183</v>
      </c>
      <c r="AE190" s="147">
        <f t="shared" si="188"/>
        <v>3055</v>
      </c>
      <c r="AF190" s="148">
        <f t="shared" si="93"/>
        <v>254.58333333333334</v>
      </c>
      <c r="AG190" s="183"/>
      <c r="AH190" s="146">
        <v>314</v>
      </c>
      <c r="AI190" s="147">
        <v>244</v>
      </c>
      <c r="AJ190" s="147">
        <v>272</v>
      </c>
      <c r="AK190" s="147">
        <v>299</v>
      </c>
      <c r="AL190" s="147">
        <v>282</v>
      </c>
      <c r="AM190" s="147">
        <v>238</v>
      </c>
      <c r="AN190" s="147">
        <v>337</v>
      </c>
      <c r="AO190" s="147">
        <v>237</v>
      </c>
      <c r="AP190" s="147">
        <v>260</v>
      </c>
      <c r="AQ190" s="147">
        <v>249</v>
      </c>
      <c r="AR190" s="147">
        <v>578</v>
      </c>
      <c r="AS190" s="147">
        <v>253</v>
      </c>
      <c r="AT190" s="147">
        <f t="shared" si="189"/>
        <v>3563</v>
      </c>
      <c r="AU190" s="148">
        <f t="shared" si="147"/>
        <v>296.91666666666669</v>
      </c>
      <c r="AV190" s="183"/>
      <c r="AW190" s="482">
        <v>242</v>
      </c>
      <c r="AX190" s="147">
        <v>413</v>
      </c>
      <c r="AY190" s="147">
        <v>300</v>
      </c>
      <c r="AZ190" s="147">
        <v>315</v>
      </c>
      <c r="BA190" s="147">
        <v>719</v>
      </c>
      <c r="BB190" s="147">
        <v>325</v>
      </c>
      <c r="BC190" s="147">
        <v>431</v>
      </c>
      <c r="BD190" s="147">
        <v>270</v>
      </c>
      <c r="BE190" s="147">
        <v>349</v>
      </c>
      <c r="BF190" s="147">
        <v>233</v>
      </c>
      <c r="BG190" s="147">
        <v>226</v>
      </c>
      <c r="BH190" s="147">
        <v>244</v>
      </c>
      <c r="BI190" s="147">
        <f t="shared" si="190"/>
        <v>4067</v>
      </c>
      <c r="BJ190" s="148">
        <f t="shared" si="117"/>
        <v>338.91666666666669</v>
      </c>
      <c r="BK190" s="183"/>
      <c r="BL190" s="482">
        <v>314</v>
      </c>
      <c r="BM190" s="147">
        <v>219</v>
      </c>
      <c r="BN190" s="147"/>
      <c r="BO190" s="147"/>
      <c r="BP190" s="147"/>
      <c r="BQ190" s="147"/>
      <c r="BR190" s="147"/>
      <c r="BS190" s="147"/>
      <c r="BT190" s="147"/>
      <c r="BU190" s="147"/>
      <c r="BV190" s="147"/>
      <c r="BW190" s="147"/>
      <c r="BX190" s="147">
        <f t="shared" si="191"/>
        <v>533</v>
      </c>
      <c r="BY190" s="148">
        <f t="shared" si="159"/>
        <v>266.5</v>
      </c>
      <c r="CA190" s="169">
        <f>ROW()</f>
        <v>190</v>
      </c>
      <c r="CB190" s="169">
        <f>IFERROR(_xlfn.XLOOKUP($A$1,$2:$2,190:190)-_xlfn.XLOOKUP(EDATE($A$1,-12),$2:$2,190:190),"")</f>
        <v>-194</v>
      </c>
      <c r="CC190" s="169">
        <f t="shared" si="153"/>
        <v>42</v>
      </c>
      <c r="CD190" s="169">
        <f>IFERROR(
  SUM(
    _xlfn.XLOOKUP(DATE(YEAR($A$1),1,1),$2:$2,190:190):
    _xlfn.XLOOKUP($A$1,$2:$2,190:190)
  )
 -SUM(
    _xlfn.XLOOKUP(DATE(YEAR($A$1)-1,1,1),$2:$2,190:190):
    _xlfn.XLOOKUP(EDATE($A$1,-12),$2:$2,190:190)
  ),"")</f>
        <v>-122</v>
      </c>
      <c r="CE190" s="4517">
        <f>IFERROR(
  _xlfn.XLOOKUP($A$1,$B$2:$BY$2,$B190:$BY190)
 -_xlfn.XLOOKUP(EDATE($A$1,-1),$B$2:$BY$2,$B190:$BY190),"")</f>
        <v>-95</v>
      </c>
    </row>
    <row r="191" spans="1:86" ht="17.399999999999999" customHeight="1" x14ac:dyDescent="0.55000000000000004">
      <c r="A191" s="7198"/>
      <c r="B191" s="7204"/>
      <c r="C191" s="65" t="s">
        <v>402</v>
      </c>
      <c r="D191" s="146">
        <f>D198+D199</f>
        <v>263</v>
      </c>
      <c r="E191" s="147">
        <f t="shared" ref="E191:O191" si="193">E198+E199</f>
        <v>249</v>
      </c>
      <c r="F191" s="147">
        <f t="shared" si="193"/>
        <v>266</v>
      </c>
      <c r="G191" s="147">
        <f t="shared" si="193"/>
        <v>284</v>
      </c>
      <c r="H191" s="147">
        <f t="shared" si="193"/>
        <v>261</v>
      </c>
      <c r="I191" s="147">
        <f t="shared" si="193"/>
        <v>270</v>
      </c>
      <c r="J191" s="147">
        <f t="shared" si="193"/>
        <v>230</v>
      </c>
      <c r="K191" s="147">
        <f t="shared" si="193"/>
        <v>289</v>
      </c>
      <c r="L191" s="147">
        <f t="shared" si="193"/>
        <v>257</v>
      </c>
      <c r="M191" s="147">
        <f t="shared" si="193"/>
        <v>256</v>
      </c>
      <c r="N191" s="147">
        <f t="shared" si="193"/>
        <v>291</v>
      </c>
      <c r="O191" s="147">
        <f t="shared" si="193"/>
        <v>248</v>
      </c>
      <c r="P191" s="147">
        <f t="shared" si="187"/>
        <v>3164</v>
      </c>
      <c r="Q191" s="148">
        <f t="shared" si="91"/>
        <v>263.66666666666669</v>
      </c>
      <c r="R191" s="183"/>
      <c r="S191" s="146">
        <v>311</v>
      </c>
      <c r="T191" s="147">
        <v>327</v>
      </c>
      <c r="U191" s="147">
        <v>329</v>
      </c>
      <c r="V191" s="147">
        <v>330</v>
      </c>
      <c r="W191" s="147">
        <v>281</v>
      </c>
      <c r="X191" s="147">
        <v>274</v>
      </c>
      <c r="Y191" s="147">
        <v>243</v>
      </c>
      <c r="Z191" s="147">
        <v>387</v>
      </c>
      <c r="AA191" s="147">
        <v>226</v>
      </c>
      <c r="AB191" s="147">
        <v>281</v>
      </c>
      <c r="AC191" s="147">
        <v>282</v>
      </c>
      <c r="AD191" s="147">
        <v>225</v>
      </c>
      <c r="AE191" s="147">
        <f t="shared" si="188"/>
        <v>3496</v>
      </c>
      <c r="AF191" s="148">
        <f t="shared" si="93"/>
        <v>291.33333333333331</v>
      </c>
      <c r="AG191" s="183"/>
      <c r="AH191" s="146">
        <v>396</v>
      </c>
      <c r="AI191" s="147">
        <v>315</v>
      </c>
      <c r="AJ191" s="147">
        <v>354</v>
      </c>
      <c r="AK191" s="147">
        <v>358</v>
      </c>
      <c r="AL191" s="147">
        <v>388</v>
      </c>
      <c r="AM191" s="147">
        <v>297</v>
      </c>
      <c r="AN191" s="147">
        <v>404</v>
      </c>
      <c r="AO191" s="147">
        <v>335</v>
      </c>
      <c r="AP191" s="147">
        <v>388</v>
      </c>
      <c r="AQ191" s="147">
        <v>365</v>
      </c>
      <c r="AR191" s="147">
        <v>763</v>
      </c>
      <c r="AS191" s="147">
        <v>332</v>
      </c>
      <c r="AT191" s="147">
        <f t="shared" si="189"/>
        <v>4695</v>
      </c>
      <c r="AU191" s="148">
        <f t="shared" si="147"/>
        <v>391.25</v>
      </c>
      <c r="AV191" s="183"/>
      <c r="AW191" s="482">
        <v>284</v>
      </c>
      <c r="AX191" s="147">
        <v>524</v>
      </c>
      <c r="AY191" s="147">
        <v>392</v>
      </c>
      <c r="AZ191" s="147">
        <v>475</v>
      </c>
      <c r="BA191" s="147">
        <v>833</v>
      </c>
      <c r="BB191" s="147">
        <v>462</v>
      </c>
      <c r="BC191" s="147">
        <v>632</v>
      </c>
      <c r="BD191" s="147">
        <v>424</v>
      </c>
      <c r="BE191" s="147">
        <v>448</v>
      </c>
      <c r="BF191" s="147">
        <v>290</v>
      </c>
      <c r="BG191" s="147">
        <v>304</v>
      </c>
      <c r="BH191" s="147">
        <v>308</v>
      </c>
      <c r="BI191" s="147">
        <f t="shared" si="190"/>
        <v>5376</v>
      </c>
      <c r="BJ191" s="148">
        <f t="shared" si="117"/>
        <v>448</v>
      </c>
      <c r="BK191" s="183"/>
      <c r="BL191" s="482">
        <v>399</v>
      </c>
      <c r="BM191" s="147">
        <v>233</v>
      </c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>
        <f t="shared" si="191"/>
        <v>632</v>
      </c>
      <c r="BY191" s="148">
        <f t="shared" si="159"/>
        <v>316</v>
      </c>
      <c r="CA191" s="169">
        <f>ROW()</f>
        <v>191</v>
      </c>
      <c r="CB191" s="169">
        <f>IFERROR(_xlfn.XLOOKUP($A$1,$2:$2,191:191)-_xlfn.XLOOKUP(EDATE($A$1,-12),$2:$2,191:191),"")</f>
        <v>-291</v>
      </c>
      <c r="CC191" s="169">
        <f t="shared" si="153"/>
        <v>56.75</v>
      </c>
      <c r="CD191" s="169">
        <f>IFERROR(
  SUM(
    _xlfn.XLOOKUP(DATE(YEAR($A$1),1,1),$2:$2,191:191):
    _xlfn.XLOOKUP($A$1,$2:$2,191:191)
  )
 -SUM(
    _xlfn.XLOOKUP(DATE(YEAR($A$1)-1,1,1),$2:$2,191:191):
    _xlfn.XLOOKUP(EDATE($A$1,-12),$2:$2,191:191)
  ),"")</f>
        <v>-176</v>
      </c>
      <c r="CE191" s="4517">
        <f>IFERROR(
  _xlfn.XLOOKUP($A$1,$B$2:$BY$2,$B191:$BY191)
 -_xlfn.XLOOKUP(EDATE($A$1,-1),$B$2:$BY$2,$B191:$BY191),"")</f>
        <v>-166</v>
      </c>
    </row>
    <row r="192" spans="1:86" ht="17.399999999999999" customHeight="1" x14ac:dyDescent="0.55000000000000004">
      <c r="A192" s="7198"/>
      <c r="B192" s="7204"/>
      <c r="C192" s="65" t="s">
        <v>403</v>
      </c>
      <c r="D192" s="146">
        <f>D200+D201</f>
        <v>362</v>
      </c>
      <c r="E192" s="147">
        <f t="shared" ref="E192:O192" si="194">E200+E201</f>
        <v>305</v>
      </c>
      <c r="F192" s="147">
        <f t="shared" si="194"/>
        <v>317</v>
      </c>
      <c r="G192" s="147">
        <f t="shared" si="194"/>
        <v>284</v>
      </c>
      <c r="H192" s="147">
        <f t="shared" si="194"/>
        <v>325</v>
      </c>
      <c r="I192" s="147">
        <f t="shared" si="194"/>
        <v>354</v>
      </c>
      <c r="J192" s="147">
        <f t="shared" si="194"/>
        <v>324</v>
      </c>
      <c r="K192" s="147">
        <f t="shared" si="194"/>
        <v>394</v>
      </c>
      <c r="L192" s="147">
        <f t="shared" si="194"/>
        <v>289</v>
      </c>
      <c r="M192" s="147">
        <f t="shared" si="194"/>
        <v>296</v>
      </c>
      <c r="N192" s="147">
        <f t="shared" si="194"/>
        <v>363</v>
      </c>
      <c r="O192" s="147">
        <f t="shared" si="194"/>
        <v>313</v>
      </c>
      <c r="P192" s="147">
        <f t="shared" si="187"/>
        <v>3926</v>
      </c>
      <c r="Q192" s="148">
        <f t="shared" si="91"/>
        <v>327.16666666666669</v>
      </c>
      <c r="R192" s="183"/>
      <c r="S192" s="146">
        <v>348</v>
      </c>
      <c r="T192" s="147">
        <v>468</v>
      </c>
      <c r="U192" s="147">
        <v>398</v>
      </c>
      <c r="V192" s="147">
        <v>408</v>
      </c>
      <c r="W192" s="147">
        <v>367</v>
      </c>
      <c r="X192" s="147">
        <v>400</v>
      </c>
      <c r="Y192" s="147">
        <v>297</v>
      </c>
      <c r="Z192" s="147">
        <v>443</v>
      </c>
      <c r="AA192" s="147">
        <v>279</v>
      </c>
      <c r="AB192" s="147">
        <v>334</v>
      </c>
      <c r="AC192" s="147">
        <v>317</v>
      </c>
      <c r="AD192" s="147">
        <v>275</v>
      </c>
      <c r="AE192" s="147">
        <f t="shared" si="188"/>
        <v>4334</v>
      </c>
      <c r="AF192" s="148">
        <f t="shared" si="93"/>
        <v>361.16666666666669</v>
      </c>
      <c r="AG192" s="183"/>
      <c r="AH192" s="146">
        <v>476</v>
      </c>
      <c r="AI192" s="147">
        <v>374</v>
      </c>
      <c r="AJ192" s="147">
        <v>437</v>
      </c>
      <c r="AK192" s="147">
        <v>457</v>
      </c>
      <c r="AL192" s="147">
        <v>408</v>
      </c>
      <c r="AM192" s="147">
        <v>386</v>
      </c>
      <c r="AN192" s="147">
        <v>481</v>
      </c>
      <c r="AO192" s="147">
        <v>346</v>
      </c>
      <c r="AP192" s="147">
        <v>367</v>
      </c>
      <c r="AQ192" s="147">
        <v>408</v>
      </c>
      <c r="AR192" s="147">
        <v>848</v>
      </c>
      <c r="AS192" s="147">
        <v>318</v>
      </c>
      <c r="AT192" s="147">
        <f t="shared" si="189"/>
        <v>5306</v>
      </c>
      <c r="AU192" s="148">
        <f t="shared" si="147"/>
        <v>442.16666666666669</v>
      </c>
      <c r="AV192" s="183"/>
      <c r="AW192" s="482">
        <v>267</v>
      </c>
      <c r="AX192" s="147">
        <v>530</v>
      </c>
      <c r="AY192" s="147">
        <v>414</v>
      </c>
      <c r="AZ192" s="147">
        <v>576</v>
      </c>
      <c r="BA192" s="147">
        <v>834</v>
      </c>
      <c r="BB192" s="147">
        <v>479</v>
      </c>
      <c r="BC192" s="147">
        <v>695</v>
      </c>
      <c r="BD192" s="147">
        <v>424</v>
      </c>
      <c r="BE192" s="147">
        <v>461</v>
      </c>
      <c r="BF192" s="147">
        <v>326</v>
      </c>
      <c r="BG192" s="147">
        <v>309</v>
      </c>
      <c r="BH192" s="147">
        <v>246</v>
      </c>
      <c r="BI192" s="147">
        <f t="shared" si="190"/>
        <v>5561</v>
      </c>
      <c r="BJ192" s="148">
        <f t="shared" si="117"/>
        <v>463.41666666666669</v>
      </c>
      <c r="BK192" s="183"/>
      <c r="BL192" s="482">
        <v>394</v>
      </c>
      <c r="BM192" s="147">
        <v>245</v>
      </c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>
        <f t="shared" si="191"/>
        <v>639</v>
      </c>
      <c r="BY192" s="148">
        <f t="shared" si="159"/>
        <v>319.5</v>
      </c>
      <c r="CA192" s="169">
        <f>ROW()</f>
        <v>192</v>
      </c>
      <c r="CB192" s="169">
        <f>IFERROR(_xlfn.XLOOKUP($A$1,$2:$2,192:192)-_xlfn.XLOOKUP(EDATE($A$1,-12),$2:$2,192:192),"")</f>
        <v>-285</v>
      </c>
      <c r="CC192" s="169">
        <f t="shared" si="153"/>
        <v>21.25</v>
      </c>
      <c r="CD192" s="169">
        <f>IFERROR(
  SUM(
    _xlfn.XLOOKUP(DATE(YEAR($A$1),1,1),$2:$2,192:192):
    _xlfn.XLOOKUP($A$1,$2:$2,192:192)
  )
 -SUM(
    _xlfn.XLOOKUP(DATE(YEAR($A$1)-1,1,1),$2:$2,192:192):
    _xlfn.XLOOKUP(EDATE($A$1,-12),$2:$2,192:192)
  ),"")</f>
        <v>-158</v>
      </c>
      <c r="CE192" s="4517">
        <f>IFERROR(
  _xlfn.XLOOKUP($A$1,$B$2:$BY$2,$B192:$BY192)
 -_xlfn.XLOOKUP(EDATE($A$1,-1),$B$2:$BY$2,$B192:$BY192),"")</f>
        <v>-149</v>
      </c>
    </row>
    <row r="193" spans="1:83" ht="17.399999999999999" customHeight="1" x14ac:dyDescent="0.55000000000000004">
      <c r="A193" s="7198"/>
      <c r="B193" s="7205"/>
      <c r="C193" s="66" t="s">
        <v>404</v>
      </c>
      <c r="D193" s="149">
        <f>D202+D203</f>
        <v>276</v>
      </c>
      <c r="E193" s="150">
        <f t="shared" ref="E193:O193" si="195">E202+E203</f>
        <v>221</v>
      </c>
      <c r="F193" s="150">
        <f t="shared" si="195"/>
        <v>211</v>
      </c>
      <c r="G193" s="150">
        <f t="shared" si="195"/>
        <v>203</v>
      </c>
      <c r="H193" s="150">
        <f t="shared" si="195"/>
        <v>242</v>
      </c>
      <c r="I193" s="150">
        <f t="shared" si="195"/>
        <v>213</v>
      </c>
      <c r="J193" s="150">
        <f t="shared" si="195"/>
        <v>222</v>
      </c>
      <c r="K193" s="150">
        <f t="shared" si="195"/>
        <v>239</v>
      </c>
      <c r="L193" s="150">
        <f t="shared" si="195"/>
        <v>183</v>
      </c>
      <c r="M193" s="150">
        <f t="shared" si="195"/>
        <v>219</v>
      </c>
      <c r="N193" s="150">
        <f t="shared" si="195"/>
        <v>218</v>
      </c>
      <c r="O193" s="150">
        <f t="shared" si="195"/>
        <v>191</v>
      </c>
      <c r="P193" s="150">
        <f t="shared" si="187"/>
        <v>2638</v>
      </c>
      <c r="Q193" s="151">
        <f t="shared" si="91"/>
        <v>219.83333333333334</v>
      </c>
      <c r="R193" s="183"/>
      <c r="S193" s="149">
        <v>256</v>
      </c>
      <c r="T193" s="150">
        <v>263</v>
      </c>
      <c r="U193" s="150">
        <v>247</v>
      </c>
      <c r="V193" s="150">
        <v>257</v>
      </c>
      <c r="W193" s="150">
        <v>230</v>
      </c>
      <c r="X193" s="150">
        <v>234</v>
      </c>
      <c r="Y193" s="150">
        <v>193</v>
      </c>
      <c r="Z193" s="150">
        <v>287</v>
      </c>
      <c r="AA193" s="150">
        <v>194</v>
      </c>
      <c r="AB193" s="150">
        <v>220</v>
      </c>
      <c r="AC193" s="150">
        <v>200</v>
      </c>
      <c r="AD193" s="150">
        <v>179</v>
      </c>
      <c r="AE193" s="150">
        <f t="shared" si="188"/>
        <v>2760</v>
      </c>
      <c r="AF193" s="151">
        <f t="shared" si="93"/>
        <v>230</v>
      </c>
      <c r="AG193" s="183"/>
      <c r="AH193" s="149">
        <v>310</v>
      </c>
      <c r="AI193" s="150">
        <v>207</v>
      </c>
      <c r="AJ193" s="150">
        <v>323</v>
      </c>
      <c r="AK193" s="150">
        <v>283</v>
      </c>
      <c r="AL193" s="150">
        <v>262</v>
      </c>
      <c r="AM193" s="150">
        <v>250</v>
      </c>
      <c r="AN193" s="150">
        <v>298</v>
      </c>
      <c r="AO193" s="150">
        <v>241</v>
      </c>
      <c r="AP193" s="150">
        <v>280</v>
      </c>
      <c r="AQ193" s="150">
        <v>245</v>
      </c>
      <c r="AR193" s="150">
        <v>546</v>
      </c>
      <c r="AS193" s="150">
        <v>195</v>
      </c>
      <c r="AT193" s="150">
        <f t="shared" si="189"/>
        <v>3440</v>
      </c>
      <c r="AU193" s="151">
        <f t="shared" si="147"/>
        <v>286.66666666666669</v>
      </c>
      <c r="AV193" s="183"/>
      <c r="AW193" s="483">
        <v>180</v>
      </c>
      <c r="AX193" s="150">
        <v>375</v>
      </c>
      <c r="AY193" s="150">
        <v>317</v>
      </c>
      <c r="AZ193" s="150">
        <v>320</v>
      </c>
      <c r="BA193" s="150">
        <v>597</v>
      </c>
      <c r="BB193" s="150">
        <v>306</v>
      </c>
      <c r="BC193" s="150">
        <v>468</v>
      </c>
      <c r="BD193" s="150">
        <v>285</v>
      </c>
      <c r="BE193" s="150">
        <v>303</v>
      </c>
      <c r="BF193" s="150">
        <v>202</v>
      </c>
      <c r="BG193" s="150">
        <v>201</v>
      </c>
      <c r="BH193" s="150">
        <v>187</v>
      </c>
      <c r="BI193" s="150">
        <f t="shared" si="190"/>
        <v>3741</v>
      </c>
      <c r="BJ193" s="151">
        <f t="shared" si="117"/>
        <v>311.75</v>
      </c>
      <c r="BK193" s="183"/>
      <c r="BL193" s="483">
        <v>274</v>
      </c>
      <c r="BM193" s="150">
        <v>223</v>
      </c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>
        <f t="shared" si="191"/>
        <v>497</v>
      </c>
      <c r="BY193" s="151">
        <f t="shared" si="159"/>
        <v>248.5</v>
      </c>
      <c r="CA193" s="169">
        <f>ROW()</f>
        <v>193</v>
      </c>
      <c r="CB193" s="169">
        <f>IFERROR(_xlfn.XLOOKUP($A$1,$2:$2,193:193)-_xlfn.XLOOKUP(EDATE($A$1,-12),$2:$2,193:193),"")</f>
        <v>-152</v>
      </c>
      <c r="CC193" s="169">
        <f t="shared" si="153"/>
        <v>25.083333333333314</v>
      </c>
      <c r="CD193" s="169">
        <f>IFERROR(
  SUM(
    _xlfn.XLOOKUP(DATE(YEAR($A$1),1,1),$2:$2,193:193):
    _xlfn.XLOOKUP($A$1,$2:$2,193:193)
  )
 -SUM(
    _xlfn.XLOOKUP(DATE(YEAR($A$1)-1,1,1),$2:$2,193:193):
    _xlfn.XLOOKUP(EDATE($A$1,-12),$2:$2,193:193)
  ),"")</f>
        <v>-58</v>
      </c>
      <c r="CE193" s="4517">
        <f>IFERROR(
  _xlfn.XLOOKUP($A$1,$B$2:$BY$2,$B193:$BY193)
 -_xlfn.XLOOKUP(EDATE($A$1,-1),$B$2:$BY$2,$B193:$BY193),"")</f>
        <v>-51</v>
      </c>
    </row>
    <row r="194" spans="1:83" ht="17.399999999999999" customHeight="1" x14ac:dyDescent="0.55000000000000004">
      <c r="A194" s="7198"/>
      <c r="B194" s="7206" t="s">
        <v>412</v>
      </c>
      <c r="C194" s="67" t="s">
        <v>211</v>
      </c>
      <c r="D194" s="152">
        <v>96</v>
      </c>
      <c r="E194" s="153">
        <v>93</v>
      </c>
      <c r="F194" s="153">
        <v>76</v>
      </c>
      <c r="G194" s="153">
        <v>91</v>
      </c>
      <c r="H194" s="153">
        <v>82</v>
      </c>
      <c r="I194" s="153">
        <v>100</v>
      </c>
      <c r="J194" s="153">
        <v>95</v>
      </c>
      <c r="K194" s="153">
        <v>96</v>
      </c>
      <c r="L194" s="153">
        <v>90</v>
      </c>
      <c r="M194" s="153">
        <v>70</v>
      </c>
      <c r="N194" s="153">
        <v>66</v>
      </c>
      <c r="O194" s="153">
        <v>71</v>
      </c>
      <c r="P194" s="153">
        <f t="shared" si="187"/>
        <v>1026</v>
      </c>
      <c r="Q194" s="154">
        <f t="shared" si="91"/>
        <v>85.5</v>
      </c>
      <c r="R194" s="183"/>
      <c r="S194" s="152">
        <v>84</v>
      </c>
      <c r="T194" s="153">
        <v>97</v>
      </c>
      <c r="U194" s="153">
        <v>117</v>
      </c>
      <c r="V194" s="153">
        <v>118</v>
      </c>
      <c r="W194" s="153">
        <v>96</v>
      </c>
      <c r="X194" s="153">
        <v>107</v>
      </c>
      <c r="Y194" s="153">
        <v>90</v>
      </c>
      <c r="Z194" s="153">
        <v>119</v>
      </c>
      <c r="AA194" s="153">
        <v>66</v>
      </c>
      <c r="AB194" s="153">
        <v>93</v>
      </c>
      <c r="AC194" s="153">
        <v>94</v>
      </c>
      <c r="AD194" s="153">
        <v>75</v>
      </c>
      <c r="AE194" s="153">
        <f t="shared" si="188"/>
        <v>1156</v>
      </c>
      <c r="AF194" s="154">
        <f t="shared" si="93"/>
        <v>96.333333333333329</v>
      </c>
      <c r="AG194" s="183"/>
      <c r="AH194" s="152">
        <v>110</v>
      </c>
      <c r="AI194" s="153">
        <v>91</v>
      </c>
      <c r="AJ194" s="153">
        <v>127.00000000000001</v>
      </c>
      <c r="AK194" s="153">
        <v>140</v>
      </c>
      <c r="AL194" s="153">
        <v>119</v>
      </c>
      <c r="AM194" s="153">
        <v>124</v>
      </c>
      <c r="AN194" s="153">
        <v>124</v>
      </c>
      <c r="AO194" s="153">
        <v>116.00000000000001</v>
      </c>
      <c r="AP194" s="153">
        <v>98.999999999999986</v>
      </c>
      <c r="AQ194" s="153">
        <v>98</v>
      </c>
      <c r="AR194" s="153">
        <v>209</v>
      </c>
      <c r="AS194" s="153">
        <v>104</v>
      </c>
      <c r="AT194" s="153">
        <f t="shared" si="189"/>
        <v>1461</v>
      </c>
      <c r="AU194" s="154">
        <f t="shared" si="147"/>
        <v>121.75</v>
      </c>
      <c r="AV194" s="183"/>
      <c r="AW194" s="487">
        <v>103</v>
      </c>
      <c r="AX194" s="153">
        <v>159</v>
      </c>
      <c r="AY194" s="153">
        <v>129</v>
      </c>
      <c r="AZ194" s="153">
        <v>157</v>
      </c>
      <c r="BA194" s="153">
        <v>333</v>
      </c>
      <c r="BB194" s="153">
        <v>164</v>
      </c>
      <c r="BC194" s="153">
        <v>241</v>
      </c>
      <c r="BD194" s="153">
        <v>124</v>
      </c>
      <c r="BE194" s="153">
        <v>138</v>
      </c>
      <c r="BF194" s="153">
        <v>96</v>
      </c>
      <c r="BG194" s="153">
        <v>95</v>
      </c>
      <c r="BH194" s="153">
        <v>100</v>
      </c>
      <c r="BI194" s="153">
        <f t="shared" si="190"/>
        <v>1839</v>
      </c>
      <c r="BJ194" s="154">
        <f t="shared" si="117"/>
        <v>153.25</v>
      </c>
      <c r="BK194" s="183"/>
      <c r="BL194" s="487">
        <v>131</v>
      </c>
      <c r="BM194" s="153">
        <v>90</v>
      </c>
      <c r="BN194" s="153"/>
      <c r="BO194" s="153"/>
      <c r="BP194" s="153"/>
      <c r="BQ194" s="153"/>
      <c r="BR194" s="153"/>
      <c r="BS194" s="153"/>
      <c r="BT194" s="153"/>
      <c r="BU194" s="153"/>
      <c r="BV194" s="153"/>
      <c r="BW194" s="153"/>
      <c r="BX194" s="153">
        <f t="shared" si="191"/>
        <v>221</v>
      </c>
      <c r="BY194" s="154">
        <f t="shared" si="159"/>
        <v>110.5</v>
      </c>
      <c r="CA194" s="169">
        <f>ROW()</f>
        <v>194</v>
      </c>
      <c r="CB194" s="169">
        <f>IFERROR(_xlfn.XLOOKUP($A$1,$2:$2,194:194)-_xlfn.XLOOKUP(EDATE($A$1,-12),$2:$2,194:194),"")</f>
        <v>-69</v>
      </c>
      <c r="CC194" s="169">
        <f t="shared" si="153"/>
        <v>31.5</v>
      </c>
      <c r="CD194" s="169">
        <f>IFERROR(
  SUM(
    _xlfn.XLOOKUP(DATE(YEAR($A$1),1,1),$2:$2,194:194):
    _xlfn.XLOOKUP($A$1,$2:$2,194:194)
  )
 -SUM(
    _xlfn.XLOOKUP(DATE(YEAR($A$1)-1,1,1),$2:$2,194:194):
    _xlfn.XLOOKUP(EDATE($A$1,-12),$2:$2,194:194)
  ),"")</f>
        <v>-41</v>
      </c>
      <c r="CE194" s="4517">
        <f>IFERROR(
  _xlfn.XLOOKUP($A$1,$B$2:$BY$2,$B194:$BY194)
 -_xlfn.XLOOKUP(EDATE($A$1,-1),$B$2:$BY$2,$B194:$BY194),"")</f>
        <v>-41</v>
      </c>
    </row>
    <row r="195" spans="1:83" ht="17.399999999999999" customHeight="1" x14ac:dyDescent="0.55000000000000004">
      <c r="A195" s="7198"/>
      <c r="B195" s="7207"/>
      <c r="C195" s="67" t="s">
        <v>212</v>
      </c>
      <c r="D195" s="152">
        <v>112</v>
      </c>
      <c r="E195" s="153">
        <v>107</v>
      </c>
      <c r="F195" s="153">
        <v>102</v>
      </c>
      <c r="G195" s="153">
        <v>88</v>
      </c>
      <c r="H195" s="153">
        <v>121</v>
      </c>
      <c r="I195" s="153">
        <v>104</v>
      </c>
      <c r="J195" s="153">
        <v>96</v>
      </c>
      <c r="K195" s="153">
        <v>113</v>
      </c>
      <c r="L195" s="153">
        <v>70</v>
      </c>
      <c r="M195" s="153">
        <v>82</v>
      </c>
      <c r="N195" s="153">
        <v>101</v>
      </c>
      <c r="O195" s="153">
        <v>70</v>
      </c>
      <c r="P195" s="153">
        <f t="shared" si="187"/>
        <v>1166</v>
      </c>
      <c r="Q195" s="154">
        <f t="shared" si="91"/>
        <v>97.166666666666671</v>
      </c>
      <c r="R195" s="183"/>
      <c r="S195" s="152">
        <v>101</v>
      </c>
      <c r="T195" s="153">
        <v>126</v>
      </c>
      <c r="U195" s="153">
        <v>99</v>
      </c>
      <c r="V195" s="153">
        <v>111</v>
      </c>
      <c r="W195" s="153">
        <v>98</v>
      </c>
      <c r="X195" s="153">
        <v>95</v>
      </c>
      <c r="Y195" s="153">
        <v>79</v>
      </c>
      <c r="Z195" s="153">
        <v>116</v>
      </c>
      <c r="AA195" s="153">
        <v>68</v>
      </c>
      <c r="AB195" s="153">
        <v>79</v>
      </c>
      <c r="AC195" s="153">
        <v>52</v>
      </c>
      <c r="AD195" s="153">
        <v>34</v>
      </c>
      <c r="AE195" s="153">
        <f t="shared" si="188"/>
        <v>1058</v>
      </c>
      <c r="AF195" s="154">
        <f t="shared" si="93"/>
        <v>88.166666666666671</v>
      </c>
      <c r="AG195" s="183"/>
      <c r="AH195" s="152">
        <v>102</v>
      </c>
      <c r="AI195" s="153">
        <v>74</v>
      </c>
      <c r="AJ195" s="153">
        <v>103</v>
      </c>
      <c r="AK195" s="153">
        <v>112.99999999999999</v>
      </c>
      <c r="AL195" s="153">
        <v>123</v>
      </c>
      <c r="AM195" s="153">
        <v>112.00000000000001</v>
      </c>
      <c r="AN195" s="153">
        <v>164</v>
      </c>
      <c r="AO195" s="153">
        <v>135</v>
      </c>
      <c r="AP195" s="153">
        <v>146</v>
      </c>
      <c r="AQ195" s="153">
        <v>118</v>
      </c>
      <c r="AR195" s="153">
        <v>312</v>
      </c>
      <c r="AS195" s="153">
        <v>110</v>
      </c>
      <c r="AT195" s="153">
        <f t="shared" si="189"/>
        <v>1612</v>
      </c>
      <c r="AU195" s="154">
        <f t="shared" si="147"/>
        <v>134.33333333333334</v>
      </c>
      <c r="AV195" s="183"/>
      <c r="AW195" s="487">
        <v>90</v>
      </c>
      <c r="AX195" s="153">
        <v>199</v>
      </c>
      <c r="AY195" s="153">
        <v>140</v>
      </c>
      <c r="AZ195" s="153">
        <v>164</v>
      </c>
      <c r="BA195" s="153">
        <v>318</v>
      </c>
      <c r="BB195" s="153">
        <v>145</v>
      </c>
      <c r="BC195" s="153">
        <v>206</v>
      </c>
      <c r="BD195" s="153">
        <v>136</v>
      </c>
      <c r="BE195" s="153">
        <v>140</v>
      </c>
      <c r="BF195" s="153">
        <v>85</v>
      </c>
      <c r="BG195" s="153">
        <v>113</v>
      </c>
      <c r="BH195" s="153">
        <v>117</v>
      </c>
      <c r="BI195" s="153">
        <f t="shared" si="190"/>
        <v>1853</v>
      </c>
      <c r="BJ195" s="154">
        <f t="shared" si="117"/>
        <v>154.41666666666666</v>
      </c>
      <c r="BK195" s="183"/>
      <c r="BL195" s="487">
        <v>130</v>
      </c>
      <c r="BM195" s="153">
        <v>88</v>
      </c>
      <c r="BN195" s="153"/>
      <c r="BO195" s="153"/>
      <c r="BP195" s="153"/>
      <c r="BQ195" s="153"/>
      <c r="BR195" s="153"/>
      <c r="BS195" s="153"/>
      <c r="BT195" s="153"/>
      <c r="BU195" s="153"/>
      <c r="BV195" s="153"/>
      <c r="BW195" s="153"/>
      <c r="BX195" s="153">
        <f t="shared" si="191"/>
        <v>218</v>
      </c>
      <c r="BY195" s="154">
        <f t="shared" si="159"/>
        <v>109</v>
      </c>
      <c r="CA195" s="169">
        <f>ROW()</f>
        <v>195</v>
      </c>
      <c r="CB195" s="169">
        <f>IFERROR(_xlfn.XLOOKUP($A$1,$2:$2,195:195)-_xlfn.XLOOKUP(EDATE($A$1,-12),$2:$2,195:195),"")</f>
        <v>-111</v>
      </c>
      <c r="CC195" s="169">
        <f t="shared" si="153"/>
        <v>20.083333333333314</v>
      </c>
      <c r="CD195" s="169">
        <f>IFERROR(
  SUM(
    _xlfn.XLOOKUP(DATE(YEAR($A$1),1,1),$2:$2,195:195):
    _xlfn.XLOOKUP($A$1,$2:$2,195:195)
  )
 -SUM(
    _xlfn.XLOOKUP(DATE(YEAR($A$1)-1,1,1),$2:$2,195:195):
    _xlfn.XLOOKUP(EDATE($A$1,-12),$2:$2,195:195)
  ),"")</f>
        <v>-71</v>
      </c>
      <c r="CE195" s="4517">
        <f>IFERROR(
  _xlfn.XLOOKUP($A$1,$B$2:$BY$2,$B195:$BY195)
 -_xlfn.XLOOKUP(EDATE($A$1,-1),$B$2:$BY$2,$B195:$BY195),"")</f>
        <v>-42</v>
      </c>
    </row>
    <row r="196" spans="1:83" ht="17.399999999999999" customHeight="1" x14ac:dyDescent="0.55000000000000004">
      <c r="A196" s="7198"/>
      <c r="B196" s="7207"/>
      <c r="C196" s="68" t="s">
        <v>213</v>
      </c>
      <c r="D196" s="155">
        <v>108</v>
      </c>
      <c r="E196" s="156">
        <v>79</v>
      </c>
      <c r="F196" s="156">
        <v>114</v>
      </c>
      <c r="G196" s="156">
        <v>131</v>
      </c>
      <c r="H196" s="156">
        <v>95</v>
      </c>
      <c r="I196" s="156">
        <v>100</v>
      </c>
      <c r="J196" s="156">
        <v>100</v>
      </c>
      <c r="K196" s="156">
        <v>85</v>
      </c>
      <c r="L196" s="156">
        <v>110</v>
      </c>
      <c r="M196" s="156">
        <v>100</v>
      </c>
      <c r="N196" s="156">
        <v>87</v>
      </c>
      <c r="O196" s="156">
        <v>65</v>
      </c>
      <c r="P196" s="156">
        <f t="shared" si="187"/>
        <v>1174</v>
      </c>
      <c r="Q196" s="157">
        <f t="shared" si="91"/>
        <v>97.833333333333329</v>
      </c>
      <c r="R196" s="183"/>
      <c r="S196" s="155">
        <v>116</v>
      </c>
      <c r="T196" s="156">
        <v>129</v>
      </c>
      <c r="U196" s="156">
        <v>161</v>
      </c>
      <c r="V196" s="156">
        <v>140</v>
      </c>
      <c r="W196" s="156">
        <v>126</v>
      </c>
      <c r="X196" s="156">
        <v>115</v>
      </c>
      <c r="Y196" s="156">
        <v>89</v>
      </c>
      <c r="Z196" s="156">
        <v>129</v>
      </c>
      <c r="AA196" s="156">
        <v>81</v>
      </c>
      <c r="AB196" s="156">
        <v>107</v>
      </c>
      <c r="AC196" s="156">
        <v>89</v>
      </c>
      <c r="AD196" s="156">
        <v>90</v>
      </c>
      <c r="AE196" s="156">
        <f t="shared" si="188"/>
        <v>1372</v>
      </c>
      <c r="AF196" s="157">
        <f t="shared" si="93"/>
        <v>114.33333333333333</v>
      </c>
      <c r="AG196" s="183"/>
      <c r="AH196" s="155">
        <v>149</v>
      </c>
      <c r="AI196" s="156">
        <v>111</v>
      </c>
      <c r="AJ196" s="156">
        <v>123</v>
      </c>
      <c r="AK196" s="156">
        <v>143</v>
      </c>
      <c r="AL196" s="156">
        <v>119</v>
      </c>
      <c r="AM196" s="156">
        <v>108</v>
      </c>
      <c r="AN196" s="156">
        <v>152</v>
      </c>
      <c r="AO196" s="156">
        <v>104</v>
      </c>
      <c r="AP196" s="156">
        <v>112</v>
      </c>
      <c r="AQ196" s="156">
        <v>102</v>
      </c>
      <c r="AR196" s="156">
        <v>258</v>
      </c>
      <c r="AS196" s="156">
        <v>106.99999999999999</v>
      </c>
      <c r="AT196" s="156">
        <f t="shared" si="189"/>
        <v>1588</v>
      </c>
      <c r="AU196" s="157">
        <f t="shared" si="147"/>
        <v>132.33333333333334</v>
      </c>
      <c r="AV196" s="183"/>
      <c r="AW196" s="488">
        <v>120</v>
      </c>
      <c r="AX196" s="156">
        <v>186</v>
      </c>
      <c r="AY196" s="156">
        <v>124</v>
      </c>
      <c r="AZ196" s="156">
        <v>150</v>
      </c>
      <c r="BA196" s="156">
        <v>323</v>
      </c>
      <c r="BB196" s="156">
        <v>132</v>
      </c>
      <c r="BC196" s="156">
        <v>174</v>
      </c>
      <c r="BD196" s="156">
        <v>107</v>
      </c>
      <c r="BE196" s="156">
        <v>138</v>
      </c>
      <c r="BF196" s="156">
        <v>91</v>
      </c>
      <c r="BG196" s="156">
        <v>84</v>
      </c>
      <c r="BH196" s="156">
        <v>95</v>
      </c>
      <c r="BI196" s="156">
        <f t="shared" si="190"/>
        <v>1724</v>
      </c>
      <c r="BJ196" s="157">
        <f t="shared" si="117"/>
        <v>143.66666666666666</v>
      </c>
      <c r="BK196" s="183"/>
      <c r="BL196" s="488">
        <v>125</v>
      </c>
      <c r="BM196" s="156">
        <v>92</v>
      </c>
      <c r="BN196" s="156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56">
        <f t="shared" si="191"/>
        <v>217</v>
      </c>
      <c r="BY196" s="157">
        <f t="shared" si="159"/>
        <v>108.5</v>
      </c>
      <c r="CA196" s="169">
        <f>ROW()</f>
        <v>196</v>
      </c>
      <c r="CB196" s="169">
        <f>IFERROR(_xlfn.XLOOKUP($A$1,$2:$2,196:196)-_xlfn.XLOOKUP(EDATE($A$1,-12),$2:$2,196:196),"")</f>
        <v>-94</v>
      </c>
      <c r="CC196" s="169">
        <f t="shared" si="153"/>
        <v>11.333333333333314</v>
      </c>
      <c r="CD196" s="169">
        <f>IFERROR(
  SUM(
    _xlfn.XLOOKUP(DATE(YEAR($A$1),1,1),$2:$2,196:196):
    _xlfn.XLOOKUP($A$1,$2:$2,196:196)
  )
 -SUM(
    _xlfn.XLOOKUP(DATE(YEAR($A$1)-1,1,1),$2:$2,196:196):
    _xlfn.XLOOKUP(EDATE($A$1,-12),$2:$2,196:196)
  ),"")</f>
        <v>-89</v>
      </c>
      <c r="CE196" s="4517">
        <f>IFERROR(
  _xlfn.XLOOKUP($A$1,$B$2:$BY$2,$B196:$BY196)
 -_xlfn.XLOOKUP(EDATE($A$1,-1),$B$2:$BY$2,$B196:$BY196),"")</f>
        <v>-33</v>
      </c>
    </row>
    <row r="197" spans="1:83" ht="17.399999999999999" customHeight="1" x14ac:dyDescent="0.55000000000000004">
      <c r="A197" s="7198"/>
      <c r="B197" s="7207"/>
      <c r="C197" s="68" t="s">
        <v>214</v>
      </c>
      <c r="D197" s="155">
        <v>150</v>
      </c>
      <c r="E197" s="156">
        <v>119</v>
      </c>
      <c r="F197" s="156">
        <v>105</v>
      </c>
      <c r="G197" s="156">
        <v>103</v>
      </c>
      <c r="H197" s="156">
        <v>123</v>
      </c>
      <c r="I197" s="156">
        <v>123</v>
      </c>
      <c r="J197" s="156">
        <v>119</v>
      </c>
      <c r="K197" s="156">
        <v>138</v>
      </c>
      <c r="L197" s="156">
        <v>113</v>
      </c>
      <c r="M197" s="156">
        <v>107</v>
      </c>
      <c r="N197" s="156">
        <v>90</v>
      </c>
      <c r="O197" s="156">
        <v>100</v>
      </c>
      <c r="P197" s="156">
        <f t="shared" si="187"/>
        <v>1390</v>
      </c>
      <c r="Q197" s="157">
        <f t="shared" si="91"/>
        <v>115.83333333333333</v>
      </c>
      <c r="R197" s="183"/>
      <c r="S197" s="155">
        <v>139</v>
      </c>
      <c r="T197" s="156">
        <v>179</v>
      </c>
      <c r="U197" s="156">
        <v>150</v>
      </c>
      <c r="V197" s="156">
        <v>160</v>
      </c>
      <c r="W197" s="156">
        <v>137</v>
      </c>
      <c r="X197" s="156">
        <v>160</v>
      </c>
      <c r="Y197" s="156">
        <v>130</v>
      </c>
      <c r="Z197" s="156">
        <v>179</v>
      </c>
      <c r="AA197" s="156">
        <v>108</v>
      </c>
      <c r="AB197" s="156">
        <v>145</v>
      </c>
      <c r="AC197" s="156">
        <v>103</v>
      </c>
      <c r="AD197" s="156">
        <v>93</v>
      </c>
      <c r="AE197" s="156">
        <f t="shared" si="188"/>
        <v>1683</v>
      </c>
      <c r="AF197" s="157">
        <f t="shared" si="93"/>
        <v>140.25</v>
      </c>
      <c r="AG197" s="183"/>
      <c r="AH197" s="155">
        <v>165</v>
      </c>
      <c r="AI197" s="156">
        <v>133</v>
      </c>
      <c r="AJ197" s="156">
        <v>149</v>
      </c>
      <c r="AK197" s="156">
        <v>156</v>
      </c>
      <c r="AL197" s="156">
        <v>163</v>
      </c>
      <c r="AM197" s="156">
        <v>130</v>
      </c>
      <c r="AN197" s="156">
        <v>185</v>
      </c>
      <c r="AO197" s="156">
        <v>133</v>
      </c>
      <c r="AP197" s="156">
        <v>148</v>
      </c>
      <c r="AQ197" s="156">
        <v>147</v>
      </c>
      <c r="AR197" s="156">
        <v>320</v>
      </c>
      <c r="AS197" s="156">
        <v>146</v>
      </c>
      <c r="AT197" s="156">
        <f t="shared" si="189"/>
        <v>1975</v>
      </c>
      <c r="AU197" s="157">
        <f t="shared" si="147"/>
        <v>164.58333333333334</v>
      </c>
      <c r="AV197" s="183"/>
      <c r="AW197" s="488">
        <v>122</v>
      </c>
      <c r="AX197" s="156">
        <v>227</v>
      </c>
      <c r="AY197" s="156">
        <v>176</v>
      </c>
      <c r="AZ197" s="156">
        <v>165</v>
      </c>
      <c r="BA197" s="156">
        <v>396</v>
      </c>
      <c r="BB197" s="156">
        <v>193</v>
      </c>
      <c r="BC197" s="156">
        <v>257</v>
      </c>
      <c r="BD197" s="156">
        <v>163</v>
      </c>
      <c r="BE197" s="156">
        <v>211</v>
      </c>
      <c r="BF197" s="156">
        <v>142</v>
      </c>
      <c r="BG197" s="156">
        <v>142</v>
      </c>
      <c r="BH197" s="156">
        <v>149</v>
      </c>
      <c r="BI197" s="156">
        <f t="shared" si="190"/>
        <v>2343</v>
      </c>
      <c r="BJ197" s="157">
        <f t="shared" si="117"/>
        <v>195.25</v>
      </c>
      <c r="BK197" s="183"/>
      <c r="BL197" s="488">
        <v>189</v>
      </c>
      <c r="BM197" s="156">
        <v>127</v>
      </c>
      <c r="BN197" s="156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56">
        <f t="shared" si="191"/>
        <v>316</v>
      </c>
      <c r="BY197" s="157">
        <f t="shared" si="159"/>
        <v>158</v>
      </c>
      <c r="CA197" s="169">
        <f>ROW()</f>
        <v>197</v>
      </c>
      <c r="CB197" s="169">
        <f>IFERROR(_xlfn.XLOOKUP($A$1,$2:$2,197:197)-_xlfn.XLOOKUP(EDATE($A$1,-12),$2:$2,197:197),"")</f>
        <v>-100</v>
      </c>
      <c r="CC197" s="169">
        <f t="shared" si="153"/>
        <v>30.666666666666657</v>
      </c>
      <c r="CD197" s="169">
        <f>IFERROR(
  SUM(
    _xlfn.XLOOKUP(DATE(YEAR($A$1),1,1),$2:$2,197:197):
    _xlfn.XLOOKUP($A$1,$2:$2,197:197)
  )
 -SUM(
    _xlfn.XLOOKUP(DATE(YEAR($A$1)-1,1,1),$2:$2,197:197):
    _xlfn.XLOOKUP(EDATE($A$1,-12),$2:$2,197:197)
  ),"")</f>
        <v>-33</v>
      </c>
      <c r="CE197" s="4517">
        <f>IFERROR(
  _xlfn.XLOOKUP($A$1,$B$2:$BY$2,$B197:$BY197)
 -_xlfn.XLOOKUP(EDATE($A$1,-1),$B$2:$BY$2,$B197:$BY197),"")</f>
        <v>-62</v>
      </c>
    </row>
    <row r="198" spans="1:83" ht="17.399999999999999" customHeight="1" x14ac:dyDescent="0.55000000000000004">
      <c r="A198" s="7198"/>
      <c r="B198" s="7207"/>
      <c r="C198" s="67" t="s">
        <v>215</v>
      </c>
      <c r="D198" s="152">
        <v>170</v>
      </c>
      <c r="E198" s="153">
        <v>163</v>
      </c>
      <c r="F198" s="153">
        <v>176</v>
      </c>
      <c r="G198" s="153">
        <v>168</v>
      </c>
      <c r="H198" s="153">
        <v>163</v>
      </c>
      <c r="I198" s="153">
        <v>174</v>
      </c>
      <c r="J198" s="153">
        <v>154</v>
      </c>
      <c r="K198" s="153">
        <v>165</v>
      </c>
      <c r="L198" s="153">
        <v>166</v>
      </c>
      <c r="M198" s="153">
        <v>148</v>
      </c>
      <c r="N198" s="153">
        <v>180</v>
      </c>
      <c r="O198" s="153">
        <v>149</v>
      </c>
      <c r="P198" s="153">
        <f t="shared" si="187"/>
        <v>1976</v>
      </c>
      <c r="Q198" s="154">
        <f t="shared" si="91"/>
        <v>164.66666666666666</v>
      </c>
      <c r="R198" s="183"/>
      <c r="S198" s="152">
        <v>180</v>
      </c>
      <c r="T198" s="153">
        <v>186</v>
      </c>
      <c r="U198" s="153">
        <v>181</v>
      </c>
      <c r="V198" s="153">
        <v>189</v>
      </c>
      <c r="W198" s="153">
        <v>152</v>
      </c>
      <c r="X198" s="153">
        <v>153</v>
      </c>
      <c r="Y198" s="153">
        <v>142</v>
      </c>
      <c r="Z198" s="153">
        <v>188</v>
      </c>
      <c r="AA198" s="153">
        <v>123</v>
      </c>
      <c r="AB198" s="153">
        <v>141</v>
      </c>
      <c r="AC198" s="153">
        <v>152</v>
      </c>
      <c r="AD198" s="153">
        <v>139</v>
      </c>
      <c r="AE198" s="153">
        <f t="shared" si="188"/>
        <v>1926</v>
      </c>
      <c r="AF198" s="154">
        <f t="shared" si="93"/>
        <v>160.5</v>
      </c>
      <c r="AG198" s="183"/>
      <c r="AH198" s="152">
        <v>215.00000000000003</v>
      </c>
      <c r="AI198" s="153">
        <v>179</v>
      </c>
      <c r="AJ198" s="153">
        <v>195</v>
      </c>
      <c r="AK198" s="153">
        <v>200</v>
      </c>
      <c r="AL198" s="153">
        <v>233.99999999999997</v>
      </c>
      <c r="AM198" s="153">
        <v>185</v>
      </c>
      <c r="AN198" s="153">
        <v>233.99999999999997</v>
      </c>
      <c r="AO198" s="153">
        <v>208</v>
      </c>
      <c r="AP198" s="153">
        <v>224</v>
      </c>
      <c r="AQ198" s="153">
        <v>214</v>
      </c>
      <c r="AR198" s="153">
        <v>446</v>
      </c>
      <c r="AS198" s="153">
        <v>206</v>
      </c>
      <c r="AT198" s="153">
        <f t="shared" si="189"/>
        <v>2740</v>
      </c>
      <c r="AU198" s="154">
        <f t="shared" si="147"/>
        <v>228.33333333333334</v>
      </c>
      <c r="AV198" s="183"/>
      <c r="AW198" s="487">
        <v>178</v>
      </c>
      <c r="AX198" s="153">
        <v>304</v>
      </c>
      <c r="AY198" s="153">
        <v>221</v>
      </c>
      <c r="AZ198" s="153">
        <v>272</v>
      </c>
      <c r="BA198" s="153">
        <v>511.00000000000006</v>
      </c>
      <c r="BB198" s="153">
        <v>269</v>
      </c>
      <c r="BC198" s="153">
        <v>370</v>
      </c>
      <c r="BD198" s="153">
        <v>238</v>
      </c>
      <c r="BE198" s="153">
        <v>257</v>
      </c>
      <c r="BF198" s="153">
        <v>159</v>
      </c>
      <c r="BG198" s="153">
        <v>170</v>
      </c>
      <c r="BH198" s="153">
        <v>172</v>
      </c>
      <c r="BI198" s="153">
        <f t="shared" si="190"/>
        <v>3121</v>
      </c>
      <c r="BJ198" s="154">
        <f t="shared" si="117"/>
        <v>260.08333333333331</v>
      </c>
      <c r="BK198" s="183"/>
      <c r="BL198" s="487">
        <v>218</v>
      </c>
      <c r="BM198" s="153">
        <v>145</v>
      </c>
      <c r="BN198" s="153"/>
      <c r="BO198" s="153"/>
      <c r="BP198" s="153"/>
      <c r="BQ198" s="153"/>
      <c r="BR198" s="153"/>
      <c r="BS198" s="153"/>
      <c r="BT198" s="153"/>
      <c r="BU198" s="153"/>
      <c r="BV198" s="153"/>
      <c r="BW198" s="153"/>
      <c r="BX198" s="153">
        <f t="shared" si="191"/>
        <v>363</v>
      </c>
      <c r="BY198" s="154">
        <f t="shared" si="159"/>
        <v>181.5</v>
      </c>
      <c r="CA198" s="169">
        <f>ROW()</f>
        <v>198</v>
      </c>
      <c r="CB198" s="169">
        <f>IFERROR(_xlfn.XLOOKUP($A$1,$2:$2,198:198)-_xlfn.XLOOKUP(EDATE($A$1,-12),$2:$2,198:198),"")</f>
        <v>-159</v>
      </c>
      <c r="CC198" s="169">
        <f t="shared" si="153"/>
        <v>31.749999999999972</v>
      </c>
      <c r="CD198" s="169">
        <f>IFERROR(
  SUM(
    _xlfn.XLOOKUP(DATE(YEAR($A$1),1,1),$2:$2,198:198):
    _xlfn.XLOOKUP($A$1,$2:$2,198:198)
  )
 -SUM(
    _xlfn.XLOOKUP(DATE(YEAR($A$1)-1,1,1),$2:$2,198:198):
    _xlfn.XLOOKUP(EDATE($A$1,-12),$2:$2,198:198)
  ),"")</f>
        <v>-119</v>
      </c>
      <c r="CE198" s="4517">
        <f>IFERROR(
  _xlfn.XLOOKUP($A$1,$B$2:$BY$2,$B198:$BY198)
 -_xlfn.XLOOKUP(EDATE($A$1,-1),$B$2:$BY$2,$B198:$BY198),"")</f>
        <v>-73</v>
      </c>
    </row>
    <row r="199" spans="1:83" ht="17.399999999999999" customHeight="1" x14ac:dyDescent="0.55000000000000004">
      <c r="A199" s="7198"/>
      <c r="B199" s="7207"/>
      <c r="C199" s="67" t="s">
        <v>216</v>
      </c>
      <c r="D199" s="152">
        <v>93</v>
      </c>
      <c r="E199" s="153">
        <v>86</v>
      </c>
      <c r="F199" s="153">
        <v>90</v>
      </c>
      <c r="G199" s="153">
        <v>116</v>
      </c>
      <c r="H199" s="153">
        <v>98</v>
      </c>
      <c r="I199" s="153">
        <v>96</v>
      </c>
      <c r="J199" s="153">
        <v>76</v>
      </c>
      <c r="K199" s="153">
        <v>124</v>
      </c>
      <c r="L199" s="153">
        <v>91</v>
      </c>
      <c r="M199" s="153">
        <v>108</v>
      </c>
      <c r="N199" s="153">
        <v>111</v>
      </c>
      <c r="O199" s="153">
        <v>99</v>
      </c>
      <c r="P199" s="153">
        <f t="shared" si="187"/>
        <v>1188</v>
      </c>
      <c r="Q199" s="154">
        <f t="shared" si="91"/>
        <v>99</v>
      </c>
      <c r="R199" s="183"/>
      <c r="S199" s="152">
        <v>131</v>
      </c>
      <c r="T199" s="153">
        <v>141</v>
      </c>
      <c r="U199" s="153">
        <v>148</v>
      </c>
      <c r="V199" s="153">
        <v>141</v>
      </c>
      <c r="W199" s="153">
        <v>129</v>
      </c>
      <c r="X199" s="153">
        <v>121</v>
      </c>
      <c r="Y199" s="153">
        <v>101</v>
      </c>
      <c r="Z199" s="153">
        <v>199</v>
      </c>
      <c r="AA199" s="153">
        <v>103</v>
      </c>
      <c r="AB199" s="153">
        <v>140</v>
      </c>
      <c r="AC199" s="153">
        <v>130</v>
      </c>
      <c r="AD199" s="153">
        <v>86</v>
      </c>
      <c r="AE199" s="153">
        <f t="shared" si="188"/>
        <v>1570</v>
      </c>
      <c r="AF199" s="154">
        <f t="shared" si="93"/>
        <v>130.83333333333334</v>
      </c>
      <c r="AG199" s="183"/>
      <c r="AH199" s="152">
        <v>181</v>
      </c>
      <c r="AI199" s="153">
        <v>136</v>
      </c>
      <c r="AJ199" s="153">
        <v>159</v>
      </c>
      <c r="AK199" s="153">
        <v>158</v>
      </c>
      <c r="AL199" s="153">
        <v>154</v>
      </c>
      <c r="AM199" s="153">
        <v>112.00000000000001</v>
      </c>
      <c r="AN199" s="153">
        <v>170</v>
      </c>
      <c r="AO199" s="153">
        <v>126.99999999999999</v>
      </c>
      <c r="AP199" s="153">
        <v>164</v>
      </c>
      <c r="AQ199" s="153">
        <v>151</v>
      </c>
      <c r="AR199" s="153">
        <v>317</v>
      </c>
      <c r="AS199" s="153">
        <v>125.99999999999999</v>
      </c>
      <c r="AT199" s="153">
        <f t="shared" si="189"/>
        <v>1955</v>
      </c>
      <c r="AU199" s="154">
        <f t="shared" si="147"/>
        <v>162.91666666666666</v>
      </c>
      <c r="AV199" s="183"/>
      <c r="AW199" s="487">
        <v>106</v>
      </c>
      <c r="AX199" s="153">
        <v>220</v>
      </c>
      <c r="AY199" s="153">
        <v>171</v>
      </c>
      <c r="AZ199" s="153">
        <v>203</v>
      </c>
      <c r="BA199" s="153">
        <v>322</v>
      </c>
      <c r="BB199" s="153">
        <v>193</v>
      </c>
      <c r="BC199" s="153">
        <v>262</v>
      </c>
      <c r="BD199" s="153">
        <v>186</v>
      </c>
      <c r="BE199" s="153">
        <v>191</v>
      </c>
      <c r="BF199" s="153">
        <v>131</v>
      </c>
      <c r="BG199" s="153">
        <v>134</v>
      </c>
      <c r="BH199" s="153">
        <v>136</v>
      </c>
      <c r="BI199" s="153">
        <f t="shared" si="190"/>
        <v>2255</v>
      </c>
      <c r="BJ199" s="154">
        <f t="shared" si="117"/>
        <v>187.91666666666666</v>
      </c>
      <c r="BK199" s="183"/>
      <c r="BL199" s="487">
        <v>181</v>
      </c>
      <c r="BM199" s="153">
        <v>88</v>
      </c>
      <c r="BN199" s="153"/>
      <c r="BO199" s="153"/>
      <c r="BP199" s="153"/>
      <c r="BQ199" s="153"/>
      <c r="BR199" s="153"/>
      <c r="BS199" s="153"/>
      <c r="BT199" s="153"/>
      <c r="BU199" s="153"/>
      <c r="BV199" s="153"/>
      <c r="BW199" s="153"/>
      <c r="BX199" s="153">
        <f t="shared" si="191"/>
        <v>269</v>
      </c>
      <c r="BY199" s="154">
        <f t="shared" si="159"/>
        <v>134.5</v>
      </c>
      <c r="CA199" s="169">
        <f>ROW()</f>
        <v>199</v>
      </c>
      <c r="CB199" s="169">
        <f>IFERROR(_xlfn.XLOOKUP($A$1,$2:$2,199:199)-_xlfn.XLOOKUP(EDATE($A$1,-12),$2:$2,199:199),"")</f>
        <v>-132</v>
      </c>
      <c r="CC199" s="169">
        <f t="shared" si="153"/>
        <v>25</v>
      </c>
      <c r="CD199" s="169">
        <f>IFERROR(
  SUM(
    _xlfn.XLOOKUP(DATE(YEAR($A$1),1,1),$2:$2,199:199):
    _xlfn.XLOOKUP($A$1,$2:$2,199:199)
  )
 -SUM(
    _xlfn.XLOOKUP(DATE(YEAR($A$1)-1,1,1),$2:$2,199:199):
    _xlfn.XLOOKUP(EDATE($A$1,-12),$2:$2,199:199)
  ),"")</f>
        <v>-57</v>
      </c>
      <c r="CE199" s="4517">
        <f>IFERROR(
  _xlfn.XLOOKUP($A$1,$B$2:$BY$2,$B199:$BY199)
 -_xlfn.XLOOKUP(EDATE($A$1,-1),$B$2:$BY$2,$B199:$BY199),"")</f>
        <v>-93</v>
      </c>
    </row>
    <row r="200" spans="1:83" ht="17.399999999999999" customHeight="1" x14ac:dyDescent="0.55000000000000004">
      <c r="A200" s="7198"/>
      <c r="B200" s="7207"/>
      <c r="C200" s="68" t="s">
        <v>217</v>
      </c>
      <c r="D200" s="155">
        <v>213</v>
      </c>
      <c r="E200" s="156">
        <v>186</v>
      </c>
      <c r="F200" s="156">
        <v>178</v>
      </c>
      <c r="G200" s="156">
        <v>150</v>
      </c>
      <c r="H200" s="156">
        <v>202</v>
      </c>
      <c r="I200" s="156">
        <v>204</v>
      </c>
      <c r="J200" s="156">
        <v>193</v>
      </c>
      <c r="K200" s="156">
        <v>231</v>
      </c>
      <c r="L200" s="156">
        <v>173</v>
      </c>
      <c r="M200" s="156">
        <v>185</v>
      </c>
      <c r="N200" s="156">
        <v>224</v>
      </c>
      <c r="O200" s="156">
        <v>186</v>
      </c>
      <c r="P200" s="156">
        <f t="shared" si="187"/>
        <v>2325</v>
      </c>
      <c r="Q200" s="157">
        <f t="shared" si="91"/>
        <v>193.75</v>
      </c>
      <c r="R200" s="183"/>
      <c r="S200" s="155">
        <v>193</v>
      </c>
      <c r="T200" s="156">
        <v>268</v>
      </c>
      <c r="U200" s="156">
        <v>245</v>
      </c>
      <c r="V200" s="156">
        <v>243</v>
      </c>
      <c r="W200" s="156">
        <v>206</v>
      </c>
      <c r="X200" s="156">
        <v>244</v>
      </c>
      <c r="Y200" s="156">
        <v>167</v>
      </c>
      <c r="Z200" s="156">
        <v>245</v>
      </c>
      <c r="AA200" s="156">
        <v>153</v>
      </c>
      <c r="AB200" s="156">
        <v>194</v>
      </c>
      <c r="AC200" s="156">
        <v>196</v>
      </c>
      <c r="AD200" s="156">
        <v>146</v>
      </c>
      <c r="AE200" s="156">
        <f t="shared" si="188"/>
        <v>2500</v>
      </c>
      <c r="AF200" s="157">
        <f t="shared" si="93"/>
        <v>208.33333333333334</v>
      </c>
      <c r="AG200" s="183"/>
      <c r="AH200" s="155">
        <v>267</v>
      </c>
      <c r="AI200" s="156">
        <v>211</v>
      </c>
      <c r="AJ200" s="156">
        <v>229.00000000000003</v>
      </c>
      <c r="AK200" s="156">
        <v>262</v>
      </c>
      <c r="AL200" s="156">
        <v>243</v>
      </c>
      <c r="AM200" s="156">
        <v>221</v>
      </c>
      <c r="AN200" s="156">
        <v>247.00000000000003</v>
      </c>
      <c r="AO200" s="156">
        <v>210</v>
      </c>
      <c r="AP200" s="156">
        <v>181</v>
      </c>
      <c r="AQ200" s="156">
        <v>247.00000000000003</v>
      </c>
      <c r="AR200" s="156">
        <v>490</v>
      </c>
      <c r="AS200" s="156">
        <v>191</v>
      </c>
      <c r="AT200" s="156">
        <f t="shared" si="189"/>
        <v>2999</v>
      </c>
      <c r="AU200" s="157">
        <f t="shared" si="147"/>
        <v>249.91666666666666</v>
      </c>
      <c r="AV200" s="183"/>
      <c r="AW200" s="488">
        <v>126</v>
      </c>
      <c r="AX200" s="156">
        <v>290</v>
      </c>
      <c r="AY200" s="156">
        <v>232</v>
      </c>
      <c r="AZ200" s="156">
        <v>333</v>
      </c>
      <c r="BA200" s="156">
        <v>457.00000000000006</v>
      </c>
      <c r="BB200" s="156">
        <v>280</v>
      </c>
      <c r="BC200" s="156">
        <v>411</v>
      </c>
      <c r="BD200" s="156">
        <v>258</v>
      </c>
      <c r="BE200" s="156">
        <v>244</v>
      </c>
      <c r="BF200" s="156">
        <v>189</v>
      </c>
      <c r="BG200" s="156">
        <v>164</v>
      </c>
      <c r="BH200" s="156">
        <v>124</v>
      </c>
      <c r="BI200" s="156">
        <f t="shared" si="190"/>
        <v>3108</v>
      </c>
      <c r="BJ200" s="157">
        <f t="shared" si="117"/>
        <v>259</v>
      </c>
      <c r="BK200" s="183"/>
      <c r="BL200" s="488">
        <v>198</v>
      </c>
      <c r="BM200" s="156">
        <v>134</v>
      </c>
      <c r="BN200" s="156"/>
      <c r="BO200" s="156"/>
      <c r="BP200" s="156"/>
      <c r="BQ200" s="156"/>
      <c r="BR200" s="156"/>
      <c r="BS200" s="156"/>
      <c r="BT200" s="156"/>
      <c r="BU200" s="156"/>
      <c r="BV200" s="156"/>
      <c r="BW200" s="156"/>
      <c r="BX200" s="156">
        <f t="shared" si="191"/>
        <v>332</v>
      </c>
      <c r="BY200" s="157">
        <f t="shared" si="159"/>
        <v>166</v>
      </c>
      <c r="CA200" s="169">
        <f>ROW()</f>
        <v>200</v>
      </c>
      <c r="CB200" s="169">
        <f>IFERROR(_xlfn.XLOOKUP($A$1,$2:$2,200:200)-_xlfn.XLOOKUP(EDATE($A$1,-12),$2:$2,200:200),"")</f>
        <v>-156</v>
      </c>
      <c r="CC200" s="169">
        <f t="shared" si="153"/>
        <v>9.0833333333333428</v>
      </c>
      <c r="CD200" s="169">
        <f>IFERROR(
  SUM(
    _xlfn.XLOOKUP(DATE(YEAR($A$1),1,1),$2:$2,200:200):
    _xlfn.XLOOKUP($A$1,$2:$2,200:200)
  )
 -SUM(
    _xlfn.XLOOKUP(DATE(YEAR($A$1)-1,1,1),$2:$2,200:200):
    _xlfn.XLOOKUP(EDATE($A$1,-12),$2:$2,200:200)
  ),"")</f>
        <v>-84</v>
      </c>
      <c r="CE200" s="4517">
        <f>IFERROR(
  _xlfn.XLOOKUP($A$1,$B$2:$BY$2,$B200:$BY200)
 -_xlfn.XLOOKUP(EDATE($A$1,-1),$B$2:$BY$2,$B200:$BY200),"")</f>
        <v>-64</v>
      </c>
    </row>
    <row r="201" spans="1:83" ht="17.399999999999999" customHeight="1" x14ac:dyDescent="0.55000000000000004">
      <c r="A201" s="7198"/>
      <c r="B201" s="7207"/>
      <c r="C201" s="68" t="s">
        <v>218</v>
      </c>
      <c r="D201" s="155">
        <v>149</v>
      </c>
      <c r="E201" s="156">
        <v>119</v>
      </c>
      <c r="F201" s="156">
        <v>139</v>
      </c>
      <c r="G201" s="156">
        <v>134</v>
      </c>
      <c r="H201" s="156">
        <v>123</v>
      </c>
      <c r="I201" s="156">
        <v>150</v>
      </c>
      <c r="J201" s="156">
        <v>131</v>
      </c>
      <c r="K201" s="156">
        <v>163</v>
      </c>
      <c r="L201" s="156">
        <v>116</v>
      </c>
      <c r="M201" s="156">
        <v>111</v>
      </c>
      <c r="N201" s="156">
        <v>139</v>
      </c>
      <c r="O201" s="156">
        <v>127</v>
      </c>
      <c r="P201" s="156">
        <f t="shared" si="187"/>
        <v>1601</v>
      </c>
      <c r="Q201" s="157">
        <f t="shared" si="91"/>
        <v>133.41666666666666</v>
      </c>
      <c r="R201" s="183"/>
      <c r="S201" s="155">
        <v>155</v>
      </c>
      <c r="T201" s="156">
        <v>200</v>
      </c>
      <c r="U201" s="156">
        <v>153</v>
      </c>
      <c r="V201" s="156">
        <v>165</v>
      </c>
      <c r="W201" s="156">
        <v>161</v>
      </c>
      <c r="X201" s="156">
        <v>156</v>
      </c>
      <c r="Y201" s="156">
        <v>130</v>
      </c>
      <c r="Z201" s="156">
        <v>198</v>
      </c>
      <c r="AA201" s="156">
        <v>126</v>
      </c>
      <c r="AB201" s="156">
        <v>140</v>
      </c>
      <c r="AC201" s="156">
        <v>121</v>
      </c>
      <c r="AD201" s="156">
        <v>129</v>
      </c>
      <c r="AE201" s="156">
        <f t="shared" si="188"/>
        <v>1834</v>
      </c>
      <c r="AF201" s="157">
        <f t="shared" si="93"/>
        <v>152.83333333333334</v>
      </c>
      <c r="AG201" s="183"/>
      <c r="AH201" s="155">
        <v>209</v>
      </c>
      <c r="AI201" s="156">
        <v>163</v>
      </c>
      <c r="AJ201" s="156">
        <v>208</v>
      </c>
      <c r="AK201" s="156">
        <v>195</v>
      </c>
      <c r="AL201" s="156">
        <v>165</v>
      </c>
      <c r="AM201" s="156">
        <v>165</v>
      </c>
      <c r="AN201" s="156">
        <v>233.99999999999997</v>
      </c>
      <c r="AO201" s="156">
        <v>136</v>
      </c>
      <c r="AP201" s="156">
        <v>186</v>
      </c>
      <c r="AQ201" s="156">
        <v>161</v>
      </c>
      <c r="AR201" s="156">
        <v>358</v>
      </c>
      <c r="AS201" s="156">
        <v>127.00000000000001</v>
      </c>
      <c r="AT201" s="156">
        <f t="shared" si="189"/>
        <v>2307</v>
      </c>
      <c r="AU201" s="157">
        <f t="shared" si="147"/>
        <v>192.25</v>
      </c>
      <c r="AV201" s="183"/>
      <c r="AW201" s="488">
        <v>141</v>
      </c>
      <c r="AX201" s="156">
        <v>240</v>
      </c>
      <c r="AY201" s="156">
        <v>182</v>
      </c>
      <c r="AZ201" s="156">
        <v>243</v>
      </c>
      <c r="BA201" s="156">
        <v>377</v>
      </c>
      <c r="BB201" s="156">
        <v>199</v>
      </c>
      <c r="BC201" s="156">
        <v>284</v>
      </c>
      <c r="BD201" s="156">
        <v>166</v>
      </c>
      <c r="BE201" s="156">
        <v>217</v>
      </c>
      <c r="BF201" s="156">
        <v>137</v>
      </c>
      <c r="BG201" s="156">
        <v>145</v>
      </c>
      <c r="BH201" s="156">
        <v>122</v>
      </c>
      <c r="BI201" s="156">
        <f t="shared" si="190"/>
        <v>2453</v>
      </c>
      <c r="BJ201" s="157">
        <f t="shared" si="117"/>
        <v>204.41666666666666</v>
      </c>
      <c r="BK201" s="183"/>
      <c r="BL201" s="488">
        <v>196</v>
      </c>
      <c r="BM201" s="156">
        <v>111.00000000000001</v>
      </c>
      <c r="BN201" s="156"/>
      <c r="BO201" s="156"/>
      <c r="BP201" s="156"/>
      <c r="BQ201" s="156"/>
      <c r="BR201" s="156"/>
      <c r="BS201" s="156"/>
      <c r="BT201" s="156"/>
      <c r="BU201" s="156"/>
      <c r="BV201" s="156"/>
      <c r="BW201" s="156"/>
      <c r="BX201" s="156">
        <f t="shared" si="191"/>
        <v>307</v>
      </c>
      <c r="BY201" s="157">
        <f t="shared" si="159"/>
        <v>153.5</v>
      </c>
      <c r="CA201" s="169">
        <f>ROW()</f>
        <v>201</v>
      </c>
      <c r="CB201" s="169">
        <f>IFERROR(_xlfn.XLOOKUP($A$1,$2:$2,201:201)-_xlfn.XLOOKUP(EDATE($A$1,-12),$2:$2,201:201),"")</f>
        <v>-129</v>
      </c>
      <c r="CC201" s="169">
        <f t="shared" si="153"/>
        <v>12.166666666666657</v>
      </c>
      <c r="CD201" s="169">
        <f>IFERROR(
  SUM(
    _xlfn.XLOOKUP(DATE(YEAR($A$1),1,1),$2:$2,201:201):
    _xlfn.XLOOKUP($A$1,$2:$2,201:201)
  )
 -SUM(
    _xlfn.XLOOKUP(DATE(YEAR($A$1)-1,1,1),$2:$2,201:201):
    _xlfn.XLOOKUP(EDATE($A$1,-12),$2:$2,201:201)
  ),"")</f>
        <v>-74</v>
      </c>
      <c r="CE201" s="4517">
        <f>IFERROR(
  _xlfn.XLOOKUP($A$1,$B$2:$BY$2,$B201:$BY201)
 -_xlfn.XLOOKUP(EDATE($A$1,-1),$B$2:$BY$2,$B201:$BY201),"")</f>
        <v>-84.999999999999986</v>
      </c>
    </row>
    <row r="202" spans="1:83" ht="17.399999999999999" customHeight="1" x14ac:dyDescent="0.55000000000000004">
      <c r="A202" s="7198"/>
      <c r="B202" s="7207"/>
      <c r="C202" s="67" t="s">
        <v>219</v>
      </c>
      <c r="D202" s="152">
        <v>167</v>
      </c>
      <c r="E202" s="153">
        <v>117</v>
      </c>
      <c r="F202" s="153">
        <v>130</v>
      </c>
      <c r="G202" s="153">
        <v>112</v>
      </c>
      <c r="H202" s="153">
        <v>163</v>
      </c>
      <c r="I202" s="153">
        <v>125</v>
      </c>
      <c r="J202" s="153">
        <v>141</v>
      </c>
      <c r="K202" s="153">
        <v>156</v>
      </c>
      <c r="L202" s="153">
        <v>106</v>
      </c>
      <c r="M202" s="153">
        <v>135</v>
      </c>
      <c r="N202" s="153">
        <v>146</v>
      </c>
      <c r="O202" s="153">
        <v>109</v>
      </c>
      <c r="P202" s="153">
        <f t="shared" si="187"/>
        <v>1607</v>
      </c>
      <c r="Q202" s="154">
        <f t="shared" si="91"/>
        <v>133.91666666666666</v>
      </c>
      <c r="R202" s="183"/>
      <c r="S202" s="152">
        <v>164</v>
      </c>
      <c r="T202" s="153">
        <v>190</v>
      </c>
      <c r="U202" s="153">
        <v>143</v>
      </c>
      <c r="V202" s="153">
        <v>167</v>
      </c>
      <c r="W202" s="153">
        <v>141</v>
      </c>
      <c r="X202" s="153">
        <v>141</v>
      </c>
      <c r="Y202" s="153">
        <v>111</v>
      </c>
      <c r="Z202" s="153">
        <v>180</v>
      </c>
      <c r="AA202" s="153">
        <v>94</v>
      </c>
      <c r="AB202" s="153">
        <v>119</v>
      </c>
      <c r="AC202" s="153">
        <v>97</v>
      </c>
      <c r="AD202" s="153">
        <v>86</v>
      </c>
      <c r="AE202" s="153">
        <f t="shared" si="188"/>
        <v>1633</v>
      </c>
      <c r="AF202" s="154">
        <f t="shared" si="93"/>
        <v>136.08333333333334</v>
      </c>
      <c r="AG202" s="183"/>
      <c r="AH202" s="152">
        <v>191</v>
      </c>
      <c r="AI202" s="153">
        <v>110</v>
      </c>
      <c r="AJ202" s="153">
        <v>184</v>
      </c>
      <c r="AK202" s="153">
        <v>171</v>
      </c>
      <c r="AL202" s="153">
        <v>132</v>
      </c>
      <c r="AM202" s="153">
        <v>142</v>
      </c>
      <c r="AN202" s="153">
        <v>163</v>
      </c>
      <c r="AO202" s="153">
        <v>129</v>
      </c>
      <c r="AP202" s="153">
        <v>137</v>
      </c>
      <c r="AQ202" s="153">
        <v>123</v>
      </c>
      <c r="AR202" s="153">
        <v>284</v>
      </c>
      <c r="AS202" s="153">
        <v>99</v>
      </c>
      <c r="AT202" s="153">
        <f t="shared" si="189"/>
        <v>1865</v>
      </c>
      <c r="AU202" s="154">
        <f t="shared" si="147"/>
        <v>155.41666666666666</v>
      </c>
      <c r="AV202" s="183"/>
      <c r="AW202" s="487">
        <v>98</v>
      </c>
      <c r="AX202" s="153">
        <v>228</v>
      </c>
      <c r="AY202" s="153">
        <v>164</v>
      </c>
      <c r="AZ202" s="153">
        <v>183</v>
      </c>
      <c r="BA202" s="153">
        <v>333</v>
      </c>
      <c r="BB202" s="153">
        <v>144</v>
      </c>
      <c r="BC202" s="153">
        <v>258</v>
      </c>
      <c r="BD202" s="153">
        <v>141</v>
      </c>
      <c r="BE202" s="153">
        <v>173</v>
      </c>
      <c r="BF202" s="153">
        <v>98</v>
      </c>
      <c r="BG202" s="153">
        <v>98</v>
      </c>
      <c r="BH202" s="153">
        <v>88</v>
      </c>
      <c r="BI202" s="153">
        <f t="shared" si="190"/>
        <v>2006</v>
      </c>
      <c r="BJ202" s="154">
        <f t="shared" si="117"/>
        <v>167.16666666666666</v>
      </c>
      <c r="BK202" s="183"/>
      <c r="BL202" s="487">
        <v>134</v>
      </c>
      <c r="BM202" s="153">
        <v>129</v>
      </c>
      <c r="BN202" s="153"/>
      <c r="BO202" s="153"/>
      <c r="BP202" s="153"/>
      <c r="BQ202" s="153"/>
      <c r="BR202" s="153"/>
      <c r="BS202" s="153"/>
      <c r="BT202" s="153"/>
      <c r="BU202" s="153"/>
      <c r="BV202" s="153"/>
      <c r="BW202" s="153"/>
      <c r="BX202" s="153">
        <f t="shared" si="191"/>
        <v>263</v>
      </c>
      <c r="BY202" s="154">
        <f t="shared" si="159"/>
        <v>131.5</v>
      </c>
      <c r="CA202" s="169">
        <f>ROW()</f>
        <v>202</v>
      </c>
      <c r="CB202" s="169">
        <f>IFERROR(_xlfn.XLOOKUP($A$1,$2:$2,202:202)-_xlfn.XLOOKUP(EDATE($A$1,-12),$2:$2,202:202),"")</f>
        <v>-99</v>
      </c>
      <c r="CC202" s="169">
        <f t="shared" si="153"/>
        <v>11.75</v>
      </c>
      <c r="CD202" s="169">
        <f>IFERROR(
  SUM(
    _xlfn.XLOOKUP(DATE(YEAR($A$1),1,1),$2:$2,202:202):
    _xlfn.XLOOKUP($A$1,$2:$2,202:202)
  )
 -SUM(
    _xlfn.XLOOKUP(DATE(YEAR($A$1)-1,1,1),$2:$2,202:202):
    _xlfn.XLOOKUP(EDATE($A$1,-12),$2:$2,202:202)
  ),"")</f>
        <v>-63</v>
      </c>
      <c r="CE202" s="4517">
        <f>IFERROR(
  _xlfn.XLOOKUP($A$1,$B$2:$BY$2,$B202:$BY202)
 -_xlfn.XLOOKUP(EDATE($A$1,-1),$B$2:$BY$2,$B202:$BY202),"")</f>
        <v>-5</v>
      </c>
    </row>
    <row r="203" spans="1:83" ht="18" customHeight="1" thickBot="1" x14ac:dyDescent="0.6">
      <c r="A203" s="7198"/>
      <c r="B203" s="7208"/>
      <c r="C203" s="69" t="s">
        <v>220</v>
      </c>
      <c r="D203" s="158">
        <v>109</v>
      </c>
      <c r="E203" s="159">
        <v>104</v>
      </c>
      <c r="F203" s="159">
        <v>81</v>
      </c>
      <c r="G203" s="159">
        <v>91</v>
      </c>
      <c r="H203" s="159">
        <v>79</v>
      </c>
      <c r="I203" s="159">
        <v>88</v>
      </c>
      <c r="J203" s="159">
        <v>81</v>
      </c>
      <c r="K203" s="159">
        <v>83</v>
      </c>
      <c r="L203" s="159">
        <v>77</v>
      </c>
      <c r="M203" s="159">
        <v>84</v>
      </c>
      <c r="N203" s="159">
        <v>72</v>
      </c>
      <c r="O203" s="159">
        <v>82</v>
      </c>
      <c r="P203" s="159">
        <f t="shared" si="187"/>
        <v>1031</v>
      </c>
      <c r="Q203" s="160">
        <f t="shared" si="91"/>
        <v>85.916666666666671</v>
      </c>
      <c r="R203" s="183"/>
      <c r="S203" s="158">
        <v>92</v>
      </c>
      <c r="T203" s="159">
        <v>73</v>
      </c>
      <c r="U203" s="159">
        <v>104</v>
      </c>
      <c r="V203" s="159">
        <v>90</v>
      </c>
      <c r="W203" s="159">
        <v>89</v>
      </c>
      <c r="X203" s="159">
        <v>93</v>
      </c>
      <c r="Y203" s="159">
        <v>82</v>
      </c>
      <c r="Z203" s="159">
        <v>107</v>
      </c>
      <c r="AA203" s="159">
        <v>100</v>
      </c>
      <c r="AB203" s="159">
        <v>101</v>
      </c>
      <c r="AC203" s="159">
        <v>103</v>
      </c>
      <c r="AD203" s="159">
        <v>93</v>
      </c>
      <c r="AE203" s="159">
        <f t="shared" si="188"/>
        <v>1127</v>
      </c>
      <c r="AF203" s="160">
        <f t="shared" si="93"/>
        <v>93.916666666666671</v>
      </c>
      <c r="AG203" s="183"/>
      <c r="AH203" s="158">
        <v>119</v>
      </c>
      <c r="AI203" s="159">
        <v>97</v>
      </c>
      <c r="AJ203" s="159">
        <v>139</v>
      </c>
      <c r="AK203" s="159">
        <v>112</v>
      </c>
      <c r="AL203" s="159">
        <v>130</v>
      </c>
      <c r="AM203" s="159">
        <v>108</v>
      </c>
      <c r="AN203" s="159">
        <v>135</v>
      </c>
      <c r="AO203" s="159">
        <v>112</v>
      </c>
      <c r="AP203" s="159">
        <v>143</v>
      </c>
      <c r="AQ203" s="159">
        <v>121.99999999999999</v>
      </c>
      <c r="AR203" s="159">
        <v>262</v>
      </c>
      <c r="AS203" s="159">
        <v>96</v>
      </c>
      <c r="AT203" s="159">
        <f t="shared" si="189"/>
        <v>1575</v>
      </c>
      <c r="AU203" s="160">
        <f t="shared" si="147"/>
        <v>131.25</v>
      </c>
      <c r="AV203" s="183"/>
      <c r="AW203" s="489">
        <v>82</v>
      </c>
      <c r="AX203" s="159">
        <v>147</v>
      </c>
      <c r="AY203" s="159">
        <v>153</v>
      </c>
      <c r="AZ203" s="159">
        <v>137</v>
      </c>
      <c r="BA203" s="159">
        <v>264</v>
      </c>
      <c r="BB203" s="159">
        <v>162</v>
      </c>
      <c r="BC203" s="159">
        <v>210</v>
      </c>
      <c r="BD203" s="159">
        <v>144</v>
      </c>
      <c r="BE203" s="159">
        <v>130</v>
      </c>
      <c r="BF203" s="159">
        <v>104</v>
      </c>
      <c r="BG203" s="159">
        <v>103</v>
      </c>
      <c r="BH203" s="159">
        <v>99</v>
      </c>
      <c r="BI203" s="159">
        <f t="shared" si="190"/>
        <v>1735</v>
      </c>
      <c r="BJ203" s="160">
        <f t="shared" ref="BJ203:BJ245" si="196">AVERAGE(AW203:BH203)</f>
        <v>144.58333333333334</v>
      </c>
      <c r="BK203" s="183"/>
      <c r="BL203" s="489">
        <v>140</v>
      </c>
      <c r="BM203" s="159">
        <v>94</v>
      </c>
      <c r="BN203" s="159"/>
      <c r="BO203" s="159"/>
      <c r="BP203" s="159"/>
      <c r="BQ203" s="159"/>
      <c r="BR203" s="159"/>
      <c r="BS203" s="159"/>
      <c r="BT203" s="159"/>
      <c r="BU203" s="159"/>
      <c r="BV203" s="159"/>
      <c r="BW203" s="159"/>
      <c r="BX203" s="159">
        <f t="shared" si="191"/>
        <v>234</v>
      </c>
      <c r="BY203" s="160">
        <f t="shared" si="159"/>
        <v>117</v>
      </c>
      <c r="CA203" s="169">
        <f>ROW()</f>
        <v>203</v>
      </c>
      <c r="CB203" s="169">
        <f>IFERROR(_xlfn.XLOOKUP($A$1,$2:$2,203:203)-_xlfn.XLOOKUP(EDATE($A$1,-12),$2:$2,203:203),"")</f>
        <v>-53</v>
      </c>
      <c r="CC203" s="169">
        <f t="shared" si="153"/>
        <v>13.333333333333343</v>
      </c>
      <c r="CD203" s="169">
        <f>IFERROR(
  SUM(
    _xlfn.XLOOKUP(DATE(YEAR($A$1),1,1),$2:$2,203:203):
    _xlfn.XLOOKUP($A$1,$2:$2,203:203)
  )
 -SUM(
    _xlfn.XLOOKUP(DATE(YEAR($A$1)-1,1,1),$2:$2,203:203):
    _xlfn.XLOOKUP(EDATE($A$1,-12),$2:$2,203:203)
  ),"")</f>
        <v>5</v>
      </c>
      <c r="CE203" s="4517">
        <f>IFERROR(
  _xlfn.XLOOKUP($A$1,$B$2:$BY$2,$B203:$BY203)
 -_xlfn.XLOOKUP(EDATE($A$1,-1),$B$2:$BY$2,$B203:$BY203),"")</f>
        <v>-46</v>
      </c>
    </row>
    <row r="204" spans="1:83" ht="17.399999999999999" customHeight="1" x14ac:dyDescent="0.55000000000000004">
      <c r="A204" s="7198"/>
      <c r="B204" s="7203" t="s">
        <v>1023</v>
      </c>
      <c r="C204" s="64" t="s">
        <v>400</v>
      </c>
      <c r="D204" s="143" t="e">
        <f>#REF!+#REF!</f>
        <v>#REF!</v>
      </c>
      <c r="E204" s="144" t="e">
        <f>#REF!+#REF!</f>
        <v>#REF!</v>
      </c>
      <c r="F204" s="144" t="e">
        <f>#REF!+#REF!</f>
        <v>#REF!</v>
      </c>
      <c r="G204" s="144" t="e">
        <f>#REF!+#REF!</f>
        <v>#REF!</v>
      </c>
      <c r="H204" s="144" t="e">
        <f>#REF!+#REF!</f>
        <v>#REF!</v>
      </c>
      <c r="I204" s="144" t="e">
        <f>#REF!+#REF!</f>
        <v>#REF!</v>
      </c>
      <c r="J204" s="144" t="e">
        <f>#REF!+#REF!</f>
        <v>#REF!</v>
      </c>
      <c r="K204" s="144" t="e">
        <f>#REF!+#REF!</f>
        <v>#REF!</v>
      </c>
      <c r="L204" s="144" t="e">
        <f>#REF!+#REF!</f>
        <v>#REF!</v>
      </c>
      <c r="M204" s="144" t="e">
        <f>#REF!+#REF!</f>
        <v>#REF!</v>
      </c>
      <c r="N204" s="144" t="e">
        <f>#REF!+#REF!</f>
        <v>#REF!</v>
      </c>
      <c r="O204" s="144" t="e">
        <f>#REF!+#REF!</f>
        <v>#REF!</v>
      </c>
      <c r="P204" s="144" t="e">
        <f t="shared" si="187"/>
        <v>#REF!</v>
      </c>
      <c r="Q204" s="145" t="e">
        <f t="shared" si="91"/>
        <v>#REF!</v>
      </c>
      <c r="R204" s="183"/>
      <c r="S204" s="143">
        <v>80</v>
      </c>
      <c r="T204" s="144">
        <v>111</v>
      </c>
      <c r="U204" s="144">
        <v>141</v>
      </c>
      <c r="V204" s="144">
        <v>162</v>
      </c>
      <c r="W204" s="144">
        <v>165</v>
      </c>
      <c r="X204" s="144">
        <v>153</v>
      </c>
      <c r="Y204" s="144">
        <v>144</v>
      </c>
      <c r="Z204" s="144">
        <v>123</v>
      </c>
      <c r="AA204" s="144">
        <v>119</v>
      </c>
      <c r="AB204" s="144">
        <v>121</v>
      </c>
      <c r="AC204" s="144">
        <v>143</v>
      </c>
      <c r="AD204" s="144">
        <v>125</v>
      </c>
      <c r="AE204" s="144">
        <f t="shared" si="188"/>
        <v>1587</v>
      </c>
      <c r="AF204" s="145">
        <f t="shared" si="93"/>
        <v>132.25</v>
      </c>
      <c r="AG204" s="183"/>
      <c r="AH204" s="143">
        <v>127</v>
      </c>
      <c r="AI204" s="144">
        <v>125</v>
      </c>
      <c r="AJ204" s="144">
        <v>140</v>
      </c>
      <c r="AK204" s="144">
        <v>136</v>
      </c>
      <c r="AL204" s="144">
        <v>124</v>
      </c>
      <c r="AM204" s="144">
        <v>145</v>
      </c>
      <c r="AN204" s="144">
        <v>123</v>
      </c>
      <c r="AO204" s="144">
        <v>180</v>
      </c>
      <c r="AP204" s="144">
        <v>128</v>
      </c>
      <c r="AQ204" s="144">
        <v>131</v>
      </c>
      <c r="AR204" s="144">
        <v>205</v>
      </c>
      <c r="AS204" s="144">
        <v>127</v>
      </c>
      <c r="AT204" s="144">
        <f t="shared" si="189"/>
        <v>1691</v>
      </c>
      <c r="AU204" s="145">
        <f t="shared" si="147"/>
        <v>140.91666666666666</v>
      </c>
      <c r="AV204" s="183"/>
      <c r="AW204" s="481">
        <v>87</v>
      </c>
      <c r="AX204" s="144">
        <v>97</v>
      </c>
      <c r="AY204" s="144">
        <v>131</v>
      </c>
      <c r="AZ204" s="144">
        <v>148</v>
      </c>
      <c r="BA204" s="144">
        <v>236</v>
      </c>
      <c r="BB204" s="144">
        <v>164</v>
      </c>
      <c r="BC204" s="144">
        <v>186</v>
      </c>
      <c r="BD204" s="144">
        <v>206</v>
      </c>
      <c r="BE204" s="144">
        <v>179</v>
      </c>
      <c r="BF204" s="144">
        <v>178</v>
      </c>
      <c r="BG204" s="144">
        <v>116</v>
      </c>
      <c r="BH204" s="144">
        <v>82</v>
      </c>
      <c r="BI204" s="144">
        <f t="shared" si="190"/>
        <v>1810</v>
      </c>
      <c r="BJ204" s="145">
        <f t="shared" si="196"/>
        <v>150.83333333333334</v>
      </c>
      <c r="BK204" s="183"/>
      <c r="BL204" s="481">
        <v>86</v>
      </c>
      <c r="BM204" s="144">
        <v>97</v>
      </c>
      <c r="BN204" s="144"/>
      <c r="BO204" s="144"/>
      <c r="BP204" s="144"/>
      <c r="BQ204" s="144"/>
      <c r="BR204" s="144"/>
      <c r="BS204" s="144"/>
      <c r="BT204" s="144"/>
      <c r="BU204" s="144"/>
      <c r="BV204" s="144"/>
      <c r="BW204" s="144"/>
      <c r="BX204" s="144">
        <f t="shared" si="191"/>
        <v>183</v>
      </c>
      <c r="BY204" s="145">
        <f t="shared" si="159"/>
        <v>91.5</v>
      </c>
      <c r="CA204" s="169">
        <f>ROW()</f>
        <v>204</v>
      </c>
      <c r="CB204" s="169">
        <f>IFERROR(_xlfn.XLOOKUP($A$1,$2:$2,204:204)-_xlfn.XLOOKUP(EDATE($A$1,-12),$2:$2,204:204),"")</f>
        <v>0</v>
      </c>
      <c r="CC204" s="169">
        <f t="shared" si="153"/>
        <v>9.9166666666666856</v>
      </c>
      <c r="CD204" s="169">
        <f>IFERROR(
  SUM(
    _xlfn.XLOOKUP(DATE(YEAR($A$1),1,1),$2:$2,204:204):
    _xlfn.XLOOKUP($A$1,$2:$2,204:204)
  )
 -SUM(
    _xlfn.XLOOKUP(DATE(YEAR($A$1)-1,1,1),$2:$2,204:204):
    _xlfn.XLOOKUP(EDATE($A$1,-12),$2:$2,204:204)
  ),"")</f>
        <v>-1</v>
      </c>
      <c r="CE204" s="4517">
        <f>IFERROR(
  _xlfn.XLOOKUP($A$1,$B$2:$BY$2,$B204:$BY204)
 -_xlfn.XLOOKUP(EDATE($A$1,-1),$B$2:$BY$2,$B204:$BY204),"")</f>
        <v>11</v>
      </c>
    </row>
    <row r="205" spans="1:83" ht="17.399999999999999" customHeight="1" x14ac:dyDescent="0.55000000000000004">
      <c r="A205" s="7198"/>
      <c r="B205" s="7204"/>
      <c r="C205" s="65" t="s">
        <v>401</v>
      </c>
      <c r="D205" s="146" t="e">
        <f>#REF!+#REF!</f>
        <v>#REF!</v>
      </c>
      <c r="E205" s="147" t="e">
        <f>#REF!+#REF!</f>
        <v>#REF!</v>
      </c>
      <c r="F205" s="147" t="e">
        <f>#REF!+#REF!</f>
        <v>#REF!</v>
      </c>
      <c r="G205" s="147" t="e">
        <f>#REF!+#REF!</f>
        <v>#REF!</v>
      </c>
      <c r="H205" s="147" t="e">
        <f>#REF!+#REF!</f>
        <v>#REF!</v>
      </c>
      <c r="I205" s="147" t="e">
        <f>#REF!+#REF!</f>
        <v>#REF!</v>
      </c>
      <c r="J205" s="147" t="e">
        <f>#REF!+#REF!</f>
        <v>#REF!</v>
      </c>
      <c r="K205" s="147" t="e">
        <f>#REF!+#REF!</f>
        <v>#REF!</v>
      </c>
      <c r="L205" s="147" t="e">
        <f>#REF!+#REF!</f>
        <v>#REF!</v>
      </c>
      <c r="M205" s="147" t="e">
        <f>#REF!+#REF!</f>
        <v>#REF!</v>
      </c>
      <c r="N205" s="147" t="e">
        <f>#REF!+#REF!</f>
        <v>#REF!</v>
      </c>
      <c r="O205" s="147" t="e">
        <f>#REF!+#REF!</f>
        <v>#REF!</v>
      </c>
      <c r="P205" s="147" t="e">
        <f t="shared" si="187"/>
        <v>#REF!</v>
      </c>
      <c r="Q205" s="148" t="e">
        <f t="shared" si="91"/>
        <v>#REF!</v>
      </c>
      <c r="R205" s="183"/>
      <c r="S205" s="146">
        <v>115</v>
      </c>
      <c r="T205" s="147">
        <v>149</v>
      </c>
      <c r="U205" s="147">
        <v>160</v>
      </c>
      <c r="V205" s="147">
        <v>115</v>
      </c>
      <c r="W205" s="147">
        <v>178</v>
      </c>
      <c r="X205" s="147">
        <v>113</v>
      </c>
      <c r="Y205" s="147">
        <v>110</v>
      </c>
      <c r="Z205" s="147">
        <v>137</v>
      </c>
      <c r="AA205" s="147">
        <v>141</v>
      </c>
      <c r="AB205" s="147">
        <v>133</v>
      </c>
      <c r="AC205" s="147">
        <v>135</v>
      </c>
      <c r="AD205" s="147">
        <v>117</v>
      </c>
      <c r="AE205" s="147">
        <f t="shared" si="188"/>
        <v>1603</v>
      </c>
      <c r="AF205" s="148">
        <f t="shared" si="93"/>
        <v>133.58333333333334</v>
      </c>
      <c r="AG205" s="183"/>
      <c r="AH205" s="146">
        <v>252</v>
      </c>
      <c r="AI205" s="147">
        <v>104</v>
      </c>
      <c r="AJ205" s="147">
        <v>127</v>
      </c>
      <c r="AK205" s="147">
        <v>109</v>
      </c>
      <c r="AL205" s="147">
        <v>88</v>
      </c>
      <c r="AM205" s="147">
        <v>120</v>
      </c>
      <c r="AN205" s="147">
        <v>104</v>
      </c>
      <c r="AO205" s="147">
        <v>82</v>
      </c>
      <c r="AP205" s="147">
        <v>146</v>
      </c>
      <c r="AQ205" s="147">
        <v>128</v>
      </c>
      <c r="AR205" s="147">
        <v>172</v>
      </c>
      <c r="AS205" s="147">
        <v>86</v>
      </c>
      <c r="AT205" s="147">
        <f t="shared" si="189"/>
        <v>1518</v>
      </c>
      <c r="AU205" s="148">
        <f t="shared" si="147"/>
        <v>126.5</v>
      </c>
      <c r="AV205" s="183"/>
      <c r="AW205" s="482">
        <v>67</v>
      </c>
      <c r="AX205" s="147">
        <v>88</v>
      </c>
      <c r="AY205" s="147">
        <v>90</v>
      </c>
      <c r="AZ205" s="147">
        <v>90</v>
      </c>
      <c r="BA205" s="147">
        <v>188</v>
      </c>
      <c r="BB205" s="147">
        <v>65</v>
      </c>
      <c r="BC205" s="147">
        <v>101</v>
      </c>
      <c r="BD205" s="147">
        <v>71</v>
      </c>
      <c r="BE205" s="147">
        <v>103</v>
      </c>
      <c r="BF205" s="147">
        <v>96</v>
      </c>
      <c r="BG205" s="147">
        <v>85</v>
      </c>
      <c r="BH205" s="147">
        <v>55</v>
      </c>
      <c r="BI205" s="147">
        <f t="shared" si="190"/>
        <v>1099</v>
      </c>
      <c r="BJ205" s="148">
        <f t="shared" si="196"/>
        <v>91.583333333333329</v>
      </c>
      <c r="BK205" s="183"/>
      <c r="BL205" s="482">
        <v>46</v>
      </c>
      <c r="BM205" s="147">
        <v>58</v>
      </c>
      <c r="BN205" s="147"/>
      <c r="BO205" s="147"/>
      <c r="BP205" s="147"/>
      <c r="BQ205" s="147"/>
      <c r="BR205" s="147"/>
      <c r="BS205" s="147"/>
      <c r="BT205" s="147"/>
      <c r="BU205" s="147"/>
      <c r="BV205" s="147"/>
      <c r="BW205" s="147"/>
      <c r="BX205" s="147">
        <f t="shared" si="191"/>
        <v>104</v>
      </c>
      <c r="BY205" s="148">
        <f t="shared" si="159"/>
        <v>52</v>
      </c>
      <c r="CA205" s="169">
        <f>ROW()</f>
        <v>205</v>
      </c>
      <c r="CB205" s="169">
        <f>IFERROR(_xlfn.XLOOKUP($A$1,$2:$2,205:205)-_xlfn.XLOOKUP(EDATE($A$1,-12),$2:$2,205:205),"")</f>
        <v>-30</v>
      </c>
      <c r="CC205" s="169">
        <f t="shared" si="153"/>
        <v>-34.916666666666671</v>
      </c>
      <c r="CD205" s="169">
        <f>IFERROR(
  SUM(
    _xlfn.XLOOKUP(DATE(YEAR($A$1),1,1),$2:$2,205:205):
    _xlfn.XLOOKUP($A$1,$2:$2,205:205)
  )
 -SUM(
    _xlfn.XLOOKUP(DATE(YEAR($A$1)-1,1,1),$2:$2,205:205):
    _xlfn.XLOOKUP(EDATE($A$1,-12),$2:$2,205:205)
  ),"")</f>
        <v>-51</v>
      </c>
      <c r="CE205" s="4517">
        <f>IFERROR(
  _xlfn.XLOOKUP($A$1,$B$2:$BY$2,$B205:$BY205)
 -_xlfn.XLOOKUP(EDATE($A$1,-1),$B$2:$BY$2,$B205:$BY205),"")</f>
        <v>12</v>
      </c>
    </row>
    <row r="206" spans="1:83" ht="17.399999999999999" customHeight="1" x14ac:dyDescent="0.55000000000000004">
      <c r="A206" s="7198"/>
      <c r="B206" s="7204"/>
      <c r="C206" s="65" t="s">
        <v>402</v>
      </c>
      <c r="D206" s="146" t="e">
        <f>#REF!+#REF!</f>
        <v>#REF!</v>
      </c>
      <c r="E206" s="147" t="e">
        <f>#REF!+#REF!</f>
        <v>#REF!</v>
      </c>
      <c r="F206" s="147" t="e">
        <f>#REF!+#REF!</f>
        <v>#REF!</v>
      </c>
      <c r="G206" s="147" t="e">
        <f>#REF!+#REF!</f>
        <v>#REF!</v>
      </c>
      <c r="H206" s="147" t="e">
        <f>#REF!+#REF!</f>
        <v>#REF!</v>
      </c>
      <c r="I206" s="147" t="e">
        <f>#REF!+#REF!</f>
        <v>#REF!</v>
      </c>
      <c r="J206" s="147" t="e">
        <f>#REF!+#REF!</f>
        <v>#REF!</v>
      </c>
      <c r="K206" s="147" t="e">
        <f>#REF!+#REF!</f>
        <v>#REF!</v>
      </c>
      <c r="L206" s="147" t="e">
        <f>#REF!+#REF!</f>
        <v>#REF!</v>
      </c>
      <c r="M206" s="147" t="e">
        <f>#REF!+#REF!</f>
        <v>#REF!</v>
      </c>
      <c r="N206" s="147" t="e">
        <f>#REF!+#REF!</f>
        <v>#REF!</v>
      </c>
      <c r="O206" s="147" t="e">
        <f>#REF!+#REF!</f>
        <v>#REF!</v>
      </c>
      <c r="P206" s="147" t="e">
        <f t="shared" si="187"/>
        <v>#REF!</v>
      </c>
      <c r="Q206" s="148" t="e">
        <f t="shared" si="91"/>
        <v>#REF!</v>
      </c>
      <c r="R206" s="183"/>
      <c r="S206" s="146">
        <v>64</v>
      </c>
      <c r="T206" s="147">
        <v>100</v>
      </c>
      <c r="U206" s="147">
        <v>105</v>
      </c>
      <c r="V206" s="147">
        <v>132</v>
      </c>
      <c r="W206" s="147">
        <v>117</v>
      </c>
      <c r="X206" s="147">
        <v>122</v>
      </c>
      <c r="Y206" s="147">
        <v>114</v>
      </c>
      <c r="Z206" s="147">
        <v>116</v>
      </c>
      <c r="AA206" s="147">
        <v>89</v>
      </c>
      <c r="AB206" s="147">
        <v>103</v>
      </c>
      <c r="AC206" s="147">
        <v>140</v>
      </c>
      <c r="AD206" s="147">
        <v>153</v>
      </c>
      <c r="AE206" s="147">
        <f t="shared" si="188"/>
        <v>1355</v>
      </c>
      <c r="AF206" s="148">
        <f t="shared" si="93"/>
        <v>112.91666666666667</v>
      </c>
      <c r="AG206" s="183"/>
      <c r="AH206" s="146">
        <v>109</v>
      </c>
      <c r="AI206" s="147">
        <v>95</v>
      </c>
      <c r="AJ206" s="147">
        <v>103</v>
      </c>
      <c r="AK206" s="147">
        <v>103</v>
      </c>
      <c r="AL206" s="147">
        <v>110</v>
      </c>
      <c r="AM206" s="147">
        <v>117</v>
      </c>
      <c r="AN206" s="147">
        <v>141</v>
      </c>
      <c r="AO206" s="147">
        <v>134</v>
      </c>
      <c r="AP206" s="147">
        <v>111</v>
      </c>
      <c r="AQ206" s="147">
        <v>203</v>
      </c>
      <c r="AR206" s="147">
        <v>153</v>
      </c>
      <c r="AS206" s="147">
        <v>80</v>
      </c>
      <c r="AT206" s="147">
        <f t="shared" si="189"/>
        <v>1459</v>
      </c>
      <c r="AU206" s="148">
        <f t="shared" si="147"/>
        <v>121.58333333333333</v>
      </c>
      <c r="AV206" s="183"/>
      <c r="AW206" s="482">
        <v>167</v>
      </c>
      <c r="AX206" s="147">
        <v>94</v>
      </c>
      <c r="AY206" s="147">
        <v>116</v>
      </c>
      <c r="AZ206" s="147">
        <v>110</v>
      </c>
      <c r="BA206" s="147">
        <v>140</v>
      </c>
      <c r="BB206" s="147">
        <v>104</v>
      </c>
      <c r="BC206" s="147">
        <v>130</v>
      </c>
      <c r="BD206" s="147">
        <v>126</v>
      </c>
      <c r="BE206" s="147">
        <v>120</v>
      </c>
      <c r="BF206" s="147">
        <v>56</v>
      </c>
      <c r="BG206" s="147">
        <v>95</v>
      </c>
      <c r="BH206" s="147">
        <v>67</v>
      </c>
      <c r="BI206" s="147">
        <f t="shared" si="190"/>
        <v>1325</v>
      </c>
      <c r="BJ206" s="148">
        <f t="shared" si="196"/>
        <v>110.41666666666667</v>
      </c>
      <c r="BK206" s="183"/>
      <c r="BL206" s="482">
        <v>66</v>
      </c>
      <c r="BM206" s="147">
        <v>52</v>
      </c>
      <c r="BN206" s="147"/>
      <c r="BO206" s="147"/>
      <c r="BP206" s="147"/>
      <c r="BQ206" s="147"/>
      <c r="BR206" s="147"/>
      <c r="BS206" s="147"/>
      <c r="BT206" s="147"/>
      <c r="BU206" s="147"/>
      <c r="BV206" s="147"/>
      <c r="BW206" s="147"/>
      <c r="BX206" s="147">
        <f t="shared" si="191"/>
        <v>118</v>
      </c>
      <c r="BY206" s="148">
        <f t="shared" si="159"/>
        <v>59</v>
      </c>
      <c r="CA206" s="169">
        <f>ROW()</f>
        <v>206</v>
      </c>
      <c r="CB206" s="169">
        <f>IFERROR(_xlfn.XLOOKUP($A$1,$2:$2,206:206)-_xlfn.XLOOKUP(EDATE($A$1,-12),$2:$2,206:206),"")</f>
        <v>-42</v>
      </c>
      <c r="CC206" s="169">
        <f t="shared" si="153"/>
        <v>-11.166666666666657</v>
      </c>
      <c r="CD206" s="169">
        <f>IFERROR(
  SUM(
    _xlfn.XLOOKUP(DATE(YEAR($A$1),1,1),$2:$2,206:206):
    _xlfn.XLOOKUP($A$1,$2:$2,206:206)
  )
 -SUM(
    _xlfn.XLOOKUP(DATE(YEAR($A$1)-1,1,1),$2:$2,206:206):
    _xlfn.XLOOKUP(EDATE($A$1,-12),$2:$2,206:206)
  ),"")</f>
        <v>-143</v>
      </c>
      <c r="CE206" s="4517">
        <f>IFERROR(
  _xlfn.XLOOKUP($A$1,$B$2:$BY$2,$B206:$BY206)
 -_xlfn.XLOOKUP(EDATE($A$1,-1),$B$2:$BY$2,$B206:$BY206),"")</f>
        <v>-14</v>
      </c>
    </row>
    <row r="207" spans="1:83" ht="17.399999999999999" customHeight="1" x14ac:dyDescent="0.55000000000000004">
      <c r="A207" s="7198"/>
      <c r="B207" s="7204"/>
      <c r="C207" s="65" t="s">
        <v>403</v>
      </c>
      <c r="D207" s="146" t="e">
        <f>#REF!+#REF!</f>
        <v>#REF!</v>
      </c>
      <c r="E207" s="147" t="e">
        <f>#REF!+#REF!</f>
        <v>#REF!</v>
      </c>
      <c r="F207" s="147" t="e">
        <f>#REF!+#REF!</f>
        <v>#REF!</v>
      </c>
      <c r="G207" s="147" t="e">
        <f>#REF!+#REF!</f>
        <v>#REF!</v>
      </c>
      <c r="H207" s="147" t="e">
        <f>#REF!+#REF!</f>
        <v>#REF!</v>
      </c>
      <c r="I207" s="147" t="e">
        <f>#REF!+#REF!</f>
        <v>#REF!</v>
      </c>
      <c r="J207" s="147" t="e">
        <f>#REF!+#REF!</f>
        <v>#REF!</v>
      </c>
      <c r="K207" s="147" t="e">
        <f>#REF!+#REF!</f>
        <v>#REF!</v>
      </c>
      <c r="L207" s="147" t="e">
        <f>#REF!+#REF!</f>
        <v>#REF!</v>
      </c>
      <c r="M207" s="147" t="e">
        <f>#REF!+#REF!</f>
        <v>#REF!</v>
      </c>
      <c r="N207" s="147" t="e">
        <f>#REF!+#REF!</f>
        <v>#REF!</v>
      </c>
      <c r="O207" s="147" t="e">
        <f>#REF!+#REF!</f>
        <v>#REF!</v>
      </c>
      <c r="P207" s="147" t="e">
        <f t="shared" si="187"/>
        <v>#REF!</v>
      </c>
      <c r="Q207" s="148" t="e">
        <f t="shared" si="91"/>
        <v>#REF!</v>
      </c>
      <c r="R207" s="183"/>
      <c r="S207" s="146">
        <v>104</v>
      </c>
      <c r="T207" s="147">
        <v>124</v>
      </c>
      <c r="U207" s="147">
        <v>152</v>
      </c>
      <c r="V207" s="147">
        <v>155</v>
      </c>
      <c r="W207" s="147">
        <v>182</v>
      </c>
      <c r="X207" s="147">
        <v>176</v>
      </c>
      <c r="Y207" s="147">
        <v>160</v>
      </c>
      <c r="Z207" s="147">
        <v>159</v>
      </c>
      <c r="AA207" s="147">
        <v>198</v>
      </c>
      <c r="AB207" s="147">
        <v>138</v>
      </c>
      <c r="AC207" s="147">
        <v>155</v>
      </c>
      <c r="AD207" s="147">
        <v>155</v>
      </c>
      <c r="AE207" s="147">
        <f t="shared" si="188"/>
        <v>1858</v>
      </c>
      <c r="AF207" s="148">
        <f t="shared" si="93"/>
        <v>154.83333333333334</v>
      </c>
      <c r="AG207" s="183"/>
      <c r="AH207" s="146">
        <v>143</v>
      </c>
      <c r="AI207" s="147">
        <v>130</v>
      </c>
      <c r="AJ207" s="147">
        <v>175</v>
      </c>
      <c r="AK207" s="147">
        <v>178</v>
      </c>
      <c r="AL207" s="147">
        <v>199</v>
      </c>
      <c r="AM207" s="147">
        <v>193</v>
      </c>
      <c r="AN207" s="147">
        <v>183</v>
      </c>
      <c r="AO207" s="147">
        <v>138</v>
      </c>
      <c r="AP207" s="147">
        <v>156</v>
      </c>
      <c r="AQ207" s="147">
        <v>169</v>
      </c>
      <c r="AR207" s="147">
        <v>209</v>
      </c>
      <c r="AS207" s="147">
        <v>105</v>
      </c>
      <c r="AT207" s="147">
        <f t="shared" si="189"/>
        <v>1978</v>
      </c>
      <c r="AU207" s="148">
        <f t="shared" si="147"/>
        <v>164.83333333333334</v>
      </c>
      <c r="AV207" s="183"/>
      <c r="AW207" s="482">
        <v>125</v>
      </c>
      <c r="AX207" s="147">
        <v>102</v>
      </c>
      <c r="AY207" s="147">
        <v>163</v>
      </c>
      <c r="AZ207" s="147">
        <v>303</v>
      </c>
      <c r="BA207" s="147">
        <v>255</v>
      </c>
      <c r="BB207" s="147">
        <v>179</v>
      </c>
      <c r="BC207" s="147">
        <v>417</v>
      </c>
      <c r="BD207" s="147">
        <v>228</v>
      </c>
      <c r="BE207" s="147">
        <v>235</v>
      </c>
      <c r="BF207" s="147">
        <v>111</v>
      </c>
      <c r="BG207" s="147">
        <v>72</v>
      </c>
      <c r="BH207" s="147">
        <v>74</v>
      </c>
      <c r="BI207" s="147">
        <f t="shared" si="190"/>
        <v>2264</v>
      </c>
      <c r="BJ207" s="148">
        <f t="shared" si="196"/>
        <v>188.66666666666666</v>
      </c>
      <c r="BK207" s="183"/>
      <c r="BL207" s="482">
        <v>89</v>
      </c>
      <c r="BM207" s="147">
        <v>92</v>
      </c>
      <c r="BN207" s="147"/>
      <c r="BO207" s="147"/>
      <c r="BP207" s="147"/>
      <c r="BQ207" s="147"/>
      <c r="BR207" s="147"/>
      <c r="BS207" s="147"/>
      <c r="BT207" s="147"/>
      <c r="BU207" s="147"/>
      <c r="BV207" s="147"/>
      <c r="BW207" s="147"/>
      <c r="BX207" s="147">
        <f t="shared" si="191"/>
        <v>181</v>
      </c>
      <c r="BY207" s="148">
        <f t="shared" si="159"/>
        <v>90.5</v>
      </c>
      <c r="CA207" s="169">
        <f>ROW()</f>
        <v>207</v>
      </c>
      <c r="CB207" s="169">
        <f>IFERROR(_xlfn.XLOOKUP($A$1,$2:$2,207:207)-_xlfn.XLOOKUP(EDATE($A$1,-12),$2:$2,207:207),"")</f>
        <v>-10</v>
      </c>
      <c r="CC207" s="169">
        <f t="shared" si="153"/>
        <v>23.833333333333314</v>
      </c>
      <c r="CD207" s="169">
        <f>IFERROR(
  SUM(
    _xlfn.XLOOKUP(DATE(YEAR($A$1),1,1),$2:$2,207:207):
    _xlfn.XLOOKUP($A$1,$2:$2,207:207)
  )
 -SUM(
    _xlfn.XLOOKUP(DATE(YEAR($A$1)-1,1,1),$2:$2,207:207):
    _xlfn.XLOOKUP(EDATE($A$1,-12),$2:$2,207:207)
  ),"")</f>
        <v>-46</v>
      </c>
      <c r="CE207" s="4517">
        <f>IFERROR(
  _xlfn.XLOOKUP($A$1,$B$2:$BY$2,$B207:$BY207)
 -_xlfn.XLOOKUP(EDATE($A$1,-1),$B$2:$BY$2,$B207:$BY207),"")</f>
        <v>3</v>
      </c>
    </row>
    <row r="208" spans="1:83" ht="17.399999999999999" customHeight="1" x14ac:dyDescent="0.55000000000000004">
      <c r="A208" s="7198"/>
      <c r="B208" s="7205"/>
      <c r="C208" s="66" t="s">
        <v>404</v>
      </c>
      <c r="D208" s="149" t="e">
        <f>#REF!+#REF!</f>
        <v>#REF!</v>
      </c>
      <c r="E208" s="150" t="e">
        <f>#REF!+#REF!</f>
        <v>#REF!</v>
      </c>
      <c r="F208" s="150" t="e">
        <f>#REF!+#REF!</f>
        <v>#REF!</v>
      </c>
      <c r="G208" s="150" t="e">
        <f>#REF!+#REF!</f>
        <v>#REF!</v>
      </c>
      <c r="H208" s="150" t="e">
        <f>#REF!+#REF!</f>
        <v>#REF!</v>
      </c>
      <c r="I208" s="150" t="e">
        <f>#REF!+#REF!</f>
        <v>#REF!</v>
      </c>
      <c r="J208" s="150" t="e">
        <f>#REF!+#REF!</f>
        <v>#REF!</v>
      </c>
      <c r="K208" s="150" t="e">
        <f>#REF!+#REF!</f>
        <v>#REF!</v>
      </c>
      <c r="L208" s="150" t="e">
        <f>#REF!+#REF!</f>
        <v>#REF!</v>
      </c>
      <c r="M208" s="150" t="e">
        <f>#REF!+#REF!</f>
        <v>#REF!</v>
      </c>
      <c r="N208" s="150" t="e">
        <f>#REF!+#REF!</f>
        <v>#REF!</v>
      </c>
      <c r="O208" s="150" t="e">
        <f>#REF!+#REF!</f>
        <v>#REF!</v>
      </c>
      <c r="P208" s="150" t="e">
        <f t="shared" si="187"/>
        <v>#REF!</v>
      </c>
      <c r="Q208" s="151" t="e">
        <f t="shared" si="91"/>
        <v>#REF!</v>
      </c>
      <c r="R208" s="183"/>
      <c r="S208" s="149">
        <v>141</v>
      </c>
      <c r="T208" s="150">
        <v>164</v>
      </c>
      <c r="U208" s="150">
        <v>176</v>
      </c>
      <c r="V208" s="150">
        <v>162</v>
      </c>
      <c r="W208" s="150">
        <v>189</v>
      </c>
      <c r="X208" s="150">
        <v>237</v>
      </c>
      <c r="Y208" s="150">
        <v>187</v>
      </c>
      <c r="Z208" s="150">
        <v>153</v>
      </c>
      <c r="AA208" s="150">
        <v>132</v>
      </c>
      <c r="AB208" s="150">
        <v>148</v>
      </c>
      <c r="AC208" s="150">
        <v>174</v>
      </c>
      <c r="AD208" s="150">
        <v>153</v>
      </c>
      <c r="AE208" s="150">
        <f t="shared" si="188"/>
        <v>2016</v>
      </c>
      <c r="AF208" s="151">
        <f t="shared" si="93"/>
        <v>168</v>
      </c>
      <c r="AG208" s="183"/>
      <c r="AH208" s="149">
        <v>143</v>
      </c>
      <c r="AI208" s="150">
        <v>170</v>
      </c>
      <c r="AJ208" s="150">
        <v>186</v>
      </c>
      <c r="AK208" s="150">
        <v>146</v>
      </c>
      <c r="AL208" s="150">
        <v>206</v>
      </c>
      <c r="AM208" s="150">
        <v>372</v>
      </c>
      <c r="AN208" s="150">
        <v>300</v>
      </c>
      <c r="AO208" s="150">
        <v>177</v>
      </c>
      <c r="AP208" s="150">
        <v>352</v>
      </c>
      <c r="AQ208" s="150">
        <v>176</v>
      </c>
      <c r="AR208" s="150">
        <v>431</v>
      </c>
      <c r="AS208" s="150">
        <v>155</v>
      </c>
      <c r="AT208" s="150">
        <f t="shared" si="189"/>
        <v>2814</v>
      </c>
      <c r="AU208" s="151">
        <f t="shared" si="147"/>
        <v>234.5</v>
      </c>
      <c r="AV208" s="183"/>
      <c r="AW208" s="483">
        <v>105</v>
      </c>
      <c r="AX208" s="150">
        <v>148</v>
      </c>
      <c r="AY208" s="150">
        <v>272</v>
      </c>
      <c r="AZ208" s="150">
        <v>140</v>
      </c>
      <c r="BA208" s="150">
        <v>129</v>
      </c>
      <c r="BB208" s="150">
        <v>295</v>
      </c>
      <c r="BC208" s="150">
        <v>235</v>
      </c>
      <c r="BD208" s="150">
        <v>197</v>
      </c>
      <c r="BE208" s="150">
        <v>250</v>
      </c>
      <c r="BF208" s="150">
        <v>137</v>
      </c>
      <c r="BG208" s="150">
        <v>119</v>
      </c>
      <c r="BH208" s="150">
        <v>103</v>
      </c>
      <c r="BI208" s="150">
        <f t="shared" si="190"/>
        <v>2130</v>
      </c>
      <c r="BJ208" s="151">
        <f t="shared" si="196"/>
        <v>177.5</v>
      </c>
      <c r="BK208" s="183"/>
      <c r="BL208" s="483">
        <v>120</v>
      </c>
      <c r="BM208" s="150">
        <v>115</v>
      </c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>
        <f t="shared" si="191"/>
        <v>235</v>
      </c>
      <c r="BY208" s="151">
        <f t="shared" si="159"/>
        <v>117.5</v>
      </c>
      <c r="CA208" s="169">
        <f>ROW()</f>
        <v>208</v>
      </c>
      <c r="CB208" s="169">
        <f>IFERROR(_xlfn.XLOOKUP($A$1,$2:$2,208:208)-_xlfn.XLOOKUP(EDATE($A$1,-12),$2:$2,208:208),"")</f>
        <v>-33</v>
      </c>
      <c r="CC208" s="169">
        <f t="shared" si="153"/>
        <v>-57</v>
      </c>
      <c r="CD208" s="169">
        <f>IFERROR(
  SUM(
    _xlfn.XLOOKUP(DATE(YEAR($A$1),1,1),$2:$2,208:208):
    _xlfn.XLOOKUP($A$1,$2:$2,208:208)
  )
 -SUM(
    _xlfn.XLOOKUP(DATE(YEAR($A$1)-1,1,1),$2:$2,208:208):
    _xlfn.XLOOKUP(EDATE($A$1,-12),$2:$2,208:208)
  ),"")</f>
        <v>-18</v>
      </c>
      <c r="CE208" s="4517">
        <f>IFERROR(
  _xlfn.XLOOKUP($A$1,$B$2:$BY$2,$B208:$BY208)
 -_xlfn.XLOOKUP(EDATE($A$1,-1),$B$2:$BY$2,$B208:$BY208),"")</f>
        <v>-5</v>
      </c>
    </row>
    <row r="209" spans="1:86" x14ac:dyDescent="0.55000000000000004">
      <c r="A209" s="7198"/>
      <c r="B209" s="7203" t="s">
        <v>413</v>
      </c>
      <c r="C209" s="64" t="s">
        <v>400</v>
      </c>
      <c r="D209" s="143" t="e">
        <f>D214+#REF!</f>
        <v>#REF!</v>
      </c>
      <c r="E209" s="144" t="e">
        <f>E214+#REF!</f>
        <v>#REF!</v>
      </c>
      <c r="F209" s="144" t="e">
        <f>F214+#REF!</f>
        <v>#REF!</v>
      </c>
      <c r="G209" s="144" t="e">
        <f>G214+#REF!</f>
        <v>#REF!</v>
      </c>
      <c r="H209" s="144" t="e">
        <f>H214+#REF!</f>
        <v>#REF!</v>
      </c>
      <c r="I209" s="144" t="e">
        <f>I214+#REF!</f>
        <v>#REF!</v>
      </c>
      <c r="J209" s="144" t="e">
        <f>J214+#REF!</f>
        <v>#REF!</v>
      </c>
      <c r="K209" s="144" t="e">
        <f>K214+#REF!</f>
        <v>#REF!</v>
      </c>
      <c r="L209" s="144" t="e">
        <f>L214+#REF!</f>
        <v>#REF!</v>
      </c>
      <c r="M209" s="144" t="e">
        <f>M214+#REF!</f>
        <v>#REF!</v>
      </c>
      <c r="N209" s="144" t="e">
        <f>N214+#REF!</f>
        <v>#REF!</v>
      </c>
      <c r="O209" s="144" t="e">
        <f>O214+#REF!</f>
        <v>#REF!</v>
      </c>
      <c r="P209" s="144" t="e">
        <f t="shared" si="187"/>
        <v>#REF!</v>
      </c>
      <c r="Q209" s="145" t="e">
        <f t="shared" si="91"/>
        <v>#REF!</v>
      </c>
      <c r="R209" s="183"/>
      <c r="S209" s="143">
        <v>235</v>
      </c>
      <c r="T209" s="144">
        <v>323</v>
      </c>
      <c r="U209" s="144">
        <v>415</v>
      </c>
      <c r="V209" s="144">
        <v>240</v>
      </c>
      <c r="W209" s="144">
        <v>283</v>
      </c>
      <c r="X209" s="144">
        <v>279</v>
      </c>
      <c r="Y209" s="144">
        <v>209</v>
      </c>
      <c r="Z209" s="144">
        <v>413</v>
      </c>
      <c r="AA209" s="144">
        <v>471</v>
      </c>
      <c r="AB209" s="144">
        <v>225</v>
      </c>
      <c r="AC209" s="144">
        <v>240</v>
      </c>
      <c r="AD209" s="144">
        <v>191</v>
      </c>
      <c r="AE209" s="144">
        <f t="shared" si="188"/>
        <v>3524</v>
      </c>
      <c r="AF209" s="145">
        <f t="shared" si="93"/>
        <v>293.66666666666669</v>
      </c>
      <c r="AG209" s="183"/>
      <c r="AH209" s="143">
        <v>303</v>
      </c>
      <c r="AI209" s="144">
        <v>222</v>
      </c>
      <c r="AJ209" s="144">
        <v>304</v>
      </c>
      <c r="AK209" s="144">
        <v>234</v>
      </c>
      <c r="AL209" s="144">
        <v>335</v>
      </c>
      <c r="AM209" s="144">
        <v>307</v>
      </c>
      <c r="AN209" s="144">
        <v>373</v>
      </c>
      <c r="AO209" s="144">
        <v>376</v>
      </c>
      <c r="AP209" s="144">
        <v>377</v>
      </c>
      <c r="AQ209" s="144">
        <v>370</v>
      </c>
      <c r="AR209" s="144">
        <v>658</v>
      </c>
      <c r="AS209" s="144">
        <v>258</v>
      </c>
      <c r="AT209" s="144">
        <f t="shared" si="189"/>
        <v>4117</v>
      </c>
      <c r="AU209" s="145">
        <f t="shared" si="147"/>
        <v>343.08333333333331</v>
      </c>
      <c r="AV209" s="183"/>
      <c r="AW209" s="481">
        <v>276</v>
      </c>
      <c r="AX209" s="144">
        <v>363</v>
      </c>
      <c r="AY209" s="144">
        <v>290</v>
      </c>
      <c r="AZ209" s="144">
        <v>307</v>
      </c>
      <c r="BA209" s="144">
        <v>634</v>
      </c>
      <c r="BB209" s="144">
        <v>386</v>
      </c>
      <c r="BC209" s="144">
        <v>380</v>
      </c>
      <c r="BD209" s="144">
        <v>305</v>
      </c>
      <c r="BE209" s="144">
        <v>316</v>
      </c>
      <c r="BF209" s="144">
        <v>282</v>
      </c>
      <c r="BG209" s="144">
        <v>313</v>
      </c>
      <c r="BH209" s="144">
        <v>353</v>
      </c>
      <c r="BI209" s="144">
        <f t="shared" si="190"/>
        <v>4205</v>
      </c>
      <c r="BJ209" s="145">
        <f t="shared" si="196"/>
        <v>350.41666666666669</v>
      </c>
      <c r="BK209" s="183"/>
      <c r="BL209" s="481">
        <v>326</v>
      </c>
      <c r="BM209" s="144">
        <v>206.99999999999997</v>
      </c>
      <c r="BN209" s="144"/>
      <c r="BO209" s="144"/>
      <c r="BP209" s="144"/>
      <c r="BQ209" s="144"/>
      <c r="BR209" s="144"/>
      <c r="BS209" s="144"/>
      <c r="BT209" s="144"/>
      <c r="BU209" s="144"/>
      <c r="BV209" s="144"/>
      <c r="BW209" s="144"/>
      <c r="BX209" s="144">
        <f t="shared" si="191"/>
        <v>533</v>
      </c>
      <c r="BY209" s="145">
        <f t="shared" si="159"/>
        <v>266.5</v>
      </c>
      <c r="CA209" s="169">
        <f>ROW()</f>
        <v>209</v>
      </c>
      <c r="CB209" s="169">
        <f>IFERROR(_xlfn.XLOOKUP($A$1,$2:$2,209:209)-_xlfn.XLOOKUP(EDATE($A$1,-12),$2:$2,209:209),"")</f>
        <v>-156.00000000000003</v>
      </c>
      <c r="CC209" s="169">
        <f t="shared" si="153"/>
        <v>7.3333333333333712</v>
      </c>
      <c r="CD209" s="169">
        <f>IFERROR(
  SUM(
    _xlfn.XLOOKUP(DATE(YEAR($A$1),1,1),$2:$2,209:209):
    _xlfn.XLOOKUP($A$1,$2:$2,209:209)
  )
 -SUM(
    _xlfn.XLOOKUP(DATE(YEAR($A$1)-1,1,1),$2:$2,209:209):
    _xlfn.XLOOKUP(EDATE($A$1,-12),$2:$2,209:209)
  ),"")</f>
        <v>-106</v>
      </c>
      <c r="CE209" s="4517">
        <f>IFERROR(
  _xlfn.XLOOKUP($A$1,$B$2:$BY$2,$B209:$BY209)
 -_xlfn.XLOOKUP(EDATE($A$1,-1),$B$2:$BY$2,$B209:$BY209),"")</f>
        <v>-119.00000000000003</v>
      </c>
    </row>
    <row r="210" spans="1:86" x14ac:dyDescent="0.55000000000000004">
      <c r="A210" s="7198"/>
      <c r="B210" s="7204"/>
      <c r="C210" s="65" t="s">
        <v>401</v>
      </c>
      <c r="D210" s="146">
        <f>D215</f>
        <v>197</v>
      </c>
      <c r="E210" s="147">
        <f t="shared" ref="E210:O210" si="197">E215</f>
        <v>247</v>
      </c>
      <c r="F210" s="147">
        <f t="shared" si="197"/>
        <v>268</v>
      </c>
      <c r="G210" s="147">
        <f t="shared" si="197"/>
        <v>352</v>
      </c>
      <c r="H210" s="147">
        <f t="shared" si="197"/>
        <v>374</v>
      </c>
      <c r="I210" s="147">
        <f t="shared" si="197"/>
        <v>307</v>
      </c>
      <c r="J210" s="147">
        <f t="shared" si="197"/>
        <v>226</v>
      </c>
      <c r="K210" s="147">
        <f t="shared" si="197"/>
        <v>292</v>
      </c>
      <c r="L210" s="147">
        <f t="shared" si="197"/>
        <v>191</v>
      </c>
      <c r="M210" s="147">
        <f t="shared" si="197"/>
        <v>263</v>
      </c>
      <c r="N210" s="147">
        <f t="shared" si="197"/>
        <v>235</v>
      </c>
      <c r="O210" s="147">
        <f t="shared" si="197"/>
        <v>187</v>
      </c>
      <c r="P210" s="147">
        <f t="shared" si="187"/>
        <v>3139</v>
      </c>
      <c r="Q210" s="148">
        <f t="shared" si="91"/>
        <v>261.58333333333331</v>
      </c>
      <c r="R210" s="183"/>
      <c r="S210" s="146">
        <v>203</v>
      </c>
      <c r="T210" s="147">
        <v>230</v>
      </c>
      <c r="U210" s="147">
        <v>176</v>
      </c>
      <c r="V210" s="147">
        <v>134</v>
      </c>
      <c r="W210" s="147">
        <v>182</v>
      </c>
      <c r="X210" s="147">
        <v>142</v>
      </c>
      <c r="Y210" s="147">
        <v>143</v>
      </c>
      <c r="Z210" s="147">
        <v>175</v>
      </c>
      <c r="AA210" s="147">
        <v>151</v>
      </c>
      <c r="AB210" s="147">
        <v>157</v>
      </c>
      <c r="AC210" s="147">
        <v>148</v>
      </c>
      <c r="AD210" s="147">
        <v>113</v>
      </c>
      <c r="AE210" s="147">
        <f t="shared" si="188"/>
        <v>1954</v>
      </c>
      <c r="AF210" s="148">
        <f t="shared" si="93"/>
        <v>162.83333333333334</v>
      </c>
      <c r="AG210" s="183"/>
      <c r="AH210" s="146">
        <v>158</v>
      </c>
      <c r="AI210" s="147">
        <v>145</v>
      </c>
      <c r="AJ210" s="147">
        <v>211</v>
      </c>
      <c r="AK210" s="147">
        <v>201</v>
      </c>
      <c r="AL210" s="147">
        <v>195</v>
      </c>
      <c r="AM210" s="147">
        <v>233</v>
      </c>
      <c r="AN210" s="147">
        <v>225.00000000000003</v>
      </c>
      <c r="AO210" s="147">
        <v>312</v>
      </c>
      <c r="AP210" s="147">
        <v>331</v>
      </c>
      <c r="AQ210" s="147">
        <v>327</v>
      </c>
      <c r="AR210" s="147">
        <v>594</v>
      </c>
      <c r="AS210" s="147">
        <v>278</v>
      </c>
      <c r="AT210" s="147">
        <f t="shared" si="189"/>
        <v>3210</v>
      </c>
      <c r="AU210" s="148">
        <f t="shared" si="147"/>
        <v>267.5</v>
      </c>
      <c r="AV210" s="183"/>
      <c r="AW210" s="482">
        <v>249.00000000000003</v>
      </c>
      <c r="AX210" s="147">
        <v>287</v>
      </c>
      <c r="AY210" s="147">
        <v>230</v>
      </c>
      <c r="AZ210" s="147">
        <v>220</v>
      </c>
      <c r="BA210" s="147">
        <v>492</v>
      </c>
      <c r="BB210" s="147">
        <v>314</v>
      </c>
      <c r="BC210" s="147">
        <v>294</v>
      </c>
      <c r="BD210" s="147">
        <v>287</v>
      </c>
      <c r="BE210" s="147">
        <v>287</v>
      </c>
      <c r="BF210" s="147">
        <v>268</v>
      </c>
      <c r="BG210" s="147">
        <v>249</v>
      </c>
      <c r="BH210" s="147">
        <v>274</v>
      </c>
      <c r="BI210" s="147">
        <f t="shared" si="190"/>
        <v>3451</v>
      </c>
      <c r="BJ210" s="148">
        <f t="shared" si="196"/>
        <v>287.58333333333331</v>
      </c>
      <c r="BK210" s="183"/>
      <c r="BL210" s="482">
        <v>290</v>
      </c>
      <c r="BM210" s="147">
        <v>205</v>
      </c>
      <c r="BN210" s="147"/>
      <c r="BO210" s="147"/>
      <c r="BP210" s="147"/>
      <c r="BQ210" s="147"/>
      <c r="BR210" s="147"/>
      <c r="BS210" s="147"/>
      <c r="BT210" s="147"/>
      <c r="BU210" s="147"/>
      <c r="BV210" s="147"/>
      <c r="BW210" s="147"/>
      <c r="BX210" s="147">
        <f t="shared" si="191"/>
        <v>495</v>
      </c>
      <c r="BY210" s="148">
        <f t="shared" si="159"/>
        <v>247.5</v>
      </c>
      <c r="CA210" s="169">
        <f>ROW()</f>
        <v>210</v>
      </c>
      <c r="CB210" s="169">
        <f>IFERROR(_xlfn.XLOOKUP($A$1,$2:$2,210:210)-_xlfn.XLOOKUP(EDATE($A$1,-12),$2:$2,210:210),"")</f>
        <v>-82</v>
      </c>
      <c r="CC210" s="169">
        <f t="shared" si="153"/>
        <v>20.083333333333314</v>
      </c>
      <c r="CD210" s="169">
        <f>IFERROR(
  SUM(
    _xlfn.XLOOKUP(DATE(YEAR($A$1),1,1),$2:$2,210:210):
    _xlfn.XLOOKUP($A$1,$2:$2,210:210)
  )
 -SUM(
    _xlfn.XLOOKUP(DATE(YEAR($A$1)-1,1,1),$2:$2,210:210):
    _xlfn.XLOOKUP(EDATE($A$1,-12),$2:$2,210:210)
  ),"")</f>
        <v>-41</v>
      </c>
      <c r="CE210" s="4517">
        <f>IFERROR(
  _xlfn.XLOOKUP($A$1,$B$2:$BY$2,$B210:$BY210)
 -_xlfn.XLOOKUP(EDATE($A$1,-1),$B$2:$BY$2,$B210:$BY210),"")</f>
        <v>-85</v>
      </c>
    </row>
    <row r="211" spans="1:86" x14ac:dyDescent="0.55000000000000004">
      <c r="A211" s="7198"/>
      <c r="B211" s="7204"/>
      <c r="C211" s="65" t="s">
        <v>402</v>
      </c>
      <c r="D211" s="146">
        <f>D216</f>
        <v>209</v>
      </c>
      <c r="E211" s="147">
        <f t="shared" ref="E211:O211" si="198">E216</f>
        <v>254</v>
      </c>
      <c r="F211" s="147">
        <f t="shared" si="198"/>
        <v>252</v>
      </c>
      <c r="G211" s="147">
        <f t="shared" si="198"/>
        <v>321</v>
      </c>
      <c r="H211" s="147">
        <f t="shared" si="198"/>
        <v>283</v>
      </c>
      <c r="I211" s="147">
        <f t="shared" si="198"/>
        <v>282</v>
      </c>
      <c r="J211" s="147">
        <f t="shared" si="198"/>
        <v>208</v>
      </c>
      <c r="K211" s="147">
        <f t="shared" si="198"/>
        <v>255</v>
      </c>
      <c r="L211" s="147">
        <f t="shared" si="198"/>
        <v>207</v>
      </c>
      <c r="M211" s="147">
        <f t="shared" si="198"/>
        <v>228</v>
      </c>
      <c r="N211" s="147">
        <f t="shared" si="198"/>
        <v>194</v>
      </c>
      <c r="O211" s="147">
        <f t="shared" si="198"/>
        <v>144</v>
      </c>
      <c r="P211" s="147">
        <f t="shared" si="187"/>
        <v>2837</v>
      </c>
      <c r="Q211" s="148">
        <f t="shared" si="91"/>
        <v>236.41666666666666</v>
      </c>
      <c r="R211" s="183"/>
      <c r="S211" s="146">
        <v>146</v>
      </c>
      <c r="T211" s="147">
        <v>177</v>
      </c>
      <c r="U211" s="147">
        <v>179</v>
      </c>
      <c r="V211" s="147">
        <v>153</v>
      </c>
      <c r="W211" s="147">
        <v>197</v>
      </c>
      <c r="X211" s="147">
        <v>174</v>
      </c>
      <c r="Y211" s="147">
        <v>167</v>
      </c>
      <c r="Z211" s="147">
        <v>191</v>
      </c>
      <c r="AA211" s="147">
        <v>142</v>
      </c>
      <c r="AB211" s="147">
        <v>168</v>
      </c>
      <c r="AC211" s="147">
        <v>164</v>
      </c>
      <c r="AD211" s="147">
        <v>116</v>
      </c>
      <c r="AE211" s="147">
        <f t="shared" si="188"/>
        <v>1974</v>
      </c>
      <c r="AF211" s="148">
        <f t="shared" si="93"/>
        <v>164.5</v>
      </c>
      <c r="AG211" s="183"/>
      <c r="AH211" s="146">
        <v>140</v>
      </c>
      <c r="AI211" s="147">
        <v>146</v>
      </c>
      <c r="AJ211" s="147">
        <v>192</v>
      </c>
      <c r="AK211" s="147">
        <v>174</v>
      </c>
      <c r="AL211" s="147">
        <v>246</v>
      </c>
      <c r="AM211" s="147">
        <v>234</v>
      </c>
      <c r="AN211" s="147">
        <v>260</v>
      </c>
      <c r="AO211" s="147">
        <v>274</v>
      </c>
      <c r="AP211" s="147">
        <v>234.00000000000003</v>
      </c>
      <c r="AQ211" s="147">
        <v>285</v>
      </c>
      <c r="AR211" s="147">
        <v>573</v>
      </c>
      <c r="AS211" s="147">
        <v>265</v>
      </c>
      <c r="AT211" s="147">
        <f t="shared" si="189"/>
        <v>3023</v>
      </c>
      <c r="AU211" s="148">
        <f t="shared" si="147"/>
        <v>251.91666666666666</v>
      </c>
      <c r="AV211" s="183"/>
      <c r="AW211" s="482">
        <v>233</v>
      </c>
      <c r="AX211" s="147">
        <v>331</v>
      </c>
      <c r="AY211" s="147">
        <v>325</v>
      </c>
      <c r="AZ211" s="147">
        <v>273</v>
      </c>
      <c r="BA211" s="147">
        <v>499</v>
      </c>
      <c r="BB211" s="147">
        <v>404</v>
      </c>
      <c r="BC211" s="147">
        <v>349</v>
      </c>
      <c r="BD211" s="147">
        <v>276</v>
      </c>
      <c r="BE211" s="147">
        <v>310</v>
      </c>
      <c r="BF211" s="147">
        <v>283</v>
      </c>
      <c r="BG211" s="147">
        <v>236</v>
      </c>
      <c r="BH211" s="147">
        <v>246</v>
      </c>
      <c r="BI211" s="147">
        <f t="shared" si="190"/>
        <v>3765</v>
      </c>
      <c r="BJ211" s="148">
        <f t="shared" si="196"/>
        <v>313.75</v>
      </c>
      <c r="BK211" s="183"/>
      <c r="BL211" s="482">
        <v>337</v>
      </c>
      <c r="BM211" s="147">
        <v>224</v>
      </c>
      <c r="BN211" s="147"/>
      <c r="BO211" s="147"/>
      <c r="BP211" s="147"/>
      <c r="BQ211" s="147"/>
      <c r="BR211" s="147"/>
      <c r="BS211" s="147"/>
      <c r="BT211" s="147"/>
      <c r="BU211" s="147"/>
      <c r="BV211" s="147"/>
      <c r="BW211" s="147"/>
      <c r="BX211" s="147">
        <f t="shared" si="191"/>
        <v>561</v>
      </c>
      <c r="BY211" s="148">
        <f t="shared" si="159"/>
        <v>280.5</v>
      </c>
      <c r="CA211" s="169">
        <f>ROW()</f>
        <v>211</v>
      </c>
      <c r="CB211" s="169">
        <f>IFERROR(_xlfn.XLOOKUP($A$1,$2:$2,211:211)-_xlfn.XLOOKUP(EDATE($A$1,-12),$2:$2,211:211),"")</f>
        <v>-107</v>
      </c>
      <c r="CC211" s="169">
        <f t="shared" si="153"/>
        <v>61.833333333333343</v>
      </c>
      <c r="CD211" s="169">
        <f>IFERROR(
  SUM(
    _xlfn.XLOOKUP(DATE(YEAR($A$1),1,1),$2:$2,211:211):
    _xlfn.XLOOKUP($A$1,$2:$2,211:211)
  )
 -SUM(
    _xlfn.XLOOKUP(DATE(YEAR($A$1)-1,1,1),$2:$2,211:211):
    _xlfn.XLOOKUP(EDATE($A$1,-12),$2:$2,211:211)
  ),"")</f>
        <v>-3</v>
      </c>
      <c r="CE211" s="4517">
        <f>IFERROR(
  _xlfn.XLOOKUP($A$1,$B$2:$BY$2,$B211:$BY211)
 -_xlfn.XLOOKUP(EDATE($A$1,-1),$B$2:$BY$2,$B211:$BY211),"")</f>
        <v>-113</v>
      </c>
    </row>
    <row r="212" spans="1:86" x14ac:dyDescent="0.55000000000000004">
      <c r="A212" s="7198"/>
      <c r="B212" s="7204"/>
      <c r="C212" s="65" t="s">
        <v>403</v>
      </c>
      <c r="D212" s="146">
        <f>D217+D218</f>
        <v>308</v>
      </c>
      <c r="E212" s="147">
        <f t="shared" ref="E212:O212" si="199">E217+E218</f>
        <v>356</v>
      </c>
      <c r="F212" s="147">
        <f t="shared" si="199"/>
        <v>336</v>
      </c>
      <c r="G212" s="147">
        <f t="shared" si="199"/>
        <v>334</v>
      </c>
      <c r="H212" s="147">
        <f t="shared" si="199"/>
        <v>331</v>
      </c>
      <c r="I212" s="147">
        <f t="shared" si="199"/>
        <v>322</v>
      </c>
      <c r="J212" s="147">
        <f t="shared" si="199"/>
        <v>284</v>
      </c>
      <c r="K212" s="147">
        <f t="shared" si="199"/>
        <v>345</v>
      </c>
      <c r="L212" s="147">
        <f t="shared" si="199"/>
        <v>281</v>
      </c>
      <c r="M212" s="147">
        <f t="shared" si="199"/>
        <v>294</v>
      </c>
      <c r="N212" s="147">
        <f t="shared" si="199"/>
        <v>230</v>
      </c>
      <c r="O212" s="147">
        <f t="shared" si="199"/>
        <v>164</v>
      </c>
      <c r="P212" s="147">
        <f t="shared" si="187"/>
        <v>3585</v>
      </c>
      <c r="Q212" s="148">
        <f t="shared" si="91"/>
        <v>298.75</v>
      </c>
      <c r="R212" s="183"/>
      <c r="S212" s="146">
        <v>230</v>
      </c>
      <c r="T212" s="147">
        <v>281</v>
      </c>
      <c r="U212" s="147">
        <v>264</v>
      </c>
      <c r="V212" s="147">
        <v>268</v>
      </c>
      <c r="W212" s="147">
        <v>360</v>
      </c>
      <c r="X212" s="147">
        <v>273</v>
      </c>
      <c r="Y212" s="147">
        <v>270</v>
      </c>
      <c r="Z212" s="147">
        <v>345</v>
      </c>
      <c r="AA212" s="147">
        <v>269</v>
      </c>
      <c r="AB212" s="147">
        <v>324</v>
      </c>
      <c r="AC212" s="147">
        <v>270</v>
      </c>
      <c r="AD212" s="147">
        <v>227</v>
      </c>
      <c r="AE212" s="147">
        <f t="shared" si="188"/>
        <v>3381</v>
      </c>
      <c r="AF212" s="148">
        <f t="shared" si="93"/>
        <v>281.75</v>
      </c>
      <c r="AG212" s="183"/>
      <c r="AH212" s="146">
        <v>389</v>
      </c>
      <c r="AI212" s="147">
        <v>349</v>
      </c>
      <c r="AJ212" s="147">
        <v>403</v>
      </c>
      <c r="AK212" s="147">
        <v>367</v>
      </c>
      <c r="AL212" s="147">
        <v>436</v>
      </c>
      <c r="AM212" s="147">
        <v>379</v>
      </c>
      <c r="AN212" s="147">
        <v>404</v>
      </c>
      <c r="AO212" s="147">
        <v>376</v>
      </c>
      <c r="AP212" s="147">
        <v>386</v>
      </c>
      <c r="AQ212" s="147">
        <v>450</v>
      </c>
      <c r="AR212" s="147">
        <v>1116</v>
      </c>
      <c r="AS212" s="147">
        <v>513</v>
      </c>
      <c r="AT212" s="147">
        <f t="shared" si="189"/>
        <v>5568</v>
      </c>
      <c r="AU212" s="148">
        <f t="shared" si="147"/>
        <v>464</v>
      </c>
      <c r="AV212" s="183"/>
      <c r="AW212" s="482">
        <v>490</v>
      </c>
      <c r="AX212" s="147">
        <v>598</v>
      </c>
      <c r="AY212" s="147">
        <v>532</v>
      </c>
      <c r="AZ212" s="147">
        <v>641</v>
      </c>
      <c r="BA212" s="147">
        <v>1324</v>
      </c>
      <c r="BB212" s="147">
        <v>1265</v>
      </c>
      <c r="BC212" s="147">
        <v>999</v>
      </c>
      <c r="BD212" s="147">
        <v>667</v>
      </c>
      <c r="BE212" s="147">
        <v>606</v>
      </c>
      <c r="BF212" s="147">
        <v>638</v>
      </c>
      <c r="BG212" s="147">
        <v>616</v>
      </c>
      <c r="BH212" s="147">
        <v>561</v>
      </c>
      <c r="BI212" s="147">
        <f t="shared" si="190"/>
        <v>8937</v>
      </c>
      <c r="BJ212" s="148">
        <f t="shared" si="196"/>
        <v>744.75</v>
      </c>
      <c r="BK212" s="183"/>
      <c r="BL212" s="482">
        <v>614</v>
      </c>
      <c r="BM212" s="147">
        <v>401</v>
      </c>
      <c r="BN212" s="147"/>
      <c r="BO212" s="147"/>
      <c r="BP212" s="147"/>
      <c r="BQ212" s="147"/>
      <c r="BR212" s="147"/>
      <c r="BS212" s="147"/>
      <c r="BT212" s="147"/>
      <c r="BU212" s="147"/>
      <c r="BV212" s="147"/>
      <c r="BW212" s="147"/>
      <c r="BX212" s="147">
        <f t="shared" si="191"/>
        <v>1015</v>
      </c>
      <c r="BY212" s="148">
        <f t="shared" si="159"/>
        <v>507.5</v>
      </c>
      <c r="CA212" s="169">
        <f>ROW()</f>
        <v>212</v>
      </c>
      <c r="CB212" s="169">
        <f>IFERROR(_xlfn.XLOOKUP($A$1,$2:$2,212:212)-_xlfn.XLOOKUP(EDATE($A$1,-12),$2:$2,212:212),"")</f>
        <v>-197</v>
      </c>
      <c r="CC212" s="169">
        <f t="shared" si="153"/>
        <v>280.75</v>
      </c>
      <c r="CD212" s="169">
        <f>IFERROR(
  SUM(
    _xlfn.XLOOKUP(DATE(YEAR($A$1),1,1),$2:$2,212:212):
    _xlfn.XLOOKUP($A$1,$2:$2,212:212)
  )
 -SUM(
    _xlfn.XLOOKUP(DATE(YEAR($A$1)-1,1,1),$2:$2,212:212):
    _xlfn.XLOOKUP(EDATE($A$1,-12),$2:$2,212:212)
  ),"")</f>
        <v>-73</v>
      </c>
      <c r="CE212" s="4517">
        <f>IFERROR(
  _xlfn.XLOOKUP($A$1,$B$2:$BY$2,$B212:$BY212)
 -_xlfn.XLOOKUP(EDATE($A$1,-1),$B$2:$BY$2,$B212:$BY212),"")</f>
        <v>-213</v>
      </c>
    </row>
    <row r="213" spans="1:86" x14ac:dyDescent="0.55000000000000004">
      <c r="A213" s="7198"/>
      <c r="B213" s="7205"/>
      <c r="C213" s="66" t="s">
        <v>404</v>
      </c>
      <c r="D213" s="149">
        <f>D219+D220</f>
        <v>315</v>
      </c>
      <c r="E213" s="150">
        <f t="shared" ref="E213:O213" si="200">E219+E220</f>
        <v>319</v>
      </c>
      <c r="F213" s="150">
        <f t="shared" si="200"/>
        <v>281</v>
      </c>
      <c r="G213" s="150">
        <f t="shared" si="200"/>
        <v>386</v>
      </c>
      <c r="H213" s="150">
        <f t="shared" si="200"/>
        <v>371</v>
      </c>
      <c r="I213" s="150">
        <f t="shared" si="200"/>
        <v>369</v>
      </c>
      <c r="J213" s="150">
        <f t="shared" si="200"/>
        <v>283</v>
      </c>
      <c r="K213" s="150">
        <f t="shared" si="200"/>
        <v>349</v>
      </c>
      <c r="L213" s="150">
        <f t="shared" si="200"/>
        <v>274</v>
      </c>
      <c r="M213" s="150">
        <f t="shared" si="200"/>
        <v>299</v>
      </c>
      <c r="N213" s="150">
        <f t="shared" si="200"/>
        <v>297</v>
      </c>
      <c r="O213" s="150">
        <f t="shared" si="200"/>
        <v>280</v>
      </c>
      <c r="P213" s="150">
        <f t="shared" si="187"/>
        <v>3823</v>
      </c>
      <c r="Q213" s="151">
        <f t="shared" si="91"/>
        <v>318.58333333333331</v>
      </c>
      <c r="R213" s="183"/>
      <c r="S213" s="149">
        <v>268</v>
      </c>
      <c r="T213" s="150">
        <v>347</v>
      </c>
      <c r="U213" s="150">
        <v>329</v>
      </c>
      <c r="V213" s="150">
        <v>307</v>
      </c>
      <c r="W213" s="150">
        <v>368</v>
      </c>
      <c r="X213" s="150">
        <v>287</v>
      </c>
      <c r="Y213" s="150">
        <v>255</v>
      </c>
      <c r="Z213" s="150">
        <v>377</v>
      </c>
      <c r="AA213" s="150">
        <v>267</v>
      </c>
      <c r="AB213" s="150">
        <v>320</v>
      </c>
      <c r="AC213" s="150">
        <v>288</v>
      </c>
      <c r="AD213" s="150">
        <v>234</v>
      </c>
      <c r="AE213" s="150">
        <f t="shared" si="188"/>
        <v>3647</v>
      </c>
      <c r="AF213" s="151">
        <f t="shared" si="93"/>
        <v>303.91666666666669</v>
      </c>
      <c r="AG213" s="183"/>
      <c r="AH213" s="149">
        <v>370</v>
      </c>
      <c r="AI213" s="150">
        <v>302</v>
      </c>
      <c r="AJ213" s="150">
        <v>312</v>
      </c>
      <c r="AK213" s="150">
        <v>325</v>
      </c>
      <c r="AL213" s="150">
        <v>359</v>
      </c>
      <c r="AM213" s="150">
        <v>333</v>
      </c>
      <c r="AN213" s="150">
        <v>355</v>
      </c>
      <c r="AO213" s="150">
        <v>283</v>
      </c>
      <c r="AP213" s="150">
        <v>305</v>
      </c>
      <c r="AQ213" s="150">
        <v>379</v>
      </c>
      <c r="AR213" s="150">
        <v>978</v>
      </c>
      <c r="AS213" s="150">
        <v>408</v>
      </c>
      <c r="AT213" s="150">
        <f t="shared" si="189"/>
        <v>4709</v>
      </c>
      <c r="AU213" s="151">
        <f t="shared" si="147"/>
        <v>392.41666666666669</v>
      </c>
      <c r="AV213" s="183"/>
      <c r="AW213" s="483">
        <v>389</v>
      </c>
      <c r="AX213" s="150">
        <v>507</v>
      </c>
      <c r="AY213" s="150">
        <v>433</v>
      </c>
      <c r="AZ213" s="150">
        <v>455</v>
      </c>
      <c r="BA213" s="150">
        <v>690</v>
      </c>
      <c r="BB213" s="150">
        <v>527</v>
      </c>
      <c r="BC213" s="150">
        <v>526</v>
      </c>
      <c r="BD213" s="150">
        <v>341</v>
      </c>
      <c r="BE213" s="150">
        <v>420</v>
      </c>
      <c r="BF213" s="150">
        <v>348</v>
      </c>
      <c r="BG213" s="150">
        <v>367</v>
      </c>
      <c r="BH213" s="150">
        <v>343</v>
      </c>
      <c r="BI213" s="150">
        <f t="shared" si="190"/>
        <v>5346</v>
      </c>
      <c r="BJ213" s="151">
        <f t="shared" si="196"/>
        <v>445.5</v>
      </c>
      <c r="BK213" s="183"/>
      <c r="BL213" s="483">
        <v>362</v>
      </c>
      <c r="BM213" s="150">
        <v>307</v>
      </c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>
        <f t="shared" si="191"/>
        <v>669</v>
      </c>
      <c r="BY213" s="151">
        <f t="shared" si="159"/>
        <v>334.5</v>
      </c>
      <c r="CA213" s="169">
        <f>ROW()</f>
        <v>213</v>
      </c>
      <c r="CB213" s="169">
        <f>IFERROR(_xlfn.XLOOKUP($A$1,$2:$2,213:213)-_xlfn.XLOOKUP(EDATE($A$1,-12),$2:$2,213:213),"")</f>
        <v>-200</v>
      </c>
      <c r="CC213" s="169">
        <f t="shared" si="153"/>
        <v>53.083333333333314</v>
      </c>
      <c r="CD213" s="169">
        <f>IFERROR(
  SUM(
    _xlfn.XLOOKUP(DATE(YEAR($A$1),1,1),$2:$2,213:213):
    _xlfn.XLOOKUP($A$1,$2:$2,213:213)
  )
 -SUM(
    _xlfn.XLOOKUP(DATE(YEAR($A$1)-1,1,1),$2:$2,213:213):
    _xlfn.XLOOKUP(EDATE($A$1,-12),$2:$2,213:213)
  ),"")</f>
        <v>-227</v>
      </c>
      <c r="CE213" s="4517">
        <f>IFERROR(
  _xlfn.XLOOKUP($A$1,$B$2:$BY$2,$B213:$BY213)
 -_xlfn.XLOOKUP(EDATE($A$1,-1),$B$2:$BY$2,$B213:$BY213),"")</f>
        <v>-55</v>
      </c>
    </row>
    <row r="214" spans="1:86" x14ac:dyDescent="0.55000000000000004">
      <c r="A214" s="7198"/>
      <c r="B214" s="7206" t="s">
        <v>414</v>
      </c>
      <c r="C214" s="68" t="s">
        <v>226</v>
      </c>
      <c r="D214" s="155">
        <v>117</v>
      </c>
      <c r="E214" s="156">
        <v>177</v>
      </c>
      <c r="F214" s="156">
        <v>152</v>
      </c>
      <c r="G214" s="156">
        <v>240</v>
      </c>
      <c r="H214" s="156">
        <v>347</v>
      </c>
      <c r="I214" s="156">
        <v>322</v>
      </c>
      <c r="J214" s="156">
        <v>226</v>
      </c>
      <c r="K214" s="156">
        <v>202</v>
      </c>
      <c r="L214" s="156">
        <v>269</v>
      </c>
      <c r="M214" s="156">
        <v>308</v>
      </c>
      <c r="N214" s="156">
        <v>229</v>
      </c>
      <c r="O214" s="156">
        <v>239</v>
      </c>
      <c r="P214" s="156">
        <f t="shared" si="187"/>
        <v>2828</v>
      </c>
      <c r="Q214" s="157">
        <f t="shared" si="91"/>
        <v>235.66666666666666</v>
      </c>
      <c r="R214" s="183"/>
      <c r="S214" s="155">
        <v>207</v>
      </c>
      <c r="T214" s="156">
        <v>286</v>
      </c>
      <c r="U214" s="156">
        <v>298</v>
      </c>
      <c r="V214" s="156">
        <v>169</v>
      </c>
      <c r="W214" s="156">
        <v>190</v>
      </c>
      <c r="X214" s="156">
        <v>181</v>
      </c>
      <c r="Y214" s="156">
        <v>144</v>
      </c>
      <c r="Z214" s="156">
        <v>197</v>
      </c>
      <c r="AA214" s="156">
        <v>280</v>
      </c>
      <c r="AB214" s="156">
        <v>147</v>
      </c>
      <c r="AC214" s="156">
        <v>174</v>
      </c>
      <c r="AD214" s="156">
        <v>100</v>
      </c>
      <c r="AE214" s="156">
        <f t="shared" si="188"/>
        <v>2373</v>
      </c>
      <c r="AF214" s="157">
        <f t="shared" si="93"/>
        <v>197.75</v>
      </c>
      <c r="AG214" s="183"/>
      <c r="AH214" s="155">
        <v>219</v>
      </c>
      <c r="AI214" s="156">
        <v>124</v>
      </c>
      <c r="AJ214" s="156">
        <v>184</v>
      </c>
      <c r="AK214" s="156">
        <v>163</v>
      </c>
      <c r="AL214" s="156">
        <v>226</v>
      </c>
      <c r="AM214" s="156">
        <v>211</v>
      </c>
      <c r="AN214" s="156">
        <v>250</v>
      </c>
      <c r="AO214" s="156">
        <v>301</v>
      </c>
      <c r="AP214" s="156">
        <v>273</v>
      </c>
      <c r="AQ214" s="156">
        <v>291</v>
      </c>
      <c r="AR214" s="156">
        <v>495</v>
      </c>
      <c r="AS214" s="156">
        <v>197</v>
      </c>
      <c r="AT214" s="156">
        <f t="shared" si="189"/>
        <v>2934</v>
      </c>
      <c r="AU214" s="157">
        <f t="shared" ref="AU214:AU257" si="201">AT214/12</f>
        <v>244.5</v>
      </c>
      <c r="AV214" s="183"/>
      <c r="AW214" s="488">
        <v>187</v>
      </c>
      <c r="AX214" s="156">
        <v>270</v>
      </c>
      <c r="AY214" s="156">
        <v>207</v>
      </c>
      <c r="AZ214" s="156">
        <v>222</v>
      </c>
      <c r="BA214" s="156">
        <v>459</v>
      </c>
      <c r="BB214" s="156">
        <v>289</v>
      </c>
      <c r="BC214" s="156">
        <v>380</v>
      </c>
      <c r="BD214" s="156">
        <v>305</v>
      </c>
      <c r="BE214" s="156">
        <v>316</v>
      </c>
      <c r="BF214" s="156">
        <v>282</v>
      </c>
      <c r="BG214" s="156">
        <v>313</v>
      </c>
      <c r="BH214" s="156">
        <v>353</v>
      </c>
      <c r="BI214" s="156">
        <f t="shared" si="190"/>
        <v>3583</v>
      </c>
      <c r="BJ214" s="157">
        <f t="shared" si="196"/>
        <v>298.58333333333331</v>
      </c>
      <c r="BK214" s="183"/>
      <c r="BL214" s="488">
        <v>326</v>
      </c>
      <c r="BM214" s="156">
        <v>206.99999999999997</v>
      </c>
      <c r="BN214" s="156"/>
      <c r="BO214" s="156"/>
      <c r="BP214" s="156"/>
      <c r="BQ214" s="156"/>
      <c r="BR214" s="156"/>
      <c r="BS214" s="156"/>
      <c r="BT214" s="156"/>
      <c r="BU214" s="156"/>
      <c r="BV214" s="156"/>
      <c r="BW214" s="156"/>
      <c r="BX214" s="156">
        <f t="shared" si="191"/>
        <v>533</v>
      </c>
      <c r="BY214" s="157">
        <f t="shared" si="159"/>
        <v>266.5</v>
      </c>
      <c r="CA214" s="169">
        <f>ROW()</f>
        <v>214</v>
      </c>
      <c r="CB214" s="169">
        <f>IFERROR(_xlfn.XLOOKUP($A$1,$2:$2,214:214)-_xlfn.XLOOKUP(EDATE($A$1,-12),$2:$2,214:214),"")</f>
        <v>-63.000000000000028</v>
      </c>
      <c r="CC214" s="169">
        <f t="shared" si="153"/>
        <v>54.083333333333314</v>
      </c>
      <c r="CD214" s="169">
        <f>IFERROR(
  SUM(
    _xlfn.XLOOKUP(DATE(YEAR($A$1),1,1),$2:$2,214:214):
    _xlfn.XLOOKUP($A$1,$2:$2,214:214)
  )
 -SUM(
    _xlfn.XLOOKUP(DATE(YEAR($A$1)-1,1,1),$2:$2,214:214):
    _xlfn.XLOOKUP(EDATE($A$1,-12),$2:$2,214:214)
  ),"")</f>
        <v>76</v>
      </c>
      <c r="CE214" s="4517">
        <f>IFERROR(
  _xlfn.XLOOKUP($A$1,$B$2:$BY$2,$B214:$BY214)
 -_xlfn.XLOOKUP(EDATE($A$1,-1),$B$2:$BY$2,$B214:$BY214),"")</f>
        <v>-119.00000000000003</v>
      </c>
    </row>
    <row r="215" spans="1:86" s="61" customFormat="1" x14ac:dyDescent="0.55000000000000004">
      <c r="A215" s="7198"/>
      <c r="B215" s="7207"/>
      <c r="C215" s="76" t="s">
        <v>227</v>
      </c>
      <c r="D215" s="161">
        <v>197</v>
      </c>
      <c r="E215" s="162">
        <v>247</v>
      </c>
      <c r="F215" s="162">
        <v>268</v>
      </c>
      <c r="G215" s="162">
        <v>352</v>
      </c>
      <c r="H215" s="162">
        <v>374</v>
      </c>
      <c r="I215" s="162">
        <v>307</v>
      </c>
      <c r="J215" s="162">
        <v>226</v>
      </c>
      <c r="K215" s="162">
        <v>292</v>
      </c>
      <c r="L215" s="162">
        <v>191</v>
      </c>
      <c r="M215" s="162">
        <v>263</v>
      </c>
      <c r="N215" s="162">
        <v>235</v>
      </c>
      <c r="O215" s="162">
        <v>187</v>
      </c>
      <c r="P215" s="162">
        <f t="shared" si="187"/>
        <v>3139</v>
      </c>
      <c r="Q215" s="163">
        <f t="shared" si="91"/>
        <v>261.58333333333331</v>
      </c>
      <c r="R215" s="183"/>
      <c r="S215" s="161">
        <v>203</v>
      </c>
      <c r="T215" s="162">
        <v>230</v>
      </c>
      <c r="U215" s="162">
        <v>176</v>
      </c>
      <c r="V215" s="162">
        <v>134</v>
      </c>
      <c r="W215" s="162">
        <v>182</v>
      </c>
      <c r="X215" s="162">
        <v>142</v>
      </c>
      <c r="Y215" s="162">
        <v>143</v>
      </c>
      <c r="Z215" s="162">
        <v>175</v>
      </c>
      <c r="AA215" s="162">
        <v>151</v>
      </c>
      <c r="AB215" s="162">
        <v>157</v>
      </c>
      <c r="AC215" s="162">
        <v>148</v>
      </c>
      <c r="AD215" s="162">
        <v>113</v>
      </c>
      <c r="AE215" s="162">
        <f t="shared" si="188"/>
        <v>1954</v>
      </c>
      <c r="AF215" s="163">
        <f t="shared" si="93"/>
        <v>162.83333333333334</v>
      </c>
      <c r="AG215" s="183"/>
      <c r="AH215" s="161">
        <v>158</v>
      </c>
      <c r="AI215" s="162">
        <v>145</v>
      </c>
      <c r="AJ215" s="162">
        <v>211</v>
      </c>
      <c r="AK215" s="162">
        <v>201</v>
      </c>
      <c r="AL215" s="162">
        <v>195</v>
      </c>
      <c r="AM215" s="162">
        <v>233</v>
      </c>
      <c r="AN215" s="162">
        <v>225.00000000000003</v>
      </c>
      <c r="AO215" s="162">
        <v>312</v>
      </c>
      <c r="AP215" s="162">
        <v>331</v>
      </c>
      <c r="AQ215" s="162">
        <v>327</v>
      </c>
      <c r="AR215" s="162">
        <v>594</v>
      </c>
      <c r="AS215" s="162">
        <v>278</v>
      </c>
      <c r="AT215" s="162">
        <f t="shared" si="189"/>
        <v>3210</v>
      </c>
      <c r="AU215" s="163">
        <f t="shared" si="201"/>
        <v>267.5</v>
      </c>
      <c r="AV215" s="183"/>
      <c r="AW215" s="487">
        <v>249.00000000000003</v>
      </c>
      <c r="AX215" s="162">
        <v>287</v>
      </c>
      <c r="AY215" s="162">
        <v>230</v>
      </c>
      <c r="AZ215" s="162">
        <v>220</v>
      </c>
      <c r="BA215" s="162">
        <v>492</v>
      </c>
      <c r="BB215" s="162">
        <v>314</v>
      </c>
      <c r="BC215" s="162">
        <v>294</v>
      </c>
      <c r="BD215" s="162">
        <v>287</v>
      </c>
      <c r="BE215" s="162">
        <v>287</v>
      </c>
      <c r="BF215" s="162">
        <v>268</v>
      </c>
      <c r="BG215" s="162">
        <v>249</v>
      </c>
      <c r="BH215" s="162">
        <v>274</v>
      </c>
      <c r="BI215" s="162">
        <f t="shared" si="190"/>
        <v>3451</v>
      </c>
      <c r="BJ215" s="163">
        <f t="shared" si="196"/>
        <v>287.58333333333331</v>
      </c>
      <c r="BK215" s="183"/>
      <c r="BL215" s="487">
        <v>290</v>
      </c>
      <c r="BM215" s="162">
        <v>205</v>
      </c>
      <c r="BN215" s="162"/>
      <c r="BO215" s="162"/>
      <c r="BP215" s="162"/>
      <c r="BQ215" s="162"/>
      <c r="BR215" s="162"/>
      <c r="BS215" s="162"/>
      <c r="BT215" s="162"/>
      <c r="BU215" s="162"/>
      <c r="BV215" s="162"/>
      <c r="BW215" s="162"/>
      <c r="BX215" s="162">
        <f t="shared" si="191"/>
        <v>495</v>
      </c>
      <c r="BY215" s="163">
        <f t="shared" si="159"/>
        <v>247.5</v>
      </c>
      <c r="CA215" s="169">
        <f>ROW()</f>
        <v>215</v>
      </c>
      <c r="CB215" s="169">
        <f>IFERROR(_xlfn.XLOOKUP($A$1,$2:$2,215:215)-_xlfn.XLOOKUP(EDATE($A$1,-12),$2:$2,215:215),"")</f>
        <v>-82</v>
      </c>
      <c r="CC215" s="169">
        <f t="shared" si="153"/>
        <v>20.083333333333314</v>
      </c>
      <c r="CD215" s="169">
        <f>IFERROR(
  SUM(
    _xlfn.XLOOKUP(DATE(YEAR($A$1),1,1),$2:$2,215:215):
    _xlfn.XLOOKUP($A$1,$2:$2,215:215)
  )
 -SUM(
    _xlfn.XLOOKUP(DATE(YEAR($A$1)-1,1,1),$2:$2,215:215):
    _xlfn.XLOOKUP(EDATE($A$1,-12),$2:$2,215:215)
  ),"")</f>
        <v>-41</v>
      </c>
      <c r="CE215" s="4517">
        <f>IFERROR(
  _xlfn.XLOOKUP($A$1,$B$2:$BY$2,$B215:$BY215)
 -_xlfn.XLOOKUP(EDATE($A$1,-1),$B$2:$BY$2,$B215:$BY215),"")</f>
        <v>-85</v>
      </c>
      <c r="CG215"/>
      <c r="CH215"/>
    </row>
    <row r="216" spans="1:86" s="61" customFormat="1" x14ac:dyDescent="0.55000000000000004">
      <c r="A216" s="7198"/>
      <c r="B216" s="7207"/>
      <c r="C216" s="68" t="s">
        <v>228</v>
      </c>
      <c r="D216" s="155">
        <v>209</v>
      </c>
      <c r="E216" s="156">
        <v>254</v>
      </c>
      <c r="F216" s="156">
        <v>252</v>
      </c>
      <c r="G216" s="156">
        <v>321</v>
      </c>
      <c r="H216" s="156">
        <v>283</v>
      </c>
      <c r="I216" s="156">
        <v>282</v>
      </c>
      <c r="J216" s="156">
        <v>208</v>
      </c>
      <c r="K216" s="156">
        <v>255</v>
      </c>
      <c r="L216" s="156">
        <v>207</v>
      </c>
      <c r="M216" s="156">
        <v>228</v>
      </c>
      <c r="N216" s="156">
        <v>194</v>
      </c>
      <c r="O216" s="156">
        <v>144</v>
      </c>
      <c r="P216" s="156">
        <f t="shared" si="187"/>
        <v>2837</v>
      </c>
      <c r="Q216" s="157">
        <f t="shared" si="91"/>
        <v>236.41666666666666</v>
      </c>
      <c r="R216" s="183"/>
      <c r="S216" s="155">
        <v>146</v>
      </c>
      <c r="T216" s="156">
        <v>177</v>
      </c>
      <c r="U216" s="156">
        <v>179</v>
      </c>
      <c r="V216" s="156">
        <v>153</v>
      </c>
      <c r="W216" s="156">
        <v>197</v>
      </c>
      <c r="X216" s="156">
        <v>174</v>
      </c>
      <c r="Y216" s="156">
        <v>167</v>
      </c>
      <c r="Z216" s="156">
        <v>191</v>
      </c>
      <c r="AA216" s="156">
        <v>142</v>
      </c>
      <c r="AB216" s="156">
        <v>168</v>
      </c>
      <c r="AC216" s="156">
        <v>164</v>
      </c>
      <c r="AD216" s="156">
        <v>116</v>
      </c>
      <c r="AE216" s="156">
        <f t="shared" si="188"/>
        <v>1974</v>
      </c>
      <c r="AF216" s="157">
        <f t="shared" si="93"/>
        <v>164.5</v>
      </c>
      <c r="AG216" s="183"/>
      <c r="AH216" s="155">
        <v>140</v>
      </c>
      <c r="AI216" s="156">
        <v>146</v>
      </c>
      <c r="AJ216" s="156">
        <v>192</v>
      </c>
      <c r="AK216" s="156">
        <v>174</v>
      </c>
      <c r="AL216" s="156">
        <v>246</v>
      </c>
      <c r="AM216" s="156">
        <v>234</v>
      </c>
      <c r="AN216" s="156">
        <v>260</v>
      </c>
      <c r="AO216" s="156">
        <v>274</v>
      </c>
      <c r="AP216" s="156">
        <v>234.00000000000003</v>
      </c>
      <c r="AQ216" s="156">
        <v>285</v>
      </c>
      <c r="AR216" s="156">
        <v>573</v>
      </c>
      <c r="AS216" s="156">
        <v>265</v>
      </c>
      <c r="AT216" s="156">
        <f t="shared" si="189"/>
        <v>3023</v>
      </c>
      <c r="AU216" s="157">
        <f t="shared" si="201"/>
        <v>251.91666666666666</v>
      </c>
      <c r="AV216" s="183"/>
      <c r="AW216" s="488">
        <v>233</v>
      </c>
      <c r="AX216" s="156">
        <v>331</v>
      </c>
      <c r="AY216" s="156">
        <v>325</v>
      </c>
      <c r="AZ216" s="156">
        <v>273</v>
      </c>
      <c r="BA216" s="156">
        <v>499</v>
      </c>
      <c r="BB216" s="156">
        <v>404</v>
      </c>
      <c r="BC216" s="156">
        <v>349</v>
      </c>
      <c r="BD216" s="156">
        <v>276</v>
      </c>
      <c r="BE216" s="156">
        <v>310</v>
      </c>
      <c r="BF216" s="156">
        <v>283</v>
      </c>
      <c r="BG216" s="156">
        <v>236</v>
      </c>
      <c r="BH216" s="156">
        <v>246</v>
      </c>
      <c r="BI216" s="156">
        <f t="shared" si="190"/>
        <v>3765</v>
      </c>
      <c r="BJ216" s="157">
        <f t="shared" si="196"/>
        <v>313.75</v>
      </c>
      <c r="BK216" s="183"/>
      <c r="BL216" s="488">
        <v>337</v>
      </c>
      <c r="BM216" s="156">
        <v>224</v>
      </c>
      <c r="BN216" s="156"/>
      <c r="BO216" s="156"/>
      <c r="BP216" s="156"/>
      <c r="BQ216" s="156"/>
      <c r="BR216" s="156"/>
      <c r="BS216" s="156"/>
      <c r="BT216" s="156"/>
      <c r="BU216" s="156"/>
      <c r="BV216" s="156"/>
      <c r="BW216" s="156"/>
      <c r="BX216" s="156">
        <f t="shared" si="191"/>
        <v>561</v>
      </c>
      <c r="BY216" s="157">
        <f t="shared" si="159"/>
        <v>280.5</v>
      </c>
      <c r="CA216" s="169">
        <f>ROW()</f>
        <v>216</v>
      </c>
      <c r="CB216" s="169">
        <f>IFERROR(_xlfn.XLOOKUP($A$1,$2:$2,216:216)-_xlfn.XLOOKUP(EDATE($A$1,-12),$2:$2,216:216),"")</f>
        <v>-107</v>
      </c>
      <c r="CC216" s="169">
        <f t="shared" si="153"/>
        <v>61.833333333333343</v>
      </c>
      <c r="CD216" s="169">
        <f>IFERROR(
  SUM(
    _xlfn.XLOOKUP(DATE(YEAR($A$1),1,1),$2:$2,216:216):
    _xlfn.XLOOKUP($A$1,$2:$2,216:216)
  )
 -SUM(
    _xlfn.XLOOKUP(DATE(YEAR($A$1)-1,1,1),$2:$2,216:216):
    _xlfn.XLOOKUP(EDATE($A$1,-12),$2:$2,216:216)
  ),"")</f>
        <v>-3</v>
      </c>
      <c r="CE216" s="4517">
        <f>IFERROR(
  _xlfn.XLOOKUP($A$1,$B$2:$BY$2,$B216:$BY216)
 -_xlfn.XLOOKUP(EDATE($A$1,-1),$B$2:$BY$2,$B216:$BY216),"")</f>
        <v>-113</v>
      </c>
      <c r="CG216"/>
      <c r="CH216"/>
    </row>
    <row r="217" spans="1:86" s="61" customFormat="1" x14ac:dyDescent="0.55000000000000004">
      <c r="A217" s="7198"/>
      <c r="B217" s="7207"/>
      <c r="C217" s="76" t="s">
        <v>229</v>
      </c>
      <c r="D217" s="161">
        <v>131</v>
      </c>
      <c r="E217" s="162">
        <v>168</v>
      </c>
      <c r="F217" s="162">
        <v>178</v>
      </c>
      <c r="G217" s="162">
        <v>178</v>
      </c>
      <c r="H217" s="162">
        <v>178</v>
      </c>
      <c r="I217" s="162">
        <v>206</v>
      </c>
      <c r="J217" s="162">
        <v>172</v>
      </c>
      <c r="K217" s="162">
        <v>204</v>
      </c>
      <c r="L217" s="162">
        <v>183</v>
      </c>
      <c r="M217" s="162">
        <v>184</v>
      </c>
      <c r="N217" s="162">
        <v>152</v>
      </c>
      <c r="O217" s="162">
        <v>115</v>
      </c>
      <c r="P217" s="162">
        <f t="shared" si="187"/>
        <v>2049</v>
      </c>
      <c r="Q217" s="163">
        <f t="shared" si="91"/>
        <v>170.75</v>
      </c>
      <c r="R217" s="183"/>
      <c r="S217" s="161">
        <v>156</v>
      </c>
      <c r="T217" s="162">
        <v>186</v>
      </c>
      <c r="U217" s="162">
        <v>179</v>
      </c>
      <c r="V217" s="162">
        <v>166</v>
      </c>
      <c r="W217" s="162">
        <v>202</v>
      </c>
      <c r="X217" s="162">
        <v>158</v>
      </c>
      <c r="Y217" s="162">
        <v>159</v>
      </c>
      <c r="Z217" s="162">
        <v>223</v>
      </c>
      <c r="AA217" s="162">
        <v>173</v>
      </c>
      <c r="AB217" s="162">
        <v>193</v>
      </c>
      <c r="AC217" s="162">
        <v>169</v>
      </c>
      <c r="AD217" s="162">
        <v>140</v>
      </c>
      <c r="AE217" s="162">
        <f t="shared" si="188"/>
        <v>2104</v>
      </c>
      <c r="AF217" s="163">
        <f t="shared" si="93"/>
        <v>175.33333333333334</v>
      </c>
      <c r="AG217" s="183"/>
      <c r="AH217" s="161">
        <v>267</v>
      </c>
      <c r="AI217" s="162">
        <v>227</v>
      </c>
      <c r="AJ217" s="162">
        <v>273</v>
      </c>
      <c r="AK217" s="162">
        <v>249</v>
      </c>
      <c r="AL217" s="162">
        <v>312</v>
      </c>
      <c r="AM217" s="162">
        <v>269</v>
      </c>
      <c r="AN217" s="162">
        <v>271</v>
      </c>
      <c r="AO217" s="162">
        <v>224</v>
      </c>
      <c r="AP217" s="162">
        <v>252.00000000000003</v>
      </c>
      <c r="AQ217" s="162">
        <v>317</v>
      </c>
      <c r="AR217" s="162">
        <v>760</v>
      </c>
      <c r="AS217" s="162">
        <v>378</v>
      </c>
      <c r="AT217" s="162">
        <f t="shared" si="189"/>
        <v>3799</v>
      </c>
      <c r="AU217" s="163">
        <f t="shared" si="201"/>
        <v>316.58333333333331</v>
      </c>
      <c r="AV217" s="183"/>
      <c r="AW217" s="487">
        <v>344</v>
      </c>
      <c r="AX217" s="162">
        <v>414</v>
      </c>
      <c r="AY217" s="162">
        <v>369</v>
      </c>
      <c r="AZ217" s="162">
        <v>477</v>
      </c>
      <c r="BA217" s="162">
        <v>961.99999999999989</v>
      </c>
      <c r="BB217" s="162">
        <v>984</v>
      </c>
      <c r="BC217" s="162">
        <v>764</v>
      </c>
      <c r="BD217" s="162">
        <v>520</v>
      </c>
      <c r="BE217" s="162">
        <v>433</v>
      </c>
      <c r="BF217" s="162">
        <v>458</v>
      </c>
      <c r="BG217" s="162">
        <v>407</v>
      </c>
      <c r="BH217" s="162">
        <v>369</v>
      </c>
      <c r="BI217" s="162">
        <f t="shared" si="190"/>
        <v>6501</v>
      </c>
      <c r="BJ217" s="163">
        <f t="shared" si="196"/>
        <v>541.75</v>
      </c>
      <c r="BK217" s="183"/>
      <c r="BL217" s="487">
        <v>367</v>
      </c>
      <c r="BM217" s="162">
        <v>286</v>
      </c>
      <c r="BN217" s="162"/>
      <c r="BO217" s="162"/>
      <c r="BP217" s="162"/>
      <c r="BQ217" s="162"/>
      <c r="BR217" s="162"/>
      <c r="BS217" s="162"/>
      <c r="BT217" s="162"/>
      <c r="BU217" s="162"/>
      <c r="BV217" s="162"/>
      <c r="BW217" s="162"/>
      <c r="BX217" s="162">
        <f t="shared" si="191"/>
        <v>653</v>
      </c>
      <c r="BY217" s="163">
        <f t="shared" si="159"/>
        <v>326.5</v>
      </c>
      <c r="CA217" s="169">
        <f>ROW()</f>
        <v>217</v>
      </c>
      <c r="CB217" s="169">
        <f>IFERROR(_xlfn.XLOOKUP($A$1,$2:$2,217:217)-_xlfn.XLOOKUP(EDATE($A$1,-12),$2:$2,217:217),"")</f>
        <v>-128</v>
      </c>
      <c r="CC217" s="169">
        <f t="shared" si="153"/>
        <v>225.16666666666669</v>
      </c>
      <c r="CD217" s="169">
        <f>IFERROR(
  SUM(
    _xlfn.XLOOKUP(DATE(YEAR($A$1),1,1),$2:$2,217:217):
    _xlfn.XLOOKUP($A$1,$2:$2,217:217)
  )
 -SUM(
    _xlfn.XLOOKUP(DATE(YEAR($A$1)-1,1,1),$2:$2,217:217):
    _xlfn.XLOOKUP(EDATE($A$1,-12),$2:$2,217:217)
  ),"")</f>
        <v>-105</v>
      </c>
      <c r="CE217" s="4517">
        <f>IFERROR(
  _xlfn.XLOOKUP($A$1,$B$2:$BY$2,$B217:$BY217)
 -_xlfn.XLOOKUP(EDATE($A$1,-1),$B$2:$BY$2,$B217:$BY217),"")</f>
        <v>-81</v>
      </c>
      <c r="CG217"/>
      <c r="CH217"/>
    </row>
    <row r="218" spans="1:86" x14ac:dyDescent="0.55000000000000004">
      <c r="A218" s="7198"/>
      <c r="B218" s="7207"/>
      <c r="C218" s="67" t="s">
        <v>230</v>
      </c>
      <c r="D218" s="152">
        <v>177</v>
      </c>
      <c r="E218" s="153">
        <v>188</v>
      </c>
      <c r="F218" s="153">
        <v>158</v>
      </c>
      <c r="G218" s="153">
        <v>156</v>
      </c>
      <c r="H218" s="153">
        <v>153</v>
      </c>
      <c r="I218" s="153">
        <v>116</v>
      </c>
      <c r="J218" s="153">
        <v>112</v>
      </c>
      <c r="K218" s="153">
        <v>141</v>
      </c>
      <c r="L218" s="153">
        <v>98</v>
      </c>
      <c r="M218" s="153">
        <v>110</v>
      </c>
      <c r="N218" s="153">
        <v>78</v>
      </c>
      <c r="O218" s="153">
        <v>49</v>
      </c>
      <c r="P218" s="153">
        <f t="shared" si="187"/>
        <v>1536</v>
      </c>
      <c r="Q218" s="154">
        <f t="shared" si="91"/>
        <v>128</v>
      </c>
      <c r="R218" s="183"/>
      <c r="S218" s="152">
        <v>74</v>
      </c>
      <c r="T218" s="153">
        <v>95</v>
      </c>
      <c r="U218" s="153">
        <v>85</v>
      </c>
      <c r="V218" s="153">
        <v>102</v>
      </c>
      <c r="W218" s="153">
        <v>158</v>
      </c>
      <c r="X218" s="153">
        <v>115</v>
      </c>
      <c r="Y218" s="153">
        <v>111</v>
      </c>
      <c r="Z218" s="153">
        <v>122</v>
      </c>
      <c r="AA218" s="153">
        <v>96</v>
      </c>
      <c r="AB218" s="153">
        <v>131</v>
      </c>
      <c r="AC218" s="153">
        <v>101</v>
      </c>
      <c r="AD218" s="153">
        <v>87</v>
      </c>
      <c r="AE218" s="153">
        <f t="shared" si="188"/>
        <v>1277</v>
      </c>
      <c r="AF218" s="154">
        <f t="shared" si="93"/>
        <v>106.41666666666667</v>
      </c>
      <c r="AG218" s="183"/>
      <c r="AH218" s="152">
        <v>122</v>
      </c>
      <c r="AI218" s="153">
        <v>122</v>
      </c>
      <c r="AJ218" s="153">
        <v>130</v>
      </c>
      <c r="AK218" s="153">
        <v>118</v>
      </c>
      <c r="AL218" s="153">
        <v>124</v>
      </c>
      <c r="AM218" s="153">
        <v>110.00000000000001</v>
      </c>
      <c r="AN218" s="153">
        <v>133</v>
      </c>
      <c r="AO218" s="153">
        <v>152</v>
      </c>
      <c r="AP218" s="153">
        <v>134</v>
      </c>
      <c r="AQ218" s="153">
        <v>133</v>
      </c>
      <c r="AR218" s="153">
        <v>356</v>
      </c>
      <c r="AS218" s="153">
        <v>135</v>
      </c>
      <c r="AT218" s="153">
        <f t="shared" si="189"/>
        <v>1769</v>
      </c>
      <c r="AU218" s="154">
        <f t="shared" si="201"/>
        <v>147.41666666666666</v>
      </c>
      <c r="AV218" s="183"/>
      <c r="AW218" s="487">
        <v>146</v>
      </c>
      <c r="AX218" s="153">
        <v>184</v>
      </c>
      <c r="AY218" s="153">
        <v>163</v>
      </c>
      <c r="AZ218" s="153">
        <v>164</v>
      </c>
      <c r="BA218" s="153">
        <v>362</v>
      </c>
      <c r="BB218" s="153">
        <v>281</v>
      </c>
      <c r="BC218" s="153">
        <v>235</v>
      </c>
      <c r="BD218" s="153">
        <v>147</v>
      </c>
      <c r="BE218" s="153">
        <v>173</v>
      </c>
      <c r="BF218" s="153">
        <v>180</v>
      </c>
      <c r="BG218" s="153">
        <v>209</v>
      </c>
      <c r="BH218" s="153">
        <v>192</v>
      </c>
      <c r="BI218" s="153">
        <f t="shared" si="190"/>
        <v>2436</v>
      </c>
      <c r="BJ218" s="154">
        <f t="shared" si="196"/>
        <v>203</v>
      </c>
      <c r="BK218" s="183"/>
      <c r="BL218" s="487">
        <v>247</v>
      </c>
      <c r="BM218" s="153">
        <v>115</v>
      </c>
      <c r="BN218" s="153"/>
      <c r="BO218" s="153"/>
      <c r="BP218" s="153"/>
      <c r="BQ218" s="153"/>
      <c r="BR218" s="153"/>
      <c r="BS218" s="153"/>
      <c r="BT218" s="153"/>
      <c r="BU218" s="153"/>
      <c r="BV218" s="153"/>
      <c r="BW218" s="153"/>
      <c r="BX218" s="153">
        <f t="shared" si="191"/>
        <v>362</v>
      </c>
      <c r="BY218" s="154">
        <f t="shared" si="159"/>
        <v>181</v>
      </c>
      <c r="CA218" s="169">
        <f>ROW()</f>
        <v>218</v>
      </c>
      <c r="CB218" s="169">
        <f>IFERROR(_xlfn.XLOOKUP($A$1,$2:$2,218:218)-_xlfn.XLOOKUP(EDATE($A$1,-12),$2:$2,218:218),"")</f>
        <v>-69</v>
      </c>
      <c r="CC218" s="169">
        <f t="shared" si="153"/>
        <v>55.583333333333343</v>
      </c>
      <c r="CD218" s="169">
        <f>IFERROR(
  SUM(
    _xlfn.XLOOKUP(DATE(YEAR($A$1),1,1),$2:$2,218:218):
    _xlfn.XLOOKUP($A$1,$2:$2,218:218)
  )
 -SUM(
    _xlfn.XLOOKUP(DATE(YEAR($A$1)-1,1,1),$2:$2,218:218):
    _xlfn.XLOOKUP(EDATE($A$1,-12),$2:$2,218:218)
  ),"")</f>
        <v>32</v>
      </c>
      <c r="CE218" s="4517">
        <f>IFERROR(
  _xlfn.XLOOKUP($A$1,$B$2:$BY$2,$B218:$BY218)
 -_xlfn.XLOOKUP(EDATE($A$1,-1),$B$2:$BY$2,$B218:$BY218),"")</f>
        <v>-132</v>
      </c>
    </row>
    <row r="219" spans="1:86" x14ac:dyDescent="0.55000000000000004">
      <c r="A219" s="7198"/>
      <c r="B219" s="7207"/>
      <c r="C219" s="68" t="s">
        <v>231</v>
      </c>
      <c r="D219" s="155">
        <v>182</v>
      </c>
      <c r="E219" s="156">
        <v>180</v>
      </c>
      <c r="F219" s="156">
        <v>171</v>
      </c>
      <c r="G219" s="156">
        <v>234</v>
      </c>
      <c r="H219" s="156">
        <v>213</v>
      </c>
      <c r="I219" s="156">
        <v>194</v>
      </c>
      <c r="J219" s="156">
        <v>143</v>
      </c>
      <c r="K219" s="156">
        <v>213</v>
      </c>
      <c r="L219" s="156">
        <v>155</v>
      </c>
      <c r="M219" s="156">
        <v>160</v>
      </c>
      <c r="N219" s="156">
        <v>163</v>
      </c>
      <c r="O219" s="156">
        <v>193</v>
      </c>
      <c r="P219" s="156">
        <f t="shared" si="187"/>
        <v>2201</v>
      </c>
      <c r="Q219" s="157">
        <f t="shared" si="91"/>
        <v>183.41666666666666</v>
      </c>
      <c r="R219" s="183"/>
      <c r="S219" s="155">
        <v>163</v>
      </c>
      <c r="T219" s="156">
        <v>248</v>
      </c>
      <c r="U219" s="156">
        <v>216</v>
      </c>
      <c r="V219" s="156">
        <v>202</v>
      </c>
      <c r="W219" s="156">
        <v>248</v>
      </c>
      <c r="X219" s="156">
        <v>210</v>
      </c>
      <c r="Y219" s="156">
        <v>159</v>
      </c>
      <c r="Z219" s="156">
        <v>268</v>
      </c>
      <c r="AA219" s="156">
        <v>198</v>
      </c>
      <c r="AB219" s="156">
        <v>224</v>
      </c>
      <c r="AC219" s="156">
        <v>206</v>
      </c>
      <c r="AD219" s="156">
        <v>152</v>
      </c>
      <c r="AE219" s="156">
        <f t="shared" si="188"/>
        <v>2494</v>
      </c>
      <c r="AF219" s="157">
        <f t="shared" si="93"/>
        <v>207.83333333333334</v>
      </c>
      <c r="AG219" s="183"/>
      <c r="AH219" s="155">
        <v>224</v>
      </c>
      <c r="AI219" s="156">
        <v>184</v>
      </c>
      <c r="AJ219" s="156">
        <v>182</v>
      </c>
      <c r="AK219" s="156">
        <v>200</v>
      </c>
      <c r="AL219" s="156">
        <v>248.99999999999997</v>
      </c>
      <c r="AM219" s="156">
        <v>219</v>
      </c>
      <c r="AN219" s="156">
        <v>228</v>
      </c>
      <c r="AO219" s="156">
        <v>162</v>
      </c>
      <c r="AP219" s="156">
        <v>183</v>
      </c>
      <c r="AQ219" s="156">
        <v>216.99999999999997</v>
      </c>
      <c r="AR219" s="156">
        <v>570</v>
      </c>
      <c r="AS219" s="156">
        <v>237</v>
      </c>
      <c r="AT219" s="156">
        <f t="shared" si="189"/>
        <v>2855</v>
      </c>
      <c r="AU219" s="157">
        <f t="shared" si="201"/>
        <v>237.91666666666666</v>
      </c>
      <c r="AV219" s="183"/>
      <c r="AW219" s="488">
        <v>229</v>
      </c>
      <c r="AX219" s="156">
        <v>292</v>
      </c>
      <c r="AY219" s="156">
        <v>265</v>
      </c>
      <c r="AZ219" s="156">
        <v>259</v>
      </c>
      <c r="BA219" s="156">
        <v>470.99999999999994</v>
      </c>
      <c r="BB219" s="156">
        <v>346</v>
      </c>
      <c r="BC219" s="156">
        <v>336</v>
      </c>
      <c r="BD219" s="156">
        <v>184</v>
      </c>
      <c r="BE219" s="156">
        <v>246</v>
      </c>
      <c r="BF219" s="156">
        <v>210</v>
      </c>
      <c r="BG219" s="156">
        <v>233</v>
      </c>
      <c r="BH219" s="156">
        <v>211</v>
      </c>
      <c r="BI219" s="156">
        <f t="shared" si="190"/>
        <v>3282</v>
      </c>
      <c r="BJ219" s="157">
        <f t="shared" si="196"/>
        <v>273.5</v>
      </c>
      <c r="BK219" s="183"/>
      <c r="BL219" s="488">
        <v>219</v>
      </c>
      <c r="BM219" s="156">
        <v>212</v>
      </c>
      <c r="BN219" s="156"/>
      <c r="BO219" s="156"/>
      <c r="BP219" s="156"/>
      <c r="BQ219" s="156"/>
      <c r="BR219" s="156"/>
      <c r="BS219" s="156"/>
      <c r="BT219" s="156"/>
      <c r="BU219" s="156"/>
      <c r="BV219" s="156"/>
      <c r="BW219" s="156"/>
      <c r="BX219" s="156">
        <f t="shared" si="191"/>
        <v>431</v>
      </c>
      <c r="BY219" s="157">
        <f t="shared" si="159"/>
        <v>215.5</v>
      </c>
      <c r="CA219" s="169">
        <f>ROW()</f>
        <v>219</v>
      </c>
      <c r="CB219" s="169">
        <f>IFERROR(_xlfn.XLOOKUP($A$1,$2:$2,219:219)-_xlfn.XLOOKUP(EDATE($A$1,-12),$2:$2,219:219),"")</f>
        <v>-80</v>
      </c>
      <c r="CC219" s="169">
        <f t="shared" si="153"/>
        <v>35.583333333333343</v>
      </c>
      <c r="CD219" s="169">
        <f>IFERROR(
  SUM(
    _xlfn.XLOOKUP(DATE(YEAR($A$1),1,1),$2:$2,219:219):
    _xlfn.XLOOKUP($A$1,$2:$2,219:219)
  )
 -SUM(
    _xlfn.XLOOKUP(DATE(YEAR($A$1)-1,1,1),$2:$2,219:219):
    _xlfn.XLOOKUP(EDATE($A$1,-12),$2:$2,219:219)
  ),"")</f>
        <v>-90</v>
      </c>
      <c r="CE219" s="4517">
        <f>IFERROR(
  _xlfn.XLOOKUP($A$1,$B$2:$BY$2,$B219:$BY219)
 -_xlfn.XLOOKUP(EDATE($A$1,-1),$B$2:$BY$2,$B219:$BY219),"")</f>
        <v>-7</v>
      </c>
    </row>
    <row r="220" spans="1:86" ht="18" thickBot="1" x14ac:dyDescent="0.6">
      <c r="A220" s="7198"/>
      <c r="B220" s="7208"/>
      <c r="C220" s="77" t="s">
        <v>232</v>
      </c>
      <c r="D220" s="164">
        <v>133</v>
      </c>
      <c r="E220" s="165">
        <v>139</v>
      </c>
      <c r="F220" s="165">
        <v>110</v>
      </c>
      <c r="G220" s="165">
        <v>152</v>
      </c>
      <c r="H220" s="165">
        <v>158</v>
      </c>
      <c r="I220" s="165">
        <v>175</v>
      </c>
      <c r="J220" s="165">
        <v>140</v>
      </c>
      <c r="K220" s="165">
        <v>136</v>
      </c>
      <c r="L220" s="165">
        <v>119</v>
      </c>
      <c r="M220" s="165">
        <v>139</v>
      </c>
      <c r="N220" s="165">
        <v>134</v>
      </c>
      <c r="O220" s="165">
        <v>87</v>
      </c>
      <c r="P220" s="165">
        <f t="shared" si="187"/>
        <v>1622</v>
      </c>
      <c r="Q220" s="166">
        <f t="shared" si="91"/>
        <v>135.16666666666666</v>
      </c>
      <c r="R220" s="183"/>
      <c r="S220" s="164">
        <v>105</v>
      </c>
      <c r="T220" s="165">
        <v>99</v>
      </c>
      <c r="U220" s="165">
        <v>113</v>
      </c>
      <c r="V220" s="165">
        <v>105</v>
      </c>
      <c r="W220" s="165">
        <v>120</v>
      </c>
      <c r="X220" s="165">
        <v>77</v>
      </c>
      <c r="Y220" s="165">
        <v>96</v>
      </c>
      <c r="Z220" s="165">
        <v>109</v>
      </c>
      <c r="AA220" s="165">
        <v>69</v>
      </c>
      <c r="AB220" s="165">
        <v>96</v>
      </c>
      <c r="AC220" s="165">
        <v>82</v>
      </c>
      <c r="AD220" s="165">
        <v>82</v>
      </c>
      <c r="AE220" s="165">
        <f t="shared" si="188"/>
        <v>1153</v>
      </c>
      <c r="AF220" s="166">
        <f t="shared" si="93"/>
        <v>96.083333333333329</v>
      </c>
      <c r="AG220" s="183"/>
      <c r="AH220" s="164">
        <v>146</v>
      </c>
      <c r="AI220" s="165">
        <v>118</v>
      </c>
      <c r="AJ220" s="165">
        <v>130</v>
      </c>
      <c r="AK220" s="165">
        <v>125</v>
      </c>
      <c r="AL220" s="165">
        <v>110.00000000000001</v>
      </c>
      <c r="AM220" s="165">
        <v>113.99999999999999</v>
      </c>
      <c r="AN220" s="165">
        <v>126.99999999999999</v>
      </c>
      <c r="AO220" s="165">
        <v>121.00000000000001</v>
      </c>
      <c r="AP220" s="165">
        <v>121.99999999999999</v>
      </c>
      <c r="AQ220" s="165">
        <v>162</v>
      </c>
      <c r="AR220" s="165">
        <v>408</v>
      </c>
      <c r="AS220" s="165">
        <v>171</v>
      </c>
      <c r="AT220" s="165">
        <f t="shared" si="189"/>
        <v>1854</v>
      </c>
      <c r="AU220" s="166">
        <f t="shared" si="201"/>
        <v>154.5</v>
      </c>
      <c r="AV220" s="183"/>
      <c r="AW220" s="490">
        <v>160</v>
      </c>
      <c r="AX220" s="165">
        <v>215</v>
      </c>
      <c r="AY220" s="165">
        <v>168</v>
      </c>
      <c r="AZ220" s="165">
        <v>196</v>
      </c>
      <c r="BA220" s="165">
        <v>219</v>
      </c>
      <c r="BB220" s="165">
        <v>181</v>
      </c>
      <c r="BC220" s="165">
        <v>190</v>
      </c>
      <c r="BD220" s="165">
        <v>157</v>
      </c>
      <c r="BE220" s="165">
        <v>174</v>
      </c>
      <c r="BF220" s="165">
        <v>138</v>
      </c>
      <c r="BG220" s="165">
        <v>134</v>
      </c>
      <c r="BH220" s="165">
        <v>132</v>
      </c>
      <c r="BI220" s="165">
        <f t="shared" si="190"/>
        <v>2064</v>
      </c>
      <c r="BJ220" s="166">
        <f t="shared" si="196"/>
        <v>172</v>
      </c>
      <c r="BK220" s="183"/>
      <c r="BL220" s="490">
        <v>143</v>
      </c>
      <c r="BM220" s="165">
        <v>95</v>
      </c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>
        <f t="shared" si="191"/>
        <v>238</v>
      </c>
      <c r="BY220" s="166">
        <f t="shared" si="159"/>
        <v>119</v>
      </c>
      <c r="CA220" s="169">
        <f>ROW()</f>
        <v>220</v>
      </c>
      <c r="CB220" s="169">
        <f>IFERROR(_xlfn.XLOOKUP($A$1,$2:$2,220:220)-_xlfn.XLOOKUP(EDATE($A$1,-12),$2:$2,220:220),"")</f>
        <v>-120</v>
      </c>
      <c r="CC220" s="169">
        <f t="shared" si="153"/>
        <v>17.5</v>
      </c>
      <c r="CD220" s="169">
        <f>IFERROR(
  SUM(
    _xlfn.XLOOKUP(DATE(YEAR($A$1),1,1),$2:$2,220:220):
    _xlfn.XLOOKUP($A$1,$2:$2,220:220)
  )
 -SUM(
    _xlfn.XLOOKUP(DATE(YEAR($A$1)-1,1,1),$2:$2,220:220):
    _xlfn.XLOOKUP(EDATE($A$1,-12),$2:$2,220:220)
  ),"")</f>
        <v>-137</v>
      </c>
      <c r="CE220" s="4517">
        <f>IFERROR(
  _xlfn.XLOOKUP($A$1,$B$2:$BY$2,$B220:$BY220)
 -_xlfn.XLOOKUP(EDATE($A$1,-1),$B$2:$BY$2,$B220:$BY220),"")</f>
        <v>-48</v>
      </c>
    </row>
    <row r="221" spans="1:86" ht="17.399999999999999" customHeight="1" x14ac:dyDescent="0.55000000000000004">
      <c r="A221" s="7198"/>
      <c r="B221" s="7212" t="s">
        <v>1131</v>
      </c>
      <c r="C221" s="62" t="s">
        <v>405</v>
      </c>
      <c r="D221" s="128">
        <v>2371</v>
      </c>
      <c r="E221" s="129">
        <v>1609</v>
      </c>
      <c r="F221" s="129">
        <v>1605</v>
      </c>
      <c r="G221" s="129">
        <v>1555</v>
      </c>
      <c r="H221" s="129">
        <v>1565</v>
      </c>
      <c r="I221" s="129">
        <v>1616</v>
      </c>
      <c r="J221" s="129">
        <v>1437</v>
      </c>
      <c r="K221" s="129">
        <v>1755</v>
      </c>
      <c r="L221" s="129">
        <v>1393</v>
      </c>
      <c r="M221" s="129">
        <v>1376</v>
      </c>
      <c r="N221" s="129">
        <v>1607</v>
      </c>
      <c r="O221" s="129">
        <v>1498</v>
      </c>
      <c r="P221" s="129">
        <f t="shared" ref="P221:P257" si="202">SUM(D221:O221)</f>
        <v>19387</v>
      </c>
      <c r="Q221" s="130">
        <f t="shared" si="91"/>
        <v>1615.5833333333333</v>
      </c>
      <c r="R221" s="183"/>
      <c r="S221" s="128">
        <v>1623</v>
      </c>
      <c r="T221" s="129">
        <v>1857</v>
      </c>
      <c r="U221" s="129">
        <v>1623</v>
      </c>
      <c r="V221" s="129">
        <v>1769</v>
      </c>
      <c r="W221" s="129">
        <v>1525</v>
      </c>
      <c r="X221" s="129">
        <v>1475</v>
      </c>
      <c r="Y221" s="129">
        <v>1263</v>
      </c>
      <c r="Z221" s="129">
        <v>1902</v>
      </c>
      <c r="AA221" s="129">
        <v>1155</v>
      </c>
      <c r="AB221" s="129">
        <v>1402</v>
      </c>
      <c r="AC221" s="129">
        <v>1334</v>
      </c>
      <c r="AD221" s="129">
        <v>1087</v>
      </c>
      <c r="AE221" s="129">
        <f>SUM(S221:AD221)</f>
        <v>18015</v>
      </c>
      <c r="AF221" s="130">
        <f t="shared" si="93"/>
        <v>1501.25</v>
      </c>
      <c r="AG221" s="183"/>
      <c r="AH221" s="128">
        <v>1894</v>
      </c>
      <c r="AI221" s="129">
        <v>1476</v>
      </c>
      <c r="AJ221" s="129">
        <v>1752</v>
      </c>
      <c r="AK221" s="129">
        <v>1902</v>
      </c>
      <c r="AL221" s="129">
        <v>2023</v>
      </c>
      <c r="AM221" s="129">
        <v>1707.9999999999998</v>
      </c>
      <c r="AN221" s="129">
        <v>2191</v>
      </c>
      <c r="AO221" s="129">
        <v>1676</v>
      </c>
      <c r="AP221" s="129">
        <v>1732</v>
      </c>
      <c r="AQ221" s="129">
        <v>1780</v>
      </c>
      <c r="AR221" s="129">
        <v>1845</v>
      </c>
      <c r="AS221" s="129">
        <v>1608</v>
      </c>
      <c r="AT221" s="129">
        <f t="shared" ref="AT221:AT257" si="203">SUM(AH221:AS221)</f>
        <v>21587</v>
      </c>
      <c r="AU221" s="130">
        <f t="shared" si="201"/>
        <v>1798.9166666666667</v>
      </c>
      <c r="AV221" s="183"/>
      <c r="AW221" s="478">
        <v>1327</v>
      </c>
      <c r="AX221" s="129">
        <v>2719</v>
      </c>
      <c r="AY221" s="129">
        <v>2053</v>
      </c>
      <c r="AZ221" s="129">
        <v>2414</v>
      </c>
      <c r="BA221" s="129">
        <v>3928.9999999999995</v>
      </c>
      <c r="BB221" s="129">
        <v>2208</v>
      </c>
      <c r="BC221" s="129">
        <v>3049</v>
      </c>
      <c r="BD221" s="129">
        <v>2187</v>
      </c>
      <c r="BE221" s="129">
        <v>2132</v>
      </c>
      <c r="BF221" s="129">
        <v>1533</v>
      </c>
      <c r="BG221" s="129">
        <v>1579</v>
      </c>
      <c r="BH221" s="129">
        <v>1483</v>
      </c>
      <c r="BI221" s="129">
        <f t="shared" si="190"/>
        <v>26613</v>
      </c>
      <c r="BJ221" s="130">
        <f t="shared" si="196"/>
        <v>2217.75</v>
      </c>
      <c r="BK221" s="183"/>
      <c r="BL221" s="478">
        <v>2218</v>
      </c>
      <c r="BM221" s="129">
        <v>1500</v>
      </c>
      <c r="BN221" s="129"/>
      <c r="BO221" s="129"/>
      <c r="BP221" s="129"/>
      <c r="BQ221" s="129"/>
      <c r="BR221" s="129"/>
      <c r="BS221" s="129"/>
      <c r="BT221" s="129"/>
      <c r="BU221" s="129"/>
      <c r="BV221" s="129"/>
      <c r="BW221" s="129"/>
      <c r="BX221" s="129">
        <f t="shared" si="191"/>
        <v>3718</v>
      </c>
      <c r="BY221" s="130">
        <f t="shared" si="159"/>
        <v>1859</v>
      </c>
      <c r="CA221" s="169">
        <f>ROW()</f>
        <v>221</v>
      </c>
      <c r="CB221" s="169">
        <f>IFERROR(_xlfn.XLOOKUP($A$1,$2:$2,221:221)-_xlfn.XLOOKUP(EDATE($A$1,-12),$2:$2,221:221),"")</f>
        <v>-1219</v>
      </c>
      <c r="CC221" s="169">
        <f t="shared" si="153"/>
        <v>418.83333333333326</v>
      </c>
      <c r="CD221" s="169">
        <f>IFERROR(
  SUM(
    _xlfn.XLOOKUP(DATE(YEAR($A$1),1,1),$2:$2,221:221):
    _xlfn.XLOOKUP($A$1,$2:$2,221:221)
  )
 -SUM(
    _xlfn.XLOOKUP(DATE(YEAR($A$1)-1,1,1),$2:$2,221:221):
    _xlfn.XLOOKUP(EDATE($A$1,-12),$2:$2,221:221)
  ),"")</f>
        <v>-328</v>
      </c>
      <c r="CE221" s="4517">
        <f>IFERROR(
  _xlfn.XLOOKUP($A$1,$B$2:$BY$2,$B221:$BY221)
 -_xlfn.XLOOKUP(EDATE($A$1,-1),$B$2:$BY$2,$B221:$BY221),"")</f>
        <v>-718</v>
      </c>
    </row>
    <row r="222" spans="1:86" ht="17.399999999999999" customHeight="1" x14ac:dyDescent="0.55000000000000004">
      <c r="A222" s="7198"/>
      <c r="B222" s="7216"/>
      <c r="C222" s="63" t="s">
        <v>1016</v>
      </c>
      <c r="D222" s="131">
        <v>522</v>
      </c>
      <c r="E222" s="132">
        <v>471</v>
      </c>
      <c r="F222" s="132">
        <v>585</v>
      </c>
      <c r="G222" s="132">
        <v>616</v>
      </c>
      <c r="H222" s="132">
        <v>580</v>
      </c>
      <c r="I222" s="132">
        <v>536</v>
      </c>
      <c r="J222" s="132">
        <v>508</v>
      </c>
      <c r="K222" s="132">
        <v>456</v>
      </c>
      <c r="L222" s="132">
        <v>794</v>
      </c>
      <c r="M222" s="132">
        <v>1715</v>
      </c>
      <c r="N222" s="132">
        <v>862</v>
      </c>
      <c r="O222" s="132">
        <v>794</v>
      </c>
      <c r="P222" s="132">
        <f t="shared" ref="P222" si="204">SUM(D222:O222)</f>
        <v>8439</v>
      </c>
      <c r="Q222" s="133">
        <f t="shared" ref="Q222" si="205">P222/12</f>
        <v>703.25</v>
      </c>
      <c r="R222" s="183"/>
      <c r="S222" s="131">
        <v>282</v>
      </c>
      <c r="T222" s="132">
        <v>335</v>
      </c>
      <c r="U222" s="132">
        <v>376</v>
      </c>
      <c r="V222" s="132">
        <v>408</v>
      </c>
      <c r="W222" s="132">
        <v>464</v>
      </c>
      <c r="X222" s="132">
        <v>393</v>
      </c>
      <c r="Y222" s="132">
        <v>300</v>
      </c>
      <c r="Z222" s="132">
        <v>285</v>
      </c>
      <c r="AA222" s="132">
        <v>301</v>
      </c>
      <c r="AB222" s="132">
        <v>288</v>
      </c>
      <c r="AC222" s="132">
        <v>287</v>
      </c>
      <c r="AD222" s="132">
        <v>253</v>
      </c>
      <c r="AE222" s="132">
        <f>SUM(S222:AD222)</f>
        <v>3972</v>
      </c>
      <c r="AF222" s="133">
        <f t="shared" ref="AF222" si="206">AE222/12</f>
        <v>331</v>
      </c>
      <c r="AG222" s="183"/>
      <c r="AH222" s="131">
        <v>244</v>
      </c>
      <c r="AI222" s="132">
        <v>248</v>
      </c>
      <c r="AJ222" s="132">
        <v>272</v>
      </c>
      <c r="AK222" s="132">
        <v>230</v>
      </c>
      <c r="AL222" s="132">
        <v>292</v>
      </c>
      <c r="AM222" s="132">
        <v>453</v>
      </c>
      <c r="AN222" s="132">
        <v>422</v>
      </c>
      <c r="AO222" s="132">
        <v>754</v>
      </c>
      <c r="AP222" s="132">
        <v>489</v>
      </c>
      <c r="AQ222" s="132">
        <v>460</v>
      </c>
      <c r="AR222" s="132">
        <v>383</v>
      </c>
      <c r="AS222" s="132">
        <v>265</v>
      </c>
      <c r="AT222" s="132">
        <f t="shared" ref="AT222" si="207">SUM(AH222:AS222)</f>
        <v>4512</v>
      </c>
      <c r="AU222" s="133">
        <f t="shared" ref="AU222" si="208">AT222/12</f>
        <v>376</v>
      </c>
      <c r="AV222" s="183"/>
      <c r="AW222" s="479">
        <v>276</v>
      </c>
      <c r="AX222" s="132">
        <v>282</v>
      </c>
      <c r="AY222" s="132">
        <v>347</v>
      </c>
      <c r="AZ222" s="132">
        <v>403</v>
      </c>
      <c r="BA222" s="132">
        <v>527</v>
      </c>
      <c r="BB222" s="132">
        <v>356</v>
      </c>
      <c r="BC222" s="132">
        <v>645</v>
      </c>
      <c r="BD222" s="132">
        <v>348</v>
      </c>
      <c r="BE222" s="132">
        <v>373</v>
      </c>
      <c r="BF222" s="132">
        <v>191</v>
      </c>
      <c r="BG222" s="132">
        <v>161</v>
      </c>
      <c r="BH222" s="132">
        <v>128</v>
      </c>
      <c r="BI222" s="132">
        <f t="shared" si="190"/>
        <v>4037</v>
      </c>
      <c r="BJ222" s="133">
        <f t="shared" si="196"/>
        <v>336.41666666666669</v>
      </c>
      <c r="BK222" s="183"/>
      <c r="BL222" s="479">
        <v>769</v>
      </c>
      <c r="BM222" s="132">
        <v>969</v>
      </c>
      <c r="BN222" s="132"/>
      <c r="BO222" s="132"/>
      <c r="BP222" s="132"/>
      <c r="BQ222" s="132"/>
      <c r="BR222" s="132"/>
      <c r="BS222" s="132"/>
      <c r="BT222" s="132"/>
      <c r="BU222" s="132"/>
      <c r="BV222" s="132"/>
      <c r="BW222" s="132"/>
      <c r="BX222" s="132">
        <f t="shared" si="191"/>
        <v>1738</v>
      </c>
      <c r="BY222" s="133">
        <f t="shared" si="159"/>
        <v>869</v>
      </c>
      <c r="CA222" s="169">
        <f>ROW()</f>
        <v>222</v>
      </c>
      <c r="CB222" s="169">
        <f>IFERROR(_xlfn.XLOOKUP($A$1,$2:$2,222:222)-_xlfn.XLOOKUP(EDATE($A$1,-12),$2:$2,222:222),"")</f>
        <v>687</v>
      </c>
      <c r="CC222" s="169">
        <f t="shared" si="153"/>
        <v>-39.583333333333314</v>
      </c>
      <c r="CD222" s="169">
        <f>IFERROR(
  SUM(
    _xlfn.XLOOKUP(DATE(YEAR($A$1),1,1),$2:$2,222:222):
    _xlfn.XLOOKUP($A$1,$2:$2,222:222)
  )
 -SUM(
    _xlfn.XLOOKUP(DATE(YEAR($A$1)-1,1,1),$2:$2,222:222):
    _xlfn.XLOOKUP(EDATE($A$1,-12),$2:$2,222:222)
  ),"")</f>
        <v>1180</v>
      </c>
      <c r="CE222" s="4517">
        <f>IFERROR(
  _xlfn.XLOOKUP($A$1,$B$2:$BY$2,$B222:$BY222)
 -_xlfn.XLOOKUP(EDATE($A$1,-1),$B$2:$BY$2,$B222:$BY222),"")</f>
        <v>200</v>
      </c>
    </row>
    <row r="223" spans="1:86" ht="17.399999999999999" customHeight="1" x14ac:dyDescent="0.55000000000000004">
      <c r="A223" s="7198"/>
      <c r="B223" s="7213"/>
      <c r="C223" s="63" t="s">
        <v>407</v>
      </c>
      <c r="D223" s="131">
        <v>2112</v>
      </c>
      <c r="E223" s="132">
        <v>2095</v>
      </c>
      <c r="F223" s="132">
        <v>2291</v>
      </c>
      <c r="G223" s="132">
        <v>2640</v>
      </c>
      <c r="H223" s="132">
        <v>2750</v>
      </c>
      <c r="I223" s="132">
        <v>2342</v>
      </c>
      <c r="J223" s="132">
        <v>1613</v>
      </c>
      <c r="K223" s="132">
        <v>1905</v>
      </c>
      <c r="L223" s="132">
        <v>1535</v>
      </c>
      <c r="M223" s="132">
        <v>1632</v>
      </c>
      <c r="N223" s="132">
        <v>1442</v>
      </c>
      <c r="O223" s="132">
        <v>1176</v>
      </c>
      <c r="P223" s="132">
        <f t="shared" si="202"/>
        <v>23533</v>
      </c>
      <c r="Q223" s="133">
        <f t="shared" si="91"/>
        <v>1961.0833333333333</v>
      </c>
      <c r="R223" s="183"/>
      <c r="S223" s="131">
        <v>1320</v>
      </c>
      <c r="T223" s="132">
        <v>1543</v>
      </c>
      <c r="U223" s="132">
        <v>1379</v>
      </c>
      <c r="V223" s="132">
        <v>1253</v>
      </c>
      <c r="W223" s="132">
        <v>1609</v>
      </c>
      <c r="X223" s="132">
        <v>1414</v>
      </c>
      <c r="Y223" s="132">
        <v>1275</v>
      </c>
      <c r="Z223" s="132">
        <v>1709</v>
      </c>
      <c r="AA223" s="132">
        <v>1443</v>
      </c>
      <c r="AB223" s="132">
        <v>1693</v>
      </c>
      <c r="AC223" s="132">
        <v>1727</v>
      </c>
      <c r="AD223" s="132">
        <v>1055</v>
      </c>
      <c r="AE223" s="132">
        <f>SUM(S223:AD223)</f>
        <v>17420</v>
      </c>
      <c r="AF223" s="133">
        <f t="shared" si="93"/>
        <v>1451.6666666666667</v>
      </c>
      <c r="AG223" s="183"/>
      <c r="AH223" s="131">
        <v>1644</v>
      </c>
      <c r="AI223" s="132">
        <v>1381</v>
      </c>
      <c r="AJ223" s="132">
        <v>1585</v>
      </c>
      <c r="AK223" s="132">
        <v>1529</v>
      </c>
      <c r="AL223" s="132">
        <v>1782</v>
      </c>
      <c r="AM223" s="132">
        <v>1618</v>
      </c>
      <c r="AN223" s="132">
        <v>1792</v>
      </c>
      <c r="AO223" s="132">
        <v>1775.0000000000002</v>
      </c>
      <c r="AP223" s="132">
        <v>1790</v>
      </c>
      <c r="AQ223" s="132">
        <v>2087</v>
      </c>
      <c r="AR223" s="132">
        <v>2097</v>
      </c>
      <c r="AS223" s="132">
        <v>1942</v>
      </c>
      <c r="AT223" s="132">
        <f t="shared" si="203"/>
        <v>21022</v>
      </c>
      <c r="AU223" s="133">
        <f t="shared" si="201"/>
        <v>1751.8333333333333</v>
      </c>
      <c r="AV223" s="183"/>
      <c r="AW223" s="479">
        <v>1828</v>
      </c>
      <c r="AX223" s="132">
        <v>2334</v>
      </c>
      <c r="AY223" s="132">
        <v>2074</v>
      </c>
      <c r="AZ223" s="132">
        <v>2120</v>
      </c>
      <c r="BA223" s="132">
        <v>4113</v>
      </c>
      <c r="BB223" s="132">
        <v>3180</v>
      </c>
      <c r="BC223" s="132">
        <v>2864</v>
      </c>
      <c r="BD223" s="132">
        <v>2091</v>
      </c>
      <c r="BE223" s="132">
        <v>2104</v>
      </c>
      <c r="BF223" s="132">
        <v>1989</v>
      </c>
      <c r="BG223" s="132">
        <v>1933</v>
      </c>
      <c r="BH223" s="132">
        <v>1917</v>
      </c>
      <c r="BI223" s="132">
        <f t="shared" si="190"/>
        <v>28547</v>
      </c>
      <c r="BJ223" s="133">
        <f t="shared" si="196"/>
        <v>2378.9166666666665</v>
      </c>
      <c r="BK223" s="183"/>
      <c r="BL223" s="479">
        <v>2060</v>
      </c>
      <c r="BM223" s="132">
        <v>1488</v>
      </c>
      <c r="BN223" s="132"/>
      <c r="BO223" s="132"/>
      <c r="BP223" s="132"/>
      <c r="BQ223" s="132"/>
      <c r="BR223" s="132"/>
      <c r="BS223" s="132"/>
      <c r="BT223" s="132"/>
      <c r="BU223" s="132"/>
      <c r="BV223" s="132"/>
      <c r="BW223" s="132"/>
      <c r="BX223" s="132">
        <f t="shared" si="191"/>
        <v>3548</v>
      </c>
      <c r="BY223" s="133">
        <f t="shared" si="159"/>
        <v>1774</v>
      </c>
      <c r="CA223" s="169">
        <f>ROW()</f>
        <v>223</v>
      </c>
      <c r="CB223" s="169">
        <f>IFERROR(_xlfn.XLOOKUP($A$1,$2:$2,223:223)-_xlfn.XLOOKUP(EDATE($A$1,-12),$2:$2,223:223),"")</f>
        <v>-846</v>
      </c>
      <c r="CC223" s="169">
        <f t="shared" ref="CC223:CC284" si="209">BJ223-AU223</f>
        <v>627.08333333333326</v>
      </c>
      <c r="CD223" s="169">
        <f>IFERROR(
  SUM(
    _xlfn.XLOOKUP(DATE(YEAR($A$1),1,1),$2:$2,223:223):
    _xlfn.XLOOKUP($A$1,$2:$2,223:223)
  )
 -SUM(
    _xlfn.XLOOKUP(DATE(YEAR($A$1)-1,1,1),$2:$2,223:223):
    _xlfn.XLOOKUP(EDATE($A$1,-12),$2:$2,223:223)
  ),"")</f>
        <v>-614</v>
      </c>
      <c r="CE223" s="4517">
        <f>IFERROR(
  _xlfn.XLOOKUP($A$1,$B$2:$BY$2,$B223:$BY223)
 -_xlfn.XLOOKUP(EDATE($A$1,-1),$B$2:$BY$2,$B223:$BY223),"")</f>
        <v>-572</v>
      </c>
    </row>
    <row r="224" spans="1:86" ht="17.399999999999999" customHeight="1" x14ac:dyDescent="0.55000000000000004">
      <c r="A224" s="7198"/>
      <c r="B224" s="7213"/>
      <c r="C224" s="63" t="s">
        <v>875</v>
      </c>
      <c r="D224" s="131">
        <v>371</v>
      </c>
      <c r="E224" s="132">
        <v>321</v>
      </c>
      <c r="F224" s="132">
        <v>369</v>
      </c>
      <c r="G224" s="132">
        <v>249</v>
      </c>
      <c r="H224" s="132">
        <v>285</v>
      </c>
      <c r="I224" s="132">
        <v>256</v>
      </c>
      <c r="J224" s="132">
        <v>238</v>
      </c>
      <c r="K224" s="132">
        <v>549</v>
      </c>
      <c r="L224" s="132">
        <v>580</v>
      </c>
      <c r="M224" s="132">
        <v>850</v>
      </c>
      <c r="N224" s="132">
        <v>510</v>
      </c>
      <c r="O224" s="132">
        <v>202</v>
      </c>
      <c r="P224" s="132">
        <f t="shared" si="202"/>
        <v>4780</v>
      </c>
      <c r="Q224" s="133">
        <f t="shared" si="91"/>
        <v>398.33333333333331</v>
      </c>
      <c r="R224" s="183"/>
      <c r="S224" s="131">
        <v>13</v>
      </c>
      <c r="T224" s="132">
        <v>18</v>
      </c>
      <c r="U224" s="132">
        <v>10</v>
      </c>
      <c r="V224" s="132">
        <v>5</v>
      </c>
      <c r="W224" s="132">
        <v>12</v>
      </c>
      <c r="X224" s="132">
        <v>67</v>
      </c>
      <c r="Y224" s="132">
        <v>58</v>
      </c>
      <c r="Z224" s="132">
        <v>60</v>
      </c>
      <c r="AA224" s="132">
        <v>53</v>
      </c>
      <c r="AB224" s="132">
        <v>125</v>
      </c>
      <c r="AC224" s="132">
        <v>123</v>
      </c>
      <c r="AD224" s="132">
        <v>10</v>
      </c>
      <c r="AE224" s="132">
        <f>SUM(S224:AD224)</f>
        <v>554</v>
      </c>
      <c r="AF224" s="133">
        <f t="shared" si="93"/>
        <v>46.166666666666664</v>
      </c>
      <c r="AG224" s="183"/>
      <c r="AH224" s="131">
        <v>25</v>
      </c>
      <c r="AI224" s="132">
        <v>43</v>
      </c>
      <c r="AJ224" s="132">
        <v>121</v>
      </c>
      <c r="AK224" s="132">
        <v>81</v>
      </c>
      <c r="AL224" s="132">
        <v>131</v>
      </c>
      <c r="AM224" s="132">
        <v>100</v>
      </c>
      <c r="AN224" s="132">
        <v>55.000000000000007</v>
      </c>
      <c r="AO224" s="132">
        <v>56</v>
      </c>
      <c r="AP224" s="132">
        <v>32</v>
      </c>
      <c r="AQ224" s="132">
        <v>28</v>
      </c>
      <c r="AR224" s="132">
        <v>35</v>
      </c>
      <c r="AS224" s="132">
        <v>41</v>
      </c>
      <c r="AT224" s="132">
        <f t="shared" si="203"/>
        <v>748</v>
      </c>
      <c r="AU224" s="133">
        <f t="shared" si="201"/>
        <v>62.333333333333336</v>
      </c>
      <c r="AV224" s="183"/>
      <c r="AW224" s="479">
        <v>20</v>
      </c>
      <c r="AX224" s="132">
        <v>15</v>
      </c>
      <c r="AY224" s="132">
        <v>43</v>
      </c>
      <c r="AZ224" s="132">
        <v>62</v>
      </c>
      <c r="BA224" s="132">
        <v>213</v>
      </c>
      <c r="BB224" s="132">
        <v>119</v>
      </c>
      <c r="BC224" s="132">
        <v>223</v>
      </c>
      <c r="BD224" s="132">
        <v>88</v>
      </c>
      <c r="BE224" s="132">
        <v>126</v>
      </c>
      <c r="BF224" s="132">
        <v>78</v>
      </c>
      <c r="BG224" s="132">
        <v>125</v>
      </c>
      <c r="BH224" s="132">
        <v>112</v>
      </c>
      <c r="BI224" s="132">
        <f t="shared" si="190"/>
        <v>1224</v>
      </c>
      <c r="BJ224" s="133">
        <f t="shared" si="196"/>
        <v>102</v>
      </c>
      <c r="BK224" s="183"/>
      <c r="BL224" s="479">
        <v>101</v>
      </c>
      <c r="BM224" s="132">
        <v>97.999999999999986</v>
      </c>
      <c r="BN224" s="132"/>
      <c r="BO224" s="132"/>
      <c r="BP224" s="132"/>
      <c r="BQ224" s="132"/>
      <c r="BR224" s="132"/>
      <c r="BS224" s="132"/>
      <c r="BT224" s="132"/>
      <c r="BU224" s="132"/>
      <c r="BV224" s="132"/>
      <c r="BW224" s="132"/>
      <c r="BX224" s="132">
        <f t="shared" si="191"/>
        <v>199</v>
      </c>
      <c r="BY224" s="133">
        <f t="shared" si="159"/>
        <v>99.5</v>
      </c>
      <c r="CA224" s="169">
        <f>ROW()</f>
        <v>224</v>
      </c>
      <c r="CB224" s="169">
        <f>IFERROR(_xlfn.XLOOKUP($A$1,$2:$2,224:224)-_xlfn.XLOOKUP(EDATE($A$1,-12),$2:$2,224:224),"")</f>
        <v>82.999999999999986</v>
      </c>
      <c r="CC224" s="169">
        <f t="shared" si="209"/>
        <v>39.666666666666664</v>
      </c>
      <c r="CD224" s="169">
        <f>IFERROR(
  SUM(
    _xlfn.XLOOKUP(DATE(YEAR($A$1),1,1),$2:$2,224:224):
    _xlfn.XLOOKUP($A$1,$2:$2,224:224)
  )
 -SUM(
    _xlfn.XLOOKUP(DATE(YEAR($A$1)-1,1,1),$2:$2,224:224):
    _xlfn.XLOOKUP(EDATE($A$1,-12),$2:$2,224:224)
  ),"")</f>
        <v>164</v>
      </c>
      <c r="CE224" s="4517">
        <f>IFERROR(
  _xlfn.XLOOKUP($A$1,$B$2:$BY$2,$B224:$BY224)
 -_xlfn.XLOOKUP(EDATE($A$1,-1),$B$2:$BY$2,$B224:$BY224),"")</f>
        <v>-3.0000000000000142</v>
      </c>
    </row>
    <row r="225" spans="1:83" ht="17.399999999999999" customHeight="1" x14ac:dyDescent="0.55000000000000004">
      <c r="A225" s="7198"/>
      <c r="B225" s="532"/>
      <c r="C225" s="538" t="s">
        <v>22</v>
      </c>
      <c r="D225" s="131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3"/>
      <c r="R225" s="132"/>
      <c r="S225" s="131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3"/>
      <c r="AG225" s="132"/>
      <c r="AH225" s="131"/>
      <c r="AI225" s="132"/>
      <c r="AJ225" s="132">
        <v>1</v>
      </c>
      <c r="AK225" s="132"/>
      <c r="AL225" s="132"/>
      <c r="AM225" s="132"/>
      <c r="AN225" s="132"/>
      <c r="AO225" s="132">
        <v>1</v>
      </c>
      <c r="AP225" s="132">
        <v>10</v>
      </c>
      <c r="AQ225" s="132">
        <v>2</v>
      </c>
      <c r="AR225" s="132">
        <v>2</v>
      </c>
      <c r="AS225" s="132"/>
      <c r="AT225" s="132">
        <f>SUM(AH225:AS225)</f>
        <v>16</v>
      </c>
      <c r="AU225" s="133">
        <f>AVERAGE(AH225:AS225)</f>
        <v>3.2</v>
      </c>
      <c r="AV225" s="183"/>
      <c r="AW225" s="537">
        <v>8</v>
      </c>
      <c r="AX225" s="132">
        <v>7</v>
      </c>
      <c r="AY225" s="132">
        <v>17</v>
      </c>
      <c r="AZ225" s="132">
        <v>4</v>
      </c>
      <c r="BA225" s="132">
        <f>8818-SUM(BA221:BA224)</f>
        <v>36</v>
      </c>
      <c r="BB225" s="132">
        <v>0</v>
      </c>
      <c r="BC225" s="132">
        <v>86</v>
      </c>
      <c r="BD225" s="132">
        <v>11</v>
      </c>
      <c r="BE225" s="132">
        <v>7</v>
      </c>
      <c r="BF225" s="132">
        <v>7</v>
      </c>
      <c r="BG225" s="132">
        <v>3</v>
      </c>
      <c r="BH225" s="132">
        <v>4</v>
      </c>
      <c r="BI225" s="132"/>
      <c r="BJ225" s="133">
        <f t="shared" si="196"/>
        <v>15.833333333333334</v>
      </c>
      <c r="BK225" s="132"/>
      <c r="BL225" s="537">
        <v>12</v>
      </c>
      <c r="BM225" s="132">
        <v>36</v>
      </c>
      <c r="BN225" s="132"/>
      <c r="BO225" s="132"/>
      <c r="BP225" s="132"/>
      <c r="BQ225" s="132"/>
      <c r="BR225" s="132"/>
      <c r="BS225" s="132"/>
      <c r="BT225" s="132"/>
      <c r="BU225" s="132"/>
      <c r="BV225" s="132"/>
      <c r="BW225" s="132"/>
      <c r="BX225" s="132"/>
      <c r="BY225" s="133">
        <f t="shared" si="159"/>
        <v>24</v>
      </c>
      <c r="CA225" s="169">
        <f>ROW()</f>
        <v>225</v>
      </c>
      <c r="CB225" s="169">
        <f>IFERROR(_xlfn.XLOOKUP($A$1,$2:$2,225:225)-_xlfn.XLOOKUP(EDATE($A$1,-12),$2:$2,225:225),"")</f>
        <v>29</v>
      </c>
      <c r="CC225" s="169">
        <f t="shared" si="209"/>
        <v>12.633333333333333</v>
      </c>
      <c r="CD225" s="169">
        <f>IFERROR(
  SUM(
    _xlfn.XLOOKUP(DATE(YEAR($A$1),1,1),$2:$2,225:225):
    _xlfn.XLOOKUP($A$1,$2:$2,225:225)
  )
 -SUM(
    _xlfn.XLOOKUP(DATE(YEAR($A$1)-1,1,1),$2:$2,225:225):
    _xlfn.XLOOKUP(EDATE($A$1,-12),$2:$2,225:225)
  ),"")</f>
        <v>33</v>
      </c>
      <c r="CE225" s="4517">
        <f>IFERROR(
  _xlfn.XLOOKUP($A$1,$B$2:$BY$2,$B225:$BY225)
 -_xlfn.XLOOKUP(EDATE($A$1,-1),$B$2:$BY$2,$B225:$BY225),"")</f>
        <v>24</v>
      </c>
    </row>
    <row r="226" spans="1:83" ht="17.399999999999999" customHeight="1" x14ac:dyDescent="0.55000000000000004">
      <c r="A226" s="7198"/>
      <c r="B226" s="7203" t="s">
        <v>411</v>
      </c>
      <c r="C226" s="64" t="s">
        <v>400</v>
      </c>
      <c r="D226" s="143">
        <f>D231+D232</f>
        <v>339</v>
      </c>
      <c r="E226" s="144">
        <f t="shared" ref="E226:O226" si="210">E231+E232</f>
        <v>228</v>
      </c>
      <c r="F226" s="144">
        <f t="shared" si="210"/>
        <v>225</v>
      </c>
      <c r="G226" s="144">
        <f t="shared" si="210"/>
        <v>217</v>
      </c>
      <c r="H226" s="144">
        <f t="shared" si="210"/>
        <v>214</v>
      </c>
      <c r="I226" s="144">
        <f t="shared" si="210"/>
        <v>266</v>
      </c>
      <c r="J226" s="144">
        <f t="shared" si="210"/>
        <v>242</v>
      </c>
      <c r="K226" s="144">
        <f t="shared" si="210"/>
        <v>269</v>
      </c>
      <c r="L226" s="144">
        <f t="shared" si="210"/>
        <v>236</v>
      </c>
      <c r="M226" s="144">
        <f t="shared" si="210"/>
        <v>178</v>
      </c>
      <c r="N226" s="144">
        <f t="shared" si="210"/>
        <v>222</v>
      </c>
      <c r="O226" s="144">
        <f t="shared" si="210"/>
        <v>220</v>
      </c>
      <c r="P226" s="144">
        <f t="shared" si="202"/>
        <v>2856</v>
      </c>
      <c r="Q226" s="145">
        <f t="shared" si="91"/>
        <v>238</v>
      </c>
      <c r="R226" s="183"/>
      <c r="S226" s="143">
        <v>239</v>
      </c>
      <c r="T226" s="144">
        <v>259</v>
      </c>
      <c r="U226" s="144">
        <v>240</v>
      </c>
      <c r="V226" s="144">
        <v>283</v>
      </c>
      <c r="W226" s="144">
        <v>213</v>
      </c>
      <c r="X226" s="144">
        <v>184</v>
      </c>
      <c r="Y226" s="144">
        <v>185</v>
      </c>
      <c r="Z226" s="144">
        <v>261</v>
      </c>
      <c r="AA226" s="144">
        <v>137</v>
      </c>
      <c r="AB226" s="144">
        <v>169</v>
      </c>
      <c r="AC226" s="144">
        <v>138</v>
      </c>
      <c r="AD226" s="144">
        <v>144</v>
      </c>
      <c r="AE226" s="144">
        <f t="shared" si="181"/>
        <v>2452</v>
      </c>
      <c r="AF226" s="145">
        <f t="shared" si="93"/>
        <v>204.33333333333334</v>
      </c>
      <c r="AG226" s="183"/>
      <c r="AH226" s="143">
        <v>236</v>
      </c>
      <c r="AI226" s="144">
        <v>187</v>
      </c>
      <c r="AJ226" s="144">
        <v>221</v>
      </c>
      <c r="AK226" s="144">
        <v>266</v>
      </c>
      <c r="AL226" s="144">
        <v>266</v>
      </c>
      <c r="AM226" s="144">
        <v>252</v>
      </c>
      <c r="AN226" s="144">
        <v>351</v>
      </c>
      <c r="AO226" s="144">
        <v>272</v>
      </c>
      <c r="AP226" s="144">
        <v>280</v>
      </c>
      <c r="AQ226" s="144">
        <v>248</v>
      </c>
      <c r="AR226" s="144">
        <v>268</v>
      </c>
      <c r="AS226" s="144">
        <v>249</v>
      </c>
      <c r="AT226" s="144">
        <f t="shared" si="203"/>
        <v>3096</v>
      </c>
      <c r="AU226" s="145">
        <f t="shared" si="201"/>
        <v>258</v>
      </c>
      <c r="AV226" s="183"/>
      <c r="AW226" s="481">
        <v>195</v>
      </c>
      <c r="AX226" s="144">
        <v>392</v>
      </c>
      <c r="AY226" s="144">
        <v>293</v>
      </c>
      <c r="AZ226" s="144">
        <v>368</v>
      </c>
      <c r="BA226" s="144">
        <v>685</v>
      </c>
      <c r="BB226" s="144">
        <v>333</v>
      </c>
      <c r="BC226" s="144">
        <v>467.00000000000006</v>
      </c>
      <c r="BD226" s="144">
        <v>300</v>
      </c>
      <c r="BE226" s="144">
        <v>296</v>
      </c>
      <c r="BF226" s="144">
        <v>197</v>
      </c>
      <c r="BG226" s="144">
        <v>260</v>
      </c>
      <c r="BH226" s="144">
        <v>207</v>
      </c>
      <c r="BI226" s="144">
        <f t="shared" ref="BI226:BI257" si="211">SUM(AW226:BH226)</f>
        <v>3993</v>
      </c>
      <c r="BJ226" s="145">
        <f t="shared" si="196"/>
        <v>332.75</v>
      </c>
      <c r="BK226" s="183"/>
      <c r="BL226" s="481">
        <v>314</v>
      </c>
      <c r="BM226" s="144">
        <v>222</v>
      </c>
      <c r="BN226" s="144"/>
      <c r="BO226" s="144"/>
      <c r="BP226" s="144"/>
      <c r="BQ226" s="144"/>
      <c r="BR226" s="144"/>
      <c r="BS226" s="144"/>
      <c r="BT226" s="144"/>
      <c r="BU226" s="144"/>
      <c r="BV226" s="144"/>
      <c r="BW226" s="144"/>
      <c r="BX226" s="144">
        <f t="shared" ref="BX226:BX257" si="212">SUM(BL226:BW226)</f>
        <v>536</v>
      </c>
      <c r="BY226" s="145">
        <f t="shared" si="159"/>
        <v>268</v>
      </c>
      <c r="CA226" s="169">
        <f>ROW()</f>
        <v>226</v>
      </c>
      <c r="CB226" s="169">
        <f>IFERROR(_xlfn.XLOOKUP($A$1,$2:$2,226:226)-_xlfn.XLOOKUP(EDATE($A$1,-12),$2:$2,226:226),"")</f>
        <v>-170</v>
      </c>
      <c r="CC226" s="169">
        <f t="shared" si="209"/>
        <v>74.75</v>
      </c>
      <c r="CD226" s="169">
        <f>IFERROR(
  SUM(
    _xlfn.XLOOKUP(DATE(YEAR($A$1),1,1),$2:$2,226:226):
    _xlfn.XLOOKUP($A$1,$2:$2,226:226)
  )
 -SUM(
    _xlfn.XLOOKUP(DATE(YEAR($A$1)-1,1,1),$2:$2,226:226):
    _xlfn.XLOOKUP(EDATE($A$1,-12),$2:$2,226:226)
  ),"")</f>
        <v>-51</v>
      </c>
      <c r="CE226" s="4517">
        <f>IFERROR(
  _xlfn.XLOOKUP($A$1,$B$2:$BY$2,$B226:$BY226)
 -_xlfn.XLOOKUP(EDATE($A$1,-1),$B$2:$BY$2,$B226:$BY226),"")</f>
        <v>-92</v>
      </c>
    </row>
    <row r="227" spans="1:83" ht="17.399999999999999" customHeight="1" x14ac:dyDescent="0.55000000000000004">
      <c r="A227" s="7198"/>
      <c r="B227" s="7204"/>
      <c r="C227" s="65" t="s">
        <v>401</v>
      </c>
      <c r="D227" s="146">
        <f>D233+D234</f>
        <v>406</v>
      </c>
      <c r="E227" s="147">
        <f t="shared" ref="E227:O227" si="213">E233+E234</f>
        <v>235</v>
      </c>
      <c r="F227" s="147">
        <f t="shared" si="213"/>
        <v>232</v>
      </c>
      <c r="G227" s="147">
        <f t="shared" si="213"/>
        <v>242</v>
      </c>
      <c r="H227" s="147">
        <f t="shared" si="213"/>
        <v>227</v>
      </c>
      <c r="I227" s="147">
        <f t="shared" si="213"/>
        <v>234</v>
      </c>
      <c r="J227" s="147">
        <f t="shared" si="213"/>
        <v>219</v>
      </c>
      <c r="K227" s="147">
        <f t="shared" si="213"/>
        <v>223</v>
      </c>
      <c r="L227" s="147">
        <f t="shared" si="213"/>
        <v>231</v>
      </c>
      <c r="M227" s="147">
        <f t="shared" si="213"/>
        <v>195</v>
      </c>
      <c r="N227" s="147">
        <f t="shared" si="213"/>
        <v>228</v>
      </c>
      <c r="O227" s="147">
        <f t="shared" si="213"/>
        <v>249</v>
      </c>
      <c r="P227" s="147">
        <f t="shared" si="202"/>
        <v>2921</v>
      </c>
      <c r="Q227" s="148">
        <f t="shared" si="91"/>
        <v>243.41666666666666</v>
      </c>
      <c r="R227" s="183"/>
      <c r="S227" s="146">
        <v>260</v>
      </c>
      <c r="T227" s="147">
        <v>299</v>
      </c>
      <c r="U227" s="147">
        <v>269</v>
      </c>
      <c r="V227" s="147">
        <v>290</v>
      </c>
      <c r="W227" s="147">
        <v>272</v>
      </c>
      <c r="X227" s="147">
        <v>237</v>
      </c>
      <c r="Y227" s="147">
        <v>209</v>
      </c>
      <c r="Z227" s="147">
        <v>309</v>
      </c>
      <c r="AA227" s="147">
        <v>175</v>
      </c>
      <c r="AB227" s="147">
        <v>259</v>
      </c>
      <c r="AC227" s="147">
        <v>208</v>
      </c>
      <c r="AD227" s="147">
        <v>183</v>
      </c>
      <c r="AE227" s="147">
        <f t="shared" si="181"/>
        <v>2970</v>
      </c>
      <c r="AF227" s="148">
        <f t="shared" si="93"/>
        <v>247.5</v>
      </c>
      <c r="AG227" s="183"/>
      <c r="AH227" s="146">
        <v>330</v>
      </c>
      <c r="AI227" s="147">
        <v>223</v>
      </c>
      <c r="AJ227" s="147">
        <v>271</v>
      </c>
      <c r="AK227" s="147">
        <v>306</v>
      </c>
      <c r="AL227" s="147">
        <v>329</v>
      </c>
      <c r="AM227" s="147">
        <v>287</v>
      </c>
      <c r="AN227" s="147">
        <v>356</v>
      </c>
      <c r="AO227" s="147">
        <v>268</v>
      </c>
      <c r="AP227" s="147">
        <v>238</v>
      </c>
      <c r="AQ227" s="147">
        <v>252</v>
      </c>
      <c r="AR227" s="147">
        <v>307</v>
      </c>
      <c r="AS227" s="147">
        <v>260</v>
      </c>
      <c r="AT227" s="147">
        <f t="shared" si="203"/>
        <v>3427</v>
      </c>
      <c r="AU227" s="148">
        <f t="shared" si="201"/>
        <v>285.58333333333331</v>
      </c>
      <c r="AV227" s="183"/>
      <c r="AW227" s="482">
        <v>257</v>
      </c>
      <c r="AX227" s="147">
        <v>507</v>
      </c>
      <c r="AY227" s="147">
        <v>381</v>
      </c>
      <c r="AZ227" s="147">
        <v>412</v>
      </c>
      <c r="BA227" s="147">
        <v>714</v>
      </c>
      <c r="BB227" s="147">
        <v>336</v>
      </c>
      <c r="BC227" s="147">
        <v>463</v>
      </c>
      <c r="BD227" s="147">
        <v>395</v>
      </c>
      <c r="BE227" s="147">
        <v>426</v>
      </c>
      <c r="BF227" s="147">
        <v>257</v>
      </c>
      <c r="BG227" s="147">
        <v>236</v>
      </c>
      <c r="BH227" s="147">
        <v>262</v>
      </c>
      <c r="BI227" s="147">
        <f t="shared" si="211"/>
        <v>4646</v>
      </c>
      <c r="BJ227" s="148">
        <f t="shared" si="196"/>
        <v>387.16666666666669</v>
      </c>
      <c r="BK227" s="183"/>
      <c r="BL227" s="482">
        <v>415</v>
      </c>
      <c r="BM227" s="147">
        <v>275</v>
      </c>
      <c r="BN227" s="147"/>
      <c r="BO227" s="147"/>
      <c r="BP227" s="147"/>
      <c r="BQ227" s="147"/>
      <c r="BR227" s="147"/>
      <c r="BS227" s="147"/>
      <c r="BT227" s="147"/>
      <c r="BU227" s="147"/>
      <c r="BV227" s="147"/>
      <c r="BW227" s="147"/>
      <c r="BX227" s="147">
        <f t="shared" si="212"/>
        <v>690</v>
      </c>
      <c r="BY227" s="148">
        <f t="shared" si="159"/>
        <v>345</v>
      </c>
      <c r="CA227" s="169">
        <f>ROW()</f>
        <v>227</v>
      </c>
      <c r="CB227" s="169">
        <f>IFERROR(_xlfn.XLOOKUP($A$1,$2:$2,227:227)-_xlfn.XLOOKUP(EDATE($A$1,-12),$2:$2,227:227),"")</f>
        <v>-232</v>
      </c>
      <c r="CC227" s="169">
        <f t="shared" si="209"/>
        <v>101.58333333333337</v>
      </c>
      <c r="CD227" s="169">
        <f>IFERROR(
  SUM(
    _xlfn.XLOOKUP(DATE(YEAR($A$1),1,1),$2:$2,227:227):
    _xlfn.XLOOKUP($A$1,$2:$2,227:227)
  )
 -SUM(
    _xlfn.XLOOKUP(DATE(YEAR($A$1)-1,1,1),$2:$2,227:227):
    _xlfn.XLOOKUP(EDATE($A$1,-12),$2:$2,227:227)
  ),"")</f>
        <v>-74</v>
      </c>
      <c r="CE227" s="4517">
        <f>IFERROR(
  _xlfn.XLOOKUP($A$1,$B$2:$BY$2,$B227:$BY227)
 -_xlfn.XLOOKUP(EDATE($A$1,-1),$B$2:$BY$2,$B227:$BY227),"")</f>
        <v>-140</v>
      </c>
    </row>
    <row r="228" spans="1:83" ht="17.399999999999999" customHeight="1" x14ac:dyDescent="0.55000000000000004">
      <c r="A228" s="7198"/>
      <c r="B228" s="7204"/>
      <c r="C228" s="65" t="s">
        <v>402</v>
      </c>
      <c r="D228" s="146">
        <f>D235+D236</f>
        <v>542</v>
      </c>
      <c r="E228" s="147">
        <f t="shared" ref="E228:O228" si="214">E235+E236</f>
        <v>332</v>
      </c>
      <c r="F228" s="147">
        <f t="shared" si="214"/>
        <v>382</v>
      </c>
      <c r="G228" s="147">
        <f t="shared" si="214"/>
        <v>352</v>
      </c>
      <c r="H228" s="147">
        <f t="shared" si="214"/>
        <v>347</v>
      </c>
      <c r="I228" s="147">
        <f t="shared" si="214"/>
        <v>314</v>
      </c>
      <c r="J228" s="147">
        <f t="shared" si="214"/>
        <v>321</v>
      </c>
      <c r="K228" s="147">
        <f t="shared" si="214"/>
        <v>397</v>
      </c>
      <c r="L228" s="147">
        <f t="shared" si="214"/>
        <v>350</v>
      </c>
      <c r="M228" s="147">
        <f t="shared" si="214"/>
        <v>352</v>
      </c>
      <c r="N228" s="147">
        <f t="shared" si="214"/>
        <v>417</v>
      </c>
      <c r="O228" s="147">
        <f t="shared" si="214"/>
        <v>362</v>
      </c>
      <c r="P228" s="147">
        <f t="shared" si="202"/>
        <v>4468</v>
      </c>
      <c r="Q228" s="148">
        <f t="shared" si="91"/>
        <v>372.33333333333331</v>
      </c>
      <c r="R228" s="183"/>
      <c r="S228" s="146">
        <v>400</v>
      </c>
      <c r="T228" s="147">
        <v>400</v>
      </c>
      <c r="U228" s="147">
        <v>388</v>
      </c>
      <c r="V228" s="147">
        <v>416</v>
      </c>
      <c r="W228" s="147">
        <v>382</v>
      </c>
      <c r="X228" s="147">
        <v>365</v>
      </c>
      <c r="Y228" s="147">
        <v>289</v>
      </c>
      <c r="Z228" s="147">
        <v>459</v>
      </c>
      <c r="AA228" s="147">
        <v>309</v>
      </c>
      <c r="AB228" s="147">
        <v>344</v>
      </c>
      <c r="AC228" s="147">
        <v>402</v>
      </c>
      <c r="AD228" s="147">
        <v>243</v>
      </c>
      <c r="AE228" s="147">
        <f t="shared" si="181"/>
        <v>4397</v>
      </c>
      <c r="AF228" s="148">
        <f t="shared" si="93"/>
        <v>366.41666666666669</v>
      </c>
      <c r="AG228" s="183"/>
      <c r="AH228" s="146">
        <v>469</v>
      </c>
      <c r="AI228" s="147">
        <v>405</v>
      </c>
      <c r="AJ228" s="147">
        <v>391</v>
      </c>
      <c r="AK228" s="147">
        <v>421</v>
      </c>
      <c r="AL228" s="147">
        <v>483</v>
      </c>
      <c r="AM228" s="147">
        <v>342</v>
      </c>
      <c r="AN228" s="147">
        <v>498</v>
      </c>
      <c r="AO228" s="147">
        <v>393</v>
      </c>
      <c r="AP228" s="147">
        <v>434</v>
      </c>
      <c r="AQ228" s="147">
        <v>450</v>
      </c>
      <c r="AR228" s="147">
        <v>431</v>
      </c>
      <c r="AS228" s="147">
        <v>394</v>
      </c>
      <c r="AT228" s="147">
        <f t="shared" si="203"/>
        <v>5111</v>
      </c>
      <c r="AU228" s="148">
        <f t="shared" si="201"/>
        <v>425.91666666666669</v>
      </c>
      <c r="AV228" s="183"/>
      <c r="AW228" s="482">
        <v>311</v>
      </c>
      <c r="AX228" s="147">
        <v>635</v>
      </c>
      <c r="AY228" s="147">
        <v>446</v>
      </c>
      <c r="AZ228" s="147">
        <v>549</v>
      </c>
      <c r="BA228" s="147">
        <v>932</v>
      </c>
      <c r="BB228" s="147">
        <v>537</v>
      </c>
      <c r="BC228" s="147">
        <v>730</v>
      </c>
      <c r="BD228" s="147">
        <v>494</v>
      </c>
      <c r="BE228" s="147">
        <v>533</v>
      </c>
      <c r="BF228" s="147">
        <v>358</v>
      </c>
      <c r="BG228" s="147">
        <v>411</v>
      </c>
      <c r="BH228" s="147">
        <v>384</v>
      </c>
      <c r="BI228" s="147">
        <f t="shared" si="211"/>
        <v>6320</v>
      </c>
      <c r="BJ228" s="148">
        <f t="shared" si="196"/>
        <v>526.66666666666663</v>
      </c>
      <c r="BK228" s="183"/>
      <c r="BL228" s="482">
        <v>553</v>
      </c>
      <c r="BM228" s="147">
        <v>382</v>
      </c>
      <c r="BN228" s="147"/>
      <c r="BO228" s="147"/>
      <c r="BP228" s="147"/>
      <c r="BQ228" s="147"/>
      <c r="BR228" s="147"/>
      <c r="BS228" s="147"/>
      <c r="BT228" s="147"/>
      <c r="BU228" s="147"/>
      <c r="BV228" s="147"/>
      <c r="BW228" s="147"/>
      <c r="BX228" s="147">
        <f t="shared" si="212"/>
        <v>935</v>
      </c>
      <c r="BY228" s="148">
        <f t="shared" si="159"/>
        <v>467.5</v>
      </c>
      <c r="CA228" s="169">
        <f>ROW()</f>
        <v>228</v>
      </c>
      <c r="CB228" s="169">
        <f>IFERROR(_xlfn.XLOOKUP($A$1,$2:$2,228:228)-_xlfn.XLOOKUP(EDATE($A$1,-12),$2:$2,228:228),"")</f>
        <v>-253</v>
      </c>
      <c r="CC228" s="169">
        <f t="shared" si="209"/>
        <v>100.74999999999994</v>
      </c>
      <c r="CD228" s="169">
        <f>IFERROR(
  SUM(
    _xlfn.XLOOKUP(DATE(YEAR($A$1),1,1),$2:$2,228:228):
    _xlfn.XLOOKUP($A$1,$2:$2,228:228)
  )
 -SUM(
    _xlfn.XLOOKUP(DATE(YEAR($A$1)-1,1,1),$2:$2,228:228):
    _xlfn.XLOOKUP(EDATE($A$1,-12),$2:$2,228:228)
  ),"")</f>
        <v>-11</v>
      </c>
      <c r="CE228" s="4517">
        <f>IFERROR(
  _xlfn.XLOOKUP($A$1,$B$2:$BY$2,$B228:$BY228)
 -_xlfn.XLOOKUP(EDATE($A$1,-1),$B$2:$BY$2,$B228:$BY228),"")</f>
        <v>-171</v>
      </c>
    </row>
    <row r="229" spans="1:83" ht="17.399999999999999" customHeight="1" x14ac:dyDescent="0.55000000000000004">
      <c r="A229" s="7198"/>
      <c r="B229" s="7204"/>
      <c r="C229" s="65" t="s">
        <v>403</v>
      </c>
      <c r="D229" s="146">
        <f>D237+D238</f>
        <v>632</v>
      </c>
      <c r="E229" s="147">
        <f t="shared" ref="E229:O229" si="215">E237+E238</f>
        <v>507</v>
      </c>
      <c r="F229" s="147">
        <f t="shared" si="215"/>
        <v>458</v>
      </c>
      <c r="G229" s="147">
        <f t="shared" si="215"/>
        <v>463</v>
      </c>
      <c r="H229" s="147">
        <f t="shared" si="215"/>
        <v>479</v>
      </c>
      <c r="I229" s="147">
        <f t="shared" si="215"/>
        <v>511</v>
      </c>
      <c r="J229" s="147">
        <f t="shared" si="215"/>
        <v>379</v>
      </c>
      <c r="K229" s="147">
        <f t="shared" si="215"/>
        <v>518</v>
      </c>
      <c r="L229" s="147">
        <f t="shared" si="215"/>
        <v>340</v>
      </c>
      <c r="M229" s="147">
        <f t="shared" si="215"/>
        <v>395</v>
      </c>
      <c r="N229" s="147">
        <f t="shared" si="215"/>
        <v>425</v>
      </c>
      <c r="O229" s="147">
        <f t="shared" si="215"/>
        <v>420</v>
      </c>
      <c r="P229" s="147">
        <f t="shared" si="202"/>
        <v>5527</v>
      </c>
      <c r="Q229" s="148">
        <f t="shared" si="91"/>
        <v>460.58333333333331</v>
      </c>
      <c r="R229" s="183"/>
      <c r="S229" s="146">
        <v>440</v>
      </c>
      <c r="T229" s="147">
        <v>581</v>
      </c>
      <c r="U229" s="147">
        <v>478</v>
      </c>
      <c r="V229" s="147">
        <v>476</v>
      </c>
      <c r="W229" s="147">
        <v>427</v>
      </c>
      <c r="X229" s="147">
        <v>451</v>
      </c>
      <c r="Y229" s="147">
        <v>343</v>
      </c>
      <c r="Z229" s="147">
        <v>545</v>
      </c>
      <c r="AA229" s="147">
        <v>317</v>
      </c>
      <c r="AB229" s="147">
        <v>379</v>
      </c>
      <c r="AC229" s="147">
        <v>374</v>
      </c>
      <c r="AD229" s="147">
        <v>327</v>
      </c>
      <c r="AE229" s="147">
        <f t="shared" si="181"/>
        <v>5138</v>
      </c>
      <c r="AF229" s="148">
        <f t="shared" si="93"/>
        <v>428.16666666666669</v>
      </c>
      <c r="AG229" s="183"/>
      <c r="AH229" s="146">
        <v>540</v>
      </c>
      <c r="AI229" s="147">
        <v>425</v>
      </c>
      <c r="AJ229" s="147">
        <v>528</v>
      </c>
      <c r="AK229" s="147">
        <v>548</v>
      </c>
      <c r="AL229" s="147">
        <v>581</v>
      </c>
      <c r="AM229" s="147">
        <v>491</v>
      </c>
      <c r="AN229" s="147">
        <v>633</v>
      </c>
      <c r="AO229" s="147">
        <v>460</v>
      </c>
      <c r="AP229" s="147">
        <v>470</v>
      </c>
      <c r="AQ229" s="147">
        <v>545</v>
      </c>
      <c r="AR229" s="147">
        <v>495</v>
      </c>
      <c r="AS229" s="147">
        <v>437</v>
      </c>
      <c r="AT229" s="147">
        <f t="shared" si="203"/>
        <v>6153</v>
      </c>
      <c r="AU229" s="148">
        <f t="shared" si="201"/>
        <v>512.75</v>
      </c>
      <c r="AV229" s="183"/>
      <c r="AW229" s="482">
        <v>320</v>
      </c>
      <c r="AX229" s="147">
        <v>688</v>
      </c>
      <c r="AY229" s="147">
        <v>527</v>
      </c>
      <c r="AZ229" s="147">
        <v>716</v>
      </c>
      <c r="BA229" s="147">
        <v>984</v>
      </c>
      <c r="BB229" s="147">
        <v>630</v>
      </c>
      <c r="BC229" s="147">
        <v>876</v>
      </c>
      <c r="BD229" s="147">
        <v>608</v>
      </c>
      <c r="BE229" s="147">
        <v>554</v>
      </c>
      <c r="BF229" s="147">
        <v>429</v>
      </c>
      <c r="BG229" s="147">
        <v>388</v>
      </c>
      <c r="BH229" s="147">
        <v>365</v>
      </c>
      <c r="BI229" s="147">
        <f t="shared" si="211"/>
        <v>7085</v>
      </c>
      <c r="BJ229" s="148">
        <f t="shared" si="196"/>
        <v>590.41666666666663</v>
      </c>
      <c r="BK229" s="183"/>
      <c r="BL229" s="482">
        <v>540</v>
      </c>
      <c r="BM229" s="147">
        <v>361</v>
      </c>
      <c r="BN229" s="147"/>
      <c r="BO229" s="147"/>
      <c r="BP229" s="147"/>
      <c r="BQ229" s="147"/>
      <c r="BR229" s="147"/>
      <c r="BS229" s="147"/>
      <c r="BT229" s="147"/>
      <c r="BU229" s="147"/>
      <c r="BV229" s="147"/>
      <c r="BW229" s="147"/>
      <c r="BX229" s="147">
        <f t="shared" si="212"/>
        <v>901</v>
      </c>
      <c r="BY229" s="148">
        <f t="shared" si="159"/>
        <v>450.5</v>
      </c>
      <c r="CA229" s="169">
        <f>ROW()</f>
        <v>229</v>
      </c>
      <c r="CB229" s="169">
        <f>IFERROR(_xlfn.XLOOKUP($A$1,$2:$2,229:229)-_xlfn.XLOOKUP(EDATE($A$1,-12),$2:$2,229:229),"")</f>
        <v>-327</v>
      </c>
      <c r="CC229" s="169">
        <f t="shared" si="209"/>
        <v>77.666666666666629</v>
      </c>
      <c r="CD229" s="169">
        <f>IFERROR(
  SUM(
    _xlfn.XLOOKUP(DATE(YEAR($A$1),1,1),$2:$2,229:229):
    _xlfn.XLOOKUP($A$1,$2:$2,229:229)
  )
 -SUM(
    _xlfn.XLOOKUP(DATE(YEAR($A$1)-1,1,1),$2:$2,229:229):
    _xlfn.XLOOKUP(EDATE($A$1,-12),$2:$2,229:229)
  ),"")</f>
        <v>-107</v>
      </c>
      <c r="CE229" s="4517">
        <f>IFERROR(
  _xlfn.XLOOKUP($A$1,$B$2:$BY$2,$B229:$BY229)
 -_xlfn.XLOOKUP(EDATE($A$1,-1),$B$2:$BY$2,$B229:$BY229),"")</f>
        <v>-179</v>
      </c>
    </row>
    <row r="230" spans="1:83" ht="17.399999999999999" customHeight="1" x14ac:dyDescent="0.55000000000000004">
      <c r="A230" s="7198"/>
      <c r="B230" s="7205"/>
      <c r="C230" s="66" t="s">
        <v>404</v>
      </c>
      <c r="D230" s="149">
        <f>D239+D240</f>
        <v>452</v>
      </c>
      <c r="E230" s="150">
        <f t="shared" ref="E230:O230" si="216">E239+E240</f>
        <v>307</v>
      </c>
      <c r="F230" s="150">
        <f t="shared" si="216"/>
        <v>308</v>
      </c>
      <c r="G230" s="150">
        <f t="shared" si="216"/>
        <v>281</v>
      </c>
      <c r="H230" s="150">
        <f t="shared" si="216"/>
        <v>298</v>
      </c>
      <c r="I230" s="150">
        <f t="shared" si="216"/>
        <v>291</v>
      </c>
      <c r="J230" s="150">
        <f t="shared" si="216"/>
        <v>276</v>
      </c>
      <c r="K230" s="150">
        <f t="shared" si="216"/>
        <v>348</v>
      </c>
      <c r="L230" s="150">
        <f t="shared" si="216"/>
        <v>236</v>
      </c>
      <c r="M230" s="150">
        <f t="shared" si="216"/>
        <v>256</v>
      </c>
      <c r="N230" s="150">
        <f t="shared" si="216"/>
        <v>315</v>
      </c>
      <c r="O230" s="150">
        <f t="shared" si="216"/>
        <v>247</v>
      </c>
      <c r="P230" s="150">
        <f t="shared" si="202"/>
        <v>3615</v>
      </c>
      <c r="Q230" s="151">
        <f t="shared" si="91"/>
        <v>301.25</v>
      </c>
      <c r="R230" s="183"/>
      <c r="S230" s="149">
        <v>284</v>
      </c>
      <c r="T230" s="150">
        <v>318</v>
      </c>
      <c r="U230" s="150">
        <v>248</v>
      </c>
      <c r="V230" s="150">
        <v>304</v>
      </c>
      <c r="W230" s="150">
        <v>231</v>
      </c>
      <c r="X230" s="150">
        <v>238</v>
      </c>
      <c r="Y230" s="150">
        <v>237</v>
      </c>
      <c r="Z230" s="150">
        <v>328</v>
      </c>
      <c r="AA230" s="150">
        <v>217</v>
      </c>
      <c r="AB230" s="150">
        <v>251</v>
      </c>
      <c r="AC230" s="150">
        <v>212</v>
      </c>
      <c r="AD230" s="150">
        <v>190</v>
      </c>
      <c r="AE230" s="150">
        <f t="shared" si="181"/>
        <v>3058</v>
      </c>
      <c r="AF230" s="151">
        <f t="shared" si="93"/>
        <v>254.83333333333334</v>
      </c>
      <c r="AG230" s="183"/>
      <c r="AH230" s="149">
        <v>319</v>
      </c>
      <c r="AI230" s="150">
        <v>236</v>
      </c>
      <c r="AJ230" s="150">
        <v>341</v>
      </c>
      <c r="AK230" s="150">
        <v>361</v>
      </c>
      <c r="AL230" s="150">
        <v>364</v>
      </c>
      <c r="AM230" s="150">
        <v>336</v>
      </c>
      <c r="AN230" s="150">
        <v>353</v>
      </c>
      <c r="AO230" s="150">
        <v>283</v>
      </c>
      <c r="AP230" s="150">
        <v>310</v>
      </c>
      <c r="AQ230" s="150">
        <v>285</v>
      </c>
      <c r="AR230" s="150">
        <v>344</v>
      </c>
      <c r="AS230" s="150">
        <v>268</v>
      </c>
      <c r="AT230" s="150">
        <f t="shared" si="203"/>
        <v>3800</v>
      </c>
      <c r="AU230" s="151">
        <f t="shared" si="201"/>
        <v>316.66666666666669</v>
      </c>
      <c r="AV230" s="183"/>
      <c r="AW230" s="483">
        <v>244</v>
      </c>
      <c r="AX230" s="150">
        <v>497</v>
      </c>
      <c r="AY230" s="150">
        <v>406</v>
      </c>
      <c r="AZ230" s="150">
        <v>369</v>
      </c>
      <c r="BA230" s="150">
        <v>614</v>
      </c>
      <c r="BB230" s="150">
        <v>372</v>
      </c>
      <c r="BC230" s="150">
        <v>513</v>
      </c>
      <c r="BD230" s="150">
        <v>390</v>
      </c>
      <c r="BE230" s="150">
        <v>323</v>
      </c>
      <c r="BF230" s="150">
        <v>292</v>
      </c>
      <c r="BG230" s="150">
        <v>284</v>
      </c>
      <c r="BH230" s="150">
        <v>265</v>
      </c>
      <c r="BI230" s="150">
        <f t="shared" si="211"/>
        <v>4569</v>
      </c>
      <c r="BJ230" s="151">
        <f t="shared" si="196"/>
        <v>380.75</v>
      </c>
      <c r="BK230" s="183"/>
      <c r="BL230" s="483">
        <v>396</v>
      </c>
      <c r="BM230" s="150">
        <v>260</v>
      </c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>
        <f t="shared" si="212"/>
        <v>656</v>
      </c>
      <c r="BY230" s="151">
        <f t="shared" si="159"/>
        <v>328</v>
      </c>
      <c r="CA230" s="169">
        <f>ROW()</f>
        <v>230</v>
      </c>
      <c r="CB230" s="169">
        <f>IFERROR(_xlfn.XLOOKUP($A$1,$2:$2,230:230)-_xlfn.XLOOKUP(EDATE($A$1,-12),$2:$2,230:230),"")</f>
        <v>-237</v>
      </c>
      <c r="CC230" s="169">
        <f t="shared" si="209"/>
        <v>64.083333333333314</v>
      </c>
      <c r="CD230" s="169">
        <f>IFERROR(
  SUM(
    _xlfn.XLOOKUP(DATE(YEAR($A$1),1,1),$2:$2,230:230):
    _xlfn.XLOOKUP($A$1,$2:$2,230:230)
  )
 -SUM(
    _xlfn.XLOOKUP(DATE(YEAR($A$1)-1,1,1),$2:$2,230:230):
    _xlfn.XLOOKUP(EDATE($A$1,-12),$2:$2,230:230)
  ),"")</f>
        <v>-85</v>
      </c>
      <c r="CE230" s="4517">
        <f>IFERROR(
  _xlfn.XLOOKUP($A$1,$B$2:$BY$2,$B230:$BY230)
 -_xlfn.XLOOKUP(EDATE($A$1,-1),$B$2:$BY$2,$B230:$BY230),"")</f>
        <v>-136</v>
      </c>
    </row>
    <row r="231" spans="1:83" ht="17.399999999999999" customHeight="1" x14ac:dyDescent="0.55000000000000004">
      <c r="A231" s="7198"/>
      <c r="B231" s="7206" t="s">
        <v>412</v>
      </c>
      <c r="C231" s="67" t="s">
        <v>211</v>
      </c>
      <c r="D231" s="152">
        <v>173</v>
      </c>
      <c r="E231" s="153">
        <v>111</v>
      </c>
      <c r="F231" s="153">
        <v>117</v>
      </c>
      <c r="G231" s="153">
        <v>98</v>
      </c>
      <c r="H231" s="153">
        <v>93</v>
      </c>
      <c r="I231" s="153">
        <v>129</v>
      </c>
      <c r="J231" s="153">
        <v>134</v>
      </c>
      <c r="K231" s="153">
        <v>126</v>
      </c>
      <c r="L231" s="153">
        <v>126</v>
      </c>
      <c r="M231" s="153">
        <v>85</v>
      </c>
      <c r="N231" s="153">
        <v>93</v>
      </c>
      <c r="O231" s="153">
        <v>95</v>
      </c>
      <c r="P231" s="153">
        <f t="shared" si="202"/>
        <v>1380</v>
      </c>
      <c r="Q231" s="154">
        <f t="shared" si="91"/>
        <v>115</v>
      </c>
      <c r="R231" s="183"/>
      <c r="S231" s="152">
        <v>105</v>
      </c>
      <c r="T231" s="153">
        <v>121</v>
      </c>
      <c r="U231" s="153">
        <v>128</v>
      </c>
      <c r="V231" s="153">
        <v>153</v>
      </c>
      <c r="W231" s="153">
        <v>113</v>
      </c>
      <c r="X231" s="153">
        <v>87</v>
      </c>
      <c r="Y231" s="153">
        <v>96</v>
      </c>
      <c r="Z231" s="153">
        <v>130</v>
      </c>
      <c r="AA231" s="153">
        <v>66</v>
      </c>
      <c r="AB231" s="153">
        <v>95</v>
      </c>
      <c r="AC231" s="153">
        <v>83</v>
      </c>
      <c r="AD231" s="153">
        <v>75</v>
      </c>
      <c r="AE231" s="153">
        <f t="shared" si="181"/>
        <v>1252</v>
      </c>
      <c r="AF231" s="154">
        <f t="shared" si="93"/>
        <v>104.33333333333333</v>
      </c>
      <c r="AG231" s="183"/>
      <c r="AH231" s="152">
        <v>107</v>
      </c>
      <c r="AI231" s="153">
        <v>99</v>
      </c>
      <c r="AJ231" s="153">
        <v>113</v>
      </c>
      <c r="AK231" s="153">
        <v>127</v>
      </c>
      <c r="AL231" s="153">
        <v>121</v>
      </c>
      <c r="AM231" s="153">
        <v>115.99999999999999</v>
      </c>
      <c r="AN231" s="153">
        <v>126.99999999999999</v>
      </c>
      <c r="AO231" s="153">
        <v>103</v>
      </c>
      <c r="AP231" s="153">
        <v>90</v>
      </c>
      <c r="AQ231" s="153">
        <v>87</v>
      </c>
      <c r="AR231" s="153">
        <v>99</v>
      </c>
      <c r="AS231" s="153">
        <v>114.00000000000001</v>
      </c>
      <c r="AT231" s="153">
        <f t="shared" si="203"/>
        <v>1303</v>
      </c>
      <c r="AU231" s="154">
        <f t="shared" si="201"/>
        <v>108.58333333333333</v>
      </c>
      <c r="AV231" s="183"/>
      <c r="AW231" s="487">
        <v>90</v>
      </c>
      <c r="AX231" s="153">
        <v>174</v>
      </c>
      <c r="AY231" s="153">
        <v>137</v>
      </c>
      <c r="AZ231" s="153">
        <v>180</v>
      </c>
      <c r="BA231" s="153">
        <v>335</v>
      </c>
      <c r="BB231" s="153">
        <v>169</v>
      </c>
      <c r="BC231" s="153">
        <v>225.00000000000003</v>
      </c>
      <c r="BD231" s="153">
        <v>128</v>
      </c>
      <c r="BE231" s="153">
        <v>147</v>
      </c>
      <c r="BF231" s="153">
        <v>82</v>
      </c>
      <c r="BG231" s="153">
        <v>118</v>
      </c>
      <c r="BH231" s="153">
        <v>94</v>
      </c>
      <c r="BI231" s="153">
        <f t="shared" si="211"/>
        <v>1879</v>
      </c>
      <c r="BJ231" s="154">
        <f t="shared" si="196"/>
        <v>156.58333333333334</v>
      </c>
      <c r="BK231" s="183"/>
      <c r="BL231" s="487">
        <v>153</v>
      </c>
      <c r="BM231" s="153">
        <v>104</v>
      </c>
      <c r="BN231" s="153"/>
      <c r="BO231" s="153"/>
      <c r="BP231" s="153"/>
      <c r="BQ231" s="153"/>
      <c r="BR231" s="153"/>
      <c r="BS231" s="153"/>
      <c r="BT231" s="153"/>
      <c r="BU231" s="153"/>
      <c r="BV231" s="153"/>
      <c r="BW231" s="153"/>
      <c r="BX231" s="153">
        <f t="shared" si="212"/>
        <v>257</v>
      </c>
      <c r="BY231" s="154">
        <f t="shared" si="159"/>
        <v>128.5</v>
      </c>
      <c r="CA231" s="169">
        <f>ROW()</f>
        <v>231</v>
      </c>
      <c r="CB231" s="169">
        <f>IFERROR(_xlfn.XLOOKUP($A$1,$2:$2,231:231)-_xlfn.XLOOKUP(EDATE($A$1,-12),$2:$2,231:231),"")</f>
        <v>-70</v>
      </c>
      <c r="CC231" s="169">
        <f t="shared" si="209"/>
        <v>48.000000000000014</v>
      </c>
      <c r="CD231" s="169">
        <f>IFERROR(
  SUM(
    _xlfn.XLOOKUP(DATE(YEAR($A$1),1,1),$2:$2,231:231):
    _xlfn.XLOOKUP($A$1,$2:$2,231:231)
  )
 -SUM(
    _xlfn.XLOOKUP(DATE(YEAR($A$1)-1,1,1),$2:$2,231:231):
    _xlfn.XLOOKUP(EDATE($A$1,-12),$2:$2,231:231)
  ),"")</f>
        <v>-7</v>
      </c>
      <c r="CE231" s="4517">
        <f>IFERROR(
  _xlfn.XLOOKUP($A$1,$B$2:$BY$2,$B231:$BY231)
 -_xlfn.XLOOKUP(EDATE($A$1,-1),$B$2:$BY$2,$B231:$BY231),"")</f>
        <v>-49</v>
      </c>
    </row>
    <row r="232" spans="1:83" ht="17.399999999999999" customHeight="1" x14ac:dyDescent="0.55000000000000004">
      <c r="A232" s="7198"/>
      <c r="B232" s="7207"/>
      <c r="C232" s="67" t="s">
        <v>212</v>
      </c>
      <c r="D232" s="152">
        <v>166</v>
      </c>
      <c r="E232" s="153">
        <v>117</v>
      </c>
      <c r="F232" s="153">
        <v>108</v>
      </c>
      <c r="G232" s="153">
        <v>119</v>
      </c>
      <c r="H232" s="153">
        <v>121</v>
      </c>
      <c r="I232" s="153">
        <v>137</v>
      </c>
      <c r="J232" s="153">
        <v>108</v>
      </c>
      <c r="K232" s="153">
        <v>143</v>
      </c>
      <c r="L232" s="153">
        <v>110</v>
      </c>
      <c r="M232" s="153">
        <v>93</v>
      </c>
      <c r="N232" s="153">
        <v>129</v>
      </c>
      <c r="O232" s="153">
        <v>125</v>
      </c>
      <c r="P232" s="153">
        <f t="shared" si="202"/>
        <v>1476</v>
      </c>
      <c r="Q232" s="154">
        <f t="shared" si="91"/>
        <v>123</v>
      </c>
      <c r="R232" s="183"/>
      <c r="S232" s="152">
        <v>134</v>
      </c>
      <c r="T232" s="153">
        <v>138</v>
      </c>
      <c r="U232" s="153">
        <v>112</v>
      </c>
      <c r="V232" s="153">
        <v>130</v>
      </c>
      <c r="W232" s="153">
        <v>100</v>
      </c>
      <c r="X232" s="153">
        <v>97</v>
      </c>
      <c r="Y232" s="153">
        <v>89</v>
      </c>
      <c r="Z232" s="153">
        <v>131</v>
      </c>
      <c r="AA232" s="153">
        <v>71</v>
      </c>
      <c r="AB232" s="153">
        <v>74</v>
      </c>
      <c r="AC232" s="153">
        <v>55</v>
      </c>
      <c r="AD232" s="153">
        <v>69</v>
      </c>
      <c r="AE232" s="153">
        <f t="shared" si="181"/>
        <v>1200</v>
      </c>
      <c r="AF232" s="154">
        <f t="shared" si="93"/>
        <v>100</v>
      </c>
      <c r="AG232" s="183"/>
      <c r="AH232" s="152">
        <v>129</v>
      </c>
      <c r="AI232" s="153">
        <v>88</v>
      </c>
      <c r="AJ232" s="153">
        <v>108</v>
      </c>
      <c r="AK232" s="153">
        <v>139</v>
      </c>
      <c r="AL232" s="153">
        <v>145</v>
      </c>
      <c r="AM232" s="153">
        <v>136</v>
      </c>
      <c r="AN232" s="153">
        <v>224</v>
      </c>
      <c r="AO232" s="153">
        <v>169</v>
      </c>
      <c r="AP232" s="153">
        <v>190</v>
      </c>
      <c r="AQ232" s="153">
        <v>161</v>
      </c>
      <c r="AR232" s="153">
        <v>169</v>
      </c>
      <c r="AS232" s="153">
        <v>135</v>
      </c>
      <c r="AT232" s="153">
        <f t="shared" si="203"/>
        <v>1793</v>
      </c>
      <c r="AU232" s="154">
        <f t="shared" si="201"/>
        <v>149.41666666666666</v>
      </c>
      <c r="AV232" s="183"/>
      <c r="AW232" s="487">
        <v>105</v>
      </c>
      <c r="AX232" s="153">
        <v>218</v>
      </c>
      <c r="AY232" s="153">
        <v>156</v>
      </c>
      <c r="AZ232" s="153">
        <v>188</v>
      </c>
      <c r="BA232" s="153">
        <v>350</v>
      </c>
      <c r="BB232" s="153">
        <v>164</v>
      </c>
      <c r="BC232" s="153">
        <v>242.00000000000003</v>
      </c>
      <c r="BD232" s="153">
        <v>172</v>
      </c>
      <c r="BE232" s="153">
        <v>149</v>
      </c>
      <c r="BF232" s="153">
        <v>114.99999999999999</v>
      </c>
      <c r="BG232" s="153">
        <v>142</v>
      </c>
      <c r="BH232" s="153">
        <v>113</v>
      </c>
      <c r="BI232" s="153">
        <f t="shared" si="211"/>
        <v>2114</v>
      </c>
      <c r="BJ232" s="154">
        <f t="shared" si="196"/>
        <v>176.16666666666666</v>
      </c>
      <c r="BK232" s="183"/>
      <c r="BL232" s="487">
        <v>161</v>
      </c>
      <c r="BM232" s="153">
        <v>118</v>
      </c>
      <c r="BN232" s="153"/>
      <c r="BO232" s="153"/>
      <c r="BP232" s="153"/>
      <c r="BQ232" s="153"/>
      <c r="BR232" s="153"/>
      <c r="BS232" s="153"/>
      <c r="BT232" s="153"/>
      <c r="BU232" s="153"/>
      <c r="BV232" s="153"/>
      <c r="BW232" s="153"/>
      <c r="BX232" s="153">
        <f t="shared" si="212"/>
        <v>279</v>
      </c>
      <c r="BY232" s="154">
        <f t="shared" ref="BY232:BY284" si="217">AVERAGE(BL232:BW232)</f>
        <v>139.5</v>
      </c>
      <c r="CA232" s="169">
        <f>ROW()</f>
        <v>232</v>
      </c>
      <c r="CB232" s="169">
        <f>IFERROR(_xlfn.XLOOKUP($A$1,$2:$2,232:232)-_xlfn.XLOOKUP(EDATE($A$1,-12),$2:$2,232:232),"")</f>
        <v>-100</v>
      </c>
      <c r="CC232" s="169">
        <f t="shared" si="209"/>
        <v>26.75</v>
      </c>
      <c r="CD232" s="169">
        <f>IFERROR(
  SUM(
    _xlfn.XLOOKUP(DATE(YEAR($A$1),1,1),$2:$2,232:232):
    _xlfn.XLOOKUP($A$1,$2:$2,232:232)
  )
 -SUM(
    _xlfn.XLOOKUP(DATE(YEAR($A$1)-1,1,1),$2:$2,232:232):
    _xlfn.XLOOKUP(EDATE($A$1,-12),$2:$2,232:232)
  ),"")</f>
        <v>-44</v>
      </c>
      <c r="CE232" s="4517">
        <f>IFERROR(
  _xlfn.XLOOKUP($A$1,$B$2:$BY$2,$B232:$BY232)
 -_xlfn.XLOOKUP(EDATE($A$1,-1),$B$2:$BY$2,$B232:$BY232),"")</f>
        <v>-43</v>
      </c>
    </row>
    <row r="233" spans="1:83" ht="17.399999999999999" customHeight="1" x14ac:dyDescent="0.55000000000000004">
      <c r="A233" s="7198"/>
      <c r="B233" s="7207"/>
      <c r="C233" s="68" t="s">
        <v>213</v>
      </c>
      <c r="D233" s="155">
        <v>132</v>
      </c>
      <c r="E233" s="156">
        <v>85</v>
      </c>
      <c r="F233" s="156">
        <v>92</v>
      </c>
      <c r="G233" s="156">
        <v>93</v>
      </c>
      <c r="H233" s="156">
        <v>96</v>
      </c>
      <c r="I233" s="156">
        <v>90</v>
      </c>
      <c r="J233" s="156">
        <v>78</v>
      </c>
      <c r="K233" s="156">
        <v>88</v>
      </c>
      <c r="L233" s="156">
        <v>95</v>
      </c>
      <c r="M233" s="156">
        <v>84</v>
      </c>
      <c r="N233" s="156">
        <v>79</v>
      </c>
      <c r="O233" s="156">
        <v>65</v>
      </c>
      <c r="P233" s="156">
        <f t="shared" si="202"/>
        <v>1077</v>
      </c>
      <c r="Q233" s="157">
        <f t="shared" si="91"/>
        <v>89.75</v>
      </c>
      <c r="R233" s="183"/>
      <c r="S233" s="155">
        <v>115</v>
      </c>
      <c r="T233" s="156">
        <v>109</v>
      </c>
      <c r="U233" s="156">
        <v>133</v>
      </c>
      <c r="V233" s="156">
        <v>143</v>
      </c>
      <c r="W233" s="156">
        <v>128</v>
      </c>
      <c r="X233" s="156">
        <v>88</v>
      </c>
      <c r="Y233" s="156">
        <v>94</v>
      </c>
      <c r="Z233" s="156">
        <v>129</v>
      </c>
      <c r="AA233" s="156">
        <v>79</v>
      </c>
      <c r="AB233" s="156">
        <v>115</v>
      </c>
      <c r="AC233" s="156">
        <v>97</v>
      </c>
      <c r="AD233" s="156">
        <v>81</v>
      </c>
      <c r="AE233" s="156">
        <f t="shared" si="181"/>
        <v>1311</v>
      </c>
      <c r="AF233" s="157">
        <f t="shared" si="93"/>
        <v>109.25</v>
      </c>
      <c r="AG233" s="183"/>
      <c r="AH233" s="155">
        <v>147</v>
      </c>
      <c r="AI233" s="156">
        <v>100</v>
      </c>
      <c r="AJ233" s="156">
        <v>113</v>
      </c>
      <c r="AK233" s="156">
        <v>137</v>
      </c>
      <c r="AL233" s="156">
        <v>139</v>
      </c>
      <c r="AM233" s="156">
        <v>124</v>
      </c>
      <c r="AN233" s="156">
        <v>151</v>
      </c>
      <c r="AO233" s="156">
        <v>108</v>
      </c>
      <c r="AP233" s="156">
        <v>87</v>
      </c>
      <c r="AQ233" s="156">
        <v>105</v>
      </c>
      <c r="AR233" s="156">
        <v>135</v>
      </c>
      <c r="AS233" s="156">
        <v>103</v>
      </c>
      <c r="AT233" s="156">
        <f t="shared" si="203"/>
        <v>1449</v>
      </c>
      <c r="AU233" s="157">
        <f t="shared" si="201"/>
        <v>120.75</v>
      </c>
      <c r="AV233" s="183"/>
      <c r="AW233" s="488">
        <v>113.99999999999999</v>
      </c>
      <c r="AX233" s="156">
        <v>217</v>
      </c>
      <c r="AY233" s="156">
        <v>160</v>
      </c>
      <c r="AZ233" s="156">
        <v>178</v>
      </c>
      <c r="BA233" s="156">
        <v>313</v>
      </c>
      <c r="BB233" s="156">
        <v>139</v>
      </c>
      <c r="BC233" s="156">
        <v>198</v>
      </c>
      <c r="BD233" s="156">
        <v>166</v>
      </c>
      <c r="BE233" s="156">
        <v>182</v>
      </c>
      <c r="BF233" s="156">
        <v>98</v>
      </c>
      <c r="BG233" s="156">
        <v>86</v>
      </c>
      <c r="BH233" s="156">
        <v>106</v>
      </c>
      <c r="BI233" s="156">
        <f t="shared" si="211"/>
        <v>1957</v>
      </c>
      <c r="BJ233" s="157">
        <f t="shared" si="196"/>
        <v>163.08333333333334</v>
      </c>
      <c r="BK233" s="183"/>
      <c r="BL233" s="488">
        <v>173</v>
      </c>
      <c r="BM233" s="156">
        <v>107</v>
      </c>
      <c r="BN233" s="156"/>
      <c r="BO233" s="156"/>
      <c r="BP233" s="156"/>
      <c r="BQ233" s="156"/>
      <c r="BR233" s="156"/>
      <c r="BS233" s="156"/>
      <c r="BT233" s="156"/>
      <c r="BU233" s="156"/>
      <c r="BV233" s="156"/>
      <c r="BW233" s="156"/>
      <c r="BX233" s="156">
        <f t="shared" si="212"/>
        <v>280</v>
      </c>
      <c r="BY233" s="157">
        <f t="shared" si="217"/>
        <v>140</v>
      </c>
      <c r="CA233" s="169">
        <f>ROW()</f>
        <v>233</v>
      </c>
      <c r="CB233" s="169">
        <f>IFERROR(_xlfn.XLOOKUP($A$1,$2:$2,233:233)-_xlfn.XLOOKUP(EDATE($A$1,-12),$2:$2,233:233),"")</f>
        <v>-110</v>
      </c>
      <c r="CC233" s="169">
        <f t="shared" si="209"/>
        <v>42.333333333333343</v>
      </c>
      <c r="CD233" s="169">
        <f>IFERROR(
  SUM(
    _xlfn.XLOOKUP(DATE(YEAR($A$1),1,1),$2:$2,233:233):
    _xlfn.XLOOKUP($A$1,$2:$2,233:233)
  )
 -SUM(
    _xlfn.XLOOKUP(DATE(YEAR($A$1)-1,1,1),$2:$2,233:233):
    _xlfn.XLOOKUP(EDATE($A$1,-12),$2:$2,233:233)
  ),"")</f>
        <v>-51</v>
      </c>
      <c r="CE233" s="4517">
        <f>IFERROR(
  _xlfn.XLOOKUP($A$1,$B$2:$BY$2,$B233:$BY233)
 -_xlfn.XLOOKUP(EDATE($A$1,-1),$B$2:$BY$2,$B233:$BY233),"")</f>
        <v>-66</v>
      </c>
    </row>
    <row r="234" spans="1:83" ht="17.399999999999999" customHeight="1" x14ac:dyDescent="0.55000000000000004">
      <c r="A234" s="7198"/>
      <c r="B234" s="7207"/>
      <c r="C234" s="68" t="s">
        <v>214</v>
      </c>
      <c r="D234" s="155">
        <v>274</v>
      </c>
      <c r="E234" s="156">
        <v>150</v>
      </c>
      <c r="F234" s="156">
        <v>140</v>
      </c>
      <c r="G234" s="156">
        <v>149</v>
      </c>
      <c r="H234" s="156">
        <v>131</v>
      </c>
      <c r="I234" s="156">
        <v>144</v>
      </c>
      <c r="J234" s="156">
        <v>141</v>
      </c>
      <c r="K234" s="156">
        <v>135</v>
      </c>
      <c r="L234" s="156">
        <v>136</v>
      </c>
      <c r="M234" s="156">
        <v>111</v>
      </c>
      <c r="N234" s="156">
        <v>149</v>
      </c>
      <c r="O234" s="156">
        <v>184</v>
      </c>
      <c r="P234" s="156">
        <f t="shared" si="202"/>
        <v>1844</v>
      </c>
      <c r="Q234" s="157">
        <f t="shared" ref="Q234:Q257" si="218">P234/12</f>
        <v>153.66666666666666</v>
      </c>
      <c r="R234" s="183"/>
      <c r="S234" s="155">
        <v>145</v>
      </c>
      <c r="T234" s="156">
        <v>190</v>
      </c>
      <c r="U234" s="156">
        <v>136</v>
      </c>
      <c r="V234" s="156">
        <v>147</v>
      </c>
      <c r="W234" s="156">
        <v>144</v>
      </c>
      <c r="X234" s="156">
        <v>149</v>
      </c>
      <c r="Y234" s="156">
        <v>115</v>
      </c>
      <c r="Z234" s="156">
        <v>180</v>
      </c>
      <c r="AA234" s="156">
        <v>96</v>
      </c>
      <c r="AB234" s="156">
        <v>144</v>
      </c>
      <c r="AC234" s="156">
        <v>111</v>
      </c>
      <c r="AD234" s="156">
        <v>102</v>
      </c>
      <c r="AE234" s="156">
        <f t="shared" si="181"/>
        <v>1659</v>
      </c>
      <c r="AF234" s="157">
        <f t="shared" ref="AF234:AF257" si="219">AE234/12</f>
        <v>138.25</v>
      </c>
      <c r="AG234" s="183"/>
      <c r="AH234" s="155">
        <v>183</v>
      </c>
      <c r="AI234" s="156">
        <v>123</v>
      </c>
      <c r="AJ234" s="156">
        <v>158</v>
      </c>
      <c r="AK234" s="156">
        <v>169</v>
      </c>
      <c r="AL234" s="156">
        <v>190</v>
      </c>
      <c r="AM234" s="156">
        <v>163</v>
      </c>
      <c r="AN234" s="156">
        <v>205</v>
      </c>
      <c r="AO234" s="156">
        <v>160</v>
      </c>
      <c r="AP234" s="156">
        <v>151</v>
      </c>
      <c r="AQ234" s="156">
        <v>147</v>
      </c>
      <c r="AR234" s="156">
        <v>172</v>
      </c>
      <c r="AS234" s="156">
        <v>157</v>
      </c>
      <c r="AT234" s="156">
        <f t="shared" si="203"/>
        <v>1978</v>
      </c>
      <c r="AU234" s="157">
        <f t="shared" si="201"/>
        <v>164.83333333333334</v>
      </c>
      <c r="AV234" s="183"/>
      <c r="AW234" s="488">
        <v>143</v>
      </c>
      <c r="AX234" s="156">
        <v>290</v>
      </c>
      <c r="AY234" s="156">
        <v>221</v>
      </c>
      <c r="AZ234" s="156">
        <v>234</v>
      </c>
      <c r="BA234" s="156">
        <v>401</v>
      </c>
      <c r="BB234" s="156">
        <v>197</v>
      </c>
      <c r="BC234" s="156">
        <v>265</v>
      </c>
      <c r="BD234" s="156">
        <v>229</v>
      </c>
      <c r="BE234" s="156">
        <v>244</v>
      </c>
      <c r="BF234" s="156">
        <v>159</v>
      </c>
      <c r="BG234" s="156">
        <v>150</v>
      </c>
      <c r="BH234" s="156">
        <v>156</v>
      </c>
      <c r="BI234" s="156">
        <f t="shared" si="211"/>
        <v>2689</v>
      </c>
      <c r="BJ234" s="157">
        <f t="shared" si="196"/>
        <v>224.08333333333334</v>
      </c>
      <c r="BK234" s="183"/>
      <c r="BL234" s="488">
        <v>242.00000000000003</v>
      </c>
      <c r="BM234" s="156">
        <v>168</v>
      </c>
      <c r="BN234" s="156"/>
      <c r="BO234" s="156"/>
      <c r="BP234" s="156"/>
      <c r="BQ234" s="156"/>
      <c r="BR234" s="156"/>
      <c r="BS234" s="156"/>
      <c r="BT234" s="156"/>
      <c r="BU234" s="156"/>
      <c r="BV234" s="156"/>
      <c r="BW234" s="156"/>
      <c r="BX234" s="156">
        <f t="shared" si="212"/>
        <v>410</v>
      </c>
      <c r="BY234" s="157">
        <f t="shared" si="217"/>
        <v>205</v>
      </c>
      <c r="CA234" s="169">
        <f>ROW()</f>
        <v>234</v>
      </c>
      <c r="CB234" s="169">
        <f>IFERROR(_xlfn.XLOOKUP($A$1,$2:$2,234:234)-_xlfn.XLOOKUP(EDATE($A$1,-12),$2:$2,234:234),"")</f>
        <v>-122</v>
      </c>
      <c r="CC234" s="169">
        <f t="shared" si="209"/>
        <v>59.25</v>
      </c>
      <c r="CD234" s="169">
        <f>IFERROR(
  SUM(
    _xlfn.XLOOKUP(DATE(YEAR($A$1),1,1),$2:$2,234:234):
    _xlfn.XLOOKUP($A$1,$2:$2,234:234)
  )
 -SUM(
    _xlfn.XLOOKUP(DATE(YEAR($A$1)-1,1,1),$2:$2,234:234):
    _xlfn.XLOOKUP(EDATE($A$1,-12),$2:$2,234:234)
  ),"")</f>
        <v>-23</v>
      </c>
      <c r="CE234" s="4517">
        <f>IFERROR(
  _xlfn.XLOOKUP($A$1,$B$2:$BY$2,$B234:$BY234)
 -_xlfn.XLOOKUP(EDATE($A$1,-1),$B$2:$BY$2,$B234:$BY234),"")</f>
        <v>-74.000000000000028</v>
      </c>
    </row>
    <row r="235" spans="1:83" ht="17.399999999999999" customHeight="1" x14ac:dyDescent="0.55000000000000004">
      <c r="A235" s="7198"/>
      <c r="B235" s="7207"/>
      <c r="C235" s="67" t="s">
        <v>215</v>
      </c>
      <c r="D235" s="152">
        <v>317</v>
      </c>
      <c r="E235" s="153">
        <v>198</v>
      </c>
      <c r="F235" s="153">
        <v>226</v>
      </c>
      <c r="G235" s="153">
        <v>198</v>
      </c>
      <c r="H235" s="153">
        <v>222</v>
      </c>
      <c r="I235" s="153">
        <v>195</v>
      </c>
      <c r="J235" s="153">
        <v>225</v>
      </c>
      <c r="K235" s="153">
        <v>235</v>
      </c>
      <c r="L235" s="153">
        <v>216</v>
      </c>
      <c r="M235" s="153">
        <v>211</v>
      </c>
      <c r="N235" s="153">
        <v>266</v>
      </c>
      <c r="O235" s="153">
        <v>220</v>
      </c>
      <c r="P235" s="153">
        <f t="shared" si="202"/>
        <v>2729</v>
      </c>
      <c r="Q235" s="154">
        <f t="shared" si="218"/>
        <v>227.41666666666666</v>
      </c>
      <c r="R235" s="183"/>
      <c r="S235" s="152">
        <v>233</v>
      </c>
      <c r="T235" s="153">
        <v>214</v>
      </c>
      <c r="U235" s="153">
        <v>215</v>
      </c>
      <c r="V235" s="153">
        <v>249</v>
      </c>
      <c r="W235" s="153">
        <v>207</v>
      </c>
      <c r="X235" s="153">
        <v>209</v>
      </c>
      <c r="Y235" s="153">
        <v>175</v>
      </c>
      <c r="Z235" s="153">
        <v>231</v>
      </c>
      <c r="AA235" s="153">
        <v>155</v>
      </c>
      <c r="AB235" s="153">
        <v>166</v>
      </c>
      <c r="AC235" s="153">
        <v>244</v>
      </c>
      <c r="AD235" s="153">
        <v>155</v>
      </c>
      <c r="AE235" s="153">
        <f t="shared" si="181"/>
        <v>2453</v>
      </c>
      <c r="AF235" s="154">
        <f t="shared" si="219"/>
        <v>204.41666666666666</v>
      </c>
      <c r="AG235" s="183"/>
      <c r="AH235" s="152">
        <v>246</v>
      </c>
      <c r="AI235" s="153">
        <v>242</v>
      </c>
      <c r="AJ235" s="153">
        <v>210</v>
      </c>
      <c r="AK235" s="153">
        <v>233</v>
      </c>
      <c r="AL235" s="153">
        <v>287</v>
      </c>
      <c r="AM235" s="153">
        <v>217</v>
      </c>
      <c r="AN235" s="153">
        <v>289</v>
      </c>
      <c r="AO235" s="153">
        <v>252.00000000000003</v>
      </c>
      <c r="AP235" s="153">
        <v>258</v>
      </c>
      <c r="AQ235" s="153">
        <v>258</v>
      </c>
      <c r="AR235" s="153">
        <v>244</v>
      </c>
      <c r="AS235" s="153">
        <v>224</v>
      </c>
      <c r="AT235" s="153">
        <f t="shared" si="203"/>
        <v>2960</v>
      </c>
      <c r="AU235" s="154">
        <f t="shared" si="201"/>
        <v>246.66666666666666</v>
      </c>
      <c r="AV235" s="183"/>
      <c r="AW235" s="487">
        <v>198</v>
      </c>
      <c r="AX235" s="153">
        <v>359</v>
      </c>
      <c r="AY235" s="153">
        <v>251</v>
      </c>
      <c r="AZ235" s="153">
        <v>319</v>
      </c>
      <c r="BA235" s="153">
        <v>572</v>
      </c>
      <c r="BB235" s="153">
        <v>316</v>
      </c>
      <c r="BC235" s="153">
        <v>432</v>
      </c>
      <c r="BD235" s="153">
        <v>286</v>
      </c>
      <c r="BE235" s="153">
        <v>305</v>
      </c>
      <c r="BF235" s="153">
        <v>214</v>
      </c>
      <c r="BG235" s="153">
        <v>249</v>
      </c>
      <c r="BH235" s="153">
        <v>231</v>
      </c>
      <c r="BI235" s="153">
        <f t="shared" si="211"/>
        <v>3732</v>
      </c>
      <c r="BJ235" s="154">
        <f t="shared" si="196"/>
        <v>311</v>
      </c>
      <c r="BK235" s="183"/>
      <c r="BL235" s="487">
        <v>333</v>
      </c>
      <c r="BM235" s="153">
        <v>253</v>
      </c>
      <c r="BN235" s="153"/>
      <c r="BO235" s="153"/>
      <c r="BP235" s="153"/>
      <c r="BQ235" s="153"/>
      <c r="BR235" s="153"/>
      <c r="BS235" s="153"/>
      <c r="BT235" s="153"/>
      <c r="BU235" s="153"/>
      <c r="BV235" s="153"/>
      <c r="BW235" s="153"/>
      <c r="BX235" s="153">
        <f t="shared" si="212"/>
        <v>586</v>
      </c>
      <c r="BY235" s="154">
        <f t="shared" si="217"/>
        <v>293</v>
      </c>
      <c r="CA235" s="169">
        <f>ROW()</f>
        <v>235</v>
      </c>
      <c r="CB235" s="169">
        <f>IFERROR(_xlfn.XLOOKUP($A$1,$2:$2,235:235)-_xlfn.XLOOKUP(EDATE($A$1,-12),$2:$2,235:235),"")</f>
        <v>-106</v>
      </c>
      <c r="CC235" s="169">
        <f t="shared" si="209"/>
        <v>64.333333333333343</v>
      </c>
      <c r="CD235" s="169">
        <f>IFERROR(
  SUM(
    _xlfn.XLOOKUP(DATE(YEAR($A$1),1,1),$2:$2,235:235):
    _xlfn.XLOOKUP($A$1,$2:$2,235:235)
  )
 -SUM(
    _xlfn.XLOOKUP(DATE(YEAR($A$1)-1,1,1),$2:$2,235:235):
    _xlfn.XLOOKUP(EDATE($A$1,-12),$2:$2,235:235)
  ),"")</f>
        <v>29</v>
      </c>
      <c r="CE235" s="4517">
        <f>IFERROR(
  _xlfn.XLOOKUP($A$1,$B$2:$BY$2,$B235:$BY235)
 -_xlfn.XLOOKUP(EDATE($A$1,-1),$B$2:$BY$2,$B235:$BY235),"")</f>
        <v>-80</v>
      </c>
    </row>
    <row r="236" spans="1:83" ht="17.399999999999999" customHeight="1" x14ac:dyDescent="0.55000000000000004">
      <c r="A236" s="7198"/>
      <c r="B236" s="7207"/>
      <c r="C236" s="67" t="s">
        <v>216</v>
      </c>
      <c r="D236" s="152">
        <v>225</v>
      </c>
      <c r="E236" s="153">
        <v>134</v>
      </c>
      <c r="F236" s="153">
        <v>156</v>
      </c>
      <c r="G236" s="153">
        <v>154</v>
      </c>
      <c r="H236" s="153">
        <v>125</v>
      </c>
      <c r="I236" s="153">
        <v>119</v>
      </c>
      <c r="J236" s="153">
        <v>96</v>
      </c>
      <c r="K236" s="153">
        <v>162</v>
      </c>
      <c r="L236" s="153">
        <v>134</v>
      </c>
      <c r="M236" s="153">
        <v>141</v>
      </c>
      <c r="N236" s="153">
        <v>151</v>
      </c>
      <c r="O236" s="153">
        <v>142</v>
      </c>
      <c r="P236" s="153">
        <f t="shared" si="202"/>
        <v>1739</v>
      </c>
      <c r="Q236" s="154">
        <f t="shared" si="218"/>
        <v>144.91666666666666</v>
      </c>
      <c r="R236" s="183"/>
      <c r="S236" s="152">
        <v>167</v>
      </c>
      <c r="T236" s="153">
        <v>186</v>
      </c>
      <c r="U236" s="153">
        <v>173</v>
      </c>
      <c r="V236" s="153">
        <v>167</v>
      </c>
      <c r="W236" s="153">
        <v>175</v>
      </c>
      <c r="X236" s="153">
        <v>156</v>
      </c>
      <c r="Y236" s="153">
        <v>114</v>
      </c>
      <c r="Z236" s="153">
        <v>228</v>
      </c>
      <c r="AA236" s="153">
        <v>154</v>
      </c>
      <c r="AB236" s="153">
        <v>178</v>
      </c>
      <c r="AC236" s="153">
        <v>158</v>
      </c>
      <c r="AD236" s="153">
        <v>88</v>
      </c>
      <c r="AE236" s="153">
        <f t="shared" si="181"/>
        <v>1944</v>
      </c>
      <c r="AF236" s="154">
        <f t="shared" si="219"/>
        <v>162</v>
      </c>
      <c r="AG236" s="183"/>
      <c r="AH236" s="152">
        <v>223</v>
      </c>
      <c r="AI236" s="153">
        <v>163</v>
      </c>
      <c r="AJ236" s="153">
        <v>181</v>
      </c>
      <c r="AK236" s="153">
        <v>188</v>
      </c>
      <c r="AL236" s="153">
        <v>196</v>
      </c>
      <c r="AM236" s="153">
        <v>125</v>
      </c>
      <c r="AN236" s="153">
        <v>209</v>
      </c>
      <c r="AO236" s="153">
        <v>141</v>
      </c>
      <c r="AP236" s="153">
        <v>176</v>
      </c>
      <c r="AQ236" s="153">
        <v>192</v>
      </c>
      <c r="AR236" s="153">
        <v>187</v>
      </c>
      <c r="AS236" s="153">
        <v>170</v>
      </c>
      <c r="AT236" s="153">
        <f t="shared" si="203"/>
        <v>2151</v>
      </c>
      <c r="AU236" s="154">
        <f t="shared" si="201"/>
        <v>179.25</v>
      </c>
      <c r="AV236" s="183"/>
      <c r="AW236" s="487">
        <v>112.99999999999999</v>
      </c>
      <c r="AX236" s="153">
        <v>276</v>
      </c>
      <c r="AY236" s="153">
        <v>195</v>
      </c>
      <c r="AZ236" s="153">
        <v>230</v>
      </c>
      <c r="BA236" s="153">
        <v>360</v>
      </c>
      <c r="BB236" s="153">
        <v>221</v>
      </c>
      <c r="BC236" s="153">
        <v>298</v>
      </c>
      <c r="BD236" s="153">
        <v>208</v>
      </c>
      <c r="BE236" s="153">
        <v>228</v>
      </c>
      <c r="BF236" s="153">
        <v>144</v>
      </c>
      <c r="BG236" s="153">
        <v>162</v>
      </c>
      <c r="BH236" s="153">
        <v>153</v>
      </c>
      <c r="BI236" s="153">
        <f t="shared" si="211"/>
        <v>2588</v>
      </c>
      <c r="BJ236" s="154">
        <f t="shared" si="196"/>
        <v>215.66666666666666</v>
      </c>
      <c r="BK236" s="183"/>
      <c r="BL236" s="487">
        <v>220</v>
      </c>
      <c r="BM236" s="153">
        <v>129</v>
      </c>
      <c r="BN236" s="153"/>
      <c r="BO236" s="153"/>
      <c r="BP236" s="153"/>
      <c r="BQ236" s="153"/>
      <c r="BR236" s="153"/>
      <c r="BS236" s="153"/>
      <c r="BT236" s="153"/>
      <c r="BU236" s="153"/>
      <c r="BV236" s="153"/>
      <c r="BW236" s="153"/>
      <c r="BX236" s="153">
        <f t="shared" si="212"/>
        <v>349</v>
      </c>
      <c r="BY236" s="154">
        <f t="shared" si="217"/>
        <v>174.5</v>
      </c>
      <c r="CA236" s="169">
        <f>ROW()</f>
        <v>236</v>
      </c>
      <c r="CB236" s="169">
        <f>IFERROR(_xlfn.XLOOKUP($A$1,$2:$2,236:236)-_xlfn.XLOOKUP(EDATE($A$1,-12),$2:$2,236:236),"")</f>
        <v>-147</v>
      </c>
      <c r="CC236" s="169">
        <f t="shared" si="209"/>
        <v>36.416666666666657</v>
      </c>
      <c r="CD236" s="169">
        <f>IFERROR(
  SUM(
    _xlfn.XLOOKUP(DATE(YEAR($A$1),1,1),$2:$2,236:236):
    _xlfn.XLOOKUP($A$1,$2:$2,236:236)
  )
 -SUM(
    _xlfn.XLOOKUP(DATE(YEAR($A$1)-1,1,1),$2:$2,236:236):
    _xlfn.XLOOKUP(EDATE($A$1,-12),$2:$2,236:236)
  ),"")</f>
        <v>-40</v>
      </c>
      <c r="CE236" s="4517">
        <f>IFERROR(
  _xlfn.XLOOKUP($A$1,$B$2:$BY$2,$B236:$BY236)
 -_xlfn.XLOOKUP(EDATE($A$1,-1),$B$2:$BY$2,$B236:$BY236),"")</f>
        <v>-91</v>
      </c>
    </row>
    <row r="237" spans="1:83" ht="17.399999999999999" customHeight="1" x14ac:dyDescent="0.55000000000000004">
      <c r="A237" s="7198"/>
      <c r="B237" s="7207"/>
      <c r="C237" s="68" t="s">
        <v>217</v>
      </c>
      <c r="D237" s="155">
        <v>426</v>
      </c>
      <c r="E237" s="156">
        <v>307</v>
      </c>
      <c r="F237" s="156">
        <v>286</v>
      </c>
      <c r="G237" s="156">
        <v>317</v>
      </c>
      <c r="H237" s="156">
        <v>347</v>
      </c>
      <c r="I237" s="156">
        <v>299</v>
      </c>
      <c r="J237" s="156">
        <v>241</v>
      </c>
      <c r="K237" s="156">
        <v>303</v>
      </c>
      <c r="L237" s="156">
        <v>205</v>
      </c>
      <c r="M237" s="156">
        <v>230</v>
      </c>
      <c r="N237" s="156">
        <v>272</v>
      </c>
      <c r="O237" s="156">
        <v>248</v>
      </c>
      <c r="P237" s="156">
        <f t="shared" si="202"/>
        <v>3481</v>
      </c>
      <c r="Q237" s="157">
        <f t="shared" si="218"/>
        <v>290.08333333333331</v>
      </c>
      <c r="R237" s="183"/>
      <c r="S237" s="155">
        <v>264</v>
      </c>
      <c r="T237" s="156">
        <v>343</v>
      </c>
      <c r="U237" s="156">
        <v>311</v>
      </c>
      <c r="V237" s="156">
        <v>292</v>
      </c>
      <c r="W237" s="156">
        <v>258</v>
      </c>
      <c r="X237" s="156">
        <v>282</v>
      </c>
      <c r="Y237" s="156">
        <v>209</v>
      </c>
      <c r="Z237" s="156">
        <v>324</v>
      </c>
      <c r="AA237" s="156">
        <v>188</v>
      </c>
      <c r="AB237" s="156">
        <v>239</v>
      </c>
      <c r="AC237" s="156">
        <v>240</v>
      </c>
      <c r="AD237" s="156">
        <v>195</v>
      </c>
      <c r="AE237" s="156">
        <f t="shared" si="181"/>
        <v>3145</v>
      </c>
      <c r="AF237" s="157">
        <f t="shared" si="219"/>
        <v>262.08333333333331</v>
      </c>
      <c r="AG237" s="183"/>
      <c r="AH237" s="155">
        <v>295</v>
      </c>
      <c r="AI237" s="156">
        <v>258</v>
      </c>
      <c r="AJ237" s="156">
        <v>311</v>
      </c>
      <c r="AK237" s="156">
        <v>336</v>
      </c>
      <c r="AL237" s="156">
        <v>347</v>
      </c>
      <c r="AM237" s="156">
        <v>294</v>
      </c>
      <c r="AN237" s="156">
        <v>357</v>
      </c>
      <c r="AO237" s="156">
        <v>297</v>
      </c>
      <c r="AP237" s="156">
        <v>265</v>
      </c>
      <c r="AQ237" s="156">
        <v>359</v>
      </c>
      <c r="AR237" s="156">
        <v>302</v>
      </c>
      <c r="AS237" s="156">
        <v>279</v>
      </c>
      <c r="AT237" s="156">
        <f t="shared" si="203"/>
        <v>3700</v>
      </c>
      <c r="AU237" s="157">
        <f t="shared" si="201"/>
        <v>308.33333333333331</v>
      </c>
      <c r="AV237" s="183"/>
      <c r="AW237" s="488">
        <v>174</v>
      </c>
      <c r="AX237" s="156">
        <v>397</v>
      </c>
      <c r="AY237" s="156">
        <v>323</v>
      </c>
      <c r="AZ237" s="156">
        <v>448</v>
      </c>
      <c r="BA237" s="156">
        <v>576</v>
      </c>
      <c r="BB237" s="156">
        <v>396</v>
      </c>
      <c r="BC237" s="156">
        <v>539</v>
      </c>
      <c r="BD237" s="156">
        <v>373</v>
      </c>
      <c r="BE237" s="156">
        <v>316</v>
      </c>
      <c r="BF237" s="156">
        <v>280</v>
      </c>
      <c r="BG237" s="156">
        <v>239</v>
      </c>
      <c r="BH237" s="156">
        <v>206</v>
      </c>
      <c r="BI237" s="156">
        <f t="shared" si="211"/>
        <v>4267</v>
      </c>
      <c r="BJ237" s="157">
        <f t="shared" si="196"/>
        <v>355.58333333333331</v>
      </c>
      <c r="BK237" s="183"/>
      <c r="BL237" s="488">
        <v>297</v>
      </c>
      <c r="BM237" s="156">
        <v>210</v>
      </c>
      <c r="BN237" s="156"/>
      <c r="BO237" s="156"/>
      <c r="BP237" s="156"/>
      <c r="BQ237" s="156"/>
      <c r="BR237" s="156"/>
      <c r="BS237" s="156"/>
      <c r="BT237" s="156"/>
      <c r="BU237" s="156"/>
      <c r="BV237" s="156"/>
      <c r="BW237" s="156"/>
      <c r="BX237" s="156">
        <f t="shared" si="212"/>
        <v>507</v>
      </c>
      <c r="BY237" s="157">
        <f t="shared" si="217"/>
        <v>253.5</v>
      </c>
      <c r="CA237" s="169">
        <f>ROW()</f>
        <v>237</v>
      </c>
      <c r="CB237" s="169">
        <f>IFERROR(_xlfn.XLOOKUP($A$1,$2:$2,237:237)-_xlfn.XLOOKUP(EDATE($A$1,-12),$2:$2,237:237),"")</f>
        <v>-187</v>
      </c>
      <c r="CC237" s="169">
        <f t="shared" si="209"/>
        <v>47.25</v>
      </c>
      <c r="CD237" s="169">
        <f>IFERROR(
  SUM(
    _xlfn.XLOOKUP(DATE(YEAR($A$1),1,1),$2:$2,237:237):
    _xlfn.XLOOKUP($A$1,$2:$2,237:237)
  )
 -SUM(
    _xlfn.XLOOKUP(DATE(YEAR($A$1)-1,1,1),$2:$2,237:237):
    _xlfn.XLOOKUP(EDATE($A$1,-12),$2:$2,237:237)
  ),"")</f>
        <v>-64</v>
      </c>
      <c r="CE237" s="4517">
        <f>IFERROR(
  _xlfn.XLOOKUP($A$1,$B$2:$BY$2,$B237:$BY237)
 -_xlfn.XLOOKUP(EDATE($A$1,-1),$B$2:$BY$2,$B237:$BY237),"")</f>
        <v>-87</v>
      </c>
    </row>
    <row r="238" spans="1:83" ht="17.399999999999999" customHeight="1" x14ac:dyDescent="0.55000000000000004">
      <c r="A238" s="7198"/>
      <c r="B238" s="7207"/>
      <c r="C238" s="68" t="s">
        <v>218</v>
      </c>
      <c r="D238" s="155">
        <v>206</v>
      </c>
      <c r="E238" s="156">
        <v>200</v>
      </c>
      <c r="F238" s="156">
        <v>172</v>
      </c>
      <c r="G238" s="156">
        <v>146</v>
      </c>
      <c r="H238" s="156">
        <v>132</v>
      </c>
      <c r="I238" s="156">
        <v>212</v>
      </c>
      <c r="J238" s="156">
        <v>138</v>
      </c>
      <c r="K238" s="156">
        <v>215</v>
      </c>
      <c r="L238" s="156">
        <v>135</v>
      </c>
      <c r="M238" s="156">
        <v>165</v>
      </c>
      <c r="N238" s="156">
        <v>153</v>
      </c>
      <c r="O238" s="156">
        <v>172</v>
      </c>
      <c r="P238" s="156">
        <f t="shared" si="202"/>
        <v>2046</v>
      </c>
      <c r="Q238" s="157">
        <f t="shared" si="218"/>
        <v>170.5</v>
      </c>
      <c r="R238" s="183"/>
      <c r="S238" s="155">
        <v>176</v>
      </c>
      <c r="T238" s="156">
        <v>238</v>
      </c>
      <c r="U238" s="156">
        <v>167</v>
      </c>
      <c r="V238" s="156">
        <v>184</v>
      </c>
      <c r="W238" s="156">
        <v>169</v>
      </c>
      <c r="X238" s="156">
        <v>169</v>
      </c>
      <c r="Y238" s="156">
        <v>134</v>
      </c>
      <c r="Z238" s="156">
        <v>221</v>
      </c>
      <c r="AA238" s="156">
        <v>129</v>
      </c>
      <c r="AB238" s="156">
        <v>140</v>
      </c>
      <c r="AC238" s="156">
        <v>134</v>
      </c>
      <c r="AD238" s="156">
        <v>132</v>
      </c>
      <c r="AE238" s="156">
        <f t="shared" si="181"/>
        <v>1993</v>
      </c>
      <c r="AF238" s="157">
        <f t="shared" si="219"/>
        <v>166.08333333333334</v>
      </c>
      <c r="AG238" s="183"/>
      <c r="AH238" s="155">
        <v>245</v>
      </c>
      <c r="AI238" s="156">
        <v>167</v>
      </c>
      <c r="AJ238" s="156">
        <v>217</v>
      </c>
      <c r="AK238" s="156">
        <v>212</v>
      </c>
      <c r="AL238" s="156">
        <v>234</v>
      </c>
      <c r="AM238" s="156">
        <v>197</v>
      </c>
      <c r="AN238" s="156">
        <v>276</v>
      </c>
      <c r="AO238" s="156">
        <v>163</v>
      </c>
      <c r="AP238" s="156">
        <v>205</v>
      </c>
      <c r="AQ238" s="156">
        <v>186</v>
      </c>
      <c r="AR238" s="156">
        <v>193</v>
      </c>
      <c r="AS238" s="156">
        <v>158</v>
      </c>
      <c r="AT238" s="156">
        <f t="shared" si="203"/>
        <v>2453</v>
      </c>
      <c r="AU238" s="157">
        <f t="shared" si="201"/>
        <v>204.41666666666666</v>
      </c>
      <c r="AV238" s="183"/>
      <c r="AW238" s="488">
        <v>146</v>
      </c>
      <c r="AX238" s="156">
        <v>291</v>
      </c>
      <c r="AY238" s="156">
        <v>204</v>
      </c>
      <c r="AZ238" s="156">
        <v>268</v>
      </c>
      <c r="BA238" s="156">
        <v>408</v>
      </c>
      <c r="BB238" s="156">
        <v>234</v>
      </c>
      <c r="BC238" s="156">
        <v>337</v>
      </c>
      <c r="BD238" s="156">
        <v>235</v>
      </c>
      <c r="BE238" s="156">
        <v>238</v>
      </c>
      <c r="BF238" s="156">
        <v>149</v>
      </c>
      <c r="BG238" s="156">
        <v>149</v>
      </c>
      <c r="BH238" s="156">
        <v>159</v>
      </c>
      <c r="BI238" s="156">
        <f t="shared" si="211"/>
        <v>2818</v>
      </c>
      <c r="BJ238" s="157">
        <f t="shared" si="196"/>
        <v>234.83333333333334</v>
      </c>
      <c r="BK238" s="183"/>
      <c r="BL238" s="488">
        <v>243</v>
      </c>
      <c r="BM238" s="156">
        <v>151</v>
      </c>
      <c r="BN238" s="156"/>
      <c r="BO238" s="156"/>
      <c r="BP238" s="156"/>
      <c r="BQ238" s="156"/>
      <c r="BR238" s="156"/>
      <c r="BS238" s="156"/>
      <c r="BT238" s="156"/>
      <c r="BU238" s="156"/>
      <c r="BV238" s="156"/>
      <c r="BW238" s="156"/>
      <c r="BX238" s="156">
        <f t="shared" si="212"/>
        <v>394</v>
      </c>
      <c r="BY238" s="157">
        <f t="shared" si="217"/>
        <v>197</v>
      </c>
      <c r="CA238" s="169">
        <f>ROW()</f>
        <v>238</v>
      </c>
      <c r="CB238" s="169">
        <f>IFERROR(_xlfn.XLOOKUP($A$1,$2:$2,238:238)-_xlfn.XLOOKUP(EDATE($A$1,-12),$2:$2,238:238),"")</f>
        <v>-140</v>
      </c>
      <c r="CC238" s="169">
        <f t="shared" si="209"/>
        <v>30.416666666666686</v>
      </c>
      <c r="CD238" s="169">
        <f>IFERROR(
  SUM(
    _xlfn.XLOOKUP(DATE(YEAR($A$1),1,1),$2:$2,238:238):
    _xlfn.XLOOKUP($A$1,$2:$2,238:238)
  )
 -SUM(
    _xlfn.XLOOKUP(DATE(YEAR($A$1)-1,1,1),$2:$2,238:238):
    _xlfn.XLOOKUP(EDATE($A$1,-12),$2:$2,238:238)
  ),"")</f>
        <v>-43</v>
      </c>
      <c r="CE238" s="4517">
        <f>IFERROR(
  _xlfn.XLOOKUP($A$1,$B$2:$BY$2,$B238:$BY238)
 -_xlfn.XLOOKUP(EDATE($A$1,-1),$B$2:$BY$2,$B238:$BY238),"")</f>
        <v>-92</v>
      </c>
    </row>
    <row r="239" spans="1:83" ht="17.399999999999999" customHeight="1" x14ac:dyDescent="0.55000000000000004">
      <c r="A239" s="7198"/>
      <c r="B239" s="7207"/>
      <c r="C239" s="67" t="s">
        <v>219</v>
      </c>
      <c r="D239" s="152">
        <v>247</v>
      </c>
      <c r="E239" s="153">
        <v>171</v>
      </c>
      <c r="F239" s="153">
        <v>171</v>
      </c>
      <c r="G239" s="153">
        <v>150</v>
      </c>
      <c r="H239" s="153">
        <v>174</v>
      </c>
      <c r="I239" s="153">
        <v>171</v>
      </c>
      <c r="J239" s="153">
        <v>171</v>
      </c>
      <c r="K239" s="153">
        <v>235</v>
      </c>
      <c r="L239" s="153">
        <v>142</v>
      </c>
      <c r="M239" s="153">
        <v>167</v>
      </c>
      <c r="N239" s="153">
        <v>225</v>
      </c>
      <c r="O239" s="153">
        <v>144</v>
      </c>
      <c r="P239" s="153">
        <f t="shared" si="202"/>
        <v>2168</v>
      </c>
      <c r="Q239" s="154">
        <f t="shared" si="218"/>
        <v>180.66666666666666</v>
      </c>
      <c r="R239" s="183"/>
      <c r="S239" s="152">
        <v>192</v>
      </c>
      <c r="T239" s="153">
        <v>235</v>
      </c>
      <c r="U239" s="153">
        <v>151</v>
      </c>
      <c r="V239" s="153">
        <v>172</v>
      </c>
      <c r="W239" s="153">
        <v>140</v>
      </c>
      <c r="X239" s="153">
        <v>131</v>
      </c>
      <c r="Y239" s="153">
        <v>114</v>
      </c>
      <c r="Z239" s="153">
        <v>213</v>
      </c>
      <c r="AA239" s="153">
        <v>112</v>
      </c>
      <c r="AB239" s="153">
        <v>125</v>
      </c>
      <c r="AC239" s="153">
        <v>104</v>
      </c>
      <c r="AD239" s="153">
        <v>82</v>
      </c>
      <c r="AE239" s="153">
        <f t="shared" si="181"/>
        <v>1771</v>
      </c>
      <c r="AF239" s="154">
        <f t="shared" si="219"/>
        <v>147.58333333333334</v>
      </c>
      <c r="AG239" s="183"/>
      <c r="AH239" s="152">
        <v>200</v>
      </c>
      <c r="AI239" s="153">
        <v>108</v>
      </c>
      <c r="AJ239" s="153">
        <v>185</v>
      </c>
      <c r="AK239" s="153">
        <v>197</v>
      </c>
      <c r="AL239" s="153">
        <v>199</v>
      </c>
      <c r="AM239" s="153">
        <v>187</v>
      </c>
      <c r="AN239" s="153">
        <v>188</v>
      </c>
      <c r="AO239" s="153">
        <v>163</v>
      </c>
      <c r="AP239" s="153">
        <v>147</v>
      </c>
      <c r="AQ239" s="153">
        <v>141</v>
      </c>
      <c r="AR239" s="153">
        <v>183</v>
      </c>
      <c r="AS239" s="153">
        <v>133</v>
      </c>
      <c r="AT239" s="153">
        <f t="shared" si="203"/>
        <v>2031</v>
      </c>
      <c r="AU239" s="154">
        <f t="shared" si="201"/>
        <v>169.25</v>
      </c>
      <c r="AV239" s="183"/>
      <c r="AW239" s="487">
        <v>128</v>
      </c>
      <c r="AX239" s="153">
        <v>284</v>
      </c>
      <c r="AY239" s="153">
        <v>213.99999999999997</v>
      </c>
      <c r="AZ239" s="153">
        <v>208</v>
      </c>
      <c r="BA239" s="153">
        <v>313</v>
      </c>
      <c r="BB239" s="153">
        <v>164</v>
      </c>
      <c r="BC239" s="153">
        <v>269</v>
      </c>
      <c r="BD239" s="153">
        <v>201</v>
      </c>
      <c r="BE239" s="153">
        <v>177</v>
      </c>
      <c r="BF239" s="153">
        <v>147</v>
      </c>
      <c r="BG239" s="153">
        <v>143</v>
      </c>
      <c r="BH239" s="153">
        <v>133</v>
      </c>
      <c r="BI239" s="153">
        <f t="shared" si="211"/>
        <v>2381</v>
      </c>
      <c r="BJ239" s="154">
        <f t="shared" si="196"/>
        <v>198.41666666666666</v>
      </c>
      <c r="BK239" s="183"/>
      <c r="BL239" s="487">
        <v>215.00000000000003</v>
      </c>
      <c r="BM239" s="153">
        <v>153</v>
      </c>
      <c r="BN239" s="153"/>
      <c r="BO239" s="153"/>
      <c r="BP239" s="153"/>
      <c r="BQ239" s="153"/>
      <c r="BR239" s="153"/>
      <c r="BS239" s="153"/>
      <c r="BT239" s="153"/>
      <c r="BU239" s="153"/>
      <c r="BV239" s="153"/>
      <c r="BW239" s="153"/>
      <c r="BX239" s="153">
        <f t="shared" si="212"/>
        <v>368</v>
      </c>
      <c r="BY239" s="154">
        <f t="shared" si="217"/>
        <v>184</v>
      </c>
      <c r="CA239" s="169">
        <f>ROW()</f>
        <v>239</v>
      </c>
      <c r="CB239" s="169">
        <f>IFERROR(_xlfn.XLOOKUP($A$1,$2:$2,239:239)-_xlfn.XLOOKUP(EDATE($A$1,-12),$2:$2,239:239),"")</f>
        <v>-131</v>
      </c>
      <c r="CC239" s="169">
        <f t="shared" si="209"/>
        <v>29.166666666666657</v>
      </c>
      <c r="CD239" s="169">
        <f>IFERROR(
  SUM(
    _xlfn.XLOOKUP(DATE(YEAR($A$1),1,1),$2:$2,239:239):
    _xlfn.XLOOKUP($A$1,$2:$2,239:239)
  )
 -SUM(
    _xlfn.XLOOKUP(DATE(YEAR($A$1)-1,1,1),$2:$2,239:239):
    _xlfn.XLOOKUP(EDATE($A$1,-12),$2:$2,239:239)
  ),"")</f>
        <v>-44</v>
      </c>
      <c r="CE239" s="4517">
        <f>IFERROR(
  _xlfn.XLOOKUP($A$1,$B$2:$BY$2,$B239:$BY239)
 -_xlfn.XLOOKUP(EDATE($A$1,-1),$B$2:$BY$2,$B239:$BY239),"")</f>
        <v>-62.000000000000028</v>
      </c>
    </row>
    <row r="240" spans="1:83" ht="18" customHeight="1" thickBot="1" x14ac:dyDescent="0.6">
      <c r="A240" s="7198"/>
      <c r="B240" s="7208"/>
      <c r="C240" s="69" t="s">
        <v>220</v>
      </c>
      <c r="D240" s="158">
        <v>205</v>
      </c>
      <c r="E240" s="159">
        <v>136</v>
      </c>
      <c r="F240" s="159">
        <v>137</v>
      </c>
      <c r="G240" s="159">
        <v>131</v>
      </c>
      <c r="H240" s="159">
        <v>124</v>
      </c>
      <c r="I240" s="159">
        <v>120</v>
      </c>
      <c r="J240" s="159">
        <v>105</v>
      </c>
      <c r="K240" s="159">
        <v>113</v>
      </c>
      <c r="L240" s="159">
        <v>94</v>
      </c>
      <c r="M240" s="159">
        <v>89</v>
      </c>
      <c r="N240" s="159">
        <v>90</v>
      </c>
      <c r="O240" s="159">
        <v>103</v>
      </c>
      <c r="P240" s="159">
        <f t="shared" si="202"/>
        <v>1447</v>
      </c>
      <c r="Q240" s="160">
        <f t="shared" si="218"/>
        <v>120.58333333333333</v>
      </c>
      <c r="R240" s="183"/>
      <c r="S240" s="158">
        <v>92</v>
      </c>
      <c r="T240" s="159">
        <v>83</v>
      </c>
      <c r="U240" s="159">
        <v>97</v>
      </c>
      <c r="V240" s="159">
        <v>132</v>
      </c>
      <c r="W240" s="159">
        <v>91</v>
      </c>
      <c r="X240" s="159">
        <v>107</v>
      </c>
      <c r="Y240" s="159">
        <v>123</v>
      </c>
      <c r="Z240" s="159">
        <v>115</v>
      </c>
      <c r="AA240" s="159">
        <v>105</v>
      </c>
      <c r="AB240" s="159">
        <v>126</v>
      </c>
      <c r="AC240" s="159">
        <v>108</v>
      </c>
      <c r="AD240" s="159">
        <v>108</v>
      </c>
      <c r="AE240" s="159">
        <f t="shared" si="181"/>
        <v>1287</v>
      </c>
      <c r="AF240" s="160">
        <f t="shared" si="219"/>
        <v>107.25</v>
      </c>
      <c r="AG240" s="183"/>
      <c r="AH240" s="158">
        <v>119</v>
      </c>
      <c r="AI240" s="159">
        <v>128</v>
      </c>
      <c r="AJ240" s="159">
        <v>156</v>
      </c>
      <c r="AK240" s="159">
        <v>164</v>
      </c>
      <c r="AL240" s="159">
        <v>165</v>
      </c>
      <c r="AM240" s="159">
        <v>149</v>
      </c>
      <c r="AN240" s="159">
        <v>165</v>
      </c>
      <c r="AO240" s="159">
        <v>120</v>
      </c>
      <c r="AP240" s="159">
        <v>163</v>
      </c>
      <c r="AQ240" s="159">
        <v>144</v>
      </c>
      <c r="AR240" s="159">
        <v>161</v>
      </c>
      <c r="AS240" s="159">
        <v>135</v>
      </c>
      <c r="AT240" s="159">
        <f t="shared" si="203"/>
        <v>1769</v>
      </c>
      <c r="AU240" s="160">
        <f t="shared" si="201"/>
        <v>147.41666666666666</v>
      </c>
      <c r="AV240" s="183"/>
      <c r="AW240" s="489">
        <v>115.99999999999999</v>
      </c>
      <c r="AX240" s="159">
        <v>213</v>
      </c>
      <c r="AY240" s="159">
        <v>192</v>
      </c>
      <c r="AZ240" s="159">
        <v>161</v>
      </c>
      <c r="BA240" s="159">
        <v>301</v>
      </c>
      <c r="BB240" s="159">
        <v>208</v>
      </c>
      <c r="BC240" s="159">
        <v>243.99999999999997</v>
      </c>
      <c r="BD240" s="159">
        <v>189</v>
      </c>
      <c r="BE240" s="159">
        <v>146</v>
      </c>
      <c r="BF240" s="159">
        <v>145</v>
      </c>
      <c r="BG240" s="159">
        <v>141</v>
      </c>
      <c r="BH240" s="159">
        <v>132</v>
      </c>
      <c r="BI240" s="159">
        <f t="shared" si="211"/>
        <v>2188</v>
      </c>
      <c r="BJ240" s="160">
        <f t="shared" si="196"/>
        <v>182.33333333333334</v>
      </c>
      <c r="BK240" s="183"/>
      <c r="BL240" s="489">
        <v>181</v>
      </c>
      <c r="BM240" s="159">
        <v>107</v>
      </c>
      <c r="BN240" s="159"/>
      <c r="BO240" s="159"/>
      <c r="BP240" s="159"/>
      <c r="BQ240" s="159"/>
      <c r="BR240" s="159"/>
      <c r="BS240" s="159"/>
      <c r="BT240" s="159"/>
      <c r="BU240" s="159"/>
      <c r="BV240" s="159"/>
      <c r="BW240" s="159"/>
      <c r="BX240" s="159">
        <f t="shared" si="212"/>
        <v>288</v>
      </c>
      <c r="BY240" s="160">
        <f t="shared" si="217"/>
        <v>144</v>
      </c>
      <c r="CA240" s="169">
        <f>ROW()</f>
        <v>240</v>
      </c>
      <c r="CB240" s="169">
        <f>IFERROR(_xlfn.XLOOKUP($A$1,$2:$2,240:240)-_xlfn.XLOOKUP(EDATE($A$1,-12),$2:$2,240:240),"")</f>
        <v>-106</v>
      </c>
      <c r="CC240" s="169">
        <f t="shared" si="209"/>
        <v>34.916666666666686</v>
      </c>
      <c r="CD240" s="169">
        <f>IFERROR(
  SUM(
    _xlfn.XLOOKUP(DATE(YEAR($A$1),1,1),$2:$2,240:240):
    _xlfn.XLOOKUP($A$1,$2:$2,240:240)
  )
 -SUM(
    _xlfn.XLOOKUP(DATE(YEAR($A$1)-1,1,1),$2:$2,240:240):
    _xlfn.XLOOKUP(EDATE($A$1,-12),$2:$2,240:240)
  ),"")</f>
        <v>-41</v>
      </c>
      <c r="CE240" s="4517">
        <f>IFERROR(
  _xlfn.XLOOKUP($A$1,$B$2:$BY$2,$B240:$BY240)
 -_xlfn.XLOOKUP(EDATE($A$1,-1),$B$2:$BY$2,$B240:$BY240),"")</f>
        <v>-74</v>
      </c>
    </row>
    <row r="241" spans="1:86" ht="17.399999999999999" customHeight="1" x14ac:dyDescent="0.55000000000000004">
      <c r="A241" s="7198"/>
      <c r="B241" s="7203" t="s">
        <v>1023</v>
      </c>
      <c r="C241" s="64" t="s">
        <v>400</v>
      </c>
      <c r="D241" s="143" t="e">
        <f>#REF!+#REF!</f>
        <v>#REF!</v>
      </c>
      <c r="E241" s="144" t="e">
        <f>#REF!+#REF!</f>
        <v>#REF!</v>
      </c>
      <c r="F241" s="144" t="e">
        <f>#REF!+#REF!</f>
        <v>#REF!</v>
      </c>
      <c r="G241" s="144" t="e">
        <f>#REF!+#REF!</f>
        <v>#REF!</v>
      </c>
      <c r="H241" s="144" t="e">
        <f>#REF!+#REF!</f>
        <v>#REF!</v>
      </c>
      <c r="I241" s="144" t="e">
        <f>#REF!+#REF!</f>
        <v>#REF!</v>
      </c>
      <c r="J241" s="144" t="e">
        <f>#REF!+#REF!</f>
        <v>#REF!</v>
      </c>
      <c r="K241" s="144" t="e">
        <f>#REF!+#REF!</f>
        <v>#REF!</v>
      </c>
      <c r="L241" s="144" t="e">
        <f>#REF!+#REF!</f>
        <v>#REF!</v>
      </c>
      <c r="M241" s="144" t="e">
        <f>#REF!+#REF!</f>
        <v>#REF!</v>
      </c>
      <c r="N241" s="144" t="e">
        <f>#REF!+#REF!</f>
        <v>#REF!</v>
      </c>
      <c r="O241" s="144" t="e">
        <f>#REF!+#REF!</f>
        <v>#REF!</v>
      </c>
      <c r="P241" s="144" t="e">
        <f t="shared" si="202"/>
        <v>#REF!</v>
      </c>
      <c r="Q241" s="145" t="e">
        <f t="shared" si="218"/>
        <v>#REF!</v>
      </c>
      <c r="R241" s="183"/>
      <c r="S241" s="143">
        <v>37</v>
      </c>
      <c r="T241" s="144">
        <v>40</v>
      </c>
      <c r="U241" s="144">
        <v>74</v>
      </c>
      <c r="V241" s="144">
        <v>93</v>
      </c>
      <c r="W241" s="144">
        <v>83</v>
      </c>
      <c r="X241" s="144">
        <v>50</v>
      </c>
      <c r="Y241" s="144">
        <v>57</v>
      </c>
      <c r="Z241" s="144">
        <v>50</v>
      </c>
      <c r="AA241" s="144">
        <v>56</v>
      </c>
      <c r="AB241" s="144">
        <v>38</v>
      </c>
      <c r="AC241" s="144">
        <v>55</v>
      </c>
      <c r="AD241" s="144">
        <v>32</v>
      </c>
      <c r="AE241" s="144">
        <f t="shared" si="181"/>
        <v>665</v>
      </c>
      <c r="AF241" s="145">
        <f t="shared" si="219"/>
        <v>55.416666666666664</v>
      </c>
      <c r="AG241" s="183"/>
      <c r="AH241" s="143">
        <v>50</v>
      </c>
      <c r="AI241" s="144">
        <v>48</v>
      </c>
      <c r="AJ241" s="144">
        <v>42</v>
      </c>
      <c r="AK241" s="144">
        <v>51</v>
      </c>
      <c r="AL241" s="144">
        <v>59</v>
      </c>
      <c r="AM241" s="144">
        <v>54</v>
      </c>
      <c r="AN241" s="144">
        <v>59</v>
      </c>
      <c r="AO241" s="144">
        <v>168</v>
      </c>
      <c r="AP241" s="144">
        <v>67</v>
      </c>
      <c r="AQ241" s="144">
        <v>70</v>
      </c>
      <c r="AR241" s="144">
        <v>81</v>
      </c>
      <c r="AS241" s="144">
        <v>57</v>
      </c>
      <c r="AT241" s="144">
        <f t="shared" si="203"/>
        <v>806</v>
      </c>
      <c r="AU241" s="145">
        <f t="shared" si="201"/>
        <v>67.166666666666671</v>
      </c>
      <c r="AV241" s="183"/>
      <c r="AW241" s="481">
        <v>44</v>
      </c>
      <c r="AX241" s="144">
        <v>66</v>
      </c>
      <c r="AY241" s="144">
        <v>49</v>
      </c>
      <c r="AZ241" s="144">
        <v>55</v>
      </c>
      <c r="BA241" s="144">
        <v>96</v>
      </c>
      <c r="BB241" s="144">
        <v>55</v>
      </c>
      <c r="BC241" s="144">
        <v>77</v>
      </c>
      <c r="BD241" s="144">
        <v>47</v>
      </c>
      <c r="BE241" s="144">
        <v>50</v>
      </c>
      <c r="BF241" s="144">
        <v>62</v>
      </c>
      <c r="BG241" s="144">
        <v>45</v>
      </c>
      <c r="BH241" s="144">
        <v>39</v>
      </c>
      <c r="BI241" s="144">
        <f t="shared" si="211"/>
        <v>685</v>
      </c>
      <c r="BJ241" s="145">
        <f t="shared" si="196"/>
        <v>57.083333333333336</v>
      </c>
      <c r="BK241" s="183"/>
      <c r="BL241" s="481">
        <v>70</v>
      </c>
      <c r="BM241" s="144">
        <v>140</v>
      </c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>
        <f t="shared" si="212"/>
        <v>210</v>
      </c>
      <c r="BY241" s="145">
        <f t="shared" si="217"/>
        <v>105</v>
      </c>
      <c r="CA241" s="169">
        <f>ROW()</f>
        <v>241</v>
      </c>
      <c r="CB241" s="169">
        <f>IFERROR(_xlfn.XLOOKUP($A$1,$2:$2,241:241)-_xlfn.XLOOKUP(EDATE($A$1,-12),$2:$2,241:241),"")</f>
        <v>74</v>
      </c>
      <c r="CC241" s="169">
        <f t="shared" si="209"/>
        <v>-10.083333333333336</v>
      </c>
      <c r="CD241" s="169">
        <f>IFERROR(
  SUM(
    _xlfn.XLOOKUP(DATE(YEAR($A$1),1,1),$2:$2,241:241):
    _xlfn.XLOOKUP($A$1,$2:$2,241:241)
  )
 -SUM(
    _xlfn.XLOOKUP(DATE(YEAR($A$1)-1,1,1),$2:$2,241:241):
    _xlfn.XLOOKUP(EDATE($A$1,-12),$2:$2,241:241)
  ),"")</f>
        <v>100</v>
      </c>
      <c r="CE241" s="4517">
        <f>IFERROR(
  _xlfn.XLOOKUP($A$1,$B$2:$BY$2,$B241:$BY241)
 -_xlfn.XLOOKUP(EDATE($A$1,-1),$B$2:$BY$2,$B241:$BY241),"")</f>
        <v>70</v>
      </c>
    </row>
    <row r="242" spans="1:86" ht="17.399999999999999" customHeight="1" x14ac:dyDescent="0.55000000000000004">
      <c r="A242" s="7198"/>
      <c r="B242" s="7204"/>
      <c r="C242" s="65" t="s">
        <v>401</v>
      </c>
      <c r="D242" s="146" t="e">
        <f>#REF!+#REF!</f>
        <v>#REF!</v>
      </c>
      <c r="E242" s="147" t="e">
        <f>#REF!+#REF!</f>
        <v>#REF!</v>
      </c>
      <c r="F242" s="147" t="e">
        <f>#REF!+#REF!</f>
        <v>#REF!</v>
      </c>
      <c r="G242" s="147" t="e">
        <f>#REF!+#REF!</f>
        <v>#REF!</v>
      </c>
      <c r="H242" s="147" t="e">
        <f>#REF!+#REF!</f>
        <v>#REF!</v>
      </c>
      <c r="I242" s="147" t="e">
        <f>#REF!+#REF!</f>
        <v>#REF!</v>
      </c>
      <c r="J242" s="147" t="e">
        <f>#REF!+#REF!</f>
        <v>#REF!</v>
      </c>
      <c r="K242" s="147" t="e">
        <f>#REF!+#REF!</f>
        <v>#REF!</v>
      </c>
      <c r="L242" s="147" t="e">
        <f>#REF!+#REF!</f>
        <v>#REF!</v>
      </c>
      <c r="M242" s="147" t="e">
        <f>#REF!+#REF!</f>
        <v>#REF!</v>
      </c>
      <c r="N242" s="147" t="e">
        <f>#REF!+#REF!</f>
        <v>#REF!</v>
      </c>
      <c r="O242" s="147" t="e">
        <f>#REF!+#REF!</f>
        <v>#REF!</v>
      </c>
      <c r="P242" s="147" t="e">
        <f t="shared" si="202"/>
        <v>#REF!</v>
      </c>
      <c r="Q242" s="148" t="e">
        <f t="shared" si="218"/>
        <v>#REF!</v>
      </c>
      <c r="R242" s="183"/>
      <c r="S242" s="146">
        <v>61</v>
      </c>
      <c r="T242" s="147">
        <v>58</v>
      </c>
      <c r="U242" s="147">
        <v>72</v>
      </c>
      <c r="V242" s="147">
        <v>85</v>
      </c>
      <c r="W242" s="147">
        <v>105</v>
      </c>
      <c r="X242" s="147">
        <v>48</v>
      </c>
      <c r="Y242" s="147">
        <v>31</v>
      </c>
      <c r="Z242" s="147">
        <v>48</v>
      </c>
      <c r="AA242" s="147">
        <v>41</v>
      </c>
      <c r="AB242" s="147">
        <v>50</v>
      </c>
      <c r="AC242" s="147">
        <v>42</v>
      </c>
      <c r="AD242" s="147">
        <v>38</v>
      </c>
      <c r="AE242" s="147">
        <f t="shared" si="181"/>
        <v>679</v>
      </c>
      <c r="AF242" s="148">
        <f t="shared" si="219"/>
        <v>56.583333333333336</v>
      </c>
      <c r="AG242" s="183"/>
      <c r="AH242" s="146">
        <v>23</v>
      </c>
      <c r="AI242" s="147">
        <v>29</v>
      </c>
      <c r="AJ242" s="147">
        <v>26</v>
      </c>
      <c r="AK242" s="147">
        <v>23</v>
      </c>
      <c r="AL242" s="147">
        <v>28</v>
      </c>
      <c r="AM242" s="147">
        <v>40</v>
      </c>
      <c r="AN242" s="147">
        <v>45</v>
      </c>
      <c r="AO242" s="147">
        <v>91</v>
      </c>
      <c r="AP242" s="147">
        <v>71</v>
      </c>
      <c r="AQ242" s="147">
        <v>61</v>
      </c>
      <c r="AR242" s="147">
        <v>53</v>
      </c>
      <c r="AS242" s="147">
        <v>38</v>
      </c>
      <c r="AT242" s="147">
        <f t="shared" si="203"/>
        <v>528</v>
      </c>
      <c r="AU242" s="148">
        <f t="shared" si="201"/>
        <v>44</v>
      </c>
      <c r="AV242" s="183"/>
      <c r="AW242" s="482">
        <v>20</v>
      </c>
      <c r="AX242" s="147">
        <v>42</v>
      </c>
      <c r="AY242" s="147">
        <v>34</v>
      </c>
      <c r="AZ242" s="147">
        <v>32</v>
      </c>
      <c r="BA242" s="147">
        <v>55</v>
      </c>
      <c r="BB242" s="147">
        <v>18</v>
      </c>
      <c r="BC242" s="147">
        <v>23</v>
      </c>
      <c r="BD242" s="147">
        <v>17</v>
      </c>
      <c r="BE242" s="147">
        <v>22</v>
      </c>
      <c r="BF242" s="147">
        <v>15</v>
      </c>
      <c r="BG242" s="147">
        <v>17</v>
      </c>
      <c r="BH242" s="147">
        <v>9</v>
      </c>
      <c r="BI242" s="147">
        <f t="shared" si="211"/>
        <v>304</v>
      </c>
      <c r="BJ242" s="148">
        <f t="shared" si="196"/>
        <v>25.333333333333332</v>
      </c>
      <c r="BK242" s="183"/>
      <c r="BL242" s="482">
        <v>85</v>
      </c>
      <c r="BM242" s="147">
        <v>126</v>
      </c>
      <c r="BN242" s="147"/>
      <c r="BO242" s="147"/>
      <c r="BP242" s="147"/>
      <c r="BQ242" s="147"/>
      <c r="BR242" s="147"/>
      <c r="BS242" s="147"/>
      <c r="BT242" s="147"/>
      <c r="BU242" s="147"/>
      <c r="BV242" s="147"/>
      <c r="BW242" s="147"/>
      <c r="BX242" s="147">
        <f t="shared" si="212"/>
        <v>211</v>
      </c>
      <c r="BY242" s="148">
        <f t="shared" si="217"/>
        <v>105.5</v>
      </c>
      <c r="CA242" s="169">
        <f>ROW()</f>
        <v>242</v>
      </c>
      <c r="CB242" s="169">
        <f>IFERROR(_xlfn.XLOOKUP($A$1,$2:$2,242:242)-_xlfn.XLOOKUP(EDATE($A$1,-12),$2:$2,242:242),"")</f>
        <v>84</v>
      </c>
      <c r="CC242" s="169">
        <f t="shared" si="209"/>
        <v>-18.666666666666668</v>
      </c>
      <c r="CD242" s="169">
        <f>IFERROR(
  SUM(
    _xlfn.XLOOKUP(DATE(YEAR($A$1),1,1),$2:$2,242:242):
    _xlfn.XLOOKUP($A$1,$2:$2,242:242)
  )
 -SUM(
    _xlfn.XLOOKUP(DATE(YEAR($A$1)-1,1,1),$2:$2,242:242):
    _xlfn.XLOOKUP(EDATE($A$1,-12),$2:$2,242:242)
  ),"")</f>
        <v>149</v>
      </c>
      <c r="CE242" s="4517">
        <f>IFERROR(
  _xlfn.XLOOKUP($A$1,$B$2:$BY$2,$B242:$BY242)
 -_xlfn.XLOOKUP(EDATE($A$1,-1),$B$2:$BY$2,$B242:$BY242),"")</f>
        <v>41</v>
      </c>
    </row>
    <row r="243" spans="1:86" ht="17.399999999999999" customHeight="1" x14ac:dyDescent="0.55000000000000004">
      <c r="A243" s="7198"/>
      <c r="B243" s="7204"/>
      <c r="C243" s="65" t="s">
        <v>402</v>
      </c>
      <c r="D243" s="146" t="e">
        <f>#REF!+#REF!</f>
        <v>#REF!</v>
      </c>
      <c r="E243" s="147" t="e">
        <f>#REF!+#REF!</f>
        <v>#REF!</v>
      </c>
      <c r="F243" s="147" t="e">
        <f>#REF!+#REF!</f>
        <v>#REF!</v>
      </c>
      <c r="G243" s="147" t="e">
        <f>#REF!+#REF!</f>
        <v>#REF!</v>
      </c>
      <c r="H243" s="147" t="e">
        <f>#REF!+#REF!</f>
        <v>#REF!</v>
      </c>
      <c r="I243" s="147" t="e">
        <f>#REF!+#REF!</f>
        <v>#REF!</v>
      </c>
      <c r="J243" s="147" t="e">
        <f>#REF!+#REF!</f>
        <v>#REF!</v>
      </c>
      <c r="K243" s="147" t="e">
        <f>#REF!+#REF!</f>
        <v>#REF!</v>
      </c>
      <c r="L243" s="147" t="e">
        <f>#REF!+#REF!</f>
        <v>#REF!</v>
      </c>
      <c r="M243" s="147" t="e">
        <f>#REF!+#REF!</f>
        <v>#REF!</v>
      </c>
      <c r="N243" s="147" t="e">
        <f>#REF!+#REF!</f>
        <v>#REF!</v>
      </c>
      <c r="O243" s="147" t="e">
        <f>#REF!+#REF!</f>
        <v>#REF!</v>
      </c>
      <c r="P243" s="147" t="e">
        <f t="shared" si="202"/>
        <v>#REF!</v>
      </c>
      <c r="Q243" s="148" t="e">
        <f t="shared" si="218"/>
        <v>#REF!</v>
      </c>
      <c r="R243" s="183"/>
      <c r="S243" s="146">
        <v>29</v>
      </c>
      <c r="T243" s="147">
        <v>56</v>
      </c>
      <c r="U243" s="147">
        <v>29</v>
      </c>
      <c r="V243" s="147">
        <v>49</v>
      </c>
      <c r="W243" s="147">
        <v>42</v>
      </c>
      <c r="X243" s="147">
        <v>43</v>
      </c>
      <c r="Y243" s="147">
        <v>31</v>
      </c>
      <c r="Z243" s="147">
        <v>24</v>
      </c>
      <c r="AA243" s="147">
        <v>30</v>
      </c>
      <c r="AB243" s="147">
        <v>37</v>
      </c>
      <c r="AC243" s="147">
        <v>40</v>
      </c>
      <c r="AD243" s="147">
        <v>56</v>
      </c>
      <c r="AE243" s="147">
        <f t="shared" si="181"/>
        <v>466</v>
      </c>
      <c r="AF243" s="148">
        <f t="shared" si="219"/>
        <v>38.833333333333336</v>
      </c>
      <c r="AG243" s="183"/>
      <c r="AH243" s="146">
        <v>32</v>
      </c>
      <c r="AI243" s="147">
        <v>20</v>
      </c>
      <c r="AJ243" s="147">
        <v>34</v>
      </c>
      <c r="AK243" s="147">
        <v>21</v>
      </c>
      <c r="AL243" s="147">
        <v>40</v>
      </c>
      <c r="AM243" s="147">
        <v>29</v>
      </c>
      <c r="AN243" s="147">
        <v>59</v>
      </c>
      <c r="AO243" s="147">
        <v>95</v>
      </c>
      <c r="AP243" s="147">
        <v>38</v>
      </c>
      <c r="AQ243" s="147">
        <v>85</v>
      </c>
      <c r="AR243" s="147">
        <v>44</v>
      </c>
      <c r="AS243" s="147">
        <v>40</v>
      </c>
      <c r="AT243" s="147">
        <f t="shared" si="203"/>
        <v>537</v>
      </c>
      <c r="AU243" s="148">
        <f t="shared" si="201"/>
        <v>44.75</v>
      </c>
      <c r="AV243" s="183"/>
      <c r="AW243" s="482">
        <v>76</v>
      </c>
      <c r="AX243" s="147">
        <v>53</v>
      </c>
      <c r="AY243" s="147">
        <v>37</v>
      </c>
      <c r="AZ243" s="147">
        <v>36</v>
      </c>
      <c r="BA243" s="147">
        <v>66</v>
      </c>
      <c r="BB243" s="147">
        <v>35</v>
      </c>
      <c r="BC243" s="147">
        <v>40</v>
      </c>
      <c r="BD243" s="147">
        <v>36</v>
      </c>
      <c r="BE243" s="147">
        <v>37</v>
      </c>
      <c r="BF243" s="147">
        <v>17</v>
      </c>
      <c r="BG243" s="147">
        <v>15</v>
      </c>
      <c r="BH243" s="147">
        <v>11</v>
      </c>
      <c r="BI243" s="147">
        <f t="shared" si="211"/>
        <v>459</v>
      </c>
      <c r="BJ243" s="148">
        <f t="shared" si="196"/>
        <v>38.25</v>
      </c>
      <c r="BK243" s="183"/>
      <c r="BL243" s="482">
        <v>130</v>
      </c>
      <c r="BM243" s="147">
        <v>222</v>
      </c>
      <c r="BN243" s="147"/>
      <c r="BO243" s="147"/>
      <c r="BP243" s="147"/>
      <c r="BQ243" s="147"/>
      <c r="BR243" s="147"/>
      <c r="BS243" s="147"/>
      <c r="BT243" s="147"/>
      <c r="BU243" s="147"/>
      <c r="BV243" s="147"/>
      <c r="BW243" s="147"/>
      <c r="BX243" s="147">
        <f t="shared" si="212"/>
        <v>352</v>
      </c>
      <c r="BY243" s="148">
        <f t="shared" si="217"/>
        <v>176</v>
      </c>
      <c r="CA243" s="169">
        <f>ROW()</f>
        <v>243</v>
      </c>
      <c r="CB243" s="169">
        <f>IFERROR(_xlfn.XLOOKUP($A$1,$2:$2,243:243)-_xlfn.XLOOKUP(EDATE($A$1,-12),$2:$2,243:243),"")</f>
        <v>169</v>
      </c>
      <c r="CC243" s="169">
        <f t="shared" si="209"/>
        <v>-6.5</v>
      </c>
      <c r="CD243" s="169">
        <f>IFERROR(
  SUM(
    _xlfn.XLOOKUP(DATE(YEAR($A$1),1,1),$2:$2,243:243):
    _xlfn.XLOOKUP($A$1,$2:$2,243:243)
  )
 -SUM(
    _xlfn.XLOOKUP(DATE(YEAR($A$1)-1,1,1),$2:$2,243:243):
    _xlfn.XLOOKUP(EDATE($A$1,-12),$2:$2,243:243)
  ),"")</f>
        <v>223</v>
      </c>
      <c r="CE243" s="4517">
        <f>IFERROR(
  _xlfn.XLOOKUP($A$1,$B$2:$BY$2,$B243:$BY243)
 -_xlfn.XLOOKUP(EDATE($A$1,-1),$B$2:$BY$2,$B243:$BY243),"")</f>
        <v>92</v>
      </c>
    </row>
    <row r="244" spans="1:86" ht="17.399999999999999" customHeight="1" x14ac:dyDescent="0.55000000000000004">
      <c r="A244" s="7198"/>
      <c r="B244" s="7204"/>
      <c r="C244" s="65" t="s">
        <v>403</v>
      </c>
      <c r="D244" s="146" t="e">
        <f>#REF!+#REF!</f>
        <v>#REF!</v>
      </c>
      <c r="E244" s="147" t="e">
        <f>#REF!+#REF!</f>
        <v>#REF!</v>
      </c>
      <c r="F244" s="147" t="e">
        <f>#REF!+#REF!</f>
        <v>#REF!</v>
      </c>
      <c r="G244" s="147" t="e">
        <f>#REF!+#REF!</f>
        <v>#REF!</v>
      </c>
      <c r="H244" s="147" t="e">
        <f>#REF!+#REF!</f>
        <v>#REF!</v>
      </c>
      <c r="I244" s="147" t="e">
        <f>#REF!+#REF!</f>
        <v>#REF!</v>
      </c>
      <c r="J244" s="147" t="e">
        <f>#REF!+#REF!</f>
        <v>#REF!</v>
      </c>
      <c r="K244" s="147" t="e">
        <f>#REF!+#REF!</f>
        <v>#REF!</v>
      </c>
      <c r="L244" s="147" t="e">
        <f>#REF!+#REF!</f>
        <v>#REF!</v>
      </c>
      <c r="M244" s="147" t="e">
        <f>#REF!+#REF!</f>
        <v>#REF!</v>
      </c>
      <c r="N244" s="147" t="e">
        <f>#REF!+#REF!</f>
        <v>#REF!</v>
      </c>
      <c r="O244" s="147" t="e">
        <f>#REF!+#REF!</f>
        <v>#REF!</v>
      </c>
      <c r="P244" s="147" t="e">
        <f t="shared" si="202"/>
        <v>#REF!</v>
      </c>
      <c r="Q244" s="148" t="e">
        <f t="shared" si="218"/>
        <v>#REF!</v>
      </c>
      <c r="R244" s="183"/>
      <c r="S244" s="146">
        <v>68</v>
      </c>
      <c r="T244" s="147">
        <v>87</v>
      </c>
      <c r="U244" s="147">
        <v>110</v>
      </c>
      <c r="V244" s="147">
        <v>91</v>
      </c>
      <c r="W244" s="147">
        <v>135</v>
      </c>
      <c r="X244" s="147">
        <v>104</v>
      </c>
      <c r="Y244" s="147">
        <v>69</v>
      </c>
      <c r="Z244" s="147">
        <v>76</v>
      </c>
      <c r="AA244" s="147">
        <v>92</v>
      </c>
      <c r="AB244" s="147">
        <v>75</v>
      </c>
      <c r="AC244" s="147">
        <v>86</v>
      </c>
      <c r="AD244" s="147">
        <v>66</v>
      </c>
      <c r="AE244" s="147">
        <f t="shared" si="181"/>
        <v>1059</v>
      </c>
      <c r="AF244" s="148">
        <f t="shared" si="219"/>
        <v>88.25</v>
      </c>
      <c r="AG244" s="183"/>
      <c r="AH244" s="146">
        <v>77</v>
      </c>
      <c r="AI244" s="147">
        <v>57</v>
      </c>
      <c r="AJ244" s="147">
        <v>95</v>
      </c>
      <c r="AK244" s="147">
        <v>78</v>
      </c>
      <c r="AL244" s="147">
        <v>82</v>
      </c>
      <c r="AM244" s="147">
        <v>112</v>
      </c>
      <c r="AN244" s="147">
        <v>102</v>
      </c>
      <c r="AO244" s="147">
        <v>208</v>
      </c>
      <c r="AP244" s="147">
        <v>110</v>
      </c>
      <c r="AQ244" s="147">
        <v>135</v>
      </c>
      <c r="AR244" s="147">
        <v>97</v>
      </c>
      <c r="AS244" s="147">
        <v>61</v>
      </c>
      <c r="AT244" s="147">
        <f t="shared" si="203"/>
        <v>1214</v>
      </c>
      <c r="AU244" s="148">
        <f t="shared" si="201"/>
        <v>101.16666666666667</v>
      </c>
      <c r="AV244" s="183"/>
      <c r="AW244" s="482">
        <v>84</v>
      </c>
      <c r="AX244" s="147">
        <v>48</v>
      </c>
      <c r="AY244" s="147">
        <v>100</v>
      </c>
      <c r="AZ244" s="147">
        <v>213</v>
      </c>
      <c r="BA244" s="147">
        <v>229</v>
      </c>
      <c r="BB244" s="147">
        <v>99</v>
      </c>
      <c r="BC244" s="147">
        <v>362</v>
      </c>
      <c r="BD244" s="147">
        <v>154</v>
      </c>
      <c r="BE244" s="147">
        <v>158</v>
      </c>
      <c r="BF244" s="147">
        <v>35</v>
      </c>
      <c r="BG244" s="147">
        <v>39</v>
      </c>
      <c r="BH244" s="147">
        <v>31</v>
      </c>
      <c r="BI244" s="147">
        <f t="shared" si="211"/>
        <v>1552</v>
      </c>
      <c r="BJ244" s="148">
        <f t="shared" si="196"/>
        <v>129.33333333333334</v>
      </c>
      <c r="BK244" s="183"/>
      <c r="BL244" s="482">
        <v>110</v>
      </c>
      <c r="BM244" s="147">
        <v>73</v>
      </c>
      <c r="BN244" s="147"/>
      <c r="BO244" s="147"/>
      <c r="BP244" s="147"/>
      <c r="BQ244" s="147"/>
      <c r="BR244" s="147"/>
      <c r="BS244" s="147"/>
      <c r="BT244" s="147"/>
      <c r="BU244" s="147"/>
      <c r="BV244" s="147"/>
      <c r="BW244" s="147"/>
      <c r="BX244" s="147">
        <f t="shared" si="212"/>
        <v>183</v>
      </c>
      <c r="BY244" s="148">
        <f t="shared" si="217"/>
        <v>91.5</v>
      </c>
      <c r="CA244" s="169">
        <f>ROW()</f>
        <v>244</v>
      </c>
      <c r="CB244" s="169">
        <f>IFERROR(_xlfn.XLOOKUP($A$1,$2:$2,244:244)-_xlfn.XLOOKUP(EDATE($A$1,-12),$2:$2,244:244),"")</f>
        <v>25</v>
      </c>
      <c r="CC244" s="169">
        <f t="shared" si="209"/>
        <v>28.166666666666671</v>
      </c>
      <c r="CD244" s="169">
        <f>IFERROR(
  SUM(
    _xlfn.XLOOKUP(DATE(YEAR($A$1),1,1),$2:$2,244:244):
    _xlfn.XLOOKUP($A$1,$2:$2,244:244)
  )
 -SUM(
    _xlfn.XLOOKUP(DATE(YEAR($A$1)-1,1,1),$2:$2,244:244):
    _xlfn.XLOOKUP(EDATE($A$1,-12),$2:$2,244:244)
  ),"")</f>
        <v>51</v>
      </c>
      <c r="CE244" s="4517">
        <f>IFERROR(
  _xlfn.XLOOKUP($A$1,$B$2:$BY$2,$B244:$BY244)
 -_xlfn.XLOOKUP(EDATE($A$1,-1),$B$2:$BY$2,$B244:$BY244),"")</f>
        <v>-37</v>
      </c>
    </row>
    <row r="245" spans="1:86" ht="17.399999999999999" customHeight="1" x14ac:dyDescent="0.55000000000000004">
      <c r="A245" s="7198"/>
      <c r="B245" s="7205"/>
      <c r="C245" s="66" t="s">
        <v>404</v>
      </c>
      <c r="D245" s="149" t="e">
        <f>#REF!+#REF!</f>
        <v>#REF!</v>
      </c>
      <c r="E245" s="150" t="e">
        <f>#REF!+#REF!</f>
        <v>#REF!</v>
      </c>
      <c r="F245" s="150" t="e">
        <f>#REF!+#REF!</f>
        <v>#REF!</v>
      </c>
      <c r="G245" s="150" t="e">
        <f>#REF!+#REF!</f>
        <v>#REF!</v>
      </c>
      <c r="H245" s="150" t="e">
        <f>#REF!+#REF!</f>
        <v>#REF!</v>
      </c>
      <c r="I245" s="150" t="e">
        <f>#REF!+#REF!</f>
        <v>#REF!</v>
      </c>
      <c r="J245" s="150" t="e">
        <f>#REF!+#REF!</f>
        <v>#REF!</v>
      </c>
      <c r="K245" s="150" t="e">
        <f>#REF!+#REF!</f>
        <v>#REF!</v>
      </c>
      <c r="L245" s="150" t="e">
        <f>#REF!+#REF!</f>
        <v>#REF!</v>
      </c>
      <c r="M245" s="150" t="e">
        <f>#REF!+#REF!</f>
        <v>#REF!</v>
      </c>
      <c r="N245" s="150" t="e">
        <f>#REF!+#REF!</f>
        <v>#REF!</v>
      </c>
      <c r="O245" s="150" t="e">
        <f>#REF!+#REF!</f>
        <v>#REF!</v>
      </c>
      <c r="P245" s="150" t="e">
        <f t="shared" si="202"/>
        <v>#REF!</v>
      </c>
      <c r="Q245" s="151" t="e">
        <f t="shared" si="218"/>
        <v>#REF!</v>
      </c>
      <c r="R245" s="183"/>
      <c r="S245" s="149">
        <v>87</v>
      </c>
      <c r="T245" s="150">
        <v>94</v>
      </c>
      <c r="U245" s="150">
        <v>91</v>
      </c>
      <c r="V245" s="150">
        <v>90</v>
      </c>
      <c r="W245" s="150">
        <v>99</v>
      </c>
      <c r="X245" s="150">
        <v>148</v>
      </c>
      <c r="Y245" s="150">
        <v>112</v>
      </c>
      <c r="Z245" s="150">
        <v>87</v>
      </c>
      <c r="AA245" s="150">
        <v>82</v>
      </c>
      <c r="AB245" s="150">
        <v>88</v>
      </c>
      <c r="AC245" s="150">
        <v>64</v>
      </c>
      <c r="AD245" s="150">
        <v>61</v>
      </c>
      <c r="AE245" s="150">
        <f t="shared" si="181"/>
        <v>1103</v>
      </c>
      <c r="AF245" s="151">
        <f t="shared" si="219"/>
        <v>91.916666666666671</v>
      </c>
      <c r="AG245" s="183"/>
      <c r="AH245" s="149">
        <v>62</v>
      </c>
      <c r="AI245" s="150">
        <v>94</v>
      </c>
      <c r="AJ245" s="150">
        <v>75</v>
      </c>
      <c r="AK245" s="150">
        <v>57</v>
      </c>
      <c r="AL245" s="150">
        <v>83</v>
      </c>
      <c r="AM245" s="150">
        <v>218</v>
      </c>
      <c r="AN245" s="150">
        <v>157</v>
      </c>
      <c r="AO245" s="150">
        <v>192</v>
      </c>
      <c r="AP245" s="150">
        <v>203</v>
      </c>
      <c r="AQ245" s="150">
        <v>109</v>
      </c>
      <c r="AR245" s="150">
        <v>108</v>
      </c>
      <c r="AS245" s="150">
        <v>69</v>
      </c>
      <c r="AT245" s="150">
        <f t="shared" si="203"/>
        <v>1427</v>
      </c>
      <c r="AU245" s="151">
        <f t="shared" si="201"/>
        <v>118.91666666666667</v>
      </c>
      <c r="AV245" s="183"/>
      <c r="AW245" s="483">
        <v>52</v>
      </c>
      <c r="AX245" s="150">
        <v>73</v>
      </c>
      <c r="AY245" s="150">
        <v>127</v>
      </c>
      <c r="AZ245" s="150">
        <v>67</v>
      </c>
      <c r="BA245" s="150">
        <v>81</v>
      </c>
      <c r="BB245" s="150">
        <v>149</v>
      </c>
      <c r="BC245" s="150">
        <v>143</v>
      </c>
      <c r="BD245" s="150">
        <v>94</v>
      </c>
      <c r="BE245" s="150">
        <v>106</v>
      </c>
      <c r="BF245" s="150">
        <v>62</v>
      </c>
      <c r="BG245" s="150">
        <v>45</v>
      </c>
      <c r="BH245" s="150">
        <v>38</v>
      </c>
      <c r="BI245" s="150">
        <f t="shared" si="211"/>
        <v>1037</v>
      </c>
      <c r="BJ245" s="151">
        <f t="shared" si="196"/>
        <v>86.416666666666671</v>
      </c>
      <c r="BK245" s="183"/>
      <c r="BL245" s="483">
        <v>374</v>
      </c>
      <c r="BM245" s="150">
        <v>408</v>
      </c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>
        <f t="shared" si="212"/>
        <v>782</v>
      </c>
      <c r="BY245" s="151">
        <f t="shared" si="217"/>
        <v>391</v>
      </c>
      <c r="CA245" s="169">
        <f>ROW()</f>
        <v>245</v>
      </c>
      <c r="CB245" s="169">
        <f>IFERROR(_xlfn.XLOOKUP($A$1,$2:$2,245:245)-_xlfn.XLOOKUP(EDATE($A$1,-12),$2:$2,245:245),"")</f>
        <v>335</v>
      </c>
      <c r="CC245" s="169">
        <f t="shared" si="209"/>
        <v>-32.5</v>
      </c>
      <c r="CD245" s="169">
        <f>IFERROR(
  SUM(
    _xlfn.XLOOKUP(DATE(YEAR($A$1),1,1),$2:$2,245:245):
    _xlfn.XLOOKUP($A$1,$2:$2,245:245)
  )
 -SUM(
    _xlfn.XLOOKUP(DATE(YEAR($A$1)-1,1,1),$2:$2,245:245):
    _xlfn.XLOOKUP(EDATE($A$1,-12),$2:$2,245:245)
  ),"")</f>
        <v>657</v>
      </c>
      <c r="CE245" s="4517">
        <f>IFERROR(
  _xlfn.XLOOKUP($A$1,$B$2:$BY$2,$B245:$BY245)
 -_xlfn.XLOOKUP(EDATE($A$1,-1),$B$2:$BY$2,$B245:$BY245),"")</f>
        <v>34</v>
      </c>
    </row>
    <row r="246" spans="1:86" x14ac:dyDescent="0.55000000000000004">
      <c r="A246" s="7198"/>
      <c r="B246" s="7203" t="s">
        <v>413</v>
      </c>
      <c r="C246" s="64" t="s">
        <v>400</v>
      </c>
      <c r="D246" s="143" t="e">
        <f>D251+#REF!</f>
        <v>#REF!</v>
      </c>
      <c r="E246" s="144" t="e">
        <f>E251+#REF!</f>
        <v>#REF!</v>
      </c>
      <c r="F246" s="144" t="e">
        <f>F251+#REF!</f>
        <v>#REF!</v>
      </c>
      <c r="G246" s="144" t="e">
        <f>G251+#REF!</f>
        <v>#REF!</v>
      </c>
      <c r="H246" s="144" t="e">
        <f>H251+#REF!</f>
        <v>#REF!</v>
      </c>
      <c r="I246" s="144" t="e">
        <f>I251+#REF!</f>
        <v>#REF!</v>
      </c>
      <c r="J246" s="144" t="e">
        <f>J251+#REF!</f>
        <v>#REF!</v>
      </c>
      <c r="K246" s="144" t="e">
        <f>K251+#REF!</f>
        <v>#REF!</v>
      </c>
      <c r="L246" s="144" t="e">
        <f>L251+#REF!</f>
        <v>#REF!</v>
      </c>
      <c r="M246" s="144" t="e">
        <f>M251+#REF!</f>
        <v>#REF!</v>
      </c>
      <c r="N246" s="144" t="e">
        <f>N251+#REF!</f>
        <v>#REF!</v>
      </c>
      <c r="O246" s="144" t="e">
        <f>O251+#REF!</f>
        <v>#REF!</v>
      </c>
      <c r="P246" s="144" t="e">
        <f t="shared" si="202"/>
        <v>#REF!</v>
      </c>
      <c r="Q246" s="145" t="e">
        <f t="shared" si="218"/>
        <v>#REF!</v>
      </c>
      <c r="R246" s="183"/>
      <c r="S246" s="143">
        <v>238</v>
      </c>
      <c r="T246" s="144">
        <v>321</v>
      </c>
      <c r="U246" s="144">
        <v>235</v>
      </c>
      <c r="V246" s="144">
        <v>231</v>
      </c>
      <c r="W246" s="144">
        <v>319</v>
      </c>
      <c r="X246" s="144">
        <v>316</v>
      </c>
      <c r="Y246" s="144">
        <v>280</v>
      </c>
      <c r="Z246" s="144">
        <v>381</v>
      </c>
      <c r="AA246" s="144">
        <v>260</v>
      </c>
      <c r="AB246" s="144">
        <v>358</v>
      </c>
      <c r="AC246" s="144">
        <v>414</v>
      </c>
      <c r="AD246" s="144">
        <v>219</v>
      </c>
      <c r="AE246" s="144">
        <f t="shared" si="181"/>
        <v>3572</v>
      </c>
      <c r="AF246" s="145">
        <f t="shared" si="219"/>
        <v>297.66666666666669</v>
      </c>
      <c r="AG246" s="183"/>
      <c r="AH246" s="143">
        <v>379</v>
      </c>
      <c r="AI246" s="144">
        <v>256</v>
      </c>
      <c r="AJ246" s="144">
        <v>259</v>
      </c>
      <c r="AK246" s="144">
        <v>237</v>
      </c>
      <c r="AL246" s="144">
        <v>342</v>
      </c>
      <c r="AM246" s="144">
        <v>305</v>
      </c>
      <c r="AN246" s="144">
        <v>395</v>
      </c>
      <c r="AO246" s="144">
        <v>348</v>
      </c>
      <c r="AP246" s="144">
        <v>340</v>
      </c>
      <c r="AQ246" s="144">
        <v>426</v>
      </c>
      <c r="AR246" s="144">
        <v>363</v>
      </c>
      <c r="AS246" s="144">
        <v>285</v>
      </c>
      <c r="AT246" s="144">
        <f t="shared" si="203"/>
        <v>3935</v>
      </c>
      <c r="AU246" s="145">
        <f t="shared" si="201"/>
        <v>327.91666666666669</v>
      </c>
      <c r="AV246" s="183"/>
      <c r="AW246" s="481">
        <v>305</v>
      </c>
      <c r="AX246" s="144">
        <v>402</v>
      </c>
      <c r="AY246" s="144">
        <v>337</v>
      </c>
      <c r="AZ246" s="144">
        <v>340</v>
      </c>
      <c r="BA246" s="144">
        <v>736</v>
      </c>
      <c r="BB246" s="144">
        <v>415</v>
      </c>
      <c r="BC246" s="144">
        <v>422</v>
      </c>
      <c r="BD246" s="144">
        <v>345</v>
      </c>
      <c r="BE246" s="144">
        <v>361</v>
      </c>
      <c r="BF246" s="144">
        <v>308</v>
      </c>
      <c r="BG246" s="144">
        <v>328</v>
      </c>
      <c r="BH246" s="144">
        <v>379</v>
      </c>
      <c r="BI246" s="144">
        <f t="shared" si="211"/>
        <v>4678</v>
      </c>
      <c r="BJ246" s="145">
        <f t="shared" ref="BJ246:BJ308" si="220">AVERAGE(AW246:BH246)</f>
        <v>389.83333333333331</v>
      </c>
      <c r="BK246" s="183"/>
      <c r="BL246" s="481">
        <v>347</v>
      </c>
      <c r="BM246" s="144">
        <v>228</v>
      </c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>
        <f t="shared" si="212"/>
        <v>575</v>
      </c>
      <c r="BY246" s="145">
        <f t="shared" si="217"/>
        <v>287.5</v>
      </c>
      <c r="CA246" s="169">
        <f>ROW()</f>
        <v>246</v>
      </c>
      <c r="CB246" s="169">
        <f>IFERROR(_xlfn.XLOOKUP($A$1,$2:$2,246:246)-_xlfn.XLOOKUP(EDATE($A$1,-12),$2:$2,246:246),"")</f>
        <v>-174</v>
      </c>
      <c r="CC246" s="169">
        <f t="shared" si="209"/>
        <v>61.916666666666629</v>
      </c>
      <c r="CD246" s="169">
        <f>IFERROR(
  SUM(
    _xlfn.XLOOKUP(DATE(YEAR($A$1),1,1),$2:$2,246:246):
    _xlfn.XLOOKUP($A$1,$2:$2,246:246)
  )
 -SUM(
    _xlfn.XLOOKUP(DATE(YEAR($A$1)-1,1,1),$2:$2,246:246):
    _xlfn.XLOOKUP(EDATE($A$1,-12),$2:$2,246:246)
  ),"")</f>
        <v>-132</v>
      </c>
      <c r="CE246" s="4517">
        <f>IFERROR(
  _xlfn.XLOOKUP($A$1,$B$2:$BY$2,$B246:$BY246)
 -_xlfn.XLOOKUP(EDATE($A$1,-1),$B$2:$BY$2,$B246:$BY246),"")</f>
        <v>-119</v>
      </c>
    </row>
    <row r="247" spans="1:86" x14ac:dyDescent="0.55000000000000004">
      <c r="A247" s="7198"/>
      <c r="B247" s="7204"/>
      <c r="C247" s="65" t="s">
        <v>401</v>
      </c>
      <c r="D247" s="146">
        <f>D252</f>
        <v>380</v>
      </c>
      <c r="E247" s="147">
        <f t="shared" ref="E247:O247" si="221">E252</f>
        <v>431</v>
      </c>
      <c r="F247" s="147">
        <f t="shared" si="221"/>
        <v>464</v>
      </c>
      <c r="G247" s="147">
        <f t="shared" si="221"/>
        <v>560</v>
      </c>
      <c r="H247" s="147">
        <f t="shared" si="221"/>
        <v>542</v>
      </c>
      <c r="I247" s="147">
        <f t="shared" si="221"/>
        <v>367</v>
      </c>
      <c r="J247" s="147">
        <f t="shared" si="221"/>
        <v>258</v>
      </c>
      <c r="K247" s="147">
        <f t="shared" si="221"/>
        <v>330</v>
      </c>
      <c r="L247" s="147">
        <f t="shared" si="221"/>
        <v>208</v>
      </c>
      <c r="M247" s="147">
        <f t="shared" si="221"/>
        <v>282</v>
      </c>
      <c r="N247" s="147">
        <f t="shared" si="221"/>
        <v>254</v>
      </c>
      <c r="O247" s="147">
        <f t="shared" si="221"/>
        <v>217</v>
      </c>
      <c r="P247" s="147">
        <f t="shared" si="202"/>
        <v>4293</v>
      </c>
      <c r="Q247" s="148">
        <f t="shared" si="218"/>
        <v>357.75</v>
      </c>
      <c r="R247" s="183"/>
      <c r="S247" s="146">
        <v>227</v>
      </c>
      <c r="T247" s="147">
        <v>257</v>
      </c>
      <c r="U247" s="147">
        <v>202</v>
      </c>
      <c r="V247" s="147">
        <v>141</v>
      </c>
      <c r="W247" s="147">
        <v>204</v>
      </c>
      <c r="X247" s="147">
        <v>157</v>
      </c>
      <c r="Y247" s="147">
        <v>163</v>
      </c>
      <c r="Z247" s="147">
        <v>195</v>
      </c>
      <c r="AA247" s="147">
        <v>195</v>
      </c>
      <c r="AB247" s="147">
        <v>253</v>
      </c>
      <c r="AC247" s="147">
        <v>231</v>
      </c>
      <c r="AD247" s="147">
        <v>134</v>
      </c>
      <c r="AE247" s="147">
        <f t="shared" si="181"/>
        <v>2359</v>
      </c>
      <c r="AF247" s="148">
        <f t="shared" si="219"/>
        <v>196.58333333333334</v>
      </c>
      <c r="AG247" s="183"/>
      <c r="AH247" s="146">
        <v>184</v>
      </c>
      <c r="AI247" s="147">
        <v>156</v>
      </c>
      <c r="AJ247" s="147">
        <v>235</v>
      </c>
      <c r="AK247" s="147">
        <v>225</v>
      </c>
      <c r="AL247" s="147">
        <v>211</v>
      </c>
      <c r="AM247" s="147">
        <v>249.00000000000003</v>
      </c>
      <c r="AN247" s="147">
        <v>253</v>
      </c>
      <c r="AO247" s="147">
        <v>361</v>
      </c>
      <c r="AP247" s="147">
        <v>378</v>
      </c>
      <c r="AQ247" s="147">
        <v>382</v>
      </c>
      <c r="AR247" s="147">
        <v>312</v>
      </c>
      <c r="AS247" s="147">
        <v>309</v>
      </c>
      <c r="AT247" s="147">
        <f t="shared" si="203"/>
        <v>3255</v>
      </c>
      <c r="AU247" s="148">
        <f t="shared" si="201"/>
        <v>271.25</v>
      </c>
      <c r="AV247" s="183"/>
      <c r="AW247" s="482">
        <v>283</v>
      </c>
      <c r="AX247" s="147">
        <v>315</v>
      </c>
      <c r="AY247" s="147">
        <v>259</v>
      </c>
      <c r="AZ247" s="147">
        <v>237</v>
      </c>
      <c r="BA247" s="147">
        <v>545</v>
      </c>
      <c r="BB247" s="147">
        <v>339</v>
      </c>
      <c r="BC247" s="147">
        <v>323</v>
      </c>
      <c r="BD247" s="147">
        <v>320</v>
      </c>
      <c r="BE247" s="147">
        <v>320</v>
      </c>
      <c r="BF247" s="147">
        <v>288</v>
      </c>
      <c r="BG247" s="147">
        <v>272</v>
      </c>
      <c r="BH247" s="147">
        <v>300</v>
      </c>
      <c r="BI247" s="147">
        <f t="shared" si="211"/>
        <v>3801</v>
      </c>
      <c r="BJ247" s="148">
        <f t="shared" si="220"/>
        <v>316.75</v>
      </c>
      <c r="BK247" s="183"/>
      <c r="BL247" s="482">
        <v>311</v>
      </c>
      <c r="BM247" s="147">
        <v>217</v>
      </c>
      <c r="BN247" s="147"/>
      <c r="BO247" s="147"/>
      <c r="BP247" s="147"/>
      <c r="BQ247" s="147"/>
      <c r="BR247" s="147"/>
      <c r="BS247" s="147"/>
      <c r="BT247" s="147"/>
      <c r="BU247" s="147"/>
      <c r="BV247" s="147"/>
      <c r="BW247" s="147"/>
      <c r="BX247" s="147">
        <f t="shared" si="212"/>
        <v>528</v>
      </c>
      <c r="BY247" s="148">
        <f t="shared" si="217"/>
        <v>264</v>
      </c>
      <c r="CA247" s="169">
        <f>ROW()</f>
        <v>247</v>
      </c>
      <c r="CB247" s="169">
        <f>IFERROR(_xlfn.XLOOKUP($A$1,$2:$2,247:247)-_xlfn.XLOOKUP(EDATE($A$1,-12),$2:$2,247:247),"")</f>
        <v>-98</v>
      </c>
      <c r="CC247" s="169">
        <f t="shared" si="209"/>
        <v>45.5</v>
      </c>
      <c r="CD247" s="169">
        <f>IFERROR(
  SUM(
    _xlfn.XLOOKUP(DATE(YEAR($A$1),1,1),$2:$2,247:247):
    _xlfn.XLOOKUP($A$1,$2:$2,247:247)
  )
 -SUM(
    _xlfn.XLOOKUP(DATE(YEAR($A$1)-1,1,1),$2:$2,247:247):
    _xlfn.XLOOKUP(EDATE($A$1,-12),$2:$2,247:247)
  ),"")</f>
        <v>-70</v>
      </c>
      <c r="CE247" s="4517">
        <f>IFERROR(
  _xlfn.XLOOKUP($A$1,$B$2:$BY$2,$B247:$BY247)
 -_xlfn.XLOOKUP(EDATE($A$1,-1),$B$2:$BY$2,$B247:$BY247),"")</f>
        <v>-94</v>
      </c>
    </row>
    <row r="248" spans="1:86" x14ac:dyDescent="0.55000000000000004">
      <c r="A248" s="7198"/>
      <c r="B248" s="7204"/>
      <c r="C248" s="65" t="s">
        <v>402</v>
      </c>
      <c r="D248" s="146">
        <f>D253</f>
        <v>354</v>
      </c>
      <c r="E248" s="147">
        <f t="shared" ref="E248:O248" si="222">E253</f>
        <v>373</v>
      </c>
      <c r="F248" s="147">
        <f t="shared" si="222"/>
        <v>416</v>
      </c>
      <c r="G248" s="147">
        <f t="shared" si="222"/>
        <v>487</v>
      </c>
      <c r="H248" s="147">
        <f t="shared" si="222"/>
        <v>415</v>
      </c>
      <c r="I248" s="147">
        <f t="shared" si="222"/>
        <v>331</v>
      </c>
      <c r="J248" s="147">
        <f t="shared" si="222"/>
        <v>242</v>
      </c>
      <c r="K248" s="147">
        <f t="shared" si="222"/>
        <v>287</v>
      </c>
      <c r="L248" s="147">
        <f t="shared" si="222"/>
        <v>227</v>
      </c>
      <c r="M248" s="147">
        <f t="shared" si="222"/>
        <v>254</v>
      </c>
      <c r="N248" s="147">
        <f t="shared" si="222"/>
        <v>217</v>
      </c>
      <c r="O248" s="147">
        <f t="shared" si="222"/>
        <v>172</v>
      </c>
      <c r="P248" s="147">
        <f t="shared" si="202"/>
        <v>3775</v>
      </c>
      <c r="Q248" s="148">
        <f t="shared" si="218"/>
        <v>314.58333333333331</v>
      </c>
      <c r="R248" s="183"/>
      <c r="S248" s="146">
        <v>166</v>
      </c>
      <c r="T248" s="147">
        <v>194</v>
      </c>
      <c r="U248" s="147">
        <v>192</v>
      </c>
      <c r="V248" s="147">
        <v>174</v>
      </c>
      <c r="W248" s="147">
        <v>217</v>
      </c>
      <c r="X248" s="147">
        <v>199</v>
      </c>
      <c r="Y248" s="147">
        <v>200</v>
      </c>
      <c r="Z248" s="147">
        <v>221</v>
      </c>
      <c r="AA248" s="147">
        <v>180</v>
      </c>
      <c r="AB248" s="147">
        <v>196</v>
      </c>
      <c r="AC248" s="147">
        <v>243</v>
      </c>
      <c r="AD248" s="147">
        <v>145</v>
      </c>
      <c r="AE248" s="147">
        <f t="shared" si="181"/>
        <v>2327</v>
      </c>
      <c r="AF248" s="148">
        <f t="shared" si="219"/>
        <v>193.91666666666666</v>
      </c>
      <c r="AG248" s="183"/>
      <c r="AH248" s="146">
        <v>161</v>
      </c>
      <c r="AI248" s="147">
        <v>155</v>
      </c>
      <c r="AJ248" s="147">
        <v>210</v>
      </c>
      <c r="AK248" s="147">
        <v>188</v>
      </c>
      <c r="AL248" s="147">
        <v>284</v>
      </c>
      <c r="AM248" s="147">
        <v>258</v>
      </c>
      <c r="AN248" s="147">
        <v>287</v>
      </c>
      <c r="AO248" s="147">
        <v>287</v>
      </c>
      <c r="AP248" s="147">
        <v>261</v>
      </c>
      <c r="AQ248" s="147">
        <v>298</v>
      </c>
      <c r="AR248" s="147">
        <v>298</v>
      </c>
      <c r="AS248" s="147">
        <v>289</v>
      </c>
      <c r="AT248" s="147">
        <f t="shared" si="203"/>
        <v>2976</v>
      </c>
      <c r="AU248" s="148">
        <f t="shared" si="201"/>
        <v>248</v>
      </c>
      <c r="AV248" s="183"/>
      <c r="AW248" s="482">
        <v>250</v>
      </c>
      <c r="AX248" s="147">
        <v>367</v>
      </c>
      <c r="AY248" s="147">
        <v>356</v>
      </c>
      <c r="AZ248" s="147">
        <v>299</v>
      </c>
      <c r="BA248" s="147">
        <v>572</v>
      </c>
      <c r="BB248" s="147">
        <v>436.00000000000006</v>
      </c>
      <c r="BC248" s="147">
        <v>404</v>
      </c>
      <c r="BD248" s="147">
        <v>292</v>
      </c>
      <c r="BE248" s="147">
        <v>335</v>
      </c>
      <c r="BF248" s="147">
        <v>302</v>
      </c>
      <c r="BG248" s="147">
        <v>259</v>
      </c>
      <c r="BH248" s="147">
        <v>260</v>
      </c>
      <c r="BI248" s="147">
        <f t="shared" si="211"/>
        <v>4132</v>
      </c>
      <c r="BJ248" s="148">
        <f t="shared" si="220"/>
        <v>344.33333333333331</v>
      </c>
      <c r="BK248" s="183"/>
      <c r="BL248" s="482">
        <v>359</v>
      </c>
      <c r="BM248" s="147">
        <v>245</v>
      </c>
      <c r="BN248" s="147"/>
      <c r="BO248" s="147"/>
      <c r="BP248" s="147"/>
      <c r="BQ248" s="147"/>
      <c r="BR248" s="147"/>
      <c r="BS248" s="147"/>
      <c r="BT248" s="147"/>
      <c r="BU248" s="147"/>
      <c r="BV248" s="147"/>
      <c r="BW248" s="147"/>
      <c r="BX248" s="147">
        <f t="shared" si="212"/>
        <v>604</v>
      </c>
      <c r="BY248" s="148">
        <f t="shared" si="217"/>
        <v>302</v>
      </c>
      <c r="CA248" s="169">
        <f>ROW()</f>
        <v>248</v>
      </c>
      <c r="CB248" s="169">
        <f>IFERROR(_xlfn.XLOOKUP($A$1,$2:$2,248:248)-_xlfn.XLOOKUP(EDATE($A$1,-12),$2:$2,248:248),"")</f>
        <v>-122</v>
      </c>
      <c r="CC248" s="169">
        <f t="shared" si="209"/>
        <v>96.333333333333314</v>
      </c>
      <c r="CD248" s="169">
        <f>IFERROR(
  SUM(
    _xlfn.XLOOKUP(DATE(YEAR($A$1),1,1),$2:$2,248:248):
    _xlfn.XLOOKUP($A$1,$2:$2,248:248)
  )
 -SUM(
    _xlfn.XLOOKUP(DATE(YEAR($A$1)-1,1,1),$2:$2,248:248):
    _xlfn.XLOOKUP(EDATE($A$1,-12),$2:$2,248:248)
  ),"")</f>
        <v>-13</v>
      </c>
      <c r="CE248" s="4517">
        <f>IFERROR(
  _xlfn.XLOOKUP($A$1,$B$2:$BY$2,$B248:$BY248)
 -_xlfn.XLOOKUP(EDATE($A$1,-1),$B$2:$BY$2,$B248:$BY248),"")</f>
        <v>-114</v>
      </c>
    </row>
    <row r="249" spans="1:86" x14ac:dyDescent="0.55000000000000004">
      <c r="A249" s="7198"/>
      <c r="B249" s="7204"/>
      <c r="C249" s="65" t="s">
        <v>403</v>
      </c>
      <c r="D249" s="146">
        <f>D254+D255</f>
        <v>526</v>
      </c>
      <c r="E249" s="147">
        <f t="shared" ref="E249:O249" si="223">E254+E255</f>
        <v>450</v>
      </c>
      <c r="F249" s="147">
        <f t="shared" si="223"/>
        <v>536</v>
      </c>
      <c r="G249" s="147">
        <f t="shared" si="223"/>
        <v>567</v>
      </c>
      <c r="H249" s="147">
        <f t="shared" si="223"/>
        <v>642</v>
      </c>
      <c r="I249" s="147">
        <f t="shared" si="223"/>
        <v>639</v>
      </c>
      <c r="J249" s="147">
        <f t="shared" si="223"/>
        <v>489</v>
      </c>
      <c r="K249" s="147">
        <f t="shared" si="223"/>
        <v>571</v>
      </c>
      <c r="L249" s="147">
        <f t="shared" si="223"/>
        <v>459</v>
      </c>
      <c r="M249" s="147">
        <f t="shared" si="223"/>
        <v>419</v>
      </c>
      <c r="N249" s="147">
        <f t="shared" si="223"/>
        <v>365</v>
      </c>
      <c r="O249" s="147">
        <f t="shared" si="223"/>
        <v>229</v>
      </c>
      <c r="P249" s="147">
        <f t="shared" si="202"/>
        <v>5892</v>
      </c>
      <c r="Q249" s="148">
        <f t="shared" si="218"/>
        <v>491</v>
      </c>
      <c r="R249" s="183"/>
      <c r="S249" s="146">
        <v>349</v>
      </c>
      <c r="T249" s="147">
        <v>388</v>
      </c>
      <c r="U249" s="147">
        <v>388</v>
      </c>
      <c r="V249" s="147">
        <v>372</v>
      </c>
      <c r="W249" s="147">
        <v>456</v>
      </c>
      <c r="X249" s="147">
        <v>424</v>
      </c>
      <c r="Y249" s="147">
        <v>339</v>
      </c>
      <c r="Z249" s="147">
        <v>485</v>
      </c>
      <c r="AA249" s="147">
        <v>437</v>
      </c>
      <c r="AB249" s="147">
        <v>479</v>
      </c>
      <c r="AC249" s="147">
        <v>446</v>
      </c>
      <c r="AD249" s="147">
        <v>289</v>
      </c>
      <c r="AE249" s="147">
        <f t="shared" si="181"/>
        <v>4852</v>
      </c>
      <c r="AF249" s="148">
        <f t="shared" si="219"/>
        <v>404.33333333333331</v>
      </c>
      <c r="AG249" s="183"/>
      <c r="AH249" s="146">
        <v>539</v>
      </c>
      <c r="AI249" s="147">
        <v>506</v>
      </c>
      <c r="AJ249" s="147">
        <v>542</v>
      </c>
      <c r="AK249" s="147">
        <v>525</v>
      </c>
      <c r="AL249" s="147">
        <v>590</v>
      </c>
      <c r="AM249" s="147">
        <v>468</v>
      </c>
      <c r="AN249" s="147">
        <v>473</v>
      </c>
      <c r="AO249" s="147">
        <v>472</v>
      </c>
      <c r="AP249" s="147">
        <v>476</v>
      </c>
      <c r="AQ249" s="147">
        <v>567</v>
      </c>
      <c r="AR249" s="147">
        <v>608</v>
      </c>
      <c r="AS249" s="147">
        <v>610</v>
      </c>
      <c r="AT249" s="147">
        <f t="shared" si="203"/>
        <v>6376</v>
      </c>
      <c r="AU249" s="148">
        <f t="shared" si="201"/>
        <v>531.33333333333337</v>
      </c>
      <c r="AV249" s="183"/>
      <c r="AW249" s="482">
        <v>560</v>
      </c>
      <c r="AX249" s="147">
        <v>681</v>
      </c>
      <c r="AY249" s="147">
        <v>637</v>
      </c>
      <c r="AZ249" s="147">
        <v>752</v>
      </c>
      <c r="BA249" s="147">
        <v>1525</v>
      </c>
      <c r="BB249" s="147">
        <v>1426</v>
      </c>
      <c r="BC249" s="147">
        <v>1133</v>
      </c>
      <c r="BD249" s="147">
        <v>752</v>
      </c>
      <c r="BE249" s="147">
        <v>665</v>
      </c>
      <c r="BF249" s="147">
        <v>720</v>
      </c>
      <c r="BG249" s="147">
        <v>676</v>
      </c>
      <c r="BH249" s="147">
        <v>607</v>
      </c>
      <c r="BI249" s="147">
        <f t="shared" si="211"/>
        <v>10134</v>
      </c>
      <c r="BJ249" s="148">
        <f t="shared" si="220"/>
        <v>844.5</v>
      </c>
      <c r="BK249" s="183"/>
      <c r="BL249" s="482">
        <v>663</v>
      </c>
      <c r="BM249" s="147">
        <v>457</v>
      </c>
      <c r="BN249" s="147"/>
      <c r="BO249" s="147"/>
      <c r="BP249" s="147"/>
      <c r="BQ249" s="147"/>
      <c r="BR249" s="147"/>
      <c r="BS249" s="147"/>
      <c r="BT249" s="147"/>
      <c r="BU249" s="147"/>
      <c r="BV249" s="147"/>
      <c r="BW249" s="147"/>
      <c r="BX249" s="147">
        <f t="shared" si="212"/>
        <v>1120</v>
      </c>
      <c r="BY249" s="148">
        <f t="shared" si="217"/>
        <v>560</v>
      </c>
      <c r="CA249" s="169">
        <f>ROW()</f>
        <v>249</v>
      </c>
      <c r="CB249" s="169">
        <f>IFERROR(_xlfn.XLOOKUP($A$1,$2:$2,249:249)-_xlfn.XLOOKUP(EDATE($A$1,-12),$2:$2,249:249),"")</f>
        <v>-224</v>
      </c>
      <c r="CC249" s="169">
        <f t="shared" si="209"/>
        <v>313.16666666666663</v>
      </c>
      <c r="CD249" s="169">
        <f>IFERROR(
  SUM(
    _xlfn.XLOOKUP(DATE(YEAR($A$1),1,1),$2:$2,249:249):
    _xlfn.XLOOKUP($A$1,$2:$2,249:249)
  )
 -SUM(
    _xlfn.XLOOKUP(DATE(YEAR($A$1)-1,1,1),$2:$2,249:249):
    _xlfn.XLOOKUP(EDATE($A$1,-12),$2:$2,249:249)
  ),"")</f>
        <v>-121</v>
      </c>
      <c r="CE249" s="4517">
        <f>IFERROR(
  _xlfn.XLOOKUP($A$1,$B$2:$BY$2,$B249:$BY249)
 -_xlfn.XLOOKUP(EDATE($A$1,-1),$B$2:$BY$2,$B249:$BY249),"")</f>
        <v>-206</v>
      </c>
    </row>
    <row r="250" spans="1:86" x14ac:dyDescent="0.55000000000000004">
      <c r="A250" s="7198"/>
      <c r="B250" s="7205"/>
      <c r="C250" s="66" t="s">
        <v>404</v>
      </c>
      <c r="D250" s="149">
        <f>D256+D257</f>
        <v>445</v>
      </c>
      <c r="E250" s="150">
        <f t="shared" ref="E250:O250" si="224">E256+E257</f>
        <v>432</v>
      </c>
      <c r="F250" s="150">
        <f t="shared" si="224"/>
        <v>415</v>
      </c>
      <c r="G250" s="150">
        <f t="shared" si="224"/>
        <v>480</v>
      </c>
      <c r="H250" s="150">
        <f t="shared" si="224"/>
        <v>494</v>
      </c>
      <c r="I250" s="150">
        <f t="shared" si="224"/>
        <v>467</v>
      </c>
      <c r="J250" s="150">
        <f t="shared" si="224"/>
        <v>317</v>
      </c>
      <c r="K250" s="150">
        <f t="shared" si="224"/>
        <v>373</v>
      </c>
      <c r="L250" s="150">
        <f t="shared" si="224"/>
        <v>361</v>
      </c>
      <c r="M250" s="150">
        <f t="shared" si="224"/>
        <v>333</v>
      </c>
      <c r="N250" s="150">
        <f t="shared" si="224"/>
        <v>358</v>
      </c>
      <c r="O250" s="150">
        <f t="shared" si="224"/>
        <v>314</v>
      </c>
      <c r="P250" s="150">
        <f t="shared" si="202"/>
        <v>4789</v>
      </c>
      <c r="Q250" s="151">
        <f t="shared" si="218"/>
        <v>399.08333333333331</v>
      </c>
      <c r="R250" s="183"/>
      <c r="S250" s="149">
        <v>340</v>
      </c>
      <c r="T250" s="150">
        <v>383</v>
      </c>
      <c r="U250" s="150">
        <v>362</v>
      </c>
      <c r="V250" s="150">
        <v>335</v>
      </c>
      <c r="W250" s="150">
        <v>412</v>
      </c>
      <c r="X250" s="150">
        <v>318</v>
      </c>
      <c r="Y250" s="150">
        <v>293</v>
      </c>
      <c r="Z250" s="150">
        <v>427</v>
      </c>
      <c r="AA250" s="150">
        <v>371</v>
      </c>
      <c r="AB250" s="150">
        <v>407</v>
      </c>
      <c r="AC250" s="150">
        <v>393</v>
      </c>
      <c r="AD250" s="150">
        <v>268</v>
      </c>
      <c r="AE250" s="150">
        <f t="shared" si="181"/>
        <v>4309</v>
      </c>
      <c r="AF250" s="151">
        <f t="shared" si="219"/>
        <v>359.08333333333331</v>
      </c>
      <c r="AG250" s="183"/>
      <c r="AH250" s="149">
        <v>381</v>
      </c>
      <c r="AI250" s="150">
        <v>308</v>
      </c>
      <c r="AJ250" s="150">
        <v>339</v>
      </c>
      <c r="AK250" s="150">
        <v>354</v>
      </c>
      <c r="AL250" s="150">
        <v>355</v>
      </c>
      <c r="AM250" s="150">
        <v>338</v>
      </c>
      <c r="AN250" s="150">
        <v>384</v>
      </c>
      <c r="AO250" s="150">
        <v>307</v>
      </c>
      <c r="AP250" s="150">
        <v>335</v>
      </c>
      <c r="AQ250" s="150">
        <v>414</v>
      </c>
      <c r="AR250" s="150">
        <v>516</v>
      </c>
      <c r="AS250" s="150">
        <v>449</v>
      </c>
      <c r="AT250" s="150">
        <f t="shared" si="203"/>
        <v>4480</v>
      </c>
      <c r="AU250" s="151">
        <f t="shared" si="201"/>
        <v>373.33333333333331</v>
      </c>
      <c r="AV250" s="183"/>
      <c r="AW250" s="483">
        <v>430</v>
      </c>
      <c r="AX250" s="150">
        <v>569</v>
      </c>
      <c r="AY250" s="150">
        <v>485</v>
      </c>
      <c r="AZ250" s="150">
        <v>492</v>
      </c>
      <c r="BA250" s="150">
        <v>735</v>
      </c>
      <c r="BB250" s="150">
        <v>564</v>
      </c>
      <c r="BC250" s="150">
        <v>582</v>
      </c>
      <c r="BD250" s="150">
        <v>382</v>
      </c>
      <c r="BE250" s="150">
        <v>423</v>
      </c>
      <c r="BF250" s="150">
        <v>371</v>
      </c>
      <c r="BG250" s="150">
        <v>398</v>
      </c>
      <c r="BH250" s="150">
        <v>371</v>
      </c>
      <c r="BI250" s="150">
        <f t="shared" si="211"/>
        <v>5802</v>
      </c>
      <c r="BJ250" s="151">
        <f t="shared" si="220"/>
        <v>483.5</v>
      </c>
      <c r="BK250" s="183"/>
      <c r="BL250" s="483">
        <v>380</v>
      </c>
      <c r="BM250" s="150">
        <v>341</v>
      </c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>
        <f t="shared" si="212"/>
        <v>721</v>
      </c>
      <c r="BY250" s="151">
        <f t="shared" si="217"/>
        <v>360.5</v>
      </c>
      <c r="CA250" s="169">
        <f>ROW()</f>
        <v>250</v>
      </c>
      <c r="CB250" s="169">
        <f>IFERROR(_xlfn.XLOOKUP($A$1,$2:$2,250:250)-_xlfn.XLOOKUP(EDATE($A$1,-12),$2:$2,250:250),"")</f>
        <v>-228</v>
      </c>
      <c r="CC250" s="169">
        <f t="shared" si="209"/>
        <v>110.16666666666669</v>
      </c>
      <c r="CD250" s="169">
        <f>IFERROR(
  SUM(
    _xlfn.XLOOKUP(DATE(YEAR($A$1),1,1),$2:$2,250:250):
    _xlfn.XLOOKUP($A$1,$2:$2,250:250)
  )
 -SUM(
    _xlfn.XLOOKUP(DATE(YEAR($A$1)-1,1,1),$2:$2,250:250):
    _xlfn.XLOOKUP(EDATE($A$1,-12),$2:$2,250:250)
  ),"")</f>
        <v>-278</v>
      </c>
      <c r="CE250" s="4517">
        <f>IFERROR(
  _xlfn.XLOOKUP($A$1,$B$2:$BY$2,$B250:$BY250)
 -_xlfn.XLOOKUP(EDATE($A$1,-1),$B$2:$BY$2,$B250:$BY250),"")</f>
        <v>-39</v>
      </c>
    </row>
    <row r="251" spans="1:86" x14ac:dyDescent="0.55000000000000004">
      <c r="A251" s="7198"/>
      <c r="B251" s="7206" t="s">
        <v>414</v>
      </c>
      <c r="C251" s="68" t="s">
        <v>226</v>
      </c>
      <c r="D251" s="155">
        <v>329</v>
      </c>
      <c r="E251" s="156">
        <v>337</v>
      </c>
      <c r="F251" s="156">
        <v>376</v>
      </c>
      <c r="G251" s="156">
        <v>470</v>
      </c>
      <c r="H251" s="156">
        <v>561</v>
      </c>
      <c r="I251" s="156">
        <v>458</v>
      </c>
      <c r="J251" s="156">
        <v>255</v>
      </c>
      <c r="K251" s="156">
        <v>262</v>
      </c>
      <c r="L251" s="156">
        <v>234</v>
      </c>
      <c r="M251" s="156">
        <v>290</v>
      </c>
      <c r="N251" s="156">
        <v>192</v>
      </c>
      <c r="O251" s="156">
        <v>212</v>
      </c>
      <c r="P251" s="156">
        <f t="shared" si="202"/>
        <v>3976</v>
      </c>
      <c r="Q251" s="157">
        <f t="shared" si="218"/>
        <v>331.33333333333331</v>
      </c>
      <c r="R251" s="183"/>
      <c r="S251" s="155">
        <v>201</v>
      </c>
      <c r="T251" s="156">
        <v>278</v>
      </c>
      <c r="U251" s="156">
        <v>188</v>
      </c>
      <c r="V251" s="156">
        <v>199</v>
      </c>
      <c r="W251" s="156">
        <v>273</v>
      </c>
      <c r="X251" s="156">
        <v>277</v>
      </c>
      <c r="Y251" s="156">
        <v>247</v>
      </c>
      <c r="Z251" s="156">
        <v>324</v>
      </c>
      <c r="AA251" s="156">
        <v>221</v>
      </c>
      <c r="AB251" s="156">
        <v>280</v>
      </c>
      <c r="AC251" s="156">
        <v>328</v>
      </c>
      <c r="AD251" s="156">
        <v>176</v>
      </c>
      <c r="AE251" s="156">
        <f t="shared" si="181"/>
        <v>2992</v>
      </c>
      <c r="AF251" s="157">
        <f t="shared" si="219"/>
        <v>249.33333333333334</v>
      </c>
      <c r="AG251" s="183"/>
      <c r="AH251" s="155">
        <v>316</v>
      </c>
      <c r="AI251" s="156">
        <v>206</v>
      </c>
      <c r="AJ251" s="156">
        <v>191</v>
      </c>
      <c r="AK251" s="156">
        <v>171</v>
      </c>
      <c r="AL251" s="156">
        <v>247</v>
      </c>
      <c r="AM251" s="156">
        <v>233</v>
      </c>
      <c r="AN251" s="156">
        <v>280</v>
      </c>
      <c r="AO251" s="156">
        <v>261</v>
      </c>
      <c r="AP251" s="156">
        <v>238</v>
      </c>
      <c r="AQ251" s="156">
        <v>329</v>
      </c>
      <c r="AR251" s="156">
        <v>276</v>
      </c>
      <c r="AS251" s="156">
        <v>216.00000000000003</v>
      </c>
      <c r="AT251" s="156">
        <f t="shared" si="203"/>
        <v>2964</v>
      </c>
      <c r="AU251" s="157">
        <f t="shared" si="201"/>
        <v>247</v>
      </c>
      <c r="AV251" s="183"/>
      <c r="AW251" s="488">
        <v>206</v>
      </c>
      <c r="AX251" s="156">
        <v>299</v>
      </c>
      <c r="AY251" s="156">
        <v>245</v>
      </c>
      <c r="AZ251" s="156">
        <v>243</v>
      </c>
      <c r="BA251" s="156">
        <v>525</v>
      </c>
      <c r="BB251" s="156">
        <v>303</v>
      </c>
      <c r="BC251" s="156">
        <v>422</v>
      </c>
      <c r="BD251" s="156">
        <v>345</v>
      </c>
      <c r="BE251" s="156">
        <v>361</v>
      </c>
      <c r="BF251" s="156">
        <v>308</v>
      </c>
      <c r="BG251" s="156">
        <v>328</v>
      </c>
      <c r="BH251" s="156">
        <v>379</v>
      </c>
      <c r="BI251" s="156">
        <f t="shared" si="211"/>
        <v>3964</v>
      </c>
      <c r="BJ251" s="157">
        <f t="shared" si="220"/>
        <v>330.33333333333331</v>
      </c>
      <c r="BK251" s="183"/>
      <c r="BL251" s="488">
        <v>347</v>
      </c>
      <c r="BM251" s="156">
        <v>228</v>
      </c>
      <c r="BN251" s="156"/>
      <c r="BO251" s="156"/>
      <c r="BP251" s="156"/>
      <c r="BQ251" s="156"/>
      <c r="BR251" s="156"/>
      <c r="BS251" s="156"/>
      <c r="BT251" s="156"/>
      <c r="BU251" s="156"/>
      <c r="BV251" s="156"/>
      <c r="BW251" s="156"/>
      <c r="BX251" s="156">
        <f t="shared" si="212"/>
        <v>575</v>
      </c>
      <c r="BY251" s="157">
        <f t="shared" si="217"/>
        <v>287.5</v>
      </c>
      <c r="CA251" s="169">
        <f>ROW()</f>
        <v>251</v>
      </c>
      <c r="CB251" s="169">
        <f>IFERROR(_xlfn.XLOOKUP($A$1,$2:$2,251:251)-_xlfn.XLOOKUP(EDATE($A$1,-12),$2:$2,251:251),"")</f>
        <v>-71</v>
      </c>
      <c r="CC251" s="169">
        <f t="shared" si="209"/>
        <v>83.333333333333314</v>
      </c>
      <c r="CD251" s="169">
        <f>IFERROR(
  SUM(
    _xlfn.XLOOKUP(DATE(YEAR($A$1),1,1),$2:$2,251:251):
    _xlfn.XLOOKUP($A$1,$2:$2,251:251)
  )
 -SUM(
    _xlfn.XLOOKUP(DATE(YEAR($A$1)-1,1,1),$2:$2,251:251):
    _xlfn.XLOOKUP(EDATE($A$1,-12),$2:$2,251:251)
  ),"")</f>
        <v>70</v>
      </c>
      <c r="CE251" s="4517">
        <f>IFERROR(
  _xlfn.XLOOKUP($A$1,$B$2:$BY$2,$B251:$BY251)
 -_xlfn.XLOOKUP(EDATE($A$1,-1),$B$2:$BY$2,$B251:$BY251),"")</f>
        <v>-119</v>
      </c>
    </row>
    <row r="252" spans="1:86" s="61" customFormat="1" x14ac:dyDescent="0.55000000000000004">
      <c r="A252" s="7198"/>
      <c r="B252" s="7207"/>
      <c r="C252" s="76" t="s">
        <v>227</v>
      </c>
      <c r="D252" s="161">
        <v>380</v>
      </c>
      <c r="E252" s="162">
        <v>431</v>
      </c>
      <c r="F252" s="162">
        <v>464</v>
      </c>
      <c r="G252" s="162">
        <v>560</v>
      </c>
      <c r="H252" s="162">
        <v>542</v>
      </c>
      <c r="I252" s="162">
        <v>367</v>
      </c>
      <c r="J252" s="162">
        <v>258</v>
      </c>
      <c r="K252" s="162">
        <v>330</v>
      </c>
      <c r="L252" s="162">
        <v>208</v>
      </c>
      <c r="M252" s="162">
        <v>282</v>
      </c>
      <c r="N252" s="162">
        <v>254</v>
      </c>
      <c r="O252" s="162">
        <v>217</v>
      </c>
      <c r="P252" s="162">
        <f t="shared" si="202"/>
        <v>4293</v>
      </c>
      <c r="Q252" s="163">
        <f t="shared" si="218"/>
        <v>357.75</v>
      </c>
      <c r="R252" s="183"/>
      <c r="S252" s="161">
        <v>227</v>
      </c>
      <c r="T252" s="162">
        <v>257</v>
      </c>
      <c r="U252" s="162">
        <v>202</v>
      </c>
      <c r="V252" s="162">
        <v>141</v>
      </c>
      <c r="W252" s="162">
        <v>204</v>
      </c>
      <c r="X252" s="162">
        <v>157</v>
      </c>
      <c r="Y252" s="162">
        <v>163</v>
      </c>
      <c r="Z252" s="162">
        <v>195</v>
      </c>
      <c r="AA252" s="162">
        <v>195</v>
      </c>
      <c r="AB252" s="162">
        <v>253</v>
      </c>
      <c r="AC252" s="162">
        <v>231</v>
      </c>
      <c r="AD252" s="162">
        <v>134</v>
      </c>
      <c r="AE252" s="162">
        <f t="shared" si="181"/>
        <v>2359</v>
      </c>
      <c r="AF252" s="163">
        <f t="shared" si="219"/>
        <v>196.58333333333334</v>
      </c>
      <c r="AG252" s="183"/>
      <c r="AH252" s="161">
        <v>184</v>
      </c>
      <c r="AI252" s="162">
        <v>156</v>
      </c>
      <c r="AJ252" s="162">
        <v>235</v>
      </c>
      <c r="AK252" s="162">
        <v>225</v>
      </c>
      <c r="AL252" s="162">
        <v>211</v>
      </c>
      <c r="AM252" s="162">
        <v>249.00000000000003</v>
      </c>
      <c r="AN252" s="162">
        <v>253</v>
      </c>
      <c r="AO252" s="162">
        <v>361</v>
      </c>
      <c r="AP252" s="162">
        <v>378</v>
      </c>
      <c r="AQ252" s="162">
        <v>382</v>
      </c>
      <c r="AR252" s="162">
        <v>312</v>
      </c>
      <c r="AS252" s="162">
        <v>309</v>
      </c>
      <c r="AT252" s="162">
        <f t="shared" si="203"/>
        <v>3255</v>
      </c>
      <c r="AU252" s="163">
        <f t="shared" si="201"/>
        <v>271.25</v>
      </c>
      <c r="AV252" s="183"/>
      <c r="AW252" s="487">
        <v>283</v>
      </c>
      <c r="AX252" s="162">
        <v>315</v>
      </c>
      <c r="AY252" s="162">
        <v>259</v>
      </c>
      <c r="AZ252" s="162">
        <v>237</v>
      </c>
      <c r="BA252" s="162">
        <v>545</v>
      </c>
      <c r="BB252" s="162">
        <v>339</v>
      </c>
      <c r="BC252" s="162">
        <v>323</v>
      </c>
      <c r="BD252" s="162">
        <v>320</v>
      </c>
      <c r="BE252" s="162">
        <v>320</v>
      </c>
      <c r="BF252" s="162">
        <v>288</v>
      </c>
      <c r="BG252" s="162">
        <v>272</v>
      </c>
      <c r="BH252" s="162">
        <v>300</v>
      </c>
      <c r="BI252" s="162">
        <f t="shared" si="211"/>
        <v>3801</v>
      </c>
      <c r="BJ252" s="163">
        <f t="shared" si="220"/>
        <v>316.75</v>
      </c>
      <c r="BK252" s="183"/>
      <c r="BL252" s="487">
        <v>311</v>
      </c>
      <c r="BM252" s="162">
        <v>217</v>
      </c>
      <c r="BN252" s="162"/>
      <c r="BO252" s="162"/>
      <c r="BP252" s="162"/>
      <c r="BQ252" s="162"/>
      <c r="BR252" s="162"/>
      <c r="BS252" s="162"/>
      <c r="BT252" s="162"/>
      <c r="BU252" s="162"/>
      <c r="BV252" s="162"/>
      <c r="BW252" s="162"/>
      <c r="BX252" s="162">
        <f t="shared" si="212"/>
        <v>528</v>
      </c>
      <c r="BY252" s="163">
        <f t="shared" si="217"/>
        <v>264</v>
      </c>
      <c r="CA252" s="169">
        <f>ROW()</f>
        <v>252</v>
      </c>
      <c r="CB252" s="169">
        <f>IFERROR(_xlfn.XLOOKUP($A$1,$2:$2,252:252)-_xlfn.XLOOKUP(EDATE($A$1,-12),$2:$2,252:252),"")</f>
        <v>-98</v>
      </c>
      <c r="CC252" s="169">
        <f t="shared" si="209"/>
        <v>45.5</v>
      </c>
      <c r="CD252" s="169">
        <f>IFERROR(
  SUM(
    _xlfn.XLOOKUP(DATE(YEAR($A$1),1,1),$2:$2,252:252):
    _xlfn.XLOOKUP($A$1,$2:$2,252:252)
  )
 -SUM(
    _xlfn.XLOOKUP(DATE(YEAR($A$1)-1,1,1),$2:$2,252:252):
    _xlfn.XLOOKUP(EDATE($A$1,-12),$2:$2,252:252)
  ),"")</f>
        <v>-70</v>
      </c>
      <c r="CE252" s="4517">
        <f>IFERROR(
  _xlfn.XLOOKUP($A$1,$B$2:$BY$2,$B252:$BY252)
 -_xlfn.XLOOKUP(EDATE($A$1,-1),$B$2:$BY$2,$B252:$BY252),"")</f>
        <v>-94</v>
      </c>
      <c r="CG252"/>
      <c r="CH252"/>
    </row>
    <row r="253" spans="1:86" s="61" customFormat="1" x14ac:dyDescent="0.55000000000000004">
      <c r="A253" s="7198"/>
      <c r="B253" s="7207"/>
      <c r="C253" s="68" t="s">
        <v>228</v>
      </c>
      <c r="D253" s="155">
        <v>354</v>
      </c>
      <c r="E253" s="156">
        <v>373</v>
      </c>
      <c r="F253" s="156">
        <v>416</v>
      </c>
      <c r="G253" s="156">
        <v>487</v>
      </c>
      <c r="H253" s="156">
        <v>415</v>
      </c>
      <c r="I253" s="156">
        <v>331</v>
      </c>
      <c r="J253" s="156">
        <v>242</v>
      </c>
      <c r="K253" s="156">
        <v>287</v>
      </c>
      <c r="L253" s="156">
        <v>227</v>
      </c>
      <c r="M253" s="156">
        <v>254</v>
      </c>
      <c r="N253" s="156">
        <v>217</v>
      </c>
      <c r="O253" s="156">
        <v>172</v>
      </c>
      <c r="P253" s="156">
        <f t="shared" si="202"/>
        <v>3775</v>
      </c>
      <c r="Q253" s="157">
        <f t="shared" si="218"/>
        <v>314.58333333333331</v>
      </c>
      <c r="R253" s="183"/>
      <c r="S253" s="155">
        <v>166</v>
      </c>
      <c r="T253" s="156">
        <v>194</v>
      </c>
      <c r="U253" s="156">
        <v>192</v>
      </c>
      <c r="V253" s="156">
        <v>174</v>
      </c>
      <c r="W253" s="156">
        <v>217</v>
      </c>
      <c r="X253" s="156">
        <v>199</v>
      </c>
      <c r="Y253" s="156">
        <v>200</v>
      </c>
      <c r="Z253" s="156">
        <v>221</v>
      </c>
      <c r="AA253" s="156">
        <v>180</v>
      </c>
      <c r="AB253" s="156">
        <v>196</v>
      </c>
      <c r="AC253" s="156">
        <v>243</v>
      </c>
      <c r="AD253" s="156">
        <v>145</v>
      </c>
      <c r="AE253" s="156">
        <f t="shared" si="181"/>
        <v>2327</v>
      </c>
      <c r="AF253" s="157">
        <f t="shared" si="219"/>
        <v>193.91666666666666</v>
      </c>
      <c r="AG253" s="183"/>
      <c r="AH253" s="155">
        <v>161</v>
      </c>
      <c r="AI253" s="156">
        <v>155</v>
      </c>
      <c r="AJ253" s="156">
        <v>210</v>
      </c>
      <c r="AK253" s="156">
        <v>188</v>
      </c>
      <c r="AL253" s="156">
        <v>284</v>
      </c>
      <c r="AM253" s="156">
        <v>258</v>
      </c>
      <c r="AN253" s="156">
        <v>287</v>
      </c>
      <c r="AO253" s="156">
        <v>287</v>
      </c>
      <c r="AP253" s="156">
        <v>261</v>
      </c>
      <c r="AQ253" s="156">
        <v>298</v>
      </c>
      <c r="AR253" s="156">
        <v>298</v>
      </c>
      <c r="AS253" s="156">
        <v>289</v>
      </c>
      <c r="AT253" s="156">
        <f t="shared" si="203"/>
        <v>2976</v>
      </c>
      <c r="AU253" s="157">
        <f t="shared" si="201"/>
        <v>248</v>
      </c>
      <c r="AV253" s="183"/>
      <c r="AW253" s="488">
        <v>250</v>
      </c>
      <c r="AX253" s="156">
        <v>367</v>
      </c>
      <c r="AY253" s="156">
        <v>356</v>
      </c>
      <c r="AZ253" s="156">
        <v>299</v>
      </c>
      <c r="BA253" s="156">
        <v>572</v>
      </c>
      <c r="BB253" s="156">
        <v>436.00000000000006</v>
      </c>
      <c r="BC253" s="156">
        <v>404</v>
      </c>
      <c r="BD253" s="156">
        <v>292</v>
      </c>
      <c r="BE253" s="156">
        <v>335</v>
      </c>
      <c r="BF253" s="156">
        <v>302</v>
      </c>
      <c r="BG253" s="156">
        <v>259</v>
      </c>
      <c r="BH253" s="156">
        <v>260</v>
      </c>
      <c r="BI253" s="156">
        <f t="shared" si="211"/>
        <v>4132</v>
      </c>
      <c r="BJ253" s="157">
        <f t="shared" si="220"/>
        <v>344.33333333333331</v>
      </c>
      <c r="BK253" s="183"/>
      <c r="BL253" s="488">
        <v>359</v>
      </c>
      <c r="BM253" s="156">
        <v>245</v>
      </c>
      <c r="BN253" s="156"/>
      <c r="BO253" s="156"/>
      <c r="BP253" s="156"/>
      <c r="BQ253" s="156"/>
      <c r="BR253" s="156"/>
      <c r="BS253" s="156"/>
      <c r="BT253" s="156"/>
      <c r="BU253" s="156"/>
      <c r="BV253" s="156"/>
      <c r="BW253" s="156"/>
      <c r="BX253" s="156">
        <f t="shared" si="212"/>
        <v>604</v>
      </c>
      <c r="BY253" s="157">
        <f t="shared" si="217"/>
        <v>302</v>
      </c>
      <c r="CA253" s="169">
        <f>ROW()</f>
        <v>253</v>
      </c>
      <c r="CB253" s="169">
        <f>IFERROR(_xlfn.XLOOKUP($A$1,$2:$2,253:253)-_xlfn.XLOOKUP(EDATE($A$1,-12),$2:$2,253:253),"")</f>
        <v>-122</v>
      </c>
      <c r="CC253" s="169">
        <f t="shared" si="209"/>
        <v>96.333333333333314</v>
      </c>
      <c r="CD253" s="169">
        <f>IFERROR(
  SUM(
    _xlfn.XLOOKUP(DATE(YEAR($A$1),1,1),$2:$2,253:253):
    _xlfn.XLOOKUP($A$1,$2:$2,253:253)
  )
 -SUM(
    _xlfn.XLOOKUP(DATE(YEAR($A$1)-1,1,1),$2:$2,253:253):
    _xlfn.XLOOKUP(EDATE($A$1,-12),$2:$2,253:253)
  ),"")</f>
        <v>-13</v>
      </c>
      <c r="CE253" s="4517">
        <f>IFERROR(
  _xlfn.XLOOKUP($A$1,$B$2:$BY$2,$B253:$BY253)
 -_xlfn.XLOOKUP(EDATE($A$1,-1),$B$2:$BY$2,$B253:$BY253),"")</f>
        <v>-114</v>
      </c>
      <c r="CG253"/>
      <c r="CH253"/>
    </row>
    <row r="254" spans="1:86" s="61" customFormat="1" x14ac:dyDescent="0.55000000000000004">
      <c r="A254" s="7198"/>
      <c r="B254" s="7207"/>
      <c r="C254" s="76" t="s">
        <v>229</v>
      </c>
      <c r="D254" s="161">
        <v>255</v>
      </c>
      <c r="E254" s="162">
        <v>187</v>
      </c>
      <c r="F254" s="162">
        <v>242</v>
      </c>
      <c r="G254" s="162">
        <v>250</v>
      </c>
      <c r="H254" s="162">
        <v>295</v>
      </c>
      <c r="I254" s="162">
        <v>335</v>
      </c>
      <c r="J254" s="162">
        <v>305</v>
      </c>
      <c r="K254" s="162">
        <v>325</v>
      </c>
      <c r="L254" s="162">
        <v>283</v>
      </c>
      <c r="M254" s="162">
        <v>260</v>
      </c>
      <c r="N254" s="162">
        <v>231</v>
      </c>
      <c r="O254" s="162">
        <v>172</v>
      </c>
      <c r="P254" s="162">
        <f t="shared" si="202"/>
        <v>3140</v>
      </c>
      <c r="Q254" s="163">
        <f t="shared" si="218"/>
        <v>261.66666666666669</v>
      </c>
      <c r="R254" s="183"/>
      <c r="S254" s="161">
        <v>236</v>
      </c>
      <c r="T254" s="162">
        <v>260</v>
      </c>
      <c r="U254" s="162">
        <v>266</v>
      </c>
      <c r="V254" s="162">
        <v>241</v>
      </c>
      <c r="W254" s="162">
        <v>294</v>
      </c>
      <c r="X254" s="162">
        <v>237</v>
      </c>
      <c r="Y254" s="162">
        <v>228</v>
      </c>
      <c r="Z254" s="162">
        <v>320</v>
      </c>
      <c r="AA254" s="162">
        <v>294</v>
      </c>
      <c r="AB254" s="162">
        <v>268</v>
      </c>
      <c r="AC254" s="162">
        <v>248</v>
      </c>
      <c r="AD254" s="162">
        <v>178</v>
      </c>
      <c r="AE254" s="162">
        <f t="shared" si="181"/>
        <v>3070</v>
      </c>
      <c r="AF254" s="163">
        <f t="shared" si="219"/>
        <v>255.83333333333334</v>
      </c>
      <c r="AG254" s="183"/>
      <c r="AH254" s="161">
        <v>369</v>
      </c>
      <c r="AI254" s="162">
        <v>320</v>
      </c>
      <c r="AJ254" s="162">
        <v>376</v>
      </c>
      <c r="AK254" s="162">
        <v>353</v>
      </c>
      <c r="AL254" s="162">
        <v>422</v>
      </c>
      <c r="AM254" s="162">
        <v>314</v>
      </c>
      <c r="AN254" s="162">
        <v>329</v>
      </c>
      <c r="AO254" s="162">
        <v>276</v>
      </c>
      <c r="AP254" s="162">
        <v>302</v>
      </c>
      <c r="AQ254" s="162">
        <v>376</v>
      </c>
      <c r="AR254" s="162">
        <v>409</v>
      </c>
      <c r="AS254" s="162">
        <v>453</v>
      </c>
      <c r="AT254" s="162">
        <f t="shared" si="203"/>
        <v>4299</v>
      </c>
      <c r="AU254" s="163">
        <f t="shared" si="201"/>
        <v>358.25</v>
      </c>
      <c r="AV254" s="183"/>
      <c r="AW254" s="487">
        <v>390</v>
      </c>
      <c r="AX254" s="162">
        <v>479</v>
      </c>
      <c r="AY254" s="162">
        <v>435</v>
      </c>
      <c r="AZ254" s="162">
        <v>563</v>
      </c>
      <c r="BA254" s="162">
        <v>1109</v>
      </c>
      <c r="BB254" s="162">
        <v>1117</v>
      </c>
      <c r="BC254" s="162">
        <v>871</v>
      </c>
      <c r="BD254" s="162">
        <v>591</v>
      </c>
      <c r="BE254" s="162">
        <v>482</v>
      </c>
      <c r="BF254" s="162">
        <v>512</v>
      </c>
      <c r="BG254" s="162">
        <v>451</v>
      </c>
      <c r="BH254" s="162">
        <v>399</v>
      </c>
      <c r="BI254" s="162">
        <f t="shared" si="211"/>
        <v>7399</v>
      </c>
      <c r="BJ254" s="163">
        <f t="shared" si="220"/>
        <v>616.58333333333337</v>
      </c>
      <c r="BK254" s="183"/>
      <c r="BL254" s="487">
        <v>402</v>
      </c>
      <c r="BM254" s="162">
        <v>330</v>
      </c>
      <c r="BN254" s="162"/>
      <c r="BO254" s="162"/>
      <c r="BP254" s="162"/>
      <c r="BQ254" s="162"/>
      <c r="BR254" s="162"/>
      <c r="BS254" s="162"/>
      <c r="BT254" s="162"/>
      <c r="BU254" s="162"/>
      <c r="BV254" s="162"/>
      <c r="BW254" s="162"/>
      <c r="BX254" s="162">
        <f t="shared" si="212"/>
        <v>732</v>
      </c>
      <c r="BY254" s="163">
        <f t="shared" si="217"/>
        <v>366</v>
      </c>
      <c r="CA254" s="169">
        <f>ROW()</f>
        <v>254</v>
      </c>
      <c r="CB254" s="169">
        <f>IFERROR(_xlfn.XLOOKUP($A$1,$2:$2,254:254)-_xlfn.XLOOKUP(EDATE($A$1,-12),$2:$2,254:254),"")</f>
        <v>-149</v>
      </c>
      <c r="CC254" s="169">
        <f t="shared" si="209"/>
        <v>258.33333333333337</v>
      </c>
      <c r="CD254" s="169">
        <f>IFERROR(
  SUM(
    _xlfn.XLOOKUP(DATE(YEAR($A$1),1,1),$2:$2,254:254):
    _xlfn.XLOOKUP($A$1,$2:$2,254:254)
  )
 -SUM(
    _xlfn.XLOOKUP(DATE(YEAR($A$1)-1,1,1),$2:$2,254:254):
    _xlfn.XLOOKUP(EDATE($A$1,-12),$2:$2,254:254)
  ),"")</f>
        <v>-137</v>
      </c>
      <c r="CE254" s="4517">
        <f>IFERROR(
  _xlfn.XLOOKUP($A$1,$B$2:$BY$2,$B254:$BY254)
 -_xlfn.XLOOKUP(EDATE($A$1,-1),$B$2:$BY$2,$B254:$BY254),"")</f>
        <v>-72</v>
      </c>
      <c r="CG254"/>
      <c r="CH254"/>
    </row>
    <row r="255" spans="1:86" x14ac:dyDescent="0.55000000000000004">
      <c r="A255" s="7198"/>
      <c r="B255" s="7207"/>
      <c r="C255" s="67" t="s">
        <v>230</v>
      </c>
      <c r="D255" s="152">
        <v>271</v>
      </c>
      <c r="E255" s="153">
        <v>263</v>
      </c>
      <c r="F255" s="153">
        <v>294</v>
      </c>
      <c r="G255" s="153">
        <v>317</v>
      </c>
      <c r="H255" s="153">
        <v>347</v>
      </c>
      <c r="I255" s="153">
        <v>304</v>
      </c>
      <c r="J255" s="153">
        <v>184</v>
      </c>
      <c r="K255" s="153">
        <v>246</v>
      </c>
      <c r="L255" s="153">
        <v>176</v>
      </c>
      <c r="M255" s="153">
        <v>159</v>
      </c>
      <c r="N255" s="153">
        <v>134</v>
      </c>
      <c r="O255" s="153">
        <v>57</v>
      </c>
      <c r="P255" s="153">
        <f t="shared" si="202"/>
        <v>2752</v>
      </c>
      <c r="Q255" s="154">
        <f t="shared" si="218"/>
        <v>229.33333333333334</v>
      </c>
      <c r="R255" s="183"/>
      <c r="S255" s="152">
        <v>113</v>
      </c>
      <c r="T255" s="153">
        <v>128</v>
      </c>
      <c r="U255" s="153">
        <v>122</v>
      </c>
      <c r="V255" s="153">
        <v>131</v>
      </c>
      <c r="W255" s="153">
        <v>162</v>
      </c>
      <c r="X255" s="153">
        <v>187</v>
      </c>
      <c r="Y255" s="153">
        <v>111</v>
      </c>
      <c r="Z255" s="153">
        <v>165</v>
      </c>
      <c r="AA255" s="153">
        <v>143</v>
      </c>
      <c r="AB255" s="153">
        <v>211</v>
      </c>
      <c r="AC255" s="153">
        <v>198</v>
      </c>
      <c r="AD255" s="153">
        <v>111</v>
      </c>
      <c r="AE255" s="153">
        <f t="shared" si="181"/>
        <v>1782</v>
      </c>
      <c r="AF255" s="154">
        <f t="shared" si="219"/>
        <v>148.5</v>
      </c>
      <c r="AG255" s="183"/>
      <c r="AH255" s="152">
        <v>170</v>
      </c>
      <c r="AI255" s="153">
        <v>186</v>
      </c>
      <c r="AJ255" s="153">
        <v>166</v>
      </c>
      <c r="AK255" s="153">
        <v>172</v>
      </c>
      <c r="AL255" s="153">
        <v>168</v>
      </c>
      <c r="AM255" s="153">
        <v>154</v>
      </c>
      <c r="AN255" s="153">
        <v>144</v>
      </c>
      <c r="AO255" s="153">
        <v>196</v>
      </c>
      <c r="AP255" s="153">
        <v>174</v>
      </c>
      <c r="AQ255" s="153">
        <v>191</v>
      </c>
      <c r="AR255" s="153">
        <v>199</v>
      </c>
      <c r="AS255" s="153">
        <v>157</v>
      </c>
      <c r="AT255" s="153">
        <f t="shared" si="203"/>
        <v>2077</v>
      </c>
      <c r="AU255" s="154">
        <f t="shared" si="201"/>
        <v>173.08333333333334</v>
      </c>
      <c r="AV255" s="183"/>
      <c r="AW255" s="487">
        <v>170</v>
      </c>
      <c r="AX255" s="153">
        <v>202</v>
      </c>
      <c r="AY255" s="153">
        <v>202</v>
      </c>
      <c r="AZ255" s="153">
        <v>189</v>
      </c>
      <c r="BA255" s="153">
        <v>416</v>
      </c>
      <c r="BB255" s="153">
        <v>309</v>
      </c>
      <c r="BC255" s="153">
        <v>262</v>
      </c>
      <c r="BD255" s="153">
        <v>161</v>
      </c>
      <c r="BE255" s="153">
        <v>183</v>
      </c>
      <c r="BF255" s="153">
        <v>208</v>
      </c>
      <c r="BG255" s="153">
        <v>225</v>
      </c>
      <c r="BH255" s="153">
        <v>208</v>
      </c>
      <c r="BI255" s="153">
        <f t="shared" si="211"/>
        <v>2735</v>
      </c>
      <c r="BJ255" s="154">
        <f t="shared" si="220"/>
        <v>227.91666666666666</v>
      </c>
      <c r="BK255" s="183"/>
      <c r="BL255" s="487">
        <v>261</v>
      </c>
      <c r="BM255" s="153">
        <v>127</v>
      </c>
      <c r="BN255" s="153"/>
      <c r="BO255" s="153"/>
      <c r="BP255" s="153"/>
      <c r="BQ255" s="153"/>
      <c r="BR255" s="153"/>
      <c r="BS255" s="153"/>
      <c r="BT255" s="153"/>
      <c r="BU255" s="153"/>
      <c r="BV255" s="153"/>
      <c r="BW255" s="153"/>
      <c r="BX255" s="153">
        <f t="shared" si="212"/>
        <v>388</v>
      </c>
      <c r="BY255" s="154">
        <f t="shared" si="217"/>
        <v>194</v>
      </c>
      <c r="CA255" s="169">
        <f>ROW()</f>
        <v>255</v>
      </c>
      <c r="CB255" s="169">
        <f>IFERROR(_xlfn.XLOOKUP($A$1,$2:$2,255:255)-_xlfn.XLOOKUP(EDATE($A$1,-12),$2:$2,255:255),"")</f>
        <v>-75</v>
      </c>
      <c r="CC255" s="169">
        <f t="shared" si="209"/>
        <v>54.833333333333314</v>
      </c>
      <c r="CD255" s="169">
        <f>IFERROR(
  SUM(
    _xlfn.XLOOKUP(DATE(YEAR($A$1),1,1),$2:$2,255:255):
    _xlfn.XLOOKUP($A$1,$2:$2,255:255)
  )
 -SUM(
    _xlfn.XLOOKUP(DATE(YEAR($A$1)-1,1,1),$2:$2,255:255):
    _xlfn.XLOOKUP(EDATE($A$1,-12),$2:$2,255:255)
  ),"")</f>
        <v>16</v>
      </c>
      <c r="CE255" s="4517">
        <f>IFERROR(
  _xlfn.XLOOKUP($A$1,$B$2:$BY$2,$B255:$BY255)
 -_xlfn.XLOOKUP(EDATE($A$1,-1),$B$2:$BY$2,$B255:$BY255),"")</f>
        <v>-134</v>
      </c>
    </row>
    <row r="256" spans="1:86" x14ac:dyDescent="0.55000000000000004">
      <c r="A256" s="7198"/>
      <c r="B256" s="7207"/>
      <c r="C256" s="68" t="s">
        <v>231</v>
      </c>
      <c r="D256" s="155">
        <v>253</v>
      </c>
      <c r="E256" s="156">
        <v>237</v>
      </c>
      <c r="F256" s="156">
        <v>198</v>
      </c>
      <c r="G256" s="156">
        <v>305</v>
      </c>
      <c r="H256" s="156">
        <v>273</v>
      </c>
      <c r="I256" s="156">
        <v>233</v>
      </c>
      <c r="J256" s="156">
        <v>155</v>
      </c>
      <c r="K256" s="156">
        <v>227</v>
      </c>
      <c r="L256" s="156">
        <v>172</v>
      </c>
      <c r="M256" s="156">
        <v>169</v>
      </c>
      <c r="N256" s="156">
        <v>178</v>
      </c>
      <c r="O256" s="156">
        <v>210</v>
      </c>
      <c r="P256" s="156">
        <f t="shared" si="202"/>
        <v>2610</v>
      </c>
      <c r="Q256" s="157">
        <f t="shared" si="218"/>
        <v>217.5</v>
      </c>
      <c r="R256" s="183"/>
      <c r="S256" s="155">
        <v>174</v>
      </c>
      <c r="T256" s="156">
        <v>269</v>
      </c>
      <c r="U256" s="156">
        <v>239</v>
      </c>
      <c r="V256" s="156">
        <v>217</v>
      </c>
      <c r="W256" s="156">
        <v>273</v>
      </c>
      <c r="X256" s="156">
        <v>228</v>
      </c>
      <c r="Y256" s="156">
        <v>180</v>
      </c>
      <c r="Z256" s="156">
        <v>300</v>
      </c>
      <c r="AA256" s="156">
        <v>252</v>
      </c>
      <c r="AB256" s="156">
        <v>270</v>
      </c>
      <c r="AC256" s="156">
        <v>244</v>
      </c>
      <c r="AD256" s="156">
        <v>171</v>
      </c>
      <c r="AE256" s="156">
        <f t="shared" si="181"/>
        <v>2817</v>
      </c>
      <c r="AF256" s="157">
        <f t="shared" si="219"/>
        <v>234.75</v>
      </c>
      <c r="AG256" s="183"/>
      <c r="AH256" s="155">
        <v>248</v>
      </c>
      <c r="AI256" s="156">
        <v>193</v>
      </c>
      <c r="AJ256" s="156">
        <v>198</v>
      </c>
      <c r="AK256" s="156">
        <v>217</v>
      </c>
      <c r="AL256" s="156">
        <v>245</v>
      </c>
      <c r="AM256" s="156">
        <v>217</v>
      </c>
      <c r="AN256" s="156">
        <v>253</v>
      </c>
      <c r="AO256" s="156">
        <v>173</v>
      </c>
      <c r="AP256" s="156">
        <v>196</v>
      </c>
      <c r="AQ256" s="156">
        <v>228</v>
      </c>
      <c r="AR256" s="156">
        <v>297</v>
      </c>
      <c r="AS256" s="156">
        <v>261</v>
      </c>
      <c r="AT256" s="156">
        <f t="shared" si="203"/>
        <v>2726</v>
      </c>
      <c r="AU256" s="157">
        <f t="shared" si="201"/>
        <v>227.16666666666666</v>
      </c>
      <c r="AV256" s="183"/>
      <c r="AW256" s="488">
        <v>246</v>
      </c>
      <c r="AX256" s="156">
        <v>315</v>
      </c>
      <c r="AY256" s="156">
        <v>290</v>
      </c>
      <c r="AZ256" s="156">
        <v>276</v>
      </c>
      <c r="BA256" s="156">
        <v>484.00000000000006</v>
      </c>
      <c r="BB256" s="156">
        <v>356</v>
      </c>
      <c r="BC256" s="156">
        <v>372</v>
      </c>
      <c r="BD256" s="156">
        <v>200</v>
      </c>
      <c r="BE256" s="156">
        <v>235</v>
      </c>
      <c r="BF256" s="156">
        <v>217</v>
      </c>
      <c r="BG256" s="156">
        <v>244</v>
      </c>
      <c r="BH256" s="156">
        <v>220</v>
      </c>
      <c r="BI256" s="156">
        <f t="shared" si="211"/>
        <v>3455</v>
      </c>
      <c r="BJ256" s="157">
        <f t="shared" si="220"/>
        <v>287.91666666666669</v>
      </c>
      <c r="BK256" s="183"/>
      <c r="BL256" s="488">
        <v>217</v>
      </c>
      <c r="BM256" s="156">
        <v>227</v>
      </c>
      <c r="BN256" s="156"/>
      <c r="BO256" s="156"/>
      <c r="BP256" s="156"/>
      <c r="BQ256" s="156"/>
      <c r="BR256" s="156"/>
      <c r="BS256" s="156"/>
      <c r="BT256" s="156"/>
      <c r="BU256" s="156"/>
      <c r="BV256" s="156"/>
      <c r="BW256" s="156"/>
      <c r="BX256" s="156">
        <f t="shared" si="212"/>
        <v>444</v>
      </c>
      <c r="BY256" s="157">
        <f t="shared" si="217"/>
        <v>222</v>
      </c>
      <c r="CA256" s="169">
        <f>ROW()</f>
        <v>256</v>
      </c>
      <c r="CB256" s="169">
        <f>IFERROR(_xlfn.XLOOKUP($A$1,$2:$2,256:256)-_xlfn.XLOOKUP(EDATE($A$1,-12),$2:$2,256:256),"")</f>
        <v>-88</v>
      </c>
      <c r="CC256" s="169">
        <f t="shared" si="209"/>
        <v>60.750000000000028</v>
      </c>
      <c r="CD256" s="169">
        <f>IFERROR(
  SUM(
    _xlfn.XLOOKUP(DATE(YEAR($A$1),1,1),$2:$2,256:256):
    _xlfn.XLOOKUP($A$1,$2:$2,256:256)
  )
 -SUM(
    _xlfn.XLOOKUP(DATE(YEAR($A$1)-1,1,1),$2:$2,256:256):
    _xlfn.XLOOKUP(EDATE($A$1,-12),$2:$2,256:256)
  ),"")</f>
        <v>-117</v>
      </c>
      <c r="CE256" s="4517">
        <f>IFERROR(
  _xlfn.XLOOKUP($A$1,$B$2:$BY$2,$B256:$BY256)
 -_xlfn.XLOOKUP(EDATE($A$1,-1),$B$2:$BY$2,$B256:$BY256),"")</f>
        <v>10</v>
      </c>
    </row>
    <row r="257" spans="1:86" ht="18" thickBot="1" x14ac:dyDescent="0.6">
      <c r="A257" s="7199"/>
      <c r="B257" s="7208"/>
      <c r="C257" s="77" t="s">
        <v>232</v>
      </c>
      <c r="D257" s="164">
        <v>192</v>
      </c>
      <c r="E257" s="165">
        <v>195</v>
      </c>
      <c r="F257" s="165">
        <v>217</v>
      </c>
      <c r="G257" s="165">
        <v>175</v>
      </c>
      <c r="H257" s="165">
        <v>221</v>
      </c>
      <c r="I257" s="165">
        <v>234</v>
      </c>
      <c r="J257" s="165">
        <v>162</v>
      </c>
      <c r="K257" s="165">
        <v>146</v>
      </c>
      <c r="L257" s="165">
        <v>189</v>
      </c>
      <c r="M257" s="165">
        <v>164</v>
      </c>
      <c r="N257" s="165">
        <v>180</v>
      </c>
      <c r="O257" s="165">
        <v>104</v>
      </c>
      <c r="P257" s="165">
        <f t="shared" si="202"/>
        <v>2179</v>
      </c>
      <c r="Q257" s="166">
        <f t="shared" si="218"/>
        <v>181.58333333333334</v>
      </c>
      <c r="R257" s="183"/>
      <c r="S257" s="164">
        <v>166</v>
      </c>
      <c r="T257" s="165">
        <v>114</v>
      </c>
      <c r="U257" s="165">
        <v>123</v>
      </c>
      <c r="V257" s="165">
        <v>118</v>
      </c>
      <c r="W257" s="165">
        <v>139</v>
      </c>
      <c r="X257" s="165">
        <v>90</v>
      </c>
      <c r="Y257" s="165">
        <v>113</v>
      </c>
      <c r="Z257" s="165">
        <v>127</v>
      </c>
      <c r="AA257" s="165">
        <v>119</v>
      </c>
      <c r="AB257" s="165">
        <v>137</v>
      </c>
      <c r="AC257" s="165">
        <v>149</v>
      </c>
      <c r="AD257" s="165">
        <v>97</v>
      </c>
      <c r="AE257" s="165">
        <f t="shared" si="181"/>
        <v>1492</v>
      </c>
      <c r="AF257" s="166">
        <f t="shared" si="219"/>
        <v>124.33333333333333</v>
      </c>
      <c r="AG257" s="183"/>
      <c r="AH257" s="164">
        <v>133</v>
      </c>
      <c r="AI257" s="165">
        <v>115</v>
      </c>
      <c r="AJ257" s="165">
        <v>141</v>
      </c>
      <c r="AK257" s="165">
        <v>137</v>
      </c>
      <c r="AL257" s="165">
        <v>110</v>
      </c>
      <c r="AM257" s="165">
        <v>121</v>
      </c>
      <c r="AN257" s="165">
        <v>131</v>
      </c>
      <c r="AO257" s="165">
        <v>134</v>
      </c>
      <c r="AP257" s="165">
        <v>139</v>
      </c>
      <c r="AQ257" s="165">
        <v>186</v>
      </c>
      <c r="AR257" s="165">
        <v>219</v>
      </c>
      <c r="AS257" s="165">
        <v>188</v>
      </c>
      <c r="AT257" s="165">
        <f t="shared" si="203"/>
        <v>1754</v>
      </c>
      <c r="AU257" s="166">
        <f t="shared" si="201"/>
        <v>146.16666666666666</v>
      </c>
      <c r="AV257" s="183"/>
      <c r="AW257" s="490">
        <v>184</v>
      </c>
      <c r="AX257" s="165">
        <v>254</v>
      </c>
      <c r="AY257" s="165">
        <v>195</v>
      </c>
      <c r="AZ257" s="165">
        <v>216.00000000000003</v>
      </c>
      <c r="BA257" s="165">
        <v>251</v>
      </c>
      <c r="BB257" s="165">
        <v>208</v>
      </c>
      <c r="BC257" s="165">
        <v>210</v>
      </c>
      <c r="BD257" s="165">
        <v>182</v>
      </c>
      <c r="BE257" s="165">
        <v>188</v>
      </c>
      <c r="BF257" s="165">
        <v>154</v>
      </c>
      <c r="BG257" s="165">
        <v>154</v>
      </c>
      <c r="BH257" s="165">
        <v>151</v>
      </c>
      <c r="BI257" s="165">
        <f t="shared" si="211"/>
        <v>2347</v>
      </c>
      <c r="BJ257" s="166">
        <f t="shared" si="220"/>
        <v>195.58333333333334</v>
      </c>
      <c r="BK257" s="183"/>
      <c r="BL257" s="490">
        <v>163</v>
      </c>
      <c r="BM257" s="165">
        <v>114</v>
      </c>
      <c r="BN257" s="165"/>
      <c r="BO257" s="165"/>
      <c r="BP257" s="165"/>
      <c r="BQ257" s="165"/>
      <c r="BR257" s="165"/>
      <c r="BS257" s="165"/>
      <c r="BT257" s="165"/>
      <c r="BU257" s="165"/>
      <c r="BV257" s="165"/>
      <c r="BW257" s="165"/>
      <c r="BX257" s="165">
        <f t="shared" si="212"/>
        <v>277</v>
      </c>
      <c r="BY257" s="166">
        <f t="shared" si="217"/>
        <v>138.5</v>
      </c>
      <c r="CA257" s="169">
        <f>ROW()</f>
        <v>257</v>
      </c>
      <c r="CB257" s="169">
        <f>IFERROR(_xlfn.XLOOKUP($A$1,$2:$2,257:257)-_xlfn.XLOOKUP(EDATE($A$1,-12),$2:$2,257:257),"")</f>
        <v>-140</v>
      </c>
      <c r="CC257" s="169">
        <f t="shared" si="209"/>
        <v>49.416666666666686</v>
      </c>
      <c r="CD257" s="169">
        <f>IFERROR(
  SUM(
    _xlfn.XLOOKUP(DATE(YEAR($A$1),1,1),$2:$2,257:257):
    _xlfn.XLOOKUP($A$1,$2:$2,257:257)
  )
 -SUM(
    _xlfn.XLOOKUP(DATE(YEAR($A$1)-1,1,1),$2:$2,257:257):
    _xlfn.XLOOKUP(EDATE($A$1,-12),$2:$2,257:257)
  ),"")</f>
        <v>-161</v>
      </c>
      <c r="CE257" s="4517">
        <f>IFERROR(
  _xlfn.XLOOKUP($A$1,$B$2:$BY$2,$B257:$BY257)
 -_xlfn.XLOOKUP(EDATE($A$1,-1),$B$2:$BY$2,$B257:$BY257),"")</f>
        <v>-49</v>
      </c>
    </row>
    <row r="258" spans="1:86" s="1" customFormat="1" ht="6" customHeight="1" x14ac:dyDescent="0.55000000000000004">
      <c r="A258" s="58"/>
      <c r="B258" s="95"/>
      <c r="C258" s="83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7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7"/>
      <c r="AH258" s="56"/>
      <c r="AI258" s="56"/>
      <c r="AJ258" s="56"/>
      <c r="AK258" s="56"/>
      <c r="AL258" s="56"/>
      <c r="AM258" s="56"/>
      <c r="AN258" s="56"/>
      <c r="AO258" s="56"/>
      <c r="AP258" s="56"/>
      <c r="AQ258" s="427"/>
      <c r="AR258" s="56"/>
      <c r="AS258" s="56"/>
      <c r="AT258" s="56"/>
      <c r="AU258" s="56"/>
      <c r="AV258" s="469"/>
      <c r="AW258" s="505"/>
      <c r="AX258" s="56"/>
      <c r="AY258" s="427"/>
      <c r="AZ258" s="56"/>
      <c r="BA258" s="427"/>
      <c r="BB258" s="427"/>
      <c r="BC258" s="56"/>
      <c r="BD258" s="56"/>
      <c r="BE258" s="56"/>
      <c r="BF258" s="427"/>
      <c r="BG258" s="56"/>
      <c r="BH258" s="56"/>
      <c r="BI258" s="56"/>
      <c r="BJ258" s="56" t="e">
        <f t="shared" si="220"/>
        <v>#DIV/0!</v>
      </c>
      <c r="BK258" s="4392"/>
      <c r="BL258" s="505"/>
      <c r="BM258" s="427"/>
      <c r="BN258" s="427"/>
      <c r="BO258" s="56"/>
      <c r="BP258" s="427"/>
      <c r="BQ258" s="427"/>
      <c r="BR258" s="56"/>
      <c r="BS258" s="56"/>
      <c r="BT258" s="56"/>
      <c r="BU258" s="427"/>
      <c r="BV258" s="56"/>
      <c r="BW258" s="56"/>
      <c r="BX258" s="56"/>
      <c r="BY258" s="56" t="e">
        <f t="shared" si="217"/>
        <v>#DIV/0!</v>
      </c>
      <c r="CA258" s="169"/>
      <c r="CB258" s="442">
        <f>IFERROR(_xlfn.XLOOKUP($A$1,$2:$2,258:258)-_xlfn.XLOOKUP(EDATE($A$1,-12),$2:$2,258:258),"")</f>
        <v>0</v>
      </c>
      <c r="CC258" s="169" t="e">
        <f t="shared" si="209"/>
        <v>#DIV/0!</v>
      </c>
      <c r="CD258">
        <f>IFERROR(
  SUM(
    _xlfn.XLOOKUP(DATE(YEAR($A$1),1,1),$2:$2,258:258):
    _xlfn.XLOOKUP($A$1,$2:$2,258:258)
  )
 -SUM(
    _xlfn.XLOOKUP(DATE(YEAR($A$1)-1,1,1),$2:$2,258:258):
    _xlfn.XLOOKUP(EDATE($A$1,-12),$2:$2,258:258)
  ),"")</f>
        <v>0</v>
      </c>
      <c r="CE258" s="4517">
        <f>IFERROR(
  _xlfn.XLOOKUP($A$1,$B$2:$BY$2,$B258:$BY258)
 -_xlfn.XLOOKUP(EDATE($A$1,-1),$B$2:$BY$2,$B258:$BY258),"")</f>
        <v>0</v>
      </c>
      <c r="CG258"/>
      <c r="CH258"/>
    </row>
    <row r="259" spans="1:86" x14ac:dyDescent="0.55000000000000004">
      <c r="A259" s="7194" t="s">
        <v>433</v>
      </c>
      <c r="B259" s="285" t="s">
        <v>578</v>
      </c>
      <c r="C259" s="288"/>
      <c r="D259" s="289">
        <v>0.94743890190826918</v>
      </c>
      <c r="E259" s="290">
        <v>0.95712861415752737</v>
      </c>
      <c r="F259" s="290">
        <v>0.94517958412098302</v>
      </c>
      <c r="G259" s="290">
        <v>0.95899970921779587</v>
      </c>
      <c r="H259" s="290">
        <v>0.9622802041973908</v>
      </c>
      <c r="I259" s="290">
        <v>0.96061395887633938</v>
      </c>
      <c r="J259" s="290">
        <v>0.9560925799863853</v>
      </c>
      <c r="K259" s="290">
        <v>0.9611476389719068</v>
      </c>
      <c r="L259" s="290">
        <v>0.94531784005468211</v>
      </c>
      <c r="M259" s="290">
        <v>0.94705354472031111</v>
      </c>
      <c r="N259" s="290">
        <v>0.93760262725779964</v>
      </c>
      <c r="O259" s="290">
        <v>0.93287827076222984</v>
      </c>
      <c r="P259" s="290">
        <v>0.95153742431853638</v>
      </c>
      <c r="Q259" s="291">
        <v>0.95153742431853638</v>
      </c>
      <c r="S259" s="289">
        <v>0.9498814764646123</v>
      </c>
      <c r="T259" s="290">
        <v>0.9424141749723145</v>
      </c>
      <c r="U259" s="290">
        <v>0.9198557958957293</v>
      </c>
      <c r="V259" s="290">
        <v>0.94129916567342076</v>
      </c>
      <c r="W259" s="290">
        <v>0.94368170355841974</v>
      </c>
      <c r="X259" s="290">
        <v>0.9281735561418939</v>
      </c>
      <c r="Y259" s="290">
        <v>0.92307692307692313</v>
      </c>
      <c r="Z259" s="290">
        <v>0.93743615934627167</v>
      </c>
      <c r="AA259" s="290">
        <v>0.90822991508817763</v>
      </c>
      <c r="AB259" s="290">
        <v>0.91511194029850751</v>
      </c>
      <c r="AC259" s="290">
        <v>0.92209041359410071</v>
      </c>
      <c r="AD259" s="290">
        <v>0.91695906432748542</v>
      </c>
      <c r="AE259" s="290">
        <v>0.92957889654120818</v>
      </c>
      <c r="AF259" s="291">
        <v>0.92957889654120818</v>
      </c>
      <c r="AH259" s="289">
        <v>0.9356345704645731</v>
      </c>
      <c r="AI259" s="290">
        <v>0.9187620889748549</v>
      </c>
      <c r="AJ259" s="290">
        <v>0.91952506596306072</v>
      </c>
      <c r="AK259" s="290">
        <v>0.93351351351351353</v>
      </c>
      <c r="AL259" s="312">
        <v>0.92157842157842162</v>
      </c>
      <c r="AM259" s="312">
        <v>0.89744897959183678</v>
      </c>
      <c r="AN259" s="312">
        <v>0.91815441687920241</v>
      </c>
      <c r="AO259" s="312">
        <v>0.91836195508586527</v>
      </c>
      <c r="AP259" s="312">
        <v>0.87466340269277831</v>
      </c>
      <c r="AQ259" s="312">
        <v>0.90758754863813229</v>
      </c>
      <c r="AR259" s="429">
        <v>0.93345463997920453</v>
      </c>
      <c r="AS259" s="429">
        <v>0.94022038567493105</v>
      </c>
      <c r="AT259" s="290">
        <v>0.92100675041351876</v>
      </c>
      <c r="AU259" s="291">
        <v>0.92100675041351876</v>
      </c>
      <c r="AW259" s="506">
        <v>0.91861497484462851</v>
      </c>
      <c r="AX259" s="290">
        <v>0.95074812967581046</v>
      </c>
      <c r="AY259" s="290">
        <v>0.90571761960326724</v>
      </c>
      <c r="AZ259" s="290">
        <v>0.91093549765057669</v>
      </c>
      <c r="BA259" s="312">
        <v>0.93998782714546558</v>
      </c>
      <c r="BB259" s="312">
        <v>0.92025601107074906</v>
      </c>
      <c r="BC259" s="312">
        <v>0.91569193376879843</v>
      </c>
      <c r="BD259" s="312">
        <v>0.92721589640544766</v>
      </c>
      <c r="BE259" s="312">
        <v>0.91715116279069764</v>
      </c>
      <c r="BF259" s="312">
        <v>0.95295375568029939</v>
      </c>
      <c r="BG259" s="429">
        <v>0.94755531275607774</v>
      </c>
      <c r="BH259" s="429">
        <v>0.94957020057306585</v>
      </c>
      <c r="BI259" s="290">
        <v>0.9296998601637404</v>
      </c>
      <c r="BJ259" s="290">
        <f t="shared" si="220"/>
        <v>0.9296998601637404</v>
      </c>
      <c r="BL259" s="506">
        <v>0.95905015749939426</v>
      </c>
      <c r="BM259" s="290">
        <v>0.94648829431438131</v>
      </c>
      <c r="BN259" s="290"/>
      <c r="BO259" s="290"/>
      <c r="BP259" s="312"/>
      <c r="BQ259" s="312"/>
      <c r="BR259" s="312"/>
      <c r="BS259" s="312"/>
      <c r="BT259" s="312"/>
      <c r="BU259" s="312"/>
      <c r="BV259" s="429"/>
      <c r="BW259" s="429"/>
      <c r="BX259" s="290">
        <f>BY259</f>
        <v>0.95276922590688784</v>
      </c>
      <c r="BY259" s="290">
        <f t="shared" si="217"/>
        <v>0.95276922590688784</v>
      </c>
      <c r="CA259" s="169">
        <f>ROW()</f>
        <v>259</v>
      </c>
      <c r="CB259" s="171">
        <f>IFERROR(_xlfn.XLOOKUP($A$1,$2:$2,259:259)-_xlfn.XLOOKUP(EDATE($A$1,-12),$2:$2,259:259),"")</f>
        <v>-4.259835361429154E-3</v>
      </c>
      <c r="CC259" s="169">
        <f t="shared" si="209"/>
        <v>8.6931097502216392E-3</v>
      </c>
      <c r="CD259" s="6221">
        <f>IFERROR(
  AVERAGE(
    _xlfn.XLOOKUP(DATE(YEAR($A$1),1,1),$2:$2,259:259):
    _xlfn.XLOOKUP($A$1,$2:$2,259:259)
  )
 -AVERAGE(
    _xlfn.XLOOKUP(DATE(YEAR($A$1)-1,1,1),$2:$2,259:259):
    _xlfn.XLOOKUP(EDATE($A$1,-12),$2:$2,259:259)
  ),"")</f>
        <v>1.8087673646668412E-2</v>
      </c>
      <c r="CE259" s="4518">
        <f>IFERROR(
  _xlfn.XLOOKUP($A$1,$B$2:$BY$2,$B259:$BY259)
 -_xlfn.XLOOKUP(EDATE($A$1,-1),$B$2:$BY$2,$B259:$BY259),"")</f>
        <v>-1.2561863185012956E-2</v>
      </c>
    </row>
    <row r="260" spans="1:86" ht="17.5" customHeight="1" x14ac:dyDescent="0.55000000000000004">
      <c r="A260" s="7195"/>
      <c r="B260" s="286"/>
      <c r="C260" s="292" t="s">
        <v>405</v>
      </c>
      <c r="D260" s="217">
        <v>0.96342355523043155</v>
      </c>
      <c r="E260" s="218">
        <v>0.96760443307757882</v>
      </c>
      <c r="F260" s="218">
        <v>0.95966386554621852</v>
      </c>
      <c r="G260" s="218">
        <v>0.97033898305084743</v>
      </c>
      <c r="H260" s="218">
        <v>0.96875</v>
      </c>
      <c r="I260" s="218">
        <v>0.96202531645569622</v>
      </c>
      <c r="J260" s="218">
        <v>0.97046413502109707</v>
      </c>
      <c r="K260" s="218">
        <v>0.96159527326440175</v>
      </c>
      <c r="L260" s="218">
        <v>0.97122302158273377</v>
      </c>
      <c r="M260" s="218">
        <v>0.96460176991150437</v>
      </c>
      <c r="N260" s="218">
        <v>0.96546052631578949</v>
      </c>
      <c r="O260" s="218">
        <v>0.96030245746691867</v>
      </c>
      <c r="P260" s="218">
        <v>0.96539338260689367</v>
      </c>
      <c r="Q260" s="219">
        <v>0.96539338260689367</v>
      </c>
      <c r="S260" s="217">
        <v>0.97121771217712172</v>
      </c>
      <c r="T260" s="218">
        <v>0.96161107614852104</v>
      </c>
      <c r="U260" s="218">
        <v>0.96402398401065958</v>
      </c>
      <c r="V260" s="218">
        <v>0.96916010498687666</v>
      </c>
      <c r="W260" s="218">
        <v>0.97003745318352064</v>
      </c>
      <c r="X260" s="218">
        <v>0.96606498194945845</v>
      </c>
      <c r="Y260" s="218">
        <v>0.9616413916146298</v>
      </c>
      <c r="Z260" s="218">
        <v>0.97891566265060237</v>
      </c>
      <c r="AA260" s="218">
        <v>0.9667318982387475</v>
      </c>
      <c r="AB260" s="218">
        <v>0.9785544082605242</v>
      </c>
      <c r="AC260" s="218">
        <v>0.97271126760563376</v>
      </c>
      <c r="AD260" s="218">
        <v>0.96910401647785793</v>
      </c>
      <c r="AE260" s="218">
        <v>0.9692268886366503</v>
      </c>
      <c r="AF260" s="219">
        <v>0.9692268886366503</v>
      </c>
      <c r="AH260" s="217">
        <v>0.97658079625292737</v>
      </c>
      <c r="AI260" s="218">
        <v>0.96398467432950197</v>
      </c>
      <c r="AJ260" s="218">
        <v>0.96838189708617484</v>
      </c>
      <c r="AK260" s="218">
        <v>0.96606060606060606</v>
      </c>
      <c r="AL260" s="313">
        <v>0.96902654867256632</v>
      </c>
      <c r="AM260" s="313">
        <v>0.95095948827292109</v>
      </c>
      <c r="AN260" s="313">
        <v>0.97787610619469023</v>
      </c>
      <c r="AO260" s="313">
        <v>0.96666666666666667</v>
      </c>
      <c r="AP260" s="313">
        <v>0.96818181818181814</v>
      </c>
      <c r="AQ260" s="313">
        <v>0.97098515519568152</v>
      </c>
      <c r="AR260" s="430">
        <v>0.9765625</v>
      </c>
      <c r="AS260" s="430">
        <v>0.96341463414634143</v>
      </c>
      <c r="AT260" s="218">
        <v>0.96632487857528337</v>
      </c>
      <c r="AU260" s="219">
        <v>0.96632487857528337</v>
      </c>
      <c r="AW260" s="507">
        <v>0.95797598627787306</v>
      </c>
      <c r="AX260" s="218">
        <v>0.97727272727272729</v>
      </c>
      <c r="AY260" s="218">
        <v>0.96985815602836878</v>
      </c>
      <c r="AZ260" s="218">
        <v>0.97010463378176381</v>
      </c>
      <c r="BA260" s="313">
        <v>0.98348926802421599</v>
      </c>
      <c r="BB260" s="313">
        <v>0.97713981924508253</v>
      </c>
      <c r="BC260" s="313">
        <v>0.98279087167976054</v>
      </c>
      <c r="BD260" s="313">
        <v>0.98135898977751057</v>
      </c>
      <c r="BE260" s="313">
        <v>0.97988036976617732</v>
      </c>
      <c r="BF260" s="313">
        <v>0.97483766233766234</v>
      </c>
      <c r="BG260" s="313">
        <v>0.97355769230769229</v>
      </c>
      <c r="BH260" s="430">
        <v>0.96589018302828622</v>
      </c>
      <c r="BI260" s="218">
        <v>0.97451302996059341</v>
      </c>
      <c r="BJ260" s="218">
        <f t="shared" si="220"/>
        <v>0.97451302996059341</v>
      </c>
      <c r="BL260" s="507">
        <v>0.97137637028014612</v>
      </c>
      <c r="BM260" s="218">
        <v>0.96539162112932608</v>
      </c>
      <c r="BN260" s="218"/>
      <c r="BO260" s="218"/>
      <c r="BP260" s="313"/>
      <c r="BQ260" s="313"/>
      <c r="BR260" s="313"/>
      <c r="BS260" s="313"/>
      <c r="BT260" s="313"/>
      <c r="BU260" s="313"/>
      <c r="BV260" s="313"/>
      <c r="BW260" s="430"/>
      <c r="BX260" s="218">
        <f t="shared" ref="BX260:BX281" si="225">BY260</f>
        <v>0.9683839957047361</v>
      </c>
      <c r="BY260" s="218">
        <f t="shared" si="217"/>
        <v>0.9683839957047361</v>
      </c>
      <c r="CA260" s="169">
        <f>ROW()</f>
        <v>260</v>
      </c>
      <c r="CB260" s="171">
        <f>IFERROR(_xlfn.XLOOKUP($A$1,$2:$2,260:260)-_xlfn.XLOOKUP(EDATE($A$1,-12),$2:$2,260:260),"")</f>
        <v>-1.188110614340121E-2</v>
      </c>
      <c r="CC260" s="169">
        <f t="shared" si="209"/>
        <v>8.1881513853100385E-3</v>
      </c>
      <c r="CD260" s="6221">
        <f>IFERROR(
  AVERAGE(
    _xlfn.XLOOKUP(DATE(YEAR($A$1),1,1),$2:$2,260:260):
    _xlfn.XLOOKUP($A$1,$2:$2,260:260)
  )
 -AVERAGE(
    _xlfn.XLOOKUP(DATE(YEAR($A$1)-1,1,1),$2:$2,260:260):
    _xlfn.XLOOKUP(EDATE($A$1,-12),$2:$2,260:260)
  ),"")</f>
        <v>7.5963892943586853E-4</v>
      </c>
      <c r="CE260" s="4518">
        <f>IFERROR(
  _xlfn.XLOOKUP($A$1,$B$2:$BY$2,$B260:$BY260)
 -_xlfn.XLOOKUP(EDATE($A$1,-1),$B$2:$BY$2,$B260:$BY260),"")</f>
        <v>-5.9847491508200346E-3</v>
      </c>
    </row>
    <row r="261" spans="1:86" ht="17.5" customHeight="1" x14ac:dyDescent="0.55000000000000004">
      <c r="A261" s="7195"/>
      <c r="B261" s="286"/>
      <c r="C261" s="292" t="s">
        <v>1016</v>
      </c>
      <c r="D261" s="217">
        <v>0.84057971014492749</v>
      </c>
      <c r="E261" s="218">
        <v>0.86428571428571432</v>
      </c>
      <c r="F261" s="218">
        <v>0.82410423452768733</v>
      </c>
      <c r="G261" s="218">
        <v>0.86021505376344087</v>
      </c>
      <c r="H261" s="218">
        <v>0.84538152610441764</v>
      </c>
      <c r="I261" s="218">
        <v>0.86486486486486491</v>
      </c>
      <c r="J261" s="218">
        <v>0.83333333333333337</v>
      </c>
      <c r="K261" s="218">
        <v>0.83816425120772942</v>
      </c>
      <c r="L261" s="218">
        <v>0.81589958158995812</v>
      </c>
      <c r="M261" s="218">
        <v>0.85603715170278638</v>
      </c>
      <c r="N261" s="218">
        <v>0.7951582867783985</v>
      </c>
      <c r="O261" s="218">
        <v>0.80798479087452468</v>
      </c>
      <c r="P261" s="218">
        <v>0.83696542683925934</v>
      </c>
      <c r="Q261" s="219">
        <v>0.83696542683925934</v>
      </c>
      <c r="S261" s="217">
        <v>0.85288270377733599</v>
      </c>
      <c r="T261" s="218">
        <v>0.84104938271604934</v>
      </c>
      <c r="U261" s="218">
        <v>0.80926430517711168</v>
      </c>
      <c r="V261" s="218">
        <v>0.84275862068965512</v>
      </c>
      <c r="W261" s="218">
        <v>0.85060240963855427</v>
      </c>
      <c r="X261" s="218">
        <v>0.80649188514357051</v>
      </c>
      <c r="Y261" s="218">
        <v>0.81678321678321675</v>
      </c>
      <c r="Z261" s="218">
        <v>0.81077147016011641</v>
      </c>
      <c r="AA261" s="218">
        <v>0.81737849779086891</v>
      </c>
      <c r="AB261" s="218">
        <v>0.74882995319812795</v>
      </c>
      <c r="AC261" s="218">
        <v>0.77376171352074963</v>
      </c>
      <c r="AD261" s="218">
        <v>0.78917378917378922</v>
      </c>
      <c r="AE261" s="218">
        <v>0.81300523062291963</v>
      </c>
      <c r="AF261" s="219">
        <v>0.81300523062291963</v>
      </c>
      <c r="AH261" s="217">
        <v>0.77131782945736438</v>
      </c>
      <c r="AI261" s="218">
        <v>0.7271268057784912</v>
      </c>
      <c r="AJ261" s="218">
        <v>0.71506849315068488</v>
      </c>
      <c r="AK261" s="218">
        <v>0.75784753363228696</v>
      </c>
      <c r="AL261" s="313">
        <v>0.71250000000000002</v>
      </c>
      <c r="AM261" s="313">
        <v>0.68675995694294945</v>
      </c>
      <c r="AN261" s="313">
        <v>0.66507747318235999</v>
      </c>
      <c r="AO261" s="313">
        <v>0.71082621082621078</v>
      </c>
      <c r="AP261" s="313">
        <v>0.5323496027241772</v>
      </c>
      <c r="AQ261" s="313">
        <v>0.59571788413098237</v>
      </c>
      <c r="AR261" s="430">
        <v>0.65748709122203097</v>
      </c>
      <c r="AS261" s="430">
        <v>0.72262773722627738</v>
      </c>
      <c r="AT261" s="218">
        <v>0.72665916760404947</v>
      </c>
      <c r="AU261" s="219">
        <v>0.72665916760404947</v>
      </c>
      <c r="AW261" s="507">
        <v>0.61748633879781423</v>
      </c>
      <c r="AX261" s="218">
        <v>0.66730401529636707</v>
      </c>
      <c r="AY261" s="218">
        <v>0.54973821989528793</v>
      </c>
      <c r="AZ261" s="218">
        <v>0.55327342747111685</v>
      </c>
      <c r="BA261" s="218">
        <v>0.55626326963906592</v>
      </c>
      <c r="BB261" s="313">
        <v>0.5192069392812888</v>
      </c>
      <c r="BC261" s="313">
        <v>0.5603367633302152</v>
      </c>
      <c r="BD261" s="313">
        <v>0.66545893719806759</v>
      </c>
      <c r="BE261" s="313">
        <v>0.62119503945885002</v>
      </c>
      <c r="BF261" s="313">
        <v>0.77508650519031153</v>
      </c>
      <c r="BG261" s="313">
        <v>0.74127310061601648</v>
      </c>
      <c r="BH261" s="430">
        <v>0.7427821522309711</v>
      </c>
      <c r="BI261" s="218">
        <v>0.63078372570044772</v>
      </c>
      <c r="BJ261" s="218">
        <f t="shared" si="220"/>
        <v>0.63078372570044772</v>
      </c>
      <c r="BL261" s="507">
        <v>0.7665847665847666</v>
      </c>
      <c r="BM261" s="218">
        <v>0.76328502415458943</v>
      </c>
      <c r="BN261" s="218"/>
      <c r="BO261" s="218"/>
      <c r="BP261" s="218"/>
      <c r="BQ261" s="313"/>
      <c r="BR261" s="313"/>
      <c r="BS261" s="313"/>
      <c r="BT261" s="313"/>
      <c r="BU261" s="313"/>
      <c r="BV261" s="313"/>
      <c r="BW261" s="430"/>
      <c r="BX261" s="218">
        <f t="shared" si="225"/>
        <v>0.76493489536967796</v>
      </c>
      <c r="BY261" s="218">
        <f t="shared" si="217"/>
        <v>0.76493489536967796</v>
      </c>
      <c r="CA261" s="169">
        <f>ROW()</f>
        <v>261</v>
      </c>
      <c r="CB261" s="171">
        <f>IFERROR(_xlfn.XLOOKUP($A$1,$2:$2,261:261)-_xlfn.XLOOKUP(EDATE($A$1,-12),$2:$2,261:261),"")</f>
        <v>9.5981008858222361E-2</v>
      </c>
      <c r="CC261" s="169">
        <f t="shared" si="209"/>
        <v>-9.5875441903601755E-2</v>
      </c>
      <c r="CD261" s="6221">
        <f>IFERROR(
  AVERAGE(
    _xlfn.XLOOKUP(DATE(YEAR($A$1),1,1),$2:$2,261:261):
    _xlfn.XLOOKUP($A$1,$2:$2,261:261)
  )
 -AVERAGE(
    _xlfn.XLOOKUP(DATE(YEAR($A$1)-1,1,1),$2:$2,261:261):
    _xlfn.XLOOKUP(EDATE($A$1,-12),$2:$2,261:261)
  ),"")</f>
        <v>0.12253971832258737</v>
      </c>
      <c r="CE261" s="4518">
        <f>IFERROR(
  _xlfn.XLOOKUP($A$1,$B$2:$BY$2,$B261:$BY261)
 -_xlfn.XLOOKUP(EDATE($A$1,-1),$B$2:$BY$2,$B261:$BY261),"")</f>
        <v>-3.2997424301771661E-3</v>
      </c>
    </row>
    <row r="262" spans="1:86" ht="17.5" customHeight="1" x14ac:dyDescent="0.55000000000000004">
      <c r="A262" s="7195"/>
      <c r="B262" s="286"/>
      <c r="C262" s="292" t="s">
        <v>407</v>
      </c>
      <c r="D262" s="217">
        <v>0.96586178184845961</v>
      </c>
      <c r="E262" s="218">
        <v>0.97598870056497178</v>
      </c>
      <c r="F262" s="218">
        <v>0.98744460856720828</v>
      </c>
      <c r="G262" s="218">
        <v>0.98351001177856301</v>
      </c>
      <c r="H262" s="218">
        <v>0.99043869516310457</v>
      </c>
      <c r="I262" s="218">
        <v>0.98921509886159376</v>
      </c>
      <c r="J262" s="218">
        <v>0.98887122416534179</v>
      </c>
      <c r="K262" s="218">
        <v>0.99400399733510991</v>
      </c>
      <c r="L262" s="218">
        <v>0.97378872120730742</v>
      </c>
      <c r="M262" s="218">
        <v>0.97508650519031137</v>
      </c>
      <c r="N262" s="218">
        <v>0.97394136807817588</v>
      </c>
      <c r="O262" s="218">
        <v>0.9683908045977011</v>
      </c>
      <c r="P262" s="218">
        <v>0.98148477835143311</v>
      </c>
      <c r="Q262" s="219">
        <v>0.98148477835143311</v>
      </c>
      <c r="S262" s="217">
        <v>0.96857670979667287</v>
      </c>
      <c r="T262" s="218">
        <v>0.96759941089837997</v>
      </c>
      <c r="U262" s="218">
        <v>0.93030080704328688</v>
      </c>
      <c r="V262" s="218">
        <v>0.96733212341197827</v>
      </c>
      <c r="W262" s="218">
        <v>0.97340043134435661</v>
      </c>
      <c r="X262" s="218">
        <v>0.96883116883116882</v>
      </c>
      <c r="Y262" s="218">
        <v>0.97701149425287359</v>
      </c>
      <c r="Z262" s="218">
        <v>0.95203197868087941</v>
      </c>
      <c r="AA262" s="218">
        <v>0.91153846153846152</v>
      </c>
      <c r="AB262" s="218">
        <v>0.97236180904522618</v>
      </c>
      <c r="AC262" s="218">
        <v>0.96666666666666667</v>
      </c>
      <c r="AD262" s="218">
        <v>0.9614074914869466</v>
      </c>
      <c r="AE262" s="218">
        <v>0.95877356536150815</v>
      </c>
      <c r="AF262" s="219">
        <v>0.95877356536150815</v>
      </c>
      <c r="AH262" s="217">
        <v>0.97720588235294115</v>
      </c>
      <c r="AI262" s="218">
        <v>0.96993127147766323</v>
      </c>
      <c r="AJ262" s="218">
        <v>0.96905766526019688</v>
      </c>
      <c r="AK262" s="218">
        <v>0.98078401229823209</v>
      </c>
      <c r="AL262" s="313">
        <v>0.96499045194143862</v>
      </c>
      <c r="AM262" s="313">
        <v>0.97240915208613732</v>
      </c>
      <c r="AN262" s="313">
        <v>0.9808286951144094</v>
      </c>
      <c r="AO262" s="313">
        <v>0.96421961752004937</v>
      </c>
      <c r="AP262" s="313">
        <v>0.96938150642988363</v>
      </c>
      <c r="AQ262" s="313">
        <v>0.99116510215350639</v>
      </c>
      <c r="AR262" s="430">
        <v>0.9873765093304061</v>
      </c>
      <c r="AS262" s="430">
        <v>0.99245063879210216</v>
      </c>
      <c r="AT262" s="218">
        <v>0.97218208092485547</v>
      </c>
      <c r="AU262" s="219">
        <v>0.97218208092485547</v>
      </c>
      <c r="AW262" s="507">
        <v>0.99450213805742216</v>
      </c>
      <c r="AX262" s="218">
        <v>0.99376797698945352</v>
      </c>
      <c r="AY262" s="218">
        <v>0.99502762430939229</v>
      </c>
      <c r="AZ262" s="218">
        <v>0.995253164556962</v>
      </c>
      <c r="BA262" s="218">
        <v>0.99587798845836772</v>
      </c>
      <c r="BB262" s="313">
        <v>0.99896408839779005</v>
      </c>
      <c r="BC262" s="313">
        <v>0.99686028257456827</v>
      </c>
      <c r="BD262" s="313">
        <v>0.99413646055437088</v>
      </c>
      <c r="BE262" s="313">
        <v>0.99690562145435779</v>
      </c>
      <c r="BF262" s="313">
        <v>0.99780098955470009</v>
      </c>
      <c r="BG262" s="313">
        <v>0.99719258843346459</v>
      </c>
      <c r="BH262" s="430">
        <v>0.99774901519414771</v>
      </c>
      <c r="BI262" s="218">
        <v>0.99616982821124955</v>
      </c>
      <c r="BJ262" s="218">
        <f t="shared" si="220"/>
        <v>0.99616982821124955</v>
      </c>
      <c r="BL262" s="507">
        <v>0.99637117677553133</v>
      </c>
      <c r="BM262" s="218">
        <v>0.99702380952380953</v>
      </c>
      <c r="BN262" s="218"/>
      <c r="BO262" s="218"/>
      <c r="BP262" s="218"/>
      <c r="BQ262" s="313"/>
      <c r="BR262" s="313"/>
      <c r="BS262" s="313"/>
      <c r="BT262" s="313"/>
      <c r="BU262" s="313"/>
      <c r="BV262" s="313"/>
      <c r="BW262" s="430"/>
      <c r="BX262" s="218">
        <f t="shared" si="225"/>
        <v>0.99669749314967038</v>
      </c>
      <c r="BY262" s="218">
        <f t="shared" si="217"/>
        <v>0.99669749314967038</v>
      </c>
      <c r="CA262" s="169">
        <f>ROW()</f>
        <v>262</v>
      </c>
      <c r="CB262" s="171">
        <f>IFERROR(_xlfn.XLOOKUP($A$1,$2:$2,262:262)-_xlfn.XLOOKUP(EDATE($A$1,-12),$2:$2,262:262),"")</f>
        <v>3.2558325343560179E-3</v>
      </c>
      <c r="CC262" s="169">
        <f t="shared" si="209"/>
        <v>2.3987747286394079E-2</v>
      </c>
      <c r="CD262" s="6221">
        <f>IFERROR(
  AVERAGE(
    _xlfn.XLOOKUP(DATE(YEAR($A$1),1,1),$2:$2,262:262):
    _xlfn.XLOOKUP($A$1,$2:$2,262:262)
  )
 -AVERAGE(
    _xlfn.XLOOKUP(DATE(YEAR($A$1)-1,1,1),$2:$2,262:262):
    _xlfn.XLOOKUP(EDATE($A$1,-12),$2:$2,262:262)
  ),"")</f>
        <v>2.5624356262325954E-3</v>
      </c>
      <c r="CE262" s="4518">
        <f>IFERROR(
  _xlfn.XLOOKUP($A$1,$B$2:$BY$2,$B262:$BY262)
 -_xlfn.XLOOKUP(EDATE($A$1,-1),$B$2:$BY$2,$B262:$BY262),"")</f>
        <v>6.526327482782035E-4</v>
      </c>
    </row>
    <row r="263" spans="1:86" ht="18" customHeight="1" thickBot="1" x14ac:dyDescent="0.6">
      <c r="A263" s="7195"/>
      <c r="B263" s="287"/>
      <c r="C263" s="293" t="s">
        <v>875</v>
      </c>
      <c r="D263" s="294">
        <v>1</v>
      </c>
      <c r="E263" s="295">
        <v>0</v>
      </c>
      <c r="F263" s="295">
        <v>0.9375</v>
      </c>
      <c r="G263" s="295">
        <v>1</v>
      </c>
      <c r="H263" s="295">
        <v>1</v>
      </c>
      <c r="I263" s="295">
        <v>1</v>
      </c>
      <c r="J263" s="295">
        <v>1</v>
      </c>
      <c r="K263" s="295">
        <v>0.97402597402597402</v>
      </c>
      <c r="L263" s="295">
        <v>0.90909090909090906</v>
      </c>
      <c r="M263" s="295">
        <v>0.93442622950819676</v>
      </c>
      <c r="N263" s="295">
        <v>0.90625</v>
      </c>
      <c r="O263" s="295">
        <v>0.88888888888888884</v>
      </c>
      <c r="P263" s="295">
        <v>0.93622448979591832</v>
      </c>
      <c r="Q263" s="296">
        <v>0.93622448979591832</v>
      </c>
      <c r="S263" s="294">
        <v>0.92307692307692313</v>
      </c>
      <c r="T263" s="295">
        <v>1</v>
      </c>
      <c r="U263" s="295">
        <v>1</v>
      </c>
      <c r="V263" s="295">
        <v>1</v>
      </c>
      <c r="W263" s="295">
        <v>1</v>
      </c>
      <c r="X263" s="295">
        <v>0.9</v>
      </c>
      <c r="Y263" s="295">
        <v>0.6428571428571429</v>
      </c>
      <c r="Z263" s="295">
        <v>0.88235294117647056</v>
      </c>
      <c r="AA263" s="295">
        <v>0.86885245901639341</v>
      </c>
      <c r="AB263" s="295">
        <v>0.57377049180327866</v>
      </c>
      <c r="AC263" s="295">
        <v>0.95238095238095233</v>
      </c>
      <c r="AD263" s="295">
        <v>0.90909090909090906</v>
      </c>
      <c r="AE263" s="295">
        <v>0.81103678929765888</v>
      </c>
      <c r="AF263" s="296">
        <v>0.81103678929765888</v>
      </c>
      <c r="AH263" s="294">
        <v>1</v>
      </c>
      <c r="AI263" s="295">
        <v>1</v>
      </c>
      <c r="AJ263" s="295">
        <v>0.92</v>
      </c>
      <c r="AK263" s="295">
        <v>0.96250000000000002</v>
      </c>
      <c r="AL263" s="314">
        <v>0.97709923664122134</v>
      </c>
      <c r="AM263" s="314">
        <v>0.98979591836734693</v>
      </c>
      <c r="AN263" s="314">
        <v>0.97959183673469385</v>
      </c>
      <c r="AO263" s="314">
        <v>0.98076923076923073</v>
      </c>
      <c r="AP263" s="314">
        <v>0.967741935483871</v>
      </c>
      <c r="AQ263" s="314">
        <v>1</v>
      </c>
      <c r="AR263" s="431">
        <v>0.97058823529411764</v>
      </c>
      <c r="AS263" s="431">
        <v>0.91666666666666663</v>
      </c>
      <c r="AT263" s="295">
        <v>0.9746478873239437</v>
      </c>
      <c r="AU263" s="296">
        <v>0.9746478873239437</v>
      </c>
      <c r="AW263" s="508">
        <v>0.7407407407407407</v>
      </c>
      <c r="AX263" s="295">
        <v>1</v>
      </c>
      <c r="AY263" s="295">
        <v>1</v>
      </c>
      <c r="AZ263" s="295" t="s">
        <v>461</v>
      </c>
      <c r="BA263" s="295">
        <v>0.85209003215434087</v>
      </c>
      <c r="BB263" s="314">
        <v>0.86294416243654826</v>
      </c>
      <c r="BC263" s="314">
        <v>0.89419795221843001</v>
      </c>
      <c r="BD263" s="314">
        <v>0.9375</v>
      </c>
      <c r="BE263" s="314">
        <v>0.86754966887417218</v>
      </c>
      <c r="BF263" s="314">
        <v>0.90178571428571419</v>
      </c>
      <c r="BG263" s="314">
        <v>0.80689655172413788</v>
      </c>
      <c r="BH263" s="431">
        <v>0.74615384615384617</v>
      </c>
      <c r="BI263" s="295">
        <v>0.87362351532617533</v>
      </c>
      <c r="BJ263" s="295">
        <f t="shared" si="220"/>
        <v>0.87362351532617533</v>
      </c>
      <c r="BL263" s="508">
        <v>0.86577181208053688</v>
      </c>
      <c r="BM263" s="295">
        <v>0.85074626865671643</v>
      </c>
      <c r="BN263" s="295"/>
      <c r="BO263" s="295"/>
      <c r="BP263" s="295"/>
      <c r="BQ263" s="314"/>
      <c r="BR263" s="314"/>
      <c r="BS263" s="314"/>
      <c r="BT263" s="314"/>
      <c r="BU263" s="314"/>
      <c r="BV263" s="314"/>
      <c r="BW263" s="431"/>
      <c r="BX263" s="295">
        <f t="shared" si="225"/>
        <v>0.85825904036862666</v>
      </c>
      <c r="BY263" s="295">
        <f t="shared" si="217"/>
        <v>0.85825904036862666</v>
      </c>
      <c r="CA263" s="169">
        <f>ROW()</f>
        <v>263</v>
      </c>
      <c r="CB263" s="171">
        <f>IFERROR(_xlfn.XLOOKUP($A$1,$2:$2,263:263)-_xlfn.XLOOKUP(EDATE($A$1,-12),$2:$2,263:263),"")</f>
        <v>-0.14925373134328357</v>
      </c>
      <c r="CC263" s="169">
        <f t="shared" si="209"/>
        <v>-0.10102437199776837</v>
      </c>
      <c r="CD263" s="6221">
        <f>IFERROR(
  AVERAGE(
    _xlfn.XLOOKUP(DATE(YEAR($A$1),1,1),$2:$2,263:263):
    _xlfn.XLOOKUP($A$1,$2:$2,263:263)
  )
 -AVERAGE(
    _xlfn.XLOOKUP(DATE(YEAR($A$1)-1,1,1),$2:$2,263:263):
    _xlfn.XLOOKUP(EDATE($A$1,-12),$2:$2,263:263)
  ),"")</f>
        <v>-1.2111330001743692E-2</v>
      </c>
      <c r="CE263" s="4518">
        <f>IFERROR(
  _xlfn.XLOOKUP($A$1,$B$2:$BY$2,$B263:$BY263)
 -_xlfn.XLOOKUP(EDATE($A$1,-1),$B$2:$BY$2,$B263:$BY263),"")</f>
        <v>-1.5025543423820453E-2</v>
      </c>
    </row>
    <row r="264" spans="1:86" ht="17.05" customHeight="1" x14ac:dyDescent="0.55000000000000004">
      <c r="A264" s="7195"/>
      <c r="B264" s="297" t="s">
        <v>431</v>
      </c>
      <c r="C264" s="298"/>
      <c r="D264" s="232">
        <v>0.38734516237027117</v>
      </c>
      <c r="E264" s="233">
        <v>0.33732136922565636</v>
      </c>
      <c r="F264" s="233">
        <v>0.34751102709514808</v>
      </c>
      <c r="G264" s="233">
        <v>0.32538528642047104</v>
      </c>
      <c r="H264" s="233">
        <v>0.32302892796369825</v>
      </c>
      <c r="I264" s="233">
        <v>0.34752389226759339</v>
      </c>
      <c r="J264" s="233">
        <v>0.35908781484002722</v>
      </c>
      <c r="K264" s="233">
        <v>0.35026897788404066</v>
      </c>
      <c r="L264" s="233">
        <v>0.34347231715652771</v>
      </c>
      <c r="M264" s="233">
        <v>0.33293448997906072</v>
      </c>
      <c r="N264" s="233">
        <v>0.33070607553366171</v>
      </c>
      <c r="O264" s="233">
        <v>0.33940083428138035</v>
      </c>
      <c r="P264" s="233">
        <v>0.34317743172143933</v>
      </c>
      <c r="Q264" s="234">
        <v>0.34317743172143933</v>
      </c>
      <c r="S264" s="232">
        <v>0.38841855739925502</v>
      </c>
      <c r="T264" s="233">
        <v>0.42469545957918053</v>
      </c>
      <c r="U264" s="233">
        <v>0.40432612312811977</v>
      </c>
      <c r="V264" s="233">
        <v>0.43533969010727058</v>
      </c>
      <c r="W264" s="233">
        <v>0.39815074250490334</v>
      </c>
      <c r="X264" s="233">
        <v>0.39900322486074463</v>
      </c>
      <c r="Y264" s="233">
        <v>0.38832658569500672</v>
      </c>
      <c r="Z264" s="233">
        <v>0.40168539325842695</v>
      </c>
      <c r="AA264" s="233">
        <v>0.47746570868713262</v>
      </c>
      <c r="AB264" s="233">
        <v>0.49347014925373134</v>
      </c>
      <c r="AC264" s="233">
        <v>0.49278614940686116</v>
      </c>
      <c r="AD264" s="233">
        <v>0.45224171539961011</v>
      </c>
      <c r="AE264" s="233">
        <v>0.42827009580929631</v>
      </c>
      <c r="AF264" s="234">
        <v>0.42827009580929631</v>
      </c>
      <c r="AH264" s="232">
        <v>0.40487931481962108</v>
      </c>
      <c r="AI264" s="233">
        <v>0.35106382978723405</v>
      </c>
      <c r="AJ264" s="233">
        <v>0.33746701846965699</v>
      </c>
      <c r="AK264" s="233">
        <v>0.33594594594594596</v>
      </c>
      <c r="AL264" s="315">
        <v>0.3096903096903097</v>
      </c>
      <c r="AM264" s="315">
        <v>0.27500000000000002</v>
      </c>
      <c r="AN264" s="386">
        <v>0.30558775794110826</v>
      </c>
      <c r="AO264" s="386">
        <v>0.27567995775019805</v>
      </c>
      <c r="AP264" s="386">
        <v>0.28657799274486095</v>
      </c>
      <c r="AQ264" s="412">
        <v>0.27332361516034986</v>
      </c>
      <c r="AR264" s="433">
        <v>0.27995840914998699</v>
      </c>
      <c r="AS264" s="433">
        <v>0.25867768595041324</v>
      </c>
      <c r="AT264" s="233">
        <v>0.33567440311879465</v>
      </c>
      <c r="AU264" s="234">
        <v>0.33567440311879465</v>
      </c>
      <c r="AW264" s="509">
        <v>0.2707410687924417</v>
      </c>
      <c r="AX264" s="233">
        <v>0.31836988001654942</v>
      </c>
      <c r="AY264" s="233">
        <v>0.26385707741639947</v>
      </c>
      <c r="AZ264" s="233">
        <v>0.28188616535105943</v>
      </c>
      <c r="BA264" s="233">
        <v>0.26808460909197146</v>
      </c>
      <c r="BB264" s="315">
        <v>0.31430548348036674</v>
      </c>
      <c r="BC264" s="386">
        <v>0.45578947368421052</v>
      </c>
      <c r="BD264" s="386">
        <v>0.50904219691895514</v>
      </c>
      <c r="BE264" s="386">
        <v>0.51910299003322258</v>
      </c>
      <c r="BF264" s="412">
        <v>0.51082598235765841</v>
      </c>
      <c r="BG264" s="386">
        <v>0.51297459710461624</v>
      </c>
      <c r="BH264" s="433">
        <v>0.53237822349570196</v>
      </c>
      <c r="BI264" s="233">
        <v>0.39644647897859614</v>
      </c>
      <c r="BJ264" s="233">
        <f t="shared" si="220"/>
        <v>0.39644647897859614</v>
      </c>
      <c r="BL264" s="509">
        <v>0.51611339956384783</v>
      </c>
      <c r="BM264" s="233">
        <v>0.53645484949832778</v>
      </c>
      <c r="BN264" s="233"/>
      <c r="BO264" s="233"/>
      <c r="BP264" s="233"/>
      <c r="BQ264" s="315"/>
      <c r="BR264" s="386"/>
      <c r="BS264" s="386"/>
      <c r="BT264" s="386"/>
      <c r="BU264" s="412"/>
      <c r="BV264" s="386"/>
      <c r="BW264" s="433"/>
      <c r="BX264" s="233">
        <f t="shared" si="225"/>
        <v>0.52628412453108786</v>
      </c>
      <c r="BY264" s="233">
        <f t="shared" si="217"/>
        <v>0.52628412453108786</v>
      </c>
      <c r="CA264" s="169">
        <f>ROW()</f>
        <v>264</v>
      </c>
      <c r="CB264" s="171">
        <f>IFERROR(_xlfn.XLOOKUP($A$1,$2:$2,264:264)-_xlfn.XLOOKUP(EDATE($A$1,-12),$2:$2,264:264),"")</f>
        <v>0.21808496948177836</v>
      </c>
      <c r="CC264" s="169">
        <f t="shared" si="209"/>
        <v>6.0772075859801489E-2</v>
      </c>
      <c r="CD264" s="6221">
        <f>IFERROR(
  AVERAGE(
    _xlfn.XLOOKUP(DATE(YEAR($A$1),1,1),$2:$2,264:264):
    _xlfn.XLOOKUP($A$1,$2:$2,264:264)
  )
 -AVERAGE(
    _xlfn.XLOOKUP(DATE(YEAR($A$1)-1,1,1),$2:$2,264:264):
    _xlfn.XLOOKUP(EDATE($A$1,-12),$2:$2,264:264)
  ),"")</f>
        <v>0.23172865012659227</v>
      </c>
      <c r="CE264" s="4518">
        <f>IFERROR(
  _xlfn.XLOOKUP($A$1,$B$2:$BY$2,$B264:$BY264)
 -_xlfn.XLOOKUP(EDATE($A$1,-1),$B$2:$BY$2,$B264:$BY264),"")</f>
        <v>2.0341449934479949E-2</v>
      </c>
    </row>
    <row r="265" spans="1:86" ht="17.05" customHeight="1" x14ac:dyDescent="0.55000000000000004">
      <c r="A265" s="7195"/>
      <c r="B265" s="18"/>
      <c r="C265" s="299" t="s">
        <v>19</v>
      </c>
      <c r="D265" s="223">
        <v>0.62253108997805418</v>
      </c>
      <c r="E265" s="224">
        <v>0.61636828644501274</v>
      </c>
      <c r="F265" s="224">
        <v>0.59327731092436975</v>
      </c>
      <c r="G265" s="224">
        <v>0.6228813559322034</v>
      </c>
      <c r="H265" s="224">
        <v>0.64342948717948723</v>
      </c>
      <c r="I265" s="224">
        <v>0.63844936708860756</v>
      </c>
      <c r="J265" s="224">
        <v>0.62362869198312232</v>
      </c>
      <c r="K265" s="224">
        <v>0.62333825701624812</v>
      </c>
      <c r="L265" s="224">
        <v>0.6151079136690647</v>
      </c>
      <c r="M265" s="224">
        <v>0.64070796460176993</v>
      </c>
      <c r="N265" s="224">
        <v>0.62335526315789469</v>
      </c>
      <c r="O265" s="224">
        <v>0.64555765595463133</v>
      </c>
      <c r="P265" s="224">
        <v>0.62561304137597573</v>
      </c>
      <c r="Q265" s="225">
        <v>0.62561304137597573</v>
      </c>
      <c r="S265" s="223">
        <v>0.58745387453874542</v>
      </c>
      <c r="T265" s="224">
        <v>0.5544367526746381</v>
      </c>
      <c r="U265" s="224">
        <v>0.54363757495003329</v>
      </c>
      <c r="V265" s="224">
        <v>0.53149606299212604</v>
      </c>
      <c r="W265" s="224">
        <v>0.5378277153558052</v>
      </c>
      <c r="X265" s="224">
        <v>0.54296028880866432</v>
      </c>
      <c r="Y265" s="224">
        <v>0.57002676181980372</v>
      </c>
      <c r="Z265" s="224">
        <v>0.5367469879518072</v>
      </c>
      <c r="AA265" s="224">
        <v>0.68395303326810175</v>
      </c>
      <c r="AB265" s="224">
        <v>0.69102462271644161</v>
      </c>
      <c r="AC265" s="224">
        <v>0.69982394366197187</v>
      </c>
      <c r="AD265" s="224">
        <v>0.67662203913491248</v>
      </c>
      <c r="AE265" s="224">
        <v>0.58796821793416576</v>
      </c>
      <c r="AF265" s="225">
        <v>0.58796821793416576</v>
      </c>
      <c r="AH265" s="223">
        <v>0.62939110070257609</v>
      </c>
      <c r="AI265" s="224">
        <v>0.56321839080459768</v>
      </c>
      <c r="AJ265" s="224">
        <v>0.555486670799752</v>
      </c>
      <c r="AK265" s="224">
        <v>0.53818181818181821</v>
      </c>
      <c r="AL265" s="316">
        <v>0.54424778761061943</v>
      </c>
      <c r="AM265" s="316">
        <v>0.5074626865671642</v>
      </c>
      <c r="AN265" s="387">
        <v>0.53484513274336287</v>
      </c>
      <c r="AO265" s="387">
        <v>0.48085106382978721</v>
      </c>
      <c r="AP265" s="409">
        <v>0.52532467532467531</v>
      </c>
      <c r="AQ265" s="421">
        <v>0.50472334682860998</v>
      </c>
      <c r="AR265" s="434">
        <v>0.51775568181818177</v>
      </c>
      <c r="AS265" s="434">
        <v>0.47256097560975607</v>
      </c>
      <c r="AT265" s="224">
        <v>0.55633140911108792</v>
      </c>
      <c r="AU265" s="225">
        <v>0.55633140911108792</v>
      </c>
      <c r="AW265" s="510">
        <v>0.45711835334476841</v>
      </c>
      <c r="AX265" s="224">
        <v>0.47545454545454546</v>
      </c>
      <c r="AY265" s="224">
        <v>0.40366430260047281</v>
      </c>
      <c r="AZ265" s="224">
        <v>0.42800199302441455</v>
      </c>
      <c r="BA265" s="224">
        <v>0.36873968079251512</v>
      </c>
      <c r="BB265" s="316">
        <v>0.46624136097820312</v>
      </c>
      <c r="BC265" s="387">
        <v>0.65106701609883944</v>
      </c>
      <c r="BD265" s="387">
        <v>0.64642212868310278</v>
      </c>
      <c r="BE265" s="409">
        <v>0.6634040239260468</v>
      </c>
      <c r="BF265" s="546">
        <v>0.64448051948051943</v>
      </c>
      <c r="BG265" s="387">
        <v>0.64102564102564108</v>
      </c>
      <c r="BH265" s="434">
        <v>0.62645590682196339</v>
      </c>
      <c r="BI265" s="224">
        <v>0.5393396226859194</v>
      </c>
      <c r="BJ265" s="224">
        <f t="shared" si="220"/>
        <v>0.5393396226859194</v>
      </c>
      <c r="BL265" s="510">
        <v>0.64311814859926919</v>
      </c>
      <c r="BM265" s="224">
        <v>0.64845173041894366</v>
      </c>
      <c r="BN265" s="224"/>
      <c r="BO265" s="224"/>
      <c r="BP265" s="224"/>
      <c r="BQ265" s="316"/>
      <c r="BR265" s="387"/>
      <c r="BS265" s="387"/>
      <c r="BT265" s="409"/>
      <c r="BU265" s="546"/>
      <c r="BV265" s="387"/>
      <c r="BW265" s="434"/>
      <c r="BX265" s="224">
        <f t="shared" si="225"/>
        <v>0.64578493950910643</v>
      </c>
      <c r="BY265" s="224">
        <f t="shared" si="217"/>
        <v>0.64578493950910643</v>
      </c>
      <c r="CA265" s="169">
        <f>ROW()</f>
        <v>265</v>
      </c>
      <c r="CB265" s="171">
        <f>IFERROR(_xlfn.XLOOKUP($A$1,$2:$2,265:265)-_xlfn.XLOOKUP(EDATE($A$1,-12),$2:$2,265:265),"")</f>
        <v>0.1729971849643982</v>
      </c>
      <c r="CC265" s="169">
        <f t="shared" si="209"/>
        <v>-1.699178642516852E-2</v>
      </c>
      <c r="CD265" s="6221">
        <f>IFERROR(
  AVERAGE(
    _xlfn.XLOOKUP(DATE(YEAR($A$1),1,1),$2:$2,265:265):
    _xlfn.XLOOKUP($A$1,$2:$2,265:265)
  )
 -AVERAGE(
    _xlfn.XLOOKUP(DATE(YEAR($A$1)-1,1,1),$2:$2,265:265):
    _xlfn.XLOOKUP(EDATE($A$1,-12),$2:$2,265:265)
  ),"")</f>
        <v>0.17949849010944952</v>
      </c>
      <c r="CE265" s="4518">
        <f>IFERROR(
  _xlfn.XLOOKUP($A$1,$B$2:$BY$2,$B265:$BY265)
 -_xlfn.XLOOKUP(EDATE($A$1,-1),$B$2:$BY$2,$B265:$BY265),"")</f>
        <v>5.3335818196744711E-3</v>
      </c>
    </row>
    <row r="266" spans="1:86" ht="17.05" customHeight="1" x14ac:dyDescent="0.55000000000000004">
      <c r="A266" s="7195"/>
      <c r="B266" s="18"/>
      <c r="C266" s="299" t="s">
        <v>1016</v>
      </c>
      <c r="D266" s="223">
        <v>0.40579710144927539</v>
      </c>
      <c r="E266" s="224">
        <v>0.36904761904761907</v>
      </c>
      <c r="F266" s="224">
        <v>0.39902280130293161</v>
      </c>
      <c r="G266" s="224">
        <v>0.41397849462365593</v>
      </c>
      <c r="H266" s="224">
        <v>0.38554216867469882</v>
      </c>
      <c r="I266" s="224">
        <v>0.41505791505791506</v>
      </c>
      <c r="J266" s="224">
        <v>0.39374999999999999</v>
      </c>
      <c r="K266" s="224">
        <v>0.33816425120772947</v>
      </c>
      <c r="L266" s="224">
        <v>0.29916317991631797</v>
      </c>
      <c r="M266" s="224">
        <v>0.32043343653250772</v>
      </c>
      <c r="N266" s="224">
        <v>0.27932960893854747</v>
      </c>
      <c r="O266" s="224">
        <v>0.2414448669201521</v>
      </c>
      <c r="P266" s="224">
        <v>0.35425200720956906</v>
      </c>
      <c r="Q266" s="225">
        <v>0.35425200720956906</v>
      </c>
      <c r="S266" s="223">
        <v>0.3359840954274354</v>
      </c>
      <c r="T266" s="224">
        <v>0.28703703703703703</v>
      </c>
      <c r="U266" s="224">
        <v>0.279291553133515</v>
      </c>
      <c r="V266" s="224">
        <v>0.24413793103448275</v>
      </c>
      <c r="W266" s="224">
        <v>0.2397590361445783</v>
      </c>
      <c r="X266" s="224">
        <v>0.24094881398252185</v>
      </c>
      <c r="Y266" s="224">
        <v>0.24195804195804196</v>
      </c>
      <c r="Z266" s="224">
        <v>0.22416302765647744</v>
      </c>
      <c r="AA266" s="224">
        <v>0.32842415316642121</v>
      </c>
      <c r="AB266" s="224">
        <v>0.27925117004680189</v>
      </c>
      <c r="AC266" s="224">
        <v>0.23828647925033467</v>
      </c>
      <c r="AD266" s="224">
        <v>0.25498575498575499</v>
      </c>
      <c r="AE266" s="224">
        <v>0.26331431288635282</v>
      </c>
      <c r="AF266" s="225">
        <v>0.26331431288635282</v>
      </c>
      <c r="AH266" s="223">
        <v>0.16149870801033592</v>
      </c>
      <c r="AI266" s="224">
        <v>0.20224719101123595</v>
      </c>
      <c r="AJ266" s="224">
        <v>0.17808219178082191</v>
      </c>
      <c r="AK266" s="224">
        <v>0.19880418535127056</v>
      </c>
      <c r="AL266" s="316">
        <v>0.17777777777777778</v>
      </c>
      <c r="AM266" s="316">
        <v>0.14531754574811626</v>
      </c>
      <c r="AN266" s="387">
        <v>0.13706793802145412</v>
      </c>
      <c r="AO266" s="387">
        <v>0.18945868945868946</v>
      </c>
      <c r="AP266" s="409">
        <v>0.12712826333711691</v>
      </c>
      <c r="AQ266" s="421">
        <v>0.16246851385390429</v>
      </c>
      <c r="AR266" s="434">
        <v>0.16006884681583478</v>
      </c>
      <c r="AS266" s="434">
        <v>0.14051094890510948</v>
      </c>
      <c r="AT266" s="224">
        <v>0.1772879332799264</v>
      </c>
      <c r="AU266" s="225">
        <v>0.1772879332799264</v>
      </c>
      <c r="AW266" s="510">
        <v>0.18761384335154827</v>
      </c>
      <c r="AX266" s="224">
        <v>0.19311663479923519</v>
      </c>
      <c r="AY266" s="224">
        <v>0.14921465968586387</v>
      </c>
      <c r="AZ266" s="224">
        <v>0.14762516046213095</v>
      </c>
      <c r="BA266" s="224">
        <v>0.14755838641188959</v>
      </c>
      <c r="BB266" s="316">
        <v>0.10656753407682776</v>
      </c>
      <c r="BC266" s="387">
        <v>0.13731060606060605</v>
      </c>
      <c r="BD266" s="387">
        <v>0.19082125603864733</v>
      </c>
      <c r="BE266" s="409">
        <v>0.1984216459977452</v>
      </c>
      <c r="BF266" s="546">
        <v>0.26989619377162632</v>
      </c>
      <c r="BG266" s="387">
        <v>0.23819301848049279</v>
      </c>
      <c r="BH266" s="434">
        <v>0.34120734908136485</v>
      </c>
      <c r="BI266" s="224">
        <v>0.19229552401816483</v>
      </c>
      <c r="BJ266" s="224">
        <f t="shared" si="220"/>
        <v>0.19229552401816483</v>
      </c>
      <c r="BL266" s="510">
        <v>0.26781326781326781</v>
      </c>
      <c r="BM266" s="224">
        <v>0.28019323671497587</v>
      </c>
      <c r="BN266" s="224"/>
      <c r="BO266" s="224"/>
      <c r="BP266" s="224"/>
      <c r="BQ266" s="316"/>
      <c r="BR266" s="387"/>
      <c r="BS266" s="387"/>
      <c r="BT266" s="409"/>
      <c r="BU266" s="546"/>
      <c r="BV266" s="387"/>
      <c r="BW266" s="434"/>
      <c r="BX266" s="224">
        <f t="shared" si="225"/>
        <v>0.27400325226412181</v>
      </c>
      <c r="BY266" s="224">
        <f t="shared" si="217"/>
        <v>0.27400325226412181</v>
      </c>
      <c r="CA266" s="169">
        <f>ROW()</f>
        <v>266</v>
      </c>
      <c r="CB266" s="171">
        <f>IFERROR(_xlfn.XLOOKUP($A$1,$2:$2,266:266)-_xlfn.XLOOKUP(EDATE($A$1,-12),$2:$2,266:266),"")</f>
        <v>8.7076601915740681E-2</v>
      </c>
      <c r="CC266" s="169">
        <f t="shared" si="209"/>
        <v>1.500759073823843E-2</v>
      </c>
      <c r="CD266" s="6221">
        <f>IFERROR(
  AVERAGE(
    _xlfn.XLOOKUP(DATE(YEAR($A$1),1,1),$2:$2,266:266):
    _xlfn.XLOOKUP($A$1,$2:$2,266:266)
  )
 -AVERAGE(
    _xlfn.XLOOKUP(DATE(YEAR($A$1)-1,1,1),$2:$2,266:266):
    _xlfn.XLOOKUP(EDATE($A$1,-12),$2:$2,266:266)
  ),"")</f>
        <v>8.3638013188730098E-2</v>
      </c>
      <c r="CE266" s="4518">
        <f>IFERROR(
  _xlfn.XLOOKUP($A$1,$B$2:$BY$2,$B266:$BY266)
 -_xlfn.XLOOKUP(EDATE($A$1,-1),$B$2:$BY$2,$B266:$BY266),"")</f>
        <v>1.2379968901708061E-2</v>
      </c>
    </row>
    <row r="267" spans="1:86" ht="17.05" customHeight="1" x14ac:dyDescent="0.55000000000000004">
      <c r="A267" s="7195"/>
      <c r="B267" s="18"/>
      <c r="C267" s="299" t="s">
        <v>407</v>
      </c>
      <c r="D267" s="223">
        <v>0.11407160699417153</v>
      </c>
      <c r="E267" s="224">
        <v>9.6751412429378528E-2</v>
      </c>
      <c r="F267" s="224">
        <v>0.11225997045790251</v>
      </c>
      <c r="G267" s="224">
        <v>9.0106007067137811E-2</v>
      </c>
      <c r="H267" s="224">
        <v>8.0989876265466818E-2</v>
      </c>
      <c r="I267" s="224">
        <v>0.1060515278609946</v>
      </c>
      <c r="J267" s="224">
        <v>9.3004769475357713E-2</v>
      </c>
      <c r="K267" s="224">
        <v>0.10659560293137908</v>
      </c>
      <c r="L267" s="224">
        <v>0.10881652104845115</v>
      </c>
      <c r="M267" s="224">
        <v>0.10242214532871972</v>
      </c>
      <c r="N267" s="224">
        <v>6.7589576547231273E-2</v>
      </c>
      <c r="O267" s="224">
        <v>7.9501915708812265E-2</v>
      </c>
      <c r="P267" s="224">
        <v>9.6611477063675746E-2</v>
      </c>
      <c r="Q267" s="225">
        <v>9.6611477063675746E-2</v>
      </c>
      <c r="S267" s="223">
        <v>0.16543438077634012</v>
      </c>
      <c r="T267" s="224">
        <v>0.33799705449189987</v>
      </c>
      <c r="U267" s="224">
        <v>0.31768158473954511</v>
      </c>
      <c r="V267" s="224">
        <v>0.42740471869328495</v>
      </c>
      <c r="W267" s="224">
        <v>0.35873472322070454</v>
      </c>
      <c r="X267" s="224">
        <v>0.354978354978355</v>
      </c>
      <c r="Y267" s="224">
        <v>0.31130268199233718</v>
      </c>
      <c r="Z267" s="224">
        <v>0.33777481678880744</v>
      </c>
      <c r="AA267" s="224">
        <v>0.4</v>
      </c>
      <c r="AB267" s="224">
        <v>0.43551088777219432</v>
      </c>
      <c r="AC267" s="224">
        <v>0.49099099099099097</v>
      </c>
      <c r="AD267" s="224">
        <v>0.36435868331441545</v>
      </c>
      <c r="AE267" s="224">
        <v>0.35833160693322286</v>
      </c>
      <c r="AF267" s="225">
        <v>0.35833160693322286</v>
      </c>
      <c r="AH267" s="223">
        <v>0.26323529411764707</v>
      </c>
      <c r="AI267" s="224">
        <v>0.19415807560137457</v>
      </c>
      <c r="AJ267" s="224">
        <v>0.17510548523206751</v>
      </c>
      <c r="AK267" s="224">
        <v>0.16218293620292082</v>
      </c>
      <c r="AL267" s="316">
        <v>0.14958625079567156</v>
      </c>
      <c r="AM267" s="316">
        <v>0.14737550471063257</v>
      </c>
      <c r="AN267" s="387">
        <v>0.13729128014842301</v>
      </c>
      <c r="AO267" s="387">
        <v>0.1406539173349784</v>
      </c>
      <c r="AP267" s="409">
        <v>0.15982853643600733</v>
      </c>
      <c r="AQ267" s="421">
        <v>0.13473219215902815</v>
      </c>
      <c r="AR267" s="434">
        <v>0.13721185510428102</v>
      </c>
      <c r="AS267" s="434">
        <v>0.13414634146341464</v>
      </c>
      <c r="AT267" s="224">
        <v>0.18194059111005234</v>
      </c>
      <c r="AU267" s="225">
        <v>0.18194059111005234</v>
      </c>
      <c r="AW267" s="510">
        <v>0.16737935247403787</v>
      </c>
      <c r="AX267" s="224">
        <v>0.18648130393096837</v>
      </c>
      <c r="AY267" s="224">
        <v>0.18784530386740331</v>
      </c>
      <c r="AZ267" s="224">
        <v>0.19092827004219409</v>
      </c>
      <c r="BA267" s="224">
        <v>0.21379499862599616</v>
      </c>
      <c r="BB267" s="316">
        <v>0.28763812154696133</v>
      </c>
      <c r="BC267" s="387">
        <v>0.43092621664050235</v>
      </c>
      <c r="BD267" s="387">
        <v>0.54104477611940294</v>
      </c>
      <c r="BE267" s="409">
        <v>0.5440948942753997</v>
      </c>
      <c r="BF267" s="546">
        <v>0.50412314458493668</v>
      </c>
      <c r="BG267" s="387">
        <v>0.51712521055586758</v>
      </c>
      <c r="BH267" s="434">
        <v>0.53460889138998313</v>
      </c>
      <c r="BI267" s="224">
        <v>0.35883254033780448</v>
      </c>
      <c r="BJ267" s="224">
        <f t="shared" si="220"/>
        <v>0.35883254033780448</v>
      </c>
      <c r="BL267" s="510">
        <v>0.47744945567651625</v>
      </c>
      <c r="BM267" s="224">
        <v>0.5491071428571429</v>
      </c>
      <c r="BN267" s="224"/>
      <c r="BO267" s="224"/>
      <c r="BP267" s="224"/>
      <c r="BQ267" s="316"/>
      <c r="BR267" s="387"/>
      <c r="BS267" s="387"/>
      <c r="BT267" s="409"/>
      <c r="BU267" s="546"/>
      <c r="BV267" s="387"/>
      <c r="BW267" s="434"/>
      <c r="BX267" s="224">
        <f t="shared" si="225"/>
        <v>0.51327829926682955</v>
      </c>
      <c r="BY267" s="224">
        <f t="shared" si="217"/>
        <v>0.51327829926682955</v>
      </c>
      <c r="CA267" s="169">
        <f>ROW()</f>
        <v>267</v>
      </c>
      <c r="CB267" s="171">
        <f>IFERROR(_xlfn.XLOOKUP($A$1,$2:$2,267:267)-_xlfn.XLOOKUP(EDATE($A$1,-12),$2:$2,267:267),"")</f>
        <v>0.3626258389261745</v>
      </c>
      <c r="CC267" s="169">
        <f t="shared" si="209"/>
        <v>0.17689194922775214</v>
      </c>
      <c r="CD267" s="6221">
        <f>IFERROR(
  AVERAGE(
    _xlfn.XLOOKUP(DATE(YEAR($A$1),1,1),$2:$2,267:267):
    _xlfn.XLOOKUP($A$1,$2:$2,267:267)
  )
 -AVERAGE(
    _xlfn.XLOOKUP(DATE(YEAR($A$1)-1,1,1),$2:$2,267:267):
    _xlfn.XLOOKUP(EDATE($A$1,-12),$2:$2,267:267)
  ),"")</f>
        <v>0.33634797106432646</v>
      </c>
      <c r="CE267" s="4518">
        <f>IFERROR(
  _xlfn.XLOOKUP($A$1,$B$2:$BY$2,$B267:$BY267)
 -_xlfn.XLOOKUP(EDATE($A$1,-1),$B$2:$BY$2,$B267:$BY267),"")</f>
        <v>7.165768718062665E-2</v>
      </c>
    </row>
    <row r="268" spans="1:86" ht="17.05" customHeight="1" x14ac:dyDescent="0.55000000000000004">
      <c r="A268" s="7195"/>
      <c r="B268" s="18"/>
      <c r="C268" s="299" t="s">
        <v>875</v>
      </c>
      <c r="D268" s="223">
        <v>0.2</v>
      </c>
      <c r="E268" s="224">
        <v>0</v>
      </c>
      <c r="F268" s="224">
        <v>0</v>
      </c>
      <c r="G268" s="224">
        <v>0</v>
      </c>
      <c r="H268" s="224">
        <v>0</v>
      </c>
      <c r="I268" s="224">
        <v>0.5</v>
      </c>
      <c r="J268" s="224">
        <v>0.66666666666666663</v>
      </c>
      <c r="K268" s="224">
        <v>0.36363636363636365</v>
      </c>
      <c r="L268" s="224">
        <v>0.53246753246753242</v>
      </c>
      <c r="M268" s="224">
        <v>0.27868852459016391</v>
      </c>
      <c r="N268" s="224">
        <v>0.25</v>
      </c>
      <c r="O268" s="224">
        <v>0.22222222222222221</v>
      </c>
      <c r="P268" s="224">
        <v>0.3392857142857143</v>
      </c>
      <c r="Q268" s="225">
        <v>0.3392857142857143</v>
      </c>
      <c r="S268" s="223">
        <v>0.23076923076923078</v>
      </c>
      <c r="T268" s="224">
        <v>0.47058823529411764</v>
      </c>
      <c r="U268" s="224">
        <v>0.5</v>
      </c>
      <c r="V268" s="224">
        <v>0.6</v>
      </c>
      <c r="W268" s="224">
        <v>0.38461538461538464</v>
      </c>
      <c r="X268" s="224">
        <v>8.5714285714285715E-2</v>
      </c>
      <c r="Y268" s="224">
        <v>0.16666666666666666</v>
      </c>
      <c r="Z268" s="224">
        <v>0.30882352941176472</v>
      </c>
      <c r="AA268" s="224">
        <v>0.32786885245901637</v>
      </c>
      <c r="AB268" s="224">
        <v>0.14754098360655737</v>
      </c>
      <c r="AC268" s="224">
        <v>0.15079365079365079</v>
      </c>
      <c r="AD268" s="224">
        <v>0.27272727272727271</v>
      </c>
      <c r="AE268" s="224">
        <v>0.20735785953177258</v>
      </c>
      <c r="AF268" s="225">
        <v>0.20735785953177258</v>
      </c>
      <c r="AH268" s="223">
        <v>0.18181818181818182</v>
      </c>
      <c r="AI268" s="224">
        <v>0.2</v>
      </c>
      <c r="AJ268" s="224">
        <v>0.16</v>
      </c>
      <c r="AK268" s="224">
        <v>0.13750000000000001</v>
      </c>
      <c r="AL268" s="316">
        <v>0.12213740458015267</v>
      </c>
      <c r="AM268" s="316">
        <v>0.10204081632653061</v>
      </c>
      <c r="AN268" s="387">
        <v>0.2857142857142857</v>
      </c>
      <c r="AO268" s="387">
        <v>9.6153846153846159E-2</v>
      </c>
      <c r="AP268" s="409">
        <v>9.6774193548387094E-2</v>
      </c>
      <c r="AQ268" s="421">
        <v>0.16</v>
      </c>
      <c r="AR268" s="434">
        <v>0.11764705882352941</v>
      </c>
      <c r="AS268" s="434">
        <v>0.22916666666666666</v>
      </c>
      <c r="AT268" s="224">
        <v>0.15058273378747752</v>
      </c>
      <c r="AU268" s="225">
        <v>0.15058273378747752</v>
      </c>
      <c r="AW268" s="510">
        <v>0.22222222222222221</v>
      </c>
      <c r="AX268" s="224">
        <v>0.13636363636363635</v>
      </c>
      <c r="AY268" s="224">
        <v>0.1728395061728395</v>
      </c>
      <c r="AZ268" s="224">
        <v>0.16129032258064516</v>
      </c>
      <c r="BA268" s="224">
        <v>0.11897106109324759</v>
      </c>
      <c r="BB268" s="316">
        <v>0.1065989847715736</v>
      </c>
      <c r="BC268" s="387">
        <v>0.16382252559726962</v>
      </c>
      <c r="BD268" s="387">
        <v>0.2857142857142857</v>
      </c>
      <c r="BE268" s="409">
        <v>0.32450331125827814</v>
      </c>
      <c r="BF268" s="546">
        <v>0.39285714285714279</v>
      </c>
      <c r="BG268" s="387">
        <v>0.28275862068965518</v>
      </c>
      <c r="BH268" s="434">
        <v>0.19230769230769232</v>
      </c>
      <c r="BI268" s="224">
        <v>0.213354109302374</v>
      </c>
      <c r="BJ268" s="224">
        <f t="shared" si="220"/>
        <v>0.213354109302374</v>
      </c>
      <c r="BL268" s="510">
        <v>0.29530201342281881</v>
      </c>
      <c r="BM268" s="224">
        <v>0.28358208955223879</v>
      </c>
      <c r="BN268" s="224"/>
      <c r="BO268" s="224"/>
      <c r="BP268" s="224"/>
      <c r="BQ268" s="316"/>
      <c r="BR268" s="387"/>
      <c r="BS268" s="387"/>
      <c r="BT268" s="409"/>
      <c r="BU268" s="546"/>
      <c r="BV268" s="387"/>
      <c r="BW268" s="434"/>
      <c r="BX268" s="224">
        <f t="shared" si="225"/>
        <v>0.28944205148752877</v>
      </c>
      <c r="BY268" s="224">
        <f t="shared" si="217"/>
        <v>0.28944205148752877</v>
      </c>
      <c r="CA268" s="169">
        <f>ROW()</f>
        <v>268</v>
      </c>
      <c r="CB268" s="171">
        <f>IFERROR(_xlfn.XLOOKUP($A$1,$2:$2,268:268)-_xlfn.XLOOKUP(EDATE($A$1,-12),$2:$2,268:268),"")</f>
        <v>0.14721845318860244</v>
      </c>
      <c r="CC268" s="169">
        <f t="shared" si="209"/>
        <v>6.2771375514896477E-2</v>
      </c>
      <c r="CD268" s="6221">
        <f>IFERROR(
  AVERAGE(
    _xlfn.XLOOKUP(DATE(YEAR($A$1),1,1),$2:$2,268:268):
    _xlfn.XLOOKUP($A$1,$2:$2,268:268)
  )
 -AVERAGE(
    _xlfn.XLOOKUP(DATE(YEAR($A$1)-1,1,1),$2:$2,268:268):
    _xlfn.XLOOKUP(EDATE($A$1,-12),$2:$2,268:268)
  ),"")</f>
        <v>0.11014912219459949</v>
      </c>
      <c r="CE268" s="4518">
        <f>IFERROR(
  _xlfn.XLOOKUP($A$1,$B$2:$BY$2,$B268:$BY268)
 -_xlfn.XLOOKUP(EDATE($A$1,-1),$B$2:$BY$2,$B268:$BY268),"")</f>
        <v>-1.1719923870580018E-2</v>
      </c>
    </row>
    <row r="269" spans="1:86" ht="17.05" customHeight="1" x14ac:dyDescent="0.55000000000000004">
      <c r="A269" s="7195"/>
      <c r="B269" s="109" t="s">
        <v>432</v>
      </c>
      <c r="C269" s="110"/>
      <c r="D269" s="220">
        <v>0.56009373953799801</v>
      </c>
      <c r="E269" s="221">
        <v>0.619807244931871</v>
      </c>
      <c r="F269" s="221">
        <v>0.59766855702583488</v>
      </c>
      <c r="G269" s="221">
        <v>0.63361442279732483</v>
      </c>
      <c r="H269" s="221">
        <v>0.6392512762336926</v>
      </c>
      <c r="I269" s="221">
        <v>0.61309006660874599</v>
      </c>
      <c r="J269" s="221">
        <v>0.59700476514635803</v>
      </c>
      <c r="K269" s="221">
        <v>0.61087866108786615</v>
      </c>
      <c r="L269" s="221">
        <v>0.60184552289815452</v>
      </c>
      <c r="M269" s="221">
        <v>0.61411905474125039</v>
      </c>
      <c r="N269" s="221">
        <v>0.60689655172413792</v>
      </c>
      <c r="O269" s="221">
        <v>0.5934774364808495</v>
      </c>
      <c r="P269" s="221">
        <v>0.60835999259709705</v>
      </c>
      <c r="Q269" s="222">
        <v>0.60835999259709705</v>
      </c>
      <c r="S269" s="220">
        <v>0.56146291906535728</v>
      </c>
      <c r="T269" s="221">
        <v>0.51771871539313397</v>
      </c>
      <c r="U269" s="221">
        <v>0.51552967276760953</v>
      </c>
      <c r="V269" s="221">
        <v>0.50595947556615017</v>
      </c>
      <c r="W269" s="221">
        <v>0.54553096105351639</v>
      </c>
      <c r="X269" s="221">
        <v>0.52917033128114921</v>
      </c>
      <c r="Y269" s="221">
        <v>0.53475033738191635</v>
      </c>
      <c r="Z269" s="221">
        <v>0.53575076608784478</v>
      </c>
      <c r="AA269" s="221">
        <v>0.43076420640104507</v>
      </c>
      <c r="AB269" s="221">
        <v>0.42164179104477612</v>
      </c>
      <c r="AC269" s="221">
        <v>0.42930426418723949</v>
      </c>
      <c r="AD269" s="221">
        <v>0.46471734892787525</v>
      </c>
      <c r="AE269" s="221">
        <v>0.50130880073191186</v>
      </c>
      <c r="AF269" s="222">
        <v>0.50130880073191186</v>
      </c>
      <c r="AH269" s="220">
        <v>0.53075525564495196</v>
      </c>
      <c r="AI269" s="221">
        <v>0.56769825918762085</v>
      </c>
      <c r="AJ269" s="221">
        <v>0.58205804749340373</v>
      </c>
      <c r="AK269" s="221">
        <v>0.59756756756756757</v>
      </c>
      <c r="AL269" s="317">
        <v>0.61188811188811187</v>
      </c>
      <c r="AM269" s="317">
        <v>0.62244897959183676</v>
      </c>
      <c r="AN269" s="388">
        <v>0.61256665893809414</v>
      </c>
      <c r="AO269" s="388">
        <v>0.64272511222603645</v>
      </c>
      <c r="AP269" s="388">
        <v>0.58960096735187428</v>
      </c>
      <c r="AQ269" s="422">
        <v>0.63435374149659862</v>
      </c>
      <c r="AR269" s="435">
        <v>0.65349623082921759</v>
      </c>
      <c r="AS269" s="435">
        <v>0.68154269972451786</v>
      </c>
      <c r="AT269" s="221">
        <v>0.58540270356224877</v>
      </c>
      <c r="AU269" s="222">
        <v>0.58540270356224877</v>
      </c>
      <c r="AW269" s="511">
        <v>0.64806613522291112</v>
      </c>
      <c r="AX269" s="221">
        <v>0.63198179561439805</v>
      </c>
      <c r="AY269" s="221">
        <v>0.63788364635822259</v>
      </c>
      <c r="AZ269" s="221">
        <v>0.62567511425010391</v>
      </c>
      <c r="BA269" s="221">
        <v>0.66880916208951735</v>
      </c>
      <c r="BB269" s="317">
        <v>0.60821729413787173</v>
      </c>
      <c r="BC269" s="388">
        <v>0.46285714285714286</v>
      </c>
      <c r="BD269" s="388">
        <v>0.51904842628694126</v>
      </c>
      <c r="BE269" s="388">
        <v>0.39950166112956809</v>
      </c>
      <c r="BF269" s="547">
        <v>0.44468256094294134</v>
      </c>
      <c r="BG269" s="388">
        <v>0.43586244541484714</v>
      </c>
      <c r="BH269" s="435">
        <v>0.41804683038263851</v>
      </c>
      <c r="BI269" s="221">
        <v>0.54171935122392534</v>
      </c>
      <c r="BJ269" s="221">
        <f t="shared" si="220"/>
        <v>0.54171935122392534</v>
      </c>
      <c r="BL269" s="511"/>
      <c r="BM269" s="221"/>
      <c r="BN269" s="221"/>
      <c r="BO269" s="221"/>
      <c r="BP269" s="221"/>
      <c r="BQ269" s="317"/>
      <c r="BR269" s="388"/>
      <c r="BS269" s="388"/>
      <c r="BT269" s="388"/>
      <c r="BU269" s="547"/>
      <c r="BV269" s="388"/>
      <c r="BW269" s="435"/>
      <c r="BX269" s="221" t="e">
        <f t="shared" si="225"/>
        <v>#DIV/0!</v>
      </c>
      <c r="BY269" s="221" t="e">
        <f t="shared" si="217"/>
        <v>#DIV/0!</v>
      </c>
      <c r="CA269" s="169">
        <f>ROW()</f>
        <v>269</v>
      </c>
      <c r="CB269" s="171">
        <f>IFERROR(_xlfn.XLOOKUP($A$1,$2:$2,269:269)-_xlfn.XLOOKUP(EDATE($A$1,-12),$2:$2,269:269),"")</f>
        <v>-0.63198179561439805</v>
      </c>
      <c r="CC269" s="169">
        <f t="shared" si="209"/>
        <v>-4.3683352338323433E-2</v>
      </c>
      <c r="CD269" s="6221" t="str">
        <f>IFERROR(
  AVERAGE(
    _xlfn.XLOOKUP(DATE(YEAR($A$1),1,1),$2:$2,269:269):
    _xlfn.XLOOKUP($A$1,$2:$2,269:269)
  )
 -AVERAGE(
    _xlfn.XLOOKUP(DATE(YEAR($A$1)-1,1,1),$2:$2,269:269):
    _xlfn.XLOOKUP(EDATE($A$1,-12),$2:$2,269:269)
  ),"")</f>
        <v/>
      </c>
      <c r="CE269" s="4518">
        <f>IFERROR(
  _xlfn.XLOOKUP($A$1,$B$2:$BY$2,$B269:$BY269)
 -_xlfn.XLOOKUP(EDATE($A$1,-1),$B$2:$BY$2,$B269:$BY269),"")</f>
        <v>0</v>
      </c>
    </row>
    <row r="270" spans="1:86" ht="17.05" customHeight="1" x14ac:dyDescent="0.55000000000000004">
      <c r="A270" s="7195"/>
      <c r="B270" s="111"/>
      <c r="C270" s="116" t="s">
        <v>405</v>
      </c>
      <c r="D270" s="223">
        <v>0.34089246525237749</v>
      </c>
      <c r="E270" s="224">
        <v>0.35123614663256608</v>
      </c>
      <c r="F270" s="224">
        <v>0.36638655462184871</v>
      </c>
      <c r="G270" s="224">
        <v>0.34745762711864409</v>
      </c>
      <c r="H270" s="224">
        <v>0.32532051282051283</v>
      </c>
      <c r="I270" s="224">
        <v>0.32357594936708861</v>
      </c>
      <c r="J270" s="224">
        <v>0.3468354430379747</v>
      </c>
      <c r="K270" s="224">
        <v>0.33825701624815363</v>
      </c>
      <c r="L270" s="224">
        <v>0.35611510791366907</v>
      </c>
      <c r="M270" s="224">
        <v>0.32389380530973449</v>
      </c>
      <c r="N270" s="224">
        <v>0.34210526315789475</v>
      </c>
      <c r="O270" s="224">
        <v>0.31474480151228734</v>
      </c>
      <c r="P270" s="224">
        <v>0.33978034123091799</v>
      </c>
      <c r="Q270" s="225">
        <v>0.33978034123091799</v>
      </c>
      <c r="S270" s="223">
        <v>0.3837638376383764</v>
      </c>
      <c r="T270" s="224">
        <v>0.40717432347388294</v>
      </c>
      <c r="U270" s="224">
        <v>0.42038640906062624</v>
      </c>
      <c r="V270" s="224">
        <v>0.43766404199475067</v>
      </c>
      <c r="W270" s="224">
        <v>0.43220973782771538</v>
      </c>
      <c r="X270" s="224">
        <v>0.42310469314079424</v>
      </c>
      <c r="Y270" s="224">
        <v>0.39161462979482603</v>
      </c>
      <c r="Z270" s="224">
        <v>0.44216867469879517</v>
      </c>
      <c r="AA270" s="224">
        <v>0.2827788649706458</v>
      </c>
      <c r="AB270" s="224">
        <v>0.28752978554408259</v>
      </c>
      <c r="AC270" s="224">
        <v>0.272887323943662</v>
      </c>
      <c r="AD270" s="224">
        <v>0.2924819773429454</v>
      </c>
      <c r="AE270" s="224">
        <v>0.38125867070248454</v>
      </c>
      <c r="AF270" s="225">
        <v>0.38125867070248454</v>
      </c>
      <c r="AH270" s="223">
        <v>0.34718969555035128</v>
      </c>
      <c r="AI270" s="224">
        <v>0.40076628352490423</v>
      </c>
      <c r="AJ270" s="224">
        <v>0.41289522628642283</v>
      </c>
      <c r="AK270" s="224">
        <v>0.42787878787878786</v>
      </c>
      <c r="AL270" s="316">
        <v>0.4247787610619469</v>
      </c>
      <c r="AM270" s="316">
        <v>0.44349680170575695</v>
      </c>
      <c r="AN270" s="387">
        <v>0.44303097345132741</v>
      </c>
      <c r="AO270" s="387">
        <v>0.48581560283687941</v>
      </c>
      <c r="AP270" s="409">
        <v>0.44285714285714284</v>
      </c>
      <c r="AQ270" s="421">
        <v>0.46626180836707154</v>
      </c>
      <c r="AR270" s="434">
        <v>0.45880681818181818</v>
      </c>
      <c r="AS270" s="434">
        <v>0.49085365853658536</v>
      </c>
      <c r="AT270" s="224">
        <v>0.40950092600136173</v>
      </c>
      <c r="AU270" s="225">
        <v>0.40950092600136173</v>
      </c>
      <c r="AW270" s="510">
        <v>0.50085763293310459</v>
      </c>
      <c r="AX270" s="224">
        <v>0.50181818181818183</v>
      </c>
      <c r="AY270" s="224">
        <v>0.56619385342789597</v>
      </c>
      <c r="AZ270" s="224">
        <v>0.54210264075734926</v>
      </c>
      <c r="BA270" s="224">
        <v>0.61474958723170059</v>
      </c>
      <c r="BB270" s="316">
        <v>0.5108984582668793</v>
      </c>
      <c r="BC270" s="387">
        <v>0.33245975290153501</v>
      </c>
      <c r="BD270" s="387">
        <v>0.52782162588792425</v>
      </c>
      <c r="BE270" s="409">
        <v>0.31664853101196955</v>
      </c>
      <c r="BF270" s="546">
        <v>0.33116354759967453</v>
      </c>
      <c r="BG270" s="387">
        <v>0.33253205128205127</v>
      </c>
      <c r="BH270" s="434">
        <v>0.33943427620632277</v>
      </c>
      <c r="BI270" s="224">
        <v>0.45139001161038234</v>
      </c>
      <c r="BJ270" s="224">
        <f t="shared" si="220"/>
        <v>0.45139001161038234</v>
      </c>
      <c r="BL270" s="510"/>
      <c r="BM270" s="224"/>
      <c r="BN270" s="224"/>
      <c r="BO270" s="224"/>
      <c r="BP270" s="224"/>
      <c r="BQ270" s="316"/>
      <c r="BR270" s="387"/>
      <c r="BS270" s="387"/>
      <c r="BT270" s="409"/>
      <c r="BU270" s="546"/>
      <c r="BV270" s="387"/>
      <c r="BW270" s="434"/>
      <c r="BX270" s="224" t="e">
        <f t="shared" si="225"/>
        <v>#DIV/0!</v>
      </c>
      <c r="BY270" s="224" t="e">
        <f t="shared" si="217"/>
        <v>#DIV/0!</v>
      </c>
      <c r="CA270" s="169">
        <f>ROW()</f>
        <v>270</v>
      </c>
      <c r="CB270" s="171">
        <f>IFERROR(_xlfn.XLOOKUP($A$1,$2:$2,270:270)-_xlfn.XLOOKUP(EDATE($A$1,-12),$2:$2,270:270),"")</f>
        <v>-0.50181818181818183</v>
      </c>
      <c r="CC270" s="169">
        <f t="shared" si="209"/>
        <v>4.1889085609020604E-2</v>
      </c>
      <c r="CD270" s="6221" t="str">
        <f>IFERROR(
  AVERAGE(
    _xlfn.XLOOKUP(DATE(YEAR($A$1),1,1),$2:$2,270:270):
    _xlfn.XLOOKUP($A$1,$2:$2,270:270)
  )
 -AVERAGE(
    _xlfn.XLOOKUP(DATE(YEAR($A$1)-1,1,1),$2:$2,270:270):
    _xlfn.XLOOKUP(EDATE($A$1,-12),$2:$2,270:270)
  ),"")</f>
        <v/>
      </c>
      <c r="CE270" s="4518">
        <f>IFERROR(
  _xlfn.XLOOKUP($A$1,$B$2:$BY$2,$B270:$BY270)
 -_xlfn.XLOOKUP(EDATE($A$1,-1),$B$2:$BY$2,$B270:$BY270),"")</f>
        <v>0</v>
      </c>
    </row>
    <row r="271" spans="1:86" ht="17.05" customHeight="1" x14ac:dyDescent="0.55000000000000004">
      <c r="A271" s="7195"/>
      <c r="B271" s="111"/>
      <c r="C271" s="116" t="s">
        <v>1016</v>
      </c>
      <c r="D271" s="223">
        <v>0.43478260869565216</v>
      </c>
      <c r="E271" s="224">
        <v>0.49523809523809526</v>
      </c>
      <c r="F271" s="224">
        <v>0.42508143322475572</v>
      </c>
      <c r="G271" s="224">
        <v>0.44623655913978494</v>
      </c>
      <c r="H271" s="224">
        <v>0.45983935742971888</v>
      </c>
      <c r="I271" s="224">
        <v>0.4498069498069498</v>
      </c>
      <c r="J271" s="224">
        <v>0.43958333333333333</v>
      </c>
      <c r="K271" s="224">
        <v>0.5</v>
      </c>
      <c r="L271" s="224">
        <v>0.51673640167364021</v>
      </c>
      <c r="M271" s="224">
        <v>0.5356037151702786</v>
      </c>
      <c r="N271" s="224">
        <v>0.51582867783985098</v>
      </c>
      <c r="O271" s="224">
        <v>0.56653992395437258</v>
      </c>
      <c r="P271" s="224">
        <v>0.48271341962969033</v>
      </c>
      <c r="Q271" s="225">
        <v>0.48271341962969033</v>
      </c>
      <c r="S271" s="223">
        <v>0.51689860834990065</v>
      </c>
      <c r="T271" s="224">
        <v>0.55401234567901236</v>
      </c>
      <c r="U271" s="224">
        <v>0.52997275204359673</v>
      </c>
      <c r="V271" s="224">
        <v>0.59862068965517246</v>
      </c>
      <c r="W271" s="224">
        <v>0.61084337349397588</v>
      </c>
      <c r="X271" s="224">
        <v>0.56554307116104874</v>
      </c>
      <c r="Y271" s="224">
        <v>0.57482517482517481</v>
      </c>
      <c r="Z271" s="224">
        <v>0.58660844250363897</v>
      </c>
      <c r="AA271" s="224">
        <v>0.4889543446244477</v>
      </c>
      <c r="AB271" s="224">
        <v>0.46957878315132606</v>
      </c>
      <c r="AC271" s="224">
        <v>0.53547523427041499</v>
      </c>
      <c r="AD271" s="224">
        <v>0.53418803418803418</v>
      </c>
      <c r="AE271" s="224">
        <v>0.54969091773656686</v>
      </c>
      <c r="AF271" s="225">
        <v>0.54969091773656686</v>
      </c>
      <c r="AH271" s="223">
        <v>0.60981912144702843</v>
      </c>
      <c r="AI271" s="224">
        <v>0.5248796147672552</v>
      </c>
      <c r="AJ271" s="224">
        <v>0.53698630136986303</v>
      </c>
      <c r="AK271" s="224">
        <v>0.55904334828101643</v>
      </c>
      <c r="AL271" s="316">
        <v>0.53472222222222221</v>
      </c>
      <c r="AM271" s="316">
        <v>0.54144241119483316</v>
      </c>
      <c r="AN271" s="387">
        <v>0.52800953516090587</v>
      </c>
      <c r="AO271" s="387">
        <v>0.5213675213675214</v>
      </c>
      <c r="AP271" s="409">
        <v>0.40522133938706018</v>
      </c>
      <c r="AQ271" s="421">
        <v>0.43324937027707811</v>
      </c>
      <c r="AR271" s="434">
        <v>0.4974182444061962</v>
      </c>
      <c r="AS271" s="434">
        <v>0.58211678832116787</v>
      </c>
      <c r="AT271" s="224">
        <v>0.55114883654703639</v>
      </c>
      <c r="AU271" s="225">
        <v>0.55114883654703639</v>
      </c>
      <c r="AW271" s="510">
        <v>0.42987249544626593</v>
      </c>
      <c r="AX271" s="224">
        <v>0.47418738049713194</v>
      </c>
      <c r="AY271" s="224">
        <v>0.40052356020942409</v>
      </c>
      <c r="AZ271" s="224">
        <v>0.40564826700898587</v>
      </c>
      <c r="BA271" s="224">
        <v>0.40870488322717624</v>
      </c>
      <c r="BB271" s="316">
        <v>0.41263940520446096</v>
      </c>
      <c r="BC271" s="387">
        <v>0.42992424242424243</v>
      </c>
      <c r="BD271" s="387">
        <v>0.5</v>
      </c>
      <c r="BE271" s="409">
        <v>0.42662116040955633</v>
      </c>
      <c r="BF271" s="546">
        <v>0.5149911816578483</v>
      </c>
      <c r="BG271" s="387">
        <v>0.5125523012552301</v>
      </c>
      <c r="BH271" s="434">
        <v>0.40157480314960631</v>
      </c>
      <c r="BI271" s="224">
        <v>0.44310330670749409</v>
      </c>
      <c r="BJ271" s="224">
        <f t="shared" si="220"/>
        <v>0.44310330670749409</v>
      </c>
      <c r="BL271" s="510"/>
      <c r="BM271" s="224"/>
      <c r="BN271" s="224"/>
      <c r="BO271" s="224"/>
      <c r="BP271" s="224"/>
      <c r="BQ271" s="316"/>
      <c r="BR271" s="387"/>
      <c r="BS271" s="387"/>
      <c r="BT271" s="409"/>
      <c r="BU271" s="546"/>
      <c r="BV271" s="387"/>
      <c r="BW271" s="434"/>
      <c r="BX271" s="224" t="e">
        <f t="shared" si="225"/>
        <v>#DIV/0!</v>
      </c>
      <c r="BY271" s="224" t="e">
        <f t="shared" si="217"/>
        <v>#DIV/0!</v>
      </c>
      <c r="CA271" s="169">
        <f>ROW()</f>
        <v>271</v>
      </c>
      <c r="CB271" s="171">
        <f>IFERROR(_xlfn.XLOOKUP($A$1,$2:$2,271:271)-_xlfn.XLOOKUP(EDATE($A$1,-12),$2:$2,271:271),"")</f>
        <v>-0.47418738049713194</v>
      </c>
      <c r="CC271" s="169">
        <f t="shared" si="209"/>
        <v>-0.1080455298395423</v>
      </c>
      <c r="CD271" s="6221" t="str">
        <f>IFERROR(
  AVERAGE(
    _xlfn.XLOOKUP(DATE(YEAR($A$1),1,1),$2:$2,271:271):
    _xlfn.XLOOKUP($A$1,$2:$2,271:271)
  )
 -AVERAGE(
    _xlfn.XLOOKUP(DATE(YEAR($A$1)-1,1,1),$2:$2,271:271):
    _xlfn.XLOOKUP(EDATE($A$1,-12),$2:$2,271:271)
  ),"")</f>
        <v/>
      </c>
      <c r="CE271" s="4518">
        <f>IFERROR(
  _xlfn.XLOOKUP($A$1,$B$2:$BY$2,$B271:$BY271)
 -_xlfn.XLOOKUP(EDATE($A$1,-1),$B$2:$BY$2,$B271:$BY271),"")</f>
        <v>0</v>
      </c>
    </row>
    <row r="272" spans="1:86" ht="17.05" customHeight="1" x14ac:dyDescent="0.55000000000000004">
      <c r="A272" s="7195"/>
      <c r="B272" s="111"/>
      <c r="C272" s="116" t="s">
        <v>407</v>
      </c>
      <c r="D272" s="223">
        <v>0.8517901748542881</v>
      </c>
      <c r="E272" s="224">
        <v>0.87923728813559321</v>
      </c>
      <c r="F272" s="224">
        <v>0.8751846381093058</v>
      </c>
      <c r="G272" s="224">
        <v>0.89340400471142523</v>
      </c>
      <c r="H272" s="224">
        <v>0.90944881889763785</v>
      </c>
      <c r="I272" s="224">
        <v>0.88316357100059917</v>
      </c>
      <c r="J272" s="224">
        <v>0.89586645468998405</v>
      </c>
      <c r="K272" s="224">
        <v>0.88740839440373087</v>
      </c>
      <c r="L272" s="224">
        <v>0.86497220015885623</v>
      </c>
      <c r="M272" s="224">
        <v>0.87266435986159174</v>
      </c>
      <c r="N272" s="224">
        <v>0.90635179153094458</v>
      </c>
      <c r="O272" s="224">
        <v>0.88888888888888884</v>
      </c>
      <c r="P272" s="224">
        <v>0.88487330128775743</v>
      </c>
      <c r="Q272" s="225">
        <v>0.88487330128775743</v>
      </c>
      <c r="S272" s="223">
        <v>0.80314232902033267</v>
      </c>
      <c r="T272" s="224">
        <v>0.6296023564064801</v>
      </c>
      <c r="U272" s="224">
        <v>0.61261922230374177</v>
      </c>
      <c r="V272" s="224">
        <v>0.53992740471869327</v>
      </c>
      <c r="W272" s="224">
        <v>0.61466570812365207</v>
      </c>
      <c r="X272" s="224">
        <v>0.61385281385281387</v>
      </c>
      <c r="Y272" s="224">
        <v>0.66570881226053635</v>
      </c>
      <c r="Z272" s="224">
        <v>0.61425716189207191</v>
      </c>
      <c r="AA272" s="224">
        <v>0.5115384615384615</v>
      </c>
      <c r="AB272" s="224">
        <v>0.5368509212730318</v>
      </c>
      <c r="AC272" s="224">
        <v>0.4756756756756757</v>
      </c>
      <c r="AD272" s="224">
        <v>0.59704880817253125</v>
      </c>
      <c r="AE272" s="224">
        <v>0.60044195842828529</v>
      </c>
      <c r="AF272" s="225">
        <v>0.60044195842828529</v>
      </c>
      <c r="AH272" s="223">
        <v>0.71397058823529413</v>
      </c>
      <c r="AI272" s="224">
        <v>0.77577319587628868</v>
      </c>
      <c r="AJ272" s="224">
        <v>0.7939521800281294</v>
      </c>
      <c r="AK272" s="224">
        <v>0.8186010760953113</v>
      </c>
      <c r="AL272" s="316">
        <v>0.81540420114576706</v>
      </c>
      <c r="AM272" s="316">
        <v>0.82503364737550466</v>
      </c>
      <c r="AN272" s="387">
        <v>0.84353741496598644</v>
      </c>
      <c r="AO272" s="387">
        <v>0.82356570018507091</v>
      </c>
      <c r="AP272" s="409">
        <v>0.80955296999387627</v>
      </c>
      <c r="AQ272" s="421">
        <v>0.85643290999447819</v>
      </c>
      <c r="AR272" s="434">
        <v>0.85016465422612508</v>
      </c>
      <c r="AS272" s="434">
        <v>0.85830429732868763</v>
      </c>
      <c r="AT272" s="224">
        <v>0.79045581479271598</v>
      </c>
      <c r="AU272" s="225">
        <v>0.79045581479271598</v>
      </c>
      <c r="AW272" s="510">
        <v>0.82712278558338426</v>
      </c>
      <c r="AX272" s="224">
        <v>0.80728667305848512</v>
      </c>
      <c r="AY272" s="224">
        <v>0.8071823204419889</v>
      </c>
      <c r="AZ272" s="224">
        <v>0.80432489451476796</v>
      </c>
      <c r="BA272" s="224">
        <v>0.78208298983237157</v>
      </c>
      <c r="BB272" s="316">
        <v>0.71132596685082872</v>
      </c>
      <c r="BC272" s="387">
        <v>0.56593406593406592</v>
      </c>
      <c r="BD272" s="387">
        <v>0.65432349949135304</v>
      </c>
      <c r="BE272" s="409">
        <v>0.45281072717895821</v>
      </c>
      <c r="BF272" s="546">
        <v>0.49367784496976358</v>
      </c>
      <c r="BG272" s="387">
        <v>0.48006737787759685</v>
      </c>
      <c r="BH272" s="434">
        <v>0.46314012380416431</v>
      </c>
      <c r="BI272" s="224">
        <v>0.65410660579481061</v>
      </c>
      <c r="BJ272" s="224">
        <f t="shared" si="220"/>
        <v>0.65410660579481061</v>
      </c>
      <c r="BL272" s="510"/>
      <c r="BM272" s="224"/>
      <c r="BN272" s="224"/>
      <c r="BO272" s="224"/>
      <c r="BP272" s="224"/>
      <c r="BQ272" s="316"/>
      <c r="BR272" s="387"/>
      <c r="BS272" s="387"/>
      <c r="BT272" s="409"/>
      <c r="BU272" s="546"/>
      <c r="BV272" s="387"/>
      <c r="BW272" s="434"/>
      <c r="BX272" s="224" t="e">
        <f t="shared" si="225"/>
        <v>#DIV/0!</v>
      </c>
      <c r="BY272" s="224" t="e">
        <f t="shared" si="217"/>
        <v>#DIV/0!</v>
      </c>
      <c r="CA272" s="169">
        <f>ROW()</f>
        <v>272</v>
      </c>
      <c r="CB272" s="171">
        <f>IFERROR(_xlfn.XLOOKUP($A$1,$2:$2,272:272)-_xlfn.XLOOKUP(EDATE($A$1,-12),$2:$2,272:272),"")</f>
        <v>-0.80728667305848512</v>
      </c>
      <c r="CC272" s="169">
        <f t="shared" si="209"/>
        <v>-0.13634920899790537</v>
      </c>
      <c r="CD272" s="6221" t="str">
        <f>IFERROR(
  AVERAGE(
    _xlfn.XLOOKUP(DATE(YEAR($A$1),1,1),$2:$2,272:272):
    _xlfn.XLOOKUP($A$1,$2:$2,272:272)
  )
 -AVERAGE(
    _xlfn.XLOOKUP(DATE(YEAR($A$1)-1,1,1),$2:$2,272:272):
    _xlfn.XLOOKUP(EDATE($A$1,-12),$2:$2,272:272)
  ),"")</f>
        <v/>
      </c>
      <c r="CE272" s="4518">
        <f>IFERROR(
  _xlfn.XLOOKUP($A$1,$B$2:$BY$2,$B272:$BY272)
 -_xlfn.XLOOKUP(EDATE($A$1,-1),$B$2:$BY$2,$B272:$BY272),"")</f>
        <v>0</v>
      </c>
    </row>
    <row r="273" spans="1:83" ht="17.5" customHeight="1" thickBot="1" x14ac:dyDescent="0.6">
      <c r="A273" s="7196"/>
      <c r="B273" s="113"/>
      <c r="C273" s="117" t="s">
        <v>875</v>
      </c>
      <c r="D273" s="226">
        <v>0.8</v>
      </c>
      <c r="E273" s="227">
        <v>0</v>
      </c>
      <c r="F273" s="227">
        <v>0.9375</v>
      </c>
      <c r="G273" s="227">
        <v>1</v>
      </c>
      <c r="H273" s="227">
        <v>1</v>
      </c>
      <c r="I273" s="227">
        <v>0.5</v>
      </c>
      <c r="J273" s="227">
        <v>0.33333333333333331</v>
      </c>
      <c r="K273" s="227">
        <v>0.61038961038961037</v>
      </c>
      <c r="L273" s="227">
        <v>0.37662337662337664</v>
      </c>
      <c r="M273" s="227">
        <v>0.65573770491803274</v>
      </c>
      <c r="N273" s="227">
        <v>0.65625</v>
      </c>
      <c r="O273" s="227">
        <v>0.66666666666666663</v>
      </c>
      <c r="P273" s="227">
        <v>0.59693877551020413</v>
      </c>
      <c r="Q273" s="228">
        <v>0.59693877551020413</v>
      </c>
      <c r="S273" s="226">
        <v>0.69230769230769229</v>
      </c>
      <c r="T273" s="227">
        <v>0.52941176470588236</v>
      </c>
      <c r="U273" s="227">
        <v>0.5</v>
      </c>
      <c r="V273" s="227">
        <v>0.4</v>
      </c>
      <c r="W273" s="227">
        <v>0.61538461538461542</v>
      </c>
      <c r="X273" s="227">
        <v>0.81428571428571428</v>
      </c>
      <c r="Y273" s="227">
        <v>0.47619047619047616</v>
      </c>
      <c r="Z273" s="227">
        <v>0.57352941176470584</v>
      </c>
      <c r="AA273" s="227">
        <v>0.54098360655737709</v>
      </c>
      <c r="AB273" s="227">
        <v>0.42622950819672129</v>
      </c>
      <c r="AC273" s="227">
        <v>0.80158730158730163</v>
      </c>
      <c r="AD273" s="227">
        <v>0.63636363636363635</v>
      </c>
      <c r="AE273" s="227">
        <v>0.60367892976588633</v>
      </c>
      <c r="AF273" s="228">
        <v>0.60367892976588633</v>
      </c>
      <c r="AH273" s="226">
        <v>0.81818181818181823</v>
      </c>
      <c r="AI273" s="227">
        <v>0.8</v>
      </c>
      <c r="AJ273" s="227">
        <v>0.76</v>
      </c>
      <c r="AK273" s="227">
        <v>0.82499999999999996</v>
      </c>
      <c r="AL273" s="318">
        <v>0.85496183206106868</v>
      </c>
      <c r="AM273" s="318">
        <v>0.88775510204081631</v>
      </c>
      <c r="AN273" s="389">
        <v>0.69387755102040816</v>
      </c>
      <c r="AO273" s="389">
        <v>0.88461538461538458</v>
      </c>
      <c r="AP273" s="389">
        <v>0.87096774193548387</v>
      </c>
      <c r="AQ273" s="423">
        <v>0.84</v>
      </c>
      <c r="AR273" s="436">
        <v>0.8529411764705882</v>
      </c>
      <c r="AS273" s="436">
        <v>0.6875</v>
      </c>
      <c r="AT273" s="227">
        <v>0.82431645871395043</v>
      </c>
      <c r="AU273" s="228">
        <v>0.82431645871395043</v>
      </c>
      <c r="AW273" s="512">
        <v>0.51851851851851849</v>
      </c>
      <c r="AX273" s="227">
        <v>0.72727272727272729</v>
      </c>
      <c r="AY273" s="227">
        <v>0.51851851851851849</v>
      </c>
      <c r="AZ273" s="227">
        <v>0.62903225806451613</v>
      </c>
      <c r="BA273" s="227">
        <v>0.73311897106109325</v>
      </c>
      <c r="BB273" s="318">
        <v>0.75634517766497467</v>
      </c>
      <c r="BC273" s="389">
        <v>0.7303754266211604</v>
      </c>
      <c r="BD273" s="389">
        <v>0.59756097560975607</v>
      </c>
      <c r="BE273" s="389">
        <v>0.54304635761589404</v>
      </c>
      <c r="BF273" s="548">
        <v>0.5089285714285714</v>
      </c>
      <c r="BG273" s="389">
        <v>0.52413793103448281</v>
      </c>
      <c r="BH273" s="436">
        <v>0.55384615384615388</v>
      </c>
      <c r="BI273" s="227">
        <v>0.61172513227136383</v>
      </c>
      <c r="BJ273" s="227">
        <f t="shared" si="220"/>
        <v>0.61172513227136383</v>
      </c>
      <c r="BL273" s="512"/>
      <c r="BM273" s="227"/>
      <c r="BN273" s="227"/>
      <c r="BO273" s="227"/>
      <c r="BP273" s="227"/>
      <c r="BQ273" s="318"/>
      <c r="BR273" s="389"/>
      <c r="BS273" s="389"/>
      <c r="BT273" s="389"/>
      <c r="BU273" s="548"/>
      <c r="BV273" s="389"/>
      <c r="BW273" s="436"/>
      <c r="BX273" s="227" t="e">
        <f t="shared" si="225"/>
        <v>#DIV/0!</v>
      </c>
      <c r="BY273" s="227" t="e">
        <f t="shared" si="217"/>
        <v>#DIV/0!</v>
      </c>
      <c r="CA273" s="169">
        <f>ROW()</f>
        <v>273</v>
      </c>
      <c r="CB273" s="171">
        <f>IFERROR(_xlfn.XLOOKUP($A$1,$2:$2,273:273)-_xlfn.XLOOKUP(EDATE($A$1,-12),$2:$2,273:273),"")</f>
        <v>-0.72727272727272729</v>
      </c>
      <c r="CC273" s="169">
        <f t="shared" si="209"/>
        <v>-0.2125913264425866</v>
      </c>
      <c r="CD273" s="6221" t="str">
        <f>IFERROR(
  AVERAGE(
    _xlfn.XLOOKUP(DATE(YEAR($A$1),1,1),$2:$2,273:273):
    _xlfn.XLOOKUP($A$1,$2:$2,273:273)
  )
 -AVERAGE(
    _xlfn.XLOOKUP(DATE(YEAR($A$1)-1,1,1),$2:$2,273:273):
    _xlfn.XLOOKUP(EDATE($A$1,-12),$2:$2,273:273)
  ),"")</f>
        <v/>
      </c>
      <c r="CE273" s="4518">
        <f>IFERROR(
  _xlfn.XLOOKUP($A$1,$B$2:$BY$2,$B273:$BY273)
 -_xlfn.XLOOKUP(EDATE($A$1,-1),$B$2:$BY$2,$B273:$BY273),"")</f>
        <v>0</v>
      </c>
    </row>
    <row r="274" spans="1:83" ht="17.399999999999999" customHeight="1" x14ac:dyDescent="0.55000000000000004">
      <c r="A274" s="7197" t="s">
        <v>434</v>
      </c>
      <c r="B274" s="14" t="s">
        <v>435</v>
      </c>
      <c r="C274" s="71"/>
      <c r="D274" s="214">
        <v>0.87623762376237624</v>
      </c>
      <c r="E274" s="215">
        <v>0.90012229922543829</v>
      </c>
      <c r="F274" s="215">
        <v>0.89154704944178631</v>
      </c>
      <c r="G274" s="215">
        <v>0.9220411055988661</v>
      </c>
      <c r="H274" s="215">
        <v>0.92804551539491298</v>
      </c>
      <c r="I274" s="215">
        <v>0.93961352657004826</v>
      </c>
      <c r="J274" s="215">
        <v>0.9286016054076891</v>
      </c>
      <c r="K274" s="215">
        <v>0.92770655270655267</v>
      </c>
      <c r="L274" s="215">
        <v>0.91546762589928055</v>
      </c>
      <c r="M274" s="215">
        <v>0.92484177215189878</v>
      </c>
      <c r="N274" s="215">
        <v>0.90592188156236875</v>
      </c>
      <c r="O274" s="215">
        <v>0.90558576371725164</v>
      </c>
      <c r="P274" s="215">
        <v>0.91480410202471729</v>
      </c>
      <c r="Q274" s="216">
        <v>0.91480410202471729</v>
      </c>
      <c r="S274" s="214">
        <v>0.93770903010033446</v>
      </c>
      <c r="T274" s="215">
        <v>0.94747973211138525</v>
      </c>
      <c r="U274" s="215">
        <v>0.93776411832500961</v>
      </c>
      <c r="V274" s="215">
        <v>0.93764523625096829</v>
      </c>
      <c r="W274" s="215">
        <v>0.92573716781943938</v>
      </c>
      <c r="X274" s="215">
        <v>0.90602975724353951</v>
      </c>
      <c r="Y274" s="215">
        <v>0.9101225601452565</v>
      </c>
      <c r="Z274" s="215">
        <v>0.9440767703507611</v>
      </c>
      <c r="AA274" s="215">
        <v>0.91260744985673348</v>
      </c>
      <c r="AB274" s="215">
        <v>0.91737781225756398</v>
      </c>
      <c r="AC274" s="215">
        <v>0.93176972281449888</v>
      </c>
      <c r="AD274" s="215">
        <v>0.92270005443658143</v>
      </c>
      <c r="AE274" s="215">
        <v>0.92850909579109886</v>
      </c>
      <c r="AF274" s="216">
        <v>0.92850909579109886</v>
      </c>
      <c r="AH274" s="214">
        <v>0.92466915507295555</v>
      </c>
      <c r="AI274" s="215">
        <v>0.91547464239271781</v>
      </c>
      <c r="AJ274" s="215">
        <v>0.90902704601334738</v>
      </c>
      <c r="AK274" s="215">
        <v>0.90855148342059333</v>
      </c>
      <c r="AL274" s="319">
        <v>0.89609151572926593</v>
      </c>
      <c r="AM274" s="319">
        <v>0.85945945945945945</v>
      </c>
      <c r="AN274" s="402">
        <v>0.89707568807339455</v>
      </c>
      <c r="AO274" s="402">
        <v>0.79056047197640122</v>
      </c>
      <c r="AP274" s="410">
        <v>0.85718626557277422</v>
      </c>
      <c r="AQ274" s="410">
        <v>0.88836524300441821</v>
      </c>
      <c r="AR274" s="437">
        <v>0.90410548396763557</v>
      </c>
      <c r="AS274" s="437">
        <v>0.92005285761480016</v>
      </c>
      <c r="AT274" s="215">
        <v>0.9015404439758683</v>
      </c>
      <c r="AU274" s="216">
        <v>0.9015404439758683</v>
      </c>
      <c r="AW274" s="513">
        <v>0.91246873883529833</v>
      </c>
      <c r="AX274" s="215">
        <v>0.94342762063227958</v>
      </c>
      <c r="AY274" s="215">
        <v>0.89565465980560321</v>
      </c>
      <c r="AZ274" s="215">
        <v>0.88815117466802862</v>
      </c>
      <c r="BA274" s="215">
        <v>0.90816885964912286</v>
      </c>
      <c r="BB274" s="319">
        <v>0.9151452282157676</v>
      </c>
      <c r="BC274" s="402">
        <v>0.89231582657737041</v>
      </c>
      <c r="BD274" s="402">
        <v>0.91305555555555551</v>
      </c>
      <c r="BE274" s="410">
        <v>0.90224980605120242</v>
      </c>
      <c r="BF274" s="310">
        <v>0.93520661157024798</v>
      </c>
      <c r="BG274" s="402">
        <v>0.9449915110356536</v>
      </c>
      <c r="BH274" s="437">
        <v>0.93940455341506135</v>
      </c>
      <c r="BI274" s="215">
        <v>0.91585334550093256</v>
      </c>
      <c r="BJ274" s="215">
        <f t="shared" si="220"/>
        <v>0.91585334550093256</v>
      </c>
      <c r="BL274" s="513">
        <v>0.94070796460176986</v>
      </c>
      <c r="BM274" s="215">
        <v>0.92448027153160794</v>
      </c>
      <c r="BN274" s="215"/>
      <c r="BO274" s="215"/>
      <c r="BP274" s="215"/>
      <c r="BQ274" s="319"/>
      <c r="BR274" s="402"/>
      <c r="BS274" s="402"/>
      <c r="BT274" s="410"/>
      <c r="BU274" s="310"/>
      <c r="BV274" s="402"/>
      <c r="BW274" s="437"/>
      <c r="BX274" s="215">
        <f t="shared" si="225"/>
        <v>0.9325941180666889</v>
      </c>
      <c r="BY274" s="215">
        <f t="shared" si="217"/>
        <v>0.9325941180666889</v>
      </c>
      <c r="CA274" s="169">
        <f>ROW()</f>
        <v>274</v>
      </c>
      <c r="CB274" s="171">
        <f>IFERROR(_xlfn.XLOOKUP($A$1,$2:$2,274:274)-_xlfn.XLOOKUP(EDATE($A$1,-12),$2:$2,274:274),"")</f>
        <v>-1.894734910067164E-2</v>
      </c>
      <c r="CC274" s="169">
        <f t="shared" si="209"/>
        <v>1.4312901525064259E-2</v>
      </c>
      <c r="CD274" s="6221">
        <f>IFERROR(
  AVERAGE(
    _xlfn.XLOOKUP(DATE(YEAR($A$1),1,1),$2:$2,274:274):
    _xlfn.XLOOKUP($A$1,$2:$2,274:274)
  )
 -AVERAGE(
    _xlfn.XLOOKUP(DATE(YEAR($A$1)-1,1,1),$2:$2,274:274):
    _xlfn.XLOOKUP(EDATE($A$1,-12),$2:$2,274:274)
  ),"")</f>
        <v>4.645938332899946E-3</v>
      </c>
      <c r="CE274" s="4518">
        <f>IFERROR(
  _xlfn.XLOOKUP($A$1,$B$2:$BY$2,$B274:$BY274)
 -_xlfn.XLOOKUP(EDATE($A$1,-1),$B$2:$BY$2,$B274:$BY274),"")</f>
        <v>-1.6227693070161919E-2</v>
      </c>
    </row>
    <row r="275" spans="1:83" ht="17.399999999999999" customHeight="1" x14ac:dyDescent="0.55000000000000004">
      <c r="A275" s="7198"/>
      <c r="B275" s="15"/>
      <c r="C275" s="72" t="s">
        <v>19</v>
      </c>
      <c r="D275" s="217">
        <v>0.94552169898430283</v>
      </c>
      <c r="E275" s="218">
        <v>0.94237288135593222</v>
      </c>
      <c r="F275" s="218">
        <v>0.93440736478711162</v>
      </c>
      <c r="G275" s="218">
        <v>0.95314285714285718</v>
      </c>
      <c r="H275" s="218">
        <v>0.94455445544554451</v>
      </c>
      <c r="I275" s="218">
        <v>0.953307392996109</v>
      </c>
      <c r="J275" s="218">
        <v>0.93763213530655387</v>
      </c>
      <c r="K275" s="218">
        <v>0.95009074410163341</v>
      </c>
      <c r="L275" s="218">
        <v>0.93301997649823731</v>
      </c>
      <c r="M275" s="218">
        <v>0.94456521739130439</v>
      </c>
      <c r="N275" s="218">
        <v>0.93103448275862066</v>
      </c>
      <c r="O275" s="218">
        <v>0.93066980023501766</v>
      </c>
      <c r="P275" s="218">
        <v>0.94204804488865512</v>
      </c>
      <c r="Q275" s="219">
        <v>0.94204804488865512</v>
      </c>
      <c r="S275" s="217">
        <v>0.96014171833480955</v>
      </c>
      <c r="T275" s="218">
        <v>0.96666666666666667</v>
      </c>
      <c r="U275" s="218">
        <v>0.96331058020477811</v>
      </c>
      <c r="V275" s="218">
        <v>0.96181384248210022</v>
      </c>
      <c r="W275" s="218">
        <v>0.96645512239347231</v>
      </c>
      <c r="X275" s="218">
        <v>0.9715857011915674</v>
      </c>
      <c r="Y275" s="218">
        <v>0.95459459459459461</v>
      </c>
      <c r="Z275" s="218">
        <v>0.96785464709993008</v>
      </c>
      <c r="AA275" s="218">
        <v>0.94117647058823528</v>
      </c>
      <c r="AB275" s="218">
        <v>0.96343692870201092</v>
      </c>
      <c r="AC275" s="218">
        <v>0.95731056563500538</v>
      </c>
      <c r="AD275" s="218">
        <v>0.95880149812734083</v>
      </c>
      <c r="AE275" s="218">
        <v>0.96199143468950754</v>
      </c>
      <c r="AF275" s="219">
        <v>0.96199143468950754</v>
      </c>
      <c r="AH275" s="217">
        <v>0.9674515235457064</v>
      </c>
      <c r="AI275" s="218">
        <v>0.93930635838150289</v>
      </c>
      <c r="AJ275" s="218">
        <v>0.9563886763580719</v>
      </c>
      <c r="AK275" s="218">
        <v>0.9420821114369502</v>
      </c>
      <c r="AL275" s="313">
        <v>0.9517241379310345</v>
      </c>
      <c r="AM275" s="313">
        <v>0.94459338695263628</v>
      </c>
      <c r="AN275" s="403">
        <v>0.96185632549268918</v>
      </c>
      <c r="AO275" s="403">
        <v>0.94781864841745078</v>
      </c>
      <c r="AP275" s="408">
        <v>0.96094946401225112</v>
      </c>
      <c r="AQ275" s="408">
        <v>0.95077932731747339</v>
      </c>
      <c r="AR275" s="438">
        <v>0.97335553705245625</v>
      </c>
      <c r="AS275" s="438">
        <v>0.96388888888888891</v>
      </c>
      <c r="AT275" s="218">
        <v>0.95103603009106508</v>
      </c>
      <c r="AU275" s="219">
        <v>0.95103603009106508</v>
      </c>
      <c r="AW275" s="507">
        <v>0.96673819742489275</v>
      </c>
      <c r="AX275" s="218">
        <v>0.98139534883720925</v>
      </c>
      <c r="AY275" s="218">
        <v>0.95213549337260672</v>
      </c>
      <c r="AZ275" s="218">
        <v>0.97028502122498483</v>
      </c>
      <c r="BA275" s="313">
        <v>0.97147435897435896</v>
      </c>
      <c r="BB275" s="313">
        <v>0.96455696202531649</v>
      </c>
      <c r="BC275" s="403">
        <v>0.97769197769197769</v>
      </c>
      <c r="BD275" s="403">
        <v>0.97184115523465708</v>
      </c>
      <c r="BE275" s="408">
        <v>0.97407647440051848</v>
      </c>
      <c r="BF275" s="245">
        <v>0.94670542635658916</v>
      </c>
      <c r="BG275" s="403">
        <v>0.96881091617933723</v>
      </c>
      <c r="BH275" s="438">
        <v>0.96058091286307057</v>
      </c>
      <c r="BI275" s="218">
        <v>0.96719102038212668</v>
      </c>
      <c r="BJ275" s="218">
        <f t="shared" si="220"/>
        <v>0.96719102038212668</v>
      </c>
      <c r="BL275" s="507">
        <v>0.9631578947368421</v>
      </c>
      <c r="BM275" s="218">
        <v>0.96094674556213022</v>
      </c>
      <c r="BN275" s="218"/>
      <c r="BO275" s="218"/>
      <c r="BP275" s="313"/>
      <c r="BQ275" s="313"/>
      <c r="BR275" s="403"/>
      <c r="BS275" s="403"/>
      <c r="BT275" s="408"/>
      <c r="BU275" s="245"/>
      <c r="BV275" s="403"/>
      <c r="BW275" s="438"/>
      <c r="BX275" s="218">
        <f t="shared" si="225"/>
        <v>0.96205232014948616</v>
      </c>
      <c r="BY275" s="218">
        <f t="shared" si="217"/>
        <v>0.96205232014948616</v>
      </c>
      <c r="CA275" s="169">
        <f>ROW()</f>
        <v>275</v>
      </c>
      <c r="CB275" s="171">
        <f>IFERROR(_xlfn.XLOOKUP($A$1,$2:$2,275:275)-_xlfn.XLOOKUP(EDATE($A$1,-12),$2:$2,275:275),"")</f>
        <v>-2.0448603275079025E-2</v>
      </c>
      <c r="CC275" s="169">
        <f t="shared" si="209"/>
        <v>1.6154990291061599E-2</v>
      </c>
      <c r="CD275" s="6221">
        <f>IFERROR(
  AVERAGE(
    _xlfn.XLOOKUP(DATE(YEAR($A$1),1,1),$2:$2,275:275):
    _xlfn.XLOOKUP($A$1,$2:$2,275:275)
  )
 -AVERAGE(
    _xlfn.XLOOKUP(DATE(YEAR($A$1)-1,1,1),$2:$2,275:275):
    _xlfn.XLOOKUP(EDATE($A$1,-12),$2:$2,275:275)
  ),"")</f>
        <v>-1.2014452981564894E-2</v>
      </c>
      <c r="CE275" s="4518">
        <f>IFERROR(
  _xlfn.XLOOKUP($A$1,$B$2:$BY$2,$B275:$BY275)
 -_xlfn.XLOOKUP(EDATE($A$1,-1),$B$2:$BY$2,$B275:$BY275),"")</f>
        <v>-2.2111491747118794E-3</v>
      </c>
    </row>
    <row r="276" spans="1:83" ht="17.399999999999999" customHeight="1" x14ac:dyDescent="0.55000000000000004">
      <c r="A276" s="7198"/>
      <c r="B276" s="15"/>
      <c r="C276" s="72" t="s">
        <v>1016</v>
      </c>
      <c r="D276" s="217">
        <v>0.73737373737373735</v>
      </c>
      <c r="E276" s="218">
        <v>0.80099502487562191</v>
      </c>
      <c r="F276" s="218">
        <v>0.81081081081081086</v>
      </c>
      <c r="G276" s="218">
        <v>0.78985507246376807</v>
      </c>
      <c r="H276" s="218">
        <v>0.7592592592592593</v>
      </c>
      <c r="I276" s="218">
        <v>0.79126213592233008</v>
      </c>
      <c r="J276" s="218">
        <v>0.82631578947368423</v>
      </c>
      <c r="K276" s="218">
        <v>0.77966101694915257</v>
      </c>
      <c r="L276" s="218">
        <v>0.65476190476190477</v>
      </c>
      <c r="M276" s="218">
        <v>0.72916666666666663</v>
      </c>
      <c r="N276" s="218">
        <v>0.73333333333333328</v>
      </c>
      <c r="O276" s="218">
        <v>0.71875</v>
      </c>
      <c r="P276" s="218">
        <v>0.76486915146708956</v>
      </c>
      <c r="Q276" s="219">
        <v>0.76486915146708956</v>
      </c>
      <c r="S276" s="217">
        <v>0.79729729729729726</v>
      </c>
      <c r="T276" s="218">
        <v>0.87258687258687262</v>
      </c>
      <c r="U276" s="218">
        <v>0.80208333333333337</v>
      </c>
      <c r="V276" s="218">
        <v>0.80254777070063699</v>
      </c>
      <c r="W276" s="218">
        <v>0.77873563218390807</v>
      </c>
      <c r="X276" s="218">
        <v>0.71253822629969421</v>
      </c>
      <c r="Y276" s="218">
        <v>0.76984126984126988</v>
      </c>
      <c r="Z276" s="218">
        <v>0.77631578947368418</v>
      </c>
      <c r="AA276" s="218">
        <v>0.73809523809523814</v>
      </c>
      <c r="AB276" s="218">
        <v>0.80672268907563027</v>
      </c>
      <c r="AC276" s="218">
        <v>0.76706827309236947</v>
      </c>
      <c r="AD276" s="218">
        <v>0.70666666666666667</v>
      </c>
      <c r="AE276" s="218">
        <v>0.77732667083073081</v>
      </c>
      <c r="AF276" s="219">
        <v>0.77732667083073081</v>
      </c>
      <c r="AH276" s="217">
        <v>0.61306532663316582</v>
      </c>
      <c r="AI276" s="218">
        <v>0.63157894736842102</v>
      </c>
      <c r="AJ276" s="218">
        <v>0.47982062780269052</v>
      </c>
      <c r="AK276" s="218">
        <v>0.57425742574257421</v>
      </c>
      <c r="AL276" s="313">
        <v>0.4978902953586497</v>
      </c>
      <c r="AM276" s="313">
        <v>0.28205128205128205</v>
      </c>
      <c r="AN276" s="403">
        <v>0.34523809523809529</v>
      </c>
      <c r="AO276" s="403">
        <v>0.17339312406576982</v>
      </c>
      <c r="AP276" s="408">
        <v>0.21917808219178081</v>
      </c>
      <c r="AQ276" s="408">
        <v>0.36972704714640198</v>
      </c>
      <c r="AR276" s="438">
        <v>0.3423423423423424</v>
      </c>
      <c r="AS276" s="438">
        <v>0.40540540540540543</v>
      </c>
      <c r="AT276" s="218">
        <v>0.48838845883180859</v>
      </c>
      <c r="AU276" s="219">
        <v>0.48838845883180859</v>
      </c>
      <c r="AW276" s="507">
        <v>0.40254237288135591</v>
      </c>
      <c r="AX276" s="218">
        <v>0.42452830188679247</v>
      </c>
      <c r="AY276" s="218">
        <v>0.35389610389610388</v>
      </c>
      <c r="AZ276" s="218">
        <v>0.25806451612903225</v>
      </c>
      <c r="BA276" s="313">
        <v>0.32589285714285715</v>
      </c>
      <c r="BB276" s="313">
        <v>0.30716723549488056</v>
      </c>
      <c r="BC276" s="403">
        <v>0.25996533795493937</v>
      </c>
      <c r="BD276" s="403">
        <v>0.33225806451612905</v>
      </c>
      <c r="BE276" s="408">
        <v>0.2857142857142857</v>
      </c>
      <c r="BF276" s="245">
        <v>0.53594771241830064</v>
      </c>
      <c r="BG276" s="403">
        <v>0.54545454545454541</v>
      </c>
      <c r="BH276" s="438">
        <v>0.5446428571428571</v>
      </c>
      <c r="BI276" s="218">
        <v>0.38133951588600651</v>
      </c>
      <c r="BJ276" s="218">
        <f t="shared" si="220"/>
        <v>0.38133951588600651</v>
      </c>
      <c r="BL276" s="507">
        <v>0.44354838709677419</v>
      </c>
      <c r="BM276" s="218">
        <v>0.47413793103448276</v>
      </c>
      <c r="BN276" s="218"/>
      <c r="BO276" s="218"/>
      <c r="BP276" s="313"/>
      <c r="BQ276" s="313"/>
      <c r="BR276" s="403"/>
      <c r="BS276" s="403"/>
      <c r="BT276" s="408"/>
      <c r="BU276" s="245"/>
      <c r="BV276" s="403"/>
      <c r="BW276" s="438"/>
      <c r="BX276" s="218">
        <f t="shared" si="225"/>
        <v>0.45884315906562845</v>
      </c>
      <c r="BY276" s="218">
        <f t="shared" si="217"/>
        <v>0.45884315906562845</v>
      </c>
      <c r="CA276" s="169">
        <f>ROW()</f>
        <v>276</v>
      </c>
      <c r="CB276" s="171">
        <f>IFERROR(_xlfn.XLOOKUP($A$1,$2:$2,276:276)-_xlfn.XLOOKUP(EDATE($A$1,-12),$2:$2,276:276),"")</f>
        <v>4.9609629147690293E-2</v>
      </c>
      <c r="CC276" s="169">
        <f t="shared" si="209"/>
        <v>-0.10704894294580208</v>
      </c>
      <c r="CD276" s="6221">
        <f>IFERROR(
  AVERAGE(
    _xlfn.XLOOKUP(DATE(YEAR($A$1),1,1),$2:$2,276:276):
    _xlfn.XLOOKUP($A$1,$2:$2,276:276)
  )
 -AVERAGE(
    _xlfn.XLOOKUP(DATE(YEAR($A$1)-1,1,1),$2:$2,276:276):
    _xlfn.XLOOKUP(EDATE($A$1,-12),$2:$2,276:276)
  ),"")</f>
        <v>4.5307821681554228E-2</v>
      </c>
      <c r="CE276" s="4518">
        <f>IFERROR(
  _xlfn.XLOOKUP($A$1,$B$2:$BY$2,$B276:$BY276)
 -_xlfn.XLOOKUP(EDATE($A$1,-1),$B$2:$BY$2,$B276:$BY276),"")</f>
        <v>3.0589543937708574E-2</v>
      </c>
    </row>
    <row r="277" spans="1:83" ht="17.399999999999999" customHeight="1" x14ac:dyDescent="0.55000000000000004">
      <c r="A277" s="7198"/>
      <c r="B277" s="15"/>
      <c r="C277" s="72" t="s">
        <v>407</v>
      </c>
      <c r="D277" s="217">
        <v>0.83391915641476277</v>
      </c>
      <c r="E277" s="218">
        <v>0.88734455010972935</v>
      </c>
      <c r="F277" s="218">
        <v>0.88704819277108438</v>
      </c>
      <c r="G277" s="218">
        <v>0.92745803357314149</v>
      </c>
      <c r="H277" s="218">
        <v>0.93923906871095963</v>
      </c>
      <c r="I277" s="218">
        <v>0.94945848375451258</v>
      </c>
      <c r="J277" s="218">
        <v>0.93683347005742412</v>
      </c>
      <c r="K277" s="218">
        <v>0.92687880839539605</v>
      </c>
      <c r="L277" s="218">
        <v>0.9388984509466437</v>
      </c>
      <c r="M277" s="218">
        <v>0.94039735099337751</v>
      </c>
      <c r="N277" s="218">
        <v>0.91739130434782612</v>
      </c>
      <c r="O277" s="218">
        <v>0.9198355601233299</v>
      </c>
      <c r="P277" s="218">
        <v>0.91914658140678795</v>
      </c>
      <c r="Q277" s="219">
        <v>0.91914658140678795</v>
      </c>
      <c r="S277" s="217">
        <v>0.94844357976653693</v>
      </c>
      <c r="T277" s="218">
        <v>0.94439967767929089</v>
      </c>
      <c r="U277" s="218">
        <v>0.94708994708994709</v>
      </c>
      <c r="V277" s="218">
        <v>0.94930417495029817</v>
      </c>
      <c r="W277" s="218">
        <v>0.93385214007782102</v>
      </c>
      <c r="X277" s="218">
        <v>0.93302325581395351</v>
      </c>
      <c r="Y277" s="218">
        <v>0.93518518518518523</v>
      </c>
      <c r="Z277" s="218">
        <v>0.95648854961832064</v>
      </c>
      <c r="AA277" s="218">
        <v>0.95071868583162222</v>
      </c>
      <c r="AB277" s="218">
        <v>0.93688888888888888</v>
      </c>
      <c r="AC277" s="218">
        <v>0.94711538461538458</v>
      </c>
      <c r="AD277" s="218">
        <v>0.94763092269326688</v>
      </c>
      <c r="AE277" s="218">
        <v>0.94411945812807885</v>
      </c>
      <c r="AF277" s="219">
        <v>0.94411945812807885</v>
      </c>
      <c r="AH277" s="217">
        <v>0.93500391542678152</v>
      </c>
      <c r="AI277" s="218">
        <v>0.94761904761904758</v>
      </c>
      <c r="AJ277" s="218">
        <v>0.93663060278207111</v>
      </c>
      <c r="AK277" s="218">
        <v>0.94543973941368076</v>
      </c>
      <c r="AL277" s="313">
        <v>0.94651320243737302</v>
      </c>
      <c r="AM277" s="313">
        <v>0.9568965517241379</v>
      </c>
      <c r="AN277" s="403">
        <v>0.95561357702349869</v>
      </c>
      <c r="AO277" s="403">
        <v>0.940745672436751</v>
      </c>
      <c r="AP277" s="408">
        <v>0.95686794956867949</v>
      </c>
      <c r="AQ277" s="408">
        <v>0.9673726388093874</v>
      </c>
      <c r="AR277" s="438">
        <v>0.96777840587902775</v>
      </c>
      <c r="AS277" s="438">
        <v>0.9679525222551929</v>
      </c>
      <c r="AT277" s="218">
        <v>0.94480435345944547</v>
      </c>
      <c r="AU277" s="219">
        <v>0.94480435345944547</v>
      </c>
      <c r="AW277" s="507">
        <v>0.96756082345602001</v>
      </c>
      <c r="AX277" s="218">
        <v>0.96818404307391093</v>
      </c>
      <c r="AY277" s="218">
        <v>0.9656724817107486</v>
      </c>
      <c r="AZ277" s="218">
        <v>0.96834061135371163</v>
      </c>
      <c r="BA277" s="313">
        <v>0.9704209328782708</v>
      </c>
      <c r="BB277" s="313">
        <v>0.97364672364672367</v>
      </c>
      <c r="BC277" s="403">
        <v>0.97461724415793716</v>
      </c>
      <c r="BD277" s="403">
        <v>0.97746014293567884</v>
      </c>
      <c r="BE277" s="408">
        <v>0.97906602254428343</v>
      </c>
      <c r="BF277" s="245">
        <v>0.97954545454545427</v>
      </c>
      <c r="BG277" s="403">
        <v>0.9858740435550325</v>
      </c>
      <c r="BH277" s="438">
        <v>0.98047337278106506</v>
      </c>
      <c r="BI277" s="218">
        <v>0.9742384913865697</v>
      </c>
      <c r="BJ277" s="218">
        <f t="shared" si="220"/>
        <v>0.9742384913865697</v>
      </c>
      <c r="BL277" s="507">
        <v>0.98749320282762354</v>
      </c>
      <c r="BM277" s="218">
        <v>0.98316755929609789</v>
      </c>
      <c r="BN277" s="218"/>
      <c r="BO277" s="218"/>
      <c r="BP277" s="313"/>
      <c r="BQ277" s="313"/>
      <c r="BR277" s="403"/>
      <c r="BS277" s="403"/>
      <c r="BT277" s="408"/>
      <c r="BU277" s="245"/>
      <c r="BV277" s="403"/>
      <c r="BW277" s="438"/>
      <c r="BX277" s="218">
        <f t="shared" si="225"/>
        <v>0.98533038106186077</v>
      </c>
      <c r="BY277" s="218">
        <f t="shared" si="217"/>
        <v>0.98533038106186077</v>
      </c>
      <c r="CA277" s="169">
        <f>ROW()</f>
        <v>277</v>
      </c>
      <c r="CB277" s="171">
        <f>IFERROR(_xlfn.XLOOKUP($A$1,$2:$2,277:277)-_xlfn.XLOOKUP(EDATE($A$1,-12),$2:$2,277:277),"")</f>
        <v>1.4983516222186966E-2</v>
      </c>
      <c r="CC277" s="169">
        <f t="shared" si="209"/>
        <v>2.9434137927124238E-2</v>
      </c>
      <c r="CD277" s="6221">
        <f>IFERROR(
  AVERAGE(
    _xlfn.XLOOKUP(DATE(YEAR($A$1),1,1),$2:$2,277:277):
    _xlfn.XLOOKUP($A$1,$2:$2,277:277)
  )
 -AVERAGE(
    _xlfn.XLOOKUP(DATE(YEAR($A$1)-1,1,1),$2:$2,277:277):
    _xlfn.XLOOKUP(EDATE($A$1,-12),$2:$2,277:277)
  ),"")</f>
        <v>1.7457947796895246E-2</v>
      </c>
      <c r="CE277" s="4518">
        <f>IFERROR(
  _xlfn.XLOOKUP($A$1,$B$2:$BY$2,$B277:$BY277)
 -_xlfn.XLOOKUP(EDATE($A$1,-1),$B$2:$BY$2,$B277:$BY277),"")</f>
        <v>-4.325643531525647E-3</v>
      </c>
    </row>
    <row r="278" spans="1:83" ht="17.399999999999999" customHeight="1" thickBot="1" x14ac:dyDescent="0.6">
      <c r="A278" s="7199"/>
      <c r="B278" s="114"/>
      <c r="C278" s="115" t="s">
        <v>875</v>
      </c>
      <c r="D278" s="229">
        <v>1</v>
      </c>
      <c r="E278" s="230">
        <v>0</v>
      </c>
      <c r="F278" s="230">
        <v>0.4</v>
      </c>
      <c r="G278" s="230">
        <v>1</v>
      </c>
      <c r="H278" s="230">
        <v>1</v>
      </c>
      <c r="I278" s="230">
        <v>1</v>
      </c>
      <c r="J278" s="230">
        <v>1</v>
      </c>
      <c r="K278" s="230">
        <v>0.98076923076923073</v>
      </c>
      <c r="L278" s="230">
        <v>0.95348837209302328</v>
      </c>
      <c r="M278" s="230">
        <v>0.89473684210526316</v>
      </c>
      <c r="N278" s="230">
        <v>0.8571428571428571</v>
      </c>
      <c r="O278" s="230">
        <v>1</v>
      </c>
      <c r="P278" s="230">
        <v>0.90086206896551724</v>
      </c>
      <c r="Q278" s="231">
        <v>0.90086206896551724</v>
      </c>
      <c r="S278" s="229">
        <v>0.53846153846153844</v>
      </c>
      <c r="T278" s="230">
        <v>0.82352941176470584</v>
      </c>
      <c r="U278" s="230">
        <v>0.77777777777777779</v>
      </c>
      <c r="V278" s="230">
        <v>1</v>
      </c>
      <c r="W278" s="230">
        <v>0.54545454545454541</v>
      </c>
      <c r="X278" s="230">
        <v>0.29508196721311475</v>
      </c>
      <c r="Y278" s="230">
        <v>0.35185185185185186</v>
      </c>
      <c r="Z278" s="230">
        <v>0.71698113207547165</v>
      </c>
      <c r="AA278" s="230">
        <v>0.59615384615384615</v>
      </c>
      <c r="AB278" s="230">
        <v>0.53719008264462809</v>
      </c>
      <c r="AC278" s="230">
        <v>0.94117647058823528</v>
      </c>
      <c r="AD278" s="230">
        <v>0.88888888888888884</v>
      </c>
      <c r="AE278" s="230">
        <v>0.62977099236641221</v>
      </c>
      <c r="AF278" s="231">
        <v>0.62977099236641221</v>
      </c>
      <c r="AH278" s="229">
        <v>0.42307692307692307</v>
      </c>
      <c r="AI278" s="230">
        <v>1</v>
      </c>
      <c r="AJ278" s="230">
        <v>0.82608695652173914</v>
      </c>
      <c r="AK278" s="230">
        <v>0.57746478873239437</v>
      </c>
      <c r="AL278" s="320">
        <v>0.48031496062992124</v>
      </c>
      <c r="AM278" s="320">
        <v>0.57142857142857151</v>
      </c>
      <c r="AN278" s="404">
        <v>0.76595744680851063</v>
      </c>
      <c r="AO278" s="404">
        <v>0.8571428571428571</v>
      </c>
      <c r="AP278" s="411">
        <v>0.90322580645161288</v>
      </c>
      <c r="AQ278" s="411">
        <v>0.73913043478260865</v>
      </c>
      <c r="AR278" s="439">
        <v>0.6875</v>
      </c>
      <c r="AS278" s="439">
        <v>0.57499999999999996</v>
      </c>
      <c r="AT278" s="230">
        <v>0.55397727272727271</v>
      </c>
      <c r="AU278" s="231">
        <v>0.55397727272727271</v>
      </c>
      <c r="AW278" s="514">
        <v>0.3</v>
      </c>
      <c r="AX278" s="230">
        <v>0</v>
      </c>
      <c r="AY278" s="230">
        <v>0.625</v>
      </c>
      <c r="AZ278" s="230" t="s">
        <v>461</v>
      </c>
      <c r="BA278" s="320">
        <v>0.12021857923497267</v>
      </c>
      <c r="BB278" s="320">
        <v>0.52777777777777768</v>
      </c>
      <c r="BC278" s="404">
        <v>0.92307692307692313</v>
      </c>
      <c r="BD278" s="404">
        <v>0.7402597402597404</v>
      </c>
      <c r="BE278" s="411">
        <v>0.55855855855855852</v>
      </c>
      <c r="BF278" s="549">
        <v>0.58108108108108103</v>
      </c>
      <c r="BG278" s="404">
        <v>0.47422680412371132</v>
      </c>
      <c r="BH278" s="439">
        <v>0.41176470588235292</v>
      </c>
      <c r="BI278" s="230">
        <v>0.4783603790904653</v>
      </c>
      <c r="BJ278" s="230">
        <f t="shared" si="220"/>
        <v>0.4783603790904653</v>
      </c>
      <c r="BL278" s="514">
        <v>0.39772727272727271</v>
      </c>
      <c r="BM278" s="230">
        <v>0.30952380952380953</v>
      </c>
      <c r="BN278" s="230"/>
      <c r="BO278" s="230"/>
      <c r="BP278" s="320"/>
      <c r="BQ278" s="320"/>
      <c r="BR278" s="404"/>
      <c r="BS278" s="404"/>
      <c r="BT278" s="411"/>
      <c r="BU278" s="549"/>
      <c r="BV278" s="404"/>
      <c r="BW278" s="439"/>
      <c r="BX278" s="230">
        <f t="shared" si="225"/>
        <v>0.35362554112554112</v>
      </c>
      <c r="BY278" s="230">
        <f t="shared" si="217"/>
        <v>0.35362554112554112</v>
      </c>
      <c r="CA278" s="169">
        <f>ROW()</f>
        <v>278</v>
      </c>
      <c r="CB278" s="171">
        <f>IFERROR(_xlfn.XLOOKUP($A$1,$2:$2,278:278)-_xlfn.XLOOKUP(EDATE($A$1,-12),$2:$2,278:278),"")</f>
        <v>0.30952380952380953</v>
      </c>
      <c r="CC278" s="169">
        <f t="shared" si="209"/>
        <v>-7.5616893636807403E-2</v>
      </c>
      <c r="CD278" s="6221">
        <f>IFERROR(
  AVERAGE(
    _xlfn.XLOOKUP(DATE(YEAR($A$1),1,1),$2:$2,278:278):
    _xlfn.XLOOKUP($A$1,$2:$2,278:278)
  )
 -AVERAGE(
    _xlfn.XLOOKUP(DATE(YEAR($A$1)-1,1,1),$2:$2,278:278):
    _xlfn.XLOOKUP(EDATE($A$1,-12),$2:$2,278:278)
  ),"")</f>
        <v>0.20362554112554113</v>
      </c>
      <c r="CE278" s="4518">
        <f>IFERROR(
  _xlfn.XLOOKUP($A$1,$B$2:$BY$2,$B278:$BY278)
 -_xlfn.XLOOKUP(EDATE($A$1,-1),$B$2:$BY$2,$B278:$BY278),"")</f>
        <v>-8.8203463203463173E-2</v>
      </c>
    </row>
    <row r="279" spans="1:83" ht="17.399999999999999" customHeight="1" x14ac:dyDescent="0.55000000000000004">
      <c r="A279" s="7197" t="s">
        <v>436</v>
      </c>
      <c r="B279" s="118" t="s">
        <v>437</v>
      </c>
      <c r="C279" s="119"/>
      <c r="D279" s="232">
        <v>0.13410931174089069</v>
      </c>
      <c r="E279" s="233">
        <v>0.16368939117754283</v>
      </c>
      <c r="F279" s="233">
        <v>0.15668435683598686</v>
      </c>
      <c r="G279" s="233">
        <v>0.20433818092186345</v>
      </c>
      <c r="H279" s="233">
        <v>0.23808344682431595</v>
      </c>
      <c r="I279" s="233">
        <v>0.23678756476683938</v>
      </c>
      <c r="J279" s="233">
        <v>0.17411731207289294</v>
      </c>
      <c r="K279" s="233">
        <v>0.22711864406779661</v>
      </c>
      <c r="L279" s="233">
        <v>0.21058650547296193</v>
      </c>
      <c r="M279" s="233">
        <v>0.17250368355434659</v>
      </c>
      <c r="N279" s="233">
        <v>0.19313967861557479</v>
      </c>
      <c r="O279" s="233">
        <v>0.18822923816060397</v>
      </c>
      <c r="P279" s="233">
        <v>0.18963212900681406</v>
      </c>
      <c r="Q279" s="234">
        <v>0.18963212900681406</v>
      </c>
      <c r="S279" s="232">
        <v>0.21219715956558061</v>
      </c>
      <c r="T279" s="233">
        <v>0.2548364403798804</v>
      </c>
      <c r="U279" s="233">
        <v>0.2380269058295964</v>
      </c>
      <c r="V279" s="233">
        <v>0.1971252566735113</v>
      </c>
      <c r="W279" s="233">
        <v>0.17642575892290105</v>
      </c>
      <c r="X279" s="233">
        <v>0.16003616636528029</v>
      </c>
      <c r="Y279" s="233">
        <v>0.12593888260109065</v>
      </c>
      <c r="Z279" s="233">
        <v>0.17664155005382132</v>
      </c>
      <c r="AA279" s="233">
        <v>0.12845917321489581</v>
      </c>
      <c r="AB279" s="233">
        <v>0.14492171818546767</v>
      </c>
      <c r="AC279" s="233">
        <v>0.15196793002915451</v>
      </c>
      <c r="AD279" s="233">
        <v>0.14921465968586387</v>
      </c>
      <c r="AE279" s="233">
        <v>0.16985682316900949</v>
      </c>
      <c r="AF279" s="234">
        <f>AE279</f>
        <v>0.16985682316900949</v>
      </c>
      <c r="AH279" s="232">
        <v>0.20857767046107853</v>
      </c>
      <c r="AI279" s="233">
        <v>0.20216886134779241</v>
      </c>
      <c r="AJ279" s="233">
        <v>0.22948397363037054</v>
      </c>
      <c r="AK279" s="233">
        <v>0.20885878061490359</v>
      </c>
      <c r="AL279" s="233">
        <v>0.19896410073227361</v>
      </c>
      <c r="AM279" s="233">
        <v>0.19631584394080515</v>
      </c>
      <c r="AN279" s="386">
        <v>0.21840969796589274</v>
      </c>
      <c r="AO279" s="386">
        <v>0.25290590970267957</v>
      </c>
      <c r="AP279" s="412">
        <v>0.23480305702527926</v>
      </c>
      <c r="AQ279" s="412">
        <v>0.24961782048482201</v>
      </c>
      <c r="AR279" s="433">
        <v>0.2295880149812734</v>
      </c>
      <c r="AS279" s="433">
        <v>0.27170511185811985</v>
      </c>
      <c r="AT279" s="233">
        <v>0.20697703646515969</v>
      </c>
      <c r="AU279" s="234">
        <v>0.20697703646515969</v>
      </c>
      <c r="AW279" s="509">
        <v>0.26020408163265307</v>
      </c>
      <c r="AX279" s="233">
        <v>0.29500489715964739</v>
      </c>
      <c r="AY279" s="233">
        <v>0.29727385377943</v>
      </c>
      <c r="AZ279" s="233">
        <v>0.20475319926873858</v>
      </c>
      <c r="BA279" s="233">
        <v>0.25738556638477</v>
      </c>
      <c r="BB279" s="233">
        <v>0.26529401293538241</v>
      </c>
      <c r="BC279" s="386">
        <v>0.25406999102679145</v>
      </c>
      <c r="BD279" s="386">
        <v>0.28931858132561267</v>
      </c>
      <c r="BE279" s="412">
        <v>0.2235605672304801</v>
      </c>
      <c r="BF279" s="550">
        <v>0.22254059216809932</v>
      </c>
      <c r="BG279" s="386">
        <v>0.22973802701596399</v>
      </c>
      <c r="BH279" s="433">
        <v>0.21875317807383302</v>
      </c>
      <c r="BI279" s="233">
        <v>0.25149137900011681</v>
      </c>
      <c r="BJ279" s="233">
        <f t="shared" si="220"/>
        <v>0.25149137900011681</v>
      </c>
      <c r="BL279" s="509">
        <v>0.1720819720819721</v>
      </c>
      <c r="BM279" s="233">
        <v>0.20545153483632658</v>
      </c>
      <c r="BN279" s="233"/>
      <c r="BO279" s="233"/>
      <c r="BP279" s="233"/>
      <c r="BQ279" s="233"/>
      <c r="BR279" s="386"/>
      <c r="BS279" s="386"/>
      <c r="BT279" s="412"/>
      <c r="BU279" s="550"/>
      <c r="BV279" s="386"/>
      <c r="BW279" s="433"/>
      <c r="BX279" s="233">
        <f t="shared" si="225"/>
        <v>0.18876675345914934</v>
      </c>
      <c r="BY279" s="233">
        <f t="shared" si="217"/>
        <v>0.18876675345914934</v>
      </c>
      <c r="CA279" s="169">
        <f>ROW()</f>
        <v>279</v>
      </c>
      <c r="CB279" s="171">
        <f>IFERROR(_xlfn.XLOOKUP($A$1,$2:$2,279:279)-_xlfn.XLOOKUP(EDATE($A$1,-12),$2:$2,279:279),"")</f>
        <v>-8.9553362323320812E-2</v>
      </c>
      <c r="CC279" s="169">
        <f t="shared" si="209"/>
        <v>4.4514342534957119E-2</v>
      </c>
      <c r="CD279" s="6221">
        <f>IFERROR(
  AVERAGE(
    _xlfn.XLOOKUP(DATE(YEAR($A$1),1,1),$2:$2,279:279):
    _xlfn.XLOOKUP($A$1,$2:$2,279:279)
  )
 -AVERAGE(
    _xlfn.XLOOKUP(DATE(YEAR($A$1)-1,1,1),$2:$2,279:279):
    _xlfn.XLOOKUP(EDATE($A$1,-12),$2:$2,279:279)
  ),"")</f>
        <v>-8.8837735937000895E-2</v>
      </c>
      <c r="CE279" s="4518">
        <f>IFERROR(
  _xlfn.XLOOKUP($A$1,$B$2:$BY$2,$B279:$BY279)
 -_xlfn.XLOOKUP(EDATE($A$1,-1),$B$2:$BY$2,$B279:$BY279),"")</f>
        <v>3.3369562754354487E-2</v>
      </c>
    </row>
    <row r="280" spans="1:83" ht="17.399999999999999" customHeight="1" x14ac:dyDescent="0.55000000000000004">
      <c r="A280" s="7198"/>
      <c r="B280" s="111"/>
      <c r="C280" s="112" t="s">
        <v>19</v>
      </c>
      <c r="D280" s="235">
        <v>0.15516188149053145</v>
      </c>
      <c r="E280" s="236">
        <v>0.14334705075445817</v>
      </c>
      <c r="F280" s="236">
        <v>0.14144271570014144</v>
      </c>
      <c r="G280" s="236">
        <v>0.13636363636363635</v>
      </c>
      <c r="H280" s="236">
        <v>0.17243589743589743</v>
      </c>
      <c r="I280" s="236">
        <v>0.1611617312072893</v>
      </c>
      <c r="J280" s="236">
        <v>0.13324952859836581</v>
      </c>
      <c r="K280" s="236">
        <v>0.18895966029723993</v>
      </c>
      <c r="L280" s="236">
        <v>0.18937805730258561</v>
      </c>
      <c r="M280" s="236">
        <v>0.153475935828877</v>
      </c>
      <c r="N280" s="236">
        <v>0.17280099812850905</v>
      </c>
      <c r="O280" s="236">
        <v>0.1664050235478807</v>
      </c>
      <c r="P280" s="236">
        <v>0.15995773903856314</v>
      </c>
      <c r="Q280" s="237">
        <v>0.15995773903856314</v>
      </c>
      <c r="S280" s="235">
        <v>0.19508771929824562</v>
      </c>
      <c r="T280" s="236">
        <v>0.22976338729763388</v>
      </c>
      <c r="U280" s="236">
        <v>0.24276032039433149</v>
      </c>
      <c r="V280" s="236">
        <v>0.24945295404814005</v>
      </c>
      <c r="W280" s="236">
        <v>0.21997300944669365</v>
      </c>
      <c r="X280" s="236">
        <v>0.20969945355191258</v>
      </c>
      <c r="Y280" s="236">
        <v>0.22149600580973131</v>
      </c>
      <c r="Z280" s="236">
        <v>0.25412014885699097</v>
      </c>
      <c r="AA280" s="236">
        <v>0.16934046345811052</v>
      </c>
      <c r="AB280" s="236">
        <v>0.20842956120092379</v>
      </c>
      <c r="AC280" s="236">
        <v>0.21341463414634146</v>
      </c>
      <c r="AD280" s="236">
        <v>0.21024734982332155</v>
      </c>
      <c r="AE280" s="236">
        <v>0.22068808124607747</v>
      </c>
      <c r="AF280" s="237">
        <f>AE280</f>
        <v>0.22068808124607747</v>
      </c>
      <c r="AH280" s="235">
        <v>0.33087818696883853</v>
      </c>
      <c r="AI280" s="236">
        <v>0.33558052434456931</v>
      </c>
      <c r="AJ280" s="236">
        <v>0.39015817223198596</v>
      </c>
      <c r="AK280" s="236">
        <v>0.39215686274509803</v>
      </c>
      <c r="AL280" s="236">
        <v>0.36457765667574932</v>
      </c>
      <c r="AM280" s="236">
        <v>0.34165067178502878</v>
      </c>
      <c r="AN280" s="405">
        <v>0.33683158420789605</v>
      </c>
      <c r="AO280" s="405">
        <v>0.30740740740740735</v>
      </c>
      <c r="AP280" s="413">
        <v>0.28837209302325578</v>
      </c>
      <c r="AQ280" s="413">
        <v>0.32231404958677684</v>
      </c>
      <c r="AR280" s="440">
        <v>0.34221311475409838</v>
      </c>
      <c r="AS280" s="440">
        <v>0.35462555066079293</v>
      </c>
      <c r="AT280" s="236">
        <v>0.36093857832988269</v>
      </c>
      <c r="AU280" s="237">
        <v>0.36093857832988269</v>
      </c>
      <c r="AW280" s="515">
        <v>0.32096635030198445</v>
      </c>
      <c r="AX280" s="236">
        <v>0.39217512808570099</v>
      </c>
      <c r="AY280" s="236">
        <v>0.32809553739786296</v>
      </c>
      <c r="AZ280" s="236">
        <v>0.21771327014218009</v>
      </c>
      <c r="BA280" s="236">
        <v>0.33755452370901928</v>
      </c>
      <c r="BB280" s="236">
        <v>0.32896600566572232</v>
      </c>
      <c r="BC280" s="405">
        <v>0.34352117160140083</v>
      </c>
      <c r="BD280" s="405">
        <v>0.30757220921155348</v>
      </c>
      <c r="BE280" s="413">
        <v>0.28450578806767585</v>
      </c>
      <c r="BF280" s="551">
        <v>0.23367003367003367</v>
      </c>
      <c r="BG280" s="405">
        <v>0.2648221343873518</v>
      </c>
      <c r="BH280" s="440">
        <v>0.27613941018766758</v>
      </c>
      <c r="BI280" s="236">
        <v>0.30297513020234607</v>
      </c>
      <c r="BJ280" s="236">
        <f t="shared" si="220"/>
        <v>0.30297513020234607</v>
      </c>
      <c r="BL280" s="515">
        <v>0.2862275449101796</v>
      </c>
      <c r="BM280" s="236">
        <v>0.24837812789620017</v>
      </c>
      <c r="BN280" s="236"/>
      <c r="BO280" s="236"/>
      <c r="BP280" s="236"/>
      <c r="BQ280" s="236"/>
      <c r="BR280" s="405"/>
      <c r="BS280" s="405"/>
      <c r="BT280" s="413"/>
      <c r="BU280" s="551"/>
      <c r="BV280" s="405"/>
      <c r="BW280" s="440"/>
      <c r="BX280" s="236">
        <f t="shared" si="225"/>
        <v>0.26730283640318986</v>
      </c>
      <c r="BY280" s="236">
        <f t="shared" si="217"/>
        <v>0.26730283640318986</v>
      </c>
      <c r="CA280" s="169">
        <f>ROW()</f>
        <v>280</v>
      </c>
      <c r="CB280" s="171">
        <f>IFERROR(_xlfn.XLOOKUP($A$1,$2:$2,280:280)-_xlfn.XLOOKUP(EDATE($A$1,-12),$2:$2,280:280),"")</f>
        <v>-0.14379700018950081</v>
      </c>
      <c r="CC280" s="169">
        <f t="shared" si="209"/>
        <v>-5.7963448127536621E-2</v>
      </c>
      <c r="CD280" s="6221">
        <f>IFERROR(
  AVERAGE(
    _xlfn.XLOOKUP(DATE(YEAR($A$1),1,1),$2:$2,280:280):
    _xlfn.XLOOKUP($A$1,$2:$2,280:280)
  )
 -AVERAGE(
    _xlfn.XLOOKUP(DATE(YEAR($A$1)-1,1,1),$2:$2,280:280):
    _xlfn.XLOOKUP(EDATE($A$1,-12),$2:$2,280:280)
  ),"")</f>
        <v>-8.9267902790652887E-2</v>
      </c>
      <c r="CE280" s="4518">
        <f>IFERROR(
  _xlfn.XLOOKUP($A$1,$B$2:$BY$2,$B280:$BY280)
 -_xlfn.XLOOKUP(EDATE($A$1,-1),$B$2:$BY$2,$B280:$BY280),"")</f>
        <v>-3.7849417013979425E-2</v>
      </c>
    </row>
    <row r="281" spans="1:83" ht="17.399999999999999" customHeight="1" x14ac:dyDescent="0.55000000000000004">
      <c r="A281" s="7198"/>
      <c r="B281" s="111"/>
      <c r="C281" s="112" t="s">
        <v>20</v>
      </c>
      <c r="D281" s="235">
        <v>0.12992842411743297</v>
      </c>
      <c r="E281" s="236">
        <v>0.16806970905331561</v>
      </c>
      <c r="F281" s="236">
        <v>0.16</v>
      </c>
      <c r="G281" s="236">
        <v>0.21915340738516961</v>
      </c>
      <c r="H281" s="236">
        <v>0.25379775970538593</v>
      </c>
      <c r="I281" s="236">
        <v>0.25905432595573441</v>
      </c>
      <c r="J281" s="236">
        <v>0.1860850358917725</v>
      </c>
      <c r="K281" s="236">
        <v>0.24095458044649731</v>
      </c>
      <c r="L281" s="236">
        <v>0.21705756929637526</v>
      </c>
      <c r="M281" s="236">
        <v>0.17762117071767583</v>
      </c>
      <c r="N281" s="236">
        <v>0.19983569521462313</v>
      </c>
      <c r="O281" s="236">
        <v>0.19433465085638998</v>
      </c>
      <c r="P281" s="236">
        <v>0.19739606368863336</v>
      </c>
      <c r="Q281" s="237">
        <v>0.19739606368863336</v>
      </c>
      <c r="S281" s="235">
        <v>0.21754385964912282</v>
      </c>
      <c r="T281" s="236">
        <v>0.26470588235294118</v>
      </c>
      <c r="U281" s="236">
        <v>0.23608299595141699</v>
      </c>
      <c r="V281" s="236">
        <v>0.18266129032258063</v>
      </c>
      <c r="W281" s="236">
        <v>0.16632764825535909</v>
      </c>
      <c r="X281" s="236">
        <v>0.1484549219496655</v>
      </c>
      <c r="Y281" s="236">
        <v>0.11016542795492687</v>
      </c>
      <c r="Z281" s="236">
        <v>0.15697125118099609</v>
      </c>
      <c r="AA281" s="236">
        <v>0.12247029638333987</v>
      </c>
      <c r="AB281" s="236">
        <v>0.1315597667638484</v>
      </c>
      <c r="AC281" s="236">
        <v>0.14031791907514451</v>
      </c>
      <c r="AD281" s="236">
        <v>0.13718662952646241</v>
      </c>
      <c r="AE281" s="236">
        <v>0.15790250513236814</v>
      </c>
      <c r="AF281" s="237">
        <f>AE281</f>
        <v>0.15790250513236814</v>
      </c>
      <c r="AH281" s="235">
        <v>0.17743796884016158</v>
      </c>
      <c r="AI281" s="236">
        <v>0.17438777101856184</v>
      </c>
      <c r="AJ281" s="236">
        <v>0.19080524608658864</v>
      </c>
      <c r="AK281" s="236">
        <v>0.1624657176439859</v>
      </c>
      <c r="AL281" s="236">
        <v>0.1665064616041867</v>
      </c>
      <c r="AM281" s="236">
        <v>0.16827160493827162</v>
      </c>
      <c r="AN281" s="405">
        <v>0.18776671408250356</v>
      </c>
      <c r="AO281" s="405">
        <v>0.23943232107431711</v>
      </c>
      <c r="AP281" s="413">
        <v>0.21902587519025876</v>
      </c>
      <c r="AQ281" s="413">
        <v>0.23454185893210283</v>
      </c>
      <c r="AR281" s="440">
        <v>0.21169704861111108</v>
      </c>
      <c r="AS281" s="440">
        <v>0.25615966964900205</v>
      </c>
      <c r="AT281" s="236">
        <v>0.1726961408438337</v>
      </c>
      <c r="AU281" s="237">
        <v>0.1726961408438337</v>
      </c>
      <c r="AW281" s="515">
        <v>0.24966322406825325</v>
      </c>
      <c r="AX281" s="236">
        <v>0.26913059655215182</v>
      </c>
      <c r="AY281" s="236">
        <v>0.28902986229305272</v>
      </c>
      <c r="AZ281" s="236">
        <v>0.20026661197703036</v>
      </c>
      <c r="BA281" s="236">
        <v>0.22780604298619042</v>
      </c>
      <c r="BB281" s="236">
        <v>0.25247701190391331</v>
      </c>
      <c r="BC281" s="405">
        <v>0.23152234973116123</v>
      </c>
      <c r="BD281" s="405">
        <v>0.282740188493459</v>
      </c>
      <c r="BE281" s="413">
        <v>0.20909090909090908</v>
      </c>
      <c r="BF281" s="551">
        <v>0.22070116861435723</v>
      </c>
      <c r="BG281" s="405">
        <v>0.22452098272011287</v>
      </c>
      <c r="BH281" s="440">
        <v>0.2113839798026165</v>
      </c>
      <c r="BI281" s="236">
        <v>0.23902774401943394</v>
      </c>
      <c r="BJ281" s="236">
        <f t="shared" si="220"/>
        <v>0.23902774401943394</v>
      </c>
      <c r="BL281" s="515">
        <v>0.15951203428948238</v>
      </c>
      <c r="BM281" s="236">
        <v>0.1986119314825753</v>
      </c>
      <c r="BN281" s="236"/>
      <c r="BO281" s="236"/>
      <c r="BP281" s="236"/>
      <c r="BQ281" s="236"/>
      <c r="BR281" s="405"/>
      <c r="BS281" s="405"/>
      <c r="BT281" s="413"/>
      <c r="BU281" s="551"/>
      <c r="BV281" s="405"/>
      <c r="BW281" s="440"/>
      <c r="BX281" s="236">
        <f t="shared" si="225"/>
        <v>0.17906198288602884</v>
      </c>
      <c r="BY281" s="236">
        <f t="shared" si="217"/>
        <v>0.17906198288602884</v>
      </c>
      <c r="CA281" s="169">
        <f>ROW()</f>
        <v>281</v>
      </c>
      <c r="CB281" s="171">
        <f>IFERROR(_xlfn.XLOOKUP($A$1,$2:$2,281:281)-_xlfn.XLOOKUP(EDATE($A$1,-12),$2:$2,281:281),"")</f>
        <v>-7.0518665069576519E-2</v>
      </c>
      <c r="CC281" s="169">
        <f t="shared" si="209"/>
        <v>6.6331603175600246E-2</v>
      </c>
      <c r="CD281" s="6221">
        <f>IFERROR(
  AVERAGE(
    _xlfn.XLOOKUP(DATE(YEAR($A$1),1,1),$2:$2,281:281):
    _xlfn.XLOOKUP($A$1,$2:$2,281:281)
  )
 -AVERAGE(
    _xlfn.XLOOKUP(DATE(YEAR($A$1)-1,1,1),$2:$2,281:281):
    _xlfn.XLOOKUP(EDATE($A$1,-12),$2:$2,281:281)
  ),"")</f>
        <v>-8.0334927424173669E-2</v>
      </c>
      <c r="CE281" s="4518">
        <f>IFERROR(
  _xlfn.XLOOKUP($A$1,$B$2:$BY$2,$B281:$BY281)
 -_xlfn.XLOOKUP(EDATE($A$1,-1),$B$2:$BY$2,$B281:$BY281),"")</f>
        <v>3.9099897193092925E-2</v>
      </c>
    </row>
    <row r="282" spans="1:83" ht="17.399999999999999" customHeight="1" x14ac:dyDescent="0.55000000000000004">
      <c r="A282" s="7198"/>
      <c r="B282" s="107" t="s">
        <v>438</v>
      </c>
      <c r="C282" s="74"/>
      <c r="D282" s="128">
        <f>D283+D284</f>
        <v>1325</v>
      </c>
      <c r="E282" s="129">
        <f t="shared" ref="E282:O282" si="226">E283+E284</f>
        <v>1347</v>
      </c>
      <c r="F282" s="129">
        <f t="shared" si="226"/>
        <v>1240</v>
      </c>
      <c r="G282" s="129">
        <f t="shared" si="226"/>
        <v>1658</v>
      </c>
      <c r="H282" s="129">
        <f t="shared" si="226"/>
        <v>1923</v>
      </c>
      <c r="I282" s="129">
        <f t="shared" si="226"/>
        <v>1828</v>
      </c>
      <c r="J282" s="129">
        <f t="shared" si="226"/>
        <v>1223</v>
      </c>
      <c r="K282" s="129">
        <f t="shared" si="226"/>
        <v>1608</v>
      </c>
      <c r="L282" s="129">
        <f t="shared" si="226"/>
        <v>1289</v>
      </c>
      <c r="M282" s="129">
        <f t="shared" si="226"/>
        <v>1522</v>
      </c>
      <c r="N282" s="129">
        <f t="shared" si="226"/>
        <v>1250</v>
      </c>
      <c r="O282" s="129">
        <f t="shared" si="226"/>
        <v>1097</v>
      </c>
      <c r="P282" s="129">
        <f>SUM(D282:O282)</f>
        <v>17310</v>
      </c>
      <c r="Q282" s="130">
        <f>P282/12</f>
        <v>1442.5</v>
      </c>
      <c r="R282" s="183"/>
      <c r="S282" s="128">
        <f t="shared" ref="S282:AD282" si="227">S283+S284</f>
        <v>1270</v>
      </c>
      <c r="T282" s="129">
        <f t="shared" si="227"/>
        <v>1449</v>
      </c>
      <c r="U282" s="129">
        <f t="shared" si="227"/>
        <v>1327</v>
      </c>
      <c r="V282" s="129">
        <f t="shared" si="227"/>
        <v>1248</v>
      </c>
      <c r="W282" s="129">
        <f t="shared" si="227"/>
        <v>1389</v>
      </c>
      <c r="X282" s="129">
        <f t="shared" si="227"/>
        <v>1239</v>
      </c>
      <c r="Y282" s="129">
        <f t="shared" si="227"/>
        <v>1224</v>
      </c>
      <c r="Z282" s="129">
        <f t="shared" si="227"/>
        <v>1641</v>
      </c>
      <c r="AA282" s="129">
        <f t="shared" si="227"/>
        <v>1128</v>
      </c>
      <c r="AB282" s="129">
        <f t="shared" si="227"/>
        <v>1444</v>
      </c>
      <c r="AC282" s="129">
        <f t="shared" si="227"/>
        <v>1251</v>
      </c>
      <c r="AD282" s="129">
        <f t="shared" si="227"/>
        <v>1026</v>
      </c>
      <c r="AE282" s="129">
        <f>SUM(S282:AD282)</f>
        <v>15636</v>
      </c>
      <c r="AF282" s="130">
        <f>AE282/12</f>
        <v>1303</v>
      </c>
      <c r="AG282" s="183"/>
      <c r="AH282" s="128">
        <v>1814</v>
      </c>
      <c r="AI282" s="129">
        <v>1566</v>
      </c>
      <c r="AJ282" s="129">
        <v>2019</v>
      </c>
      <c r="AK282" s="129">
        <v>2004</v>
      </c>
      <c r="AL282" s="129">
        <v>2228</v>
      </c>
      <c r="AM282" s="129">
        <v>1897</v>
      </c>
      <c r="AN282" s="129">
        <v>2126</v>
      </c>
      <c r="AO282" s="129">
        <v>2067</v>
      </c>
      <c r="AP282" s="129">
        <v>1997</v>
      </c>
      <c r="AQ282" s="129">
        <v>2286</v>
      </c>
      <c r="AR282" s="129">
        <v>2452</v>
      </c>
      <c r="AS282" s="129">
        <v>2344</v>
      </c>
      <c r="AT282" s="129">
        <f>SUM(AH282:AS282)</f>
        <v>24800</v>
      </c>
      <c r="AU282" s="130">
        <f>AT282/12</f>
        <v>2066.6666666666665</v>
      </c>
      <c r="AV282" s="183"/>
      <c r="AW282" s="478">
        <v>2040</v>
      </c>
      <c r="AX282" s="129">
        <v>3012</v>
      </c>
      <c r="AY282" s="129">
        <v>2390</v>
      </c>
      <c r="AZ282" s="129">
        <v>2688</v>
      </c>
      <c r="BA282" s="129">
        <v>6787</v>
      </c>
      <c r="BB282" s="129">
        <v>4471</v>
      </c>
      <c r="BC282" s="129">
        <v>3964</v>
      </c>
      <c r="BD282" s="129">
        <v>2798</v>
      </c>
      <c r="BE282" s="129">
        <v>2617</v>
      </c>
      <c r="BF282" s="129">
        <v>2330</v>
      </c>
      <c r="BG282" s="129">
        <v>2245</v>
      </c>
      <c r="BH282" s="129">
        <v>2151</v>
      </c>
      <c r="BI282" s="129">
        <v>37493</v>
      </c>
      <c r="BJ282" s="129">
        <f t="shared" si="220"/>
        <v>3124.4166666666665</v>
      </c>
      <c r="BK282" s="183"/>
      <c r="BL282" s="478">
        <v>2897</v>
      </c>
      <c r="BM282" s="129">
        <v>1613</v>
      </c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>
        <f t="shared" ref="BX282:BX284" si="228">SUM(BL282:BW282)</f>
        <v>4510</v>
      </c>
      <c r="BY282" s="129">
        <f t="shared" si="217"/>
        <v>2255</v>
      </c>
      <c r="CA282" s="169">
        <f>ROW()</f>
        <v>282</v>
      </c>
      <c r="CB282" s="169">
        <f>IFERROR(_xlfn.XLOOKUP($A$1,$2:$2,282:282)-_xlfn.XLOOKUP(EDATE($A$1,-12),$2:$2,282:282),"")</f>
        <v>-1399</v>
      </c>
      <c r="CC282" s="169">
        <f t="shared" si="209"/>
        <v>1057.75</v>
      </c>
      <c r="CD282" s="172">
        <f>IFERROR(
  SUM(
    _xlfn.XLOOKUP(DATE(YEAR($A$1),1,1),$2:$2,282:282):
    _xlfn.XLOOKUP($A$1,$2:$2,282:282)
  )
 -SUM(
    _xlfn.XLOOKUP(DATE(YEAR($A$1)-1,1,1),$2:$2,282:282):
    _xlfn.XLOOKUP(EDATE($A$1,-12),$2:$2,282:282)
  ),"")</f>
        <v>-542</v>
      </c>
      <c r="CE282" s="4517">
        <f>IFERROR(
  _xlfn.XLOOKUP($A$1,$B$2:$BY$2,$B282:$BY282)
 -_xlfn.XLOOKUP(EDATE($A$1,-1),$B$2:$BY$2,$B282:$BY282),"")</f>
        <v>-1284</v>
      </c>
    </row>
    <row r="283" spans="1:83" ht="17.399999999999999" customHeight="1" x14ac:dyDescent="0.55000000000000004">
      <c r="A283" s="7198"/>
      <c r="B283" s="99"/>
      <c r="C283" s="75" t="s">
        <v>405</v>
      </c>
      <c r="D283" s="131">
        <v>254</v>
      </c>
      <c r="E283" s="132">
        <v>209</v>
      </c>
      <c r="F283" s="132">
        <v>200</v>
      </c>
      <c r="G283" s="132">
        <v>198</v>
      </c>
      <c r="H283" s="132">
        <v>269</v>
      </c>
      <c r="I283" s="132">
        <v>283</v>
      </c>
      <c r="J283" s="132">
        <v>212</v>
      </c>
      <c r="K283" s="132">
        <v>356</v>
      </c>
      <c r="L283" s="132">
        <v>271</v>
      </c>
      <c r="M283" s="132">
        <v>287</v>
      </c>
      <c r="N283" s="132">
        <v>277</v>
      </c>
      <c r="O283" s="132">
        <v>212</v>
      </c>
      <c r="P283" s="132">
        <f>SUM(D283:O283)</f>
        <v>3028</v>
      </c>
      <c r="Q283" s="133">
        <f>P283/12</f>
        <v>252.33333333333334</v>
      </c>
      <c r="R283" s="183"/>
      <c r="S283" s="131">
        <v>278</v>
      </c>
      <c r="T283" s="132">
        <v>369</v>
      </c>
      <c r="U283" s="132">
        <v>394</v>
      </c>
      <c r="V283" s="132">
        <v>342</v>
      </c>
      <c r="W283" s="132">
        <v>326</v>
      </c>
      <c r="X283" s="132">
        <v>307</v>
      </c>
      <c r="Y283" s="132">
        <v>305</v>
      </c>
      <c r="Z283" s="132">
        <v>478</v>
      </c>
      <c r="AA283" s="132">
        <v>190</v>
      </c>
      <c r="AB283" s="132">
        <v>361</v>
      </c>
      <c r="AC283" s="132">
        <v>280</v>
      </c>
      <c r="AD283" s="132">
        <v>238</v>
      </c>
      <c r="AE283" s="132">
        <f>SUM(S283:AD283)</f>
        <v>3868</v>
      </c>
      <c r="AF283" s="133">
        <f>AE283/12</f>
        <v>322.33333333333331</v>
      </c>
      <c r="AG283" s="183"/>
      <c r="AH283" s="131">
        <v>584</v>
      </c>
      <c r="AI283" s="132">
        <v>448</v>
      </c>
      <c r="AJ283" s="132">
        <v>666</v>
      </c>
      <c r="AK283" s="132">
        <v>760</v>
      </c>
      <c r="AL283" s="132">
        <v>669</v>
      </c>
      <c r="AM283" s="132">
        <v>534</v>
      </c>
      <c r="AN283" s="132">
        <v>674</v>
      </c>
      <c r="AO283" s="132">
        <v>497.99999999999994</v>
      </c>
      <c r="AP283" s="132">
        <v>558</v>
      </c>
      <c r="AQ283" s="132">
        <v>507</v>
      </c>
      <c r="AR283" s="132">
        <v>501</v>
      </c>
      <c r="AS283" s="132">
        <v>483</v>
      </c>
      <c r="AT283" s="132">
        <f>SUM(AH283:AS283)</f>
        <v>6882</v>
      </c>
      <c r="AU283" s="133">
        <f>AT283/12</f>
        <v>573.5</v>
      </c>
      <c r="AV283" s="183"/>
      <c r="AW283" s="479">
        <v>372</v>
      </c>
      <c r="AX283" s="132">
        <v>842</v>
      </c>
      <c r="AY283" s="132">
        <v>522</v>
      </c>
      <c r="AZ283" s="132">
        <v>735</v>
      </c>
      <c r="BA283" s="132">
        <v>2399</v>
      </c>
      <c r="BB283" s="132">
        <v>928.99999999999989</v>
      </c>
      <c r="BC283" s="132">
        <v>1079</v>
      </c>
      <c r="BD283" s="132">
        <v>788</v>
      </c>
      <c r="BE283" s="132">
        <v>639</v>
      </c>
      <c r="BF283" s="132">
        <v>347</v>
      </c>
      <c r="BG283" s="132">
        <v>335</v>
      </c>
      <c r="BH283" s="132">
        <v>309</v>
      </c>
      <c r="BI283" s="132">
        <v>9296</v>
      </c>
      <c r="BJ283" s="132">
        <f t="shared" si="220"/>
        <v>774.66666666666663</v>
      </c>
      <c r="BK283" s="183"/>
      <c r="BL283" s="479">
        <v>477.99999999999994</v>
      </c>
      <c r="BM283" s="132">
        <v>268</v>
      </c>
      <c r="BN283" s="132"/>
      <c r="BO283" s="132"/>
      <c r="BP283" s="132"/>
      <c r="BQ283" s="132"/>
      <c r="BR283" s="132"/>
      <c r="BS283" s="132"/>
      <c r="BT283" s="132"/>
      <c r="BU283" s="132"/>
      <c r="BV283" s="132"/>
      <c r="BW283" s="132"/>
      <c r="BX283" s="132">
        <f t="shared" si="228"/>
        <v>746</v>
      </c>
      <c r="BY283" s="132">
        <f t="shared" si="217"/>
        <v>373</v>
      </c>
      <c r="CA283" s="169">
        <f>ROW()</f>
        <v>283</v>
      </c>
      <c r="CB283" s="169">
        <f>IFERROR(_xlfn.XLOOKUP($A$1,$2:$2,283:283)-_xlfn.XLOOKUP(EDATE($A$1,-12),$2:$2,283:283),"")</f>
        <v>-574</v>
      </c>
      <c r="CC283" s="169">
        <f t="shared" si="209"/>
        <v>201.16666666666663</v>
      </c>
      <c r="CD283" s="172">
        <f>IFERROR(
  SUM(
    _xlfn.XLOOKUP(DATE(YEAR($A$1),1,1),$2:$2,283:283):
    _xlfn.XLOOKUP($A$1,$2:$2,283:283)
  )
 -SUM(
    _xlfn.XLOOKUP(DATE(YEAR($A$1)-1,1,1),$2:$2,283:283):
    _xlfn.XLOOKUP(EDATE($A$1,-12),$2:$2,283:283)
  ),"")</f>
        <v>-468</v>
      </c>
      <c r="CE283" s="4517">
        <f>IFERROR(
  _xlfn.XLOOKUP($A$1,$B$2:$BY$2,$B283:$BY283)
 -_xlfn.XLOOKUP(EDATE($A$1,-1),$B$2:$BY$2,$B283:$BY283),"")</f>
        <v>-209.99999999999994</v>
      </c>
    </row>
    <row r="284" spans="1:83" ht="17.399999999999999" customHeight="1" thickBot="1" x14ac:dyDescent="0.6">
      <c r="A284" s="7199"/>
      <c r="B284" s="120"/>
      <c r="C284" s="121" t="s">
        <v>407</v>
      </c>
      <c r="D284" s="210">
        <v>1071</v>
      </c>
      <c r="E284" s="211">
        <v>1138</v>
      </c>
      <c r="F284" s="211">
        <v>1040</v>
      </c>
      <c r="G284" s="211">
        <v>1460</v>
      </c>
      <c r="H284" s="211">
        <v>1654</v>
      </c>
      <c r="I284" s="211">
        <v>1545</v>
      </c>
      <c r="J284" s="211">
        <v>1011</v>
      </c>
      <c r="K284" s="211">
        <v>1252</v>
      </c>
      <c r="L284" s="211">
        <v>1018</v>
      </c>
      <c r="M284" s="211">
        <v>1235</v>
      </c>
      <c r="N284" s="211">
        <v>973</v>
      </c>
      <c r="O284" s="211">
        <v>885</v>
      </c>
      <c r="P284" s="211">
        <f>SUM(D284:O284)</f>
        <v>14282</v>
      </c>
      <c r="Q284" s="212">
        <f>P284/12</f>
        <v>1190.1666666666667</v>
      </c>
      <c r="R284" s="183"/>
      <c r="S284" s="210">
        <v>992</v>
      </c>
      <c r="T284" s="211">
        <v>1080</v>
      </c>
      <c r="U284" s="211">
        <v>933</v>
      </c>
      <c r="V284" s="211">
        <v>906</v>
      </c>
      <c r="W284" s="211">
        <v>1063</v>
      </c>
      <c r="X284" s="211">
        <v>932</v>
      </c>
      <c r="Y284" s="211">
        <v>919</v>
      </c>
      <c r="Z284" s="211">
        <v>1163</v>
      </c>
      <c r="AA284" s="211">
        <v>938</v>
      </c>
      <c r="AB284" s="211">
        <v>1083</v>
      </c>
      <c r="AC284" s="211">
        <v>971</v>
      </c>
      <c r="AD284" s="211">
        <v>788</v>
      </c>
      <c r="AE284" s="211">
        <f>SUM(S284:AD284)</f>
        <v>11768</v>
      </c>
      <c r="AF284" s="212">
        <f>AE284/12</f>
        <v>980.66666666666663</v>
      </c>
      <c r="AG284" s="183"/>
      <c r="AH284" s="210">
        <v>1230</v>
      </c>
      <c r="AI284" s="211">
        <v>1118</v>
      </c>
      <c r="AJ284" s="211">
        <v>1353</v>
      </c>
      <c r="AK284" s="211">
        <v>1244</v>
      </c>
      <c r="AL284" s="211">
        <v>1559</v>
      </c>
      <c r="AM284" s="211">
        <v>1363</v>
      </c>
      <c r="AN284" s="211">
        <v>1452</v>
      </c>
      <c r="AO284" s="211">
        <v>1569</v>
      </c>
      <c r="AP284" s="211">
        <v>1439</v>
      </c>
      <c r="AQ284" s="211">
        <v>1779</v>
      </c>
      <c r="AR284" s="211">
        <v>1950.9999999999998</v>
      </c>
      <c r="AS284" s="211">
        <v>1861</v>
      </c>
      <c r="AT284" s="211">
        <f>SUM(AH284:AS284)</f>
        <v>17918</v>
      </c>
      <c r="AU284" s="212">
        <f>AT284/12</f>
        <v>1493.1666666666667</v>
      </c>
      <c r="AV284" s="183"/>
      <c r="AW284" s="516">
        <v>1668</v>
      </c>
      <c r="AX284" s="211">
        <v>2170</v>
      </c>
      <c r="AY284" s="211">
        <v>1867.9999999999998</v>
      </c>
      <c r="AZ284" s="211">
        <v>1953</v>
      </c>
      <c r="BA284" s="211">
        <v>4388</v>
      </c>
      <c r="BB284" s="211">
        <v>3542</v>
      </c>
      <c r="BC284" s="211">
        <v>2885</v>
      </c>
      <c r="BD284" s="211">
        <v>2010</v>
      </c>
      <c r="BE284" s="211">
        <v>1978</v>
      </c>
      <c r="BF284" s="211">
        <v>1982.9999999999998</v>
      </c>
      <c r="BG284" s="211">
        <v>1910.0000000000002</v>
      </c>
      <c r="BH284" s="211">
        <v>1842.0000000000002</v>
      </c>
      <c r="BI284" s="211">
        <v>28197</v>
      </c>
      <c r="BJ284" s="211">
        <f t="shared" si="220"/>
        <v>2349.75</v>
      </c>
      <c r="BK284" s="183"/>
      <c r="BL284" s="516">
        <v>2419</v>
      </c>
      <c r="BM284" s="211">
        <v>1345</v>
      </c>
      <c r="BN284" s="211"/>
      <c r="BO284" s="211"/>
      <c r="BP284" s="211"/>
      <c r="BQ284" s="211"/>
      <c r="BR284" s="211"/>
      <c r="BS284" s="211"/>
      <c r="BT284" s="211"/>
      <c r="BU284" s="211"/>
      <c r="BV284" s="211"/>
      <c r="BW284" s="211"/>
      <c r="BX284" s="211">
        <f t="shared" si="228"/>
        <v>3764</v>
      </c>
      <c r="BY284" s="211">
        <f t="shared" si="217"/>
        <v>1882</v>
      </c>
      <c r="CA284" s="169">
        <f>ROW()</f>
        <v>284</v>
      </c>
      <c r="CB284" s="169">
        <f>IFERROR(_xlfn.XLOOKUP($A$1,$2:$2,284:284)-_xlfn.XLOOKUP(EDATE($A$1,-12),$2:$2,284:284),"")</f>
        <v>-825</v>
      </c>
      <c r="CC284" s="169">
        <f t="shared" si="209"/>
        <v>856.58333333333326</v>
      </c>
      <c r="CD284" s="172">
        <f>IFERROR(
  SUM(
    _xlfn.XLOOKUP(DATE(YEAR($A$1),1,1),$2:$2,284:284):
    _xlfn.XLOOKUP($A$1,$2:$2,284:284)
  )
 -SUM(
    _xlfn.XLOOKUP(DATE(YEAR($A$1)-1,1,1),$2:$2,284:284):
    _xlfn.XLOOKUP(EDATE($A$1,-12),$2:$2,284:284)
  ),"")</f>
        <v>-74</v>
      </c>
      <c r="CE284" s="4517">
        <f>IFERROR(
  _xlfn.XLOOKUP($A$1,$B$2:$BY$2,$B284:$BY284)
 -_xlfn.XLOOKUP(EDATE($A$1,-1),$B$2:$BY$2,$B284:$BY284),"")</f>
        <v>-1074</v>
      </c>
    </row>
    <row r="285" spans="1:83" s="3" customFormat="1" ht="7.3" customHeight="1" x14ac:dyDescent="0.55000000000000004">
      <c r="A285" s="58"/>
      <c r="B285" s="104"/>
      <c r="C285" s="87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57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57"/>
      <c r="AH285" s="80"/>
      <c r="AI285" s="80"/>
      <c r="AJ285" s="80"/>
      <c r="AK285" s="80"/>
      <c r="AL285" s="80"/>
      <c r="AM285" s="80"/>
      <c r="AN285" s="80"/>
      <c r="AO285" s="80"/>
      <c r="AP285" s="80"/>
      <c r="AQ285" s="396"/>
      <c r="AR285" s="80"/>
      <c r="AS285" s="80"/>
      <c r="AT285" s="80"/>
      <c r="AU285" s="80"/>
      <c r="AV285" s="469"/>
      <c r="AW285" s="475"/>
      <c r="AX285" s="80"/>
      <c r="AY285" s="396"/>
      <c r="AZ285" s="80"/>
      <c r="BA285" s="396"/>
      <c r="BB285" s="396"/>
      <c r="BC285" s="80"/>
      <c r="BD285" s="80"/>
      <c r="BE285" s="80"/>
      <c r="BF285" s="396"/>
      <c r="BG285" s="80"/>
      <c r="BH285" s="80"/>
      <c r="BI285" s="80"/>
      <c r="BJ285" s="80"/>
      <c r="BK285" s="4392"/>
      <c r="BL285" s="475"/>
      <c r="BM285" s="396"/>
      <c r="BN285" s="396"/>
      <c r="BO285" s="80"/>
      <c r="BP285" s="396"/>
      <c r="BQ285" s="396"/>
      <c r="BR285" s="80"/>
      <c r="BS285" s="80"/>
      <c r="BT285" s="80"/>
      <c r="BU285" s="396"/>
      <c r="BV285" s="80"/>
      <c r="BW285" s="80"/>
      <c r="BX285" s="80"/>
      <c r="BY285" s="80"/>
      <c r="CB285" s="325"/>
      <c r="CD285"/>
    </row>
    <row r="286" spans="1:83" s="90" customFormat="1" ht="10.3" customHeight="1" x14ac:dyDescent="0.55000000000000004">
      <c r="A286" s="59"/>
      <c r="B286" s="105"/>
      <c r="C286" s="88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57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57"/>
      <c r="AH286" s="89"/>
      <c r="AI286" s="89"/>
      <c r="AJ286" s="89"/>
      <c r="AK286" s="89"/>
      <c r="AL286" s="89"/>
      <c r="AM286" s="89"/>
      <c r="AN286" s="89"/>
      <c r="AO286" s="89"/>
      <c r="AP286" s="89"/>
      <c r="AQ286" s="425"/>
      <c r="AR286" s="89"/>
      <c r="AS286" s="89"/>
      <c r="AT286" s="89"/>
      <c r="AU286" s="89"/>
      <c r="AV286" s="469"/>
      <c r="AW286" s="503"/>
      <c r="AX286" s="89"/>
      <c r="AY286" s="425"/>
      <c r="AZ286" s="89"/>
      <c r="BA286" s="425"/>
      <c r="BB286" s="425"/>
      <c r="BC286" s="89"/>
      <c r="BD286" s="89"/>
      <c r="BE286" s="89"/>
      <c r="BF286" s="425"/>
      <c r="BG286" s="89"/>
      <c r="BH286" s="89"/>
      <c r="BI286" s="89"/>
      <c r="BJ286" s="89"/>
      <c r="BK286" s="4392"/>
      <c r="BL286" s="503"/>
      <c r="BM286" s="425"/>
      <c r="BN286" s="425"/>
      <c r="BO286" s="89"/>
      <c r="BP286" s="425"/>
      <c r="BQ286" s="425"/>
      <c r="BR286" s="89"/>
      <c r="BS286" s="89"/>
      <c r="BT286" s="89"/>
      <c r="BU286" s="425"/>
      <c r="BV286" s="89"/>
      <c r="BW286" s="89"/>
      <c r="BX286" s="89"/>
      <c r="BY286" s="89"/>
      <c r="CB286" s="443"/>
      <c r="CD286" s="60"/>
    </row>
    <row r="287" spans="1:83" s="94" customFormat="1" ht="7.75" customHeight="1" thickBot="1" x14ac:dyDescent="0.6">
      <c r="A287" s="92"/>
      <c r="B287" s="106"/>
      <c r="C287" s="93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57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57"/>
      <c r="AH287" s="82"/>
      <c r="AI287" s="82"/>
      <c r="AJ287" s="82"/>
      <c r="AK287" s="82"/>
      <c r="AL287" s="82"/>
      <c r="AM287" s="82"/>
      <c r="AN287" s="82"/>
      <c r="AO287" s="82"/>
      <c r="AP287" s="82"/>
      <c r="AQ287" s="426"/>
      <c r="AR287" s="82"/>
      <c r="AS287" s="82"/>
      <c r="AT287" s="82"/>
      <c r="AU287" s="82"/>
      <c r="AV287" s="469"/>
      <c r="AW287" s="504"/>
      <c r="AX287" s="82"/>
      <c r="AY287" s="426"/>
      <c r="AZ287" s="82"/>
      <c r="BA287" s="426"/>
      <c r="BB287" s="426"/>
      <c r="BC287" s="82"/>
      <c r="BD287" s="82"/>
      <c r="BE287" s="82"/>
      <c r="BF287" s="426"/>
      <c r="BG287" s="82"/>
      <c r="BH287" s="82"/>
      <c r="BI287" s="82"/>
      <c r="BJ287" s="82"/>
      <c r="BK287" s="4392"/>
      <c r="BL287" s="504"/>
      <c r="BM287" s="426"/>
      <c r="BN287" s="426"/>
      <c r="BO287" s="82"/>
      <c r="BP287" s="426"/>
      <c r="BQ287" s="426"/>
      <c r="BR287" s="82"/>
      <c r="BS287" s="82"/>
      <c r="BT287" s="82"/>
      <c r="BU287" s="426"/>
      <c r="BV287" s="82"/>
      <c r="BW287" s="82"/>
      <c r="BX287" s="82"/>
      <c r="BY287" s="82"/>
      <c r="CB287" s="444"/>
      <c r="CD287" s="300"/>
    </row>
    <row r="288" spans="1:83" s="3" customFormat="1" ht="20.05" customHeight="1" thickBot="1" x14ac:dyDescent="0.6">
      <c r="A288" s="170"/>
      <c r="B288" s="104"/>
      <c r="C288" s="87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57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57"/>
      <c r="AH288" s="80"/>
      <c r="AI288" s="80"/>
      <c r="AJ288" s="80"/>
      <c r="AK288" s="80"/>
      <c r="AL288" s="80"/>
      <c r="AM288" s="80"/>
      <c r="AN288" s="80"/>
      <c r="AO288" s="80"/>
      <c r="AP288" s="80"/>
      <c r="AQ288" s="396"/>
      <c r="AR288" s="80"/>
      <c r="AS288" s="80"/>
      <c r="AT288" s="80"/>
      <c r="AU288" s="80"/>
      <c r="AV288" s="469"/>
      <c r="AW288" s="475"/>
      <c r="AX288" s="80"/>
      <c r="AY288" s="396"/>
      <c r="AZ288" s="80"/>
      <c r="BA288" s="396"/>
      <c r="BB288" s="396"/>
      <c r="BC288" s="80"/>
      <c r="BD288" s="80"/>
      <c r="BE288" s="80"/>
      <c r="BF288" s="396"/>
      <c r="BG288" s="80"/>
      <c r="BH288" s="80"/>
      <c r="BI288" s="80"/>
      <c r="BJ288" s="80"/>
      <c r="BK288" s="4392"/>
      <c r="BL288" s="475"/>
      <c r="BM288" s="396"/>
      <c r="BN288" s="396"/>
      <c r="BO288" s="80"/>
      <c r="BP288" s="396"/>
      <c r="BQ288" s="396"/>
      <c r="BR288" s="80"/>
      <c r="BS288" s="80"/>
      <c r="BT288" s="80"/>
      <c r="BU288" s="396"/>
      <c r="BV288" s="80"/>
      <c r="BW288" s="80"/>
      <c r="BX288" s="80"/>
      <c r="BY288" s="80"/>
      <c r="CB288" s="441" t="s">
        <v>455</v>
      </c>
      <c r="CC288" s="168" t="s">
        <v>9</v>
      </c>
      <c r="CD288" s="415" t="s">
        <v>456</v>
      </c>
      <c r="CE288" s="168" t="s">
        <v>9</v>
      </c>
    </row>
    <row r="289" spans="1:85" ht="17.399999999999999" customHeight="1" x14ac:dyDescent="0.55000000000000004">
      <c r="A289" s="7209" t="s">
        <v>957</v>
      </c>
      <c r="B289" s="14" t="s">
        <v>398</v>
      </c>
      <c r="C289" s="71"/>
      <c r="D289" s="122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4"/>
      <c r="R289" s="469"/>
      <c r="S289" s="122"/>
      <c r="T289" s="123">
        <f t="shared" ref="S289:AD289" si="229">SUM(T290:T291)</f>
        <v>0</v>
      </c>
      <c r="U289" s="123">
        <f t="shared" si="229"/>
        <v>0</v>
      </c>
      <c r="V289" s="123">
        <f t="shared" si="229"/>
        <v>0</v>
      </c>
      <c r="W289" s="123">
        <f t="shared" si="229"/>
        <v>0</v>
      </c>
      <c r="X289" s="123">
        <f t="shared" si="229"/>
        <v>0</v>
      </c>
      <c r="Y289" s="123">
        <f t="shared" si="229"/>
        <v>0</v>
      </c>
      <c r="Z289" s="123">
        <f t="shared" si="229"/>
        <v>0</v>
      </c>
      <c r="AA289" s="123">
        <f t="shared" si="229"/>
        <v>0</v>
      </c>
      <c r="AB289" s="123">
        <f t="shared" si="229"/>
        <v>0</v>
      </c>
      <c r="AC289" s="123">
        <f t="shared" si="229"/>
        <v>0</v>
      </c>
      <c r="AD289" s="123">
        <f t="shared" si="229"/>
        <v>0</v>
      </c>
      <c r="AE289" s="123">
        <f>SUM(S289:AD289)</f>
        <v>0</v>
      </c>
      <c r="AF289" s="124">
        <f>AE289/12</f>
        <v>0</v>
      </c>
      <c r="AG289" s="183"/>
      <c r="AH289" s="122"/>
      <c r="AI289" s="123"/>
      <c r="AJ289" s="123"/>
      <c r="AK289" s="123"/>
      <c r="AL289" s="123"/>
      <c r="AM289" s="123"/>
      <c r="AN289" s="123"/>
      <c r="AO289" s="123"/>
      <c r="AP289" s="123"/>
      <c r="AQ289" s="123"/>
      <c r="AR289" s="123"/>
      <c r="AS289" s="123"/>
      <c r="AT289" s="123">
        <f>SUM(AH289:AS289)</f>
        <v>0</v>
      </c>
      <c r="AU289" s="124">
        <f>AT289/12</f>
        <v>0</v>
      </c>
      <c r="AV289" s="183"/>
      <c r="AW289" s="476">
        <v>75250</v>
      </c>
      <c r="AX289" s="123">
        <v>85000</v>
      </c>
      <c r="AY289" s="123">
        <v>60800</v>
      </c>
      <c r="AZ289" s="123">
        <v>62300</v>
      </c>
      <c r="BA289" s="123">
        <v>70500</v>
      </c>
      <c r="BB289" s="123">
        <v>90000</v>
      </c>
      <c r="BC289" s="123">
        <v>86800</v>
      </c>
      <c r="BD289" s="123">
        <v>70500</v>
      </c>
      <c r="BE289" s="123">
        <v>91000</v>
      </c>
      <c r="BF289" s="123">
        <v>68500</v>
      </c>
      <c r="BG289" s="123">
        <v>65000</v>
      </c>
      <c r="BH289" s="123">
        <v>61300</v>
      </c>
      <c r="BI289" s="123">
        <f>SUM(AW289:BH289)</f>
        <v>886950</v>
      </c>
      <c r="BJ289" s="124">
        <f t="shared" si="220"/>
        <v>73912.5</v>
      </c>
      <c r="BK289" s="183"/>
      <c r="BL289" s="476">
        <v>72500</v>
      </c>
      <c r="BM289" s="123">
        <v>67500</v>
      </c>
      <c r="BN289" s="123"/>
      <c r="BO289" s="123"/>
      <c r="BP289" s="123"/>
      <c r="BQ289" s="123"/>
      <c r="BR289" s="123"/>
      <c r="BS289" s="123"/>
      <c r="BT289" s="123"/>
      <c r="BU289" s="123"/>
      <c r="BV289" s="123"/>
      <c r="BW289" s="123"/>
      <c r="BX289" s="123">
        <f>SUM(BL289:BW289)</f>
        <v>140000</v>
      </c>
      <c r="BY289" s="124">
        <f t="shared" ref="BY289:BY343" si="230">AVERAGE(BL289:BW289)</f>
        <v>70000</v>
      </c>
      <c r="BZ289" s="169">
        <f>BD289-BD10</f>
        <v>13143</v>
      </c>
      <c r="CA289" s="169">
        <f>ROW()</f>
        <v>289</v>
      </c>
      <c r="CB289" s="442">
        <f>BM10-BM289</f>
        <v>-24469</v>
      </c>
      <c r="CC289" s="171">
        <f>BM10/BM289</f>
        <v>0.63749629629629634</v>
      </c>
      <c r="CD289" s="169">
        <f>BX10-BX289</f>
        <v>-18106</v>
      </c>
      <c r="CE289" s="171">
        <f>BX10/BX289</f>
        <v>0.87067142857142854</v>
      </c>
      <c r="CG289" s="3"/>
    </row>
    <row r="290" spans="1:85" ht="17.399999999999999" customHeight="1" x14ac:dyDescent="0.55000000000000004">
      <c r="A290" s="7210"/>
      <c r="B290" s="15"/>
      <c r="C290" s="78" t="s">
        <v>46</v>
      </c>
      <c r="D290" s="125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7"/>
      <c r="R290" s="469"/>
      <c r="S290" s="125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>
        <f t="shared" ref="AE290:AE329" si="231">SUM(S290:AD290)</f>
        <v>0</v>
      </c>
      <c r="AF290" s="127">
        <f t="shared" ref="AF290:AF329" si="232">AE290/12</f>
        <v>0</v>
      </c>
      <c r="AG290" s="183"/>
      <c r="AH290" s="125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>
        <f t="shared" ref="AT290:AT329" si="233">SUM(AH290:AS290)</f>
        <v>0</v>
      </c>
      <c r="AU290" s="127">
        <f t="shared" ref="AU290:AU329" si="234">AT290/12</f>
        <v>0</v>
      </c>
      <c r="AV290" s="183"/>
      <c r="AW290" s="477">
        <v>21930</v>
      </c>
      <c r="AX290" s="126">
        <v>31050</v>
      </c>
      <c r="AY290" s="126">
        <v>23900</v>
      </c>
      <c r="AZ290" s="126">
        <v>24500</v>
      </c>
      <c r="BA290" s="126">
        <v>27100</v>
      </c>
      <c r="BB290" s="126">
        <v>65000</v>
      </c>
      <c r="BC290" s="126">
        <v>33700</v>
      </c>
      <c r="BD290" s="126">
        <v>28000</v>
      </c>
      <c r="BE290" s="126">
        <v>27900</v>
      </c>
      <c r="BF290" s="126">
        <v>21800</v>
      </c>
      <c r="BG290" s="126">
        <v>23400</v>
      </c>
      <c r="BH290" s="126">
        <v>22400</v>
      </c>
      <c r="BI290" s="126">
        <f t="shared" ref="BI290:BI329" si="235">SUM(AW290:BH290)</f>
        <v>350680</v>
      </c>
      <c r="BJ290" s="127">
        <f t="shared" si="220"/>
        <v>29223.333333333332</v>
      </c>
      <c r="BK290" s="183"/>
      <c r="BL290" s="477">
        <v>25500</v>
      </c>
      <c r="BM290" s="126">
        <v>23800</v>
      </c>
      <c r="BN290" s="126"/>
      <c r="BO290" s="126"/>
      <c r="BP290" s="126"/>
      <c r="BQ290" s="126"/>
      <c r="BR290" s="126"/>
      <c r="BS290" s="126"/>
      <c r="BT290" s="126"/>
      <c r="BU290" s="126"/>
      <c r="BV290" s="126"/>
      <c r="BW290" s="126"/>
      <c r="BX290" s="126">
        <f t="shared" ref="BX290:BX329" si="236">SUM(BL290:BW290)</f>
        <v>49300</v>
      </c>
      <c r="BY290" s="127">
        <f t="shared" si="230"/>
        <v>24650</v>
      </c>
      <c r="CA290" s="169">
        <f>ROW()</f>
        <v>290</v>
      </c>
      <c r="CB290" s="442">
        <f t="shared" ref="CB290:CB329" si="237">BM11-BM290</f>
        <v>-4465</v>
      </c>
      <c r="CC290" s="171">
        <f>BM11/BM290</f>
        <v>0.81239495798319328</v>
      </c>
      <c r="CD290" s="169">
        <f t="shared" ref="CD290:CD329" si="238">BX11-BX290</f>
        <v>2254</v>
      </c>
      <c r="CE290" s="304">
        <f>BX11/BX290</f>
        <v>1.0457200811359026</v>
      </c>
      <c r="CG290" s="3"/>
    </row>
    <row r="291" spans="1:85" ht="17.399999999999999" customHeight="1" x14ac:dyDescent="0.55000000000000004">
      <c r="A291" s="7210"/>
      <c r="B291" s="15"/>
      <c r="C291" s="79" t="s">
        <v>55</v>
      </c>
      <c r="D291" s="125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7"/>
      <c r="R291" s="469"/>
      <c r="S291" s="125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>
        <f t="shared" si="231"/>
        <v>0</v>
      </c>
      <c r="AF291" s="127">
        <f t="shared" si="232"/>
        <v>0</v>
      </c>
      <c r="AG291" s="183"/>
      <c r="AH291" s="125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>
        <f t="shared" si="233"/>
        <v>0</v>
      </c>
      <c r="AU291" s="127">
        <f t="shared" si="234"/>
        <v>0</v>
      </c>
      <c r="AV291" s="183"/>
      <c r="AW291" s="477">
        <v>53320</v>
      </c>
      <c r="AX291" s="126">
        <v>53950</v>
      </c>
      <c r="AY291" s="126">
        <f>AY289-AY290</f>
        <v>36900</v>
      </c>
      <c r="AZ291" s="126">
        <v>37800</v>
      </c>
      <c r="BA291" s="126">
        <f>BA289-BA290</f>
        <v>43400</v>
      </c>
      <c r="BB291" s="126">
        <f>BB289-BB290</f>
        <v>25000</v>
      </c>
      <c r="BC291" s="126">
        <v>53100</v>
      </c>
      <c r="BD291" s="126">
        <v>42500</v>
      </c>
      <c r="BE291" s="126">
        <v>63100</v>
      </c>
      <c r="BF291" s="126">
        <v>46700</v>
      </c>
      <c r="BG291" s="126">
        <v>41600</v>
      </c>
      <c r="BH291" s="126">
        <v>38900</v>
      </c>
      <c r="BI291" s="126">
        <f t="shared" si="235"/>
        <v>536270</v>
      </c>
      <c r="BJ291" s="127">
        <f t="shared" si="220"/>
        <v>44689.166666666664</v>
      </c>
      <c r="BK291" s="183"/>
      <c r="BL291" s="477">
        <f>BL289-BL290</f>
        <v>47000</v>
      </c>
      <c r="BM291" s="126">
        <f>BM289-BM290</f>
        <v>43700</v>
      </c>
      <c r="BN291" s="126"/>
      <c r="BO291" s="126"/>
      <c r="BP291" s="126"/>
      <c r="BQ291" s="126"/>
      <c r="BR291" s="126"/>
      <c r="BS291" s="126"/>
      <c r="BT291" s="126"/>
      <c r="BU291" s="126"/>
      <c r="BV291" s="126"/>
      <c r="BW291" s="126"/>
      <c r="BX291" s="126">
        <f t="shared" si="236"/>
        <v>90700</v>
      </c>
      <c r="BY291" s="127">
        <f t="shared" si="230"/>
        <v>45350</v>
      </c>
      <c r="CA291" s="169">
        <f>ROW()</f>
        <v>291</v>
      </c>
      <c r="CB291" s="442">
        <f t="shared" si="237"/>
        <v>-20004</v>
      </c>
      <c r="CC291" s="171">
        <f t="shared" ref="CC291:CC311" si="239">BM12/BM291</f>
        <v>0.54224256292906181</v>
      </c>
      <c r="CD291" s="169">
        <f t="shared" si="238"/>
        <v>-20360</v>
      </c>
      <c r="CE291" s="304">
        <f>BX12/BX291</f>
        <v>0.77552370452039687</v>
      </c>
      <c r="CG291" s="3"/>
    </row>
    <row r="292" spans="1:85" ht="17.399999999999999" customHeight="1" x14ac:dyDescent="0.55000000000000004">
      <c r="A292" s="7210"/>
      <c r="B292" s="7215" t="s">
        <v>1002</v>
      </c>
      <c r="C292" s="62" t="s">
        <v>405</v>
      </c>
      <c r="D292" s="128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30"/>
      <c r="R292" s="469"/>
      <c r="S292" s="128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>
        <f t="shared" si="231"/>
        <v>0</v>
      </c>
      <c r="AF292" s="130">
        <f t="shared" si="232"/>
        <v>0</v>
      </c>
      <c r="AG292" s="183"/>
      <c r="AH292" s="128"/>
      <c r="AI292" s="129"/>
      <c r="AJ292" s="129"/>
      <c r="AK292" s="129"/>
      <c r="AL292" s="129"/>
      <c r="AM292" s="129"/>
      <c r="AN292" s="129"/>
      <c r="AO292" s="129"/>
      <c r="AP292" s="129"/>
      <c r="AQ292" s="129"/>
      <c r="AR292" s="129"/>
      <c r="AS292" s="129"/>
      <c r="AT292" s="129">
        <f t="shared" si="233"/>
        <v>0</v>
      </c>
      <c r="AU292" s="130">
        <f t="shared" si="234"/>
        <v>0</v>
      </c>
      <c r="AV292" s="183"/>
      <c r="AW292" s="478">
        <v>17000</v>
      </c>
      <c r="AX292" s="129">
        <v>26000</v>
      </c>
      <c r="AY292" s="129">
        <v>16500</v>
      </c>
      <c r="AZ292" s="129">
        <v>17000</v>
      </c>
      <c r="BA292" s="129">
        <v>23000</v>
      </c>
      <c r="BB292" s="129">
        <v>28000</v>
      </c>
      <c r="BC292" s="129">
        <v>27000</v>
      </c>
      <c r="BD292" s="129">
        <v>20000</v>
      </c>
      <c r="BE292" s="129">
        <v>25000</v>
      </c>
      <c r="BF292" s="129">
        <v>18000</v>
      </c>
      <c r="BG292" s="129">
        <v>17000</v>
      </c>
      <c r="BH292" s="129">
        <v>16000</v>
      </c>
      <c r="BI292" s="129">
        <f t="shared" si="235"/>
        <v>250500</v>
      </c>
      <c r="BJ292" s="130">
        <f t="shared" si="220"/>
        <v>20875</v>
      </c>
      <c r="BK292" s="183"/>
      <c r="BL292" s="478">
        <v>20000</v>
      </c>
      <c r="BM292" s="129">
        <v>17000</v>
      </c>
      <c r="BN292" s="129"/>
      <c r="BO292" s="129"/>
      <c r="BP292" s="129"/>
      <c r="BQ292" s="129"/>
      <c r="BR292" s="129"/>
      <c r="BS292" s="129"/>
      <c r="BT292" s="129"/>
      <c r="BU292" s="129"/>
      <c r="BV292" s="129"/>
      <c r="BW292" s="129"/>
      <c r="BX292" s="129">
        <f t="shared" si="236"/>
        <v>37000</v>
      </c>
      <c r="BY292" s="130">
        <f t="shared" si="230"/>
        <v>18500</v>
      </c>
      <c r="CA292" s="169">
        <f>ROW()</f>
        <v>292</v>
      </c>
      <c r="CB292" s="442">
        <f t="shared" si="237"/>
        <v>-4976</v>
      </c>
      <c r="CC292" s="171">
        <f t="shared" si="239"/>
        <v>0.70729411764705885</v>
      </c>
      <c r="CD292" s="169">
        <f t="shared" si="238"/>
        <v>-5260</v>
      </c>
      <c r="CE292" s="171">
        <f>BX17/BX292</f>
        <v>0.18497297297297297</v>
      </c>
      <c r="CG292" s="3"/>
    </row>
    <row r="293" spans="1:85" ht="17.399999999999999" customHeight="1" x14ac:dyDescent="0.55000000000000004">
      <c r="A293" s="7210"/>
      <c r="B293" s="7213"/>
      <c r="C293" s="63" t="s">
        <v>1016</v>
      </c>
      <c r="D293" s="131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3"/>
      <c r="R293" s="536"/>
      <c r="S293" s="131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>
        <f t="shared" ref="AE293" si="240">SUM(S293:AD293)</f>
        <v>0</v>
      </c>
      <c r="AF293" s="133">
        <f t="shared" ref="AF293" si="241">AE293/12</f>
        <v>0</v>
      </c>
      <c r="AG293" s="183"/>
      <c r="AH293" s="131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2"/>
      <c r="AS293" s="132"/>
      <c r="AT293" s="132">
        <f t="shared" ref="AT293" si="242">SUM(AH293:AS293)</f>
        <v>0</v>
      </c>
      <c r="AU293" s="133">
        <f t="shared" ref="AU293" si="243">AT293/12</f>
        <v>0</v>
      </c>
      <c r="AV293" s="183"/>
      <c r="AW293" s="479">
        <v>350</v>
      </c>
      <c r="AX293" s="132">
        <v>500</v>
      </c>
      <c r="AY293" s="132">
        <v>300</v>
      </c>
      <c r="AZ293" s="132">
        <v>300</v>
      </c>
      <c r="BA293" s="132">
        <v>500</v>
      </c>
      <c r="BB293" s="132">
        <v>500</v>
      </c>
      <c r="BC293" s="132">
        <v>800</v>
      </c>
      <c r="BD293" s="132">
        <v>500</v>
      </c>
      <c r="BE293" s="132">
        <v>1000</v>
      </c>
      <c r="BF293" s="132">
        <v>500</v>
      </c>
      <c r="BG293" s="132">
        <v>1000</v>
      </c>
      <c r="BH293" s="132">
        <v>300</v>
      </c>
      <c r="BI293" s="132">
        <f t="shared" ref="BI293" si="244">SUM(AW293:BH293)</f>
        <v>6550</v>
      </c>
      <c r="BJ293" s="133">
        <f t="shared" si="220"/>
        <v>545.83333333333337</v>
      </c>
      <c r="BK293" s="183"/>
      <c r="BL293" s="479">
        <v>500</v>
      </c>
      <c r="BM293" s="132">
        <v>500</v>
      </c>
      <c r="BN293" s="132"/>
      <c r="BO293" s="132"/>
      <c r="BP293" s="132"/>
      <c r="BQ293" s="132"/>
      <c r="BR293" s="132"/>
      <c r="BS293" s="132"/>
      <c r="BT293" s="132"/>
      <c r="BU293" s="132"/>
      <c r="BV293" s="132"/>
      <c r="BW293" s="132"/>
      <c r="BX293" s="132">
        <f t="shared" si="236"/>
        <v>1000</v>
      </c>
      <c r="BY293" s="133">
        <f t="shared" si="230"/>
        <v>500</v>
      </c>
      <c r="CA293" s="169">
        <f>ROW()</f>
        <v>293</v>
      </c>
      <c r="CB293" s="442">
        <f t="shared" si="237"/>
        <v>-353</v>
      </c>
      <c r="CC293" s="171">
        <f t="shared" si="239"/>
        <v>0.29399999999999998</v>
      </c>
      <c r="CD293" s="169">
        <f t="shared" si="238"/>
        <v>-586</v>
      </c>
      <c r="CE293" s="171">
        <f>BX17/BX293</f>
        <v>6.8440000000000003</v>
      </c>
      <c r="CG293" s="3"/>
    </row>
    <row r="294" spans="1:85" ht="17.399999999999999" customHeight="1" x14ac:dyDescent="0.55000000000000004">
      <c r="A294" s="7210"/>
      <c r="B294" s="7213"/>
      <c r="C294" s="63" t="s">
        <v>407</v>
      </c>
      <c r="D294" s="131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3"/>
      <c r="R294" s="469"/>
      <c r="S294" s="131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>
        <f t="shared" si="231"/>
        <v>0</v>
      </c>
      <c r="AF294" s="133">
        <f t="shared" si="232"/>
        <v>0</v>
      </c>
      <c r="AG294" s="183"/>
      <c r="AH294" s="131"/>
      <c r="AI294" s="132"/>
      <c r="AJ294" s="132"/>
      <c r="AK294" s="132"/>
      <c r="AL294" s="132"/>
      <c r="AM294" s="132"/>
      <c r="AN294" s="132"/>
      <c r="AO294" s="132"/>
      <c r="AP294" s="132"/>
      <c r="AQ294" s="132"/>
      <c r="AR294" s="132"/>
      <c r="AS294" s="132"/>
      <c r="AT294" s="132">
        <f t="shared" si="233"/>
        <v>0</v>
      </c>
      <c r="AU294" s="133">
        <f t="shared" si="234"/>
        <v>0</v>
      </c>
      <c r="AV294" s="183"/>
      <c r="AW294" s="479">
        <v>23900</v>
      </c>
      <c r="AX294" s="132">
        <v>25000</v>
      </c>
      <c r="AY294" s="132">
        <v>21000</v>
      </c>
      <c r="AZ294" s="132">
        <v>22000</v>
      </c>
      <c r="BA294" s="132">
        <v>24000</v>
      </c>
      <c r="BB294" s="132">
        <v>32000</v>
      </c>
      <c r="BC294" s="132">
        <v>30000</v>
      </c>
      <c r="BD294" s="132">
        <v>25000</v>
      </c>
      <c r="BE294" s="132">
        <v>30000</v>
      </c>
      <c r="BF294" s="132">
        <v>25000</v>
      </c>
      <c r="BG294" s="132">
        <v>25000</v>
      </c>
      <c r="BH294" s="132">
        <v>25000</v>
      </c>
      <c r="BI294" s="132">
        <f t="shared" si="235"/>
        <v>307900</v>
      </c>
      <c r="BJ294" s="133">
        <f t="shared" si="220"/>
        <v>25658.333333333332</v>
      </c>
      <c r="BK294" s="183"/>
      <c r="BL294" s="479">
        <v>27000</v>
      </c>
      <c r="BM294" s="132">
        <v>25000</v>
      </c>
      <c r="BN294" s="132"/>
      <c r="BO294" s="132"/>
      <c r="BP294" s="132"/>
      <c r="BQ294" s="132"/>
      <c r="BR294" s="132"/>
      <c r="BS294" s="132"/>
      <c r="BT294" s="132"/>
      <c r="BU294" s="132"/>
      <c r="BV294" s="132"/>
      <c r="BW294" s="132"/>
      <c r="BX294" s="132">
        <f t="shared" si="236"/>
        <v>52000</v>
      </c>
      <c r="BY294" s="133">
        <f t="shared" si="230"/>
        <v>26000</v>
      </c>
      <c r="CA294" s="169">
        <f>ROW()</f>
        <v>294</v>
      </c>
      <c r="CB294" s="442">
        <f t="shared" si="237"/>
        <v>-7613</v>
      </c>
      <c r="CC294" s="171">
        <f t="shared" si="239"/>
        <v>0.69547999999999999</v>
      </c>
      <c r="CD294" s="169">
        <f>BX15-BX294</f>
        <v>3036</v>
      </c>
      <c r="CE294" s="171">
        <f>BX18/BX294</f>
        <v>0</v>
      </c>
      <c r="CG294" s="3"/>
    </row>
    <row r="295" spans="1:85" ht="17.399999999999999" customHeight="1" x14ac:dyDescent="0.55000000000000004">
      <c r="A295" s="7210"/>
      <c r="B295" s="7213"/>
      <c r="C295" s="63" t="s">
        <v>875</v>
      </c>
      <c r="D295" s="131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3"/>
      <c r="R295" s="469"/>
      <c r="S295" s="131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>
        <f t="shared" si="231"/>
        <v>0</v>
      </c>
      <c r="AF295" s="133">
        <f t="shared" si="232"/>
        <v>0</v>
      </c>
      <c r="AG295" s="183"/>
      <c r="AH295" s="131"/>
      <c r="AI295" s="132"/>
      <c r="AJ295" s="132"/>
      <c r="AK295" s="132"/>
      <c r="AL295" s="132"/>
      <c r="AM295" s="132"/>
      <c r="AN295" s="132"/>
      <c r="AO295" s="132"/>
      <c r="AP295" s="132"/>
      <c r="AQ295" s="132"/>
      <c r="AR295" s="132"/>
      <c r="AS295" s="132"/>
      <c r="AT295" s="132">
        <f t="shared" si="233"/>
        <v>0</v>
      </c>
      <c r="AU295" s="133">
        <f t="shared" si="234"/>
        <v>0</v>
      </c>
      <c r="AV295" s="183"/>
      <c r="AW295" s="479">
        <v>30000</v>
      </c>
      <c r="AX295" s="132">
        <v>30000</v>
      </c>
      <c r="AY295" s="132">
        <v>20000</v>
      </c>
      <c r="AZ295" s="132">
        <v>20000</v>
      </c>
      <c r="BA295" s="132">
        <v>20000</v>
      </c>
      <c r="BB295" s="132">
        <v>25000</v>
      </c>
      <c r="BC295" s="132">
        <v>25000</v>
      </c>
      <c r="BD295" s="132">
        <v>20000</v>
      </c>
      <c r="BE295" s="132">
        <v>30000</v>
      </c>
      <c r="BF295" s="132">
        <v>20000</v>
      </c>
      <c r="BG295" s="132">
        <v>17000</v>
      </c>
      <c r="BH295" s="132">
        <v>15000</v>
      </c>
      <c r="BI295" s="132">
        <f t="shared" si="235"/>
        <v>272000</v>
      </c>
      <c r="BJ295" s="133">
        <f t="shared" si="220"/>
        <v>22666.666666666668</v>
      </c>
      <c r="BK295" s="183"/>
      <c r="BL295" s="479">
        <v>20000</v>
      </c>
      <c r="BM295" s="132">
        <v>20000</v>
      </c>
      <c r="BN295" s="132"/>
      <c r="BO295" s="132"/>
      <c r="BP295" s="132"/>
      <c r="BQ295" s="132"/>
      <c r="BR295" s="132"/>
      <c r="BS295" s="132"/>
      <c r="BT295" s="132"/>
      <c r="BU295" s="132"/>
      <c r="BV295" s="132"/>
      <c r="BW295" s="132"/>
      <c r="BX295" s="132">
        <f t="shared" si="236"/>
        <v>40000</v>
      </c>
      <c r="BY295" s="133">
        <f t="shared" si="230"/>
        <v>20000</v>
      </c>
      <c r="CA295" s="169">
        <f>ROW()</f>
        <v>295</v>
      </c>
      <c r="CB295" s="442">
        <f t="shared" si="237"/>
        <v>-9452</v>
      </c>
      <c r="CC295" s="171">
        <f t="shared" si="239"/>
        <v>0.52739999999999998</v>
      </c>
      <c r="CD295" s="169">
        <f t="shared" si="238"/>
        <v>-12140</v>
      </c>
      <c r="CE295" s="171">
        <f>BX19/BX295</f>
        <v>0.137625</v>
      </c>
      <c r="CG295" s="3"/>
    </row>
    <row r="296" spans="1:85" ht="17.399999999999999" customHeight="1" x14ac:dyDescent="0.55000000000000004">
      <c r="A296" s="7210"/>
      <c r="B296" s="7213"/>
      <c r="C296" s="63" t="s">
        <v>408</v>
      </c>
      <c r="D296" s="131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3"/>
      <c r="R296" s="469"/>
      <c r="S296" s="131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>
        <f t="shared" si="231"/>
        <v>0</v>
      </c>
      <c r="AF296" s="133">
        <f t="shared" si="232"/>
        <v>0</v>
      </c>
      <c r="AG296" s="183"/>
      <c r="AH296" s="131"/>
      <c r="AI296" s="132"/>
      <c r="AJ296" s="132"/>
      <c r="AK296" s="132"/>
      <c r="AL296" s="132"/>
      <c r="AM296" s="132"/>
      <c r="AN296" s="132"/>
      <c r="AO296" s="132"/>
      <c r="AP296" s="132"/>
      <c r="AQ296" s="132"/>
      <c r="AR296" s="132"/>
      <c r="AS296" s="132"/>
      <c r="AT296" s="132">
        <f t="shared" si="233"/>
        <v>0</v>
      </c>
      <c r="AU296" s="133">
        <f t="shared" si="234"/>
        <v>0</v>
      </c>
      <c r="AV296" s="183"/>
      <c r="AW296" s="479">
        <v>4000</v>
      </c>
      <c r="AX296" s="132">
        <v>3500</v>
      </c>
      <c r="AY296" s="132">
        <v>3000</v>
      </c>
      <c r="AZ296" s="132">
        <v>3000</v>
      </c>
      <c r="BA296" s="132">
        <v>3000</v>
      </c>
      <c r="BB296" s="132">
        <v>4500</v>
      </c>
      <c r="BC296" s="132">
        <v>4000</v>
      </c>
      <c r="BD296" s="132">
        <v>5000</v>
      </c>
      <c r="BE296" s="132">
        <v>5000</v>
      </c>
      <c r="BF296" s="132">
        <v>5000</v>
      </c>
      <c r="BG296" s="132">
        <v>5000</v>
      </c>
      <c r="BH296" s="132">
        <v>5000</v>
      </c>
      <c r="BI296" s="132">
        <f t="shared" si="235"/>
        <v>50000</v>
      </c>
      <c r="BJ296" s="133">
        <f t="shared" si="220"/>
        <v>4166.666666666667</v>
      </c>
      <c r="BK296" s="183"/>
      <c r="BL296" s="479">
        <v>5000</v>
      </c>
      <c r="BM296" s="132">
        <v>5000</v>
      </c>
      <c r="BN296" s="132"/>
      <c r="BO296" s="132"/>
      <c r="BP296" s="132"/>
      <c r="BQ296" s="132"/>
      <c r="BR296" s="132"/>
      <c r="BS296" s="132"/>
      <c r="BT296" s="132"/>
      <c r="BU296" s="132"/>
      <c r="BV296" s="132"/>
      <c r="BW296" s="132"/>
      <c r="BX296" s="132">
        <f t="shared" si="236"/>
        <v>10000</v>
      </c>
      <c r="BY296" s="133">
        <f t="shared" si="230"/>
        <v>5000</v>
      </c>
      <c r="CA296" s="169">
        <f>ROW()</f>
        <v>296</v>
      </c>
      <c r="CB296" s="442">
        <f t="shared" si="237"/>
        <v>-2074.9999999999995</v>
      </c>
      <c r="CC296" s="171">
        <f t="shared" si="239"/>
        <v>0.58500000000000008</v>
      </c>
      <c r="CD296" s="169">
        <f t="shared" si="238"/>
        <v>-3156</v>
      </c>
      <c r="CE296" s="171">
        <f>BX21/BX296</f>
        <v>0.67700000000000005</v>
      </c>
      <c r="CG296" s="3"/>
    </row>
    <row r="297" spans="1:85" ht="17.399999999999999" customHeight="1" x14ac:dyDescent="0.55000000000000004">
      <c r="A297" s="7210"/>
      <c r="B297" s="7213"/>
      <c r="C297" s="63" t="s">
        <v>409</v>
      </c>
      <c r="D297" s="131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3"/>
      <c r="R297" s="469"/>
      <c r="S297" s="131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>
        <f t="shared" si="231"/>
        <v>0</v>
      </c>
      <c r="AF297" s="133">
        <f t="shared" si="232"/>
        <v>0</v>
      </c>
      <c r="AG297" s="183"/>
      <c r="AH297" s="131"/>
      <c r="AI297" s="132"/>
      <c r="AJ297" s="132"/>
      <c r="AK297" s="132"/>
      <c r="AL297" s="132"/>
      <c r="AM297" s="132"/>
      <c r="AN297" s="132"/>
      <c r="AO297" s="132"/>
      <c r="AP297" s="132"/>
      <c r="AQ297" s="132"/>
      <c r="AR297" s="132"/>
      <c r="AS297" s="132"/>
      <c r="AT297" s="132">
        <f t="shared" si="233"/>
        <v>0</v>
      </c>
      <c r="AU297" s="133">
        <f t="shared" si="234"/>
        <v>0</v>
      </c>
      <c r="AV297" s="183"/>
      <c r="AW297" s="479"/>
      <c r="AX297" s="132"/>
      <c r="AY297" s="132"/>
      <c r="AZ297" s="132"/>
      <c r="BA297" s="132"/>
      <c r="BB297" s="132"/>
      <c r="BC297" s="132"/>
      <c r="BD297" s="132"/>
      <c r="BE297" s="132"/>
      <c r="BF297" s="132"/>
      <c r="BG297" s="132"/>
      <c r="BH297" s="132"/>
      <c r="BI297" s="132">
        <f t="shared" si="235"/>
        <v>0</v>
      </c>
      <c r="BJ297" s="133"/>
      <c r="BK297" s="183"/>
      <c r="BL297" s="479"/>
      <c r="BM297" s="132"/>
      <c r="BN297" s="132"/>
      <c r="BO297" s="132"/>
      <c r="BP297" s="132"/>
      <c r="BQ297" s="132"/>
      <c r="BR297" s="132"/>
      <c r="BS297" s="132"/>
      <c r="BT297" s="132"/>
      <c r="BU297" s="132"/>
      <c r="BV297" s="132"/>
      <c r="BW297" s="132"/>
      <c r="BX297" s="132">
        <f t="shared" si="236"/>
        <v>0</v>
      </c>
      <c r="BY297" s="133"/>
      <c r="CA297" s="169">
        <f>ROW()</f>
        <v>297</v>
      </c>
      <c r="CB297" s="442">
        <f t="shared" si="237"/>
        <v>0</v>
      </c>
      <c r="CC297" s="171">
        <f>IFERROR(BM18/BM297,0)</f>
        <v>0</v>
      </c>
      <c r="CD297" s="169">
        <f t="shared" si="238"/>
        <v>0</v>
      </c>
      <c r="CE297" s="171">
        <f>IFERROR(BX22/BX297,0)</f>
        <v>0</v>
      </c>
      <c r="CG297" s="3"/>
    </row>
    <row r="298" spans="1:85" ht="17.399999999999999" customHeight="1" x14ac:dyDescent="0.55000000000000004">
      <c r="A298" s="7210"/>
      <c r="B298" s="7203" t="s">
        <v>411</v>
      </c>
      <c r="C298" s="64" t="s">
        <v>400</v>
      </c>
      <c r="D298" s="143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5"/>
      <c r="R298" s="469"/>
      <c r="S298" s="143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>
        <f t="shared" si="231"/>
        <v>0</v>
      </c>
      <c r="AF298" s="145">
        <f t="shared" si="232"/>
        <v>0</v>
      </c>
      <c r="AG298" s="183"/>
      <c r="AH298" s="143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  <c r="AS298" s="144"/>
      <c r="AT298" s="144">
        <f t="shared" si="233"/>
        <v>0</v>
      </c>
      <c r="AU298" s="145">
        <f t="shared" si="234"/>
        <v>0</v>
      </c>
      <c r="AV298" s="183"/>
      <c r="AW298" s="481">
        <v>2775</v>
      </c>
      <c r="AX298" s="144">
        <v>4245</v>
      </c>
      <c r="AY298" s="144">
        <v>2694</v>
      </c>
      <c r="AZ298" s="144">
        <v>2775</v>
      </c>
      <c r="BA298" s="144">
        <v>3754</v>
      </c>
      <c r="BB298" s="144">
        <v>4571</v>
      </c>
      <c r="BC298" s="144">
        <v>4408</v>
      </c>
      <c r="BD298" s="144">
        <v>3265</v>
      </c>
      <c r="BE298" s="144">
        <v>4080</v>
      </c>
      <c r="BF298" s="144">
        <v>2939</v>
      </c>
      <c r="BG298" s="144">
        <v>2775</v>
      </c>
      <c r="BH298" s="144">
        <v>2610</v>
      </c>
      <c r="BI298" s="144">
        <f t="shared" si="235"/>
        <v>40891</v>
      </c>
      <c r="BJ298" s="145">
        <f t="shared" si="220"/>
        <v>3407.5833333333335</v>
      </c>
      <c r="BK298" s="183"/>
      <c r="BL298" s="481">
        <v>3420</v>
      </c>
      <c r="BM298" s="144">
        <v>2908</v>
      </c>
      <c r="BN298" s="144"/>
      <c r="BO298" s="144"/>
      <c r="BP298" s="144"/>
      <c r="BQ298" s="144"/>
      <c r="BR298" s="144"/>
      <c r="BS298" s="144"/>
      <c r="BT298" s="144"/>
      <c r="BU298" s="144"/>
      <c r="BV298" s="144"/>
      <c r="BW298" s="144"/>
      <c r="BX298" s="144">
        <f t="shared" si="236"/>
        <v>6328</v>
      </c>
      <c r="BY298" s="145">
        <f t="shared" si="230"/>
        <v>3164</v>
      </c>
      <c r="CA298" s="169">
        <f>ROW()</f>
        <v>298</v>
      </c>
      <c r="CB298" s="442">
        <f t="shared" si="237"/>
        <v>-851</v>
      </c>
      <c r="CC298" s="171">
        <f t="shared" si="239"/>
        <v>0.70735900962861076</v>
      </c>
      <c r="CD298" s="169">
        <f t="shared" si="238"/>
        <v>-823</v>
      </c>
      <c r="CE298" s="171">
        <f t="shared" ref="CE298:CE318" si="245">BX23/BX298</f>
        <v>1.0088495575221239</v>
      </c>
      <c r="CG298" s="3"/>
    </row>
    <row r="299" spans="1:85" ht="17.399999999999999" customHeight="1" x14ac:dyDescent="0.55000000000000004">
      <c r="A299" s="7210"/>
      <c r="B299" s="7204"/>
      <c r="C299" s="65" t="s">
        <v>401</v>
      </c>
      <c r="D299" s="146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8"/>
      <c r="R299" s="469"/>
      <c r="S299" s="146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>
        <f t="shared" si="231"/>
        <v>0</v>
      </c>
      <c r="AF299" s="148">
        <f t="shared" si="232"/>
        <v>0</v>
      </c>
      <c r="AG299" s="183"/>
      <c r="AH299" s="146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S299" s="147"/>
      <c r="AT299" s="147">
        <f t="shared" si="233"/>
        <v>0</v>
      </c>
      <c r="AU299" s="148">
        <f t="shared" si="234"/>
        <v>0</v>
      </c>
      <c r="AV299" s="183"/>
      <c r="AW299" s="482">
        <v>2835</v>
      </c>
      <c r="AX299" s="147">
        <v>4336</v>
      </c>
      <c r="AY299" s="147">
        <v>2751</v>
      </c>
      <c r="AZ299" s="147">
        <v>2835</v>
      </c>
      <c r="BA299" s="147">
        <v>3835</v>
      </c>
      <c r="BB299" s="147">
        <v>4668</v>
      </c>
      <c r="BC299" s="147">
        <v>4501</v>
      </c>
      <c r="BD299" s="147">
        <v>3335</v>
      </c>
      <c r="BE299" s="147">
        <v>4169</v>
      </c>
      <c r="BF299" s="147">
        <v>3001</v>
      </c>
      <c r="BG299" s="147">
        <v>2835</v>
      </c>
      <c r="BH299" s="147">
        <v>2668</v>
      </c>
      <c r="BI299" s="147">
        <f t="shared" si="235"/>
        <v>41769</v>
      </c>
      <c r="BJ299" s="148">
        <f t="shared" si="220"/>
        <v>3480.75</v>
      </c>
      <c r="BK299" s="183"/>
      <c r="BL299" s="482">
        <v>3464</v>
      </c>
      <c r="BM299" s="147">
        <v>2944</v>
      </c>
      <c r="BN299" s="147"/>
      <c r="BO299" s="147"/>
      <c r="BP299" s="147"/>
      <c r="BQ299" s="147"/>
      <c r="BR299" s="147"/>
      <c r="BS299" s="147"/>
      <c r="BT299" s="147"/>
      <c r="BU299" s="147"/>
      <c r="BV299" s="147"/>
      <c r="BW299" s="147"/>
      <c r="BX299" s="147">
        <f t="shared" si="236"/>
        <v>6408</v>
      </c>
      <c r="BY299" s="148">
        <f t="shared" si="230"/>
        <v>3204</v>
      </c>
      <c r="CA299" s="169">
        <f>ROW()</f>
        <v>299</v>
      </c>
      <c r="CB299" s="442">
        <f t="shared" si="237"/>
        <v>-849</v>
      </c>
      <c r="CC299" s="171">
        <f t="shared" si="239"/>
        <v>0.71161684782608692</v>
      </c>
      <c r="CD299" s="169">
        <f t="shared" si="238"/>
        <v>-916</v>
      </c>
      <c r="CE299" s="171">
        <f t="shared" si="245"/>
        <v>0.42540574282147314</v>
      </c>
      <c r="CG299" s="3"/>
    </row>
    <row r="300" spans="1:85" ht="17.399999999999999" customHeight="1" x14ac:dyDescent="0.55000000000000004">
      <c r="A300" s="7210"/>
      <c r="B300" s="7204"/>
      <c r="C300" s="65" t="s">
        <v>402</v>
      </c>
      <c r="D300" s="146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8"/>
      <c r="R300" s="469"/>
      <c r="S300" s="146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>
        <f t="shared" si="231"/>
        <v>0</v>
      </c>
      <c r="AF300" s="148">
        <f t="shared" si="232"/>
        <v>0</v>
      </c>
      <c r="AG300" s="183"/>
      <c r="AH300" s="146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S300" s="147"/>
      <c r="AT300" s="147">
        <f t="shared" si="233"/>
        <v>0</v>
      </c>
      <c r="AU300" s="148">
        <f t="shared" si="234"/>
        <v>0</v>
      </c>
      <c r="AV300" s="183"/>
      <c r="AW300" s="482">
        <v>3713</v>
      </c>
      <c r="AX300" s="147">
        <v>5678</v>
      </c>
      <c r="AY300" s="147">
        <v>3604</v>
      </c>
      <c r="AZ300" s="147">
        <v>3713</v>
      </c>
      <c r="BA300" s="147">
        <v>5023</v>
      </c>
      <c r="BB300" s="147">
        <v>6115</v>
      </c>
      <c r="BC300" s="147">
        <v>5896</v>
      </c>
      <c r="BD300" s="147">
        <v>4368</v>
      </c>
      <c r="BE300" s="147">
        <v>5460</v>
      </c>
      <c r="BF300" s="147">
        <v>3931</v>
      </c>
      <c r="BG300" s="147">
        <v>3713</v>
      </c>
      <c r="BH300" s="147">
        <v>3495</v>
      </c>
      <c r="BI300" s="147">
        <f t="shared" si="235"/>
        <v>54709</v>
      </c>
      <c r="BJ300" s="148">
        <f t="shared" si="220"/>
        <v>4559.083333333333</v>
      </c>
      <c r="BK300" s="183"/>
      <c r="BL300" s="482">
        <v>4374</v>
      </c>
      <c r="BM300" s="147">
        <v>3718</v>
      </c>
      <c r="BN300" s="147"/>
      <c r="BO300" s="147"/>
      <c r="BP300" s="147"/>
      <c r="BQ300" s="147"/>
      <c r="BR300" s="147"/>
      <c r="BS300" s="147"/>
      <c r="BT300" s="147"/>
      <c r="BU300" s="147"/>
      <c r="BV300" s="147"/>
      <c r="BW300" s="147"/>
      <c r="BX300" s="147">
        <f t="shared" si="236"/>
        <v>8092</v>
      </c>
      <c r="BY300" s="148">
        <f t="shared" si="230"/>
        <v>4046</v>
      </c>
      <c r="CA300" s="169">
        <f>ROW()</f>
        <v>300</v>
      </c>
      <c r="CB300" s="442">
        <f t="shared" si="237"/>
        <v>-1124.0000000000005</v>
      </c>
      <c r="CC300" s="171">
        <f t="shared" si="239"/>
        <v>0.69768692845615909</v>
      </c>
      <c r="CD300" s="169">
        <f t="shared" si="238"/>
        <v>-1322</v>
      </c>
      <c r="CE300" s="171">
        <f t="shared" si="245"/>
        <v>0.34342560553633217</v>
      </c>
      <c r="CG300" s="3"/>
    </row>
    <row r="301" spans="1:85" ht="17.399999999999999" customHeight="1" x14ac:dyDescent="0.55000000000000004">
      <c r="A301" s="7210"/>
      <c r="B301" s="7204"/>
      <c r="C301" s="65" t="s">
        <v>403</v>
      </c>
      <c r="D301" s="146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8"/>
      <c r="R301" s="469"/>
      <c r="S301" s="146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>
        <f t="shared" si="231"/>
        <v>0</v>
      </c>
      <c r="AF301" s="148">
        <f t="shared" si="232"/>
        <v>0</v>
      </c>
      <c r="AG301" s="183"/>
      <c r="AH301" s="146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S301" s="147"/>
      <c r="AT301" s="147">
        <f t="shared" si="233"/>
        <v>0</v>
      </c>
      <c r="AU301" s="148">
        <f t="shared" si="234"/>
        <v>0</v>
      </c>
      <c r="AV301" s="183"/>
      <c r="AW301" s="482">
        <v>4260</v>
      </c>
      <c r="AX301" s="147">
        <v>6515</v>
      </c>
      <c r="AY301" s="147">
        <v>4135</v>
      </c>
      <c r="AZ301" s="147">
        <v>4260</v>
      </c>
      <c r="BA301" s="147">
        <v>5764</v>
      </c>
      <c r="BB301" s="147">
        <v>7017</v>
      </c>
      <c r="BC301" s="147">
        <v>6766</v>
      </c>
      <c r="BD301" s="147">
        <v>5012</v>
      </c>
      <c r="BE301" s="147">
        <v>6266</v>
      </c>
      <c r="BF301" s="147">
        <v>4511</v>
      </c>
      <c r="BG301" s="147">
        <v>4260</v>
      </c>
      <c r="BH301" s="147">
        <v>4010</v>
      </c>
      <c r="BI301" s="147">
        <f t="shared" si="235"/>
        <v>62776</v>
      </c>
      <c r="BJ301" s="148">
        <f t="shared" si="220"/>
        <v>5231.333333333333</v>
      </c>
      <c r="BK301" s="183"/>
      <c r="BL301" s="482">
        <v>4903</v>
      </c>
      <c r="BM301" s="147">
        <v>4167</v>
      </c>
      <c r="BN301" s="147"/>
      <c r="BO301" s="147"/>
      <c r="BP301" s="147"/>
      <c r="BQ301" s="147"/>
      <c r="BR301" s="147"/>
      <c r="BS301" s="147"/>
      <c r="BT301" s="147"/>
      <c r="BU301" s="147"/>
      <c r="BV301" s="147"/>
      <c r="BW301" s="147"/>
      <c r="BX301" s="147">
        <f t="shared" si="236"/>
        <v>9070</v>
      </c>
      <c r="BY301" s="148">
        <f t="shared" si="230"/>
        <v>4535</v>
      </c>
      <c r="CA301" s="169">
        <f>ROW()</f>
        <v>301</v>
      </c>
      <c r="CB301" s="442">
        <f t="shared" si="237"/>
        <v>-1334</v>
      </c>
      <c r="CC301" s="171">
        <f t="shared" si="239"/>
        <v>0.67986561075113994</v>
      </c>
      <c r="CD301" s="169">
        <f t="shared" si="238"/>
        <v>-1481</v>
      </c>
      <c r="CE301" s="171">
        <f t="shared" si="245"/>
        <v>0.26615214994487318</v>
      </c>
      <c r="CG301" s="3"/>
    </row>
    <row r="302" spans="1:85" ht="17.399999999999999" customHeight="1" x14ac:dyDescent="0.55000000000000004">
      <c r="A302" s="7210"/>
      <c r="B302" s="7205"/>
      <c r="C302" s="66" t="s">
        <v>404</v>
      </c>
      <c r="D302" s="149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1"/>
      <c r="R302" s="469"/>
      <c r="S302" s="149"/>
      <c r="T302" s="150"/>
      <c r="U302" s="150"/>
      <c r="V302" s="150"/>
      <c r="W302" s="150"/>
      <c r="X302" s="150"/>
      <c r="Y302" s="150"/>
      <c r="Z302" s="150"/>
      <c r="AA302" s="150"/>
      <c r="AB302" s="150"/>
      <c r="AC302" s="150"/>
      <c r="AD302" s="150"/>
      <c r="AE302" s="150">
        <f t="shared" si="231"/>
        <v>0</v>
      </c>
      <c r="AF302" s="151">
        <f t="shared" si="232"/>
        <v>0</v>
      </c>
      <c r="AG302" s="183"/>
      <c r="AH302" s="149"/>
      <c r="AI302" s="150"/>
      <c r="AJ302" s="150"/>
      <c r="AK302" s="150"/>
      <c r="AL302" s="150"/>
      <c r="AM302" s="150"/>
      <c r="AN302" s="150"/>
      <c r="AO302" s="150"/>
      <c r="AP302" s="150"/>
      <c r="AQ302" s="150"/>
      <c r="AR302" s="150"/>
      <c r="AS302" s="150"/>
      <c r="AT302" s="150">
        <f t="shared" si="233"/>
        <v>0</v>
      </c>
      <c r="AU302" s="151">
        <f t="shared" si="234"/>
        <v>0</v>
      </c>
      <c r="AV302" s="183"/>
      <c r="AW302" s="483">
        <v>3417</v>
      </c>
      <c r="AX302" s="150">
        <v>5226</v>
      </c>
      <c r="AY302" s="150">
        <v>3316</v>
      </c>
      <c r="AZ302" s="150">
        <v>3417</v>
      </c>
      <c r="BA302" s="150">
        <v>4624</v>
      </c>
      <c r="BB302" s="150">
        <v>5629</v>
      </c>
      <c r="BC302" s="150">
        <v>5429</v>
      </c>
      <c r="BD302" s="150">
        <v>4020</v>
      </c>
      <c r="BE302" s="150">
        <v>5025</v>
      </c>
      <c r="BF302" s="150">
        <v>3618</v>
      </c>
      <c r="BG302" s="150">
        <v>3417</v>
      </c>
      <c r="BH302" s="150">
        <v>3217</v>
      </c>
      <c r="BI302" s="150">
        <f t="shared" si="235"/>
        <v>50355</v>
      </c>
      <c r="BJ302" s="151">
        <f t="shared" si="220"/>
        <v>4196.25</v>
      </c>
      <c r="BK302" s="183"/>
      <c r="BL302" s="483">
        <v>3839</v>
      </c>
      <c r="BM302" s="150">
        <v>3263</v>
      </c>
      <c r="BN302" s="150"/>
      <c r="BO302" s="150"/>
      <c r="BP302" s="150"/>
      <c r="BQ302" s="150"/>
      <c r="BR302" s="150"/>
      <c r="BS302" s="150"/>
      <c r="BT302" s="150"/>
      <c r="BU302" s="150"/>
      <c r="BV302" s="150"/>
      <c r="BW302" s="150"/>
      <c r="BX302" s="150">
        <f t="shared" si="236"/>
        <v>7102</v>
      </c>
      <c r="BY302" s="151">
        <f t="shared" si="230"/>
        <v>3551</v>
      </c>
      <c r="CA302" s="169">
        <f>ROW()</f>
        <v>302</v>
      </c>
      <c r="CB302" s="442">
        <f t="shared" si="237"/>
        <v>-818</v>
      </c>
      <c r="CC302" s="171">
        <f t="shared" si="239"/>
        <v>0.74931045050566958</v>
      </c>
      <c r="CD302" s="169">
        <f t="shared" si="238"/>
        <v>-718</v>
      </c>
      <c r="CE302" s="171">
        <f t="shared" si="245"/>
        <v>0.43339904252323291</v>
      </c>
      <c r="CG302" s="3"/>
    </row>
    <row r="303" spans="1:85" ht="17.399999999999999" customHeight="1" x14ac:dyDescent="0.55000000000000004">
      <c r="A303" s="7210"/>
      <c r="B303" s="7206" t="s">
        <v>412</v>
      </c>
      <c r="C303" s="67" t="s">
        <v>211</v>
      </c>
      <c r="D303" s="152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4"/>
      <c r="R303" s="469"/>
      <c r="S303" s="152"/>
      <c r="T303" s="153"/>
      <c r="U303" s="153"/>
      <c r="V303" s="153"/>
      <c r="W303" s="153"/>
      <c r="X303" s="153"/>
      <c r="Y303" s="153"/>
      <c r="Z303" s="153"/>
      <c r="AA303" s="153"/>
      <c r="AB303" s="153"/>
      <c r="AC303" s="153"/>
      <c r="AD303" s="153"/>
      <c r="AE303" s="153">
        <f t="shared" si="231"/>
        <v>0</v>
      </c>
      <c r="AF303" s="154">
        <f t="shared" si="232"/>
        <v>0</v>
      </c>
      <c r="AG303" s="183"/>
      <c r="AH303" s="152"/>
      <c r="AI303" s="153"/>
      <c r="AJ303" s="153"/>
      <c r="AK303" s="153"/>
      <c r="AL303" s="153"/>
      <c r="AM303" s="153"/>
      <c r="AN303" s="153"/>
      <c r="AO303" s="153"/>
      <c r="AP303" s="153"/>
      <c r="AQ303" s="153"/>
      <c r="AR303" s="153"/>
      <c r="AS303" s="153"/>
      <c r="AT303" s="153">
        <f t="shared" si="233"/>
        <v>0</v>
      </c>
      <c r="AU303" s="154">
        <f t="shared" si="234"/>
        <v>0</v>
      </c>
      <c r="AV303" s="183"/>
      <c r="AW303" s="487">
        <v>1396</v>
      </c>
      <c r="AX303" s="153">
        <v>2135</v>
      </c>
      <c r="AY303" s="153">
        <v>1355</v>
      </c>
      <c r="AZ303" s="153">
        <v>1396</v>
      </c>
      <c r="BA303" s="153">
        <v>1888</v>
      </c>
      <c r="BB303" s="153">
        <v>2299</v>
      </c>
      <c r="BC303" s="153">
        <v>2217</v>
      </c>
      <c r="BD303" s="153">
        <v>1642</v>
      </c>
      <c r="BE303" s="153">
        <v>2052</v>
      </c>
      <c r="BF303" s="153">
        <v>1478</v>
      </c>
      <c r="BG303" s="153">
        <v>1396</v>
      </c>
      <c r="BH303" s="153">
        <v>1314</v>
      </c>
      <c r="BI303" s="153">
        <f t="shared" si="235"/>
        <v>20568</v>
      </c>
      <c r="BJ303" s="154">
        <f t="shared" si="220"/>
        <v>1714</v>
      </c>
      <c r="BK303" s="183"/>
      <c r="BL303" s="487">
        <v>1699</v>
      </c>
      <c r="BM303" s="153">
        <v>1445</v>
      </c>
      <c r="BN303" s="153"/>
      <c r="BO303" s="153"/>
      <c r="BP303" s="153"/>
      <c r="BQ303" s="153"/>
      <c r="BR303" s="153"/>
      <c r="BS303" s="153"/>
      <c r="BT303" s="153"/>
      <c r="BU303" s="153"/>
      <c r="BV303" s="153"/>
      <c r="BW303" s="153"/>
      <c r="BX303" s="153">
        <f t="shared" si="236"/>
        <v>3144</v>
      </c>
      <c r="BY303" s="154">
        <f t="shared" si="230"/>
        <v>1572</v>
      </c>
      <c r="CA303" s="169">
        <f>ROW()</f>
        <v>303</v>
      </c>
      <c r="CB303" s="442">
        <f t="shared" si="237"/>
        <v>-446</v>
      </c>
      <c r="CC303" s="171">
        <f t="shared" si="239"/>
        <v>0.69134948096885818</v>
      </c>
      <c r="CD303" s="169">
        <f t="shared" si="238"/>
        <v>-418</v>
      </c>
      <c r="CE303" s="171">
        <f t="shared" si="245"/>
        <v>1.309796437659033</v>
      </c>
      <c r="CG303" s="3"/>
    </row>
    <row r="304" spans="1:85" ht="17.399999999999999" customHeight="1" x14ac:dyDescent="0.55000000000000004">
      <c r="A304" s="7210"/>
      <c r="B304" s="7207"/>
      <c r="C304" s="67" t="s">
        <v>212</v>
      </c>
      <c r="D304" s="152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4"/>
      <c r="R304" s="469"/>
      <c r="S304" s="152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153"/>
      <c r="AD304" s="153"/>
      <c r="AE304" s="153">
        <f t="shared" si="231"/>
        <v>0</v>
      </c>
      <c r="AF304" s="154">
        <f t="shared" si="232"/>
        <v>0</v>
      </c>
      <c r="AG304" s="183"/>
      <c r="AH304" s="152"/>
      <c r="AI304" s="153"/>
      <c r="AJ304" s="153"/>
      <c r="AK304" s="153"/>
      <c r="AL304" s="153"/>
      <c r="AM304" s="153"/>
      <c r="AN304" s="153"/>
      <c r="AO304" s="153"/>
      <c r="AP304" s="153"/>
      <c r="AQ304" s="153"/>
      <c r="AR304" s="153"/>
      <c r="AS304" s="153"/>
      <c r="AT304" s="153">
        <f t="shared" si="233"/>
        <v>0</v>
      </c>
      <c r="AU304" s="154">
        <f t="shared" si="234"/>
        <v>0</v>
      </c>
      <c r="AV304" s="183"/>
      <c r="AW304" s="487">
        <v>1379</v>
      </c>
      <c r="AX304" s="153">
        <v>2110</v>
      </c>
      <c r="AY304" s="153">
        <v>1339</v>
      </c>
      <c r="AZ304" s="153">
        <v>1379</v>
      </c>
      <c r="BA304" s="153">
        <v>1866</v>
      </c>
      <c r="BB304" s="153">
        <v>2272</v>
      </c>
      <c r="BC304" s="153">
        <v>2191</v>
      </c>
      <c r="BD304" s="153">
        <v>1623</v>
      </c>
      <c r="BE304" s="153">
        <v>2028</v>
      </c>
      <c r="BF304" s="153">
        <v>1461</v>
      </c>
      <c r="BG304" s="153">
        <v>1379</v>
      </c>
      <c r="BH304" s="153">
        <v>1296</v>
      </c>
      <c r="BI304" s="153">
        <f t="shared" si="235"/>
        <v>20323</v>
      </c>
      <c r="BJ304" s="154">
        <f t="shared" si="220"/>
        <v>1693.5833333333333</v>
      </c>
      <c r="BK304" s="183"/>
      <c r="BL304" s="487">
        <v>1721</v>
      </c>
      <c r="BM304" s="153">
        <v>1463</v>
      </c>
      <c r="BN304" s="153"/>
      <c r="BO304" s="153"/>
      <c r="BP304" s="153"/>
      <c r="BQ304" s="153"/>
      <c r="BR304" s="153"/>
      <c r="BS304" s="153"/>
      <c r="BT304" s="153"/>
      <c r="BU304" s="153"/>
      <c r="BV304" s="153"/>
      <c r="BW304" s="153"/>
      <c r="BX304" s="153">
        <f t="shared" si="236"/>
        <v>3184</v>
      </c>
      <c r="BY304" s="154">
        <f t="shared" si="230"/>
        <v>1592</v>
      </c>
      <c r="CA304" s="169">
        <f>ROW()</f>
        <v>304</v>
      </c>
      <c r="CB304" s="442">
        <f t="shared" si="237"/>
        <v>-405</v>
      </c>
      <c r="CC304" s="171">
        <f t="shared" si="239"/>
        <v>0.72317156527682847</v>
      </c>
      <c r="CD304" s="169">
        <f t="shared" si="238"/>
        <v>-405</v>
      </c>
      <c r="CE304" s="171">
        <f t="shared" si="245"/>
        <v>0.83291457286432158</v>
      </c>
      <c r="CG304" s="3"/>
    </row>
    <row r="305" spans="1:85" ht="17.399999999999999" customHeight="1" x14ac:dyDescent="0.55000000000000004">
      <c r="A305" s="7210"/>
      <c r="B305" s="7207"/>
      <c r="C305" s="68" t="s">
        <v>213</v>
      </c>
      <c r="D305" s="155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7"/>
      <c r="R305" s="469"/>
      <c r="S305" s="155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  <c r="AD305" s="156"/>
      <c r="AE305" s="156">
        <f t="shared" si="231"/>
        <v>0</v>
      </c>
      <c r="AF305" s="157">
        <f t="shared" si="232"/>
        <v>0</v>
      </c>
      <c r="AG305" s="183"/>
      <c r="AH305" s="155"/>
      <c r="AI305" s="156"/>
      <c r="AJ305" s="156"/>
      <c r="AK305" s="156"/>
      <c r="AL305" s="156"/>
      <c r="AM305" s="156"/>
      <c r="AN305" s="156"/>
      <c r="AO305" s="156"/>
      <c r="AP305" s="156"/>
      <c r="AQ305" s="156"/>
      <c r="AR305" s="156"/>
      <c r="AS305" s="156"/>
      <c r="AT305" s="156">
        <f t="shared" si="233"/>
        <v>0</v>
      </c>
      <c r="AU305" s="157">
        <f t="shared" si="234"/>
        <v>0</v>
      </c>
      <c r="AV305" s="183"/>
      <c r="AW305" s="488">
        <v>1257</v>
      </c>
      <c r="AX305" s="156">
        <v>1923</v>
      </c>
      <c r="AY305" s="156">
        <v>1220</v>
      </c>
      <c r="AZ305" s="156">
        <v>1257</v>
      </c>
      <c r="BA305" s="156">
        <v>1701</v>
      </c>
      <c r="BB305" s="156">
        <v>2070</v>
      </c>
      <c r="BC305" s="156">
        <v>1996</v>
      </c>
      <c r="BD305" s="156">
        <v>1479</v>
      </c>
      <c r="BE305" s="156">
        <v>1849</v>
      </c>
      <c r="BF305" s="156">
        <v>1331</v>
      </c>
      <c r="BG305" s="156">
        <v>1257</v>
      </c>
      <c r="BH305" s="156">
        <v>1183</v>
      </c>
      <c r="BI305" s="156">
        <f t="shared" si="235"/>
        <v>18523</v>
      </c>
      <c r="BJ305" s="157">
        <f t="shared" si="220"/>
        <v>1543.5833333333333</v>
      </c>
      <c r="BK305" s="183"/>
      <c r="BL305" s="488">
        <v>1573</v>
      </c>
      <c r="BM305" s="156">
        <v>1337</v>
      </c>
      <c r="BN305" s="156"/>
      <c r="BO305" s="156"/>
      <c r="BP305" s="156"/>
      <c r="BQ305" s="156"/>
      <c r="BR305" s="156"/>
      <c r="BS305" s="156"/>
      <c r="BT305" s="156"/>
      <c r="BU305" s="156"/>
      <c r="BV305" s="156"/>
      <c r="BW305" s="156"/>
      <c r="BX305" s="156">
        <f t="shared" si="236"/>
        <v>2910</v>
      </c>
      <c r="BY305" s="157">
        <f t="shared" si="230"/>
        <v>1455</v>
      </c>
      <c r="CA305" s="169">
        <f>ROW()</f>
        <v>305</v>
      </c>
      <c r="CB305" s="442">
        <f t="shared" si="237"/>
        <v>-424</v>
      </c>
      <c r="CC305" s="171">
        <f t="shared" si="239"/>
        <v>0.68287210172026924</v>
      </c>
      <c r="CD305" s="169">
        <f t="shared" si="238"/>
        <v>-496</v>
      </c>
      <c r="CE305" s="171">
        <f t="shared" si="245"/>
        <v>1.3237113402061855</v>
      </c>
      <c r="CG305" s="3"/>
    </row>
    <row r="306" spans="1:85" ht="17.399999999999999" customHeight="1" x14ac:dyDescent="0.55000000000000004">
      <c r="A306" s="7210"/>
      <c r="B306" s="7207"/>
      <c r="C306" s="68" t="s">
        <v>214</v>
      </c>
      <c r="D306" s="155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7"/>
      <c r="R306" s="469"/>
      <c r="S306" s="155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  <c r="AD306" s="156"/>
      <c r="AE306" s="156">
        <f t="shared" si="231"/>
        <v>0</v>
      </c>
      <c r="AF306" s="157">
        <f t="shared" si="232"/>
        <v>0</v>
      </c>
      <c r="AG306" s="183"/>
      <c r="AH306" s="155"/>
      <c r="AI306" s="156"/>
      <c r="AJ306" s="156"/>
      <c r="AK306" s="156"/>
      <c r="AL306" s="156"/>
      <c r="AM306" s="156"/>
      <c r="AN306" s="156"/>
      <c r="AO306" s="156"/>
      <c r="AP306" s="156"/>
      <c r="AQ306" s="156"/>
      <c r="AR306" s="156"/>
      <c r="AS306" s="156"/>
      <c r="AT306" s="156">
        <f t="shared" si="233"/>
        <v>0</v>
      </c>
      <c r="AU306" s="157">
        <f t="shared" si="234"/>
        <v>0</v>
      </c>
      <c r="AV306" s="183"/>
      <c r="AW306" s="488">
        <v>1578</v>
      </c>
      <c r="AX306" s="156">
        <v>2413</v>
      </c>
      <c r="AY306" s="156">
        <v>1531</v>
      </c>
      <c r="AZ306" s="156">
        <v>1578</v>
      </c>
      <c r="BA306" s="156">
        <v>2134</v>
      </c>
      <c r="BB306" s="156">
        <v>2598</v>
      </c>
      <c r="BC306" s="156">
        <v>2505</v>
      </c>
      <c r="BD306" s="156">
        <v>1856</v>
      </c>
      <c r="BE306" s="156">
        <v>2320</v>
      </c>
      <c r="BF306" s="156">
        <v>1670</v>
      </c>
      <c r="BG306" s="156">
        <v>1578</v>
      </c>
      <c r="BH306" s="156">
        <v>1485</v>
      </c>
      <c r="BI306" s="156">
        <f t="shared" si="235"/>
        <v>23246</v>
      </c>
      <c r="BJ306" s="157">
        <f t="shared" si="220"/>
        <v>1937.1666666666667</v>
      </c>
      <c r="BK306" s="183"/>
      <c r="BL306" s="488">
        <v>1891</v>
      </c>
      <c r="BM306" s="156">
        <v>1607</v>
      </c>
      <c r="BN306" s="156"/>
      <c r="BO306" s="156"/>
      <c r="BP306" s="156"/>
      <c r="BQ306" s="156"/>
      <c r="BR306" s="156"/>
      <c r="BS306" s="156"/>
      <c r="BT306" s="156"/>
      <c r="BU306" s="156"/>
      <c r="BV306" s="156"/>
      <c r="BW306" s="156"/>
      <c r="BX306" s="156">
        <f t="shared" si="236"/>
        <v>3498</v>
      </c>
      <c r="BY306" s="157">
        <f t="shared" si="230"/>
        <v>1749</v>
      </c>
      <c r="CA306" s="169">
        <f>ROW()</f>
        <v>306</v>
      </c>
      <c r="CB306" s="442">
        <f t="shared" si="237"/>
        <v>-425</v>
      </c>
      <c r="CC306" s="171">
        <f t="shared" si="239"/>
        <v>0.73553204729309274</v>
      </c>
      <c r="CD306" s="169">
        <f t="shared" si="238"/>
        <v>-420</v>
      </c>
      <c r="CE306" s="171">
        <f t="shared" si="245"/>
        <v>1.0683247570040022</v>
      </c>
      <c r="CG306" s="3"/>
    </row>
    <row r="307" spans="1:85" ht="17.399999999999999" customHeight="1" x14ac:dyDescent="0.55000000000000004">
      <c r="A307" s="7210"/>
      <c r="B307" s="7207"/>
      <c r="C307" s="67" t="s">
        <v>215</v>
      </c>
      <c r="D307" s="152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4"/>
      <c r="R307" s="469"/>
      <c r="S307" s="152"/>
      <c r="T307" s="153"/>
      <c r="U307" s="153"/>
      <c r="V307" s="153"/>
      <c r="W307" s="153"/>
      <c r="X307" s="153"/>
      <c r="Y307" s="153"/>
      <c r="Z307" s="153"/>
      <c r="AA307" s="153"/>
      <c r="AB307" s="153"/>
      <c r="AC307" s="153"/>
      <c r="AD307" s="153"/>
      <c r="AE307" s="153">
        <f t="shared" si="231"/>
        <v>0</v>
      </c>
      <c r="AF307" s="154">
        <f t="shared" si="232"/>
        <v>0</v>
      </c>
      <c r="AG307" s="183"/>
      <c r="AH307" s="152"/>
      <c r="AI307" s="153"/>
      <c r="AJ307" s="153"/>
      <c r="AK307" s="153"/>
      <c r="AL307" s="153"/>
      <c r="AM307" s="153"/>
      <c r="AN307" s="153"/>
      <c r="AO307" s="153"/>
      <c r="AP307" s="153"/>
      <c r="AQ307" s="153"/>
      <c r="AR307" s="153"/>
      <c r="AS307" s="153"/>
      <c r="AT307" s="153">
        <f t="shared" si="233"/>
        <v>0</v>
      </c>
      <c r="AU307" s="154">
        <f t="shared" si="234"/>
        <v>0</v>
      </c>
      <c r="AV307" s="183"/>
      <c r="AW307" s="487">
        <v>2279</v>
      </c>
      <c r="AX307" s="153">
        <v>3485</v>
      </c>
      <c r="AY307" s="153">
        <v>2212</v>
      </c>
      <c r="AZ307" s="153">
        <v>2279</v>
      </c>
      <c r="BA307" s="153">
        <v>3083</v>
      </c>
      <c r="BB307" s="153">
        <v>3753</v>
      </c>
      <c r="BC307" s="153">
        <v>3619</v>
      </c>
      <c r="BD307" s="153">
        <v>2681</v>
      </c>
      <c r="BE307" s="153">
        <v>3351</v>
      </c>
      <c r="BF307" s="153">
        <v>2413</v>
      </c>
      <c r="BG307" s="153">
        <v>2279</v>
      </c>
      <c r="BH307" s="153">
        <v>2145</v>
      </c>
      <c r="BI307" s="153">
        <f t="shared" si="235"/>
        <v>33579</v>
      </c>
      <c r="BJ307" s="154">
        <f t="shared" si="220"/>
        <v>2798.25</v>
      </c>
      <c r="BK307" s="183"/>
      <c r="BL307" s="487">
        <v>2666</v>
      </c>
      <c r="BM307" s="153">
        <v>2266</v>
      </c>
      <c r="BN307" s="153"/>
      <c r="BO307" s="153"/>
      <c r="BP307" s="153"/>
      <c r="BQ307" s="153"/>
      <c r="BR307" s="153"/>
      <c r="BS307" s="153"/>
      <c r="BT307" s="153"/>
      <c r="BU307" s="153"/>
      <c r="BV307" s="153"/>
      <c r="BW307" s="153"/>
      <c r="BX307" s="153">
        <f t="shared" si="236"/>
        <v>4932</v>
      </c>
      <c r="BY307" s="154">
        <f t="shared" si="230"/>
        <v>2466</v>
      </c>
      <c r="CA307" s="169">
        <f>ROW()</f>
        <v>307</v>
      </c>
      <c r="CB307" s="442">
        <f t="shared" si="237"/>
        <v>-632.00000000000023</v>
      </c>
      <c r="CC307" s="171">
        <f t="shared" si="239"/>
        <v>0.72109443954104135</v>
      </c>
      <c r="CD307" s="169">
        <f t="shared" si="238"/>
        <v>-814</v>
      </c>
      <c r="CE307" s="171">
        <f t="shared" si="245"/>
        <v>0.61901865369018649</v>
      </c>
      <c r="CG307" s="3"/>
    </row>
    <row r="308" spans="1:85" ht="17.399999999999999" customHeight="1" x14ac:dyDescent="0.55000000000000004">
      <c r="A308" s="7210"/>
      <c r="B308" s="7207"/>
      <c r="C308" s="67" t="s">
        <v>216</v>
      </c>
      <c r="D308" s="152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4"/>
      <c r="R308" s="469"/>
      <c r="S308" s="152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153"/>
      <c r="AD308" s="153"/>
      <c r="AE308" s="153">
        <f t="shared" si="231"/>
        <v>0</v>
      </c>
      <c r="AF308" s="154">
        <f t="shared" si="232"/>
        <v>0</v>
      </c>
      <c r="AG308" s="183"/>
      <c r="AH308" s="152"/>
      <c r="AI308" s="153"/>
      <c r="AJ308" s="153"/>
      <c r="AK308" s="153"/>
      <c r="AL308" s="153"/>
      <c r="AM308" s="153"/>
      <c r="AN308" s="153"/>
      <c r="AO308" s="153"/>
      <c r="AP308" s="153"/>
      <c r="AQ308" s="153"/>
      <c r="AR308" s="153"/>
      <c r="AS308" s="153"/>
      <c r="AT308" s="153">
        <f t="shared" si="233"/>
        <v>0</v>
      </c>
      <c r="AU308" s="154">
        <f t="shared" si="234"/>
        <v>0</v>
      </c>
      <c r="AV308" s="183"/>
      <c r="AW308" s="487">
        <v>1434</v>
      </c>
      <c r="AX308" s="153">
        <v>2193</v>
      </c>
      <c r="AY308" s="153">
        <v>1392</v>
      </c>
      <c r="AZ308" s="153">
        <v>1434</v>
      </c>
      <c r="BA308" s="153">
        <v>1940</v>
      </c>
      <c r="BB308" s="153">
        <v>2362</v>
      </c>
      <c r="BC308" s="153">
        <v>2277</v>
      </c>
      <c r="BD308" s="153">
        <v>1687</v>
      </c>
      <c r="BE308" s="153">
        <v>2109</v>
      </c>
      <c r="BF308" s="153">
        <v>1518</v>
      </c>
      <c r="BG308" s="153">
        <v>1434</v>
      </c>
      <c r="BH308" s="153">
        <v>1350</v>
      </c>
      <c r="BI308" s="153">
        <f t="shared" si="235"/>
        <v>21130</v>
      </c>
      <c r="BJ308" s="154">
        <f t="shared" si="220"/>
        <v>1760.8333333333333</v>
      </c>
      <c r="BK308" s="183"/>
      <c r="BL308" s="487">
        <v>1708</v>
      </c>
      <c r="BM308" s="153">
        <v>1452</v>
      </c>
      <c r="BN308" s="153"/>
      <c r="BO308" s="153"/>
      <c r="BP308" s="153"/>
      <c r="BQ308" s="153"/>
      <c r="BR308" s="153"/>
      <c r="BS308" s="153"/>
      <c r="BT308" s="153"/>
      <c r="BU308" s="153"/>
      <c r="BV308" s="153"/>
      <c r="BW308" s="153"/>
      <c r="BX308" s="153">
        <f t="shared" si="236"/>
        <v>3160</v>
      </c>
      <c r="BY308" s="154">
        <f t="shared" si="230"/>
        <v>1580</v>
      </c>
      <c r="CA308" s="169">
        <f>ROW()</f>
        <v>308</v>
      </c>
      <c r="CB308" s="442">
        <f t="shared" si="237"/>
        <v>-492.00000000000011</v>
      </c>
      <c r="CC308" s="171">
        <f t="shared" si="239"/>
        <v>0.66115702479338834</v>
      </c>
      <c r="CD308" s="169">
        <f t="shared" si="238"/>
        <v>-508</v>
      </c>
      <c r="CE308" s="171">
        <f t="shared" si="245"/>
        <v>1.054113924050633</v>
      </c>
      <c r="CG308" s="3"/>
    </row>
    <row r="309" spans="1:85" ht="17.399999999999999" customHeight="1" x14ac:dyDescent="0.55000000000000004">
      <c r="A309" s="7210"/>
      <c r="B309" s="7207"/>
      <c r="C309" s="68" t="s">
        <v>217</v>
      </c>
      <c r="D309" s="155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7"/>
      <c r="R309" s="469"/>
      <c r="S309" s="155"/>
      <c r="T309" s="156"/>
      <c r="U309" s="156"/>
      <c r="V309" s="156"/>
      <c r="W309" s="156"/>
      <c r="X309" s="156"/>
      <c r="Y309" s="156"/>
      <c r="Z309" s="156"/>
      <c r="AA309" s="156"/>
      <c r="AB309" s="156"/>
      <c r="AC309" s="156"/>
      <c r="AD309" s="156"/>
      <c r="AE309" s="156">
        <f t="shared" si="231"/>
        <v>0</v>
      </c>
      <c r="AF309" s="157">
        <f t="shared" si="232"/>
        <v>0</v>
      </c>
      <c r="AG309" s="183"/>
      <c r="AH309" s="155"/>
      <c r="AI309" s="156"/>
      <c r="AJ309" s="156"/>
      <c r="AK309" s="156"/>
      <c r="AL309" s="156"/>
      <c r="AM309" s="156"/>
      <c r="AN309" s="156"/>
      <c r="AO309" s="156"/>
      <c r="AP309" s="156"/>
      <c r="AQ309" s="156"/>
      <c r="AR309" s="156"/>
      <c r="AS309" s="156"/>
      <c r="AT309" s="156">
        <f t="shared" si="233"/>
        <v>0</v>
      </c>
      <c r="AU309" s="157">
        <f t="shared" si="234"/>
        <v>0</v>
      </c>
      <c r="AV309" s="183"/>
      <c r="AW309" s="488">
        <v>2215</v>
      </c>
      <c r="AX309" s="156">
        <v>3387</v>
      </c>
      <c r="AY309" s="156">
        <v>2150</v>
      </c>
      <c r="AZ309" s="156">
        <v>2215</v>
      </c>
      <c r="BA309" s="156">
        <v>2997</v>
      </c>
      <c r="BB309" s="156">
        <v>3648</v>
      </c>
      <c r="BC309" s="156">
        <v>3518</v>
      </c>
      <c r="BD309" s="156">
        <v>2606</v>
      </c>
      <c r="BE309" s="156">
        <v>3258</v>
      </c>
      <c r="BF309" s="156">
        <v>2345</v>
      </c>
      <c r="BG309" s="156">
        <v>2215</v>
      </c>
      <c r="BH309" s="156">
        <v>2085</v>
      </c>
      <c r="BI309" s="156">
        <f t="shared" si="235"/>
        <v>32639</v>
      </c>
      <c r="BJ309" s="157">
        <f t="shared" ref="BJ309:BJ329" si="246">AVERAGE(AW309:BH309)</f>
        <v>2719.9166666666665</v>
      </c>
      <c r="BK309" s="183"/>
      <c r="BL309" s="488">
        <v>2567</v>
      </c>
      <c r="BM309" s="156">
        <v>2181</v>
      </c>
      <c r="BN309" s="156"/>
      <c r="BO309" s="156"/>
      <c r="BP309" s="156"/>
      <c r="BQ309" s="156"/>
      <c r="BR309" s="156"/>
      <c r="BS309" s="156"/>
      <c r="BT309" s="156"/>
      <c r="BU309" s="156"/>
      <c r="BV309" s="156"/>
      <c r="BW309" s="156"/>
      <c r="BX309" s="156">
        <f t="shared" si="236"/>
        <v>4748</v>
      </c>
      <c r="BY309" s="157">
        <f t="shared" si="230"/>
        <v>2374</v>
      </c>
      <c r="CA309" s="169">
        <f>ROW()</f>
        <v>309</v>
      </c>
      <c r="CB309" s="442">
        <f t="shared" si="237"/>
        <v>-703</v>
      </c>
      <c r="CC309" s="171">
        <f t="shared" si="239"/>
        <v>0.67767079321412194</v>
      </c>
      <c r="CD309" s="169">
        <f t="shared" si="238"/>
        <v>-896</v>
      </c>
      <c r="CE309" s="171">
        <f t="shared" si="245"/>
        <v>2.6958719460825609E-2</v>
      </c>
      <c r="CG309" s="3"/>
    </row>
    <row r="310" spans="1:85" ht="17.399999999999999" customHeight="1" x14ac:dyDescent="0.55000000000000004">
      <c r="A310" s="7210"/>
      <c r="B310" s="7207"/>
      <c r="C310" s="68" t="s">
        <v>218</v>
      </c>
      <c r="D310" s="155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7"/>
      <c r="R310" s="469"/>
      <c r="S310" s="155"/>
      <c r="T310" s="156"/>
      <c r="U310" s="156"/>
      <c r="V310" s="156"/>
      <c r="W310" s="156"/>
      <c r="X310" s="156"/>
      <c r="Y310" s="156"/>
      <c r="Z310" s="156"/>
      <c r="AA310" s="156"/>
      <c r="AB310" s="156"/>
      <c r="AC310" s="156"/>
      <c r="AD310" s="156"/>
      <c r="AE310" s="156">
        <f t="shared" si="231"/>
        <v>0</v>
      </c>
      <c r="AF310" s="157">
        <f t="shared" si="232"/>
        <v>0</v>
      </c>
      <c r="AG310" s="183"/>
      <c r="AH310" s="155"/>
      <c r="AI310" s="156"/>
      <c r="AJ310" s="156"/>
      <c r="AK310" s="156"/>
      <c r="AL310" s="156"/>
      <c r="AM310" s="156"/>
      <c r="AN310" s="156"/>
      <c r="AO310" s="156"/>
      <c r="AP310" s="156"/>
      <c r="AQ310" s="156"/>
      <c r="AR310" s="156"/>
      <c r="AS310" s="156"/>
      <c r="AT310" s="156">
        <f t="shared" si="233"/>
        <v>0</v>
      </c>
      <c r="AU310" s="157">
        <f t="shared" si="234"/>
        <v>0</v>
      </c>
      <c r="AV310" s="183"/>
      <c r="AW310" s="488">
        <v>2045</v>
      </c>
      <c r="AX310" s="156">
        <v>3128</v>
      </c>
      <c r="AY310" s="156">
        <v>1985</v>
      </c>
      <c r="AZ310" s="156">
        <v>2045</v>
      </c>
      <c r="BA310" s="156">
        <v>2767</v>
      </c>
      <c r="BB310" s="156">
        <v>3369</v>
      </c>
      <c r="BC310" s="156">
        <v>3248</v>
      </c>
      <c r="BD310" s="156">
        <v>2406</v>
      </c>
      <c r="BE310" s="156">
        <v>3008</v>
      </c>
      <c r="BF310" s="156">
        <v>2166</v>
      </c>
      <c r="BG310" s="156">
        <v>2045</v>
      </c>
      <c r="BH310" s="156">
        <v>1925</v>
      </c>
      <c r="BI310" s="156">
        <f t="shared" si="235"/>
        <v>30137</v>
      </c>
      <c r="BJ310" s="157">
        <f t="shared" si="246"/>
        <v>2511.4166666666665</v>
      </c>
      <c r="BK310" s="183"/>
      <c r="BL310" s="488">
        <v>2336</v>
      </c>
      <c r="BM310" s="156">
        <v>1986</v>
      </c>
      <c r="BN310" s="156"/>
      <c r="BO310" s="156"/>
      <c r="BP310" s="156"/>
      <c r="BQ310" s="156"/>
      <c r="BR310" s="156"/>
      <c r="BS310" s="156"/>
      <c r="BT310" s="156"/>
      <c r="BU310" s="156"/>
      <c r="BV310" s="156"/>
      <c r="BW310" s="156"/>
      <c r="BX310" s="156">
        <f t="shared" si="236"/>
        <v>4322</v>
      </c>
      <c r="BY310" s="157">
        <f t="shared" si="230"/>
        <v>2161</v>
      </c>
      <c r="CA310" s="169">
        <f>ROW()</f>
        <v>310</v>
      </c>
      <c r="CB310" s="442">
        <f t="shared" si="237"/>
        <v>-631</v>
      </c>
      <c r="CC310" s="171">
        <f t="shared" si="239"/>
        <v>0.68227593152064447</v>
      </c>
      <c r="CD310" s="169">
        <f t="shared" si="238"/>
        <v>-585</v>
      </c>
      <c r="CE310" s="171">
        <f t="shared" si="245"/>
        <v>6.7098565478944929E-3</v>
      </c>
      <c r="CG310" s="3"/>
    </row>
    <row r="311" spans="1:85" ht="17.399999999999999" customHeight="1" x14ac:dyDescent="0.55000000000000004">
      <c r="A311" s="7210"/>
      <c r="B311" s="7207"/>
      <c r="C311" s="67" t="s">
        <v>219</v>
      </c>
      <c r="D311" s="152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4"/>
      <c r="R311" s="469"/>
      <c r="S311" s="152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153"/>
      <c r="AD311" s="153"/>
      <c r="AE311" s="153">
        <f t="shared" si="231"/>
        <v>0</v>
      </c>
      <c r="AF311" s="154">
        <f t="shared" si="232"/>
        <v>0</v>
      </c>
      <c r="AG311" s="183"/>
      <c r="AH311" s="152"/>
      <c r="AI311" s="153"/>
      <c r="AJ311" s="153"/>
      <c r="AK311" s="153"/>
      <c r="AL311" s="153"/>
      <c r="AM311" s="153"/>
      <c r="AN311" s="153"/>
      <c r="AO311" s="153"/>
      <c r="AP311" s="153"/>
      <c r="AQ311" s="153"/>
      <c r="AR311" s="153"/>
      <c r="AS311" s="153"/>
      <c r="AT311" s="153">
        <f t="shared" si="233"/>
        <v>0</v>
      </c>
      <c r="AU311" s="154">
        <f t="shared" si="234"/>
        <v>0</v>
      </c>
      <c r="AV311" s="183"/>
      <c r="AW311" s="487">
        <v>1722</v>
      </c>
      <c r="AX311" s="153">
        <v>2633</v>
      </c>
      <c r="AY311" s="153">
        <v>1671</v>
      </c>
      <c r="AZ311" s="153">
        <v>1722</v>
      </c>
      <c r="BA311" s="153">
        <v>2330</v>
      </c>
      <c r="BB311" s="153">
        <v>2837</v>
      </c>
      <c r="BC311" s="153">
        <v>2736</v>
      </c>
      <c r="BD311" s="153">
        <v>2026</v>
      </c>
      <c r="BE311" s="153">
        <v>2532</v>
      </c>
      <c r="BF311" s="153">
        <v>1823</v>
      </c>
      <c r="BG311" s="153">
        <v>1722</v>
      </c>
      <c r="BH311" s="153">
        <v>1621</v>
      </c>
      <c r="BI311" s="153">
        <f t="shared" si="235"/>
        <v>25375</v>
      </c>
      <c r="BJ311" s="154">
        <f t="shared" si="246"/>
        <v>2114.5833333333335</v>
      </c>
      <c r="BK311" s="183"/>
      <c r="BL311" s="487">
        <v>1950</v>
      </c>
      <c r="BM311" s="153">
        <v>1658</v>
      </c>
      <c r="BN311" s="153"/>
      <c r="BO311" s="153"/>
      <c r="BP311" s="153"/>
      <c r="BQ311" s="153"/>
      <c r="BR311" s="153"/>
      <c r="BS311" s="153"/>
      <c r="BT311" s="153"/>
      <c r="BU311" s="153"/>
      <c r="BV311" s="153"/>
      <c r="BW311" s="153"/>
      <c r="BX311" s="153">
        <f t="shared" si="236"/>
        <v>3608</v>
      </c>
      <c r="BY311" s="154">
        <f t="shared" si="230"/>
        <v>1804</v>
      </c>
      <c r="CA311" s="169">
        <f>ROW()</f>
        <v>311</v>
      </c>
      <c r="CB311" s="442">
        <f t="shared" si="237"/>
        <v>-489</v>
      </c>
      <c r="CC311" s="171">
        <f t="shared" si="239"/>
        <v>0.70506634499396859</v>
      </c>
      <c r="CD311" s="169">
        <f t="shared" si="238"/>
        <v>-555</v>
      </c>
      <c r="CE311" s="171">
        <f t="shared" si="245"/>
        <v>1.3580931263858093E-2</v>
      </c>
      <c r="CG311" s="3"/>
    </row>
    <row r="312" spans="1:85" ht="18" customHeight="1" thickBot="1" x14ac:dyDescent="0.6">
      <c r="A312" s="7210"/>
      <c r="B312" s="7208"/>
      <c r="C312" s="69" t="s">
        <v>220</v>
      </c>
      <c r="D312" s="158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60"/>
      <c r="R312" s="469"/>
      <c r="S312" s="158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>
        <f t="shared" si="231"/>
        <v>0</v>
      </c>
      <c r="AF312" s="160">
        <f t="shared" si="232"/>
        <v>0</v>
      </c>
      <c r="AG312" s="183"/>
      <c r="AH312" s="158"/>
      <c r="AI312" s="159"/>
      <c r="AJ312" s="159"/>
      <c r="AK312" s="159"/>
      <c r="AL312" s="159"/>
      <c r="AM312" s="159"/>
      <c r="AN312" s="159"/>
      <c r="AO312" s="159"/>
      <c r="AP312" s="159"/>
      <c r="AQ312" s="159"/>
      <c r="AR312" s="159"/>
      <c r="AS312" s="159"/>
      <c r="AT312" s="159">
        <f t="shared" si="233"/>
        <v>0</v>
      </c>
      <c r="AU312" s="160">
        <f t="shared" si="234"/>
        <v>0</v>
      </c>
      <c r="AV312" s="183"/>
      <c r="AW312" s="489">
        <v>1695</v>
      </c>
      <c r="AX312" s="159">
        <v>2593</v>
      </c>
      <c r="AY312" s="159">
        <v>1645</v>
      </c>
      <c r="AZ312" s="159">
        <v>1695</v>
      </c>
      <c r="BA312" s="159">
        <v>2294</v>
      </c>
      <c r="BB312" s="159">
        <v>2792</v>
      </c>
      <c r="BC312" s="159">
        <v>2693</v>
      </c>
      <c r="BD312" s="159">
        <v>1994</v>
      </c>
      <c r="BE312" s="159">
        <v>2493</v>
      </c>
      <c r="BF312" s="159">
        <v>1795</v>
      </c>
      <c r="BG312" s="159">
        <v>1695</v>
      </c>
      <c r="BH312" s="159">
        <v>1596</v>
      </c>
      <c r="BI312" s="159">
        <f t="shared" si="235"/>
        <v>24980</v>
      </c>
      <c r="BJ312" s="160">
        <f t="shared" si="246"/>
        <v>2081.6666666666665</v>
      </c>
      <c r="BK312" s="183"/>
      <c r="BL312" s="489">
        <v>1889</v>
      </c>
      <c r="BM312" s="159">
        <v>1605</v>
      </c>
      <c r="BN312" s="159"/>
      <c r="BO312" s="159"/>
      <c r="BP312" s="159"/>
      <c r="BQ312" s="159"/>
      <c r="BR312" s="159"/>
      <c r="BS312" s="159"/>
      <c r="BT312" s="159"/>
      <c r="BU312" s="159"/>
      <c r="BV312" s="159"/>
      <c r="BW312" s="159"/>
      <c r="BX312" s="159">
        <f t="shared" si="236"/>
        <v>3494</v>
      </c>
      <c r="BY312" s="160">
        <f t="shared" si="230"/>
        <v>1747</v>
      </c>
      <c r="CA312" s="169">
        <f>ROW()</f>
        <v>312</v>
      </c>
      <c r="CB312" s="442">
        <f t="shared" si="237"/>
        <v>-329</v>
      </c>
      <c r="CC312" s="171">
        <f>BM33/BM312</f>
        <v>0.79501557632398756</v>
      </c>
      <c r="CD312" s="169">
        <f t="shared" si="238"/>
        <v>-163</v>
      </c>
      <c r="CE312" s="171">
        <f t="shared" si="245"/>
        <v>1.9175729822552948E-2</v>
      </c>
      <c r="CG312" s="3"/>
    </row>
    <row r="313" spans="1:85" ht="17.399999999999999" customHeight="1" x14ac:dyDescent="0.55000000000000004">
      <c r="A313" s="7210"/>
      <c r="B313" s="7203" t="s">
        <v>1023</v>
      </c>
      <c r="C313" s="64" t="s">
        <v>400</v>
      </c>
      <c r="D313" s="143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5"/>
      <c r="R313" s="469"/>
      <c r="S313" s="143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>
        <f t="shared" si="231"/>
        <v>0</v>
      </c>
      <c r="AF313" s="145">
        <f t="shared" si="232"/>
        <v>0</v>
      </c>
      <c r="AG313" s="183"/>
      <c r="AH313" s="143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  <c r="AS313" s="144"/>
      <c r="AT313" s="144">
        <f t="shared" si="233"/>
        <v>0</v>
      </c>
      <c r="AU313" s="145">
        <f t="shared" si="234"/>
        <v>0</v>
      </c>
      <c r="AV313" s="183"/>
      <c r="AW313" s="481">
        <v>68</v>
      </c>
      <c r="AX313" s="144">
        <v>83</v>
      </c>
      <c r="AY313" s="144">
        <v>50</v>
      </c>
      <c r="AZ313" s="144">
        <v>50</v>
      </c>
      <c r="BA313" s="144">
        <v>83</v>
      </c>
      <c r="BB313" s="144">
        <v>83</v>
      </c>
      <c r="BC313" s="144">
        <v>133</v>
      </c>
      <c r="BD313" s="144">
        <v>83</v>
      </c>
      <c r="BE313" s="144">
        <v>166</v>
      </c>
      <c r="BF313" s="144">
        <v>83</v>
      </c>
      <c r="BG313" s="144">
        <v>146</v>
      </c>
      <c r="BH313" s="144">
        <v>50</v>
      </c>
      <c r="BI313" s="144">
        <f t="shared" si="235"/>
        <v>1078</v>
      </c>
      <c r="BJ313" s="145">
        <f t="shared" si="246"/>
        <v>89.833333333333329</v>
      </c>
      <c r="BK313" s="183"/>
      <c r="BL313" s="481">
        <v>104</v>
      </c>
      <c r="BM313" s="144">
        <v>104</v>
      </c>
      <c r="BN313" s="144"/>
      <c r="BO313" s="144"/>
      <c r="BP313" s="144"/>
      <c r="BQ313" s="144"/>
      <c r="BR313" s="144"/>
      <c r="BS313" s="144"/>
      <c r="BT313" s="144"/>
      <c r="BU313" s="144"/>
      <c r="BV313" s="144"/>
      <c r="BW313" s="144"/>
      <c r="BX313" s="144">
        <f t="shared" si="236"/>
        <v>208</v>
      </c>
      <c r="BY313" s="145">
        <f t="shared" si="230"/>
        <v>104</v>
      </c>
      <c r="CA313" s="169">
        <f>ROW()</f>
        <v>313</v>
      </c>
      <c r="CB313" s="442">
        <f t="shared" si="237"/>
        <v>-53</v>
      </c>
      <c r="CC313" s="171">
        <f>BM34/BM313</f>
        <v>0.49038461538461536</v>
      </c>
      <c r="CD313" s="169">
        <f>BX34-BX313</f>
        <v>-80</v>
      </c>
      <c r="CE313" s="171">
        <f>BX34/BX313</f>
        <v>0.61538461538461542</v>
      </c>
      <c r="CG313" s="3"/>
    </row>
    <row r="314" spans="1:85" ht="17.149999999999999" customHeight="1" x14ac:dyDescent="0.55000000000000004">
      <c r="A314" s="7210"/>
      <c r="B314" s="7204"/>
      <c r="C314" s="65" t="s">
        <v>401</v>
      </c>
      <c r="D314" s="146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8"/>
      <c r="R314" s="469"/>
      <c r="S314" s="146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>
        <f t="shared" si="231"/>
        <v>0</v>
      </c>
      <c r="AF314" s="148">
        <f t="shared" si="232"/>
        <v>0</v>
      </c>
      <c r="AG314" s="183"/>
      <c r="AH314" s="146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>
        <f t="shared" si="233"/>
        <v>0</v>
      </c>
      <c r="AU314" s="148">
        <f t="shared" si="234"/>
        <v>0</v>
      </c>
      <c r="AV314" s="183"/>
      <c r="AW314" s="482">
        <v>49</v>
      </c>
      <c r="AX314" s="147">
        <v>71</v>
      </c>
      <c r="AY314" s="147">
        <v>43</v>
      </c>
      <c r="AZ314" s="147">
        <v>43</v>
      </c>
      <c r="BA314" s="147">
        <v>71</v>
      </c>
      <c r="BB314" s="147">
        <v>71</v>
      </c>
      <c r="BC314" s="147">
        <v>113</v>
      </c>
      <c r="BD314" s="147">
        <v>71</v>
      </c>
      <c r="BE314" s="147">
        <v>141</v>
      </c>
      <c r="BF314" s="147">
        <v>71</v>
      </c>
      <c r="BG314" s="147">
        <v>150</v>
      </c>
      <c r="BH314" s="147">
        <v>43</v>
      </c>
      <c r="BI314" s="147">
        <f t="shared" si="235"/>
        <v>937</v>
      </c>
      <c r="BJ314" s="148">
        <f t="shared" si="246"/>
        <v>78.083333333333329</v>
      </c>
      <c r="BK314" s="183"/>
      <c r="BL314" s="482">
        <v>58</v>
      </c>
      <c r="BM314" s="147">
        <v>58</v>
      </c>
      <c r="BN314" s="147"/>
      <c r="BO314" s="147"/>
      <c r="BP314" s="147"/>
      <c r="BQ314" s="147"/>
      <c r="BR314" s="147"/>
      <c r="BS314" s="147"/>
      <c r="BT314" s="147"/>
      <c r="BU314" s="147"/>
      <c r="BV314" s="147"/>
      <c r="BW314" s="147"/>
      <c r="BX314" s="147">
        <f t="shared" si="236"/>
        <v>116</v>
      </c>
      <c r="BY314" s="148">
        <f t="shared" si="230"/>
        <v>58</v>
      </c>
      <c r="CA314" s="169">
        <f>ROW()</f>
        <v>314</v>
      </c>
      <c r="CB314" s="442">
        <f t="shared" si="237"/>
        <v>-47</v>
      </c>
      <c r="CC314" s="171">
        <f t="shared" ref="CC314:CC328" si="247">BM35/BM314</f>
        <v>0.18965517241379309</v>
      </c>
      <c r="CD314" s="169">
        <f t="shared" si="238"/>
        <v>-87</v>
      </c>
      <c r="CE314" s="171">
        <f t="shared" ref="CE314:CE317" si="248">BX35/BX314</f>
        <v>0.25</v>
      </c>
      <c r="CG314" s="3"/>
    </row>
    <row r="315" spans="1:85" ht="17.399999999999999" customHeight="1" x14ac:dyDescent="0.55000000000000004">
      <c r="A315" s="7210"/>
      <c r="B315" s="7204"/>
      <c r="C315" s="65" t="s">
        <v>402</v>
      </c>
      <c r="D315" s="146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8"/>
      <c r="R315" s="469"/>
      <c r="S315" s="146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>
        <f t="shared" si="231"/>
        <v>0</v>
      </c>
      <c r="AF315" s="148">
        <f t="shared" si="232"/>
        <v>0</v>
      </c>
      <c r="AG315" s="183"/>
      <c r="AH315" s="146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>
        <f t="shared" si="233"/>
        <v>0</v>
      </c>
      <c r="AU315" s="148">
        <f t="shared" si="234"/>
        <v>0</v>
      </c>
      <c r="AV315" s="183"/>
      <c r="AW315" s="482">
        <v>51</v>
      </c>
      <c r="AX315" s="147">
        <v>91</v>
      </c>
      <c r="AY315" s="147">
        <v>55</v>
      </c>
      <c r="AZ315" s="147">
        <v>55</v>
      </c>
      <c r="BA315" s="147">
        <v>91</v>
      </c>
      <c r="BB315" s="147">
        <v>91</v>
      </c>
      <c r="BC315" s="147">
        <v>146</v>
      </c>
      <c r="BD315" s="147">
        <v>91</v>
      </c>
      <c r="BE315" s="147">
        <v>182</v>
      </c>
      <c r="BF315" s="147">
        <v>91</v>
      </c>
      <c r="BG315" s="147">
        <v>171</v>
      </c>
      <c r="BH315" s="147">
        <v>55</v>
      </c>
      <c r="BI315" s="147">
        <f t="shared" si="235"/>
        <v>1170</v>
      </c>
      <c r="BJ315" s="148">
        <f t="shared" si="246"/>
        <v>97.5</v>
      </c>
      <c r="BK315" s="183"/>
      <c r="BL315" s="482">
        <v>74</v>
      </c>
      <c r="BM315" s="147">
        <v>74</v>
      </c>
      <c r="BN315" s="147"/>
      <c r="BO315" s="147"/>
      <c r="BP315" s="147"/>
      <c r="BQ315" s="147"/>
      <c r="BR315" s="147"/>
      <c r="BS315" s="147"/>
      <c r="BT315" s="147"/>
      <c r="BU315" s="147"/>
      <c r="BV315" s="147"/>
      <c r="BW315" s="147"/>
      <c r="BX315" s="147">
        <f t="shared" si="236"/>
        <v>148</v>
      </c>
      <c r="BY315" s="148">
        <f t="shared" si="230"/>
        <v>74</v>
      </c>
      <c r="CA315" s="169">
        <f>ROW()</f>
        <v>315</v>
      </c>
      <c r="CB315" s="442">
        <f t="shared" si="237"/>
        <v>-66</v>
      </c>
      <c r="CC315" s="171">
        <f t="shared" si="247"/>
        <v>0.10810810810810811</v>
      </c>
      <c r="CD315" s="169">
        <f t="shared" si="238"/>
        <v>-99</v>
      </c>
      <c r="CE315" s="171">
        <f t="shared" si="248"/>
        <v>0.33108108108108109</v>
      </c>
      <c r="CG315" s="3"/>
    </row>
    <row r="316" spans="1:85" ht="17.399999999999999" customHeight="1" x14ac:dyDescent="0.55000000000000004">
      <c r="A316" s="7210"/>
      <c r="B316" s="7204"/>
      <c r="C316" s="65" t="s">
        <v>403</v>
      </c>
      <c r="D316" s="146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8"/>
      <c r="R316" s="469"/>
      <c r="S316" s="146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>
        <f t="shared" si="231"/>
        <v>0</v>
      </c>
      <c r="AF316" s="148">
        <f t="shared" si="232"/>
        <v>0</v>
      </c>
      <c r="AG316" s="183"/>
      <c r="AH316" s="146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>
        <f t="shared" si="233"/>
        <v>0</v>
      </c>
      <c r="AU316" s="148">
        <f t="shared" si="234"/>
        <v>0</v>
      </c>
      <c r="AV316" s="183"/>
      <c r="AW316" s="482">
        <v>109</v>
      </c>
      <c r="AX316" s="147">
        <v>147</v>
      </c>
      <c r="AY316" s="147">
        <v>87</v>
      </c>
      <c r="AZ316" s="147">
        <v>87</v>
      </c>
      <c r="BA316" s="147">
        <v>147</v>
      </c>
      <c r="BB316" s="147">
        <v>147</v>
      </c>
      <c r="BC316" s="147">
        <v>235</v>
      </c>
      <c r="BD316" s="147">
        <v>147</v>
      </c>
      <c r="BE316" s="147">
        <v>295</v>
      </c>
      <c r="BF316" s="147">
        <v>147</v>
      </c>
      <c r="BG316" s="147">
        <v>303</v>
      </c>
      <c r="BH316" s="147">
        <v>87</v>
      </c>
      <c r="BI316" s="147">
        <f t="shared" si="235"/>
        <v>1938</v>
      </c>
      <c r="BJ316" s="148">
        <f t="shared" si="246"/>
        <v>161.5</v>
      </c>
      <c r="BK316" s="183"/>
      <c r="BL316" s="482">
        <v>132</v>
      </c>
      <c r="BM316" s="147">
        <v>132</v>
      </c>
      <c r="BN316" s="147"/>
      <c r="BO316" s="147"/>
      <c r="BP316" s="147"/>
      <c r="BQ316" s="147"/>
      <c r="BR316" s="147"/>
      <c r="BS316" s="147"/>
      <c r="BT316" s="147"/>
      <c r="BU316" s="147"/>
      <c r="BV316" s="147"/>
      <c r="BW316" s="147"/>
      <c r="BX316" s="147">
        <f t="shared" si="236"/>
        <v>264</v>
      </c>
      <c r="BY316" s="148">
        <f t="shared" si="230"/>
        <v>132</v>
      </c>
      <c r="CA316" s="169">
        <f>ROW()</f>
        <v>316</v>
      </c>
      <c r="CB316" s="442">
        <f t="shared" si="237"/>
        <v>-114</v>
      </c>
      <c r="CC316" s="171">
        <f t="shared" si="247"/>
        <v>0.13636363636363635</v>
      </c>
      <c r="CD316" s="169">
        <f t="shared" si="238"/>
        <v>-197</v>
      </c>
      <c r="CE316" s="171">
        <f t="shared" si="248"/>
        <v>0.25378787878787878</v>
      </c>
      <c r="CG316" s="3"/>
    </row>
    <row r="317" spans="1:85" ht="17.399999999999999" customHeight="1" x14ac:dyDescent="0.55000000000000004">
      <c r="A317" s="7210"/>
      <c r="B317" s="7205"/>
      <c r="C317" s="66" t="s">
        <v>404</v>
      </c>
      <c r="D317" s="149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1"/>
      <c r="R317" s="469"/>
      <c r="S317" s="149"/>
      <c r="T317" s="150"/>
      <c r="U317" s="150"/>
      <c r="V317" s="150"/>
      <c r="W317" s="150"/>
      <c r="X317" s="150"/>
      <c r="Y317" s="150"/>
      <c r="Z317" s="150"/>
      <c r="AA317" s="150"/>
      <c r="AB317" s="150"/>
      <c r="AC317" s="150"/>
      <c r="AD317" s="150"/>
      <c r="AE317" s="150">
        <f t="shared" si="231"/>
        <v>0</v>
      </c>
      <c r="AF317" s="151">
        <f t="shared" si="232"/>
        <v>0</v>
      </c>
      <c r="AG317" s="183"/>
      <c r="AH317" s="149"/>
      <c r="AI317" s="150"/>
      <c r="AJ317" s="150"/>
      <c r="AK317" s="150"/>
      <c r="AL317" s="150"/>
      <c r="AM317" s="150"/>
      <c r="AN317" s="150"/>
      <c r="AO317" s="150"/>
      <c r="AP317" s="150"/>
      <c r="AQ317" s="150"/>
      <c r="AR317" s="150"/>
      <c r="AS317" s="150"/>
      <c r="AT317" s="150">
        <f t="shared" si="233"/>
        <v>0</v>
      </c>
      <c r="AU317" s="151">
        <f t="shared" si="234"/>
        <v>0</v>
      </c>
      <c r="AV317" s="183"/>
      <c r="AW317" s="483">
        <v>73</v>
      </c>
      <c r="AX317" s="150">
        <v>108</v>
      </c>
      <c r="AY317" s="150">
        <v>65</v>
      </c>
      <c r="AZ317" s="150">
        <v>65</v>
      </c>
      <c r="BA317" s="150">
        <v>108</v>
      </c>
      <c r="BB317" s="150">
        <v>108</v>
      </c>
      <c r="BC317" s="150">
        <v>173</v>
      </c>
      <c r="BD317" s="150">
        <v>108</v>
      </c>
      <c r="BE317" s="150">
        <v>216</v>
      </c>
      <c r="BF317" s="150">
        <v>108</v>
      </c>
      <c r="BG317" s="150">
        <v>230</v>
      </c>
      <c r="BH317" s="150">
        <v>65</v>
      </c>
      <c r="BI317" s="150">
        <f t="shared" si="235"/>
        <v>1427</v>
      </c>
      <c r="BJ317" s="151">
        <f t="shared" si="246"/>
        <v>118.91666666666667</v>
      </c>
      <c r="BK317" s="183"/>
      <c r="BL317" s="483">
        <v>132</v>
      </c>
      <c r="BM317" s="150">
        <v>132</v>
      </c>
      <c r="BN317" s="150"/>
      <c r="BO317" s="150"/>
      <c r="BP317" s="150"/>
      <c r="BQ317" s="150"/>
      <c r="BR317" s="150"/>
      <c r="BS317" s="150"/>
      <c r="BT317" s="150"/>
      <c r="BU317" s="150"/>
      <c r="BV317" s="150"/>
      <c r="BW317" s="150"/>
      <c r="BX317" s="150">
        <f t="shared" si="236"/>
        <v>264</v>
      </c>
      <c r="BY317" s="151">
        <f t="shared" si="230"/>
        <v>132</v>
      </c>
      <c r="CA317" s="169">
        <f>ROW()</f>
        <v>317</v>
      </c>
      <c r="CB317" s="442">
        <f t="shared" si="237"/>
        <v>-73</v>
      </c>
      <c r="CC317" s="171">
        <f t="shared" si="247"/>
        <v>0.44696969696969696</v>
      </c>
      <c r="CD317" s="169">
        <f t="shared" si="238"/>
        <v>-123</v>
      </c>
      <c r="CE317" s="171">
        <f t="shared" si="248"/>
        <v>0.53409090909090906</v>
      </c>
      <c r="CG317" s="3"/>
    </row>
    <row r="318" spans="1:85" x14ac:dyDescent="0.55000000000000004">
      <c r="A318" s="7210"/>
      <c r="B318" s="7203" t="s">
        <v>413</v>
      </c>
      <c r="C318" s="64" t="s">
        <v>400</v>
      </c>
      <c r="D318" s="143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5"/>
      <c r="R318" s="469"/>
      <c r="S318" s="143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>
        <f t="shared" si="231"/>
        <v>0</v>
      </c>
      <c r="AF318" s="145">
        <f t="shared" si="232"/>
        <v>0</v>
      </c>
      <c r="AG318" s="183"/>
      <c r="AH318" s="143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144"/>
      <c r="AS318" s="144"/>
      <c r="AT318" s="144">
        <f t="shared" si="233"/>
        <v>0</v>
      </c>
      <c r="AU318" s="145">
        <f t="shared" si="234"/>
        <v>0</v>
      </c>
      <c r="AV318" s="183"/>
      <c r="AW318" s="481">
        <v>4727</v>
      </c>
      <c r="AX318" s="144">
        <v>4944</v>
      </c>
      <c r="AY318" s="144">
        <v>4153</v>
      </c>
      <c r="AZ318" s="144">
        <v>4351</v>
      </c>
      <c r="BA318" s="144">
        <v>4747</v>
      </c>
      <c r="BB318" s="144">
        <v>6329</v>
      </c>
      <c r="BC318" s="144">
        <v>5933</v>
      </c>
      <c r="BD318" s="144">
        <v>4945</v>
      </c>
      <c r="BE318" s="144">
        <v>5933</v>
      </c>
      <c r="BF318" s="144">
        <v>4945</v>
      </c>
      <c r="BG318" s="144">
        <v>4945</v>
      </c>
      <c r="BH318" s="144">
        <v>4945</v>
      </c>
      <c r="BI318" s="144">
        <f t="shared" si="235"/>
        <v>60897</v>
      </c>
      <c r="BJ318" s="145">
        <f t="shared" si="246"/>
        <v>5074.75</v>
      </c>
      <c r="BK318" s="183"/>
      <c r="BL318" s="481">
        <v>4931</v>
      </c>
      <c r="BM318" s="144">
        <v>4721</v>
      </c>
      <c r="BN318" s="144"/>
      <c r="BO318" s="144"/>
      <c r="BP318" s="144"/>
      <c r="BQ318" s="144"/>
      <c r="BR318" s="144"/>
      <c r="BS318" s="144"/>
      <c r="BT318" s="144"/>
      <c r="BU318" s="144"/>
      <c r="BV318" s="144"/>
      <c r="BW318" s="144"/>
      <c r="BX318" s="144">
        <f t="shared" si="236"/>
        <v>9652</v>
      </c>
      <c r="BY318" s="145">
        <f t="shared" si="230"/>
        <v>4826</v>
      </c>
      <c r="CA318" s="169">
        <f>ROW()</f>
        <v>318</v>
      </c>
      <c r="CB318" s="442">
        <f t="shared" si="237"/>
        <v>-1299.0000000000005</v>
      </c>
      <c r="CC318" s="171">
        <f t="shared" si="247"/>
        <v>0.72484643084092348</v>
      </c>
      <c r="CD318" s="169">
        <f t="shared" si="238"/>
        <v>1202.9999999999982</v>
      </c>
      <c r="CE318" s="171">
        <f>BX39/BX318</f>
        <v>1.1246373808537089</v>
      </c>
      <c r="CG318" s="3"/>
    </row>
    <row r="319" spans="1:85" x14ac:dyDescent="0.55000000000000004">
      <c r="A319" s="7210"/>
      <c r="B319" s="7204"/>
      <c r="C319" s="65" t="s">
        <v>401</v>
      </c>
      <c r="D319" s="146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8"/>
      <c r="R319" s="469"/>
      <c r="S319" s="146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>
        <f t="shared" si="231"/>
        <v>0</v>
      </c>
      <c r="AF319" s="148">
        <f t="shared" si="232"/>
        <v>0</v>
      </c>
      <c r="AG319" s="183"/>
      <c r="AH319" s="146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7"/>
      <c r="AT319" s="147">
        <f t="shared" si="233"/>
        <v>0</v>
      </c>
      <c r="AU319" s="148">
        <f t="shared" si="234"/>
        <v>0</v>
      </c>
      <c r="AV319" s="183"/>
      <c r="AW319" s="482">
        <v>3212</v>
      </c>
      <c r="AX319" s="147">
        <v>3360</v>
      </c>
      <c r="AY319" s="147">
        <v>2822</v>
      </c>
      <c r="AZ319" s="147">
        <v>2957</v>
      </c>
      <c r="BA319" s="147">
        <v>3226</v>
      </c>
      <c r="BB319" s="147">
        <v>4301</v>
      </c>
      <c r="BC319" s="147">
        <v>4032</v>
      </c>
      <c r="BD319" s="147">
        <v>3360</v>
      </c>
      <c r="BE319" s="147">
        <v>4032</v>
      </c>
      <c r="BF319" s="147">
        <v>3360</v>
      </c>
      <c r="BG319" s="147">
        <v>3360</v>
      </c>
      <c r="BH319" s="147">
        <v>3360</v>
      </c>
      <c r="BI319" s="147">
        <f t="shared" si="235"/>
        <v>41382</v>
      </c>
      <c r="BJ319" s="148">
        <f t="shared" si="246"/>
        <v>3448.5</v>
      </c>
      <c r="BK319" s="183"/>
      <c r="BL319" s="482">
        <v>3465</v>
      </c>
      <c r="BM319" s="147">
        <v>3284</v>
      </c>
      <c r="BN319" s="147"/>
      <c r="BO319" s="147"/>
      <c r="BP319" s="147"/>
      <c r="BQ319" s="147"/>
      <c r="BR319" s="147"/>
      <c r="BS319" s="147"/>
      <c r="BT319" s="147"/>
      <c r="BU319" s="147"/>
      <c r="BV319" s="147"/>
      <c r="BW319" s="147"/>
      <c r="BX319" s="147">
        <f t="shared" si="236"/>
        <v>6749</v>
      </c>
      <c r="BY319" s="148">
        <f t="shared" si="230"/>
        <v>3374.5</v>
      </c>
      <c r="CA319" s="169">
        <f>ROW()</f>
        <v>319</v>
      </c>
      <c r="CB319" s="442">
        <f t="shared" si="237"/>
        <v>-1025</v>
      </c>
      <c r="CC319" s="171">
        <f t="shared" si="247"/>
        <v>0.68788063337393424</v>
      </c>
      <c r="CD319" s="169">
        <f t="shared" si="238"/>
        <v>284</v>
      </c>
      <c r="CE319" s="171">
        <f t="shared" ref="CE319:CE329" si="249">BX40/BX319</f>
        <v>1.0420803081938066</v>
      </c>
      <c r="CG319" s="3"/>
    </row>
    <row r="320" spans="1:85" x14ac:dyDescent="0.55000000000000004">
      <c r="A320" s="7210"/>
      <c r="B320" s="7204"/>
      <c r="C320" s="65" t="s">
        <v>402</v>
      </c>
      <c r="D320" s="146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8"/>
      <c r="R320" s="469"/>
      <c r="S320" s="146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>
        <f t="shared" si="231"/>
        <v>0</v>
      </c>
      <c r="AF320" s="148">
        <f t="shared" si="232"/>
        <v>0</v>
      </c>
      <c r="AG320" s="183"/>
      <c r="AH320" s="146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>
        <f t="shared" si="233"/>
        <v>0</v>
      </c>
      <c r="AU320" s="148">
        <f t="shared" si="234"/>
        <v>0</v>
      </c>
      <c r="AV320" s="183"/>
      <c r="AW320" s="482">
        <v>3125</v>
      </c>
      <c r="AX320" s="147">
        <v>3269</v>
      </c>
      <c r="AY320" s="147">
        <v>2746</v>
      </c>
      <c r="AZ320" s="147">
        <v>2877</v>
      </c>
      <c r="BA320" s="147">
        <v>3138</v>
      </c>
      <c r="BB320" s="147">
        <v>4185</v>
      </c>
      <c r="BC320" s="147">
        <v>3923</v>
      </c>
      <c r="BD320" s="147">
        <v>3269</v>
      </c>
      <c r="BE320" s="147">
        <v>3923</v>
      </c>
      <c r="BF320" s="147">
        <v>3269</v>
      </c>
      <c r="BG320" s="147">
        <v>3269</v>
      </c>
      <c r="BH320" s="147">
        <v>3269</v>
      </c>
      <c r="BI320" s="147">
        <f t="shared" si="235"/>
        <v>40262</v>
      </c>
      <c r="BJ320" s="148">
        <f t="shared" si="246"/>
        <v>3355.1666666666665</v>
      </c>
      <c r="BK320" s="183"/>
      <c r="BL320" s="482">
        <v>3604</v>
      </c>
      <c r="BM320" s="147">
        <v>3305</v>
      </c>
      <c r="BN320" s="147"/>
      <c r="BO320" s="147"/>
      <c r="BP320" s="147"/>
      <c r="BQ320" s="147"/>
      <c r="BR320" s="147"/>
      <c r="BS320" s="147"/>
      <c r="BT320" s="147"/>
      <c r="BU320" s="147"/>
      <c r="BV320" s="147"/>
      <c r="BW320" s="147"/>
      <c r="BX320" s="147">
        <f t="shared" si="236"/>
        <v>6909</v>
      </c>
      <c r="BY320" s="148">
        <f t="shared" si="230"/>
        <v>3454.5</v>
      </c>
      <c r="CA320" s="169">
        <f>ROW()</f>
        <v>320</v>
      </c>
      <c r="CB320" s="442">
        <f t="shared" si="237"/>
        <v>-922</v>
      </c>
      <c r="CC320" s="171">
        <f t="shared" si="247"/>
        <v>0.72102874432677766</v>
      </c>
      <c r="CD320" s="169">
        <f t="shared" si="238"/>
        <v>968</v>
      </c>
      <c r="CE320" s="171">
        <f t="shared" si="249"/>
        <v>1.1401071066724562</v>
      </c>
      <c r="CG320" s="3"/>
    </row>
    <row r="321" spans="1:86" x14ac:dyDescent="0.55000000000000004">
      <c r="A321" s="7210"/>
      <c r="B321" s="7204"/>
      <c r="C321" s="65" t="s">
        <v>403</v>
      </c>
      <c r="D321" s="146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8"/>
      <c r="R321" s="469"/>
      <c r="S321" s="146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>
        <f t="shared" si="231"/>
        <v>0</v>
      </c>
      <c r="AF321" s="148">
        <f t="shared" si="232"/>
        <v>0</v>
      </c>
      <c r="AG321" s="183"/>
      <c r="AH321" s="146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>
        <f t="shared" si="233"/>
        <v>0</v>
      </c>
      <c r="AU321" s="148">
        <f t="shared" si="234"/>
        <v>0</v>
      </c>
      <c r="AV321" s="183"/>
      <c r="AW321" s="482">
        <v>6117</v>
      </c>
      <c r="AX321" s="147">
        <v>6399</v>
      </c>
      <c r="AY321" s="147">
        <v>5376</v>
      </c>
      <c r="AZ321" s="147">
        <v>5632</v>
      </c>
      <c r="BA321" s="147">
        <v>6143</v>
      </c>
      <c r="BB321" s="147">
        <v>8190</v>
      </c>
      <c r="BC321" s="147">
        <v>7679</v>
      </c>
      <c r="BD321" s="147">
        <v>6399</v>
      </c>
      <c r="BE321" s="147">
        <v>7679</v>
      </c>
      <c r="BF321" s="147">
        <v>6399</v>
      </c>
      <c r="BG321" s="147">
        <v>6399</v>
      </c>
      <c r="BH321" s="147">
        <v>6399</v>
      </c>
      <c r="BI321" s="147">
        <f t="shared" si="235"/>
        <v>78811</v>
      </c>
      <c r="BJ321" s="148">
        <f t="shared" si="246"/>
        <v>6567.583333333333</v>
      </c>
      <c r="BK321" s="183"/>
      <c r="BL321" s="482">
        <v>8128</v>
      </c>
      <c r="BM321" s="147">
        <v>7103</v>
      </c>
      <c r="BN321" s="147"/>
      <c r="BO321" s="147"/>
      <c r="BP321" s="147"/>
      <c r="BQ321" s="147"/>
      <c r="BR321" s="147"/>
      <c r="BS321" s="147"/>
      <c r="BT321" s="147"/>
      <c r="BU321" s="147"/>
      <c r="BV321" s="147"/>
      <c r="BW321" s="147"/>
      <c r="BX321" s="147">
        <f t="shared" si="236"/>
        <v>15231</v>
      </c>
      <c r="BY321" s="148">
        <f t="shared" si="230"/>
        <v>7615.5</v>
      </c>
      <c r="CA321" s="169">
        <f>ROW()</f>
        <v>321</v>
      </c>
      <c r="CB321" s="442">
        <f t="shared" si="237"/>
        <v>-1520</v>
      </c>
      <c r="CC321" s="171">
        <f t="shared" si="247"/>
        <v>0.78600591299450939</v>
      </c>
      <c r="CD321" s="169">
        <f t="shared" si="238"/>
        <v>2119</v>
      </c>
      <c r="CE321" s="171">
        <f t="shared" si="249"/>
        <v>1.139124154684525</v>
      </c>
      <c r="CG321" s="3"/>
    </row>
    <row r="322" spans="1:86" x14ac:dyDescent="0.55000000000000004">
      <c r="A322" s="7210"/>
      <c r="B322" s="7205"/>
      <c r="C322" s="66" t="s">
        <v>404</v>
      </c>
      <c r="D322" s="149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1"/>
      <c r="R322" s="469"/>
      <c r="S322" s="149"/>
      <c r="T322" s="150"/>
      <c r="U322" s="150"/>
      <c r="V322" s="150"/>
      <c r="W322" s="150"/>
      <c r="X322" s="150"/>
      <c r="Y322" s="150"/>
      <c r="Z322" s="150"/>
      <c r="AA322" s="150"/>
      <c r="AB322" s="150"/>
      <c r="AC322" s="150"/>
      <c r="AD322" s="150"/>
      <c r="AE322" s="150">
        <f t="shared" si="231"/>
        <v>0</v>
      </c>
      <c r="AF322" s="151">
        <f t="shared" si="232"/>
        <v>0</v>
      </c>
      <c r="AG322" s="183"/>
      <c r="AH322" s="149"/>
      <c r="AI322" s="150"/>
      <c r="AJ322" s="150"/>
      <c r="AK322" s="150"/>
      <c r="AL322" s="150"/>
      <c r="AM322" s="150"/>
      <c r="AN322" s="150"/>
      <c r="AO322" s="150"/>
      <c r="AP322" s="150"/>
      <c r="AQ322" s="150"/>
      <c r="AR322" s="150"/>
      <c r="AS322" s="150"/>
      <c r="AT322" s="150">
        <f t="shared" si="233"/>
        <v>0</v>
      </c>
      <c r="AU322" s="151">
        <f t="shared" si="234"/>
        <v>0</v>
      </c>
      <c r="AV322" s="183"/>
      <c r="AW322" s="483">
        <v>6719</v>
      </c>
      <c r="AX322" s="150">
        <v>7028</v>
      </c>
      <c r="AY322" s="150">
        <v>5903</v>
      </c>
      <c r="AZ322" s="150">
        <v>6183</v>
      </c>
      <c r="BA322" s="150">
        <v>6746</v>
      </c>
      <c r="BB322" s="150">
        <v>8995</v>
      </c>
      <c r="BC322" s="150">
        <v>8433</v>
      </c>
      <c r="BD322" s="150">
        <v>7027</v>
      </c>
      <c r="BE322" s="150">
        <v>8433</v>
      </c>
      <c r="BF322" s="150">
        <v>7027</v>
      </c>
      <c r="BG322" s="150">
        <v>7027</v>
      </c>
      <c r="BH322" s="150">
        <v>7027</v>
      </c>
      <c r="BI322" s="150">
        <f t="shared" si="235"/>
        <v>86548</v>
      </c>
      <c r="BJ322" s="151">
        <f t="shared" si="246"/>
        <v>7212.333333333333</v>
      </c>
      <c r="BK322" s="183"/>
      <c r="BL322" s="483">
        <v>6872</v>
      </c>
      <c r="BM322" s="150">
        <v>6587</v>
      </c>
      <c r="BN322" s="150"/>
      <c r="BO322" s="150"/>
      <c r="BP322" s="150"/>
      <c r="BQ322" s="150"/>
      <c r="BR322" s="150"/>
      <c r="BS322" s="150"/>
      <c r="BT322" s="150"/>
      <c r="BU322" s="150"/>
      <c r="BV322" s="150"/>
      <c r="BW322" s="150"/>
      <c r="BX322" s="150">
        <f t="shared" si="236"/>
        <v>13459</v>
      </c>
      <c r="BY322" s="151">
        <f t="shared" si="230"/>
        <v>6729.5</v>
      </c>
      <c r="CA322" s="169">
        <f>ROW()</f>
        <v>322</v>
      </c>
      <c r="CB322" s="442">
        <f t="shared" si="237"/>
        <v>-2847</v>
      </c>
      <c r="CC322" s="171">
        <f t="shared" si="247"/>
        <v>0.56778503112190681</v>
      </c>
      <c r="CD322" s="169">
        <f t="shared" si="238"/>
        <v>-1538</v>
      </c>
      <c r="CE322" s="171">
        <f t="shared" si="249"/>
        <v>0.88572702281001559</v>
      </c>
      <c r="CG322" s="3"/>
    </row>
    <row r="323" spans="1:86" x14ac:dyDescent="0.55000000000000004">
      <c r="A323" s="7210"/>
      <c r="B323" s="7206" t="s">
        <v>414</v>
      </c>
      <c r="C323" s="68" t="s">
        <v>226</v>
      </c>
      <c r="D323" s="155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7"/>
      <c r="R323" s="469"/>
      <c r="S323" s="155"/>
      <c r="T323" s="156"/>
      <c r="U323" s="156"/>
      <c r="V323" s="156"/>
      <c r="W323" s="156"/>
      <c r="X323" s="156"/>
      <c r="Y323" s="156"/>
      <c r="Z323" s="156"/>
      <c r="AA323" s="156"/>
      <c r="AB323" s="156"/>
      <c r="AC323" s="156"/>
      <c r="AD323" s="156"/>
      <c r="AE323" s="156">
        <f t="shared" si="231"/>
        <v>0</v>
      </c>
      <c r="AF323" s="157">
        <f t="shared" si="232"/>
        <v>0</v>
      </c>
      <c r="AG323" s="183"/>
      <c r="AH323" s="155"/>
      <c r="AI323" s="156"/>
      <c r="AJ323" s="156"/>
      <c r="AK323" s="156"/>
      <c r="AL323" s="156"/>
      <c r="AM323" s="156"/>
      <c r="AN323" s="156"/>
      <c r="AO323" s="156"/>
      <c r="AP323" s="156"/>
      <c r="AQ323" s="156"/>
      <c r="AR323" s="156"/>
      <c r="AS323" s="156"/>
      <c r="AT323" s="156">
        <f t="shared" si="233"/>
        <v>0</v>
      </c>
      <c r="AU323" s="157">
        <f t="shared" si="234"/>
        <v>0</v>
      </c>
      <c r="AV323" s="183"/>
      <c r="AW323" s="488">
        <v>3271</v>
      </c>
      <c r="AX323" s="156">
        <v>3421</v>
      </c>
      <c r="AY323" s="156">
        <v>2874</v>
      </c>
      <c r="AZ323" s="156">
        <v>3011</v>
      </c>
      <c r="BA323" s="156">
        <v>3285</v>
      </c>
      <c r="BB323" s="156">
        <v>4379</v>
      </c>
      <c r="BC323" s="156">
        <v>5933</v>
      </c>
      <c r="BD323" s="156">
        <v>4945</v>
      </c>
      <c r="BE323" s="156">
        <v>5933</v>
      </c>
      <c r="BF323" s="156">
        <v>4945</v>
      </c>
      <c r="BG323" s="156">
        <v>4945</v>
      </c>
      <c r="BH323" s="156">
        <v>4945</v>
      </c>
      <c r="BI323" s="156">
        <f t="shared" si="235"/>
        <v>51887</v>
      </c>
      <c r="BJ323" s="157">
        <f t="shared" si="246"/>
        <v>4323.916666666667</v>
      </c>
      <c r="BK323" s="183"/>
      <c r="BL323" s="488">
        <v>4931</v>
      </c>
      <c r="BM323" s="156">
        <v>4721</v>
      </c>
      <c r="BN323" s="156"/>
      <c r="BO323" s="156"/>
      <c r="BP323" s="156"/>
      <c r="BQ323" s="156"/>
      <c r="BR323" s="156"/>
      <c r="BS323" s="156"/>
      <c r="BT323" s="156"/>
      <c r="BU323" s="156"/>
      <c r="BV323" s="156"/>
      <c r="BW323" s="156"/>
      <c r="BX323" s="156">
        <f t="shared" si="236"/>
        <v>9652</v>
      </c>
      <c r="BY323" s="157">
        <f t="shared" si="230"/>
        <v>4826</v>
      </c>
      <c r="CA323" s="169">
        <f>ROW()</f>
        <v>323</v>
      </c>
      <c r="CB323" s="442">
        <f t="shared" si="237"/>
        <v>-1299.0000000000005</v>
      </c>
      <c r="CC323" s="171">
        <f t="shared" si="247"/>
        <v>0.72484643084092348</v>
      </c>
      <c r="CD323" s="169">
        <f t="shared" si="238"/>
        <v>1202.9999999999982</v>
      </c>
      <c r="CE323" s="171">
        <f t="shared" si="249"/>
        <v>1.1246373808537089</v>
      </c>
      <c r="CG323" s="3"/>
    </row>
    <row r="324" spans="1:86" s="61" customFormat="1" x14ac:dyDescent="0.55000000000000004">
      <c r="A324" s="7210"/>
      <c r="B324" s="7207"/>
      <c r="C324" s="76" t="s">
        <v>227</v>
      </c>
      <c r="D324" s="161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3"/>
      <c r="R324" s="469"/>
      <c r="S324" s="161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>
        <f t="shared" si="231"/>
        <v>0</v>
      </c>
      <c r="AF324" s="163">
        <f t="shared" si="232"/>
        <v>0</v>
      </c>
      <c r="AG324" s="183"/>
      <c r="AH324" s="161"/>
      <c r="AI324" s="162"/>
      <c r="AJ324" s="162"/>
      <c r="AK324" s="162"/>
      <c r="AL324" s="162"/>
      <c r="AM324" s="162"/>
      <c r="AN324" s="162"/>
      <c r="AO324" s="162"/>
      <c r="AP324" s="162"/>
      <c r="AQ324" s="162"/>
      <c r="AR324" s="162"/>
      <c r="AS324" s="162"/>
      <c r="AT324" s="162">
        <f t="shared" si="233"/>
        <v>0</v>
      </c>
      <c r="AU324" s="163">
        <f t="shared" si="234"/>
        <v>0</v>
      </c>
      <c r="AV324" s="183"/>
      <c r="AW324" s="487">
        <v>3212</v>
      </c>
      <c r="AX324" s="162">
        <v>3360</v>
      </c>
      <c r="AY324" s="162">
        <v>2822</v>
      </c>
      <c r="AZ324" s="162">
        <v>2957</v>
      </c>
      <c r="BA324" s="162">
        <v>3226</v>
      </c>
      <c r="BB324" s="162">
        <v>4301</v>
      </c>
      <c r="BC324" s="162">
        <v>4032</v>
      </c>
      <c r="BD324" s="162">
        <v>3360</v>
      </c>
      <c r="BE324" s="162">
        <v>4032</v>
      </c>
      <c r="BF324" s="162">
        <v>3360</v>
      </c>
      <c r="BG324" s="162">
        <v>3360</v>
      </c>
      <c r="BH324" s="162">
        <v>3360</v>
      </c>
      <c r="BI324" s="162">
        <f t="shared" si="235"/>
        <v>41382</v>
      </c>
      <c r="BJ324" s="163">
        <f t="shared" si="246"/>
        <v>3448.5</v>
      </c>
      <c r="BK324" s="183"/>
      <c r="BL324" s="487">
        <v>3465</v>
      </c>
      <c r="BM324" s="162">
        <v>3284</v>
      </c>
      <c r="BN324" s="162"/>
      <c r="BO324" s="162"/>
      <c r="BP324" s="162"/>
      <c r="BQ324" s="162"/>
      <c r="BR324" s="162"/>
      <c r="BS324" s="162"/>
      <c r="BT324" s="162"/>
      <c r="BU324" s="162"/>
      <c r="BV324" s="162"/>
      <c r="BW324" s="162"/>
      <c r="BX324" s="162">
        <f t="shared" si="236"/>
        <v>6749</v>
      </c>
      <c r="BY324" s="163">
        <f t="shared" si="230"/>
        <v>3374.5</v>
      </c>
      <c r="CA324" s="169">
        <f>ROW()</f>
        <v>324</v>
      </c>
      <c r="CB324" s="442">
        <f t="shared" si="237"/>
        <v>-1025</v>
      </c>
      <c r="CC324" s="171">
        <f t="shared" si="247"/>
        <v>0.68788063337393424</v>
      </c>
      <c r="CD324" s="169">
        <f t="shared" si="238"/>
        <v>284</v>
      </c>
      <c r="CE324" s="171">
        <f t="shared" si="249"/>
        <v>1.0420803081938066</v>
      </c>
      <c r="CG324" s="3"/>
      <c r="CH324"/>
    </row>
    <row r="325" spans="1:86" s="61" customFormat="1" x14ac:dyDescent="0.55000000000000004">
      <c r="A325" s="7210"/>
      <c r="B325" s="7207"/>
      <c r="C325" s="68" t="s">
        <v>228</v>
      </c>
      <c r="D325" s="155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7"/>
      <c r="R325" s="469"/>
      <c r="S325" s="155"/>
      <c r="T325" s="156"/>
      <c r="U325" s="156"/>
      <c r="V325" s="156"/>
      <c r="W325" s="156"/>
      <c r="X325" s="156"/>
      <c r="Y325" s="156"/>
      <c r="Z325" s="156"/>
      <c r="AA325" s="156"/>
      <c r="AB325" s="156"/>
      <c r="AC325" s="156"/>
      <c r="AD325" s="156"/>
      <c r="AE325" s="156">
        <f t="shared" si="231"/>
        <v>0</v>
      </c>
      <c r="AF325" s="157">
        <f t="shared" si="232"/>
        <v>0</v>
      </c>
      <c r="AG325" s="183"/>
      <c r="AH325" s="155"/>
      <c r="AI325" s="156"/>
      <c r="AJ325" s="156"/>
      <c r="AK325" s="156"/>
      <c r="AL325" s="156"/>
      <c r="AM325" s="156"/>
      <c r="AN325" s="156"/>
      <c r="AO325" s="156"/>
      <c r="AP325" s="156"/>
      <c r="AQ325" s="156"/>
      <c r="AR325" s="156"/>
      <c r="AS325" s="156"/>
      <c r="AT325" s="156">
        <f t="shared" si="233"/>
        <v>0</v>
      </c>
      <c r="AU325" s="157">
        <f t="shared" si="234"/>
        <v>0</v>
      </c>
      <c r="AV325" s="183"/>
      <c r="AW325" s="488">
        <v>3125</v>
      </c>
      <c r="AX325" s="156">
        <v>3269</v>
      </c>
      <c r="AY325" s="156">
        <v>2746</v>
      </c>
      <c r="AZ325" s="156">
        <v>2877</v>
      </c>
      <c r="BA325" s="156">
        <v>3138</v>
      </c>
      <c r="BB325" s="156">
        <v>4185</v>
      </c>
      <c r="BC325" s="156">
        <v>3923</v>
      </c>
      <c r="BD325" s="156">
        <v>3269</v>
      </c>
      <c r="BE325" s="156">
        <v>3923</v>
      </c>
      <c r="BF325" s="156">
        <v>3269</v>
      </c>
      <c r="BG325" s="156">
        <v>3269</v>
      </c>
      <c r="BH325" s="156">
        <v>3269</v>
      </c>
      <c r="BI325" s="156">
        <f t="shared" si="235"/>
        <v>40262</v>
      </c>
      <c r="BJ325" s="157">
        <f t="shared" si="246"/>
        <v>3355.1666666666665</v>
      </c>
      <c r="BK325" s="183"/>
      <c r="BL325" s="488">
        <v>3604</v>
      </c>
      <c r="BM325" s="156">
        <v>3305</v>
      </c>
      <c r="BN325" s="156"/>
      <c r="BO325" s="156"/>
      <c r="BP325" s="156"/>
      <c r="BQ325" s="156"/>
      <c r="BR325" s="156"/>
      <c r="BS325" s="156"/>
      <c r="BT325" s="156"/>
      <c r="BU325" s="156"/>
      <c r="BV325" s="156"/>
      <c r="BW325" s="156"/>
      <c r="BX325" s="156">
        <f t="shared" si="236"/>
        <v>6909</v>
      </c>
      <c r="BY325" s="157">
        <f t="shared" si="230"/>
        <v>3454.5</v>
      </c>
      <c r="CA325" s="169">
        <f>ROW()</f>
        <v>325</v>
      </c>
      <c r="CB325" s="442">
        <f t="shared" si="237"/>
        <v>-922</v>
      </c>
      <c r="CC325" s="171">
        <f t="shared" si="247"/>
        <v>0.72102874432677766</v>
      </c>
      <c r="CD325" s="169">
        <f t="shared" si="238"/>
        <v>968</v>
      </c>
      <c r="CE325" s="171">
        <f t="shared" si="249"/>
        <v>1.1401071066724562</v>
      </c>
      <c r="CG325" s="3"/>
      <c r="CH325"/>
    </row>
    <row r="326" spans="1:86" s="61" customFormat="1" x14ac:dyDescent="0.55000000000000004">
      <c r="A326" s="7210"/>
      <c r="B326" s="7207"/>
      <c r="C326" s="76" t="s">
        <v>229</v>
      </c>
      <c r="D326" s="161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3"/>
      <c r="R326" s="469"/>
      <c r="S326" s="161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>
        <f t="shared" si="231"/>
        <v>0</v>
      </c>
      <c r="AF326" s="163">
        <f t="shared" si="232"/>
        <v>0</v>
      </c>
      <c r="AG326" s="183"/>
      <c r="AH326" s="161"/>
      <c r="AI326" s="162"/>
      <c r="AJ326" s="162"/>
      <c r="AK326" s="162"/>
      <c r="AL326" s="162"/>
      <c r="AM326" s="162"/>
      <c r="AN326" s="162"/>
      <c r="AO326" s="162"/>
      <c r="AP326" s="162"/>
      <c r="AQ326" s="162"/>
      <c r="AR326" s="162"/>
      <c r="AS326" s="162"/>
      <c r="AT326" s="162">
        <f t="shared" si="233"/>
        <v>0</v>
      </c>
      <c r="AU326" s="163">
        <f t="shared" si="234"/>
        <v>0</v>
      </c>
      <c r="AV326" s="183"/>
      <c r="AW326" s="487">
        <v>3582</v>
      </c>
      <c r="AX326" s="162">
        <v>3747</v>
      </c>
      <c r="AY326" s="162">
        <v>3148</v>
      </c>
      <c r="AZ326" s="162">
        <v>3298</v>
      </c>
      <c r="BA326" s="162">
        <v>3597</v>
      </c>
      <c r="BB326" s="162">
        <v>4796</v>
      </c>
      <c r="BC326" s="162">
        <v>4497</v>
      </c>
      <c r="BD326" s="162">
        <v>3747</v>
      </c>
      <c r="BE326" s="162">
        <v>4497</v>
      </c>
      <c r="BF326" s="162">
        <v>3747</v>
      </c>
      <c r="BG326" s="162">
        <v>3747</v>
      </c>
      <c r="BH326" s="162">
        <v>3747</v>
      </c>
      <c r="BI326" s="162">
        <f t="shared" si="235"/>
        <v>46150</v>
      </c>
      <c r="BJ326" s="163">
        <f t="shared" si="246"/>
        <v>3845.8333333333335</v>
      </c>
      <c r="BK326" s="183"/>
      <c r="BL326" s="487">
        <v>5117</v>
      </c>
      <c r="BM326" s="162">
        <v>4324</v>
      </c>
      <c r="BN326" s="162"/>
      <c r="BO326" s="162"/>
      <c r="BP326" s="162"/>
      <c r="BQ326" s="162"/>
      <c r="BR326" s="162"/>
      <c r="BS326" s="162"/>
      <c r="BT326" s="162"/>
      <c r="BU326" s="162"/>
      <c r="BV326" s="162"/>
      <c r="BW326" s="162"/>
      <c r="BX326" s="162">
        <f t="shared" si="236"/>
        <v>9441</v>
      </c>
      <c r="BY326" s="163">
        <f t="shared" si="230"/>
        <v>4720.5</v>
      </c>
      <c r="CA326" s="169">
        <f>ROW()</f>
        <v>326</v>
      </c>
      <c r="CB326" s="442">
        <f t="shared" si="237"/>
        <v>-836.00000000000045</v>
      </c>
      <c r="CC326" s="171">
        <f t="shared" si="247"/>
        <v>0.80666049953746521</v>
      </c>
      <c r="CD326" s="169">
        <f t="shared" si="238"/>
        <v>899</v>
      </c>
      <c r="CE326" s="171">
        <f t="shared" si="249"/>
        <v>1.0952229636691029</v>
      </c>
      <c r="CG326" s="3"/>
      <c r="CH326"/>
    </row>
    <row r="327" spans="1:86" x14ac:dyDescent="0.55000000000000004">
      <c r="A327" s="7210"/>
      <c r="B327" s="7207"/>
      <c r="C327" s="67" t="s">
        <v>230</v>
      </c>
      <c r="D327" s="152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4"/>
      <c r="R327" s="469"/>
      <c r="S327" s="152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  <c r="AD327" s="153"/>
      <c r="AE327" s="153">
        <f t="shared" si="231"/>
        <v>0</v>
      </c>
      <c r="AF327" s="154">
        <f t="shared" si="232"/>
        <v>0</v>
      </c>
      <c r="AG327" s="183"/>
      <c r="AH327" s="152"/>
      <c r="AI327" s="153"/>
      <c r="AJ327" s="153"/>
      <c r="AK327" s="153"/>
      <c r="AL327" s="153"/>
      <c r="AM327" s="153"/>
      <c r="AN327" s="153"/>
      <c r="AO327" s="153"/>
      <c r="AP327" s="153"/>
      <c r="AQ327" s="153"/>
      <c r="AR327" s="153"/>
      <c r="AS327" s="153"/>
      <c r="AT327" s="153">
        <f t="shared" si="233"/>
        <v>0</v>
      </c>
      <c r="AU327" s="154">
        <f t="shared" si="234"/>
        <v>0</v>
      </c>
      <c r="AV327" s="183"/>
      <c r="AW327" s="487">
        <v>2535</v>
      </c>
      <c r="AX327" s="153">
        <v>2652</v>
      </c>
      <c r="AY327" s="153">
        <v>2228</v>
      </c>
      <c r="AZ327" s="153">
        <v>2334</v>
      </c>
      <c r="BA327" s="153">
        <v>2546</v>
      </c>
      <c r="BB327" s="153">
        <v>3394</v>
      </c>
      <c r="BC327" s="153">
        <v>3182</v>
      </c>
      <c r="BD327" s="153">
        <v>2652</v>
      </c>
      <c r="BE327" s="153">
        <v>3182</v>
      </c>
      <c r="BF327" s="153">
        <v>2652</v>
      </c>
      <c r="BG327" s="153">
        <v>2652</v>
      </c>
      <c r="BH327" s="153">
        <v>2652</v>
      </c>
      <c r="BI327" s="153">
        <f t="shared" si="235"/>
        <v>32661</v>
      </c>
      <c r="BJ327" s="154">
        <f t="shared" si="246"/>
        <v>2721.75</v>
      </c>
      <c r="BK327" s="183"/>
      <c r="BL327" s="487">
        <v>3011</v>
      </c>
      <c r="BM327" s="153">
        <v>2779</v>
      </c>
      <c r="BN327" s="153"/>
      <c r="BO327" s="153"/>
      <c r="BP327" s="153"/>
      <c r="BQ327" s="153"/>
      <c r="BR327" s="153"/>
      <c r="BS327" s="153"/>
      <c r="BT327" s="153"/>
      <c r="BU327" s="153"/>
      <c r="BV327" s="153"/>
      <c r="BW327" s="153"/>
      <c r="BX327" s="153">
        <f t="shared" si="236"/>
        <v>5790</v>
      </c>
      <c r="BY327" s="154">
        <f t="shared" si="230"/>
        <v>2895</v>
      </c>
      <c r="CA327" s="169">
        <f>ROW()</f>
        <v>327</v>
      </c>
      <c r="CB327" s="442">
        <f t="shared" si="237"/>
        <v>-684</v>
      </c>
      <c r="CC327" s="171">
        <f t="shared" si="247"/>
        <v>0.75386829794890253</v>
      </c>
      <c r="CD327" s="169">
        <f t="shared" si="238"/>
        <v>1220</v>
      </c>
      <c r="CE327" s="171">
        <f t="shared" si="249"/>
        <v>1.2107081174438687</v>
      </c>
      <c r="CG327" s="3"/>
    </row>
    <row r="328" spans="1:86" x14ac:dyDescent="0.55000000000000004">
      <c r="A328" s="7210"/>
      <c r="B328" s="7207"/>
      <c r="C328" s="68" t="s">
        <v>231</v>
      </c>
      <c r="D328" s="155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7"/>
      <c r="R328" s="469"/>
      <c r="S328" s="155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>
        <f t="shared" si="231"/>
        <v>0</v>
      </c>
      <c r="AF328" s="157">
        <f t="shared" si="232"/>
        <v>0</v>
      </c>
      <c r="AG328" s="183"/>
      <c r="AH328" s="155"/>
      <c r="AI328" s="156"/>
      <c r="AJ328" s="156"/>
      <c r="AK328" s="156"/>
      <c r="AL328" s="156"/>
      <c r="AM328" s="156"/>
      <c r="AN328" s="156"/>
      <c r="AO328" s="156"/>
      <c r="AP328" s="156"/>
      <c r="AQ328" s="156"/>
      <c r="AR328" s="156"/>
      <c r="AS328" s="156"/>
      <c r="AT328" s="156">
        <f t="shared" si="233"/>
        <v>0</v>
      </c>
      <c r="AU328" s="157">
        <f t="shared" si="234"/>
        <v>0</v>
      </c>
      <c r="AV328" s="183"/>
      <c r="AW328" s="488">
        <v>3911</v>
      </c>
      <c r="AX328" s="156">
        <v>4091</v>
      </c>
      <c r="AY328" s="156">
        <v>3437</v>
      </c>
      <c r="AZ328" s="156">
        <v>3600</v>
      </c>
      <c r="BA328" s="156">
        <v>3928</v>
      </c>
      <c r="BB328" s="156">
        <v>5237</v>
      </c>
      <c r="BC328" s="156">
        <v>4909</v>
      </c>
      <c r="BD328" s="156">
        <v>4091</v>
      </c>
      <c r="BE328" s="156">
        <v>4909</v>
      </c>
      <c r="BF328" s="156">
        <v>4091</v>
      </c>
      <c r="BG328" s="156">
        <v>4091</v>
      </c>
      <c r="BH328" s="156">
        <v>4091</v>
      </c>
      <c r="BI328" s="156">
        <f t="shared" si="235"/>
        <v>50386</v>
      </c>
      <c r="BJ328" s="157">
        <f t="shared" si="246"/>
        <v>4198.833333333333</v>
      </c>
      <c r="BK328" s="183"/>
      <c r="BL328" s="488">
        <v>4175</v>
      </c>
      <c r="BM328" s="156">
        <v>3928</v>
      </c>
      <c r="BN328" s="156"/>
      <c r="BO328" s="156"/>
      <c r="BP328" s="156"/>
      <c r="BQ328" s="156"/>
      <c r="BR328" s="156"/>
      <c r="BS328" s="156"/>
      <c r="BT328" s="156"/>
      <c r="BU328" s="156"/>
      <c r="BV328" s="156"/>
      <c r="BW328" s="156"/>
      <c r="BX328" s="156">
        <f t="shared" si="236"/>
        <v>8103</v>
      </c>
      <c r="BY328" s="157">
        <f t="shared" si="230"/>
        <v>4051.5</v>
      </c>
      <c r="CA328" s="169">
        <f>ROW()</f>
        <v>328</v>
      </c>
      <c r="CB328" s="442">
        <f t="shared" si="237"/>
        <v>-1626</v>
      </c>
      <c r="CC328" s="171">
        <f t="shared" si="247"/>
        <v>0.58604887983706722</v>
      </c>
      <c r="CD328" s="169">
        <f t="shared" si="238"/>
        <v>-829</v>
      </c>
      <c r="CE328" s="171">
        <f t="shared" si="249"/>
        <v>0.89769221276070588</v>
      </c>
      <c r="CG328" s="3"/>
    </row>
    <row r="329" spans="1:86" ht="18" thickBot="1" x14ac:dyDescent="0.6">
      <c r="A329" s="7211"/>
      <c r="B329" s="7208"/>
      <c r="C329" s="77" t="s">
        <v>232</v>
      </c>
      <c r="D329" s="164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6"/>
      <c r="R329" s="469"/>
      <c r="S329" s="164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  <c r="AE329" s="165">
        <f t="shared" si="231"/>
        <v>0</v>
      </c>
      <c r="AF329" s="166">
        <f t="shared" si="232"/>
        <v>0</v>
      </c>
      <c r="AG329" s="183"/>
      <c r="AH329" s="164"/>
      <c r="AI329" s="165"/>
      <c r="AJ329" s="165"/>
      <c r="AK329" s="165"/>
      <c r="AL329" s="165"/>
      <c r="AM329" s="165"/>
      <c r="AN329" s="165"/>
      <c r="AO329" s="165"/>
      <c r="AP329" s="165"/>
      <c r="AQ329" s="165"/>
      <c r="AR329" s="165"/>
      <c r="AS329" s="165"/>
      <c r="AT329" s="165">
        <f t="shared" si="233"/>
        <v>0</v>
      </c>
      <c r="AU329" s="166">
        <f t="shared" si="234"/>
        <v>0</v>
      </c>
      <c r="AV329" s="183"/>
      <c r="AW329" s="490">
        <v>2808</v>
      </c>
      <c r="AX329" s="165">
        <v>2937</v>
      </c>
      <c r="AY329" s="165">
        <v>2466</v>
      </c>
      <c r="AZ329" s="165">
        <v>2583</v>
      </c>
      <c r="BA329" s="165">
        <v>2818</v>
      </c>
      <c r="BB329" s="165">
        <v>3758</v>
      </c>
      <c r="BC329" s="165">
        <v>3524</v>
      </c>
      <c r="BD329" s="165">
        <v>2936</v>
      </c>
      <c r="BE329" s="165">
        <v>3524</v>
      </c>
      <c r="BF329" s="165">
        <v>2936</v>
      </c>
      <c r="BG329" s="165">
        <v>2936</v>
      </c>
      <c r="BH329" s="165">
        <v>2936</v>
      </c>
      <c r="BI329" s="165">
        <f t="shared" si="235"/>
        <v>36162</v>
      </c>
      <c r="BJ329" s="166">
        <f t="shared" si="246"/>
        <v>3013.5</v>
      </c>
      <c r="BK329" s="183"/>
      <c r="BL329" s="490">
        <v>2697</v>
      </c>
      <c r="BM329" s="165">
        <v>2659</v>
      </c>
      <c r="BN329" s="165"/>
      <c r="BO329" s="165"/>
      <c r="BP329" s="165"/>
      <c r="BQ329" s="165"/>
      <c r="BR329" s="165"/>
      <c r="BS329" s="165"/>
      <c r="BT329" s="165"/>
      <c r="BU329" s="165"/>
      <c r="BV329" s="165"/>
      <c r="BW329" s="165"/>
      <c r="BX329" s="165">
        <f t="shared" si="236"/>
        <v>5356</v>
      </c>
      <c r="BY329" s="166">
        <f t="shared" si="230"/>
        <v>2678</v>
      </c>
      <c r="CA329" s="169">
        <f>ROW()</f>
        <v>329</v>
      </c>
      <c r="CB329" s="442">
        <f t="shared" si="237"/>
        <v>-1221</v>
      </c>
      <c r="CC329" s="171">
        <f>BM50/BM329</f>
        <v>0.5408048138397894</v>
      </c>
      <c r="CD329" s="169">
        <f t="shared" si="238"/>
        <v>-709</v>
      </c>
      <c r="CE329" s="171">
        <f t="shared" si="249"/>
        <v>0.86762509335324867</v>
      </c>
      <c r="CG329" s="3"/>
    </row>
    <row r="330" spans="1:86" ht="18" thickBot="1" x14ac:dyDescent="0.6"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  <c r="AC330" s="182"/>
      <c r="AD330" s="182"/>
      <c r="AE330" s="182"/>
      <c r="AF330" s="182"/>
      <c r="AG330" s="183"/>
      <c r="AH330" s="182"/>
      <c r="AI330" s="182"/>
      <c r="AJ330" s="182"/>
      <c r="AK330" s="182"/>
      <c r="AL330" s="182"/>
      <c r="AM330" s="182"/>
      <c r="AN330" s="182"/>
      <c r="AO330" s="182"/>
      <c r="AP330" s="182"/>
      <c r="AQ330" s="182"/>
      <c r="AR330" s="182"/>
      <c r="AS330" s="182"/>
      <c r="AT330" s="182"/>
      <c r="AU330" s="182"/>
      <c r="AV330" s="183"/>
      <c r="AW330" s="517"/>
      <c r="AX330" s="182"/>
      <c r="AY330" s="182"/>
      <c r="AZ330" s="182"/>
      <c r="BA330" s="182"/>
      <c r="BB330" s="182"/>
      <c r="BC330" s="182"/>
      <c r="BD330" s="182"/>
      <c r="BE330" s="182"/>
      <c r="BF330" s="182"/>
      <c r="BG330" s="182"/>
      <c r="BH330" s="182"/>
      <c r="BI330" s="182"/>
      <c r="BJ330" s="182" t="e">
        <f t="shared" ref="BJ330:BJ344" si="250">AVERAGE(AW330:BH330)</f>
        <v>#DIV/0!</v>
      </c>
      <c r="BK330" s="183"/>
      <c r="BL330" s="517"/>
      <c r="BM330" s="182"/>
      <c r="BN330" s="182"/>
      <c r="BO330" s="182"/>
      <c r="BP330" s="182"/>
      <c r="BQ330" s="182"/>
      <c r="BR330" s="182"/>
      <c r="BS330" s="182"/>
      <c r="BT330" s="182"/>
      <c r="BU330" s="182"/>
      <c r="BV330" s="182"/>
      <c r="BW330" s="182"/>
      <c r="BX330" s="182"/>
      <c r="BY330" s="182"/>
      <c r="CB330" s="441" t="s">
        <v>455</v>
      </c>
      <c r="CC330" s="168" t="s">
        <v>9</v>
      </c>
      <c r="CD330" s="415" t="s">
        <v>456</v>
      </c>
      <c r="CE330" s="168" t="s">
        <v>9</v>
      </c>
    </row>
    <row r="331" spans="1:86" ht="17.399999999999999" customHeight="1" x14ac:dyDescent="0.55000000000000004">
      <c r="A331" s="7197" t="s">
        <v>457</v>
      </c>
      <c r="B331" s="14" t="s">
        <v>415</v>
      </c>
      <c r="C331" s="71"/>
      <c r="D331" s="122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4"/>
      <c r="S331" s="122"/>
      <c r="T331" s="123"/>
      <c r="U331" s="123"/>
      <c r="V331" s="123"/>
      <c r="W331" s="123"/>
      <c r="X331" s="123"/>
      <c r="Y331" s="123"/>
      <c r="Z331" s="123"/>
      <c r="AA331" s="123"/>
      <c r="AB331" s="123"/>
      <c r="AC331" s="123"/>
      <c r="AD331" s="123"/>
      <c r="AE331" s="123"/>
      <c r="AF331" s="124">
        <f t="shared" ref="AF331:AF336" si="251">AE331</f>
        <v>0</v>
      </c>
      <c r="AG331" s="183"/>
      <c r="AH331" s="122">
        <v>65000</v>
      </c>
      <c r="AI331" s="123">
        <v>65000</v>
      </c>
      <c r="AJ331" s="123">
        <v>65000</v>
      </c>
      <c r="AK331" s="123">
        <v>65000</v>
      </c>
      <c r="AL331" s="123">
        <v>65000</v>
      </c>
      <c r="AM331" s="123">
        <v>65000</v>
      </c>
      <c r="AN331" s="123">
        <v>65000</v>
      </c>
      <c r="AO331" s="123">
        <v>65000</v>
      </c>
      <c r="AP331" s="123">
        <v>65000</v>
      </c>
      <c r="AQ331" s="123">
        <v>65000</v>
      </c>
      <c r="AR331" s="123">
        <v>65000</v>
      </c>
      <c r="AS331" s="123">
        <v>65000</v>
      </c>
      <c r="AT331" s="123">
        <v>65000</v>
      </c>
      <c r="AU331" s="124">
        <f t="shared" ref="AU331:AU336" si="252">AT331</f>
        <v>65000</v>
      </c>
      <c r="AV331" s="183"/>
      <c r="AW331" s="476">
        <v>60000</v>
      </c>
      <c r="AX331" s="123">
        <v>60000</v>
      </c>
      <c r="AY331" s="123">
        <v>60000</v>
      </c>
      <c r="AZ331" s="123">
        <v>60000</v>
      </c>
      <c r="BA331" s="123">
        <v>60000</v>
      </c>
      <c r="BB331" s="123">
        <v>60000</v>
      </c>
      <c r="BC331" s="123">
        <v>60000</v>
      </c>
      <c r="BD331" s="123">
        <v>60000</v>
      </c>
      <c r="BE331" s="123">
        <v>60000</v>
      </c>
      <c r="BF331" s="123">
        <v>60000</v>
      </c>
      <c r="BG331" s="123">
        <v>60000</v>
      </c>
      <c r="BH331" s="123">
        <v>60000</v>
      </c>
      <c r="BI331" s="123"/>
      <c r="BJ331" s="124">
        <f t="shared" si="250"/>
        <v>60000</v>
      </c>
      <c r="BK331" s="183"/>
      <c r="BL331" s="476"/>
      <c r="BM331" s="123"/>
      <c r="BN331" s="123"/>
      <c r="BO331" s="123"/>
      <c r="BP331" s="123"/>
      <c r="BQ331" s="123"/>
      <c r="BR331" s="123"/>
      <c r="BS331" s="123"/>
      <c r="BT331" s="123"/>
      <c r="BU331" s="123"/>
      <c r="BV331" s="123"/>
      <c r="BW331" s="123"/>
      <c r="BX331" s="123"/>
      <c r="BY331" s="124" t="e">
        <f t="shared" si="230"/>
        <v>#DIV/0!</v>
      </c>
      <c r="CA331" s="169">
        <f>ROW()</f>
        <v>331</v>
      </c>
      <c r="CB331" s="442">
        <f>BM66-BM331</f>
        <v>55755.66664181104</v>
      </c>
      <c r="CC331" s="171" t="e">
        <f t="shared" ref="CC331:CC336" si="253">BM66/BM331</f>
        <v>#DIV/0!</v>
      </c>
      <c r="CD331" s="169">
        <f t="shared" ref="CD331:CD381" si="254">BX52-BX331</f>
        <v>106136</v>
      </c>
      <c r="CE331" s="171" t="e">
        <f t="shared" ref="CE331:CE381" si="255">BX57/BX331</f>
        <v>#DIV/0!</v>
      </c>
      <c r="CG331" s="3"/>
    </row>
    <row r="332" spans="1:86" ht="17.399999999999999" customHeight="1" x14ac:dyDescent="0.55000000000000004">
      <c r="A332" s="7198"/>
      <c r="B332" s="15"/>
      <c r="C332" s="47" t="s">
        <v>405</v>
      </c>
      <c r="D332" s="174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6"/>
      <c r="S332" s="174"/>
      <c r="T332" s="175"/>
      <c r="U332" s="175"/>
      <c r="V332" s="175"/>
      <c r="W332" s="175"/>
      <c r="X332" s="175"/>
      <c r="Y332" s="175"/>
      <c r="Z332" s="175"/>
      <c r="AA332" s="175"/>
      <c r="AB332" s="175"/>
      <c r="AC332" s="175"/>
      <c r="AD332" s="175"/>
      <c r="AE332" s="175"/>
      <c r="AF332" s="176">
        <f t="shared" si="251"/>
        <v>0</v>
      </c>
      <c r="AG332" s="183"/>
      <c r="AH332" s="174">
        <v>72000</v>
      </c>
      <c r="AI332" s="175">
        <v>72000</v>
      </c>
      <c r="AJ332" s="175">
        <v>72000</v>
      </c>
      <c r="AK332" s="175">
        <v>72000</v>
      </c>
      <c r="AL332" s="175">
        <v>72000</v>
      </c>
      <c r="AM332" s="175">
        <v>72000</v>
      </c>
      <c r="AN332" s="175">
        <v>72000</v>
      </c>
      <c r="AO332" s="175">
        <v>72000</v>
      </c>
      <c r="AP332" s="175">
        <v>72000</v>
      </c>
      <c r="AQ332" s="175">
        <v>72000</v>
      </c>
      <c r="AR332" s="175">
        <v>72000</v>
      </c>
      <c r="AS332" s="175">
        <v>72000</v>
      </c>
      <c r="AT332" s="175">
        <v>72000</v>
      </c>
      <c r="AU332" s="176">
        <f t="shared" si="252"/>
        <v>72000</v>
      </c>
      <c r="AV332" s="183"/>
      <c r="AW332" s="174">
        <v>72000</v>
      </c>
      <c r="AX332" s="175">
        <v>72000</v>
      </c>
      <c r="AY332" s="175">
        <v>72000</v>
      </c>
      <c r="AZ332" s="175">
        <v>72000</v>
      </c>
      <c r="BA332" s="175">
        <v>72000</v>
      </c>
      <c r="BB332" s="175">
        <v>72000</v>
      </c>
      <c r="BC332" s="175">
        <v>72000</v>
      </c>
      <c r="BD332" s="175">
        <v>72000</v>
      </c>
      <c r="BE332" s="175">
        <v>72000</v>
      </c>
      <c r="BF332" s="175">
        <v>72000</v>
      </c>
      <c r="BG332" s="175">
        <v>72000</v>
      </c>
      <c r="BH332" s="175">
        <v>72000</v>
      </c>
      <c r="BI332" s="175"/>
      <c r="BJ332" s="176">
        <f t="shared" si="250"/>
        <v>72000</v>
      </c>
      <c r="BK332" s="183"/>
      <c r="BL332" s="174">
        <v>65000</v>
      </c>
      <c r="BM332" s="175">
        <v>65000</v>
      </c>
      <c r="BN332" s="175"/>
      <c r="BO332" s="175"/>
      <c r="BP332" s="175"/>
      <c r="BQ332" s="175"/>
      <c r="BR332" s="175"/>
      <c r="BS332" s="175"/>
      <c r="BT332" s="175"/>
      <c r="BU332" s="175"/>
      <c r="BV332" s="175"/>
      <c r="BW332" s="175"/>
      <c r="BX332" s="175"/>
      <c r="BY332" s="176">
        <f t="shared" si="230"/>
        <v>65000</v>
      </c>
      <c r="CA332" s="169">
        <f>ROW()</f>
        <v>332</v>
      </c>
      <c r="CB332" s="442">
        <f t="shared" ref="CB332:CB336" si="256">BM67-BM332</f>
        <v>-10869.904835592519</v>
      </c>
      <c r="CC332" s="171">
        <f t="shared" si="253"/>
        <v>0.83277069483703814</v>
      </c>
      <c r="CD332" s="169">
        <f t="shared" si="254"/>
        <v>35795</v>
      </c>
      <c r="CE332" s="171" t="e">
        <f t="shared" si="255"/>
        <v>#DIV/0!</v>
      </c>
      <c r="CG332" s="3"/>
    </row>
    <row r="333" spans="1:86" ht="17.399999999999999" customHeight="1" x14ac:dyDescent="0.55000000000000004">
      <c r="A333" s="7198"/>
      <c r="B333" s="96"/>
      <c r="C333" s="47" t="s">
        <v>1016</v>
      </c>
      <c r="D333" s="174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6"/>
      <c r="R333" s="536"/>
      <c r="S333" s="174"/>
      <c r="T333" s="175"/>
      <c r="U333" s="175"/>
      <c r="V333" s="175"/>
      <c r="W333" s="175"/>
      <c r="X333" s="175"/>
      <c r="Y333" s="175"/>
      <c r="Z333" s="175"/>
      <c r="AA333" s="175"/>
      <c r="AB333" s="175"/>
      <c r="AC333" s="175"/>
      <c r="AD333" s="175"/>
      <c r="AE333" s="175"/>
      <c r="AF333" s="176">
        <f t="shared" ref="AF333" si="257">AE333</f>
        <v>0</v>
      </c>
      <c r="AG333" s="183"/>
      <c r="AH333" s="174">
        <v>55000</v>
      </c>
      <c r="AI333" s="175">
        <v>55000</v>
      </c>
      <c r="AJ333" s="175">
        <v>55000</v>
      </c>
      <c r="AK333" s="175">
        <v>55000</v>
      </c>
      <c r="AL333" s="175">
        <v>55000</v>
      </c>
      <c r="AM333" s="175">
        <v>55000</v>
      </c>
      <c r="AN333" s="175">
        <v>55000</v>
      </c>
      <c r="AO333" s="175">
        <v>55000</v>
      </c>
      <c r="AP333" s="175">
        <v>55000</v>
      </c>
      <c r="AQ333" s="175">
        <v>55000</v>
      </c>
      <c r="AR333" s="175">
        <v>55000</v>
      </c>
      <c r="AS333" s="175">
        <v>55000</v>
      </c>
      <c r="AT333" s="175">
        <v>55000</v>
      </c>
      <c r="AU333" s="176">
        <f t="shared" ref="AU333" si="258">AT333</f>
        <v>55000</v>
      </c>
      <c r="AV333" s="183"/>
      <c r="AW333" s="174">
        <v>55000</v>
      </c>
      <c r="AX333" s="175">
        <v>55000</v>
      </c>
      <c r="AY333" s="175">
        <v>55000</v>
      </c>
      <c r="AZ333" s="175">
        <v>55000</v>
      </c>
      <c r="BA333" s="175">
        <v>55000</v>
      </c>
      <c r="BB333" s="175">
        <v>55000</v>
      </c>
      <c r="BC333" s="175">
        <v>55000</v>
      </c>
      <c r="BD333" s="175">
        <v>55000</v>
      </c>
      <c r="BE333" s="175">
        <v>55000</v>
      </c>
      <c r="BF333" s="175">
        <v>55000</v>
      </c>
      <c r="BG333" s="175">
        <v>55000</v>
      </c>
      <c r="BH333" s="175">
        <v>55000</v>
      </c>
      <c r="BI333" s="175"/>
      <c r="BJ333" s="176">
        <f t="shared" si="250"/>
        <v>55000</v>
      </c>
      <c r="BK333" s="183"/>
      <c r="BL333" s="174">
        <v>50000</v>
      </c>
      <c r="BM333" s="175">
        <v>50000</v>
      </c>
      <c r="BN333" s="175"/>
      <c r="BO333" s="175"/>
      <c r="BP333" s="175"/>
      <c r="BQ333" s="175"/>
      <c r="BR333" s="175"/>
      <c r="BS333" s="175"/>
      <c r="BT333" s="175"/>
      <c r="BU333" s="175"/>
      <c r="BV333" s="175"/>
      <c r="BW333" s="175"/>
      <c r="BX333" s="175"/>
      <c r="BY333" s="176">
        <f t="shared" si="230"/>
        <v>50000</v>
      </c>
      <c r="CA333" s="169">
        <f>ROW()</f>
        <v>333</v>
      </c>
      <c r="CB333" s="442">
        <f t="shared" si="256"/>
        <v>-8395.8264285714322</v>
      </c>
      <c r="CC333" s="171">
        <f t="shared" si="253"/>
        <v>0.83208347142857131</v>
      </c>
      <c r="CD333" s="169">
        <f t="shared" si="254"/>
        <v>0.34012944595080258</v>
      </c>
      <c r="CE333" s="171" t="e">
        <f t="shared" si="255"/>
        <v>#DIV/0!</v>
      </c>
      <c r="CG333" s="3"/>
    </row>
    <row r="334" spans="1:86" ht="17.399999999999999" customHeight="1" x14ac:dyDescent="0.55000000000000004">
      <c r="A334" s="7198"/>
      <c r="B334" s="15"/>
      <c r="C334" s="47" t="s">
        <v>407</v>
      </c>
      <c r="D334" s="174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6"/>
      <c r="S334" s="174"/>
      <c r="T334" s="175"/>
      <c r="U334" s="175"/>
      <c r="V334" s="175"/>
      <c r="W334" s="175"/>
      <c r="X334" s="175"/>
      <c r="Y334" s="175"/>
      <c r="Z334" s="175"/>
      <c r="AA334" s="175"/>
      <c r="AB334" s="175"/>
      <c r="AC334" s="175"/>
      <c r="AD334" s="175"/>
      <c r="AE334" s="175"/>
      <c r="AF334" s="176">
        <f t="shared" si="251"/>
        <v>0</v>
      </c>
      <c r="AG334" s="183"/>
      <c r="AH334" s="174">
        <v>68000</v>
      </c>
      <c r="AI334" s="175">
        <v>68000</v>
      </c>
      <c r="AJ334" s="175">
        <v>68000</v>
      </c>
      <c r="AK334" s="175">
        <v>68000</v>
      </c>
      <c r="AL334" s="175">
        <v>68000</v>
      </c>
      <c r="AM334" s="175">
        <v>68000</v>
      </c>
      <c r="AN334" s="175">
        <v>68000</v>
      </c>
      <c r="AO334" s="175">
        <v>68000</v>
      </c>
      <c r="AP334" s="175">
        <v>68000</v>
      </c>
      <c r="AQ334" s="175">
        <v>68000</v>
      </c>
      <c r="AR334" s="175">
        <v>68000</v>
      </c>
      <c r="AS334" s="175">
        <v>68000</v>
      </c>
      <c r="AT334" s="175">
        <v>68000</v>
      </c>
      <c r="AU334" s="176">
        <f t="shared" si="252"/>
        <v>68000</v>
      </c>
      <c r="AV334" s="183"/>
      <c r="AW334" s="174">
        <v>70000</v>
      </c>
      <c r="AX334" s="175">
        <v>70000</v>
      </c>
      <c r="AY334" s="175">
        <v>70000</v>
      </c>
      <c r="AZ334" s="175">
        <v>70000</v>
      </c>
      <c r="BA334" s="175">
        <v>70000</v>
      </c>
      <c r="BB334" s="175">
        <v>70000</v>
      </c>
      <c r="BC334" s="175">
        <v>70000</v>
      </c>
      <c r="BD334" s="175">
        <v>70000</v>
      </c>
      <c r="BE334" s="175">
        <v>70000</v>
      </c>
      <c r="BF334" s="175">
        <v>70000</v>
      </c>
      <c r="BG334" s="175">
        <v>70000</v>
      </c>
      <c r="BH334" s="175">
        <v>70000</v>
      </c>
      <c r="BI334" s="175"/>
      <c r="BJ334" s="176">
        <f t="shared" si="250"/>
        <v>70000</v>
      </c>
      <c r="BK334" s="183"/>
      <c r="BL334" s="174">
        <v>74000</v>
      </c>
      <c r="BM334" s="175">
        <v>74000</v>
      </c>
      <c r="BN334" s="175"/>
      <c r="BO334" s="175"/>
      <c r="BP334" s="175"/>
      <c r="BQ334" s="175"/>
      <c r="BR334" s="175"/>
      <c r="BS334" s="175"/>
      <c r="BT334" s="175"/>
      <c r="BU334" s="175"/>
      <c r="BV334" s="175"/>
      <c r="BW334" s="175"/>
      <c r="BX334" s="175"/>
      <c r="BY334" s="176">
        <f t="shared" si="230"/>
        <v>74000</v>
      </c>
      <c r="CA334" s="169">
        <f>ROW()</f>
        <v>334</v>
      </c>
      <c r="CB334" s="442">
        <f t="shared" si="256"/>
        <v>-8760.5129278730092</v>
      </c>
      <c r="CC334" s="171">
        <f t="shared" si="253"/>
        <v>0.88161469016387828</v>
      </c>
      <c r="CD334" s="169">
        <f t="shared" si="254"/>
        <v>9123</v>
      </c>
      <c r="CE334" s="171" t="e">
        <f t="shared" si="255"/>
        <v>#DIV/0!</v>
      </c>
      <c r="CG334" s="3"/>
    </row>
    <row r="335" spans="1:86" ht="17.399999999999999" customHeight="1" x14ac:dyDescent="0.55000000000000004">
      <c r="A335" s="7198"/>
      <c r="B335" s="15"/>
      <c r="C335" s="47" t="s">
        <v>875</v>
      </c>
      <c r="D335" s="174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6"/>
      <c r="S335" s="174"/>
      <c r="T335" s="175"/>
      <c r="U335" s="175"/>
      <c r="V335" s="175"/>
      <c r="W335" s="175"/>
      <c r="X335" s="175"/>
      <c r="Y335" s="175"/>
      <c r="Z335" s="175"/>
      <c r="AA335" s="175"/>
      <c r="AB335" s="175"/>
      <c r="AC335" s="175"/>
      <c r="AD335" s="175"/>
      <c r="AE335" s="175"/>
      <c r="AF335" s="176">
        <f t="shared" si="251"/>
        <v>0</v>
      </c>
      <c r="AG335" s="183"/>
      <c r="AH335" s="174">
        <v>55000</v>
      </c>
      <c r="AI335" s="175">
        <v>55000</v>
      </c>
      <c r="AJ335" s="175">
        <v>55000</v>
      </c>
      <c r="AK335" s="175">
        <v>55000</v>
      </c>
      <c r="AL335" s="175">
        <v>55000</v>
      </c>
      <c r="AM335" s="175">
        <v>55000</v>
      </c>
      <c r="AN335" s="175">
        <v>55000</v>
      </c>
      <c r="AO335" s="175">
        <v>55000</v>
      </c>
      <c r="AP335" s="175">
        <v>55000</v>
      </c>
      <c r="AQ335" s="175">
        <v>55000</v>
      </c>
      <c r="AR335" s="175">
        <v>55000</v>
      </c>
      <c r="AS335" s="175">
        <v>55000</v>
      </c>
      <c r="AT335" s="175">
        <v>55000</v>
      </c>
      <c r="AU335" s="176">
        <f t="shared" si="252"/>
        <v>55000</v>
      </c>
      <c r="AV335" s="183"/>
      <c r="AW335" s="174">
        <v>55000</v>
      </c>
      <c r="AX335" s="175">
        <v>55000</v>
      </c>
      <c r="AY335" s="175">
        <v>55000</v>
      </c>
      <c r="AZ335" s="175">
        <v>55000</v>
      </c>
      <c r="BA335" s="175">
        <v>55000</v>
      </c>
      <c r="BB335" s="175">
        <v>55000</v>
      </c>
      <c r="BC335" s="175">
        <v>55000</v>
      </c>
      <c r="BD335" s="175">
        <v>55000</v>
      </c>
      <c r="BE335" s="175">
        <v>55000</v>
      </c>
      <c r="BF335" s="175">
        <v>55000</v>
      </c>
      <c r="BG335" s="175">
        <v>55000</v>
      </c>
      <c r="BH335" s="175">
        <v>55000</v>
      </c>
      <c r="BI335" s="175"/>
      <c r="BJ335" s="176">
        <f t="shared" si="250"/>
        <v>55000</v>
      </c>
      <c r="BK335" s="183"/>
      <c r="BL335" s="174">
        <v>48000</v>
      </c>
      <c r="BM335" s="175">
        <v>48000</v>
      </c>
      <c r="BN335" s="175"/>
      <c r="BO335" s="175"/>
      <c r="BP335" s="175"/>
      <c r="BQ335" s="175"/>
      <c r="BR335" s="175"/>
      <c r="BS335" s="175"/>
      <c r="BT335" s="175"/>
      <c r="BU335" s="175"/>
      <c r="BV335" s="175"/>
      <c r="BW335" s="175"/>
      <c r="BX335" s="175"/>
      <c r="BY335" s="176">
        <f t="shared" si="230"/>
        <v>48000</v>
      </c>
      <c r="CA335" s="169">
        <f>ROW()</f>
        <v>335</v>
      </c>
      <c r="CB335" s="442">
        <f t="shared" si="256"/>
        <v>1541.9176151583306</v>
      </c>
      <c r="CC335" s="171">
        <f t="shared" si="253"/>
        <v>1.0321232836491319</v>
      </c>
      <c r="CD335" s="169">
        <f t="shared" si="254"/>
        <v>26672</v>
      </c>
      <c r="CE335" s="171" t="e">
        <f t="shared" si="255"/>
        <v>#DIV/0!</v>
      </c>
      <c r="CG335" s="3"/>
    </row>
    <row r="336" spans="1:86" ht="17.399999999999999" customHeight="1" thickBot="1" x14ac:dyDescent="0.6">
      <c r="A336" s="7199"/>
      <c r="B336" s="97"/>
      <c r="C336" s="81" t="s">
        <v>408</v>
      </c>
      <c r="D336" s="177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9"/>
      <c r="S336" s="177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9">
        <f t="shared" si="251"/>
        <v>0</v>
      </c>
      <c r="AG336" s="183"/>
      <c r="AH336" s="177">
        <v>45000</v>
      </c>
      <c r="AI336" s="178">
        <v>45000</v>
      </c>
      <c r="AJ336" s="178">
        <v>45000</v>
      </c>
      <c r="AK336" s="178">
        <v>45000</v>
      </c>
      <c r="AL336" s="178">
        <v>45000</v>
      </c>
      <c r="AM336" s="178">
        <v>45000</v>
      </c>
      <c r="AN336" s="178">
        <v>45000</v>
      </c>
      <c r="AO336" s="178">
        <v>45000</v>
      </c>
      <c r="AP336" s="178">
        <v>45000</v>
      </c>
      <c r="AQ336" s="178">
        <v>45000</v>
      </c>
      <c r="AR336" s="178">
        <v>45000</v>
      </c>
      <c r="AS336" s="178">
        <v>45000</v>
      </c>
      <c r="AT336" s="178">
        <v>45000</v>
      </c>
      <c r="AU336" s="179">
        <f t="shared" si="252"/>
        <v>45000</v>
      </c>
      <c r="AV336" s="183"/>
      <c r="AW336" s="177">
        <v>35000</v>
      </c>
      <c r="AX336" s="178">
        <v>35000</v>
      </c>
      <c r="AY336" s="178">
        <v>35000</v>
      </c>
      <c r="AZ336" s="178">
        <v>35000</v>
      </c>
      <c r="BA336" s="178">
        <v>35000</v>
      </c>
      <c r="BB336" s="178">
        <v>35000</v>
      </c>
      <c r="BC336" s="178">
        <v>35000</v>
      </c>
      <c r="BD336" s="178">
        <v>35000</v>
      </c>
      <c r="BE336" s="178">
        <v>35000</v>
      </c>
      <c r="BF336" s="178">
        <v>35000</v>
      </c>
      <c r="BG336" s="178">
        <v>35000</v>
      </c>
      <c r="BH336" s="178">
        <v>35000</v>
      </c>
      <c r="BI336" s="178"/>
      <c r="BJ336" s="179">
        <f t="shared" si="250"/>
        <v>35000</v>
      </c>
      <c r="BK336" s="183"/>
      <c r="BL336" s="177">
        <v>33000</v>
      </c>
      <c r="BM336" s="178">
        <v>33000</v>
      </c>
      <c r="BN336" s="178"/>
      <c r="BO336" s="178"/>
      <c r="BP336" s="178"/>
      <c r="BQ336" s="178"/>
      <c r="BR336" s="178"/>
      <c r="BS336" s="178"/>
      <c r="BT336" s="178"/>
      <c r="BU336" s="178"/>
      <c r="BV336" s="178"/>
      <c r="BW336" s="178"/>
      <c r="BX336" s="178"/>
      <c r="BY336" s="179">
        <f t="shared" si="230"/>
        <v>33000</v>
      </c>
      <c r="CA336" s="169">
        <f>ROW()</f>
        <v>336</v>
      </c>
      <c r="CB336" s="442">
        <f t="shared" si="256"/>
        <v>-1668.0681459828993</v>
      </c>
      <c r="CC336" s="171">
        <f t="shared" si="253"/>
        <v>0.9494524804247606</v>
      </c>
      <c r="CD336" s="169">
        <f t="shared" si="254"/>
        <v>0.2486861175740443</v>
      </c>
      <c r="CE336" s="171" t="e">
        <f t="shared" si="255"/>
        <v>#DIV/0!</v>
      </c>
      <c r="CG336" s="3"/>
    </row>
    <row r="337" spans="1:85" ht="18" thickBot="1" x14ac:dyDescent="0.6">
      <c r="AH337" s="396"/>
      <c r="AI337" s="396"/>
      <c r="AJ337" s="396"/>
      <c r="AK337" s="396"/>
      <c r="AL337" s="396"/>
      <c r="AM337" s="396"/>
      <c r="AN337" s="396"/>
      <c r="AO337" s="396"/>
      <c r="AP337" s="396"/>
      <c r="AR337" s="396"/>
      <c r="AS337" s="396"/>
      <c r="BJ337" s="396" t="e">
        <f t="shared" si="250"/>
        <v>#DIV/0!</v>
      </c>
      <c r="CD337" s="169">
        <f t="shared" si="254"/>
        <v>70340</v>
      </c>
      <c r="CE337" s="171" t="e">
        <f t="shared" si="255"/>
        <v>#DIV/0!</v>
      </c>
    </row>
    <row r="338" spans="1:85" ht="17.399999999999999" customHeight="1" x14ac:dyDescent="0.55000000000000004">
      <c r="A338" s="7209" t="s">
        <v>1041</v>
      </c>
      <c r="B338" s="14" t="s">
        <v>415</v>
      </c>
      <c r="C338" s="71"/>
      <c r="D338" s="122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4"/>
      <c r="R338" s="541"/>
      <c r="S338" s="122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  <c r="AE338" s="123"/>
      <c r="AF338" s="124"/>
      <c r="AG338" s="183"/>
      <c r="AH338" s="122"/>
      <c r="AI338" s="123"/>
      <c r="AJ338" s="123"/>
      <c r="AK338" s="123"/>
      <c r="AL338" s="123"/>
      <c r="AM338" s="123"/>
      <c r="AN338" s="123"/>
      <c r="AO338" s="123"/>
      <c r="AP338" s="123"/>
      <c r="AQ338" s="123"/>
      <c r="AR338" s="123"/>
      <c r="AS338" s="123"/>
      <c r="AT338" s="123"/>
      <c r="AU338" s="124"/>
      <c r="AV338" s="183"/>
      <c r="AW338" s="476"/>
      <c r="AX338" s="123"/>
      <c r="AY338" s="123"/>
      <c r="AZ338" s="123"/>
      <c r="BA338" s="123"/>
      <c r="BB338" s="123"/>
      <c r="BC338" s="123"/>
      <c r="BD338" s="123"/>
      <c r="BE338" s="123"/>
      <c r="BF338" s="123"/>
      <c r="BG338" s="123"/>
      <c r="BH338" s="123"/>
      <c r="BI338" s="123"/>
      <c r="BJ338" s="124" t="e">
        <f t="shared" si="250"/>
        <v>#DIV/0!</v>
      </c>
      <c r="BK338" s="183"/>
      <c r="BL338" s="476"/>
      <c r="BM338" s="123"/>
      <c r="BN338" s="123"/>
      <c r="BO338" s="123"/>
      <c r="BP338" s="123"/>
      <c r="BQ338" s="123"/>
      <c r="BR338" s="123"/>
      <c r="BS338" s="123"/>
      <c r="BT338" s="123"/>
      <c r="BU338" s="123"/>
      <c r="BV338" s="123"/>
      <c r="BW338" s="123"/>
      <c r="BX338" s="123"/>
      <c r="BY338" s="124" t="e">
        <f t="shared" si="230"/>
        <v>#DIV/0!</v>
      </c>
      <c r="CB338" s="442"/>
      <c r="CC338" s="171"/>
      <c r="CD338" s="169">
        <f t="shared" si="254"/>
        <v>28557</v>
      </c>
      <c r="CE338" s="171" t="e">
        <f t="shared" si="255"/>
        <v>#DIV/0!</v>
      </c>
      <c r="CG338" s="3"/>
    </row>
    <row r="339" spans="1:85" ht="17.399999999999999" customHeight="1" x14ac:dyDescent="0.55000000000000004">
      <c r="A339" s="7210"/>
      <c r="B339" s="15"/>
      <c r="C339" s="47" t="s">
        <v>405</v>
      </c>
      <c r="D339" s="174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6"/>
      <c r="R339" s="541"/>
      <c r="S339" s="174"/>
      <c r="T339" s="175"/>
      <c r="U339" s="175"/>
      <c r="V339" s="175"/>
      <c r="W339" s="175"/>
      <c r="X339" s="175"/>
      <c r="Y339" s="175"/>
      <c r="Z339" s="175"/>
      <c r="AA339" s="175"/>
      <c r="AB339" s="175"/>
      <c r="AC339" s="175"/>
      <c r="AD339" s="175"/>
      <c r="AE339" s="175"/>
      <c r="AF339" s="176"/>
      <c r="AG339" s="183"/>
      <c r="AH339" s="174"/>
      <c r="AI339" s="175"/>
      <c r="AJ339" s="175"/>
      <c r="AK339" s="175"/>
      <c r="AL339" s="175"/>
      <c r="AM339" s="175"/>
      <c r="AN339" s="175"/>
      <c r="AO339" s="175"/>
      <c r="AP339" s="175"/>
      <c r="AQ339" s="175"/>
      <c r="AR339" s="175"/>
      <c r="AS339" s="175"/>
      <c r="AT339" s="175"/>
      <c r="AU339" s="176"/>
      <c r="AV339" s="183"/>
      <c r="AW339" s="174"/>
      <c r="AX339" s="175"/>
      <c r="AY339" s="175"/>
      <c r="AZ339" s="175"/>
      <c r="BA339" s="175"/>
      <c r="BB339" s="175"/>
      <c r="BC339" s="175">
        <v>60000</v>
      </c>
      <c r="BD339" s="175">
        <v>60000</v>
      </c>
      <c r="BE339" s="175">
        <v>60000</v>
      </c>
      <c r="BF339" s="175">
        <v>60000</v>
      </c>
      <c r="BG339" s="175">
        <v>60000</v>
      </c>
      <c r="BH339" s="175">
        <v>60000</v>
      </c>
      <c r="BI339" s="175"/>
      <c r="BJ339" s="176">
        <f t="shared" si="250"/>
        <v>60000</v>
      </c>
      <c r="BK339" s="183"/>
      <c r="BL339" s="174"/>
      <c r="BM339" s="175"/>
      <c r="BN339" s="175"/>
      <c r="BO339" s="175"/>
      <c r="BP339" s="175"/>
      <c r="BQ339" s="175"/>
      <c r="BR339" s="175"/>
      <c r="BS339" s="175"/>
      <c r="BT339" s="175"/>
      <c r="BU339" s="175"/>
      <c r="BV339" s="175"/>
      <c r="BW339" s="175"/>
      <c r="BX339" s="175"/>
      <c r="BY339" s="176" t="e">
        <f t="shared" si="230"/>
        <v>#DIV/0!</v>
      </c>
      <c r="CB339" s="442"/>
      <c r="CC339" s="171"/>
      <c r="CD339" s="169">
        <f t="shared" si="254"/>
        <v>276</v>
      </c>
      <c r="CE339" s="171" t="e">
        <f t="shared" si="255"/>
        <v>#DIV/0!</v>
      </c>
      <c r="CG339" s="3"/>
    </row>
    <row r="340" spans="1:85" ht="17.399999999999999" customHeight="1" x14ac:dyDescent="0.55000000000000004">
      <c r="A340" s="7210"/>
      <c r="B340" s="96"/>
      <c r="C340" s="47" t="s">
        <v>1016</v>
      </c>
      <c r="D340" s="174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6"/>
      <c r="R340" s="541"/>
      <c r="S340" s="174"/>
      <c r="T340" s="175"/>
      <c r="U340" s="175"/>
      <c r="V340" s="175"/>
      <c r="W340" s="175"/>
      <c r="X340" s="175"/>
      <c r="Y340" s="175"/>
      <c r="Z340" s="175"/>
      <c r="AA340" s="175"/>
      <c r="AB340" s="175"/>
      <c r="AC340" s="175"/>
      <c r="AD340" s="175"/>
      <c r="AE340" s="175"/>
      <c r="AF340" s="176"/>
      <c r="AG340" s="183"/>
      <c r="AH340" s="174"/>
      <c r="AI340" s="175"/>
      <c r="AJ340" s="175"/>
      <c r="AK340" s="175"/>
      <c r="AL340" s="175"/>
      <c r="AM340" s="175"/>
      <c r="AN340" s="175"/>
      <c r="AO340" s="175"/>
      <c r="AP340" s="175"/>
      <c r="AQ340" s="175"/>
      <c r="AR340" s="175"/>
      <c r="AS340" s="175"/>
      <c r="AT340" s="175"/>
      <c r="AU340" s="176"/>
      <c r="AV340" s="183"/>
      <c r="AW340" s="174"/>
      <c r="AX340" s="175"/>
      <c r="AY340" s="175"/>
      <c r="AZ340" s="175"/>
      <c r="BA340" s="175"/>
      <c r="BB340" s="175"/>
      <c r="BC340" s="175"/>
      <c r="BD340" s="175"/>
      <c r="BE340" s="175"/>
      <c r="BF340" s="175"/>
      <c r="BG340" s="175"/>
      <c r="BH340" s="175"/>
      <c r="BI340" s="175"/>
      <c r="BJ340" s="176" t="e">
        <f t="shared" si="250"/>
        <v>#DIV/0!</v>
      </c>
      <c r="BK340" s="183"/>
      <c r="BL340" s="174"/>
      <c r="BM340" s="175"/>
      <c r="BN340" s="175"/>
      <c r="BO340" s="175"/>
      <c r="BP340" s="175"/>
      <c r="BQ340" s="175"/>
      <c r="BR340" s="175"/>
      <c r="BS340" s="175"/>
      <c r="BT340" s="175"/>
      <c r="BU340" s="175"/>
      <c r="BV340" s="175"/>
      <c r="BW340" s="175"/>
      <c r="BX340" s="175"/>
      <c r="BY340" s="176" t="e">
        <f t="shared" si="230"/>
        <v>#DIV/0!</v>
      </c>
      <c r="CB340" s="442"/>
      <c r="CC340" s="171"/>
      <c r="CD340" s="169">
        <f t="shared" si="254"/>
        <v>51922</v>
      </c>
      <c r="CE340" s="171" t="e">
        <f t="shared" si="255"/>
        <v>#DIV/0!</v>
      </c>
      <c r="CG340" s="3"/>
    </row>
    <row r="341" spans="1:85" ht="17.399999999999999" customHeight="1" x14ac:dyDescent="0.55000000000000004">
      <c r="A341" s="7210"/>
      <c r="B341" s="15"/>
      <c r="C341" s="47" t="s">
        <v>407</v>
      </c>
      <c r="D341" s="174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6"/>
      <c r="R341" s="541"/>
      <c r="S341" s="174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175"/>
      <c r="AE341" s="175"/>
      <c r="AF341" s="176"/>
      <c r="AG341" s="183"/>
      <c r="AH341" s="174"/>
      <c r="AI341" s="175"/>
      <c r="AJ341" s="175"/>
      <c r="AK341" s="175"/>
      <c r="AL341" s="175"/>
      <c r="AM341" s="175"/>
      <c r="AN341" s="175"/>
      <c r="AO341" s="175"/>
      <c r="AP341" s="175"/>
      <c r="AQ341" s="175"/>
      <c r="AR341" s="175"/>
      <c r="AS341" s="175"/>
      <c r="AT341" s="175"/>
      <c r="AU341" s="176"/>
      <c r="AV341" s="183"/>
      <c r="AW341" s="174"/>
      <c r="AX341" s="175"/>
      <c r="AY341" s="175"/>
      <c r="AZ341" s="175"/>
      <c r="BA341" s="175"/>
      <c r="BB341" s="175"/>
      <c r="BC341" s="175">
        <v>68000</v>
      </c>
      <c r="BD341" s="175">
        <v>68000</v>
      </c>
      <c r="BE341" s="175">
        <v>68000</v>
      </c>
      <c r="BF341" s="175">
        <v>68000</v>
      </c>
      <c r="BG341" s="175">
        <v>68000</v>
      </c>
      <c r="BH341" s="175">
        <v>68000</v>
      </c>
      <c r="BI341" s="175"/>
      <c r="BJ341" s="176">
        <f t="shared" si="250"/>
        <v>68000</v>
      </c>
      <c r="BK341" s="183"/>
      <c r="BL341" s="174"/>
      <c r="BM341" s="175"/>
      <c r="BN341" s="175"/>
      <c r="BO341" s="175"/>
      <c r="BP341" s="175"/>
      <c r="BQ341" s="175"/>
      <c r="BR341" s="175"/>
      <c r="BS341" s="175"/>
      <c r="BT341" s="175"/>
      <c r="BU341" s="175"/>
      <c r="BV341" s="175"/>
      <c r="BW341" s="175"/>
      <c r="BX341" s="175"/>
      <c r="BY341" s="176" t="e">
        <f t="shared" si="230"/>
        <v>#DIV/0!</v>
      </c>
      <c r="CB341" s="442"/>
      <c r="CC341" s="171"/>
      <c r="CD341" s="169">
        <f t="shared" si="254"/>
        <v>19289</v>
      </c>
      <c r="CE341" s="171" t="e">
        <f t="shared" si="255"/>
        <v>#DIV/0!</v>
      </c>
      <c r="CG341" s="3"/>
    </row>
    <row r="342" spans="1:85" ht="17.399999999999999" customHeight="1" x14ac:dyDescent="0.55000000000000004">
      <c r="A342" s="7210"/>
      <c r="B342" s="15"/>
      <c r="C342" s="47" t="s">
        <v>875</v>
      </c>
      <c r="D342" s="174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6"/>
      <c r="R342" s="541"/>
      <c r="S342" s="174"/>
      <c r="T342" s="175"/>
      <c r="U342" s="175"/>
      <c r="V342" s="175"/>
      <c r="W342" s="175"/>
      <c r="X342" s="175"/>
      <c r="Y342" s="175"/>
      <c r="Z342" s="175"/>
      <c r="AA342" s="175"/>
      <c r="AB342" s="175"/>
      <c r="AC342" s="175"/>
      <c r="AD342" s="175"/>
      <c r="AE342" s="175"/>
      <c r="AF342" s="176"/>
      <c r="AG342" s="183"/>
      <c r="AH342" s="174"/>
      <c r="AI342" s="175"/>
      <c r="AJ342" s="175"/>
      <c r="AK342" s="175"/>
      <c r="AL342" s="175"/>
      <c r="AM342" s="175"/>
      <c r="AN342" s="175"/>
      <c r="AO342" s="175"/>
      <c r="AP342" s="175"/>
      <c r="AQ342" s="175"/>
      <c r="AR342" s="175"/>
      <c r="AS342" s="175"/>
      <c r="AT342" s="175"/>
      <c r="AU342" s="176"/>
      <c r="AV342" s="183"/>
      <c r="AW342" s="174"/>
      <c r="AX342" s="175"/>
      <c r="AY342" s="175"/>
      <c r="AZ342" s="175"/>
      <c r="BA342" s="175"/>
      <c r="BB342" s="175"/>
      <c r="BC342" s="175">
        <v>49000</v>
      </c>
      <c r="BD342" s="175">
        <v>49000</v>
      </c>
      <c r="BE342" s="175">
        <v>49000</v>
      </c>
      <c r="BF342" s="175">
        <v>49000</v>
      </c>
      <c r="BG342" s="175">
        <v>49000</v>
      </c>
      <c r="BH342" s="175">
        <v>49000</v>
      </c>
      <c r="BI342" s="175"/>
      <c r="BJ342" s="176">
        <f t="shared" si="250"/>
        <v>49000</v>
      </c>
      <c r="BK342" s="183"/>
      <c r="BL342" s="174"/>
      <c r="BM342" s="175"/>
      <c r="BN342" s="175"/>
      <c r="BO342" s="175"/>
      <c r="BP342" s="175"/>
      <c r="BQ342" s="175"/>
      <c r="BR342" s="175"/>
      <c r="BS342" s="175"/>
      <c r="BT342" s="175"/>
      <c r="BU342" s="175"/>
      <c r="BV342" s="175"/>
      <c r="BW342" s="175"/>
      <c r="BX342" s="175"/>
      <c r="BY342" s="176" t="e">
        <f t="shared" si="230"/>
        <v>#DIV/0!</v>
      </c>
      <c r="CB342" s="442"/>
      <c r="CC342" s="171"/>
      <c r="CD342" s="169">
        <f t="shared" si="254"/>
        <v>6092</v>
      </c>
      <c r="CE342" s="171" t="e">
        <f t="shared" si="255"/>
        <v>#DIV/0!</v>
      </c>
      <c r="CG342" s="3"/>
    </row>
    <row r="343" spans="1:85" ht="17.399999999999999" customHeight="1" thickBot="1" x14ac:dyDescent="0.6">
      <c r="A343" s="7211"/>
      <c r="B343" s="97"/>
      <c r="C343" s="81" t="s">
        <v>408</v>
      </c>
      <c r="D343" s="177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9"/>
      <c r="R343" s="541"/>
      <c r="S343" s="177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9"/>
      <c r="AG343" s="183"/>
      <c r="AH343" s="177"/>
      <c r="AI343" s="178"/>
      <c r="AJ343" s="178"/>
      <c r="AK343" s="178"/>
      <c r="AL343" s="178"/>
      <c r="AM343" s="178"/>
      <c r="AN343" s="178"/>
      <c r="AO343" s="178"/>
      <c r="AP343" s="178"/>
      <c r="AQ343" s="178"/>
      <c r="AR343" s="178"/>
      <c r="AS343" s="178"/>
      <c r="AT343" s="178"/>
      <c r="AU343" s="179"/>
      <c r="AV343" s="183"/>
      <c r="AW343" s="177"/>
      <c r="AX343" s="178"/>
      <c r="AY343" s="178"/>
      <c r="AZ343" s="178"/>
      <c r="BA343" s="178"/>
      <c r="BB343" s="178"/>
      <c r="BC343" s="178">
        <v>35000</v>
      </c>
      <c r="BD343" s="178">
        <v>35000</v>
      </c>
      <c r="BE343" s="178">
        <v>35000</v>
      </c>
      <c r="BF343" s="178">
        <v>35000</v>
      </c>
      <c r="BG343" s="178">
        <v>35000</v>
      </c>
      <c r="BH343" s="178">
        <v>35000</v>
      </c>
      <c r="BI343" s="178"/>
      <c r="BJ343" s="179">
        <f t="shared" si="250"/>
        <v>35000</v>
      </c>
      <c r="BK343" s="183"/>
      <c r="BL343" s="177"/>
      <c r="BM343" s="178"/>
      <c r="BN343" s="178"/>
      <c r="BO343" s="178"/>
      <c r="BP343" s="178"/>
      <c r="BQ343" s="178"/>
      <c r="BR343" s="178"/>
      <c r="BS343" s="178"/>
      <c r="BT343" s="178"/>
      <c r="BU343" s="178"/>
      <c r="BV343" s="178"/>
      <c r="BW343" s="178"/>
      <c r="BX343" s="178"/>
      <c r="BY343" s="179" t="e">
        <f t="shared" si="230"/>
        <v>#DIV/0!</v>
      </c>
      <c r="CB343" s="442"/>
      <c r="CC343" s="171"/>
      <c r="CD343" s="169">
        <f t="shared" si="254"/>
        <v>0</v>
      </c>
      <c r="CE343" s="171" t="e">
        <f t="shared" si="255"/>
        <v>#DIV/0!</v>
      </c>
      <c r="CG343" s="3"/>
    </row>
    <row r="344" spans="1:85" ht="18" thickBot="1" x14ac:dyDescent="0.6">
      <c r="D344" s="396"/>
      <c r="E344" s="396"/>
      <c r="F344" s="396"/>
      <c r="G344" s="396"/>
      <c r="H344" s="396"/>
      <c r="I344" s="396"/>
      <c r="J344" s="396"/>
      <c r="K344" s="396"/>
      <c r="L344" s="396"/>
      <c r="M344" s="396"/>
      <c r="N344" s="396"/>
      <c r="O344" s="396"/>
      <c r="P344" s="396"/>
      <c r="Q344" s="396"/>
      <c r="R344" s="541"/>
      <c r="S344" s="396"/>
      <c r="T344" s="396"/>
      <c r="U344" s="396"/>
      <c r="V344" s="396"/>
      <c r="W344" s="396"/>
      <c r="X344" s="396"/>
      <c r="Y344" s="396"/>
      <c r="Z344" s="396"/>
      <c r="AA344" s="396"/>
      <c r="AB344" s="396"/>
      <c r="AC344" s="396"/>
      <c r="AD344" s="396"/>
      <c r="AE344" s="396"/>
      <c r="AF344" s="396"/>
      <c r="AG344" s="541"/>
      <c r="AH344" s="396"/>
      <c r="AI344" s="396"/>
      <c r="AJ344" s="396"/>
      <c r="AK344" s="396"/>
      <c r="AL344" s="396"/>
      <c r="AM344" s="396"/>
      <c r="AN344" s="396"/>
      <c r="AO344" s="396"/>
      <c r="AP344" s="396"/>
      <c r="AR344" s="396"/>
      <c r="AS344" s="396"/>
      <c r="AT344" s="396"/>
      <c r="AU344" s="396"/>
      <c r="AV344" s="541"/>
      <c r="BJ344" s="396" t="e">
        <f t="shared" si="250"/>
        <v>#DIV/0!</v>
      </c>
      <c r="CD344" s="169">
        <f t="shared" si="254"/>
        <v>0</v>
      </c>
      <c r="CE344" s="171" t="e">
        <f t="shared" si="255"/>
        <v>#DIV/0!</v>
      </c>
    </row>
    <row r="345" spans="1:85" ht="17.399999999999999" customHeight="1" x14ac:dyDescent="0.55000000000000004">
      <c r="A345" s="7200" t="s">
        <v>511</v>
      </c>
      <c r="B345" s="14" t="s">
        <v>510</v>
      </c>
      <c r="C345" s="71"/>
      <c r="D345" s="122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4"/>
      <c r="S345" s="122">
        <f t="shared" ref="S345:AD345" si="259">SUM(S346:S349)</f>
        <v>8363</v>
      </c>
      <c r="T345" s="123">
        <f t="shared" si="259"/>
        <v>9409</v>
      </c>
      <c r="U345" s="123">
        <f t="shared" si="259"/>
        <v>9035</v>
      </c>
      <c r="V345" s="123">
        <f t="shared" si="259"/>
        <v>8610</v>
      </c>
      <c r="W345" s="123">
        <f t="shared" si="259"/>
        <v>9312</v>
      </c>
      <c r="X345" s="123">
        <f t="shared" si="259"/>
        <v>9162</v>
      </c>
      <c r="Y345" s="123">
        <f t="shared" si="259"/>
        <v>7808</v>
      </c>
      <c r="Z345" s="123">
        <f t="shared" si="259"/>
        <v>10995</v>
      </c>
      <c r="AA345" s="123">
        <f t="shared" si="259"/>
        <v>8212</v>
      </c>
      <c r="AB345" s="123">
        <f t="shared" si="259"/>
        <v>11539</v>
      </c>
      <c r="AC345" s="123">
        <f t="shared" si="259"/>
        <v>8607</v>
      </c>
      <c r="AD345" s="123">
        <f t="shared" si="259"/>
        <v>8358</v>
      </c>
      <c r="AE345" s="123">
        <v>109410</v>
      </c>
      <c r="AF345" s="124">
        <v>9117.5</v>
      </c>
      <c r="AG345" s="183"/>
      <c r="AH345" s="122">
        <v>9769</v>
      </c>
      <c r="AI345" s="123">
        <v>7423.5</v>
      </c>
      <c r="AJ345" s="123">
        <v>7093.2857142857138</v>
      </c>
      <c r="AK345" s="123">
        <v>8135</v>
      </c>
      <c r="AL345" s="123">
        <v>8600</v>
      </c>
      <c r="AM345" s="123">
        <v>8700</v>
      </c>
      <c r="AN345" s="123">
        <v>11500</v>
      </c>
      <c r="AO345" s="123">
        <v>8900</v>
      </c>
      <c r="AP345" s="123">
        <v>10200</v>
      </c>
      <c r="AQ345" s="123">
        <v>9400</v>
      </c>
      <c r="AR345" s="123">
        <v>8650</v>
      </c>
      <c r="AS345" s="123">
        <v>8650</v>
      </c>
      <c r="AT345" s="123">
        <v>107020.78571428571</v>
      </c>
      <c r="AU345" s="124">
        <v>8918.3988095238092</v>
      </c>
      <c r="AV345" s="183"/>
      <c r="AW345" s="476">
        <v>4295</v>
      </c>
      <c r="AX345" s="123">
        <v>12100</v>
      </c>
      <c r="AY345" s="123">
        <v>9500</v>
      </c>
      <c r="AZ345" s="123">
        <v>9600</v>
      </c>
      <c r="BA345" s="123">
        <v>10600</v>
      </c>
      <c r="BB345" s="123">
        <v>17000</v>
      </c>
      <c r="BC345" s="123">
        <v>14000</v>
      </c>
      <c r="BD345" s="123">
        <v>11500</v>
      </c>
      <c r="BE345" s="123">
        <v>11500</v>
      </c>
      <c r="BF345" s="123">
        <v>9500</v>
      </c>
      <c r="BG345" s="123">
        <v>10050</v>
      </c>
      <c r="BH345" s="123">
        <v>8550</v>
      </c>
      <c r="BI345" s="123">
        <v>128195</v>
      </c>
      <c r="BJ345" s="124">
        <v>10682.916666666666</v>
      </c>
      <c r="BK345" s="183"/>
      <c r="BL345" s="476">
        <v>11200</v>
      </c>
      <c r="BM345" s="123">
        <v>10000</v>
      </c>
      <c r="BN345" s="123"/>
      <c r="BO345" s="123"/>
      <c r="BP345" s="123"/>
      <c r="BQ345" s="123"/>
      <c r="BR345" s="123"/>
      <c r="BS345" s="123"/>
      <c r="BT345" s="123"/>
      <c r="BU345" s="123"/>
      <c r="BV345" s="123"/>
      <c r="BW345" s="123"/>
      <c r="BX345" s="123">
        <f>SUM(BL345:BW345)</f>
        <v>21200</v>
      </c>
      <c r="BY345" s="124">
        <f t="shared" ref="BY345:BY364" si="260">AVERAGE(BL345:BW345)</f>
        <v>10600</v>
      </c>
      <c r="CA345" s="169">
        <f>ROW()</f>
        <v>345</v>
      </c>
      <c r="CB345" s="442">
        <f>BM140-BM345</f>
        <v>-2898</v>
      </c>
      <c r="CC345" s="171">
        <f>BM140/BM345</f>
        <v>0.71020000000000005</v>
      </c>
      <c r="CD345" s="169">
        <f>BX140-BX345</f>
        <v>-4797</v>
      </c>
      <c r="CE345" s="171">
        <f>BX140/BX345</f>
        <v>0.77372641509433959</v>
      </c>
      <c r="CG345" s="3"/>
    </row>
    <row r="346" spans="1:85" ht="17.399999999999999" customHeight="1" x14ac:dyDescent="0.55000000000000004">
      <c r="A346" s="7201"/>
      <c r="B346" s="15"/>
      <c r="C346" s="78" t="s">
        <v>405</v>
      </c>
      <c r="D346" s="125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7"/>
      <c r="S346" s="125">
        <v>2674</v>
      </c>
      <c r="T346" s="126">
        <v>2945</v>
      </c>
      <c r="U346" s="126">
        <v>2776</v>
      </c>
      <c r="V346" s="126">
        <v>2674</v>
      </c>
      <c r="W346" s="126">
        <v>2810</v>
      </c>
      <c r="X346" s="126">
        <v>2843</v>
      </c>
      <c r="Y346" s="126">
        <v>2471</v>
      </c>
      <c r="Z346" s="126">
        <v>3453</v>
      </c>
      <c r="AA346" s="126">
        <v>2573</v>
      </c>
      <c r="AB346" s="126">
        <v>3419</v>
      </c>
      <c r="AC346" s="126">
        <v>2674</v>
      </c>
      <c r="AD346" s="126">
        <v>2667</v>
      </c>
      <c r="AE346" s="126">
        <v>33979</v>
      </c>
      <c r="AF346" s="127">
        <v>2831.5833333333335</v>
      </c>
      <c r="AG346" s="183"/>
      <c r="AH346" s="125">
        <v>4147</v>
      </c>
      <c r="AI346" s="126">
        <v>3200</v>
      </c>
      <c r="AJ346" s="126">
        <v>3200</v>
      </c>
      <c r="AK346" s="126">
        <v>3500</v>
      </c>
      <c r="AL346" s="126">
        <v>3800</v>
      </c>
      <c r="AM346" s="126">
        <v>3800</v>
      </c>
      <c r="AN346" s="126">
        <v>4500</v>
      </c>
      <c r="AO346" s="126">
        <v>3500</v>
      </c>
      <c r="AP346" s="126">
        <v>4000</v>
      </c>
      <c r="AQ346" s="126">
        <v>3700</v>
      </c>
      <c r="AR346" s="126">
        <v>3300</v>
      </c>
      <c r="AS346" s="126">
        <v>3300</v>
      </c>
      <c r="AT346" s="126">
        <v>43947</v>
      </c>
      <c r="AU346" s="127">
        <v>3662.25</v>
      </c>
      <c r="AV346" s="183"/>
      <c r="AW346" s="477">
        <v>3700</v>
      </c>
      <c r="AX346" s="126">
        <v>4500</v>
      </c>
      <c r="AY346" s="126">
        <v>3800</v>
      </c>
      <c r="AZ346" s="126">
        <v>3900</v>
      </c>
      <c r="BA346" s="126">
        <v>4100</v>
      </c>
      <c r="BB346" s="126">
        <v>7500</v>
      </c>
      <c r="BC346" s="126">
        <v>5500</v>
      </c>
      <c r="BD346" s="126">
        <v>4200</v>
      </c>
      <c r="BE346" s="126">
        <v>4200</v>
      </c>
      <c r="BF346" s="126">
        <v>3800</v>
      </c>
      <c r="BG346" s="126">
        <v>3300</v>
      </c>
      <c r="BH346" s="126">
        <v>3000</v>
      </c>
      <c r="BI346" s="126">
        <v>51500</v>
      </c>
      <c r="BJ346" s="127">
        <v>4291.666666666667</v>
      </c>
      <c r="BK346" s="183"/>
      <c r="BL346" s="477">
        <v>4000</v>
      </c>
      <c r="BM346" s="126">
        <v>3500</v>
      </c>
      <c r="BN346" s="126"/>
      <c r="BO346" s="126"/>
      <c r="BP346" s="126"/>
      <c r="BQ346" s="126"/>
      <c r="BR346" s="126"/>
      <c r="BS346" s="126"/>
      <c r="BT346" s="126"/>
      <c r="BU346" s="126"/>
      <c r="BV346" s="126"/>
      <c r="BW346" s="126"/>
      <c r="BX346" s="126">
        <f>SUM(BL346:BW346)</f>
        <v>7500</v>
      </c>
      <c r="BY346" s="127">
        <f t="shared" si="260"/>
        <v>3750</v>
      </c>
      <c r="CA346" s="169">
        <f>ROW()</f>
        <v>346</v>
      </c>
      <c r="CB346" s="442">
        <f>BM147-BM346</f>
        <v>-902</v>
      </c>
      <c r="CC346" s="171">
        <f>BM147/BM346</f>
        <v>0.74228571428571433</v>
      </c>
      <c r="CD346" s="169">
        <f>BX147-BX346</f>
        <v>-1042</v>
      </c>
      <c r="CE346" s="171">
        <f>BX147/BX346</f>
        <v>0.86106666666666665</v>
      </c>
      <c r="CG346" s="3"/>
    </row>
    <row r="347" spans="1:85" ht="17.399999999999999" customHeight="1" x14ac:dyDescent="0.55000000000000004">
      <c r="A347" s="7201"/>
      <c r="B347" s="15"/>
      <c r="C347" s="78" t="s">
        <v>1016</v>
      </c>
      <c r="D347" s="125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7"/>
      <c r="R347" s="536"/>
      <c r="S347" s="125">
        <v>1518</v>
      </c>
      <c r="T347" s="126">
        <v>1789</v>
      </c>
      <c r="U347" s="126">
        <v>1811</v>
      </c>
      <c r="V347" s="126">
        <v>1810</v>
      </c>
      <c r="W347" s="126">
        <v>1981</v>
      </c>
      <c r="X347" s="126">
        <v>2079</v>
      </c>
      <c r="Y347" s="126">
        <v>1807</v>
      </c>
      <c r="Z347" s="126">
        <v>2597</v>
      </c>
      <c r="AA347" s="126">
        <v>2027</v>
      </c>
      <c r="AB347" s="126">
        <v>2718</v>
      </c>
      <c r="AC347" s="126">
        <v>2319</v>
      </c>
      <c r="AD347" s="126">
        <v>2294</v>
      </c>
      <c r="AE347" s="126">
        <v>24750</v>
      </c>
      <c r="AF347" s="127">
        <v>2062.5</v>
      </c>
      <c r="AG347" s="183"/>
      <c r="AH347" s="125">
        <v>1630</v>
      </c>
      <c r="AI347" s="126">
        <v>1275.5</v>
      </c>
      <c r="AJ347" s="126">
        <v>1093.285714285714</v>
      </c>
      <c r="AK347" s="126">
        <v>1095</v>
      </c>
      <c r="AL347" s="126">
        <v>1100</v>
      </c>
      <c r="AM347" s="126">
        <v>1200</v>
      </c>
      <c r="AN347" s="126">
        <v>1500</v>
      </c>
      <c r="AO347" s="126">
        <v>1200</v>
      </c>
      <c r="AP347" s="126">
        <v>1500</v>
      </c>
      <c r="AQ347" s="126">
        <v>1500</v>
      </c>
      <c r="AR347" s="126">
        <v>1200</v>
      </c>
      <c r="AS347" s="126">
        <v>1200</v>
      </c>
      <c r="AT347" s="126">
        <v>15493.785714285714</v>
      </c>
      <c r="AU347" s="127">
        <v>1291.1488095238094</v>
      </c>
      <c r="AV347" s="183"/>
      <c r="AW347" s="477">
        <v>1500</v>
      </c>
      <c r="AX347" s="126">
        <v>2000</v>
      </c>
      <c r="AY347" s="126">
        <v>1500</v>
      </c>
      <c r="AZ347" s="126">
        <v>1500</v>
      </c>
      <c r="BA347" s="126">
        <v>2000</v>
      </c>
      <c r="BB347" s="126">
        <v>2000</v>
      </c>
      <c r="BC347" s="126">
        <v>2000</v>
      </c>
      <c r="BD347" s="126">
        <v>2000</v>
      </c>
      <c r="BE347" s="126">
        <v>2000</v>
      </c>
      <c r="BF347" s="126">
        <v>1500</v>
      </c>
      <c r="BG347" s="126">
        <v>2500</v>
      </c>
      <c r="BH347" s="126">
        <v>1500</v>
      </c>
      <c r="BI347" s="126">
        <v>22000</v>
      </c>
      <c r="BJ347" s="127">
        <v>1833.3333333333333</v>
      </c>
      <c r="BK347" s="183"/>
      <c r="BL347" s="477">
        <v>1700</v>
      </c>
      <c r="BM347" s="126">
        <v>1500</v>
      </c>
      <c r="BN347" s="126"/>
      <c r="BO347" s="126"/>
      <c r="BP347" s="126"/>
      <c r="BQ347" s="126"/>
      <c r="BR347" s="126"/>
      <c r="BS347" s="126"/>
      <c r="BT347" s="126"/>
      <c r="BU347" s="126"/>
      <c r="BV347" s="126"/>
      <c r="BW347" s="126"/>
      <c r="BX347" s="126">
        <f>SUM(BL347:BW347)</f>
        <v>3200</v>
      </c>
      <c r="BY347" s="127">
        <f t="shared" si="260"/>
        <v>1600</v>
      </c>
      <c r="CA347" s="169">
        <f>ROW()</f>
        <v>347</v>
      </c>
      <c r="CB347" s="442">
        <f t="shared" ref="CB347:CB348" si="261">BM148-BM347</f>
        <v>-117</v>
      </c>
      <c r="CC347" s="171">
        <f t="shared" ref="CC347:CC349" si="262">BM148/BM347</f>
        <v>0.92200000000000004</v>
      </c>
      <c r="CD347" s="169">
        <f t="shared" ref="CD347:CD349" si="263">BX148-BX347</f>
        <v>-641</v>
      </c>
      <c r="CE347" s="171">
        <f t="shared" ref="CE347:CE349" si="264">BX148/BX347</f>
        <v>0.7996875</v>
      </c>
      <c r="CG347" s="3"/>
    </row>
    <row r="348" spans="1:85" ht="17.399999999999999" customHeight="1" x14ac:dyDescent="0.55000000000000004">
      <c r="A348" s="7201"/>
      <c r="B348" s="15"/>
      <c r="C348" s="78" t="s">
        <v>407</v>
      </c>
      <c r="D348" s="125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7"/>
      <c r="S348" s="125">
        <v>3544</v>
      </c>
      <c r="T348" s="126">
        <v>3829</v>
      </c>
      <c r="U348" s="126">
        <v>3584</v>
      </c>
      <c r="V348" s="126">
        <v>3381</v>
      </c>
      <c r="W348" s="126">
        <v>3666</v>
      </c>
      <c r="X348" s="126">
        <v>3544</v>
      </c>
      <c r="Y348" s="126">
        <v>2851</v>
      </c>
      <c r="Z348" s="126">
        <v>3910</v>
      </c>
      <c r="AA348" s="126">
        <v>2933</v>
      </c>
      <c r="AB348" s="126">
        <v>3910</v>
      </c>
      <c r="AC348" s="126">
        <v>2892</v>
      </c>
      <c r="AD348" s="126">
        <v>2688</v>
      </c>
      <c r="AE348" s="126">
        <v>40732</v>
      </c>
      <c r="AF348" s="127">
        <v>3394.3333333333335</v>
      </c>
      <c r="AG348" s="183"/>
      <c r="AH348" s="125">
        <v>3922</v>
      </c>
      <c r="AI348" s="126">
        <v>2900</v>
      </c>
      <c r="AJ348" s="126">
        <v>2700</v>
      </c>
      <c r="AK348" s="126">
        <v>3400</v>
      </c>
      <c r="AL348" s="126">
        <v>3500</v>
      </c>
      <c r="AM348" s="126">
        <v>3500</v>
      </c>
      <c r="AN348" s="126">
        <v>5000</v>
      </c>
      <c r="AO348" s="126">
        <v>4000</v>
      </c>
      <c r="AP348" s="126">
        <v>4500</v>
      </c>
      <c r="AQ348" s="126">
        <v>4000</v>
      </c>
      <c r="AR348" s="126">
        <v>4000</v>
      </c>
      <c r="AS348" s="126">
        <v>4000</v>
      </c>
      <c r="AT348" s="126">
        <v>45422</v>
      </c>
      <c r="AU348" s="127">
        <v>3785.1666666666665</v>
      </c>
      <c r="AV348" s="183"/>
      <c r="AW348" s="477">
        <v>3800</v>
      </c>
      <c r="AX348" s="126">
        <v>5500</v>
      </c>
      <c r="AY348" s="126">
        <v>4100</v>
      </c>
      <c r="AZ348" s="126">
        <v>4100</v>
      </c>
      <c r="BA348" s="126">
        <v>4200</v>
      </c>
      <c r="BB348" s="126">
        <v>7000</v>
      </c>
      <c r="BC348" s="126">
        <v>5800</v>
      </c>
      <c r="BD348" s="126">
        <v>4800</v>
      </c>
      <c r="BE348" s="126">
        <v>4800</v>
      </c>
      <c r="BF348" s="126">
        <v>4100</v>
      </c>
      <c r="BG348" s="126">
        <v>4000</v>
      </c>
      <c r="BH348" s="126">
        <v>3800</v>
      </c>
      <c r="BI348" s="126">
        <v>56000</v>
      </c>
      <c r="BJ348" s="127">
        <v>4666.666666666667</v>
      </c>
      <c r="BK348" s="183"/>
      <c r="BL348" s="477">
        <v>4500</v>
      </c>
      <c r="BM348" s="126">
        <v>4000</v>
      </c>
      <c r="BN348" s="126"/>
      <c r="BO348" s="126"/>
      <c r="BP348" s="126"/>
      <c r="BQ348" s="126"/>
      <c r="BR348" s="126"/>
      <c r="BS348" s="126"/>
      <c r="BT348" s="126"/>
      <c r="BU348" s="126"/>
      <c r="BV348" s="126"/>
      <c r="BW348" s="126"/>
      <c r="BX348" s="126">
        <f>SUM(BL348:BW348)</f>
        <v>8500</v>
      </c>
      <c r="BY348" s="127">
        <f t="shared" si="260"/>
        <v>4250</v>
      </c>
      <c r="CA348" s="169">
        <f>ROW()</f>
        <v>348</v>
      </c>
      <c r="CB348" s="442">
        <f t="shared" si="261"/>
        <v>-1168</v>
      </c>
      <c r="CC348" s="171">
        <f t="shared" si="262"/>
        <v>0.70799999999999996</v>
      </c>
      <c r="CD348" s="169">
        <f t="shared" si="263"/>
        <v>-1679</v>
      </c>
      <c r="CE348" s="171">
        <f t="shared" si="264"/>
        <v>0.80247058823529416</v>
      </c>
      <c r="CG348" s="3"/>
    </row>
    <row r="349" spans="1:85" ht="17.399999999999999" customHeight="1" x14ac:dyDescent="0.55000000000000004">
      <c r="A349" s="7201"/>
      <c r="B349" s="15"/>
      <c r="C349" s="79" t="s">
        <v>875</v>
      </c>
      <c r="D349" s="125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7"/>
      <c r="S349" s="125">
        <v>627</v>
      </c>
      <c r="T349" s="126">
        <v>846</v>
      </c>
      <c r="U349" s="126">
        <v>864</v>
      </c>
      <c r="V349" s="126">
        <v>745</v>
      </c>
      <c r="W349" s="126">
        <v>855</v>
      </c>
      <c r="X349" s="126">
        <v>696</v>
      </c>
      <c r="Y349" s="126">
        <v>679</v>
      </c>
      <c r="Z349" s="126">
        <v>1035</v>
      </c>
      <c r="AA349" s="126">
        <v>679</v>
      </c>
      <c r="AB349" s="126">
        <v>1492</v>
      </c>
      <c r="AC349" s="126">
        <v>722</v>
      </c>
      <c r="AD349" s="126">
        <v>709</v>
      </c>
      <c r="AE349" s="126">
        <v>9949</v>
      </c>
      <c r="AF349" s="127">
        <v>829.08333333333337</v>
      </c>
      <c r="AG349" s="183"/>
      <c r="AH349" s="125">
        <v>70</v>
      </c>
      <c r="AI349" s="126">
        <v>48</v>
      </c>
      <c r="AJ349" s="126">
        <v>100</v>
      </c>
      <c r="AK349" s="126">
        <v>140</v>
      </c>
      <c r="AL349" s="126">
        <v>200</v>
      </c>
      <c r="AM349" s="126">
        <v>200</v>
      </c>
      <c r="AN349" s="126">
        <v>500</v>
      </c>
      <c r="AO349" s="126">
        <v>200</v>
      </c>
      <c r="AP349" s="126">
        <v>200</v>
      </c>
      <c r="AQ349" s="126">
        <v>200</v>
      </c>
      <c r="AR349" s="126">
        <v>150</v>
      </c>
      <c r="AS349" s="126">
        <v>150</v>
      </c>
      <c r="AT349" s="126">
        <v>2158</v>
      </c>
      <c r="AU349" s="127">
        <v>179.83333333333334</v>
      </c>
      <c r="AV349" s="183"/>
      <c r="AW349" s="477">
        <v>200</v>
      </c>
      <c r="AX349" s="126">
        <v>100</v>
      </c>
      <c r="AY349" s="126">
        <v>100</v>
      </c>
      <c r="AZ349" s="126">
        <v>100</v>
      </c>
      <c r="BA349" s="126">
        <v>300</v>
      </c>
      <c r="BB349" s="126">
        <v>500</v>
      </c>
      <c r="BC349" s="126">
        <v>700</v>
      </c>
      <c r="BD349" s="126">
        <v>500</v>
      </c>
      <c r="BE349" s="126">
        <v>500</v>
      </c>
      <c r="BF349" s="126">
        <v>100</v>
      </c>
      <c r="BG349" s="126">
        <v>250</v>
      </c>
      <c r="BH349" s="126">
        <v>250</v>
      </c>
      <c r="BI349" s="126">
        <v>3600</v>
      </c>
      <c r="BJ349" s="127">
        <v>300</v>
      </c>
      <c r="BK349" s="183"/>
      <c r="BL349" s="477">
        <v>1000</v>
      </c>
      <c r="BM349" s="126">
        <v>1000</v>
      </c>
      <c r="BN349" s="126"/>
      <c r="BO349" s="126"/>
      <c r="BP349" s="126"/>
      <c r="BQ349" s="126"/>
      <c r="BR349" s="126"/>
      <c r="BS349" s="126"/>
      <c r="BT349" s="126"/>
      <c r="BU349" s="126"/>
      <c r="BV349" s="126"/>
      <c r="BW349" s="126"/>
      <c r="BX349" s="126">
        <f>SUM(BL349:BW349)</f>
        <v>2000</v>
      </c>
      <c r="BY349" s="127">
        <f t="shared" si="260"/>
        <v>1000</v>
      </c>
      <c r="CA349" s="169">
        <f>ROW()</f>
        <v>349</v>
      </c>
      <c r="CB349" s="442">
        <f>BM150-BM349</f>
        <v>-768</v>
      </c>
      <c r="CC349" s="171">
        <f t="shared" si="262"/>
        <v>0.23200000000000001</v>
      </c>
      <c r="CD349" s="169">
        <f t="shared" si="263"/>
        <v>-1518</v>
      </c>
      <c r="CE349" s="171">
        <f t="shared" si="264"/>
        <v>0.24099999999999999</v>
      </c>
      <c r="CG349" s="3"/>
    </row>
    <row r="350" spans="1:85" ht="17.399999999999999" customHeight="1" x14ac:dyDescent="0.55000000000000004">
      <c r="A350" s="7201"/>
      <c r="B350" s="7203" t="s">
        <v>411</v>
      </c>
      <c r="C350" s="64" t="s">
        <v>400</v>
      </c>
      <c r="D350" s="143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5"/>
      <c r="S350" s="143">
        <f>S355+S356</f>
        <v>385</v>
      </c>
      <c r="T350" s="144">
        <f t="shared" ref="T350:AD350" si="265">T355+T356</f>
        <v>425</v>
      </c>
      <c r="U350" s="144">
        <f t="shared" si="265"/>
        <v>400</v>
      </c>
      <c r="V350" s="144">
        <f t="shared" si="265"/>
        <v>404</v>
      </c>
      <c r="W350" s="144">
        <f t="shared" si="265"/>
        <v>426</v>
      </c>
      <c r="X350" s="144">
        <f t="shared" si="265"/>
        <v>431</v>
      </c>
      <c r="Y350" s="144">
        <f t="shared" si="265"/>
        <v>385</v>
      </c>
      <c r="Z350" s="144">
        <f t="shared" si="265"/>
        <v>544</v>
      </c>
      <c r="AA350" s="144">
        <f t="shared" si="265"/>
        <v>404</v>
      </c>
      <c r="AB350" s="144">
        <f t="shared" si="265"/>
        <v>568</v>
      </c>
      <c r="AC350" s="144">
        <f t="shared" si="265"/>
        <v>439</v>
      </c>
      <c r="AD350" s="144">
        <f t="shared" si="265"/>
        <v>415</v>
      </c>
      <c r="AE350" s="144">
        <v>5226</v>
      </c>
      <c r="AF350" s="145">
        <v>435.5</v>
      </c>
      <c r="AG350" s="183"/>
      <c r="AH350" s="143">
        <v>612</v>
      </c>
      <c r="AI350" s="144">
        <v>473</v>
      </c>
      <c r="AJ350" s="144">
        <v>472</v>
      </c>
      <c r="AK350" s="144">
        <v>517</v>
      </c>
      <c r="AL350" s="144">
        <v>561</v>
      </c>
      <c r="AM350" s="144">
        <v>561</v>
      </c>
      <c r="AN350" s="144">
        <v>670</v>
      </c>
      <c r="AO350" s="144">
        <v>522</v>
      </c>
      <c r="AP350" s="144">
        <v>595</v>
      </c>
      <c r="AQ350" s="144">
        <v>476</v>
      </c>
      <c r="AR350" s="144">
        <v>491</v>
      </c>
      <c r="AS350" s="144">
        <v>491</v>
      </c>
      <c r="AT350" s="144">
        <v>6441</v>
      </c>
      <c r="AU350" s="145">
        <v>536.75</v>
      </c>
      <c r="AV350" s="183"/>
      <c r="AW350" s="481">
        <v>549</v>
      </c>
      <c r="AX350" s="144">
        <v>668</v>
      </c>
      <c r="AY350" s="144">
        <v>565</v>
      </c>
      <c r="AZ350" s="144">
        <v>579</v>
      </c>
      <c r="BA350" s="144">
        <v>609</v>
      </c>
      <c r="BB350" s="144">
        <v>1114</v>
      </c>
      <c r="BC350" s="144">
        <v>817</v>
      </c>
      <c r="BD350" s="144">
        <v>624</v>
      </c>
      <c r="BE350" s="144">
        <v>624</v>
      </c>
      <c r="BF350" s="144">
        <v>565</v>
      </c>
      <c r="BG350" s="144">
        <v>490</v>
      </c>
      <c r="BH350" s="144">
        <v>446</v>
      </c>
      <c r="BI350" s="144">
        <v>7650</v>
      </c>
      <c r="BJ350" s="145">
        <v>637.5</v>
      </c>
      <c r="BK350" s="183"/>
      <c r="BL350" s="481">
        <v>613</v>
      </c>
      <c r="BM350" s="144">
        <v>537</v>
      </c>
      <c r="BN350" s="144"/>
      <c r="BO350" s="144"/>
      <c r="BP350" s="144"/>
      <c r="BQ350" s="144"/>
      <c r="BR350" s="144"/>
      <c r="BS350" s="144"/>
      <c r="BT350" s="144"/>
      <c r="BU350" s="144"/>
      <c r="BV350" s="144"/>
      <c r="BW350" s="144"/>
      <c r="BX350" s="144">
        <f t="shared" ref="BX350:BX381" si="266">SUM(BL350:BW350)</f>
        <v>1150</v>
      </c>
      <c r="BY350" s="145">
        <f t="shared" si="260"/>
        <v>575</v>
      </c>
      <c r="CA350" s="169">
        <f>ROW()</f>
        <v>350</v>
      </c>
      <c r="CB350" s="442">
        <f>BM152-BM350</f>
        <v>-137</v>
      </c>
      <c r="CC350" s="171">
        <f t="shared" ref="CC350:CC369" si="267">BM152/BM350</f>
        <v>0.74487895716945995</v>
      </c>
      <c r="CD350" s="169">
        <f>BX152-BX350</f>
        <v>-175</v>
      </c>
      <c r="CE350" s="171">
        <f>BX152/BX350</f>
        <v>0.84782608695652173</v>
      </c>
      <c r="CG350" s="3"/>
    </row>
    <row r="351" spans="1:85" ht="17.399999999999999" customHeight="1" x14ac:dyDescent="0.55000000000000004">
      <c r="A351" s="7201"/>
      <c r="B351" s="7204"/>
      <c r="C351" s="65" t="s">
        <v>401</v>
      </c>
      <c r="D351" s="146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8"/>
      <c r="S351" s="146">
        <f>S357+S358</f>
        <v>433</v>
      </c>
      <c r="T351" s="147">
        <f t="shared" ref="T351:AD351" si="268">T357+T358</f>
        <v>477</v>
      </c>
      <c r="U351" s="147">
        <f t="shared" si="268"/>
        <v>450</v>
      </c>
      <c r="V351" s="147">
        <f t="shared" si="268"/>
        <v>429</v>
      </c>
      <c r="W351" s="147">
        <f t="shared" si="268"/>
        <v>451</v>
      </c>
      <c r="X351" s="147">
        <f t="shared" si="268"/>
        <v>455</v>
      </c>
      <c r="Y351" s="147">
        <f t="shared" si="268"/>
        <v>400</v>
      </c>
      <c r="Z351" s="147">
        <f t="shared" si="268"/>
        <v>562</v>
      </c>
      <c r="AA351" s="147">
        <f t="shared" si="268"/>
        <v>415</v>
      </c>
      <c r="AB351" s="147">
        <f t="shared" si="268"/>
        <v>545</v>
      </c>
      <c r="AC351" s="147">
        <f t="shared" si="268"/>
        <v>436</v>
      </c>
      <c r="AD351" s="147">
        <f t="shared" si="268"/>
        <v>413</v>
      </c>
      <c r="AE351" s="147">
        <v>5466</v>
      </c>
      <c r="AF351" s="148">
        <v>455.5</v>
      </c>
      <c r="AG351" s="183"/>
      <c r="AH351" s="146">
        <v>679</v>
      </c>
      <c r="AI351" s="147">
        <v>524</v>
      </c>
      <c r="AJ351" s="147">
        <v>524</v>
      </c>
      <c r="AK351" s="147">
        <v>573</v>
      </c>
      <c r="AL351" s="147">
        <v>622</v>
      </c>
      <c r="AM351" s="147">
        <v>622</v>
      </c>
      <c r="AN351" s="147">
        <v>745</v>
      </c>
      <c r="AO351" s="147">
        <v>579</v>
      </c>
      <c r="AP351" s="147">
        <v>663</v>
      </c>
      <c r="AQ351" s="147">
        <v>530</v>
      </c>
      <c r="AR351" s="147">
        <v>547</v>
      </c>
      <c r="AS351" s="147">
        <v>547</v>
      </c>
      <c r="AT351" s="147">
        <v>7155</v>
      </c>
      <c r="AU351" s="148">
        <v>596.25</v>
      </c>
      <c r="AV351" s="183"/>
      <c r="AW351" s="482">
        <v>630</v>
      </c>
      <c r="AX351" s="147">
        <v>766</v>
      </c>
      <c r="AY351" s="147">
        <v>646</v>
      </c>
      <c r="AZ351" s="147">
        <v>663</v>
      </c>
      <c r="BA351" s="147">
        <v>698</v>
      </c>
      <c r="BB351" s="147">
        <v>1276</v>
      </c>
      <c r="BC351" s="147">
        <v>936</v>
      </c>
      <c r="BD351" s="147">
        <v>714</v>
      </c>
      <c r="BE351" s="147">
        <v>714</v>
      </c>
      <c r="BF351" s="147">
        <v>646</v>
      </c>
      <c r="BG351" s="147">
        <v>562</v>
      </c>
      <c r="BH351" s="147">
        <v>510</v>
      </c>
      <c r="BI351" s="147">
        <v>8761</v>
      </c>
      <c r="BJ351" s="148">
        <v>730.08333333333337</v>
      </c>
      <c r="BK351" s="183"/>
      <c r="BL351" s="482">
        <v>696</v>
      </c>
      <c r="BM351" s="147">
        <v>608</v>
      </c>
      <c r="BN351" s="147"/>
      <c r="BO351" s="147"/>
      <c r="BP351" s="147"/>
      <c r="BQ351" s="147"/>
      <c r="BR351" s="147"/>
      <c r="BS351" s="147"/>
      <c r="BT351" s="147"/>
      <c r="BU351" s="147"/>
      <c r="BV351" s="147"/>
      <c r="BW351" s="147"/>
      <c r="BX351" s="147">
        <f t="shared" si="266"/>
        <v>1304</v>
      </c>
      <c r="BY351" s="148">
        <f t="shared" si="260"/>
        <v>652</v>
      </c>
      <c r="CA351" s="169">
        <f>ROW()</f>
        <v>351</v>
      </c>
      <c r="CB351" s="442">
        <f t="shared" ref="CB351:CB381" si="269">BM153-BM351</f>
        <v>-114</v>
      </c>
      <c r="CC351" s="171">
        <f t="shared" si="267"/>
        <v>0.8125</v>
      </c>
      <c r="CD351" s="169">
        <f t="shared" ref="CD351:CD364" si="270">BX153-BX351</f>
        <v>-81</v>
      </c>
      <c r="CE351" s="171">
        <f t="shared" ref="CE351:CE364" si="271">BX153/BX351</f>
        <v>0.93788343558282206</v>
      </c>
      <c r="CG351" s="3"/>
    </row>
    <row r="352" spans="1:85" ht="17.399999999999999" customHeight="1" x14ac:dyDescent="0.55000000000000004">
      <c r="A352" s="7201"/>
      <c r="B352" s="7204"/>
      <c r="C352" s="65" t="s">
        <v>402</v>
      </c>
      <c r="D352" s="146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8"/>
      <c r="S352" s="146">
        <f>S359+S360</f>
        <v>590</v>
      </c>
      <c r="T352" s="147">
        <f t="shared" ref="T352:AD352" si="272">T359+T360</f>
        <v>650</v>
      </c>
      <c r="U352" s="147">
        <f t="shared" si="272"/>
        <v>612</v>
      </c>
      <c r="V352" s="147">
        <f t="shared" si="272"/>
        <v>584</v>
      </c>
      <c r="W352" s="147">
        <f t="shared" si="272"/>
        <v>609</v>
      </c>
      <c r="X352" s="147">
        <f t="shared" si="272"/>
        <v>620</v>
      </c>
      <c r="Y352" s="147">
        <f t="shared" si="272"/>
        <v>538</v>
      </c>
      <c r="Z352" s="147">
        <f t="shared" si="272"/>
        <v>760</v>
      </c>
      <c r="AA352" s="147">
        <f t="shared" si="272"/>
        <v>562</v>
      </c>
      <c r="AB352" s="147">
        <f t="shared" si="272"/>
        <v>739</v>
      </c>
      <c r="AC352" s="147">
        <f t="shared" si="272"/>
        <v>591</v>
      </c>
      <c r="AD352" s="147">
        <f t="shared" si="272"/>
        <v>552</v>
      </c>
      <c r="AE352" s="147">
        <v>7407</v>
      </c>
      <c r="AF352" s="148">
        <v>617.25</v>
      </c>
      <c r="AG352" s="183"/>
      <c r="AH352" s="146">
        <v>937</v>
      </c>
      <c r="AI352" s="147">
        <v>723</v>
      </c>
      <c r="AJ352" s="147">
        <v>723</v>
      </c>
      <c r="AK352" s="147">
        <v>790</v>
      </c>
      <c r="AL352" s="147">
        <v>859</v>
      </c>
      <c r="AM352" s="147">
        <v>859</v>
      </c>
      <c r="AN352" s="147">
        <v>1025</v>
      </c>
      <c r="AO352" s="147">
        <v>796</v>
      </c>
      <c r="AP352" s="147">
        <v>910</v>
      </c>
      <c r="AQ352" s="147">
        <v>728</v>
      </c>
      <c r="AR352" s="147">
        <v>750</v>
      </c>
      <c r="AS352" s="147">
        <v>750</v>
      </c>
      <c r="AT352" s="147">
        <v>9850</v>
      </c>
      <c r="AU352" s="148">
        <v>820.83333333333337</v>
      </c>
      <c r="AV352" s="183"/>
      <c r="AW352" s="482">
        <v>870</v>
      </c>
      <c r="AX352" s="147">
        <v>1058</v>
      </c>
      <c r="AY352" s="147">
        <v>893</v>
      </c>
      <c r="AZ352" s="147">
        <v>917</v>
      </c>
      <c r="BA352" s="147">
        <v>964</v>
      </c>
      <c r="BB352" s="147">
        <v>1763</v>
      </c>
      <c r="BC352" s="147">
        <v>1293</v>
      </c>
      <c r="BD352" s="147">
        <v>987</v>
      </c>
      <c r="BE352" s="147">
        <v>987</v>
      </c>
      <c r="BF352" s="147">
        <v>893</v>
      </c>
      <c r="BG352" s="147">
        <v>775</v>
      </c>
      <c r="BH352" s="147">
        <v>705</v>
      </c>
      <c r="BI352" s="147">
        <v>12105</v>
      </c>
      <c r="BJ352" s="148">
        <v>1008.75</v>
      </c>
      <c r="BK352" s="183"/>
      <c r="BL352" s="482">
        <v>947</v>
      </c>
      <c r="BM352" s="147">
        <v>829</v>
      </c>
      <c r="BN352" s="147"/>
      <c r="BO352" s="147"/>
      <c r="BP352" s="147"/>
      <c r="BQ352" s="147"/>
      <c r="BR352" s="147"/>
      <c r="BS352" s="147"/>
      <c r="BT352" s="147"/>
      <c r="BU352" s="147"/>
      <c r="BV352" s="147"/>
      <c r="BW352" s="147"/>
      <c r="BX352" s="147">
        <f t="shared" si="266"/>
        <v>1776</v>
      </c>
      <c r="BY352" s="148">
        <f t="shared" si="260"/>
        <v>888</v>
      </c>
      <c r="CA352" s="169">
        <f>ROW()</f>
        <v>352</v>
      </c>
      <c r="CB352" s="442">
        <f t="shared" si="269"/>
        <v>-214</v>
      </c>
      <c r="CC352" s="171">
        <f t="shared" si="267"/>
        <v>0.74185765983112184</v>
      </c>
      <c r="CD352" s="169">
        <f t="shared" si="270"/>
        <v>-209</v>
      </c>
      <c r="CE352" s="171">
        <f t="shared" si="271"/>
        <v>0.88231981981981977</v>
      </c>
      <c r="CG352" s="3"/>
    </row>
    <row r="353" spans="1:85" ht="17.399999999999999" customHeight="1" x14ac:dyDescent="0.55000000000000004">
      <c r="A353" s="7201"/>
      <c r="B353" s="7204"/>
      <c r="C353" s="65" t="s">
        <v>403</v>
      </c>
      <c r="D353" s="146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8"/>
      <c r="S353" s="146">
        <f>S361+S362</f>
        <v>726</v>
      </c>
      <c r="T353" s="147">
        <f t="shared" ref="T353:AD353" si="273">T361+T362</f>
        <v>799</v>
      </c>
      <c r="U353" s="147">
        <f t="shared" si="273"/>
        <v>754</v>
      </c>
      <c r="V353" s="147">
        <f t="shared" si="273"/>
        <v>722</v>
      </c>
      <c r="W353" s="147">
        <f t="shared" si="273"/>
        <v>756</v>
      </c>
      <c r="X353" s="147">
        <f t="shared" si="273"/>
        <v>761</v>
      </c>
      <c r="Y353" s="147">
        <f t="shared" si="273"/>
        <v>659</v>
      </c>
      <c r="Z353" s="147">
        <f t="shared" si="273"/>
        <v>915</v>
      </c>
      <c r="AA353" s="147">
        <f t="shared" si="273"/>
        <v>680</v>
      </c>
      <c r="AB353" s="147">
        <f t="shared" si="273"/>
        <v>894</v>
      </c>
      <c r="AC353" s="147">
        <f t="shared" si="273"/>
        <v>674</v>
      </c>
      <c r="AD353" s="147">
        <f t="shared" si="273"/>
        <v>667</v>
      </c>
      <c r="AE353" s="147">
        <v>9007</v>
      </c>
      <c r="AF353" s="148">
        <v>750.58333333333337</v>
      </c>
      <c r="AG353" s="183"/>
      <c r="AH353" s="146">
        <v>1127</v>
      </c>
      <c r="AI353" s="147">
        <v>869</v>
      </c>
      <c r="AJ353" s="147">
        <v>869</v>
      </c>
      <c r="AK353" s="147">
        <v>952</v>
      </c>
      <c r="AL353" s="147">
        <v>1033</v>
      </c>
      <c r="AM353" s="147">
        <v>1033</v>
      </c>
      <c r="AN353" s="147">
        <v>1213</v>
      </c>
      <c r="AO353" s="147">
        <v>944</v>
      </c>
      <c r="AP353" s="147">
        <v>1079</v>
      </c>
      <c r="AQ353" s="147">
        <v>863</v>
      </c>
      <c r="AR353" s="147">
        <v>890</v>
      </c>
      <c r="AS353" s="147">
        <v>890</v>
      </c>
      <c r="AT353" s="147">
        <v>11762</v>
      </c>
      <c r="AU353" s="148">
        <v>980.16666666666663</v>
      </c>
      <c r="AV353" s="183"/>
      <c r="AW353" s="482">
        <v>1000</v>
      </c>
      <c r="AX353" s="147">
        <v>1217</v>
      </c>
      <c r="AY353" s="147">
        <v>1028</v>
      </c>
      <c r="AZ353" s="147">
        <v>1055</v>
      </c>
      <c r="BA353" s="147">
        <v>1108</v>
      </c>
      <c r="BB353" s="147">
        <v>2028</v>
      </c>
      <c r="BC353" s="147">
        <v>1487</v>
      </c>
      <c r="BD353" s="147">
        <v>1136</v>
      </c>
      <c r="BE353" s="147">
        <v>1136</v>
      </c>
      <c r="BF353" s="147">
        <v>1028</v>
      </c>
      <c r="BG353" s="147">
        <v>892</v>
      </c>
      <c r="BH353" s="147">
        <v>811</v>
      </c>
      <c r="BI353" s="147">
        <v>13926</v>
      </c>
      <c r="BJ353" s="148">
        <v>1160.5</v>
      </c>
      <c r="BK353" s="183"/>
      <c r="BL353" s="482">
        <v>1062</v>
      </c>
      <c r="BM353" s="147">
        <v>929</v>
      </c>
      <c r="BN353" s="147"/>
      <c r="BO353" s="147"/>
      <c r="BP353" s="147"/>
      <c r="BQ353" s="147"/>
      <c r="BR353" s="147"/>
      <c r="BS353" s="147"/>
      <c r="BT353" s="147"/>
      <c r="BU353" s="147"/>
      <c r="BV353" s="147"/>
      <c r="BW353" s="147"/>
      <c r="BX353" s="147">
        <f t="shared" si="266"/>
        <v>1991</v>
      </c>
      <c r="BY353" s="148">
        <f t="shared" si="260"/>
        <v>995.5</v>
      </c>
      <c r="CA353" s="169">
        <f>ROW()</f>
        <v>353</v>
      </c>
      <c r="CB353" s="442">
        <f t="shared" si="269"/>
        <v>-323</v>
      </c>
      <c r="CC353" s="171">
        <f t="shared" si="267"/>
        <v>0.65231431646932181</v>
      </c>
      <c r="CD353" s="169">
        <f t="shared" si="270"/>
        <v>-451</v>
      </c>
      <c r="CE353" s="171">
        <f t="shared" si="271"/>
        <v>0.77348066298342544</v>
      </c>
      <c r="CG353" s="3"/>
    </row>
    <row r="354" spans="1:85" ht="17.399999999999999" customHeight="1" x14ac:dyDescent="0.55000000000000004">
      <c r="A354" s="7201"/>
      <c r="B354" s="7205"/>
      <c r="C354" s="66" t="s">
        <v>404</v>
      </c>
      <c r="D354" s="149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1"/>
      <c r="S354" s="149">
        <f>S363+S364</f>
        <v>540</v>
      </c>
      <c r="T354" s="150">
        <f t="shared" ref="T354:AD354" si="274">T363+T364</f>
        <v>594</v>
      </c>
      <c r="U354" s="150">
        <f t="shared" si="274"/>
        <v>560</v>
      </c>
      <c r="V354" s="150">
        <f t="shared" si="274"/>
        <v>535</v>
      </c>
      <c r="W354" s="150">
        <f t="shared" si="274"/>
        <v>568</v>
      </c>
      <c r="X354" s="150">
        <f t="shared" si="274"/>
        <v>576</v>
      </c>
      <c r="Y354" s="150">
        <f t="shared" si="274"/>
        <v>489</v>
      </c>
      <c r="Z354" s="150">
        <f t="shared" si="274"/>
        <v>672</v>
      </c>
      <c r="AA354" s="150">
        <f t="shared" si="274"/>
        <v>512</v>
      </c>
      <c r="AB354" s="150">
        <f t="shared" si="274"/>
        <v>673</v>
      </c>
      <c r="AC354" s="150">
        <f t="shared" si="274"/>
        <v>528</v>
      </c>
      <c r="AD354" s="150">
        <f t="shared" si="274"/>
        <v>492</v>
      </c>
      <c r="AE354" s="150">
        <v>6739</v>
      </c>
      <c r="AF354" s="151">
        <v>561.58333333333337</v>
      </c>
      <c r="AG354" s="183"/>
      <c r="AH354" s="149">
        <v>792</v>
      </c>
      <c r="AI354" s="150">
        <v>611</v>
      </c>
      <c r="AJ354" s="150">
        <v>612</v>
      </c>
      <c r="AK354" s="150">
        <v>668</v>
      </c>
      <c r="AL354" s="150">
        <v>725</v>
      </c>
      <c r="AM354" s="150">
        <v>725</v>
      </c>
      <c r="AN354" s="150">
        <v>847</v>
      </c>
      <c r="AO354" s="150">
        <v>659</v>
      </c>
      <c r="AP354" s="150">
        <v>753</v>
      </c>
      <c r="AQ354" s="150">
        <v>603</v>
      </c>
      <c r="AR354" s="150">
        <v>622</v>
      </c>
      <c r="AS354" s="150">
        <v>622</v>
      </c>
      <c r="AT354" s="150">
        <v>8239</v>
      </c>
      <c r="AU354" s="151">
        <v>686.58333333333337</v>
      </c>
      <c r="AV354" s="183"/>
      <c r="AW354" s="483">
        <v>651</v>
      </c>
      <c r="AX354" s="150">
        <v>791</v>
      </c>
      <c r="AY354" s="150">
        <v>668</v>
      </c>
      <c r="AZ354" s="150">
        <v>686</v>
      </c>
      <c r="BA354" s="150">
        <v>721</v>
      </c>
      <c r="BB354" s="150">
        <v>1319</v>
      </c>
      <c r="BC354" s="150">
        <v>967</v>
      </c>
      <c r="BD354" s="150">
        <v>739</v>
      </c>
      <c r="BE354" s="150">
        <v>739</v>
      </c>
      <c r="BF354" s="150">
        <v>668</v>
      </c>
      <c r="BG354" s="150">
        <v>581</v>
      </c>
      <c r="BH354" s="150">
        <v>528</v>
      </c>
      <c r="BI354" s="150">
        <v>9058</v>
      </c>
      <c r="BJ354" s="151">
        <v>754.83333333333337</v>
      </c>
      <c r="BK354" s="183"/>
      <c r="BL354" s="483">
        <v>682</v>
      </c>
      <c r="BM354" s="150">
        <v>597</v>
      </c>
      <c r="BN354" s="150"/>
      <c r="BO354" s="150"/>
      <c r="BP354" s="150"/>
      <c r="BQ354" s="150"/>
      <c r="BR354" s="150"/>
      <c r="BS354" s="150"/>
      <c r="BT354" s="150"/>
      <c r="BU354" s="150"/>
      <c r="BV354" s="150"/>
      <c r="BW354" s="150"/>
      <c r="BX354" s="150">
        <f t="shared" si="266"/>
        <v>1279</v>
      </c>
      <c r="BY354" s="151">
        <f t="shared" si="260"/>
        <v>639.5</v>
      </c>
      <c r="CA354" s="169">
        <f>ROW()</f>
        <v>354</v>
      </c>
      <c r="CB354" s="442">
        <f t="shared" si="269"/>
        <v>-114</v>
      </c>
      <c r="CC354" s="171">
        <f t="shared" si="267"/>
        <v>0.80904522613065322</v>
      </c>
      <c r="CD354" s="169">
        <f t="shared" si="270"/>
        <v>-126</v>
      </c>
      <c r="CE354" s="171">
        <f t="shared" si="271"/>
        <v>0.90148553557466771</v>
      </c>
      <c r="CG354" s="3"/>
    </row>
    <row r="355" spans="1:85" ht="17.399999999999999" customHeight="1" x14ac:dyDescent="0.55000000000000004">
      <c r="A355" s="7201"/>
      <c r="B355" s="7206" t="s">
        <v>412</v>
      </c>
      <c r="C355" s="67" t="s">
        <v>211</v>
      </c>
      <c r="D355" s="152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4"/>
      <c r="S355" s="152">
        <v>177</v>
      </c>
      <c r="T355" s="153">
        <v>195</v>
      </c>
      <c r="U355" s="153">
        <v>185</v>
      </c>
      <c r="V355" s="153">
        <v>200</v>
      </c>
      <c r="W355" s="153">
        <v>211</v>
      </c>
      <c r="X355" s="153">
        <v>214</v>
      </c>
      <c r="Y355" s="153">
        <v>205</v>
      </c>
      <c r="Z355" s="153">
        <v>289</v>
      </c>
      <c r="AA355" s="153">
        <v>215</v>
      </c>
      <c r="AB355" s="153">
        <v>304</v>
      </c>
      <c r="AC355" s="153">
        <v>237</v>
      </c>
      <c r="AD355" s="153">
        <v>222</v>
      </c>
      <c r="AE355" s="153">
        <v>2654</v>
      </c>
      <c r="AF355" s="154">
        <v>221.16666666666666</v>
      </c>
      <c r="AG355" s="183"/>
      <c r="AH355" s="152">
        <v>320</v>
      </c>
      <c r="AI355" s="153">
        <v>248</v>
      </c>
      <c r="AJ355" s="153">
        <v>247</v>
      </c>
      <c r="AK355" s="153">
        <v>270</v>
      </c>
      <c r="AL355" s="153">
        <v>293</v>
      </c>
      <c r="AM355" s="153">
        <v>293</v>
      </c>
      <c r="AN355" s="153">
        <v>349</v>
      </c>
      <c r="AO355" s="153">
        <v>272</v>
      </c>
      <c r="AP355" s="153">
        <v>310</v>
      </c>
      <c r="AQ355" s="153">
        <v>248</v>
      </c>
      <c r="AR355" s="153">
        <v>256</v>
      </c>
      <c r="AS355" s="153">
        <v>256</v>
      </c>
      <c r="AT355" s="153">
        <v>3362</v>
      </c>
      <c r="AU355" s="154">
        <v>280.16666666666669</v>
      </c>
      <c r="AV355" s="183"/>
      <c r="AW355" s="487">
        <v>276</v>
      </c>
      <c r="AX355" s="153">
        <v>336</v>
      </c>
      <c r="AY355" s="153">
        <v>284</v>
      </c>
      <c r="AZ355" s="153">
        <v>291</v>
      </c>
      <c r="BA355" s="153">
        <v>306</v>
      </c>
      <c r="BB355" s="153">
        <v>560</v>
      </c>
      <c r="BC355" s="153">
        <v>411</v>
      </c>
      <c r="BD355" s="153">
        <v>314</v>
      </c>
      <c r="BE355" s="153">
        <v>314</v>
      </c>
      <c r="BF355" s="153">
        <v>284</v>
      </c>
      <c r="BG355" s="153">
        <v>246</v>
      </c>
      <c r="BH355" s="153">
        <v>224</v>
      </c>
      <c r="BI355" s="153">
        <v>3846</v>
      </c>
      <c r="BJ355" s="154">
        <v>320.5</v>
      </c>
      <c r="BK355" s="183"/>
      <c r="BL355" s="487">
        <v>292</v>
      </c>
      <c r="BM355" s="153">
        <v>256</v>
      </c>
      <c r="BN355" s="153"/>
      <c r="BO355" s="153"/>
      <c r="BP355" s="153"/>
      <c r="BQ355" s="153"/>
      <c r="BR355" s="153"/>
      <c r="BS355" s="153"/>
      <c r="BT355" s="153"/>
      <c r="BU355" s="153"/>
      <c r="BV355" s="153"/>
      <c r="BW355" s="153"/>
      <c r="BX355" s="153">
        <f t="shared" si="266"/>
        <v>548</v>
      </c>
      <c r="BY355" s="154">
        <f t="shared" si="260"/>
        <v>274</v>
      </c>
      <c r="CA355" s="169">
        <f>ROW()</f>
        <v>355</v>
      </c>
      <c r="CB355" s="442">
        <f t="shared" si="269"/>
        <v>-62</v>
      </c>
      <c r="CC355" s="171">
        <f t="shared" si="267"/>
        <v>0.7578125</v>
      </c>
      <c r="CD355" s="169">
        <f t="shared" si="270"/>
        <v>-70</v>
      </c>
      <c r="CE355" s="171">
        <f t="shared" si="271"/>
        <v>0.87226277372262773</v>
      </c>
      <c r="CG355" s="3"/>
    </row>
    <row r="356" spans="1:85" ht="17.399999999999999" customHeight="1" x14ac:dyDescent="0.55000000000000004">
      <c r="A356" s="7201"/>
      <c r="B356" s="7207"/>
      <c r="C356" s="67" t="s">
        <v>212</v>
      </c>
      <c r="D356" s="152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4"/>
      <c r="S356" s="152">
        <v>208</v>
      </c>
      <c r="T356" s="153">
        <v>230</v>
      </c>
      <c r="U356" s="153">
        <v>215</v>
      </c>
      <c r="V356" s="153">
        <v>204</v>
      </c>
      <c r="W356" s="153">
        <v>215</v>
      </c>
      <c r="X356" s="153">
        <v>217</v>
      </c>
      <c r="Y356" s="153">
        <v>180</v>
      </c>
      <c r="Z356" s="153">
        <v>255</v>
      </c>
      <c r="AA356" s="153">
        <v>189</v>
      </c>
      <c r="AB356" s="153">
        <v>264</v>
      </c>
      <c r="AC356" s="153">
        <v>202</v>
      </c>
      <c r="AD356" s="153">
        <v>193</v>
      </c>
      <c r="AE356" s="153">
        <v>2572</v>
      </c>
      <c r="AF356" s="154">
        <v>214.33333333333334</v>
      </c>
      <c r="AG356" s="183"/>
      <c r="AH356" s="152">
        <v>292</v>
      </c>
      <c r="AI356" s="153">
        <v>225</v>
      </c>
      <c r="AJ356" s="153">
        <v>225</v>
      </c>
      <c r="AK356" s="153">
        <v>247</v>
      </c>
      <c r="AL356" s="153">
        <v>268</v>
      </c>
      <c r="AM356" s="153">
        <v>268</v>
      </c>
      <c r="AN356" s="153">
        <v>321</v>
      </c>
      <c r="AO356" s="153">
        <v>250</v>
      </c>
      <c r="AP356" s="153">
        <v>285</v>
      </c>
      <c r="AQ356" s="153">
        <v>228</v>
      </c>
      <c r="AR356" s="153">
        <v>235</v>
      </c>
      <c r="AS356" s="153">
        <v>235</v>
      </c>
      <c r="AT356" s="153">
        <v>3079</v>
      </c>
      <c r="AU356" s="154">
        <v>256.58333333333331</v>
      </c>
      <c r="AV356" s="183"/>
      <c r="AW356" s="487">
        <v>273</v>
      </c>
      <c r="AX356" s="153">
        <v>332</v>
      </c>
      <c r="AY356" s="153">
        <v>281</v>
      </c>
      <c r="AZ356" s="153">
        <v>288</v>
      </c>
      <c r="BA356" s="153">
        <v>303</v>
      </c>
      <c r="BB356" s="153">
        <v>554</v>
      </c>
      <c r="BC356" s="153">
        <v>406</v>
      </c>
      <c r="BD356" s="153">
        <v>310</v>
      </c>
      <c r="BE356" s="153">
        <v>310</v>
      </c>
      <c r="BF356" s="153">
        <v>281</v>
      </c>
      <c r="BG356" s="153">
        <v>244</v>
      </c>
      <c r="BH356" s="153">
        <v>222</v>
      </c>
      <c r="BI356" s="153">
        <v>3804</v>
      </c>
      <c r="BJ356" s="154">
        <v>317</v>
      </c>
      <c r="BK356" s="183"/>
      <c r="BL356" s="487">
        <v>321</v>
      </c>
      <c r="BM356" s="153">
        <v>281</v>
      </c>
      <c r="BN356" s="153"/>
      <c r="BO356" s="153"/>
      <c r="BP356" s="153"/>
      <c r="BQ356" s="153"/>
      <c r="BR356" s="153"/>
      <c r="BS356" s="153"/>
      <c r="BT356" s="153"/>
      <c r="BU356" s="153"/>
      <c r="BV356" s="153"/>
      <c r="BW356" s="153"/>
      <c r="BX356" s="153">
        <f t="shared" si="266"/>
        <v>602</v>
      </c>
      <c r="BY356" s="154">
        <f t="shared" si="260"/>
        <v>301</v>
      </c>
      <c r="CA356" s="169">
        <f>ROW()</f>
        <v>356</v>
      </c>
      <c r="CB356" s="442">
        <f t="shared" si="269"/>
        <v>-75</v>
      </c>
      <c r="CC356" s="171">
        <f t="shared" si="267"/>
        <v>0.73309608540925264</v>
      </c>
      <c r="CD356" s="169">
        <f t="shared" si="270"/>
        <v>-105</v>
      </c>
      <c r="CE356" s="171">
        <f t="shared" si="271"/>
        <v>0.82558139534883723</v>
      </c>
      <c r="CG356" s="3"/>
    </row>
    <row r="357" spans="1:85" ht="17.399999999999999" customHeight="1" x14ac:dyDescent="0.55000000000000004">
      <c r="A357" s="7201"/>
      <c r="B357" s="7207"/>
      <c r="C357" s="68" t="s">
        <v>213</v>
      </c>
      <c r="D357" s="155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7"/>
      <c r="S357" s="155">
        <v>175</v>
      </c>
      <c r="T357" s="156">
        <v>193</v>
      </c>
      <c r="U357" s="156">
        <v>182</v>
      </c>
      <c r="V357" s="156">
        <v>173</v>
      </c>
      <c r="W357" s="156">
        <v>182</v>
      </c>
      <c r="X357" s="156">
        <v>184</v>
      </c>
      <c r="Y357" s="156">
        <v>168</v>
      </c>
      <c r="Z357" s="156">
        <v>236</v>
      </c>
      <c r="AA357" s="156">
        <v>175</v>
      </c>
      <c r="AB357" s="156">
        <v>230</v>
      </c>
      <c r="AC357" s="156">
        <v>182</v>
      </c>
      <c r="AD357" s="156">
        <v>172</v>
      </c>
      <c r="AE357" s="156">
        <v>2252</v>
      </c>
      <c r="AF357" s="157">
        <v>187.66666666666666</v>
      </c>
      <c r="AG357" s="183"/>
      <c r="AH357" s="155">
        <v>282</v>
      </c>
      <c r="AI357" s="156">
        <v>218</v>
      </c>
      <c r="AJ357" s="156">
        <v>218</v>
      </c>
      <c r="AK357" s="156">
        <v>238</v>
      </c>
      <c r="AL357" s="156">
        <v>259</v>
      </c>
      <c r="AM357" s="156">
        <v>259</v>
      </c>
      <c r="AN357" s="156">
        <v>310</v>
      </c>
      <c r="AO357" s="156">
        <v>241</v>
      </c>
      <c r="AP357" s="156">
        <v>276</v>
      </c>
      <c r="AQ357" s="156">
        <v>221</v>
      </c>
      <c r="AR357" s="156">
        <v>228</v>
      </c>
      <c r="AS357" s="156">
        <v>228</v>
      </c>
      <c r="AT357" s="156">
        <v>2978</v>
      </c>
      <c r="AU357" s="157">
        <v>248.16666666666666</v>
      </c>
      <c r="AV357" s="183"/>
      <c r="AW357" s="488">
        <v>269</v>
      </c>
      <c r="AX357" s="156">
        <v>327</v>
      </c>
      <c r="AY357" s="156">
        <v>276</v>
      </c>
      <c r="AZ357" s="156">
        <v>283</v>
      </c>
      <c r="BA357" s="156">
        <v>298</v>
      </c>
      <c r="BB357" s="156">
        <v>545</v>
      </c>
      <c r="BC357" s="156">
        <v>400</v>
      </c>
      <c r="BD357" s="156">
        <v>305</v>
      </c>
      <c r="BE357" s="156">
        <v>305</v>
      </c>
      <c r="BF357" s="156">
        <v>276</v>
      </c>
      <c r="BG357" s="156">
        <v>240</v>
      </c>
      <c r="BH357" s="156">
        <v>218</v>
      </c>
      <c r="BI357" s="156">
        <v>3742</v>
      </c>
      <c r="BJ357" s="157">
        <v>311.83333333333331</v>
      </c>
      <c r="BK357" s="183"/>
      <c r="BL357" s="488">
        <v>297</v>
      </c>
      <c r="BM357" s="156">
        <v>259</v>
      </c>
      <c r="BN357" s="156"/>
      <c r="BO357" s="156"/>
      <c r="BP357" s="156"/>
      <c r="BQ357" s="156"/>
      <c r="BR357" s="156"/>
      <c r="BS357" s="156"/>
      <c r="BT357" s="156"/>
      <c r="BU357" s="156"/>
      <c r="BV357" s="156"/>
      <c r="BW357" s="156"/>
      <c r="BX357" s="156">
        <f t="shared" si="266"/>
        <v>556</v>
      </c>
      <c r="BY357" s="157">
        <f t="shared" si="260"/>
        <v>278</v>
      </c>
      <c r="CA357" s="169">
        <f>ROW()</f>
        <v>357</v>
      </c>
      <c r="CB357" s="442">
        <f t="shared" si="269"/>
        <v>-60</v>
      </c>
      <c r="CC357" s="171">
        <f t="shared" si="267"/>
        <v>0.76833976833976836</v>
      </c>
      <c r="CD357" s="169">
        <f t="shared" si="270"/>
        <v>-59</v>
      </c>
      <c r="CE357" s="171">
        <f t="shared" si="271"/>
        <v>0.89388489208633093</v>
      </c>
      <c r="CG357" s="3"/>
    </row>
    <row r="358" spans="1:85" ht="17.399999999999999" customHeight="1" x14ac:dyDescent="0.55000000000000004">
      <c r="A358" s="7201"/>
      <c r="B358" s="7207"/>
      <c r="C358" s="68" t="s">
        <v>214</v>
      </c>
      <c r="D358" s="155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7"/>
      <c r="S358" s="155">
        <v>258</v>
      </c>
      <c r="T358" s="156">
        <v>284</v>
      </c>
      <c r="U358" s="156">
        <v>268</v>
      </c>
      <c r="V358" s="156">
        <v>256</v>
      </c>
      <c r="W358" s="156">
        <v>269</v>
      </c>
      <c r="X358" s="156">
        <v>271</v>
      </c>
      <c r="Y358" s="156">
        <v>232</v>
      </c>
      <c r="Z358" s="156">
        <v>326</v>
      </c>
      <c r="AA358" s="156">
        <v>240</v>
      </c>
      <c r="AB358" s="156">
        <v>315</v>
      </c>
      <c r="AC358" s="156">
        <v>254</v>
      </c>
      <c r="AD358" s="156">
        <v>241</v>
      </c>
      <c r="AE358" s="156">
        <v>3214</v>
      </c>
      <c r="AF358" s="157">
        <v>267.83333333333331</v>
      </c>
      <c r="AG358" s="183"/>
      <c r="AH358" s="155">
        <v>397</v>
      </c>
      <c r="AI358" s="156">
        <v>306</v>
      </c>
      <c r="AJ358" s="156">
        <v>306</v>
      </c>
      <c r="AK358" s="156">
        <v>335</v>
      </c>
      <c r="AL358" s="156">
        <v>363</v>
      </c>
      <c r="AM358" s="156">
        <v>363</v>
      </c>
      <c r="AN358" s="156">
        <v>435</v>
      </c>
      <c r="AO358" s="156">
        <v>338</v>
      </c>
      <c r="AP358" s="156">
        <v>387</v>
      </c>
      <c r="AQ358" s="156">
        <v>309</v>
      </c>
      <c r="AR358" s="156">
        <v>319</v>
      </c>
      <c r="AS358" s="156">
        <v>319</v>
      </c>
      <c r="AT358" s="156">
        <v>4177</v>
      </c>
      <c r="AU358" s="157">
        <v>348.08333333333331</v>
      </c>
      <c r="AV358" s="183"/>
      <c r="AW358" s="488">
        <v>361</v>
      </c>
      <c r="AX358" s="156">
        <v>439</v>
      </c>
      <c r="AY358" s="156">
        <v>370</v>
      </c>
      <c r="AZ358" s="156">
        <v>380</v>
      </c>
      <c r="BA358" s="156">
        <v>400</v>
      </c>
      <c r="BB358" s="156">
        <v>731</v>
      </c>
      <c r="BC358" s="156">
        <v>536</v>
      </c>
      <c r="BD358" s="156">
        <v>409</v>
      </c>
      <c r="BE358" s="156">
        <v>409</v>
      </c>
      <c r="BF358" s="156">
        <v>370</v>
      </c>
      <c r="BG358" s="156">
        <v>322</v>
      </c>
      <c r="BH358" s="156">
        <v>292</v>
      </c>
      <c r="BI358" s="156">
        <v>5019</v>
      </c>
      <c r="BJ358" s="157">
        <v>418.25</v>
      </c>
      <c r="BK358" s="183"/>
      <c r="BL358" s="488">
        <v>399</v>
      </c>
      <c r="BM358" s="156">
        <v>349</v>
      </c>
      <c r="BN358" s="156"/>
      <c r="BO358" s="156"/>
      <c r="BP358" s="156"/>
      <c r="BQ358" s="156"/>
      <c r="BR358" s="156"/>
      <c r="BS358" s="156"/>
      <c r="BT358" s="156"/>
      <c r="BU358" s="156"/>
      <c r="BV358" s="156"/>
      <c r="BW358" s="156"/>
      <c r="BX358" s="156">
        <f t="shared" si="266"/>
        <v>748</v>
      </c>
      <c r="BY358" s="157">
        <f t="shared" si="260"/>
        <v>374</v>
      </c>
      <c r="CA358" s="169">
        <f>ROW()</f>
        <v>358</v>
      </c>
      <c r="CB358" s="442">
        <f t="shared" si="269"/>
        <v>-54</v>
      </c>
      <c r="CC358" s="171">
        <f t="shared" si="267"/>
        <v>0.8452722063037249</v>
      </c>
      <c r="CD358" s="169">
        <f t="shared" si="270"/>
        <v>-22</v>
      </c>
      <c r="CE358" s="171">
        <f t="shared" si="271"/>
        <v>0.97058823529411764</v>
      </c>
      <c r="CG358" s="3"/>
    </row>
    <row r="359" spans="1:85" ht="17.399999999999999" customHeight="1" x14ac:dyDescent="0.55000000000000004">
      <c r="A359" s="7201"/>
      <c r="B359" s="7207"/>
      <c r="C359" s="67" t="s">
        <v>215</v>
      </c>
      <c r="D359" s="152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4"/>
      <c r="S359" s="152">
        <v>356</v>
      </c>
      <c r="T359" s="153">
        <v>395</v>
      </c>
      <c r="U359" s="153">
        <v>371</v>
      </c>
      <c r="V359" s="153">
        <v>354</v>
      </c>
      <c r="W359" s="153">
        <v>369</v>
      </c>
      <c r="X359" s="153">
        <v>375</v>
      </c>
      <c r="Y359" s="153">
        <v>329</v>
      </c>
      <c r="Z359" s="153">
        <v>467</v>
      </c>
      <c r="AA359" s="153">
        <v>345</v>
      </c>
      <c r="AB359" s="153">
        <v>451</v>
      </c>
      <c r="AC359" s="153">
        <v>365</v>
      </c>
      <c r="AD359" s="153">
        <v>345</v>
      </c>
      <c r="AE359" s="153">
        <v>4522</v>
      </c>
      <c r="AF359" s="154">
        <v>376.83333333333331</v>
      </c>
      <c r="AG359" s="183"/>
      <c r="AH359" s="152">
        <v>560</v>
      </c>
      <c r="AI359" s="153">
        <v>432</v>
      </c>
      <c r="AJ359" s="153">
        <v>432</v>
      </c>
      <c r="AK359" s="153">
        <v>472</v>
      </c>
      <c r="AL359" s="153">
        <v>513</v>
      </c>
      <c r="AM359" s="153">
        <v>513</v>
      </c>
      <c r="AN359" s="153">
        <v>609</v>
      </c>
      <c r="AO359" s="153">
        <v>473</v>
      </c>
      <c r="AP359" s="153">
        <v>541</v>
      </c>
      <c r="AQ359" s="153">
        <v>433</v>
      </c>
      <c r="AR359" s="153">
        <v>446</v>
      </c>
      <c r="AS359" s="153">
        <v>446</v>
      </c>
      <c r="AT359" s="153">
        <v>5870</v>
      </c>
      <c r="AU359" s="154">
        <v>489.16666666666669</v>
      </c>
      <c r="AV359" s="183"/>
      <c r="AW359" s="487">
        <v>508</v>
      </c>
      <c r="AX359" s="153">
        <v>617</v>
      </c>
      <c r="AY359" s="153">
        <v>521</v>
      </c>
      <c r="AZ359" s="153">
        <v>535</v>
      </c>
      <c r="BA359" s="153">
        <v>563</v>
      </c>
      <c r="BB359" s="153">
        <v>1029</v>
      </c>
      <c r="BC359" s="153">
        <v>755</v>
      </c>
      <c r="BD359" s="153">
        <v>576</v>
      </c>
      <c r="BE359" s="153">
        <v>576</v>
      </c>
      <c r="BF359" s="153">
        <v>521</v>
      </c>
      <c r="BG359" s="153">
        <v>453</v>
      </c>
      <c r="BH359" s="153">
        <v>412</v>
      </c>
      <c r="BI359" s="153">
        <v>7066</v>
      </c>
      <c r="BJ359" s="154">
        <v>588.83333333333337</v>
      </c>
      <c r="BK359" s="183"/>
      <c r="BL359" s="487">
        <v>554</v>
      </c>
      <c r="BM359" s="153">
        <v>485</v>
      </c>
      <c r="BN359" s="153"/>
      <c r="BO359" s="153"/>
      <c r="BP359" s="153"/>
      <c r="BQ359" s="153"/>
      <c r="BR359" s="153"/>
      <c r="BS359" s="153"/>
      <c r="BT359" s="153"/>
      <c r="BU359" s="153"/>
      <c r="BV359" s="153"/>
      <c r="BW359" s="153"/>
      <c r="BX359" s="153">
        <f t="shared" si="266"/>
        <v>1039</v>
      </c>
      <c r="BY359" s="154">
        <f t="shared" si="260"/>
        <v>519.5</v>
      </c>
      <c r="CA359" s="169">
        <f>ROW()</f>
        <v>359</v>
      </c>
      <c r="CB359" s="442">
        <f t="shared" si="269"/>
        <v>-87</v>
      </c>
      <c r="CC359" s="171">
        <f t="shared" si="267"/>
        <v>0.8206185567010309</v>
      </c>
      <c r="CD359" s="169">
        <f t="shared" si="270"/>
        <v>-90</v>
      </c>
      <c r="CE359" s="171">
        <f t="shared" si="271"/>
        <v>0.91337824831568815</v>
      </c>
      <c r="CG359" s="3"/>
    </row>
    <row r="360" spans="1:85" ht="17.399999999999999" customHeight="1" x14ac:dyDescent="0.55000000000000004">
      <c r="A360" s="7201"/>
      <c r="B360" s="7207"/>
      <c r="C360" s="67" t="s">
        <v>216</v>
      </c>
      <c r="D360" s="152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4"/>
      <c r="S360" s="152">
        <v>234</v>
      </c>
      <c r="T360" s="153">
        <v>255</v>
      </c>
      <c r="U360" s="153">
        <v>241</v>
      </c>
      <c r="V360" s="153">
        <v>230</v>
      </c>
      <c r="W360" s="153">
        <v>240</v>
      </c>
      <c r="X360" s="153">
        <v>245</v>
      </c>
      <c r="Y360" s="153">
        <v>209</v>
      </c>
      <c r="Z360" s="153">
        <v>293</v>
      </c>
      <c r="AA360" s="153">
        <v>217</v>
      </c>
      <c r="AB360" s="153">
        <v>288</v>
      </c>
      <c r="AC360" s="153">
        <v>226</v>
      </c>
      <c r="AD360" s="153">
        <v>207</v>
      </c>
      <c r="AE360" s="153">
        <v>2885</v>
      </c>
      <c r="AF360" s="154">
        <v>240.41666666666666</v>
      </c>
      <c r="AG360" s="183"/>
      <c r="AH360" s="152">
        <v>377</v>
      </c>
      <c r="AI360" s="153">
        <v>291</v>
      </c>
      <c r="AJ360" s="153">
        <v>291</v>
      </c>
      <c r="AK360" s="153">
        <v>318</v>
      </c>
      <c r="AL360" s="153">
        <v>346</v>
      </c>
      <c r="AM360" s="153">
        <v>346</v>
      </c>
      <c r="AN360" s="153">
        <v>416</v>
      </c>
      <c r="AO360" s="153">
        <v>323</v>
      </c>
      <c r="AP360" s="153">
        <v>369</v>
      </c>
      <c r="AQ360" s="153">
        <v>295</v>
      </c>
      <c r="AR360" s="153">
        <v>304</v>
      </c>
      <c r="AS360" s="153">
        <v>304</v>
      </c>
      <c r="AT360" s="153">
        <v>3980</v>
      </c>
      <c r="AU360" s="154">
        <v>331.66666666666669</v>
      </c>
      <c r="AV360" s="183"/>
      <c r="AW360" s="487">
        <v>362</v>
      </c>
      <c r="AX360" s="153">
        <v>441</v>
      </c>
      <c r="AY360" s="153">
        <v>372</v>
      </c>
      <c r="AZ360" s="153">
        <v>382</v>
      </c>
      <c r="BA360" s="153">
        <v>401</v>
      </c>
      <c r="BB360" s="153">
        <v>734</v>
      </c>
      <c r="BC360" s="153">
        <v>538</v>
      </c>
      <c r="BD360" s="153">
        <v>411</v>
      </c>
      <c r="BE360" s="153">
        <v>411</v>
      </c>
      <c r="BF360" s="153">
        <v>372</v>
      </c>
      <c r="BG360" s="153">
        <v>322</v>
      </c>
      <c r="BH360" s="153">
        <v>293</v>
      </c>
      <c r="BI360" s="153">
        <v>5039</v>
      </c>
      <c r="BJ360" s="154">
        <v>419.91666666666669</v>
      </c>
      <c r="BK360" s="183"/>
      <c r="BL360" s="487">
        <v>393</v>
      </c>
      <c r="BM360" s="153">
        <v>344</v>
      </c>
      <c r="BN360" s="153"/>
      <c r="BO360" s="153"/>
      <c r="BP360" s="153"/>
      <c r="BQ360" s="153"/>
      <c r="BR360" s="153"/>
      <c r="BS360" s="153"/>
      <c r="BT360" s="153"/>
      <c r="BU360" s="153"/>
      <c r="BV360" s="153"/>
      <c r="BW360" s="153"/>
      <c r="BX360" s="153">
        <f t="shared" si="266"/>
        <v>737</v>
      </c>
      <c r="BY360" s="154">
        <f t="shared" si="260"/>
        <v>368.5</v>
      </c>
      <c r="CA360" s="169">
        <f>ROW()</f>
        <v>360</v>
      </c>
      <c r="CB360" s="442">
        <f t="shared" si="269"/>
        <v>-127</v>
      </c>
      <c r="CC360" s="171">
        <f t="shared" si="267"/>
        <v>0.6308139534883721</v>
      </c>
      <c r="CD360" s="169">
        <f t="shared" si="270"/>
        <v>-119</v>
      </c>
      <c r="CE360" s="171">
        <f t="shared" si="271"/>
        <v>0.83853459972862954</v>
      </c>
      <c r="CG360" s="3"/>
    </row>
    <row r="361" spans="1:85" ht="17.399999999999999" customHeight="1" x14ac:dyDescent="0.55000000000000004">
      <c r="A361" s="7201"/>
      <c r="B361" s="7207"/>
      <c r="C361" s="68" t="s">
        <v>217</v>
      </c>
      <c r="D361" s="155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7"/>
      <c r="S361" s="155">
        <v>434</v>
      </c>
      <c r="T361" s="156">
        <v>478</v>
      </c>
      <c r="U361" s="156">
        <v>451</v>
      </c>
      <c r="V361" s="156">
        <v>434</v>
      </c>
      <c r="W361" s="156">
        <v>453</v>
      </c>
      <c r="X361" s="156">
        <v>454</v>
      </c>
      <c r="Y361" s="156">
        <v>391</v>
      </c>
      <c r="Z361" s="156">
        <v>547</v>
      </c>
      <c r="AA361" s="156">
        <v>407</v>
      </c>
      <c r="AB361" s="156">
        <v>535</v>
      </c>
      <c r="AC361" s="156">
        <v>405</v>
      </c>
      <c r="AD361" s="156">
        <v>408</v>
      </c>
      <c r="AE361" s="156">
        <v>5397</v>
      </c>
      <c r="AF361" s="157">
        <v>449.75</v>
      </c>
      <c r="AG361" s="183"/>
      <c r="AH361" s="155">
        <v>678</v>
      </c>
      <c r="AI361" s="156">
        <v>523</v>
      </c>
      <c r="AJ361" s="156">
        <v>523</v>
      </c>
      <c r="AK361" s="156">
        <v>573</v>
      </c>
      <c r="AL361" s="156">
        <v>622</v>
      </c>
      <c r="AM361" s="156">
        <v>622</v>
      </c>
      <c r="AN361" s="156">
        <v>740</v>
      </c>
      <c r="AO361" s="156">
        <v>576</v>
      </c>
      <c r="AP361" s="156">
        <v>658</v>
      </c>
      <c r="AQ361" s="156">
        <v>526</v>
      </c>
      <c r="AR361" s="156">
        <v>543</v>
      </c>
      <c r="AS361" s="156">
        <v>543</v>
      </c>
      <c r="AT361" s="156">
        <v>7127</v>
      </c>
      <c r="AU361" s="157">
        <v>593.91666666666663</v>
      </c>
      <c r="AV361" s="183"/>
      <c r="AW361" s="488">
        <v>606</v>
      </c>
      <c r="AX361" s="156">
        <v>738</v>
      </c>
      <c r="AY361" s="156">
        <v>623</v>
      </c>
      <c r="AZ361" s="156">
        <v>639</v>
      </c>
      <c r="BA361" s="156">
        <v>672</v>
      </c>
      <c r="BB361" s="156">
        <v>1229</v>
      </c>
      <c r="BC361" s="156">
        <v>901</v>
      </c>
      <c r="BD361" s="156">
        <v>688</v>
      </c>
      <c r="BE361" s="156">
        <v>688</v>
      </c>
      <c r="BF361" s="156">
        <v>623</v>
      </c>
      <c r="BG361" s="156">
        <v>540</v>
      </c>
      <c r="BH361" s="156">
        <v>491</v>
      </c>
      <c r="BI361" s="156">
        <v>8438</v>
      </c>
      <c r="BJ361" s="157">
        <v>703.16666666666663</v>
      </c>
      <c r="BK361" s="183"/>
      <c r="BL361" s="488">
        <v>625</v>
      </c>
      <c r="BM361" s="156">
        <v>547</v>
      </c>
      <c r="BN361" s="156"/>
      <c r="BO361" s="156"/>
      <c r="BP361" s="156"/>
      <c r="BQ361" s="156"/>
      <c r="BR361" s="156"/>
      <c r="BS361" s="156"/>
      <c r="BT361" s="156"/>
      <c r="BU361" s="156"/>
      <c r="BV361" s="156"/>
      <c r="BW361" s="156"/>
      <c r="BX361" s="156">
        <f t="shared" si="266"/>
        <v>1172</v>
      </c>
      <c r="BY361" s="157">
        <f t="shared" si="260"/>
        <v>586</v>
      </c>
      <c r="CA361" s="169">
        <f>ROW()</f>
        <v>361</v>
      </c>
      <c r="CB361" s="442">
        <f t="shared" si="269"/>
        <v>-203</v>
      </c>
      <c r="CC361" s="171">
        <f t="shared" si="267"/>
        <v>0.62888482632541132</v>
      </c>
      <c r="CD361" s="169">
        <f t="shared" si="270"/>
        <v>-333</v>
      </c>
      <c r="CE361" s="171">
        <f t="shared" si="271"/>
        <v>0.71587030716723554</v>
      </c>
      <c r="CG361" s="3"/>
    </row>
    <row r="362" spans="1:85" ht="17.399999999999999" customHeight="1" x14ac:dyDescent="0.55000000000000004">
      <c r="A362" s="7201"/>
      <c r="B362" s="7207"/>
      <c r="C362" s="68" t="s">
        <v>218</v>
      </c>
      <c r="D362" s="155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7"/>
      <c r="S362" s="155">
        <v>292</v>
      </c>
      <c r="T362" s="156">
        <v>321</v>
      </c>
      <c r="U362" s="156">
        <v>303</v>
      </c>
      <c r="V362" s="156">
        <v>288</v>
      </c>
      <c r="W362" s="156">
        <v>303</v>
      </c>
      <c r="X362" s="156">
        <v>307</v>
      </c>
      <c r="Y362" s="156">
        <v>268</v>
      </c>
      <c r="Z362" s="156">
        <v>368</v>
      </c>
      <c r="AA362" s="156">
        <v>273</v>
      </c>
      <c r="AB362" s="156">
        <v>359</v>
      </c>
      <c r="AC362" s="156">
        <v>269</v>
      </c>
      <c r="AD362" s="156">
        <v>259</v>
      </c>
      <c r="AE362" s="156">
        <v>3610</v>
      </c>
      <c r="AF362" s="157">
        <v>300.83333333333331</v>
      </c>
      <c r="AG362" s="183"/>
      <c r="AH362" s="155">
        <v>449</v>
      </c>
      <c r="AI362" s="156">
        <v>346</v>
      </c>
      <c r="AJ362" s="156">
        <v>346</v>
      </c>
      <c r="AK362" s="156">
        <v>379</v>
      </c>
      <c r="AL362" s="156">
        <v>411</v>
      </c>
      <c r="AM362" s="156">
        <v>411</v>
      </c>
      <c r="AN362" s="156">
        <v>473</v>
      </c>
      <c r="AO362" s="156">
        <v>368</v>
      </c>
      <c r="AP362" s="156">
        <v>421</v>
      </c>
      <c r="AQ362" s="156">
        <v>337</v>
      </c>
      <c r="AR362" s="156">
        <v>347</v>
      </c>
      <c r="AS362" s="156">
        <v>347</v>
      </c>
      <c r="AT362" s="156">
        <v>4635</v>
      </c>
      <c r="AU362" s="157">
        <v>386.25</v>
      </c>
      <c r="AV362" s="183"/>
      <c r="AW362" s="488">
        <v>394</v>
      </c>
      <c r="AX362" s="156">
        <v>479</v>
      </c>
      <c r="AY362" s="156">
        <v>405</v>
      </c>
      <c r="AZ362" s="156">
        <v>416</v>
      </c>
      <c r="BA362" s="156">
        <v>436</v>
      </c>
      <c r="BB362" s="156">
        <v>799</v>
      </c>
      <c r="BC362" s="156">
        <v>586</v>
      </c>
      <c r="BD362" s="156">
        <v>448</v>
      </c>
      <c r="BE362" s="156">
        <v>448</v>
      </c>
      <c r="BF362" s="156">
        <v>405</v>
      </c>
      <c r="BG362" s="156">
        <v>352</v>
      </c>
      <c r="BH362" s="156">
        <v>320</v>
      </c>
      <c r="BI362" s="156">
        <v>5488</v>
      </c>
      <c r="BJ362" s="157">
        <v>457.33333333333331</v>
      </c>
      <c r="BK362" s="183"/>
      <c r="BL362" s="488">
        <v>437</v>
      </c>
      <c r="BM362" s="156">
        <v>382</v>
      </c>
      <c r="BN362" s="156"/>
      <c r="BO362" s="156"/>
      <c r="BP362" s="156"/>
      <c r="BQ362" s="156"/>
      <c r="BR362" s="156"/>
      <c r="BS362" s="156"/>
      <c r="BT362" s="156"/>
      <c r="BU362" s="156"/>
      <c r="BV362" s="156"/>
      <c r="BW362" s="156"/>
      <c r="BX362" s="156">
        <f t="shared" si="266"/>
        <v>819</v>
      </c>
      <c r="BY362" s="157">
        <f t="shared" si="260"/>
        <v>409.5</v>
      </c>
      <c r="CA362" s="169">
        <f>ROW()</f>
        <v>362</v>
      </c>
      <c r="CB362" s="442">
        <f t="shared" si="269"/>
        <v>-120</v>
      </c>
      <c r="CC362" s="171">
        <f t="shared" si="267"/>
        <v>0.68586387434554974</v>
      </c>
      <c r="CD362" s="169">
        <f t="shared" si="270"/>
        <v>-118</v>
      </c>
      <c r="CE362" s="171">
        <f t="shared" si="271"/>
        <v>0.85592185592185588</v>
      </c>
      <c r="CG362" s="3"/>
    </row>
    <row r="363" spans="1:85" ht="17.399999999999999" customHeight="1" x14ac:dyDescent="0.55000000000000004">
      <c r="A363" s="7201"/>
      <c r="B363" s="7207"/>
      <c r="C363" s="67" t="s">
        <v>219</v>
      </c>
      <c r="D363" s="152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4"/>
      <c r="S363" s="152">
        <v>320</v>
      </c>
      <c r="T363" s="153">
        <v>352</v>
      </c>
      <c r="U363" s="153">
        <v>332</v>
      </c>
      <c r="V363" s="153">
        <v>314</v>
      </c>
      <c r="W363" s="153">
        <v>332</v>
      </c>
      <c r="X363" s="153">
        <v>337</v>
      </c>
      <c r="Y363" s="153">
        <v>286</v>
      </c>
      <c r="Z363" s="153">
        <v>403</v>
      </c>
      <c r="AA363" s="153">
        <v>300</v>
      </c>
      <c r="AB363" s="153">
        <v>394</v>
      </c>
      <c r="AC363" s="153">
        <v>313</v>
      </c>
      <c r="AD363" s="153">
        <v>290</v>
      </c>
      <c r="AE363" s="153">
        <v>3973</v>
      </c>
      <c r="AF363" s="154">
        <v>331.08333333333331</v>
      </c>
      <c r="AG363" s="183"/>
      <c r="AH363" s="152">
        <v>470</v>
      </c>
      <c r="AI363" s="153">
        <v>362</v>
      </c>
      <c r="AJ363" s="153">
        <v>363</v>
      </c>
      <c r="AK363" s="153">
        <v>396</v>
      </c>
      <c r="AL363" s="153">
        <v>430</v>
      </c>
      <c r="AM363" s="153">
        <v>430</v>
      </c>
      <c r="AN363" s="153">
        <v>496</v>
      </c>
      <c r="AO363" s="153">
        <v>386</v>
      </c>
      <c r="AP363" s="153">
        <v>441</v>
      </c>
      <c r="AQ363" s="153">
        <v>353</v>
      </c>
      <c r="AR363" s="153">
        <v>364</v>
      </c>
      <c r="AS363" s="153">
        <v>364</v>
      </c>
      <c r="AT363" s="153">
        <v>4855</v>
      </c>
      <c r="AU363" s="154">
        <v>404.58333333333331</v>
      </c>
      <c r="AV363" s="183"/>
      <c r="AW363" s="487">
        <v>365</v>
      </c>
      <c r="AX363" s="153">
        <v>444</v>
      </c>
      <c r="AY363" s="153">
        <v>375</v>
      </c>
      <c r="AZ363" s="153">
        <v>385</v>
      </c>
      <c r="BA363" s="153">
        <v>405</v>
      </c>
      <c r="BB363" s="153">
        <v>740</v>
      </c>
      <c r="BC363" s="153">
        <v>543</v>
      </c>
      <c r="BD363" s="153">
        <v>415</v>
      </c>
      <c r="BE363" s="153">
        <v>415</v>
      </c>
      <c r="BF363" s="153">
        <v>375</v>
      </c>
      <c r="BG363" s="153">
        <v>326</v>
      </c>
      <c r="BH363" s="153">
        <v>296</v>
      </c>
      <c r="BI363" s="153">
        <v>5084</v>
      </c>
      <c r="BJ363" s="154">
        <v>423.66666666666669</v>
      </c>
      <c r="BK363" s="183"/>
      <c r="BL363" s="487">
        <v>365</v>
      </c>
      <c r="BM363" s="153">
        <v>320</v>
      </c>
      <c r="BN363" s="153"/>
      <c r="BO363" s="153"/>
      <c r="BP363" s="153"/>
      <c r="BQ363" s="153"/>
      <c r="BR363" s="153"/>
      <c r="BS363" s="153"/>
      <c r="BT363" s="153"/>
      <c r="BU363" s="153"/>
      <c r="BV363" s="153"/>
      <c r="BW363" s="153"/>
      <c r="BX363" s="153">
        <f t="shared" si="266"/>
        <v>685</v>
      </c>
      <c r="BY363" s="154">
        <f t="shared" si="260"/>
        <v>342.5</v>
      </c>
      <c r="CA363" s="169">
        <f>ROW()</f>
        <v>363</v>
      </c>
      <c r="CB363" s="442">
        <f t="shared" si="269"/>
        <v>-38</v>
      </c>
      <c r="CC363" s="171">
        <f t="shared" si="267"/>
        <v>0.88124999999999998</v>
      </c>
      <c r="CD363" s="169">
        <f t="shared" si="270"/>
        <v>-54</v>
      </c>
      <c r="CE363" s="171">
        <f t="shared" si="271"/>
        <v>0.92116788321167886</v>
      </c>
      <c r="CG363" s="3"/>
    </row>
    <row r="364" spans="1:85" ht="18" customHeight="1" thickBot="1" x14ac:dyDescent="0.6">
      <c r="A364" s="7201"/>
      <c r="B364" s="7208"/>
      <c r="C364" s="69" t="s">
        <v>220</v>
      </c>
      <c r="D364" s="158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60"/>
      <c r="S364" s="158">
        <v>220</v>
      </c>
      <c r="T364" s="159">
        <v>242</v>
      </c>
      <c r="U364" s="159">
        <v>228</v>
      </c>
      <c r="V364" s="159">
        <v>221</v>
      </c>
      <c r="W364" s="159">
        <v>236</v>
      </c>
      <c r="X364" s="159">
        <v>239</v>
      </c>
      <c r="Y364" s="159">
        <v>203</v>
      </c>
      <c r="Z364" s="159">
        <v>269</v>
      </c>
      <c r="AA364" s="159">
        <v>212</v>
      </c>
      <c r="AB364" s="159">
        <v>279</v>
      </c>
      <c r="AC364" s="159">
        <v>215</v>
      </c>
      <c r="AD364" s="159">
        <v>202</v>
      </c>
      <c r="AE364" s="159">
        <v>2766</v>
      </c>
      <c r="AF364" s="160">
        <v>230.5</v>
      </c>
      <c r="AG364" s="183"/>
      <c r="AH364" s="158">
        <v>322</v>
      </c>
      <c r="AI364" s="159">
        <v>249</v>
      </c>
      <c r="AJ364" s="159">
        <v>249</v>
      </c>
      <c r="AK364" s="159">
        <v>272</v>
      </c>
      <c r="AL364" s="159">
        <v>295</v>
      </c>
      <c r="AM364" s="159">
        <v>295</v>
      </c>
      <c r="AN364" s="159">
        <v>351</v>
      </c>
      <c r="AO364" s="159">
        <v>273</v>
      </c>
      <c r="AP364" s="159">
        <v>312</v>
      </c>
      <c r="AQ364" s="159">
        <v>250</v>
      </c>
      <c r="AR364" s="159">
        <v>258</v>
      </c>
      <c r="AS364" s="159">
        <v>258</v>
      </c>
      <c r="AT364" s="159">
        <v>3384</v>
      </c>
      <c r="AU364" s="160">
        <v>282</v>
      </c>
      <c r="AV364" s="183"/>
      <c r="AW364" s="489">
        <v>286</v>
      </c>
      <c r="AX364" s="159">
        <v>347</v>
      </c>
      <c r="AY364" s="159">
        <v>293</v>
      </c>
      <c r="AZ364" s="159">
        <v>301</v>
      </c>
      <c r="BA364" s="159">
        <v>316</v>
      </c>
      <c r="BB364" s="159">
        <v>579</v>
      </c>
      <c r="BC364" s="159">
        <v>424</v>
      </c>
      <c r="BD364" s="159">
        <v>324</v>
      </c>
      <c r="BE364" s="159">
        <v>324</v>
      </c>
      <c r="BF364" s="159">
        <v>293</v>
      </c>
      <c r="BG364" s="159">
        <v>255</v>
      </c>
      <c r="BH364" s="159">
        <v>232</v>
      </c>
      <c r="BI364" s="159">
        <v>3974</v>
      </c>
      <c r="BJ364" s="160">
        <v>331.16666666666669</v>
      </c>
      <c r="BK364" s="183"/>
      <c r="BL364" s="489">
        <v>317</v>
      </c>
      <c r="BM364" s="159">
        <v>277</v>
      </c>
      <c r="BN364" s="159"/>
      <c r="BO364" s="159"/>
      <c r="BP364" s="159"/>
      <c r="BQ364" s="159"/>
      <c r="BR364" s="159"/>
      <c r="BS364" s="159"/>
      <c r="BT364" s="159"/>
      <c r="BU364" s="159"/>
      <c r="BV364" s="159"/>
      <c r="BW364" s="159"/>
      <c r="BX364" s="159">
        <f t="shared" si="266"/>
        <v>594</v>
      </c>
      <c r="BY364" s="160">
        <f t="shared" si="260"/>
        <v>297</v>
      </c>
      <c r="CA364" s="169">
        <f>ROW()</f>
        <v>364</v>
      </c>
      <c r="CB364" s="442">
        <f t="shared" si="269"/>
        <v>-76</v>
      </c>
      <c r="CC364" s="171">
        <f t="shared" si="267"/>
        <v>0.72563176895306858</v>
      </c>
      <c r="CD364" s="169">
        <f t="shared" si="270"/>
        <v>-72</v>
      </c>
      <c r="CE364" s="171">
        <f t="shared" si="271"/>
        <v>0.87878787878787878</v>
      </c>
      <c r="CG364" s="3"/>
    </row>
    <row r="365" spans="1:85" ht="17.399999999999999" customHeight="1" x14ac:dyDescent="0.55000000000000004">
      <c r="A365" s="7201"/>
      <c r="B365" s="7203" t="s">
        <v>1023</v>
      </c>
      <c r="C365" s="64" t="s">
        <v>400</v>
      </c>
      <c r="D365" s="143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5"/>
      <c r="R365" s="4691"/>
      <c r="S365" s="143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>
        <v>0</v>
      </c>
      <c r="AF365" s="145">
        <v>0</v>
      </c>
      <c r="AG365" s="183"/>
      <c r="AH365" s="143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  <c r="AS365" s="144"/>
      <c r="AT365" s="144">
        <v>0</v>
      </c>
      <c r="AU365" s="145">
        <v>0</v>
      </c>
      <c r="AV365" s="183"/>
      <c r="AW365" s="481"/>
      <c r="AX365" s="144"/>
      <c r="AY365" s="144"/>
      <c r="AZ365" s="144"/>
      <c r="BA365" s="144"/>
      <c r="BB365" s="144"/>
      <c r="BC365" s="144"/>
      <c r="BD365" s="144"/>
      <c r="BE365" s="144"/>
      <c r="BF365" s="144"/>
      <c r="BG365" s="144"/>
      <c r="BH365" s="144"/>
      <c r="BI365" s="144">
        <v>0</v>
      </c>
      <c r="BJ365" s="145" t="e">
        <v>#DIV/0!</v>
      </c>
      <c r="BK365" s="183"/>
      <c r="BL365" s="481">
        <v>358</v>
      </c>
      <c r="BM365" s="144">
        <v>326</v>
      </c>
      <c r="BN365" s="144"/>
      <c r="BO365" s="144"/>
      <c r="BP365" s="144"/>
      <c r="BQ365" s="144"/>
      <c r="BR365" s="144"/>
      <c r="BS365" s="144"/>
      <c r="BT365" s="144"/>
      <c r="BU365" s="144"/>
      <c r="BV365" s="144"/>
      <c r="BW365" s="144"/>
      <c r="BX365" s="144">
        <f t="shared" si="266"/>
        <v>684</v>
      </c>
      <c r="BY365" s="145">
        <f>AVERAGE(BL365:BW365)</f>
        <v>342</v>
      </c>
      <c r="CA365" s="169">
        <f>ROW()</f>
        <v>365</v>
      </c>
      <c r="CB365" s="442">
        <f t="shared" si="269"/>
        <v>-89</v>
      </c>
      <c r="CC365" s="171">
        <f t="shared" si="267"/>
        <v>0.72699386503067487</v>
      </c>
      <c r="CD365" s="169">
        <f>BX167-BX365</f>
        <v>-360</v>
      </c>
      <c r="CE365" s="171">
        <f>BX167/BX365</f>
        <v>0.47368421052631576</v>
      </c>
      <c r="CG365" s="3"/>
    </row>
    <row r="366" spans="1:85" ht="17.399999999999999" customHeight="1" x14ac:dyDescent="0.55000000000000004">
      <c r="A366" s="7201"/>
      <c r="B366" s="7204"/>
      <c r="C366" s="65" t="s">
        <v>401</v>
      </c>
      <c r="D366" s="146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8"/>
      <c r="R366" s="4691"/>
      <c r="S366" s="146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>
        <v>0</v>
      </c>
      <c r="AF366" s="148">
        <v>0</v>
      </c>
      <c r="AG366" s="183"/>
      <c r="AH366" s="146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>
        <v>0</v>
      </c>
      <c r="AU366" s="148">
        <v>0</v>
      </c>
      <c r="AV366" s="183"/>
      <c r="AW366" s="482"/>
      <c r="AX366" s="147"/>
      <c r="AY366" s="147"/>
      <c r="AZ366" s="147"/>
      <c r="BA366" s="147"/>
      <c r="BB366" s="147"/>
      <c r="BC366" s="147"/>
      <c r="BD366" s="147"/>
      <c r="BE366" s="147"/>
      <c r="BF366" s="147"/>
      <c r="BG366" s="147"/>
      <c r="BH366" s="147"/>
      <c r="BI366" s="147">
        <v>0</v>
      </c>
      <c r="BJ366" s="148" t="e">
        <v>#DIV/0!</v>
      </c>
      <c r="BK366" s="183"/>
      <c r="BL366" s="482">
        <v>206</v>
      </c>
      <c r="BM366" s="147">
        <v>169</v>
      </c>
      <c r="BN366" s="147"/>
      <c r="BO366" s="147"/>
      <c r="BP366" s="147"/>
      <c r="BQ366" s="147"/>
      <c r="BR366" s="147"/>
      <c r="BS366" s="147"/>
      <c r="BT366" s="147"/>
      <c r="BU366" s="147"/>
      <c r="BV366" s="147"/>
      <c r="BW366" s="147"/>
      <c r="BX366" s="147">
        <f t="shared" si="266"/>
        <v>375</v>
      </c>
      <c r="BY366" s="148">
        <f t="shared" ref="BY366:BY409" si="275">AVERAGE(BL366:BW366)</f>
        <v>187.5</v>
      </c>
      <c r="CA366" s="169">
        <f>ROW()</f>
        <v>366</v>
      </c>
      <c r="CB366" s="442">
        <f t="shared" si="269"/>
        <v>15</v>
      </c>
      <c r="CC366" s="171">
        <f t="shared" si="267"/>
        <v>1.0887573964497042</v>
      </c>
      <c r="CD366" s="169">
        <f t="shared" ref="CD366:CD369" si="276">BX168-BX366</f>
        <v>-145</v>
      </c>
      <c r="CE366" s="171">
        <f t="shared" ref="CE366:CE369" si="277">BX168/BX366</f>
        <v>0.61333333333333329</v>
      </c>
      <c r="CG366" s="3"/>
    </row>
    <row r="367" spans="1:85" ht="17.399999999999999" customHeight="1" x14ac:dyDescent="0.55000000000000004">
      <c r="A367" s="7201"/>
      <c r="B367" s="7204"/>
      <c r="C367" s="65" t="s">
        <v>402</v>
      </c>
      <c r="D367" s="146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8"/>
      <c r="R367" s="4691"/>
      <c r="S367" s="146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>
        <v>0</v>
      </c>
      <c r="AF367" s="148">
        <v>0</v>
      </c>
      <c r="AG367" s="183"/>
      <c r="AH367" s="146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>
        <v>0</v>
      </c>
      <c r="AU367" s="148">
        <v>0</v>
      </c>
      <c r="AV367" s="183"/>
      <c r="AW367" s="482"/>
      <c r="AX367" s="147"/>
      <c r="AY367" s="147"/>
      <c r="AZ367" s="147"/>
      <c r="BA367" s="147"/>
      <c r="BB367" s="147"/>
      <c r="BC367" s="147"/>
      <c r="BD367" s="147"/>
      <c r="BE367" s="147"/>
      <c r="BF367" s="147"/>
      <c r="BG367" s="147"/>
      <c r="BH367" s="147"/>
      <c r="BI367" s="147">
        <v>0</v>
      </c>
      <c r="BJ367" s="148" t="e">
        <v>#DIV/0!</v>
      </c>
      <c r="BK367" s="183"/>
      <c r="BL367" s="482">
        <v>262</v>
      </c>
      <c r="BM367" s="147">
        <v>231</v>
      </c>
      <c r="BN367" s="147"/>
      <c r="BO367" s="147"/>
      <c r="BP367" s="147"/>
      <c r="BQ367" s="147"/>
      <c r="BR367" s="147"/>
      <c r="BS367" s="147"/>
      <c r="BT367" s="147"/>
      <c r="BU367" s="147"/>
      <c r="BV367" s="147"/>
      <c r="BW367" s="147"/>
      <c r="BX367" s="147">
        <f t="shared" si="266"/>
        <v>493</v>
      </c>
      <c r="BY367" s="148">
        <f t="shared" si="275"/>
        <v>246.5</v>
      </c>
      <c r="CA367" s="169">
        <f>ROW()</f>
        <v>367</v>
      </c>
      <c r="CB367" s="442">
        <f t="shared" si="269"/>
        <v>43</v>
      </c>
      <c r="CC367" s="171">
        <f t="shared" si="267"/>
        <v>1.1861471861471862</v>
      </c>
      <c r="CD367" s="169">
        <f t="shared" si="276"/>
        <v>-153</v>
      </c>
      <c r="CE367" s="171">
        <f t="shared" si="277"/>
        <v>0.68965517241379315</v>
      </c>
      <c r="CG367" s="3"/>
    </row>
    <row r="368" spans="1:85" ht="17.399999999999999" customHeight="1" x14ac:dyDescent="0.55000000000000004">
      <c r="A368" s="7201"/>
      <c r="B368" s="7204"/>
      <c r="C368" s="65" t="s">
        <v>403</v>
      </c>
      <c r="D368" s="146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8"/>
      <c r="R368" s="4691"/>
      <c r="S368" s="146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>
        <v>0</v>
      </c>
      <c r="AF368" s="148">
        <v>0</v>
      </c>
      <c r="AG368" s="183"/>
      <c r="AH368" s="146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>
        <v>0</v>
      </c>
      <c r="AU368" s="148">
        <v>0</v>
      </c>
      <c r="AV368" s="183"/>
      <c r="AW368" s="482"/>
      <c r="AX368" s="147"/>
      <c r="AY368" s="147"/>
      <c r="AZ368" s="147"/>
      <c r="BA368" s="147"/>
      <c r="BB368" s="147"/>
      <c r="BC368" s="147"/>
      <c r="BD368" s="147"/>
      <c r="BE368" s="147"/>
      <c r="BF368" s="147"/>
      <c r="BG368" s="147"/>
      <c r="BH368" s="147"/>
      <c r="BI368" s="147">
        <v>0</v>
      </c>
      <c r="BJ368" s="148" t="e">
        <v>#DIV/0!</v>
      </c>
      <c r="BK368" s="183"/>
      <c r="BL368" s="482">
        <v>408</v>
      </c>
      <c r="BM368" s="147">
        <v>353</v>
      </c>
      <c r="BN368" s="147"/>
      <c r="BO368" s="147"/>
      <c r="BP368" s="147"/>
      <c r="BQ368" s="147"/>
      <c r="BR368" s="147"/>
      <c r="BS368" s="147"/>
      <c r="BT368" s="147"/>
      <c r="BU368" s="147"/>
      <c r="BV368" s="147"/>
      <c r="BW368" s="147"/>
      <c r="BX368" s="147">
        <f t="shared" si="266"/>
        <v>761</v>
      </c>
      <c r="BY368" s="148">
        <f t="shared" si="275"/>
        <v>380.5</v>
      </c>
      <c r="CA368" s="169">
        <f>ROW()</f>
        <v>368</v>
      </c>
      <c r="CB368" s="442">
        <f t="shared" si="269"/>
        <v>-188</v>
      </c>
      <c r="CC368" s="171">
        <f t="shared" si="267"/>
        <v>0.46742209631728043</v>
      </c>
      <c r="CD368" s="169">
        <f t="shared" si="276"/>
        <v>-507</v>
      </c>
      <c r="CE368" s="171">
        <f t="shared" si="277"/>
        <v>0.33377135348226017</v>
      </c>
      <c r="CG368" s="3"/>
    </row>
    <row r="369" spans="1:86" ht="17.399999999999999" customHeight="1" x14ac:dyDescent="0.55000000000000004">
      <c r="A369" s="7201"/>
      <c r="B369" s="7205"/>
      <c r="C369" s="66" t="s">
        <v>404</v>
      </c>
      <c r="D369" s="149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1"/>
      <c r="R369" s="4691"/>
      <c r="S369" s="149"/>
      <c r="T369" s="150"/>
      <c r="U369" s="150"/>
      <c r="V369" s="150"/>
      <c r="W369" s="150"/>
      <c r="X369" s="150"/>
      <c r="Y369" s="150"/>
      <c r="Z369" s="150"/>
      <c r="AA369" s="150"/>
      <c r="AB369" s="150"/>
      <c r="AC369" s="150"/>
      <c r="AD369" s="150"/>
      <c r="AE369" s="150">
        <v>0</v>
      </c>
      <c r="AF369" s="151">
        <v>0</v>
      </c>
      <c r="AG369" s="183"/>
      <c r="AH369" s="149"/>
      <c r="AI369" s="150"/>
      <c r="AJ369" s="150"/>
      <c r="AK369" s="150"/>
      <c r="AL369" s="150"/>
      <c r="AM369" s="150"/>
      <c r="AN369" s="150"/>
      <c r="AO369" s="150"/>
      <c r="AP369" s="150"/>
      <c r="AQ369" s="150"/>
      <c r="AR369" s="150"/>
      <c r="AS369" s="150"/>
      <c r="AT369" s="150">
        <v>0</v>
      </c>
      <c r="AU369" s="151">
        <v>0</v>
      </c>
      <c r="AV369" s="183"/>
      <c r="AW369" s="483"/>
      <c r="AX369" s="150"/>
      <c r="AY369" s="150"/>
      <c r="AZ369" s="150"/>
      <c r="BA369" s="150"/>
      <c r="BB369" s="150"/>
      <c r="BC369" s="150"/>
      <c r="BD369" s="150"/>
      <c r="BE369" s="150"/>
      <c r="BF369" s="150"/>
      <c r="BG369" s="150"/>
      <c r="BH369" s="150"/>
      <c r="BI369" s="150">
        <v>0</v>
      </c>
      <c r="BJ369" s="151" t="e">
        <v>#DIV/0!</v>
      </c>
      <c r="BK369" s="183"/>
      <c r="BL369" s="483">
        <v>466</v>
      </c>
      <c r="BM369" s="150">
        <v>421</v>
      </c>
      <c r="BN369" s="150"/>
      <c r="BO369" s="150"/>
      <c r="BP369" s="150"/>
      <c r="BQ369" s="150"/>
      <c r="BR369" s="150"/>
      <c r="BS369" s="150"/>
      <c r="BT369" s="150"/>
      <c r="BU369" s="150"/>
      <c r="BV369" s="150"/>
      <c r="BW369" s="150"/>
      <c r="BX369" s="150">
        <f t="shared" si="266"/>
        <v>887</v>
      </c>
      <c r="BY369" s="151">
        <f t="shared" si="275"/>
        <v>443.5</v>
      </c>
      <c r="CA369" s="169">
        <f>ROW()</f>
        <v>369</v>
      </c>
      <c r="CB369" s="442">
        <f t="shared" si="269"/>
        <v>102</v>
      </c>
      <c r="CC369" s="171">
        <f t="shared" si="267"/>
        <v>1.2422802850356294</v>
      </c>
      <c r="CD369" s="169">
        <f t="shared" si="276"/>
        <v>-244</v>
      </c>
      <c r="CE369" s="171">
        <f t="shared" si="277"/>
        <v>0.72491544532130781</v>
      </c>
      <c r="CG369" s="3"/>
    </row>
    <row r="370" spans="1:86" x14ac:dyDescent="0.55000000000000004">
      <c r="A370" s="7201"/>
      <c r="B370" s="7203" t="s">
        <v>413</v>
      </c>
      <c r="C370" s="64" t="s">
        <v>400</v>
      </c>
      <c r="D370" s="143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5"/>
      <c r="S370" s="143" t="e">
        <f>S375+#REF!</f>
        <v>#REF!</v>
      </c>
      <c r="T370" s="144" t="e">
        <f>T375+#REF!</f>
        <v>#REF!</v>
      </c>
      <c r="U370" s="144" t="e">
        <f>U375+#REF!</f>
        <v>#REF!</v>
      </c>
      <c r="V370" s="144" t="e">
        <f>V375+#REF!</f>
        <v>#REF!</v>
      </c>
      <c r="W370" s="144" t="e">
        <f>W375+#REF!</f>
        <v>#REF!</v>
      </c>
      <c r="X370" s="144" t="e">
        <f>X375+#REF!</f>
        <v>#REF!</v>
      </c>
      <c r="Y370" s="144" t="e">
        <f>Y375+#REF!</f>
        <v>#REF!</v>
      </c>
      <c r="Z370" s="144" t="e">
        <f>Z375+#REF!</f>
        <v>#REF!</v>
      </c>
      <c r="AA370" s="144" t="e">
        <f>AA375+#REF!</f>
        <v>#REF!</v>
      </c>
      <c r="AB370" s="144" t="e">
        <f>AB375+#REF!</f>
        <v>#REF!</v>
      </c>
      <c r="AC370" s="144" t="e">
        <f>AC375+#REF!</f>
        <v>#REF!</v>
      </c>
      <c r="AD370" s="144" t="e">
        <f>AD375+#REF!</f>
        <v>#REF!</v>
      </c>
      <c r="AE370" s="144">
        <v>8126</v>
      </c>
      <c r="AF370" s="145">
        <v>677.16666666666663</v>
      </c>
      <c r="AG370" s="183"/>
      <c r="AH370" s="143">
        <v>806</v>
      </c>
      <c r="AI370" s="144">
        <v>596</v>
      </c>
      <c r="AJ370" s="144">
        <v>555</v>
      </c>
      <c r="AK370" s="144">
        <v>699</v>
      </c>
      <c r="AL370" s="144">
        <v>718</v>
      </c>
      <c r="AM370" s="144">
        <v>718</v>
      </c>
      <c r="AN370" s="144">
        <v>1027</v>
      </c>
      <c r="AO370" s="144">
        <v>821</v>
      </c>
      <c r="AP370" s="144">
        <v>924</v>
      </c>
      <c r="AQ370" s="144">
        <v>821</v>
      </c>
      <c r="AR370" s="144">
        <v>821</v>
      </c>
      <c r="AS370" s="144">
        <v>821</v>
      </c>
      <c r="AT370" s="144">
        <v>9327</v>
      </c>
      <c r="AU370" s="145">
        <v>777.25</v>
      </c>
      <c r="AV370" s="183"/>
      <c r="AW370" s="481">
        <v>818</v>
      </c>
      <c r="AX370" s="144">
        <v>1184</v>
      </c>
      <c r="AY370" s="144">
        <v>884</v>
      </c>
      <c r="AZ370" s="144">
        <v>884</v>
      </c>
      <c r="BA370" s="144">
        <v>906</v>
      </c>
      <c r="BB370" s="144">
        <v>1512</v>
      </c>
      <c r="BC370" s="144">
        <v>1251</v>
      </c>
      <c r="BD370" s="144">
        <v>1036</v>
      </c>
      <c r="BE370" s="144">
        <v>1036</v>
      </c>
      <c r="BF370" s="144">
        <v>884</v>
      </c>
      <c r="BG370" s="144">
        <v>862</v>
      </c>
      <c r="BH370" s="144">
        <v>820</v>
      </c>
      <c r="BI370" s="144">
        <v>12077</v>
      </c>
      <c r="BJ370" s="145">
        <v>1006.4166666666666</v>
      </c>
      <c r="BK370" s="183"/>
      <c r="BL370" s="481">
        <v>803</v>
      </c>
      <c r="BM370" s="144">
        <v>779</v>
      </c>
      <c r="BN370" s="144"/>
      <c r="BO370" s="144"/>
      <c r="BP370" s="144"/>
      <c r="BQ370" s="144"/>
      <c r="BR370" s="144"/>
      <c r="BS370" s="144"/>
      <c r="BT370" s="144"/>
      <c r="BU370" s="144"/>
      <c r="BV370" s="144"/>
      <c r="BW370" s="144"/>
      <c r="BX370" s="144">
        <f t="shared" si="266"/>
        <v>1582</v>
      </c>
      <c r="BY370" s="145">
        <f t="shared" si="275"/>
        <v>791</v>
      </c>
      <c r="CA370" s="169">
        <f>ROW()</f>
        <v>370</v>
      </c>
      <c r="CB370" s="442">
        <f>BM172-BM370</f>
        <v>-344</v>
      </c>
      <c r="CC370" s="171">
        <f t="shared" ref="CC370:CC381" si="278">BM172/BM370</f>
        <v>0.55840821566110399</v>
      </c>
      <c r="CD370" s="169">
        <f>BX172-BX370</f>
        <v>-474</v>
      </c>
      <c r="CE370" s="171">
        <f>BX172/BX370</f>
        <v>0.70037926675094819</v>
      </c>
      <c r="CG370" s="3"/>
    </row>
    <row r="371" spans="1:86" x14ac:dyDescent="0.55000000000000004">
      <c r="A371" s="7201"/>
      <c r="B371" s="7204"/>
      <c r="C371" s="65" t="s">
        <v>401</v>
      </c>
      <c r="D371" s="146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8"/>
      <c r="S371" s="146">
        <f>S376</f>
        <v>654</v>
      </c>
      <c r="T371" s="147">
        <f t="shared" ref="T371:AD371" si="279">T376</f>
        <v>707</v>
      </c>
      <c r="U371" s="147">
        <f t="shared" si="279"/>
        <v>662</v>
      </c>
      <c r="V371" s="147">
        <f t="shared" si="279"/>
        <v>624</v>
      </c>
      <c r="W371" s="147">
        <f t="shared" si="279"/>
        <v>677</v>
      </c>
      <c r="X371" s="147">
        <f t="shared" si="279"/>
        <v>654</v>
      </c>
      <c r="Y371" s="147">
        <f t="shared" si="279"/>
        <v>526</v>
      </c>
      <c r="Z371" s="147">
        <f t="shared" si="279"/>
        <v>722</v>
      </c>
      <c r="AA371" s="147">
        <f t="shared" si="279"/>
        <v>541</v>
      </c>
      <c r="AB371" s="147">
        <f t="shared" si="279"/>
        <v>722</v>
      </c>
      <c r="AC371" s="147">
        <f t="shared" si="279"/>
        <v>534</v>
      </c>
      <c r="AD371" s="147">
        <f t="shared" si="279"/>
        <v>496</v>
      </c>
      <c r="AE371" s="147">
        <v>7519</v>
      </c>
      <c r="AF371" s="148">
        <v>626.58333333333337</v>
      </c>
      <c r="AG371" s="183"/>
      <c r="AH371" s="146">
        <v>673</v>
      </c>
      <c r="AI371" s="147">
        <v>497</v>
      </c>
      <c r="AJ371" s="147">
        <v>463</v>
      </c>
      <c r="AK371" s="147">
        <v>584</v>
      </c>
      <c r="AL371" s="147">
        <v>601</v>
      </c>
      <c r="AM371" s="147">
        <v>601</v>
      </c>
      <c r="AN371" s="147">
        <v>858</v>
      </c>
      <c r="AO371" s="147">
        <v>686</v>
      </c>
      <c r="AP371" s="147">
        <v>772</v>
      </c>
      <c r="AQ371" s="147">
        <v>686</v>
      </c>
      <c r="AR371" s="147">
        <v>686</v>
      </c>
      <c r="AS371" s="147">
        <v>686</v>
      </c>
      <c r="AT371" s="147">
        <v>7793</v>
      </c>
      <c r="AU371" s="148">
        <v>649.41666666666663</v>
      </c>
      <c r="AV371" s="183"/>
      <c r="AW371" s="482">
        <v>597</v>
      </c>
      <c r="AX371" s="147">
        <v>865</v>
      </c>
      <c r="AY371" s="147">
        <v>644</v>
      </c>
      <c r="AZ371" s="147">
        <v>644</v>
      </c>
      <c r="BA371" s="147">
        <v>660</v>
      </c>
      <c r="BB371" s="147">
        <v>1101</v>
      </c>
      <c r="BC371" s="147">
        <v>912</v>
      </c>
      <c r="BD371" s="147">
        <v>754</v>
      </c>
      <c r="BE371" s="147">
        <v>754</v>
      </c>
      <c r="BF371" s="147">
        <v>644</v>
      </c>
      <c r="BG371" s="147">
        <v>629</v>
      </c>
      <c r="BH371" s="147">
        <v>598</v>
      </c>
      <c r="BI371" s="147">
        <v>8802</v>
      </c>
      <c r="BJ371" s="148">
        <v>733.5</v>
      </c>
      <c r="BK371" s="183"/>
      <c r="BL371" s="482">
        <v>653</v>
      </c>
      <c r="BM371" s="147">
        <v>600</v>
      </c>
      <c r="BN371" s="147"/>
      <c r="BO371" s="147"/>
      <c r="BP371" s="147"/>
      <c r="BQ371" s="147"/>
      <c r="BR371" s="147"/>
      <c r="BS371" s="147"/>
      <c r="BT371" s="147"/>
      <c r="BU371" s="147"/>
      <c r="BV371" s="147"/>
      <c r="BW371" s="147"/>
      <c r="BX371" s="147">
        <f t="shared" si="266"/>
        <v>1253</v>
      </c>
      <c r="BY371" s="148">
        <f t="shared" si="275"/>
        <v>626.5</v>
      </c>
      <c r="CA371" s="169">
        <f>ROW()</f>
        <v>371</v>
      </c>
      <c r="CB371" s="442">
        <f t="shared" si="269"/>
        <v>-178</v>
      </c>
      <c r="CC371" s="171">
        <f t="shared" si="278"/>
        <v>0.70333333333333337</v>
      </c>
      <c r="CD371" s="169">
        <f t="shared" ref="CD371:CD381" si="280">BX173-BX371</f>
        <v>-230</v>
      </c>
      <c r="CE371" s="171">
        <f t="shared" ref="CE371:CE381" si="281">BX173/BX371</f>
        <v>0.81644054269752597</v>
      </c>
      <c r="CG371" s="3"/>
    </row>
    <row r="372" spans="1:86" x14ac:dyDescent="0.55000000000000004">
      <c r="A372" s="7201"/>
      <c r="B372" s="7204"/>
      <c r="C372" s="65" t="s">
        <v>402</v>
      </c>
      <c r="D372" s="146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8"/>
      <c r="S372" s="146">
        <f>S377</f>
        <v>583</v>
      </c>
      <c r="T372" s="147">
        <f t="shared" ref="T372:AD372" si="282">T377</f>
        <v>630</v>
      </c>
      <c r="U372" s="147">
        <f t="shared" si="282"/>
        <v>590</v>
      </c>
      <c r="V372" s="147">
        <f t="shared" si="282"/>
        <v>557</v>
      </c>
      <c r="W372" s="147">
        <f t="shared" si="282"/>
        <v>604</v>
      </c>
      <c r="X372" s="147">
        <f t="shared" si="282"/>
        <v>583</v>
      </c>
      <c r="Y372" s="147">
        <f t="shared" si="282"/>
        <v>469</v>
      </c>
      <c r="Z372" s="147">
        <f t="shared" si="282"/>
        <v>644</v>
      </c>
      <c r="AA372" s="147">
        <f t="shared" si="282"/>
        <v>483</v>
      </c>
      <c r="AB372" s="147">
        <f t="shared" si="282"/>
        <v>644</v>
      </c>
      <c r="AC372" s="147">
        <f t="shared" si="282"/>
        <v>476</v>
      </c>
      <c r="AD372" s="147">
        <f t="shared" si="282"/>
        <v>443</v>
      </c>
      <c r="AE372" s="147">
        <v>6706</v>
      </c>
      <c r="AF372" s="148">
        <v>558.83333333333337</v>
      </c>
      <c r="AG372" s="183"/>
      <c r="AH372" s="146">
        <v>611</v>
      </c>
      <c r="AI372" s="147">
        <v>452</v>
      </c>
      <c r="AJ372" s="147">
        <v>420</v>
      </c>
      <c r="AK372" s="147">
        <v>530</v>
      </c>
      <c r="AL372" s="147">
        <v>545</v>
      </c>
      <c r="AM372" s="147">
        <v>545</v>
      </c>
      <c r="AN372" s="147">
        <v>779</v>
      </c>
      <c r="AO372" s="147">
        <v>624</v>
      </c>
      <c r="AP372" s="147">
        <v>702</v>
      </c>
      <c r="AQ372" s="147">
        <v>624</v>
      </c>
      <c r="AR372" s="147">
        <v>624</v>
      </c>
      <c r="AS372" s="147">
        <v>624</v>
      </c>
      <c r="AT372" s="147">
        <v>7080</v>
      </c>
      <c r="AU372" s="148">
        <v>590</v>
      </c>
      <c r="AV372" s="183"/>
      <c r="AW372" s="482">
        <v>565</v>
      </c>
      <c r="AX372" s="147">
        <v>817</v>
      </c>
      <c r="AY372" s="147">
        <v>609</v>
      </c>
      <c r="AZ372" s="147">
        <v>609</v>
      </c>
      <c r="BA372" s="147">
        <v>624</v>
      </c>
      <c r="BB372" s="147">
        <v>1041</v>
      </c>
      <c r="BC372" s="147">
        <v>862</v>
      </c>
      <c r="BD372" s="147">
        <v>713</v>
      </c>
      <c r="BE372" s="147">
        <v>713</v>
      </c>
      <c r="BF372" s="147">
        <v>609</v>
      </c>
      <c r="BG372" s="147">
        <v>595</v>
      </c>
      <c r="BH372" s="147">
        <v>565</v>
      </c>
      <c r="BI372" s="147">
        <v>8322</v>
      </c>
      <c r="BJ372" s="148">
        <v>693.5</v>
      </c>
      <c r="BK372" s="183"/>
      <c r="BL372" s="482">
        <v>668</v>
      </c>
      <c r="BM372" s="147">
        <v>589</v>
      </c>
      <c r="BN372" s="147"/>
      <c r="BO372" s="147"/>
      <c r="BP372" s="147"/>
      <c r="BQ372" s="147"/>
      <c r="BR372" s="147"/>
      <c r="BS372" s="147"/>
      <c r="BT372" s="147"/>
      <c r="BU372" s="147"/>
      <c r="BV372" s="147"/>
      <c r="BW372" s="147"/>
      <c r="BX372" s="147">
        <f t="shared" si="266"/>
        <v>1257</v>
      </c>
      <c r="BY372" s="148">
        <f t="shared" si="275"/>
        <v>628.5</v>
      </c>
      <c r="CA372" s="169">
        <f>ROW()</f>
        <v>372</v>
      </c>
      <c r="CB372" s="442">
        <f t="shared" si="269"/>
        <v>-120</v>
      </c>
      <c r="CC372" s="171">
        <f t="shared" si="278"/>
        <v>0.79626485568760608</v>
      </c>
      <c r="CD372" s="169">
        <f t="shared" si="280"/>
        <v>-92</v>
      </c>
      <c r="CE372" s="171">
        <f t="shared" si="281"/>
        <v>0.92680986475735883</v>
      </c>
      <c r="CG372" s="3"/>
    </row>
    <row r="373" spans="1:86" x14ac:dyDescent="0.55000000000000004">
      <c r="A373" s="7201"/>
      <c r="B373" s="7204"/>
      <c r="C373" s="65" t="s">
        <v>403</v>
      </c>
      <c r="D373" s="146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8"/>
      <c r="S373" s="146">
        <f>S378+S379</f>
        <v>836</v>
      </c>
      <c r="T373" s="147">
        <f t="shared" ref="T373:AD373" si="283">T378+T379</f>
        <v>903</v>
      </c>
      <c r="U373" s="147">
        <f t="shared" si="283"/>
        <v>845</v>
      </c>
      <c r="V373" s="147">
        <f t="shared" si="283"/>
        <v>797</v>
      </c>
      <c r="W373" s="147">
        <f t="shared" si="283"/>
        <v>865</v>
      </c>
      <c r="X373" s="147">
        <f t="shared" si="283"/>
        <v>836</v>
      </c>
      <c r="Y373" s="147">
        <f t="shared" si="283"/>
        <v>673</v>
      </c>
      <c r="Z373" s="147">
        <f t="shared" si="283"/>
        <v>923</v>
      </c>
      <c r="AA373" s="147">
        <f t="shared" si="283"/>
        <v>692</v>
      </c>
      <c r="AB373" s="147">
        <f t="shared" si="283"/>
        <v>923</v>
      </c>
      <c r="AC373" s="147">
        <f t="shared" si="283"/>
        <v>682</v>
      </c>
      <c r="AD373" s="147">
        <f t="shared" si="283"/>
        <v>634</v>
      </c>
      <c r="AE373" s="147">
        <v>9609</v>
      </c>
      <c r="AF373" s="148">
        <v>800.75</v>
      </c>
      <c r="AG373" s="183"/>
      <c r="AH373" s="146">
        <v>944</v>
      </c>
      <c r="AI373" s="147">
        <v>698</v>
      </c>
      <c r="AJ373" s="147">
        <v>650</v>
      </c>
      <c r="AK373" s="147">
        <v>818</v>
      </c>
      <c r="AL373" s="147">
        <v>843</v>
      </c>
      <c r="AM373" s="147">
        <v>843</v>
      </c>
      <c r="AN373" s="147">
        <v>1203</v>
      </c>
      <c r="AO373" s="147">
        <v>961</v>
      </c>
      <c r="AP373" s="147">
        <v>1082</v>
      </c>
      <c r="AQ373" s="147">
        <v>961</v>
      </c>
      <c r="AR373" s="147">
        <v>961</v>
      </c>
      <c r="AS373" s="147">
        <v>961</v>
      </c>
      <c r="AT373" s="147">
        <v>10925</v>
      </c>
      <c r="AU373" s="148">
        <v>910.41666666666663</v>
      </c>
      <c r="AV373" s="183"/>
      <c r="AW373" s="482">
        <v>949</v>
      </c>
      <c r="AX373" s="147">
        <v>1376</v>
      </c>
      <c r="AY373" s="147">
        <v>1023</v>
      </c>
      <c r="AZ373" s="147">
        <v>1023</v>
      </c>
      <c r="BA373" s="147">
        <v>1048</v>
      </c>
      <c r="BB373" s="147">
        <v>1746</v>
      </c>
      <c r="BC373" s="147">
        <v>1449</v>
      </c>
      <c r="BD373" s="147">
        <v>1197</v>
      </c>
      <c r="BE373" s="147">
        <v>1197</v>
      </c>
      <c r="BF373" s="147">
        <v>1023</v>
      </c>
      <c r="BG373" s="147">
        <v>1000</v>
      </c>
      <c r="BH373" s="147">
        <v>948</v>
      </c>
      <c r="BI373" s="147">
        <v>13979</v>
      </c>
      <c r="BJ373" s="148">
        <v>1164.9166666666667</v>
      </c>
      <c r="BK373" s="183"/>
      <c r="BL373" s="482">
        <v>1418</v>
      </c>
      <c r="BM373" s="147">
        <v>1158</v>
      </c>
      <c r="BN373" s="147"/>
      <c r="BO373" s="147"/>
      <c r="BP373" s="147"/>
      <c r="BQ373" s="147"/>
      <c r="BR373" s="147"/>
      <c r="BS373" s="147"/>
      <c r="BT373" s="147"/>
      <c r="BU373" s="147"/>
      <c r="BV373" s="147"/>
      <c r="BW373" s="147"/>
      <c r="BX373" s="147">
        <f t="shared" si="266"/>
        <v>2576</v>
      </c>
      <c r="BY373" s="148">
        <f t="shared" si="275"/>
        <v>1288</v>
      </c>
      <c r="CA373" s="169">
        <f>ROW()</f>
        <v>373</v>
      </c>
      <c r="CB373" s="442">
        <f t="shared" si="269"/>
        <v>-300</v>
      </c>
      <c r="CC373" s="171">
        <f t="shared" si="278"/>
        <v>0.7409326424870466</v>
      </c>
      <c r="CD373" s="169">
        <f t="shared" si="280"/>
        <v>-441</v>
      </c>
      <c r="CE373" s="171">
        <f t="shared" si="281"/>
        <v>0.82880434782608692</v>
      </c>
      <c r="CG373" s="3"/>
    </row>
    <row r="374" spans="1:86" x14ac:dyDescent="0.55000000000000004">
      <c r="A374" s="7201"/>
      <c r="B374" s="7205"/>
      <c r="C374" s="66" t="s">
        <v>404</v>
      </c>
      <c r="D374" s="149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1"/>
      <c r="S374" s="149">
        <f>S380+S381</f>
        <v>763</v>
      </c>
      <c r="T374" s="150">
        <f t="shared" ref="T374:AD374" si="284">T380+T381</f>
        <v>825</v>
      </c>
      <c r="U374" s="150">
        <f t="shared" si="284"/>
        <v>772</v>
      </c>
      <c r="V374" s="150">
        <f t="shared" si="284"/>
        <v>728</v>
      </c>
      <c r="W374" s="150">
        <f t="shared" si="284"/>
        <v>789</v>
      </c>
      <c r="X374" s="150">
        <f t="shared" si="284"/>
        <v>764</v>
      </c>
      <c r="Y374" s="150">
        <f t="shared" si="284"/>
        <v>615</v>
      </c>
      <c r="Z374" s="150">
        <f t="shared" si="284"/>
        <v>841</v>
      </c>
      <c r="AA374" s="150">
        <f t="shared" si="284"/>
        <v>632</v>
      </c>
      <c r="AB374" s="150">
        <f t="shared" si="284"/>
        <v>841</v>
      </c>
      <c r="AC374" s="150">
        <f t="shared" si="284"/>
        <v>623</v>
      </c>
      <c r="AD374" s="150">
        <f t="shared" si="284"/>
        <v>579</v>
      </c>
      <c r="AE374" s="150">
        <v>8772</v>
      </c>
      <c r="AF374" s="151">
        <v>731</v>
      </c>
      <c r="AG374" s="183"/>
      <c r="AH374" s="149">
        <v>888</v>
      </c>
      <c r="AI374" s="150">
        <v>657</v>
      </c>
      <c r="AJ374" s="150">
        <v>612</v>
      </c>
      <c r="AK374" s="150">
        <v>769</v>
      </c>
      <c r="AL374" s="150">
        <v>793</v>
      </c>
      <c r="AM374" s="150">
        <v>793</v>
      </c>
      <c r="AN374" s="150">
        <v>1133</v>
      </c>
      <c r="AO374" s="150">
        <v>908</v>
      </c>
      <c r="AP374" s="150">
        <v>1020</v>
      </c>
      <c r="AQ374" s="150">
        <v>908</v>
      </c>
      <c r="AR374" s="150">
        <v>908</v>
      </c>
      <c r="AS374" s="150">
        <v>908</v>
      </c>
      <c r="AT374" s="150">
        <v>10297</v>
      </c>
      <c r="AU374" s="151">
        <v>858.08333333333337</v>
      </c>
      <c r="AV374" s="183"/>
      <c r="AW374" s="483">
        <v>871</v>
      </c>
      <c r="AX374" s="150">
        <v>1258</v>
      </c>
      <c r="AY374" s="150">
        <v>940</v>
      </c>
      <c r="AZ374" s="150">
        <v>940</v>
      </c>
      <c r="BA374" s="150">
        <v>962</v>
      </c>
      <c r="BB374" s="150">
        <v>1600</v>
      </c>
      <c r="BC374" s="150">
        <v>1326</v>
      </c>
      <c r="BD374" s="150">
        <v>1100</v>
      </c>
      <c r="BE374" s="150">
        <v>1100</v>
      </c>
      <c r="BF374" s="150">
        <v>940</v>
      </c>
      <c r="BG374" s="150">
        <v>914</v>
      </c>
      <c r="BH374" s="150">
        <v>869</v>
      </c>
      <c r="BI374" s="150">
        <v>12820</v>
      </c>
      <c r="BJ374" s="151">
        <v>1068.3333333333333</v>
      </c>
      <c r="BK374" s="183"/>
      <c r="BL374" s="483">
        <v>958</v>
      </c>
      <c r="BM374" s="150">
        <v>874</v>
      </c>
      <c r="BN374" s="150"/>
      <c r="BO374" s="150"/>
      <c r="BP374" s="150"/>
      <c r="BQ374" s="150"/>
      <c r="BR374" s="150"/>
      <c r="BS374" s="150"/>
      <c r="BT374" s="150"/>
      <c r="BU374" s="150"/>
      <c r="BV374" s="150"/>
      <c r="BW374" s="150"/>
      <c r="BX374" s="150">
        <f t="shared" si="266"/>
        <v>1832</v>
      </c>
      <c r="BY374" s="151">
        <f t="shared" si="275"/>
        <v>916</v>
      </c>
      <c r="CA374" s="169">
        <f>ROW()</f>
        <v>374</v>
      </c>
      <c r="CB374" s="442">
        <f t="shared" si="269"/>
        <v>-226</v>
      </c>
      <c r="CC374" s="171">
        <f t="shared" si="278"/>
        <v>0.74141876430205955</v>
      </c>
      <c r="CD374" s="169">
        <f t="shared" si="280"/>
        <v>-442</v>
      </c>
      <c r="CE374" s="171">
        <f t="shared" si="281"/>
        <v>0.75873362445414849</v>
      </c>
      <c r="CG374" s="3"/>
    </row>
    <row r="375" spans="1:86" x14ac:dyDescent="0.55000000000000004">
      <c r="A375" s="7201"/>
      <c r="B375" s="7206" t="s">
        <v>414</v>
      </c>
      <c r="C375" s="68" t="s">
        <v>226</v>
      </c>
      <c r="D375" s="155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7"/>
      <c r="S375" s="155">
        <v>572</v>
      </c>
      <c r="T375" s="156">
        <v>617</v>
      </c>
      <c r="U375" s="156">
        <v>578</v>
      </c>
      <c r="V375" s="156">
        <v>545</v>
      </c>
      <c r="W375" s="156">
        <v>591</v>
      </c>
      <c r="X375" s="156">
        <v>571</v>
      </c>
      <c r="Y375" s="156">
        <v>459</v>
      </c>
      <c r="Z375" s="156">
        <v>630</v>
      </c>
      <c r="AA375" s="156">
        <v>473</v>
      </c>
      <c r="AB375" s="156">
        <v>630</v>
      </c>
      <c r="AC375" s="156">
        <v>466</v>
      </c>
      <c r="AD375" s="156">
        <v>433</v>
      </c>
      <c r="AE375" s="156">
        <v>6565</v>
      </c>
      <c r="AF375" s="157">
        <v>547.08333333333337</v>
      </c>
      <c r="AG375" s="183"/>
      <c r="AH375" s="155">
        <v>650</v>
      </c>
      <c r="AI375" s="156">
        <v>481</v>
      </c>
      <c r="AJ375" s="156">
        <v>448</v>
      </c>
      <c r="AK375" s="156">
        <v>564</v>
      </c>
      <c r="AL375" s="156">
        <v>580</v>
      </c>
      <c r="AM375" s="156">
        <v>580</v>
      </c>
      <c r="AN375" s="156">
        <v>828</v>
      </c>
      <c r="AO375" s="156">
        <v>663</v>
      </c>
      <c r="AP375" s="156">
        <v>746</v>
      </c>
      <c r="AQ375" s="156">
        <v>663</v>
      </c>
      <c r="AR375" s="156">
        <v>663</v>
      </c>
      <c r="AS375" s="156">
        <v>663</v>
      </c>
      <c r="AT375" s="156">
        <v>7529</v>
      </c>
      <c r="AU375" s="157">
        <v>627.41666666666663</v>
      </c>
      <c r="AV375" s="183"/>
      <c r="AW375" s="488">
        <v>611</v>
      </c>
      <c r="AX375" s="156">
        <v>885</v>
      </c>
      <c r="AY375" s="156">
        <v>659</v>
      </c>
      <c r="AZ375" s="156">
        <v>659</v>
      </c>
      <c r="BA375" s="156">
        <v>676</v>
      </c>
      <c r="BB375" s="156">
        <v>1127</v>
      </c>
      <c r="BC375" s="156">
        <v>1251</v>
      </c>
      <c r="BD375" s="156">
        <v>1036</v>
      </c>
      <c r="BE375" s="156">
        <v>1036</v>
      </c>
      <c r="BF375" s="156">
        <v>884</v>
      </c>
      <c r="BG375" s="156">
        <v>862</v>
      </c>
      <c r="BH375" s="156">
        <v>820</v>
      </c>
      <c r="BI375" s="156">
        <v>10506</v>
      </c>
      <c r="BJ375" s="157">
        <v>875.5</v>
      </c>
      <c r="BK375" s="183"/>
      <c r="BL375" s="488">
        <v>803</v>
      </c>
      <c r="BM375" s="156">
        <v>779</v>
      </c>
      <c r="BN375" s="156"/>
      <c r="BO375" s="156"/>
      <c r="BP375" s="156"/>
      <c r="BQ375" s="156"/>
      <c r="BR375" s="156"/>
      <c r="BS375" s="156"/>
      <c r="BT375" s="156"/>
      <c r="BU375" s="156"/>
      <c r="BV375" s="156"/>
      <c r="BW375" s="156"/>
      <c r="BX375" s="156">
        <f t="shared" si="266"/>
        <v>1582</v>
      </c>
      <c r="BY375" s="157">
        <f t="shared" si="275"/>
        <v>791</v>
      </c>
      <c r="CA375" s="169">
        <f>ROW()</f>
        <v>375</v>
      </c>
      <c r="CB375" s="442">
        <f t="shared" si="269"/>
        <v>-344</v>
      </c>
      <c r="CC375" s="171">
        <f t="shared" si="278"/>
        <v>0.55840821566110399</v>
      </c>
      <c r="CD375" s="169">
        <f t="shared" si="280"/>
        <v>-474</v>
      </c>
      <c r="CE375" s="171">
        <f t="shared" si="281"/>
        <v>0.70037926675094819</v>
      </c>
      <c r="CG375" s="3"/>
    </row>
    <row r="376" spans="1:86" s="61" customFormat="1" x14ac:dyDescent="0.55000000000000004">
      <c r="A376" s="7201"/>
      <c r="B376" s="7207"/>
      <c r="C376" s="76" t="s">
        <v>227</v>
      </c>
      <c r="D376" s="161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3"/>
      <c r="R376" s="57"/>
      <c r="S376" s="161">
        <v>654</v>
      </c>
      <c r="T376" s="162">
        <v>707</v>
      </c>
      <c r="U376" s="162">
        <v>662</v>
      </c>
      <c r="V376" s="162">
        <v>624</v>
      </c>
      <c r="W376" s="162">
        <v>677</v>
      </c>
      <c r="X376" s="162">
        <v>654</v>
      </c>
      <c r="Y376" s="162">
        <v>526</v>
      </c>
      <c r="Z376" s="162">
        <v>722</v>
      </c>
      <c r="AA376" s="162">
        <v>541</v>
      </c>
      <c r="AB376" s="162">
        <v>722</v>
      </c>
      <c r="AC376" s="162">
        <v>534</v>
      </c>
      <c r="AD376" s="162">
        <v>496</v>
      </c>
      <c r="AE376" s="162">
        <v>7519</v>
      </c>
      <c r="AF376" s="163">
        <v>626.58333333333337</v>
      </c>
      <c r="AG376" s="183"/>
      <c r="AH376" s="161">
        <v>673</v>
      </c>
      <c r="AI376" s="162">
        <v>497</v>
      </c>
      <c r="AJ376" s="162">
        <v>463</v>
      </c>
      <c r="AK376" s="162">
        <v>584</v>
      </c>
      <c r="AL376" s="162">
        <v>601</v>
      </c>
      <c r="AM376" s="162">
        <v>601</v>
      </c>
      <c r="AN376" s="162">
        <v>858</v>
      </c>
      <c r="AO376" s="162">
        <v>686</v>
      </c>
      <c r="AP376" s="162">
        <v>772</v>
      </c>
      <c r="AQ376" s="162">
        <v>686</v>
      </c>
      <c r="AR376" s="162">
        <v>686</v>
      </c>
      <c r="AS376" s="162">
        <v>686</v>
      </c>
      <c r="AT376" s="162">
        <v>7793</v>
      </c>
      <c r="AU376" s="163">
        <v>649.41666666666663</v>
      </c>
      <c r="AV376" s="183"/>
      <c r="AW376" s="487">
        <v>597</v>
      </c>
      <c r="AX376" s="162">
        <v>865</v>
      </c>
      <c r="AY376" s="162">
        <v>644</v>
      </c>
      <c r="AZ376" s="162">
        <v>644</v>
      </c>
      <c r="BA376" s="162">
        <v>660</v>
      </c>
      <c r="BB376" s="162">
        <v>1101</v>
      </c>
      <c r="BC376" s="162">
        <v>912</v>
      </c>
      <c r="BD376" s="162">
        <v>754</v>
      </c>
      <c r="BE376" s="162">
        <v>754</v>
      </c>
      <c r="BF376" s="162">
        <v>644</v>
      </c>
      <c r="BG376" s="162">
        <v>629</v>
      </c>
      <c r="BH376" s="162">
        <v>598</v>
      </c>
      <c r="BI376" s="162">
        <v>8802</v>
      </c>
      <c r="BJ376" s="163">
        <v>733.5</v>
      </c>
      <c r="BK376" s="183"/>
      <c r="BL376" s="487">
        <v>653</v>
      </c>
      <c r="BM376" s="162">
        <v>600</v>
      </c>
      <c r="BN376" s="162"/>
      <c r="BO376" s="162"/>
      <c r="BP376" s="162"/>
      <c r="BQ376" s="162"/>
      <c r="BR376" s="162"/>
      <c r="BS376" s="162"/>
      <c r="BT376" s="162"/>
      <c r="BU376" s="162"/>
      <c r="BV376" s="162"/>
      <c r="BW376" s="162"/>
      <c r="BX376" s="162">
        <f t="shared" si="266"/>
        <v>1253</v>
      </c>
      <c r="BY376" s="163">
        <f t="shared" si="275"/>
        <v>626.5</v>
      </c>
      <c r="CA376" s="169">
        <f>ROW()</f>
        <v>376</v>
      </c>
      <c r="CB376" s="442">
        <f t="shared" si="269"/>
        <v>-178</v>
      </c>
      <c r="CC376" s="171">
        <f t="shared" si="278"/>
        <v>0.70333333333333337</v>
      </c>
      <c r="CD376" s="169">
        <f t="shared" si="280"/>
        <v>-230</v>
      </c>
      <c r="CE376" s="171">
        <f t="shared" si="281"/>
        <v>0.81644054269752597</v>
      </c>
      <c r="CG376" s="3"/>
      <c r="CH376"/>
    </row>
    <row r="377" spans="1:86" s="61" customFormat="1" x14ac:dyDescent="0.55000000000000004">
      <c r="A377" s="7201"/>
      <c r="B377" s="7207"/>
      <c r="C377" s="68" t="s">
        <v>228</v>
      </c>
      <c r="D377" s="155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7"/>
      <c r="R377" s="57"/>
      <c r="S377" s="155">
        <v>583</v>
      </c>
      <c r="T377" s="156">
        <v>630</v>
      </c>
      <c r="U377" s="156">
        <v>590</v>
      </c>
      <c r="V377" s="156">
        <v>557</v>
      </c>
      <c r="W377" s="156">
        <v>604</v>
      </c>
      <c r="X377" s="156">
        <v>583</v>
      </c>
      <c r="Y377" s="156">
        <v>469</v>
      </c>
      <c r="Z377" s="156">
        <v>644</v>
      </c>
      <c r="AA377" s="156">
        <v>483</v>
      </c>
      <c r="AB377" s="156">
        <v>644</v>
      </c>
      <c r="AC377" s="156">
        <v>476</v>
      </c>
      <c r="AD377" s="156">
        <v>443</v>
      </c>
      <c r="AE377" s="156">
        <v>6706</v>
      </c>
      <c r="AF377" s="157">
        <v>558.83333333333337</v>
      </c>
      <c r="AG377" s="183"/>
      <c r="AH377" s="155">
        <v>611</v>
      </c>
      <c r="AI377" s="156">
        <v>452</v>
      </c>
      <c r="AJ377" s="156">
        <v>420</v>
      </c>
      <c r="AK377" s="156">
        <v>530</v>
      </c>
      <c r="AL377" s="156">
        <v>545</v>
      </c>
      <c r="AM377" s="156">
        <v>545</v>
      </c>
      <c r="AN377" s="156">
        <v>779</v>
      </c>
      <c r="AO377" s="156">
        <v>624</v>
      </c>
      <c r="AP377" s="156">
        <v>702</v>
      </c>
      <c r="AQ377" s="156">
        <v>624</v>
      </c>
      <c r="AR377" s="156">
        <v>624</v>
      </c>
      <c r="AS377" s="156">
        <v>624</v>
      </c>
      <c r="AT377" s="156">
        <v>7080</v>
      </c>
      <c r="AU377" s="157">
        <v>590</v>
      </c>
      <c r="AV377" s="183"/>
      <c r="AW377" s="488">
        <v>565</v>
      </c>
      <c r="AX377" s="156">
        <v>817</v>
      </c>
      <c r="AY377" s="156">
        <v>609</v>
      </c>
      <c r="AZ377" s="156">
        <v>609</v>
      </c>
      <c r="BA377" s="156">
        <v>624</v>
      </c>
      <c r="BB377" s="156">
        <v>1041</v>
      </c>
      <c r="BC377" s="156">
        <v>862</v>
      </c>
      <c r="BD377" s="156">
        <v>713</v>
      </c>
      <c r="BE377" s="156">
        <v>713</v>
      </c>
      <c r="BF377" s="156">
        <v>609</v>
      </c>
      <c r="BG377" s="156">
        <v>595</v>
      </c>
      <c r="BH377" s="156">
        <v>565</v>
      </c>
      <c r="BI377" s="156">
        <v>8322</v>
      </c>
      <c r="BJ377" s="157">
        <v>693.5</v>
      </c>
      <c r="BK377" s="183"/>
      <c r="BL377" s="488">
        <v>668</v>
      </c>
      <c r="BM377" s="156">
        <v>589</v>
      </c>
      <c r="BN377" s="156"/>
      <c r="BO377" s="156"/>
      <c r="BP377" s="156"/>
      <c r="BQ377" s="156"/>
      <c r="BR377" s="156"/>
      <c r="BS377" s="156"/>
      <c r="BT377" s="156"/>
      <c r="BU377" s="156"/>
      <c r="BV377" s="156"/>
      <c r="BW377" s="156"/>
      <c r="BX377" s="156">
        <f t="shared" si="266"/>
        <v>1257</v>
      </c>
      <c r="BY377" s="157">
        <f t="shared" si="275"/>
        <v>628.5</v>
      </c>
      <c r="CA377" s="169">
        <f>ROW()</f>
        <v>377</v>
      </c>
      <c r="CB377" s="442">
        <f t="shared" si="269"/>
        <v>-120</v>
      </c>
      <c r="CC377" s="171">
        <f t="shared" si="278"/>
        <v>0.79626485568760608</v>
      </c>
      <c r="CD377" s="169">
        <f t="shared" si="280"/>
        <v>-92</v>
      </c>
      <c r="CE377" s="171">
        <f t="shared" si="281"/>
        <v>0.92680986475735883</v>
      </c>
      <c r="CG377" s="3"/>
      <c r="CH377"/>
    </row>
    <row r="378" spans="1:86" s="61" customFormat="1" x14ac:dyDescent="0.55000000000000004">
      <c r="A378" s="7201"/>
      <c r="B378" s="7207"/>
      <c r="C378" s="76" t="s">
        <v>229</v>
      </c>
      <c r="D378" s="161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3"/>
      <c r="R378" s="57"/>
      <c r="S378" s="161">
        <v>452</v>
      </c>
      <c r="T378" s="162">
        <v>488</v>
      </c>
      <c r="U378" s="162">
        <v>457</v>
      </c>
      <c r="V378" s="162">
        <v>431</v>
      </c>
      <c r="W378" s="162">
        <v>468</v>
      </c>
      <c r="X378" s="162">
        <v>452</v>
      </c>
      <c r="Y378" s="162">
        <v>364</v>
      </c>
      <c r="Z378" s="162">
        <v>499</v>
      </c>
      <c r="AA378" s="162">
        <v>374</v>
      </c>
      <c r="AB378" s="162">
        <v>499</v>
      </c>
      <c r="AC378" s="162">
        <v>369</v>
      </c>
      <c r="AD378" s="162">
        <v>343</v>
      </c>
      <c r="AE378" s="162">
        <v>5196</v>
      </c>
      <c r="AF378" s="163">
        <v>433</v>
      </c>
      <c r="AG378" s="183"/>
      <c r="AH378" s="161">
        <v>547</v>
      </c>
      <c r="AI378" s="162">
        <v>404</v>
      </c>
      <c r="AJ378" s="162">
        <v>376</v>
      </c>
      <c r="AK378" s="162">
        <v>474</v>
      </c>
      <c r="AL378" s="162">
        <v>488</v>
      </c>
      <c r="AM378" s="162">
        <v>488</v>
      </c>
      <c r="AN378" s="162">
        <v>697</v>
      </c>
      <c r="AO378" s="162">
        <v>557</v>
      </c>
      <c r="AP378" s="162">
        <v>627</v>
      </c>
      <c r="AQ378" s="162">
        <v>557</v>
      </c>
      <c r="AR378" s="162">
        <v>557</v>
      </c>
      <c r="AS378" s="162">
        <v>557</v>
      </c>
      <c r="AT378" s="162">
        <v>6329</v>
      </c>
      <c r="AU378" s="163">
        <v>527.41666666666663</v>
      </c>
      <c r="AV378" s="183"/>
      <c r="AW378" s="487">
        <v>589</v>
      </c>
      <c r="AX378" s="162">
        <v>854</v>
      </c>
      <c r="AY378" s="162">
        <v>635</v>
      </c>
      <c r="AZ378" s="162">
        <v>635</v>
      </c>
      <c r="BA378" s="162">
        <v>650</v>
      </c>
      <c r="BB378" s="162">
        <v>1083</v>
      </c>
      <c r="BC378" s="162">
        <v>899</v>
      </c>
      <c r="BD378" s="162">
        <v>743</v>
      </c>
      <c r="BE378" s="162">
        <v>743</v>
      </c>
      <c r="BF378" s="162">
        <v>635</v>
      </c>
      <c r="BG378" s="162">
        <v>620</v>
      </c>
      <c r="BH378" s="162">
        <v>588</v>
      </c>
      <c r="BI378" s="162">
        <v>8674</v>
      </c>
      <c r="BJ378" s="163">
        <v>722.83333333333337</v>
      </c>
      <c r="BK378" s="183"/>
      <c r="BL378" s="487">
        <v>1006</v>
      </c>
      <c r="BM378" s="162">
        <v>781</v>
      </c>
      <c r="BN378" s="162"/>
      <c r="BO378" s="162"/>
      <c r="BP378" s="162"/>
      <c r="BQ378" s="162"/>
      <c r="BR378" s="162"/>
      <c r="BS378" s="162"/>
      <c r="BT378" s="162"/>
      <c r="BU378" s="162"/>
      <c r="BV378" s="162"/>
      <c r="BW378" s="162"/>
      <c r="BX378" s="162">
        <f t="shared" si="266"/>
        <v>1787</v>
      </c>
      <c r="BY378" s="163">
        <f t="shared" si="275"/>
        <v>893.5</v>
      </c>
      <c r="CA378" s="169">
        <f>ROW()</f>
        <v>378</v>
      </c>
      <c r="CB378" s="442">
        <f t="shared" si="269"/>
        <v>-165</v>
      </c>
      <c r="CC378" s="171">
        <f t="shared" si="278"/>
        <v>0.78873239436619713</v>
      </c>
      <c r="CD378" s="169">
        <f t="shared" si="280"/>
        <v>-402</v>
      </c>
      <c r="CE378" s="171">
        <f t="shared" si="281"/>
        <v>0.7750419697817571</v>
      </c>
      <c r="CG378" s="3"/>
      <c r="CH378"/>
    </row>
    <row r="379" spans="1:86" x14ac:dyDescent="0.55000000000000004">
      <c r="A379" s="7201"/>
      <c r="B379" s="7207"/>
      <c r="C379" s="67" t="s">
        <v>230</v>
      </c>
      <c r="D379" s="152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4"/>
      <c r="S379" s="152">
        <v>384</v>
      </c>
      <c r="T379" s="153">
        <v>415</v>
      </c>
      <c r="U379" s="153">
        <v>388</v>
      </c>
      <c r="V379" s="153">
        <v>366</v>
      </c>
      <c r="W379" s="153">
        <v>397</v>
      </c>
      <c r="X379" s="153">
        <v>384</v>
      </c>
      <c r="Y379" s="153">
        <v>309</v>
      </c>
      <c r="Z379" s="153">
        <v>424</v>
      </c>
      <c r="AA379" s="153">
        <v>318</v>
      </c>
      <c r="AB379" s="153">
        <v>424</v>
      </c>
      <c r="AC379" s="153">
        <v>313</v>
      </c>
      <c r="AD379" s="153">
        <v>291</v>
      </c>
      <c r="AE379" s="153">
        <v>4413</v>
      </c>
      <c r="AF379" s="154">
        <v>367.75</v>
      </c>
      <c r="AG379" s="183"/>
      <c r="AH379" s="152">
        <v>397</v>
      </c>
      <c r="AI379" s="153">
        <v>294</v>
      </c>
      <c r="AJ379" s="153">
        <v>274</v>
      </c>
      <c r="AK379" s="153">
        <v>344</v>
      </c>
      <c r="AL379" s="153">
        <v>355</v>
      </c>
      <c r="AM379" s="153">
        <v>355</v>
      </c>
      <c r="AN379" s="153">
        <v>506</v>
      </c>
      <c r="AO379" s="153">
        <v>404</v>
      </c>
      <c r="AP379" s="153">
        <v>455</v>
      </c>
      <c r="AQ379" s="153">
        <v>404</v>
      </c>
      <c r="AR379" s="153">
        <v>404</v>
      </c>
      <c r="AS379" s="153">
        <v>404</v>
      </c>
      <c r="AT379" s="153">
        <v>4596</v>
      </c>
      <c r="AU379" s="154">
        <v>383</v>
      </c>
      <c r="AV379" s="183"/>
      <c r="AW379" s="487">
        <v>360</v>
      </c>
      <c r="AX379" s="153">
        <v>522</v>
      </c>
      <c r="AY379" s="153">
        <v>388</v>
      </c>
      <c r="AZ379" s="153">
        <v>388</v>
      </c>
      <c r="BA379" s="153">
        <v>398</v>
      </c>
      <c r="BB379" s="153">
        <v>663</v>
      </c>
      <c r="BC379" s="153">
        <v>550</v>
      </c>
      <c r="BD379" s="153">
        <v>454</v>
      </c>
      <c r="BE379" s="153">
        <v>454</v>
      </c>
      <c r="BF379" s="153">
        <v>388</v>
      </c>
      <c r="BG379" s="153">
        <v>380</v>
      </c>
      <c r="BH379" s="153">
        <v>360</v>
      </c>
      <c r="BI379" s="153">
        <v>5305</v>
      </c>
      <c r="BJ379" s="154">
        <v>442.08333333333331</v>
      </c>
      <c r="BK379" s="183"/>
      <c r="BL379" s="487">
        <v>412</v>
      </c>
      <c r="BM379" s="153">
        <v>377</v>
      </c>
      <c r="BN379" s="153"/>
      <c r="BO379" s="153"/>
      <c r="BP379" s="153"/>
      <c r="BQ379" s="153"/>
      <c r="BR379" s="153"/>
      <c r="BS379" s="153"/>
      <c r="BT379" s="153"/>
      <c r="BU379" s="153"/>
      <c r="BV379" s="153"/>
      <c r="BW379" s="153"/>
      <c r="BX379" s="153">
        <f t="shared" si="266"/>
        <v>789</v>
      </c>
      <c r="BY379" s="154">
        <f t="shared" si="275"/>
        <v>394.5</v>
      </c>
      <c r="CA379" s="169">
        <f>ROW()</f>
        <v>379</v>
      </c>
      <c r="CB379" s="442">
        <f t="shared" si="269"/>
        <v>-135</v>
      </c>
      <c r="CC379" s="171">
        <f t="shared" si="278"/>
        <v>0.64190981432360739</v>
      </c>
      <c r="CD379" s="169">
        <f t="shared" si="280"/>
        <v>-39</v>
      </c>
      <c r="CE379" s="171">
        <f t="shared" si="281"/>
        <v>0.95057034220532322</v>
      </c>
      <c r="CG379" s="3"/>
    </row>
    <row r="380" spans="1:86" x14ac:dyDescent="0.55000000000000004">
      <c r="A380" s="7201"/>
      <c r="B380" s="7207"/>
      <c r="C380" s="68" t="s">
        <v>231</v>
      </c>
      <c r="D380" s="155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7"/>
      <c r="S380" s="155">
        <v>424</v>
      </c>
      <c r="T380" s="156">
        <v>458</v>
      </c>
      <c r="U380" s="156">
        <v>429</v>
      </c>
      <c r="V380" s="156">
        <v>404</v>
      </c>
      <c r="W380" s="156">
        <v>439</v>
      </c>
      <c r="X380" s="156">
        <v>424</v>
      </c>
      <c r="Y380" s="156">
        <v>341</v>
      </c>
      <c r="Z380" s="156">
        <v>468</v>
      </c>
      <c r="AA380" s="156">
        <v>351</v>
      </c>
      <c r="AB380" s="156">
        <v>468</v>
      </c>
      <c r="AC380" s="156">
        <v>346</v>
      </c>
      <c r="AD380" s="156">
        <v>322</v>
      </c>
      <c r="AE380" s="156">
        <v>4874</v>
      </c>
      <c r="AF380" s="157">
        <v>406.16666666666669</v>
      </c>
      <c r="AG380" s="183"/>
      <c r="AH380" s="155">
        <v>524</v>
      </c>
      <c r="AI380" s="156">
        <v>387</v>
      </c>
      <c r="AJ380" s="156">
        <v>361</v>
      </c>
      <c r="AK380" s="156">
        <v>454</v>
      </c>
      <c r="AL380" s="156">
        <v>467</v>
      </c>
      <c r="AM380" s="156">
        <v>467</v>
      </c>
      <c r="AN380" s="156">
        <v>667</v>
      </c>
      <c r="AO380" s="156">
        <v>535</v>
      </c>
      <c r="AP380" s="156">
        <v>601</v>
      </c>
      <c r="AQ380" s="156">
        <v>535</v>
      </c>
      <c r="AR380" s="156">
        <v>535</v>
      </c>
      <c r="AS380" s="156">
        <v>535</v>
      </c>
      <c r="AT380" s="156">
        <v>6068</v>
      </c>
      <c r="AU380" s="157">
        <v>505.66666666666669</v>
      </c>
      <c r="AV380" s="183"/>
      <c r="AW380" s="488">
        <v>555</v>
      </c>
      <c r="AX380" s="156">
        <v>802</v>
      </c>
      <c r="AY380" s="156">
        <v>599</v>
      </c>
      <c r="AZ380" s="156">
        <v>599</v>
      </c>
      <c r="BA380" s="156">
        <v>613</v>
      </c>
      <c r="BB380" s="156">
        <v>1024</v>
      </c>
      <c r="BC380" s="156">
        <v>847</v>
      </c>
      <c r="BD380" s="156">
        <v>701</v>
      </c>
      <c r="BE380" s="156">
        <v>701</v>
      </c>
      <c r="BF380" s="156">
        <v>599</v>
      </c>
      <c r="BG380" s="156">
        <v>584</v>
      </c>
      <c r="BH380" s="156">
        <v>556</v>
      </c>
      <c r="BI380" s="156">
        <v>8180</v>
      </c>
      <c r="BJ380" s="157">
        <v>681.66666666666663</v>
      </c>
      <c r="BK380" s="183"/>
      <c r="BL380" s="488">
        <v>582</v>
      </c>
      <c r="BM380" s="156">
        <v>544</v>
      </c>
      <c r="BN380" s="156"/>
      <c r="BO380" s="156"/>
      <c r="BP380" s="156"/>
      <c r="BQ380" s="156"/>
      <c r="BR380" s="156"/>
      <c r="BS380" s="156"/>
      <c r="BT380" s="156"/>
      <c r="BU380" s="156"/>
      <c r="BV380" s="156"/>
      <c r="BW380" s="156"/>
      <c r="BX380" s="156">
        <f t="shared" si="266"/>
        <v>1126</v>
      </c>
      <c r="BY380" s="157">
        <f t="shared" si="275"/>
        <v>563</v>
      </c>
      <c r="CA380" s="169">
        <f>ROW()</f>
        <v>380</v>
      </c>
      <c r="CB380" s="442">
        <f t="shared" si="269"/>
        <v>-105</v>
      </c>
      <c r="CC380" s="171">
        <f t="shared" si="278"/>
        <v>0.80698529411764708</v>
      </c>
      <c r="CD380" s="169">
        <f t="shared" si="280"/>
        <v>-251</v>
      </c>
      <c r="CE380" s="171">
        <f t="shared" si="281"/>
        <v>0.77708703374777977</v>
      </c>
      <c r="CG380" s="3"/>
    </row>
    <row r="381" spans="1:86" ht="18" thickBot="1" x14ac:dyDescent="0.6">
      <c r="A381" s="7202"/>
      <c r="B381" s="7208"/>
      <c r="C381" s="77" t="s">
        <v>232</v>
      </c>
      <c r="D381" s="164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6"/>
      <c r="S381" s="164">
        <v>339</v>
      </c>
      <c r="T381" s="165">
        <v>367</v>
      </c>
      <c r="U381" s="165">
        <v>343</v>
      </c>
      <c r="V381" s="165">
        <v>324</v>
      </c>
      <c r="W381" s="165">
        <v>350</v>
      </c>
      <c r="X381" s="165">
        <v>340</v>
      </c>
      <c r="Y381" s="165">
        <v>274</v>
      </c>
      <c r="Z381" s="165">
        <v>373</v>
      </c>
      <c r="AA381" s="165">
        <v>281</v>
      </c>
      <c r="AB381" s="165">
        <v>373</v>
      </c>
      <c r="AC381" s="165">
        <v>277</v>
      </c>
      <c r="AD381" s="165">
        <v>257</v>
      </c>
      <c r="AE381" s="165">
        <v>3898</v>
      </c>
      <c r="AF381" s="166">
        <v>324.83333333333331</v>
      </c>
      <c r="AG381" s="183"/>
      <c r="AH381" s="164">
        <v>364</v>
      </c>
      <c r="AI381" s="165">
        <v>270</v>
      </c>
      <c r="AJ381" s="165">
        <v>251</v>
      </c>
      <c r="AK381" s="165">
        <v>315</v>
      </c>
      <c r="AL381" s="165">
        <v>326</v>
      </c>
      <c r="AM381" s="165">
        <v>326</v>
      </c>
      <c r="AN381" s="165">
        <v>466</v>
      </c>
      <c r="AO381" s="165">
        <v>373</v>
      </c>
      <c r="AP381" s="165">
        <v>419</v>
      </c>
      <c r="AQ381" s="165">
        <v>373</v>
      </c>
      <c r="AR381" s="165">
        <v>373</v>
      </c>
      <c r="AS381" s="165">
        <v>373</v>
      </c>
      <c r="AT381" s="165">
        <v>4229</v>
      </c>
      <c r="AU381" s="166">
        <v>352.41666666666669</v>
      </c>
      <c r="AV381" s="183"/>
      <c r="AW381" s="490">
        <v>316</v>
      </c>
      <c r="AX381" s="165">
        <v>456</v>
      </c>
      <c r="AY381" s="165">
        <v>341</v>
      </c>
      <c r="AZ381" s="165">
        <v>341</v>
      </c>
      <c r="BA381" s="165">
        <v>349</v>
      </c>
      <c r="BB381" s="165">
        <v>576</v>
      </c>
      <c r="BC381" s="165">
        <v>479</v>
      </c>
      <c r="BD381" s="165">
        <v>399</v>
      </c>
      <c r="BE381" s="165">
        <v>399</v>
      </c>
      <c r="BF381" s="165">
        <v>341</v>
      </c>
      <c r="BG381" s="165">
        <v>330</v>
      </c>
      <c r="BH381" s="165">
        <v>313</v>
      </c>
      <c r="BI381" s="165">
        <v>4640</v>
      </c>
      <c r="BJ381" s="166">
        <v>386.66666666666669</v>
      </c>
      <c r="BK381" s="183"/>
      <c r="BL381" s="490">
        <v>376</v>
      </c>
      <c r="BM381" s="165">
        <v>330</v>
      </c>
      <c r="BN381" s="165"/>
      <c r="BO381" s="165"/>
      <c r="BP381" s="165"/>
      <c r="BQ381" s="165"/>
      <c r="BR381" s="165"/>
      <c r="BS381" s="165"/>
      <c r="BT381" s="165"/>
      <c r="BU381" s="165"/>
      <c r="BV381" s="165"/>
      <c r="BW381" s="165"/>
      <c r="BX381" s="165">
        <f t="shared" si="266"/>
        <v>706</v>
      </c>
      <c r="BY381" s="166">
        <f t="shared" si="275"/>
        <v>353</v>
      </c>
      <c r="CA381" s="169">
        <f>ROW()</f>
        <v>381</v>
      </c>
      <c r="CB381" s="442">
        <f t="shared" si="269"/>
        <v>-121</v>
      </c>
      <c r="CC381" s="171">
        <f t="shared" si="278"/>
        <v>0.6333333333333333</v>
      </c>
      <c r="CD381" s="169">
        <f t="shared" si="280"/>
        <v>-191</v>
      </c>
      <c r="CE381" s="171">
        <f t="shared" si="281"/>
        <v>0.72946175637393773</v>
      </c>
      <c r="CG381" s="3"/>
    </row>
    <row r="382" spans="1:86" hidden="1" x14ac:dyDescent="0.55000000000000004">
      <c r="AH382" s="396"/>
      <c r="AI382" s="396"/>
      <c r="AJ382" s="396"/>
      <c r="AK382" s="396"/>
      <c r="AL382" s="396"/>
      <c r="AM382" s="396"/>
      <c r="AN382" s="396"/>
      <c r="AO382" s="396"/>
      <c r="AP382" s="396"/>
      <c r="AR382" s="396"/>
      <c r="AS382" s="396"/>
      <c r="BY382" s="396" t="e">
        <f t="shared" si="275"/>
        <v>#DIV/0!</v>
      </c>
    </row>
    <row r="383" spans="1:86" hidden="1" x14ac:dyDescent="0.55000000000000004">
      <c r="A383" s="7194" t="s">
        <v>958</v>
      </c>
      <c r="B383" s="285" t="s">
        <v>578</v>
      </c>
      <c r="C383" s="288"/>
      <c r="D383" s="289">
        <v>0.94743890190826918</v>
      </c>
      <c r="E383" s="290">
        <v>0.95712861415752737</v>
      </c>
      <c r="F383" s="290">
        <v>0.94517958412098302</v>
      </c>
      <c r="G383" s="290">
        <v>0.95899970921779587</v>
      </c>
      <c r="H383" s="290">
        <v>0.9622802041973908</v>
      </c>
      <c r="I383" s="290">
        <v>0.96061395887633938</v>
      </c>
      <c r="J383" s="290">
        <v>0.9560925799863853</v>
      </c>
      <c r="K383" s="290">
        <v>0.9611476389719068</v>
      </c>
      <c r="L383" s="290">
        <v>0.94531784005468211</v>
      </c>
      <c r="M383" s="290">
        <v>0.94705354472031111</v>
      </c>
      <c r="N383" s="290">
        <v>0.93760262725779964</v>
      </c>
      <c r="O383" s="290">
        <v>0.93287827076222984</v>
      </c>
      <c r="P383" s="290"/>
      <c r="Q383" s="291"/>
      <c r="R383" s="469"/>
      <c r="S383" s="289"/>
      <c r="T383" s="290"/>
      <c r="U383" s="290"/>
      <c r="V383" s="290"/>
      <c r="W383" s="290"/>
      <c r="X383" s="290"/>
      <c r="Y383" s="290"/>
      <c r="Z383" s="290"/>
      <c r="AA383" s="290"/>
      <c r="AB383" s="290"/>
      <c r="AC383" s="290"/>
      <c r="AD383" s="290"/>
      <c r="AE383" s="290"/>
      <c r="AF383" s="291"/>
      <c r="AG383" s="469"/>
      <c r="AH383" s="289">
        <v>0.90700000000000003</v>
      </c>
      <c r="AI383" s="290">
        <v>0.90700000000000003</v>
      </c>
      <c r="AJ383" s="290">
        <v>0.90700000000000003</v>
      </c>
      <c r="AK383" s="290">
        <v>0.90700000000000003</v>
      </c>
      <c r="AL383" s="290">
        <v>0.90700000000000003</v>
      </c>
      <c r="AM383" s="309">
        <v>0.90700000000000003</v>
      </c>
      <c r="AN383" s="309">
        <v>0.90700000000000003</v>
      </c>
      <c r="AO383" s="309">
        <v>0.90700000000000003</v>
      </c>
      <c r="AP383" s="309">
        <v>0.90700000000000003</v>
      </c>
      <c r="AQ383" s="309">
        <v>0.90700000000000003</v>
      </c>
      <c r="AR383" s="309">
        <v>0.90700000000000003</v>
      </c>
      <c r="AS383" s="309">
        <v>0.90700000000000003</v>
      </c>
      <c r="AT383" s="290">
        <v>0.90700000000000003</v>
      </c>
      <c r="AU383" s="291">
        <v>0.90700000000000003</v>
      </c>
      <c r="AW383" s="518"/>
      <c r="AX383" s="290"/>
      <c r="AY383" s="290"/>
      <c r="AZ383" s="290"/>
      <c r="BA383" s="312"/>
      <c r="BB383" s="312"/>
      <c r="BC383" s="312"/>
      <c r="BD383" s="312"/>
      <c r="BE383" s="312"/>
      <c r="BF383" s="312"/>
      <c r="BG383" s="429"/>
      <c r="BH383" s="429"/>
      <c r="BI383" s="290"/>
      <c r="BJ383" s="291"/>
      <c r="BL383" s="518"/>
      <c r="BM383" s="290"/>
      <c r="BN383" s="290"/>
      <c r="BO383" s="290"/>
      <c r="BP383" s="312"/>
      <c r="BQ383" s="312"/>
      <c r="BR383" s="312"/>
      <c r="BS383" s="312"/>
      <c r="BT383" s="312"/>
      <c r="BU383" s="312"/>
      <c r="BV383" s="429"/>
      <c r="BW383" s="429"/>
      <c r="BX383" s="290"/>
      <c r="BY383" s="291" t="e">
        <f t="shared" si="275"/>
        <v>#DIV/0!</v>
      </c>
      <c r="CB383" s="528"/>
      <c r="CC383" s="529"/>
      <c r="CD383" s="529"/>
      <c r="CE383" s="529"/>
    </row>
    <row r="384" spans="1:86" ht="17.5" hidden="1" customHeight="1" x14ac:dyDescent="0.55000000000000004">
      <c r="A384" s="7195"/>
      <c r="B384" s="286"/>
      <c r="C384" s="292" t="s">
        <v>405</v>
      </c>
      <c r="D384" s="217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9"/>
      <c r="R384" s="469"/>
      <c r="S384" s="217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9"/>
      <c r="AG384" s="469"/>
      <c r="AH384" s="217"/>
      <c r="AI384" s="218"/>
      <c r="AJ384" s="218"/>
      <c r="AK384" s="218"/>
      <c r="AL384" s="313"/>
      <c r="AM384" s="313"/>
      <c r="AN384" s="313"/>
      <c r="AO384" s="313"/>
      <c r="AP384" s="313"/>
      <c r="AQ384" s="313"/>
      <c r="AR384" s="430"/>
      <c r="AS384" s="430"/>
      <c r="AT384" s="218"/>
      <c r="AU384" s="219"/>
      <c r="AW384" s="507"/>
      <c r="AX384" s="218"/>
      <c r="AY384" s="218"/>
      <c r="AZ384" s="218"/>
      <c r="BA384" s="313"/>
      <c r="BB384" s="313"/>
      <c r="BC384" s="313"/>
      <c r="BD384" s="313"/>
      <c r="BE384" s="313"/>
      <c r="BF384" s="313"/>
      <c r="BG384" s="430"/>
      <c r="BH384" s="430"/>
      <c r="BI384" s="218"/>
      <c r="BJ384" s="219"/>
      <c r="BL384" s="507"/>
      <c r="BM384" s="218"/>
      <c r="BN384" s="218"/>
      <c r="BO384" s="218"/>
      <c r="BP384" s="313"/>
      <c r="BQ384" s="313"/>
      <c r="BR384" s="313"/>
      <c r="BS384" s="313"/>
      <c r="BT384" s="313"/>
      <c r="BU384" s="313"/>
      <c r="BV384" s="430"/>
      <c r="BW384" s="430"/>
      <c r="BX384" s="218"/>
      <c r="BY384" s="219" t="e">
        <f t="shared" si="275"/>
        <v>#DIV/0!</v>
      </c>
      <c r="CB384" s="528"/>
      <c r="CC384" s="529"/>
      <c r="CD384" s="529"/>
      <c r="CE384" s="529"/>
    </row>
    <row r="385" spans="1:83" ht="17.5" hidden="1" customHeight="1" x14ac:dyDescent="0.55000000000000004">
      <c r="A385" s="7195"/>
      <c r="B385" s="286"/>
      <c r="C385" s="292" t="s">
        <v>1016</v>
      </c>
      <c r="D385" s="217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9"/>
      <c r="R385" s="469"/>
      <c r="S385" s="217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9"/>
      <c r="AG385" s="469"/>
      <c r="AH385" s="217"/>
      <c r="AI385" s="218"/>
      <c r="AJ385" s="218"/>
      <c r="AK385" s="218"/>
      <c r="AL385" s="313"/>
      <c r="AM385" s="313"/>
      <c r="AN385" s="313"/>
      <c r="AO385" s="313"/>
      <c r="AP385" s="313"/>
      <c r="AQ385" s="313"/>
      <c r="AR385" s="430"/>
      <c r="AS385" s="430"/>
      <c r="AT385" s="218"/>
      <c r="AU385" s="219"/>
      <c r="AW385" s="507"/>
      <c r="AX385" s="218"/>
      <c r="AY385" s="218"/>
      <c r="AZ385" s="218"/>
      <c r="BA385" s="313"/>
      <c r="BB385" s="313"/>
      <c r="BC385" s="313"/>
      <c r="BD385" s="313"/>
      <c r="BE385" s="313"/>
      <c r="BF385" s="313"/>
      <c r="BG385" s="430"/>
      <c r="BH385" s="430"/>
      <c r="BI385" s="218"/>
      <c r="BJ385" s="219"/>
      <c r="BL385" s="507"/>
      <c r="BM385" s="218"/>
      <c r="BN385" s="218"/>
      <c r="BO385" s="218"/>
      <c r="BP385" s="313"/>
      <c r="BQ385" s="313"/>
      <c r="BR385" s="313"/>
      <c r="BS385" s="313"/>
      <c r="BT385" s="313"/>
      <c r="BU385" s="313"/>
      <c r="BV385" s="430"/>
      <c r="BW385" s="430"/>
      <c r="BX385" s="218"/>
      <c r="BY385" s="219" t="e">
        <f t="shared" si="275"/>
        <v>#DIV/0!</v>
      </c>
      <c r="CB385" s="528"/>
      <c r="CC385" s="529"/>
      <c r="CD385" s="529"/>
      <c r="CE385" s="529"/>
    </row>
    <row r="386" spans="1:83" ht="17.5" hidden="1" customHeight="1" x14ac:dyDescent="0.55000000000000004">
      <c r="A386" s="7195"/>
      <c r="B386" s="286"/>
      <c r="C386" s="292" t="s">
        <v>407</v>
      </c>
      <c r="D386" s="217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9"/>
      <c r="R386" s="469"/>
      <c r="S386" s="217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9"/>
      <c r="AG386" s="469"/>
      <c r="AH386" s="217"/>
      <c r="AI386" s="218"/>
      <c r="AJ386" s="218"/>
      <c r="AK386" s="218"/>
      <c r="AL386" s="313"/>
      <c r="AM386" s="313"/>
      <c r="AN386" s="313"/>
      <c r="AO386" s="313"/>
      <c r="AP386" s="313"/>
      <c r="AQ386" s="313"/>
      <c r="AR386" s="430"/>
      <c r="AS386" s="430"/>
      <c r="AT386" s="218"/>
      <c r="AU386" s="219"/>
      <c r="AW386" s="507"/>
      <c r="AX386" s="218"/>
      <c r="AY386" s="218"/>
      <c r="AZ386" s="218"/>
      <c r="BA386" s="313"/>
      <c r="BB386" s="313"/>
      <c r="BC386" s="313"/>
      <c r="BD386" s="313"/>
      <c r="BE386" s="313"/>
      <c r="BF386" s="313"/>
      <c r="BG386" s="430"/>
      <c r="BH386" s="430"/>
      <c r="BI386" s="218"/>
      <c r="BJ386" s="219"/>
      <c r="BL386" s="507"/>
      <c r="BM386" s="218"/>
      <c r="BN386" s="218"/>
      <c r="BO386" s="218"/>
      <c r="BP386" s="313"/>
      <c r="BQ386" s="313"/>
      <c r="BR386" s="313"/>
      <c r="BS386" s="313"/>
      <c r="BT386" s="313"/>
      <c r="BU386" s="313"/>
      <c r="BV386" s="430"/>
      <c r="BW386" s="430"/>
      <c r="BX386" s="218"/>
      <c r="BY386" s="219" t="e">
        <f t="shared" si="275"/>
        <v>#DIV/0!</v>
      </c>
      <c r="CB386" s="528"/>
      <c r="CC386" s="529"/>
      <c r="CD386" s="529"/>
      <c r="CE386" s="529"/>
    </row>
    <row r="387" spans="1:83" ht="18" hidden="1" customHeight="1" thickBot="1" x14ac:dyDescent="0.55000000000000004">
      <c r="A387" s="7195"/>
      <c r="B387" s="287"/>
      <c r="C387" s="293" t="s">
        <v>875</v>
      </c>
      <c r="D387" s="294"/>
      <c r="E387" s="295"/>
      <c r="F387" s="295"/>
      <c r="G387" s="295"/>
      <c r="H387" s="295"/>
      <c r="I387" s="295"/>
      <c r="J387" s="295"/>
      <c r="K387" s="295"/>
      <c r="L387" s="295"/>
      <c r="M387" s="295"/>
      <c r="N387" s="295"/>
      <c r="O387" s="295"/>
      <c r="P387" s="295"/>
      <c r="Q387" s="296"/>
      <c r="R387" s="469"/>
      <c r="S387" s="294"/>
      <c r="T387" s="295"/>
      <c r="U387" s="295"/>
      <c r="V387" s="295"/>
      <c r="W387" s="295"/>
      <c r="X387" s="295"/>
      <c r="Y387" s="295"/>
      <c r="Z387" s="295"/>
      <c r="AA387" s="295"/>
      <c r="AB387" s="295"/>
      <c r="AC387" s="295"/>
      <c r="AD387" s="295"/>
      <c r="AE387" s="295"/>
      <c r="AF387" s="296"/>
      <c r="AG387" s="469"/>
      <c r="AH387" s="294"/>
      <c r="AI387" s="295"/>
      <c r="AJ387" s="295"/>
      <c r="AK387" s="295"/>
      <c r="AL387" s="314"/>
      <c r="AM387" s="314"/>
      <c r="AN387" s="314"/>
      <c r="AO387" s="314"/>
      <c r="AP387" s="314"/>
      <c r="AQ387" s="314"/>
      <c r="AR387" s="431"/>
      <c r="AS387" s="431"/>
      <c r="AT387" s="295"/>
      <c r="AU387" s="296"/>
      <c r="AW387" s="508"/>
      <c r="AX387" s="295"/>
      <c r="AY387" s="295"/>
      <c r="AZ387" s="295"/>
      <c r="BA387" s="314"/>
      <c r="BB387" s="314"/>
      <c r="BC387" s="314"/>
      <c r="BD387" s="314"/>
      <c r="BE387" s="314"/>
      <c r="BF387" s="314"/>
      <c r="BG387" s="431"/>
      <c r="BH387" s="431"/>
      <c r="BI387" s="295"/>
      <c r="BJ387" s="296"/>
      <c r="BL387" s="508"/>
      <c r="BM387" s="295"/>
      <c r="BN387" s="295"/>
      <c r="BO387" s="295"/>
      <c r="BP387" s="314"/>
      <c r="BQ387" s="314"/>
      <c r="BR387" s="314"/>
      <c r="BS387" s="314"/>
      <c r="BT387" s="314"/>
      <c r="BU387" s="314"/>
      <c r="BV387" s="431"/>
      <c r="BW387" s="431"/>
      <c r="BX387" s="295"/>
      <c r="BY387" s="296" t="e">
        <f t="shared" si="275"/>
        <v>#DIV/0!</v>
      </c>
      <c r="CB387" s="528"/>
      <c r="CC387" s="529"/>
      <c r="CD387" s="529"/>
      <c r="CE387" s="529"/>
    </row>
    <row r="388" spans="1:83" ht="17.05" hidden="1" customHeight="1" x14ac:dyDescent="0.55000000000000004">
      <c r="A388" s="7195"/>
      <c r="B388" s="297" t="s">
        <v>431</v>
      </c>
      <c r="C388" s="298"/>
      <c r="D388" s="232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4"/>
      <c r="R388" s="469"/>
      <c r="S388" s="232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4"/>
      <c r="AG388" s="469"/>
      <c r="AH388" s="232"/>
      <c r="AI388" s="233"/>
      <c r="AJ388" s="233"/>
      <c r="AK388" s="233"/>
      <c r="AL388" s="315"/>
      <c r="AM388" s="315"/>
      <c r="AN388" s="386"/>
      <c r="AO388" s="386"/>
      <c r="AP388" s="386"/>
      <c r="AQ388" s="412"/>
      <c r="AR388" s="433"/>
      <c r="AS388" s="433"/>
      <c r="AT388" s="233"/>
      <c r="AU388" s="234"/>
      <c r="AW388" s="509"/>
      <c r="AX388" s="233"/>
      <c r="AY388" s="233"/>
      <c r="AZ388" s="233"/>
      <c r="BA388" s="315"/>
      <c r="BB388" s="315"/>
      <c r="BC388" s="386"/>
      <c r="BD388" s="386"/>
      <c r="BE388" s="386"/>
      <c r="BF388" s="412"/>
      <c r="BG388" s="433"/>
      <c r="BH388" s="433"/>
      <c r="BI388" s="233"/>
      <c r="BJ388" s="234"/>
      <c r="BL388" s="509"/>
      <c r="BM388" s="233"/>
      <c r="BN388" s="233"/>
      <c r="BO388" s="233"/>
      <c r="BP388" s="315"/>
      <c r="BQ388" s="315"/>
      <c r="BR388" s="386"/>
      <c r="BS388" s="386"/>
      <c r="BT388" s="386"/>
      <c r="BU388" s="412"/>
      <c r="BV388" s="433"/>
      <c r="BW388" s="433"/>
      <c r="BX388" s="233"/>
      <c r="BY388" s="234" t="e">
        <f t="shared" si="275"/>
        <v>#DIV/0!</v>
      </c>
      <c r="CB388" s="528"/>
      <c r="CC388" s="529"/>
      <c r="CD388" s="529"/>
      <c r="CE388" s="529"/>
    </row>
    <row r="389" spans="1:83" ht="17.05" hidden="1" customHeight="1" x14ac:dyDescent="0.55000000000000004">
      <c r="A389" s="7195"/>
      <c r="B389" s="18"/>
      <c r="C389" s="299" t="s">
        <v>19</v>
      </c>
      <c r="D389" s="223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5"/>
      <c r="R389" s="469"/>
      <c r="S389" s="223"/>
      <c r="T389" s="224"/>
      <c r="U389" s="224"/>
      <c r="V389" s="224"/>
      <c r="W389" s="224"/>
      <c r="X389" s="224"/>
      <c r="Y389" s="224"/>
      <c r="Z389" s="224"/>
      <c r="AA389" s="224"/>
      <c r="AB389" s="224"/>
      <c r="AC389" s="224"/>
      <c r="AD389" s="224"/>
      <c r="AE389" s="224"/>
      <c r="AF389" s="225"/>
      <c r="AG389" s="469"/>
      <c r="AH389" s="223"/>
      <c r="AI389" s="224"/>
      <c r="AJ389" s="224"/>
      <c r="AK389" s="224"/>
      <c r="AL389" s="316"/>
      <c r="AM389" s="316"/>
      <c r="AN389" s="387"/>
      <c r="AO389" s="387"/>
      <c r="AP389" s="409"/>
      <c r="AQ389" s="421"/>
      <c r="AR389" s="434"/>
      <c r="AS389" s="434"/>
      <c r="AT389" s="224"/>
      <c r="AU389" s="225"/>
      <c r="AW389" s="510"/>
      <c r="AX389" s="224"/>
      <c r="AY389" s="224"/>
      <c r="AZ389" s="224"/>
      <c r="BA389" s="316"/>
      <c r="BB389" s="316"/>
      <c r="BC389" s="387">
        <v>0.56999999999999995</v>
      </c>
      <c r="BD389" s="387">
        <v>0.56999999999999995</v>
      </c>
      <c r="BE389" s="409">
        <v>0.56999999999999995</v>
      </c>
      <c r="BF389" s="421">
        <v>0.56999999999999995</v>
      </c>
      <c r="BG389" s="434">
        <v>0.56999999999999995</v>
      </c>
      <c r="BH389" s="434"/>
      <c r="BI389" s="224"/>
      <c r="BJ389" s="225"/>
      <c r="BL389" s="510"/>
      <c r="BM389" s="224"/>
      <c r="BN389" s="224"/>
      <c r="BO389" s="224"/>
      <c r="BP389" s="316"/>
      <c r="BQ389" s="316"/>
      <c r="BR389" s="387"/>
      <c r="BS389" s="387"/>
      <c r="BT389" s="409"/>
      <c r="BU389" s="421"/>
      <c r="BV389" s="434"/>
      <c r="BW389" s="434"/>
      <c r="BX389" s="224"/>
      <c r="BY389" s="225" t="e">
        <f t="shared" si="275"/>
        <v>#DIV/0!</v>
      </c>
      <c r="CB389" s="528"/>
      <c r="CC389" s="529"/>
      <c r="CD389" s="529"/>
      <c r="CE389" s="529"/>
    </row>
    <row r="390" spans="1:83" ht="17.05" hidden="1" customHeight="1" x14ac:dyDescent="0.55000000000000004">
      <c r="A390" s="7195"/>
      <c r="B390" s="18"/>
      <c r="C390" s="299" t="s">
        <v>1016</v>
      </c>
      <c r="D390" s="223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5"/>
      <c r="R390" s="469"/>
      <c r="S390" s="223"/>
      <c r="T390" s="224"/>
      <c r="U390" s="224"/>
      <c r="V390" s="224"/>
      <c r="W390" s="224"/>
      <c r="X390" s="224"/>
      <c r="Y390" s="224"/>
      <c r="Z390" s="224"/>
      <c r="AA390" s="224"/>
      <c r="AB390" s="224"/>
      <c r="AC390" s="224"/>
      <c r="AD390" s="224"/>
      <c r="AE390" s="224"/>
      <c r="AF390" s="225"/>
      <c r="AG390" s="469"/>
      <c r="AH390" s="223"/>
      <c r="AI390" s="224"/>
      <c r="AJ390" s="224"/>
      <c r="AK390" s="224"/>
      <c r="AL390" s="316"/>
      <c r="AM390" s="316"/>
      <c r="AN390" s="387"/>
      <c r="AO390" s="387"/>
      <c r="AP390" s="409"/>
      <c r="AQ390" s="421"/>
      <c r="AR390" s="434"/>
      <c r="AS390" s="434"/>
      <c r="AT390" s="224"/>
      <c r="AU390" s="225"/>
      <c r="AW390" s="510"/>
      <c r="AX390" s="224"/>
      <c r="AY390" s="224"/>
      <c r="AZ390" s="224"/>
      <c r="BA390" s="316"/>
      <c r="BB390" s="316"/>
      <c r="BC390" s="387">
        <v>0.3</v>
      </c>
      <c r="BD390" s="387">
        <v>0.3</v>
      </c>
      <c r="BE390" s="409">
        <v>0.3</v>
      </c>
      <c r="BF390" s="421">
        <v>0.3</v>
      </c>
      <c r="BG390" s="434">
        <v>0.3</v>
      </c>
      <c r="BH390" s="434"/>
      <c r="BI390" s="224"/>
      <c r="BJ390" s="225"/>
      <c r="BL390" s="510"/>
      <c r="BM390" s="224"/>
      <c r="BN390" s="224"/>
      <c r="BO390" s="224"/>
      <c r="BP390" s="316"/>
      <c r="BQ390" s="316"/>
      <c r="BR390" s="387"/>
      <c r="BS390" s="387"/>
      <c r="BT390" s="409"/>
      <c r="BU390" s="421"/>
      <c r="BV390" s="434"/>
      <c r="BW390" s="434"/>
      <c r="BX390" s="224"/>
      <c r="BY390" s="225" t="e">
        <f t="shared" si="275"/>
        <v>#DIV/0!</v>
      </c>
      <c r="CB390" s="528"/>
      <c r="CC390" s="529"/>
      <c r="CD390" s="529"/>
      <c r="CE390" s="529"/>
    </row>
    <row r="391" spans="1:83" ht="17.05" hidden="1" customHeight="1" x14ac:dyDescent="0.55000000000000004">
      <c r="A391" s="7195"/>
      <c r="B391" s="18"/>
      <c r="C391" s="299" t="s">
        <v>407</v>
      </c>
      <c r="D391" s="223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5"/>
      <c r="R391" s="469"/>
      <c r="S391" s="223"/>
      <c r="T391" s="224"/>
      <c r="U391" s="224"/>
      <c r="V391" s="224"/>
      <c r="W391" s="224"/>
      <c r="X391" s="224"/>
      <c r="Y391" s="224"/>
      <c r="Z391" s="224"/>
      <c r="AA391" s="224"/>
      <c r="AB391" s="224"/>
      <c r="AC391" s="224"/>
      <c r="AD391" s="224"/>
      <c r="AE391" s="224"/>
      <c r="AF391" s="225"/>
      <c r="AG391" s="469"/>
      <c r="AH391" s="223"/>
      <c r="AI391" s="224"/>
      <c r="AJ391" s="224"/>
      <c r="AK391" s="224"/>
      <c r="AL391" s="316"/>
      <c r="AM391" s="316"/>
      <c r="AN391" s="387"/>
      <c r="AO391" s="387"/>
      <c r="AP391" s="409"/>
      <c r="AQ391" s="421"/>
      <c r="AR391" s="434"/>
      <c r="AS391" s="434"/>
      <c r="AT391" s="224"/>
      <c r="AU391" s="225"/>
      <c r="AW391" s="510"/>
      <c r="AX391" s="224"/>
      <c r="AY391" s="224"/>
      <c r="AZ391" s="224"/>
      <c r="BA391" s="316"/>
      <c r="BB391" s="316"/>
      <c r="BC391" s="387">
        <v>0.4</v>
      </c>
      <c r="BD391" s="387">
        <v>0.4</v>
      </c>
      <c r="BE391" s="409">
        <v>0.4</v>
      </c>
      <c r="BF391" s="421">
        <v>0.4</v>
      </c>
      <c r="BG391" s="434">
        <v>0.4</v>
      </c>
      <c r="BH391" s="434"/>
      <c r="BI391" s="224"/>
      <c r="BJ391" s="225"/>
      <c r="BL391" s="510"/>
      <c r="BM391" s="224"/>
      <c r="BN391" s="224"/>
      <c r="BO391" s="224"/>
      <c r="BP391" s="316"/>
      <c r="BQ391" s="316"/>
      <c r="BR391" s="387"/>
      <c r="BS391" s="387"/>
      <c r="BT391" s="409"/>
      <c r="BU391" s="421"/>
      <c r="BV391" s="434"/>
      <c r="BW391" s="434"/>
      <c r="BX391" s="224"/>
      <c r="BY391" s="225" t="e">
        <f t="shared" si="275"/>
        <v>#DIV/0!</v>
      </c>
      <c r="CB391" s="528"/>
      <c r="CC391" s="529"/>
      <c r="CD391" s="529"/>
      <c r="CE391" s="529"/>
    </row>
    <row r="392" spans="1:83" ht="17.05" hidden="1" customHeight="1" x14ac:dyDescent="0.55000000000000004">
      <c r="A392" s="7195"/>
      <c r="B392" s="18"/>
      <c r="C392" s="299" t="s">
        <v>875</v>
      </c>
      <c r="D392" s="223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5"/>
      <c r="R392" s="469"/>
      <c r="S392" s="223"/>
      <c r="T392" s="224"/>
      <c r="U392" s="224"/>
      <c r="V392" s="224"/>
      <c r="W392" s="224"/>
      <c r="X392" s="224"/>
      <c r="Y392" s="224"/>
      <c r="Z392" s="224"/>
      <c r="AA392" s="224"/>
      <c r="AB392" s="224"/>
      <c r="AC392" s="224"/>
      <c r="AD392" s="224"/>
      <c r="AE392" s="224"/>
      <c r="AF392" s="225"/>
      <c r="AG392" s="469"/>
      <c r="AH392" s="223"/>
      <c r="AI392" s="224"/>
      <c r="AJ392" s="224"/>
      <c r="AK392" s="224"/>
      <c r="AL392" s="316"/>
      <c r="AM392" s="316"/>
      <c r="AN392" s="387"/>
      <c r="AO392" s="387"/>
      <c r="AP392" s="409"/>
      <c r="AQ392" s="421"/>
      <c r="AR392" s="434"/>
      <c r="AS392" s="434"/>
      <c r="AT392" s="224"/>
      <c r="AU392" s="225"/>
      <c r="AW392" s="510"/>
      <c r="AX392" s="224"/>
      <c r="AY392" s="224"/>
      <c r="AZ392" s="224"/>
      <c r="BA392" s="316"/>
      <c r="BB392" s="316"/>
      <c r="BC392" s="387"/>
      <c r="BD392" s="387"/>
      <c r="BE392" s="409"/>
      <c r="BF392" s="421"/>
      <c r="BG392" s="434"/>
      <c r="BH392" s="434"/>
      <c r="BI392" s="224"/>
      <c r="BJ392" s="225"/>
      <c r="BL392" s="510"/>
      <c r="BM392" s="224"/>
      <c r="BN392" s="224"/>
      <c r="BO392" s="224"/>
      <c r="BP392" s="316"/>
      <c r="BQ392" s="316"/>
      <c r="BR392" s="387"/>
      <c r="BS392" s="387"/>
      <c r="BT392" s="409"/>
      <c r="BU392" s="421"/>
      <c r="BV392" s="434"/>
      <c r="BW392" s="434"/>
      <c r="BX392" s="224"/>
      <c r="BY392" s="225" t="e">
        <f t="shared" si="275"/>
        <v>#DIV/0!</v>
      </c>
      <c r="CB392" s="528"/>
      <c r="CC392" s="529"/>
      <c r="CD392" s="529"/>
      <c r="CE392" s="529"/>
    </row>
    <row r="393" spans="1:83" ht="17.05" hidden="1" customHeight="1" x14ac:dyDescent="0.55000000000000004">
      <c r="A393" s="7195"/>
      <c r="B393" s="109" t="s">
        <v>432</v>
      </c>
      <c r="C393" s="110"/>
      <c r="D393" s="220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2"/>
      <c r="R393" s="469"/>
      <c r="S393" s="220"/>
      <c r="T393" s="221"/>
      <c r="U393" s="221"/>
      <c r="V393" s="221"/>
      <c r="W393" s="221"/>
      <c r="X393" s="221"/>
      <c r="Y393" s="221"/>
      <c r="Z393" s="221"/>
      <c r="AA393" s="221"/>
      <c r="AB393" s="221"/>
      <c r="AC393" s="221"/>
      <c r="AD393" s="221"/>
      <c r="AE393" s="221"/>
      <c r="AF393" s="222"/>
      <c r="AG393" s="469"/>
      <c r="AH393" s="220"/>
      <c r="AI393" s="221"/>
      <c r="AJ393" s="221"/>
      <c r="AK393" s="221"/>
      <c r="AL393" s="317"/>
      <c r="AM393" s="317"/>
      <c r="AN393" s="388"/>
      <c r="AO393" s="388"/>
      <c r="AP393" s="388"/>
      <c r="AQ393" s="422"/>
      <c r="AR393" s="435"/>
      <c r="AS393" s="435"/>
      <c r="AT393" s="221"/>
      <c r="AU393" s="222"/>
      <c r="AW393" s="511"/>
      <c r="AX393" s="221"/>
      <c r="AY393" s="221"/>
      <c r="AZ393" s="221"/>
      <c r="BA393" s="317"/>
      <c r="BB393" s="317"/>
      <c r="BC393" s="388"/>
      <c r="BD393" s="388"/>
      <c r="BE393" s="388"/>
      <c r="BF393" s="422"/>
      <c r="BG393" s="435"/>
      <c r="BH393" s="435"/>
      <c r="BI393" s="221"/>
      <c r="BJ393" s="222"/>
      <c r="BL393" s="511"/>
      <c r="BM393" s="221"/>
      <c r="BN393" s="221"/>
      <c r="BO393" s="221"/>
      <c r="BP393" s="317"/>
      <c r="BQ393" s="317"/>
      <c r="BR393" s="388"/>
      <c r="BS393" s="388"/>
      <c r="BT393" s="388"/>
      <c r="BU393" s="422"/>
      <c r="BV393" s="435"/>
      <c r="BW393" s="435"/>
      <c r="BX393" s="221"/>
      <c r="BY393" s="222" t="e">
        <f t="shared" si="275"/>
        <v>#DIV/0!</v>
      </c>
      <c r="CB393" s="528"/>
      <c r="CC393" s="529"/>
      <c r="CD393" s="529"/>
      <c r="CE393" s="529"/>
    </row>
    <row r="394" spans="1:83" ht="17.05" hidden="1" customHeight="1" x14ac:dyDescent="0.55000000000000004">
      <c r="A394" s="7195"/>
      <c r="B394" s="111"/>
      <c r="C394" s="116" t="s">
        <v>405</v>
      </c>
      <c r="D394" s="223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5"/>
      <c r="R394" s="469"/>
      <c r="S394" s="223"/>
      <c r="T394" s="224"/>
      <c r="U394" s="224"/>
      <c r="V394" s="224"/>
      <c r="W394" s="224"/>
      <c r="X394" s="224"/>
      <c r="Y394" s="224"/>
      <c r="Z394" s="224"/>
      <c r="AA394" s="224"/>
      <c r="AB394" s="224"/>
      <c r="AC394" s="224"/>
      <c r="AD394" s="224"/>
      <c r="AE394" s="224"/>
      <c r="AF394" s="225"/>
      <c r="AG394" s="469"/>
      <c r="AH394" s="223"/>
      <c r="AI394" s="224"/>
      <c r="AJ394" s="224"/>
      <c r="AK394" s="224"/>
      <c r="AL394" s="316"/>
      <c r="AM394" s="316"/>
      <c r="AN394" s="387"/>
      <c r="AO394" s="387"/>
      <c r="AP394" s="409"/>
      <c r="AQ394" s="421"/>
      <c r="AR394" s="434"/>
      <c r="AS394" s="434"/>
      <c r="AT394" s="224"/>
      <c r="AU394" s="225"/>
      <c r="AW394" s="510"/>
      <c r="AX394" s="224"/>
      <c r="AY394" s="224"/>
      <c r="AZ394" s="224"/>
      <c r="BA394" s="316"/>
      <c r="BB394" s="316"/>
      <c r="BC394" s="387"/>
      <c r="BD394" s="387"/>
      <c r="BE394" s="409"/>
      <c r="BF394" s="421"/>
      <c r="BG394" s="434"/>
      <c r="BH394" s="434"/>
      <c r="BI394" s="224"/>
      <c r="BJ394" s="225"/>
      <c r="BL394" s="510"/>
      <c r="BM394" s="224"/>
      <c r="BN394" s="224"/>
      <c r="BO394" s="224"/>
      <c r="BP394" s="316"/>
      <c r="BQ394" s="316"/>
      <c r="BR394" s="387"/>
      <c r="BS394" s="387"/>
      <c r="BT394" s="409"/>
      <c r="BU394" s="421"/>
      <c r="BV394" s="434"/>
      <c r="BW394" s="434"/>
      <c r="BX394" s="224"/>
      <c r="BY394" s="225" t="e">
        <f t="shared" si="275"/>
        <v>#DIV/0!</v>
      </c>
      <c r="CB394" s="528"/>
      <c r="CC394" s="529"/>
      <c r="CD394" s="529"/>
      <c r="CE394" s="529"/>
    </row>
    <row r="395" spans="1:83" ht="17.05" hidden="1" customHeight="1" x14ac:dyDescent="0.55000000000000004">
      <c r="A395" s="7195"/>
      <c r="B395" s="111"/>
      <c r="C395" s="116" t="s">
        <v>1016</v>
      </c>
      <c r="D395" s="223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5"/>
      <c r="R395" s="469"/>
      <c r="S395" s="223"/>
      <c r="T395" s="224"/>
      <c r="U395" s="224"/>
      <c r="V395" s="224"/>
      <c r="W395" s="224"/>
      <c r="X395" s="224"/>
      <c r="Y395" s="224"/>
      <c r="Z395" s="224"/>
      <c r="AA395" s="224"/>
      <c r="AB395" s="224"/>
      <c r="AC395" s="224"/>
      <c r="AD395" s="224"/>
      <c r="AE395" s="224"/>
      <c r="AF395" s="225"/>
      <c r="AG395" s="469"/>
      <c r="AH395" s="223"/>
      <c r="AI395" s="224"/>
      <c r="AJ395" s="224"/>
      <c r="AK395" s="224"/>
      <c r="AL395" s="316"/>
      <c r="AM395" s="316"/>
      <c r="AN395" s="387"/>
      <c r="AO395" s="387"/>
      <c r="AP395" s="409"/>
      <c r="AQ395" s="421"/>
      <c r="AR395" s="434"/>
      <c r="AS395" s="434"/>
      <c r="AT395" s="224"/>
      <c r="AU395" s="225"/>
      <c r="AW395" s="510"/>
      <c r="AX395" s="224"/>
      <c r="AY395" s="224"/>
      <c r="AZ395" s="224"/>
      <c r="BA395" s="316"/>
      <c r="BB395" s="316"/>
      <c r="BC395" s="387"/>
      <c r="BD395" s="387"/>
      <c r="BE395" s="409"/>
      <c r="BF395" s="421"/>
      <c r="BG395" s="434"/>
      <c r="BH395" s="434"/>
      <c r="BI395" s="224"/>
      <c r="BJ395" s="225"/>
      <c r="BL395" s="510"/>
      <c r="BM395" s="224"/>
      <c r="BN395" s="224"/>
      <c r="BO395" s="224"/>
      <c r="BP395" s="316"/>
      <c r="BQ395" s="316"/>
      <c r="BR395" s="387"/>
      <c r="BS395" s="387"/>
      <c r="BT395" s="409"/>
      <c r="BU395" s="421"/>
      <c r="BV395" s="434"/>
      <c r="BW395" s="434"/>
      <c r="BX395" s="224"/>
      <c r="BY395" s="225" t="e">
        <f t="shared" si="275"/>
        <v>#DIV/0!</v>
      </c>
      <c r="CB395" s="528"/>
      <c r="CC395" s="529"/>
      <c r="CD395" s="529"/>
      <c r="CE395" s="529"/>
    </row>
    <row r="396" spans="1:83" ht="17.05" hidden="1" customHeight="1" x14ac:dyDescent="0.55000000000000004">
      <c r="A396" s="7195"/>
      <c r="B396" s="111"/>
      <c r="C396" s="116" t="s">
        <v>407</v>
      </c>
      <c r="D396" s="223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5"/>
      <c r="R396" s="469"/>
      <c r="S396" s="223"/>
      <c r="T396" s="224"/>
      <c r="U396" s="224"/>
      <c r="V396" s="224"/>
      <c r="W396" s="224"/>
      <c r="X396" s="224"/>
      <c r="Y396" s="224"/>
      <c r="Z396" s="224"/>
      <c r="AA396" s="224"/>
      <c r="AB396" s="224"/>
      <c r="AC396" s="224"/>
      <c r="AD396" s="224"/>
      <c r="AE396" s="224"/>
      <c r="AF396" s="225"/>
      <c r="AG396" s="469"/>
      <c r="AH396" s="223"/>
      <c r="AI396" s="224"/>
      <c r="AJ396" s="224"/>
      <c r="AK396" s="224"/>
      <c r="AL396" s="316"/>
      <c r="AM396" s="316"/>
      <c r="AN396" s="387"/>
      <c r="AO396" s="387"/>
      <c r="AP396" s="409"/>
      <c r="AQ396" s="421"/>
      <c r="AR396" s="434"/>
      <c r="AS396" s="434"/>
      <c r="AT396" s="224"/>
      <c r="AU396" s="225"/>
      <c r="AW396" s="510"/>
      <c r="AX396" s="224"/>
      <c r="AY396" s="224"/>
      <c r="AZ396" s="224"/>
      <c r="BA396" s="316"/>
      <c r="BB396" s="316"/>
      <c r="BC396" s="387"/>
      <c r="BD396" s="387"/>
      <c r="BE396" s="409"/>
      <c r="BF396" s="421"/>
      <c r="BG396" s="434"/>
      <c r="BH396" s="434"/>
      <c r="BI396" s="224"/>
      <c r="BJ396" s="225"/>
      <c r="BL396" s="510"/>
      <c r="BM396" s="224"/>
      <c r="BN396" s="224"/>
      <c r="BO396" s="224"/>
      <c r="BP396" s="316"/>
      <c r="BQ396" s="316"/>
      <c r="BR396" s="387"/>
      <c r="BS396" s="387"/>
      <c r="BT396" s="409"/>
      <c r="BU396" s="421"/>
      <c r="BV396" s="434"/>
      <c r="BW396" s="434"/>
      <c r="BX396" s="224"/>
      <c r="BY396" s="225" t="e">
        <f t="shared" si="275"/>
        <v>#DIV/0!</v>
      </c>
      <c r="CB396" s="528"/>
      <c r="CC396" s="529"/>
      <c r="CD396" s="529"/>
      <c r="CE396" s="529"/>
    </row>
    <row r="397" spans="1:83" ht="17.5" hidden="1" customHeight="1" thickBot="1" x14ac:dyDescent="0.6">
      <c r="A397" s="7196"/>
      <c r="B397" s="113"/>
      <c r="C397" s="117" t="s">
        <v>875</v>
      </c>
      <c r="D397" s="226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8"/>
      <c r="R397" s="469"/>
      <c r="S397" s="226"/>
      <c r="T397" s="227"/>
      <c r="U397" s="227"/>
      <c r="V397" s="227"/>
      <c r="W397" s="227"/>
      <c r="X397" s="227"/>
      <c r="Y397" s="227"/>
      <c r="Z397" s="227"/>
      <c r="AA397" s="227"/>
      <c r="AB397" s="227"/>
      <c r="AC397" s="227"/>
      <c r="AD397" s="227"/>
      <c r="AE397" s="227"/>
      <c r="AF397" s="228"/>
      <c r="AG397" s="469"/>
      <c r="AH397" s="226"/>
      <c r="AI397" s="227"/>
      <c r="AJ397" s="227"/>
      <c r="AK397" s="227"/>
      <c r="AL397" s="318"/>
      <c r="AM397" s="318"/>
      <c r="AN397" s="389"/>
      <c r="AO397" s="389"/>
      <c r="AP397" s="389"/>
      <c r="AQ397" s="423"/>
      <c r="AR397" s="436"/>
      <c r="AS397" s="436"/>
      <c r="AT397" s="227"/>
      <c r="AU397" s="228"/>
      <c r="AW397" s="512"/>
      <c r="AX397" s="227"/>
      <c r="AY397" s="227"/>
      <c r="AZ397" s="227"/>
      <c r="BA397" s="318"/>
      <c r="BB397" s="318"/>
      <c r="BC397" s="389"/>
      <c r="BD397" s="389"/>
      <c r="BE397" s="389"/>
      <c r="BF397" s="423"/>
      <c r="BG397" s="436"/>
      <c r="BH397" s="436"/>
      <c r="BI397" s="227"/>
      <c r="BJ397" s="228"/>
      <c r="BL397" s="512"/>
      <c r="BM397" s="227"/>
      <c r="BN397" s="227"/>
      <c r="BO397" s="227"/>
      <c r="BP397" s="318"/>
      <c r="BQ397" s="318"/>
      <c r="BR397" s="389"/>
      <c r="BS397" s="389"/>
      <c r="BT397" s="389"/>
      <c r="BU397" s="423"/>
      <c r="BV397" s="436"/>
      <c r="BW397" s="436"/>
      <c r="BX397" s="227"/>
      <c r="BY397" s="228" t="e">
        <f t="shared" si="275"/>
        <v>#DIV/0!</v>
      </c>
      <c r="CB397" s="528"/>
      <c r="CC397" s="529"/>
      <c r="CD397" s="529"/>
      <c r="CE397" s="529"/>
    </row>
    <row r="398" spans="1:83" ht="17.399999999999999" hidden="1" customHeight="1" x14ac:dyDescent="0.55000000000000004">
      <c r="A398" s="7197" t="s">
        <v>959</v>
      </c>
      <c r="B398" s="14" t="s">
        <v>435</v>
      </c>
      <c r="C398" s="71"/>
      <c r="D398" s="214">
        <v>0.87623762376237624</v>
      </c>
      <c r="E398" s="215">
        <v>0.90012229922543829</v>
      </c>
      <c r="F398" s="215">
        <v>0.89154704944178631</v>
      </c>
      <c r="G398" s="215">
        <v>0.9220411055988661</v>
      </c>
      <c r="H398" s="215">
        <v>0.92804551539491298</v>
      </c>
      <c r="I398" s="215">
        <v>0.93961352657004826</v>
      </c>
      <c r="J398" s="215">
        <v>0.9286016054076891</v>
      </c>
      <c r="K398" s="215">
        <v>0.92770655270655267</v>
      </c>
      <c r="L398" s="215">
        <v>0.91546762589928055</v>
      </c>
      <c r="M398" s="215">
        <v>0.92484177215189878</v>
      </c>
      <c r="N398" s="215">
        <v>0.90592188156236875</v>
      </c>
      <c r="O398" s="215">
        <v>0.90558576371725164</v>
      </c>
      <c r="P398" s="215"/>
      <c r="Q398" s="216"/>
      <c r="R398" s="469"/>
      <c r="S398" s="214"/>
      <c r="T398" s="215"/>
      <c r="U398" s="215"/>
      <c r="V398" s="215"/>
      <c r="W398" s="215"/>
      <c r="X398" s="215"/>
      <c r="Y398" s="215"/>
      <c r="Z398" s="215"/>
      <c r="AA398" s="215"/>
      <c r="AB398" s="215"/>
      <c r="AC398" s="215"/>
      <c r="AD398" s="215"/>
      <c r="AE398" s="215"/>
      <c r="AF398" s="216"/>
      <c r="AG398" s="469"/>
      <c r="AH398" s="214">
        <v>0.90200000000000002</v>
      </c>
      <c r="AI398" s="215">
        <v>0.90200000000000002</v>
      </c>
      <c r="AJ398" s="215">
        <v>0.90200000000000002</v>
      </c>
      <c r="AK398" s="215">
        <v>0.90200000000000002</v>
      </c>
      <c r="AL398" s="215">
        <v>0.90200000000000002</v>
      </c>
      <c r="AM398" s="310">
        <v>0.90200000000000002</v>
      </c>
      <c r="AN398" s="310">
        <v>0.90200000000000002</v>
      </c>
      <c r="AO398" s="310">
        <v>0.90200000000000002</v>
      </c>
      <c r="AP398" s="310">
        <v>0.90200000000000002</v>
      </c>
      <c r="AQ398" s="310">
        <v>0.90200000000000002</v>
      </c>
      <c r="AR398" s="310">
        <v>0.90200000000000002</v>
      </c>
      <c r="AS398" s="310">
        <v>0.90200000000000002</v>
      </c>
      <c r="AT398" s="215">
        <v>0.90200000000000002</v>
      </c>
      <c r="AU398" s="216">
        <v>0.90200000000000002</v>
      </c>
      <c r="AW398" s="518"/>
      <c r="AX398" s="215"/>
      <c r="AY398" s="215"/>
      <c r="AZ398" s="215"/>
      <c r="BA398" s="319"/>
      <c r="BB398" s="319"/>
      <c r="BC398" s="402"/>
      <c r="BD398" s="402"/>
      <c r="BE398" s="410"/>
      <c r="BF398" s="410"/>
      <c r="BG398" s="437"/>
      <c r="BH398" s="437"/>
      <c r="BI398" s="215"/>
      <c r="BJ398" s="216"/>
      <c r="BL398" s="518"/>
      <c r="BM398" s="215"/>
      <c r="BN398" s="215"/>
      <c r="BO398" s="215"/>
      <c r="BP398" s="319"/>
      <c r="BQ398" s="319"/>
      <c r="BR398" s="402"/>
      <c r="BS398" s="402"/>
      <c r="BT398" s="410"/>
      <c r="BU398" s="410"/>
      <c r="BV398" s="437"/>
      <c r="BW398" s="437"/>
      <c r="BX398" s="215"/>
      <c r="BY398" s="216" t="e">
        <f t="shared" si="275"/>
        <v>#DIV/0!</v>
      </c>
      <c r="CB398" s="528"/>
      <c r="CC398" s="529"/>
      <c r="CD398" s="529"/>
      <c r="CE398" s="529"/>
    </row>
    <row r="399" spans="1:83" ht="17.399999999999999" hidden="1" customHeight="1" x14ac:dyDescent="0.55000000000000004">
      <c r="A399" s="7198"/>
      <c r="B399" s="15"/>
      <c r="C399" s="72" t="s">
        <v>19</v>
      </c>
      <c r="D399" s="217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9"/>
      <c r="R399" s="469"/>
      <c r="S399" s="217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9"/>
      <c r="AG399" s="469"/>
      <c r="AH399" s="217"/>
      <c r="AI399" s="218"/>
      <c r="AJ399" s="218"/>
      <c r="AK399" s="218"/>
      <c r="AL399" s="313"/>
      <c r="AM399" s="313"/>
      <c r="AN399" s="403"/>
      <c r="AO399" s="403"/>
      <c r="AP399" s="408"/>
      <c r="AQ399" s="408"/>
      <c r="AR399" s="438"/>
      <c r="AS399" s="438"/>
      <c r="AT399" s="218"/>
      <c r="AU399" s="219"/>
      <c r="AW399" s="507"/>
      <c r="AX399" s="218"/>
      <c r="AY399" s="218"/>
      <c r="AZ399" s="218"/>
      <c r="BA399" s="313"/>
      <c r="BB399" s="313"/>
      <c r="BC399" s="403"/>
      <c r="BD399" s="403"/>
      <c r="BE399" s="408"/>
      <c r="BF399" s="408"/>
      <c r="BG399" s="438"/>
      <c r="BH399" s="438"/>
      <c r="BI399" s="218"/>
      <c r="BJ399" s="219"/>
      <c r="BL399" s="507"/>
      <c r="BM399" s="218"/>
      <c r="BN399" s="218"/>
      <c r="BO399" s="218"/>
      <c r="BP399" s="313"/>
      <c r="BQ399" s="313"/>
      <c r="BR399" s="403"/>
      <c r="BS399" s="403"/>
      <c r="BT399" s="408"/>
      <c r="BU399" s="408"/>
      <c r="BV399" s="438"/>
      <c r="BW399" s="438"/>
      <c r="BX399" s="218"/>
      <c r="BY399" s="219" t="e">
        <f t="shared" si="275"/>
        <v>#DIV/0!</v>
      </c>
      <c r="CB399" s="528"/>
      <c r="CC399" s="529"/>
      <c r="CD399" s="529"/>
      <c r="CE399" s="529"/>
    </row>
    <row r="400" spans="1:83" ht="17.399999999999999" hidden="1" customHeight="1" x14ac:dyDescent="0.55000000000000004">
      <c r="A400" s="7198"/>
      <c r="B400" s="15"/>
      <c r="C400" s="72" t="s">
        <v>1016</v>
      </c>
      <c r="D400" s="217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9"/>
      <c r="R400" s="469"/>
      <c r="S400" s="217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9"/>
      <c r="AG400" s="469"/>
      <c r="AH400" s="217"/>
      <c r="AI400" s="218"/>
      <c r="AJ400" s="218"/>
      <c r="AK400" s="218"/>
      <c r="AL400" s="313"/>
      <c r="AM400" s="313"/>
      <c r="AN400" s="403"/>
      <c r="AO400" s="403"/>
      <c r="AP400" s="408"/>
      <c r="AQ400" s="408"/>
      <c r="AR400" s="438"/>
      <c r="AS400" s="438"/>
      <c r="AT400" s="218"/>
      <c r="AU400" s="219"/>
      <c r="AW400" s="507"/>
      <c r="AX400" s="218"/>
      <c r="AY400" s="218"/>
      <c r="AZ400" s="218"/>
      <c r="BA400" s="313"/>
      <c r="BB400" s="313"/>
      <c r="BC400" s="403"/>
      <c r="BD400" s="403"/>
      <c r="BE400" s="408"/>
      <c r="BF400" s="408"/>
      <c r="BG400" s="438"/>
      <c r="BH400" s="438"/>
      <c r="BI400" s="218"/>
      <c r="BJ400" s="219"/>
      <c r="BL400" s="507"/>
      <c r="BM400" s="218"/>
      <c r="BN400" s="218"/>
      <c r="BO400" s="218"/>
      <c r="BP400" s="313"/>
      <c r="BQ400" s="313"/>
      <c r="BR400" s="403"/>
      <c r="BS400" s="403"/>
      <c r="BT400" s="408"/>
      <c r="BU400" s="408"/>
      <c r="BV400" s="438"/>
      <c r="BW400" s="438"/>
      <c r="BX400" s="218"/>
      <c r="BY400" s="219" t="e">
        <f t="shared" si="275"/>
        <v>#DIV/0!</v>
      </c>
      <c r="CB400" s="528"/>
      <c r="CC400" s="529"/>
      <c r="CD400" s="529"/>
      <c r="CE400" s="529"/>
    </row>
    <row r="401" spans="1:83" ht="17.399999999999999" hidden="1" customHeight="1" x14ac:dyDescent="0.55000000000000004">
      <c r="A401" s="7198"/>
      <c r="B401" s="15"/>
      <c r="C401" s="72" t="s">
        <v>407</v>
      </c>
      <c r="D401" s="217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9"/>
      <c r="R401" s="469"/>
      <c r="S401" s="217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9"/>
      <c r="AG401" s="469"/>
      <c r="AH401" s="217"/>
      <c r="AI401" s="218"/>
      <c r="AJ401" s="218"/>
      <c r="AK401" s="218"/>
      <c r="AL401" s="313"/>
      <c r="AM401" s="313"/>
      <c r="AN401" s="403"/>
      <c r="AO401" s="403"/>
      <c r="AP401" s="408"/>
      <c r="AQ401" s="408"/>
      <c r="AR401" s="438"/>
      <c r="AS401" s="438"/>
      <c r="AT401" s="218"/>
      <c r="AU401" s="219"/>
      <c r="AW401" s="507"/>
      <c r="AX401" s="218"/>
      <c r="AY401" s="218"/>
      <c r="AZ401" s="218"/>
      <c r="BA401" s="313"/>
      <c r="BB401" s="313"/>
      <c r="BC401" s="403"/>
      <c r="BD401" s="403"/>
      <c r="BE401" s="408"/>
      <c r="BF401" s="408"/>
      <c r="BG401" s="438"/>
      <c r="BH401" s="438"/>
      <c r="BI401" s="218"/>
      <c r="BJ401" s="219"/>
      <c r="BL401" s="507"/>
      <c r="BM401" s="218"/>
      <c r="BN401" s="218"/>
      <c r="BO401" s="218"/>
      <c r="BP401" s="313"/>
      <c r="BQ401" s="313"/>
      <c r="BR401" s="403"/>
      <c r="BS401" s="403"/>
      <c r="BT401" s="408"/>
      <c r="BU401" s="408"/>
      <c r="BV401" s="438"/>
      <c r="BW401" s="438"/>
      <c r="BX401" s="218"/>
      <c r="BY401" s="219" t="e">
        <f t="shared" si="275"/>
        <v>#DIV/0!</v>
      </c>
      <c r="CB401" s="528"/>
      <c r="CC401" s="529"/>
      <c r="CD401" s="529"/>
      <c r="CE401" s="529"/>
    </row>
    <row r="402" spans="1:83" ht="17.399999999999999" hidden="1" customHeight="1" thickBot="1" x14ac:dyDescent="0.6">
      <c r="A402" s="7199"/>
      <c r="B402" s="114"/>
      <c r="C402" s="115" t="s">
        <v>875</v>
      </c>
      <c r="D402" s="229"/>
      <c r="E402" s="230"/>
      <c r="F402" s="230"/>
      <c r="G402" s="23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1"/>
      <c r="R402" s="469"/>
      <c r="S402" s="229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1"/>
      <c r="AG402" s="469"/>
      <c r="AH402" s="229"/>
      <c r="AI402" s="230"/>
      <c r="AJ402" s="230"/>
      <c r="AK402" s="230"/>
      <c r="AL402" s="320"/>
      <c r="AM402" s="320"/>
      <c r="AN402" s="404"/>
      <c r="AO402" s="404"/>
      <c r="AP402" s="411"/>
      <c r="AQ402" s="411"/>
      <c r="AR402" s="439"/>
      <c r="AS402" s="439"/>
      <c r="AT402" s="230"/>
      <c r="AU402" s="231"/>
      <c r="AW402" s="514"/>
      <c r="AX402" s="230"/>
      <c r="AY402" s="230"/>
      <c r="AZ402" s="230"/>
      <c r="BA402" s="320"/>
      <c r="BB402" s="320"/>
      <c r="BC402" s="404"/>
      <c r="BD402" s="404"/>
      <c r="BE402" s="411"/>
      <c r="BF402" s="411"/>
      <c r="BG402" s="439"/>
      <c r="BH402" s="439"/>
      <c r="BI402" s="230"/>
      <c r="BJ402" s="231"/>
      <c r="BL402" s="514"/>
      <c r="BM402" s="230"/>
      <c r="BN402" s="230"/>
      <c r="BO402" s="230"/>
      <c r="BP402" s="320"/>
      <c r="BQ402" s="320"/>
      <c r="BR402" s="404"/>
      <c r="BS402" s="404"/>
      <c r="BT402" s="411"/>
      <c r="BU402" s="411"/>
      <c r="BV402" s="439"/>
      <c r="BW402" s="439"/>
      <c r="BX402" s="230"/>
      <c r="BY402" s="231" t="e">
        <f t="shared" si="275"/>
        <v>#DIV/0!</v>
      </c>
      <c r="CB402" s="528"/>
      <c r="CC402" s="529"/>
      <c r="CD402" s="529"/>
      <c r="CE402" s="529"/>
    </row>
    <row r="403" spans="1:83" ht="17.399999999999999" hidden="1" customHeight="1" x14ac:dyDescent="0.55000000000000004">
      <c r="A403" s="7197" t="s">
        <v>960</v>
      </c>
      <c r="B403" s="118" t="s">
        <v>437</v>
      </c>
      <c r="C403" s="119"/>
      <c r="D403" s="232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4"/>
      <c r="R403" s="469"/>
      <c r="S403" s="232"/>
      <c r="T403" s="233"/>
      <c r="U403" s="233"/>
      <c r="V403" s="233"/>
      <c r="W403" s="233"/>
      <c r="X403" s="233"/>
      <c r="Y403" s="233"/>
      <c r="Z403" s="233"/>
      <c r="AA403" s="233"/>
      <c r="AB403" s="233"/>
      <c r="AC403" s="233"/>
      <c r="AD403" s="233"/>
      <c r="AE403" s="233"/>
      <c r="AF403" s="234"/>
      <c r="AG403" s="469"/>
      <c r="AH403" s="232"/>
      <c r="AI403" s="233"/>
      <c r="AJ403" s="233"/>
      <c r="AK403" s="233"/>
      <c r="AL403" s="233"/>
      <c r="AM403" s="233"/>
      <c r="AN403" s="386"/>
      <c r="AO403" s="386"/>
      <c r="AP403" s="412"/>
      <c r="AQ403" s="412"/>
      <c r="AR403" s="433"/>
      <c r="AS403" s="433"/>
      <c r="AT403" s="233"/>
      <c r="AU403" s="234"/>
      <c r="AW403" s="509"/>
      <c r="AX403" s="233"/>
      <c r="AY403" s="233"/>
      <c r="AZ403" s="233"/>
      <c r="BA403" s="233"/>
      <c r="BB403" s="233"/>
      <c r="BC403" s="386"/>
      <c r="BD403" s="386"/>
      <c r="BE403" s="412"/>
      <c r="BF403" s="412"/>
      <c r="BG403" s="433"/>
      <c r="BH403" s="433"/>
      <c r="BI403" s="233"/>
      <c r="BJ403" s="234"/>
      <c r="BL403" s="509"/>
      <c r="BM403" s="233"/>
      <c r="BN403" s="233"/>
      <c r="BO403" s="233"/>
      <c r="BP403" s="233"/>
      <c r="BQ403" s="233"/>
      <c r="BR403" s="386"/>
      <c r="BS403" s="386"/>
      <c r="BT403" s="412"/>
      <c r="BU403" s="412"/>
      <c r="BV403" s="433"/>
      <c r="BW403" s="433"/>
      <c r="BX403" s="233"/>
      <c r="BY403" s="234" t="e">
        <f t="shared" si="275"/>
        <v>#DIV/0!</v>
      </c>
      <c r="CB403" s="528"/>
      <c r="CC403" s="529"/>
      <c r="CD403" s="529"/>
      <c r="CE403" s="529"/>
    </row>
    <row r="404" spans="1:83" ht="17.399999999999999" hidden="1" customHeight="1" x14ac:dyDescent="0.55000000000000004">
      <c r="A404" s="7198"/>
      <c r="B404" s="111"/>
      <c r="C404" s="112" t="s">
        <v>19</v>
      </c>
      <c r="D404" s="235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36"/>
      <c r="P404" s="236"/>
      <c r="Q404" s="237"/>
      <c r="R404" s="469"/>
      <c r="S404" s="235"/>
      <c r="T404" s="236"/>
      <c r="U404" s="236"/>
      <c r="V404" s="236"/>
      <c r="W404" s="236"/>
      <c r="X404" s="236"/>
      <c r="Y404" s="236"/>
      <c r="Z404" s="236"/>
      <c r="AA404" s="236"/>
      <c r="AB404" s="236"/>
      <c r="AC404" s="236"/>
      <c r="AD404" s="236"/>
      <c r="AE404" s="236"/>
      <c r="AF404" s="237"/>
      <c r="AG404" s="469"/>
      <c r="AH404" s="235"/>
      <c r="AI404" s="236"/>
      <c r="AJ404" s="236"/>
      <c r="AK404" s="236"/>
      <c r="AL404" s="236"/>
      <c r="AM404" s="236"/>
      <c r="AN404" s="405"/>
      <c r="AO404" s="405"/>
      <c r="AP404" s="413"/>
      <c r="AQ404" s="413"/>
      <c r="AR404" s="440"/>
      <c r="AS404" s="440"/>
      <c r="AT404" s="236"/>
      <c r="AU404" s="237"/>
      <c r="AW404" s="515"/>
      <c r="AX404" s="236"/>
      <c r="AY404" s="236"/>
      <c r="AZ404" s="236"/>
      <c r="BA404" s="236"/>
      <c r="BB404" s="236"/>
      <c r="BC404" s="405"/>
      <c r="BD404" s="405"/>
      <c r="BE404" s="413"/>
      <c r="BF404" s="413"/>
      <c r="BG404" s="440"/>
      <c r="BH404" s="440"/>
      <c r="BI404" s="236"/>
      <c r="BJ404" s="237"/>
      <c r="BL404" s="515"/>
      <c r="BM404" s="236"/>
      <c r="BN404" s="236"/>
      <c r="BO404" s="236"/>
      <c r="BP404" s="236"/>
      <c r="BQ404" s="236"/>
      <c r="BR404" s="405"/>
      <c r="BS404" s="405"/>
      <c r="BT404" s="413"/>
      <c r="BU404" s="413"/>
      <c r="BV404" s="440"/>
      <c r="BW404" s="440"/>
      <c r="BX404" s="236"/>
      <c r="BY404" s="237" t="e">
        <f t="shared" si="275"/>
        <v>#DIV/0!</v>
      </c>
      <c r="CB404" s="528"/>
      <c r="CC404" s="529"/>
      <c r="CD404" s="529"/>
      <c r="CE404" s="529"/>
    </row>
    <row r="405" spans="1:83" ht="17.399999999999999" hidden="1" customHeight="1" x14ac:dyDescent="0.55000000000000004">
      <c r="A405" s="7198"/>
      <c r="B405" s="111"/>
      <c r="C405" s="112" t="s">
        <v>20</v>
      </c>
      <c r="D405" s="235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7"/>
      <c r="R405" s="469"/>
      <c r="S405" s="235"/>
      <c r="T405" s="236"/>
      <c r="U405" s="236"/>
      <c r="V405" s="236"/>
      <c r="W405" s="236"/>
      <c r="X405" s="236"/>
      <c r="Y405" s="236"/>
      <c r="Z405" s="236"/>
      <c r="AA405" s="236"/>
      <c r="AB405" s="236"/>
      <c r="AC405" s="236"/>
      <c r="AD405" s="236"/>
      <c r="AE405" s="236"/>
      <c r="AF405" s="237"/>
      <c r="AG405" s="469"/>
      <c r="AH405" s="235"/>
      <c r="AI405" s="236"/>
      <c r="AJ405" s="236"/>
      <c r="AK405" s="236"/>
      <c r="AL405" s="236"/>
      <c r="AM405" s="236"/>
      <c r="AN405" s="405"/>
      <c r="AO405" s="405"/>
      <c r="AP405" s="413"/>
      <c r="AQ405" s="413"/>
      <c r="AR405" s="440"/>
      <c r="AS405" s="440"/>
      <c r="AT405" s="236"/>
      <c r="AU405" s="237"/>
      <c r="AW405" s="515"/>
      <c r="AX405" s="236"/>
      <c r="AY405" s="236"/>
      <c r="AZ405" s="236"/>
      <c r="BA405" s="236"/>
      <c r="BB405" s="236"/>
      <c r="BC405" s="405"/>
      <c r="BD405" s="405"/>
      <c r="BE405" s="413"/>
      <c r="BF405" s="413"/>
      <c r="BG405" s="440"/>
      <c r="BH405" s="440"/>
      <c r="BI405" s="236"/>
      <c r="BJ405" s="237"/>
      <c r="BL405" s="515"/>
      <c r="BM405" s="236"/>
      <c r="BN405" s="236"/>
      <c r="BO405" s="236"/>
      <c r="BP405" s="236"/>
      <c r="BQ405" s="236"/>
      <c r="BR405" s="405"/>
      <c r="BS405" s="405"/>
      <c r="BT405" s="413"/>
      <c r="BU405" s="413"/>
      <c r="BV405" s="440"/>
      <c r="BW405" s="440"/>
      <c r="BX405" s="236"/>
      <c r="BY405" s="237" t="e">
        <f t="shared" si="275"/>
        <v>#DIV/0!</v>
      </c>
      <c r="CB405" s="528"/>
      <c r="CC405" s="529"/>
      <c r="CD405" s="529"/>
      <c r="CE405" s="529"/>
    </row>
    <row r="406" spans="1:83" ht="17.399999999999999" hidden="1" customHeight="1" x14ac:dyDescent="0.55000000000000004">
      <c r="A406" s="7198"/>
      <c r="B406" s="465" t="s">
        <v>438</v>
      </c>
      <c r="C406" s="74"/>
      <c r="D406" s="128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30"/>
      <c r="R406" s="183"/>
      <c r="S406" s="128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30"/>
      <c r="AG406" s="183"/>
      <c r="AH406" s="128"/>
      <c r="AI406" s="129"/>
      <c r="AJ406" s="129"/>
      <c r="AK406" s="129"/>
      <c r="AL406" s="129"/>
      <c r="AM406" s="129"/>
      <c r="AN406" s="129"/>
      <c r="AO406" s="129"/>
      <c r="AP406" s="129"/>
      <c r="AQ406" s="129"/>
      <c r="AR406" s="129"/>
      <c r="AS406" s="129"/>
      <c r="AT406" s="129"/>
      <c r="AU406" s="130"/>
      <c r="AV406" s="183"/>
      <c r="AW406" s="478"/>
      <c r="AX406" s="129"/>
      <c r="AY406" s="129"/>
      <c r="AZ406" s="129"/>
      <c r="BA406" s="129"/>
      <c r="BB406" s="129"/>
      <c r="BC406" s="129"/>
      <c r="BD406" s="129"/>
      <c r="BE406" s="129"/>
      <c r="BF406" s="129"/>
      <c r="BG406" s="129"/>
      <c r="BH406" s="129"/>
      <c r="BI406" s="129"/>
      <c r="BJ406" s="130"/>
      <c r="BK406" s="183"/>
      <c r="BL406" s="478"/>
      <c r="BM406" s="129"/>
      <c r="BN406" s="129"/>
      <c r="BO406" s="129"/>
      <c r="BP406" s="129"/>
      <c r="BQ406" s="129"/>
      <c r="BR406" s="129"/>
      <c r="BS406" s="129"/>
      <c r="BT406" s="129"/>
      <c r="BU406" s="129"/>
      <c r="BV406" s="129"/>
      <c r="BW406" s="129"/>
      <c r="BX406" s="129"/>
      <c r="BY406" s="130" t="e">
        <f t="shared" si="275"/>
        <v>#DIV/0!</v>
      </c>
      <c r="CB406" s="530"/>
      <c r="CC406" s="529"/>
      <c r="CD406" s="531"/>
      <c r="CE406" s="414"/>
    </row>
    <row r="407" spans="1:83" ht="17.399999999999999" hidden="1" customHeight="1" x14ac:dyDescent="0.55000000000000004">
      <c r="A407" s="7198"/>
      <c r="B407" s="466"/>
      <c r="C407" s="468" t="s">
        <v>405</v>
      </c>
      <c r="D407" s="131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3"/>
      <c r="R407" s="183"/>
      <c r="S407" s="131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3"/>
      <c r="AG407" s="183"/>
      <c r="AH407" s="131"/>
      <c r="AI407" s="132"/>
      <c r="AJ407" s="132"/>
      <c r="AK407" s="132"/>
      <c r="AL407" s="132"/>
      <c r="AM407" s="132"/>
      <c r="AN407" s="132"/>
      <c r="AO407" s="132"/>
      <c r="AP407" s="132"/>
      <c r="AQ407" s="132"/>
      <c r="AR407" s="132"/>
      <c r="AS407" s="132"/>
      <c r="AT407" s="132"/>
      <c r="AU407" s="133"/>
      <c r="AV407" s="183"/>
      <c r="AW407" s="479"/>
      <c r="AX407" s="132"/>
      <c r="AY407" s="132"/>
      <c r="AZ407" s="132"/>
      <c r="BA407" s="132"/>
      <c r="BB407" s="132"/>
      <c r="BC407" s="132"/>
      <c r="BD407" s="132"/>
      <c r="BE407" s="132"/>
      <c r="BF407" s="132"/>
      <c r="BG407" s="132"/>
      <c r="BH407" s="132"/>
      <c r="BI407" s="132"/>
      <c r="BJ407" s="133"/>
      <c r="BK407" s="183"/>
      <c r="BL407" s="479"/>
      <c r="BM407" s="132"/>
      <c r="BN407" s="132"/>
      <c r="BO407" s="132"/>
      <c r="BP407" s="132"/>
      <c r="BQ407" s="132"/>
      <c r="BR407" s="132"/>
      <c r="BS407" s="132"/>
      <c r="BT407" s="132"/>
      <c r="BU407" s="132"/>
      <c r="BV407" s="132"/>
      <c r="BW407" s="132"/>
      <c r="BX407" s="132"/>
      <c r="BY407" s="133" t="e">
        <f t="shared" si="275"/>
        <v>#DIV/0!</v>
      </c>
      <c r="CB407" s="530"/>
      <c r="CC407" s="529"/>
      <c r="CD407" s="531"/>
      <c r="CE407" s="414"/>
    </row>
    <row r="408" spans="1:83" ht="17.399999999999999" hidden="1" customHeight="1" thickBot="1" x14ac:dyDescent="0.6">
      <c r="A408" s="7199"/>
      <c r="B408" s="467"/>
      <c r="C408" s="121" t="s">
        <v>407</v>
      </c>
      <c r="D408" s="210"/>
      <c r="E408" s="211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  <c r="Q408" s="212"/>
      <c r="R408" s="183"/>
      <c r="S408" s="210"/>
      <c r="T408" s="211"/>
      <c r="U408" s="211"/>
      <c r="V408" s="211"/>
      <c r="W408" s="211"/>
      <c r="X408" s="211"/>
      <c r="Y408" s="211"/>
      <c r="Z408" s="211"/>
      <c r="AA408" s="211"/>
      <c r="AB408" s="211"/>
      <c r="AC408" s="211"/>
      <c r="AD408" s="211"/>
      <c r="AE408" s="211"/>
      <c r="AF408" s="212"/>
      <c r="AG408" s="183"/>
      <c r="AH408" s="210"/>
      <c r="AI408" s="211"/>
      <c r="AJ408" s="211"/>
      <c r="AK408" s="211"/>
      <c r="AL408" s="211"/>
      <c r="AM408" s="211"/>
      <c r="AN408" s="211"/>
      <c r="AO408" s="211"/>
      <c r="AP408" s="211"/>
      <c r="AQ408" s="211"/>
      <c r="AR408" s="211"/>
      <c r="AS408" s="211"/>
      <c r="AT408" s="211"/>
      <c r="AU408" s="212"/>
      <c r="AV408" s="183"/>
      <c r="AW408" s="516"/>
      <c r="AX408" s="211"/>
      <c r="AY408" s="211"/>
      <c r="AZ408" s="211"/>
      <c r="BA408" s="211"/>
      <c r="BB408" s="211"/>
      <c r="BC408" s="211"/>
      <c r="BD408" s="211"/>
      <c r="BE408" s="211"/>
      <c r="BF408" s="211"/>
      <c r="BG408" s="211"/>
      <c r="BH408" s="211"/>
      <c r="BI408" s="211"/>
      <c r="BJ408" s="212"/>
      <c r="BK408" s="183"/>
      <c r="BL408" s="516"/>
      <c r="BM408" s="211"/>
      <c r="BN408" s="211"/>
      <c r="BO408" s="211"/>
      <c r="BP408" s="211"/>
      <c r="BQ408" s="211"/>
      <c r="BR408" s="211"/>
      <c r="BS408" s="211"/>
      <c r="BT408" s="211"/>
      <c r="BU408" s="211"/>
      <c r="BV408" s="211"/>
      <c r="BW408" s="211"/>
      <c r="BX408" s="211"/>
      <c r="BY408" s="212" t="e">
        <f t="shared" si="275"/>
        <v>#DIV/0!</v>
      </c>
      <c r="CB408" s="530"/>
      <c r="CC408" s="529"/>
      <c r="CD408" s="531"/>
      <c r="CE408" s="414"/>
    </row>
    <row r="409" spans="1:83" hidden="1" x14ac:dyDescent="0.55000000000000004">
      <c r="BY409" s="396" t="e">
        <f t="shared" si="275"/>
        <v>#DIV/0!</v>
      </c>
      <c r="CB409" s="414"/>
      <c r="CC409" s="330"/>
      <c r="CD409" s="330"/>
      <c r="CE409" s="330"/>
    </row>
    <row r="410" spans="1:83" x14ac:dyDescent="0.55000000000000004">
      <c r="CB410" s="414"/>
      <c r="CC410" s="330"/>
      <c r="CD410" s="330"/>
      <c r="CE410" s="330"/>
    </row>
  </sheetData>
  <mergeCells count="60">
    <mergeCell ref="B39:B43"/>
    <mergeCell ref="B44:B50"/>
    <mergeCell ref="B251:B257"/>
    <mergeCell ref="B221:B224"/>
    <mergeCell ref="B246:B250"/>
    <mergeCell ref="B128:B132"/>
    <mergeCell ref="B133:B139"/>
    <mergeCell ref="B177:B183"/>
    <mergeCell ref="B147:B150"/>
    <mergeCell ref="B231:B240"/>
    <mergeCell ref="B241:B245"/>
    <mergeCell ref="B152:B156"/>
    <mergeCell ref="B157:B166"/>
    <mergeCell ref="B172:B176"/>
    <mergeCell ref="B226:B230"/>
    <mergeCell ref="B189:B193"/>
    <mergeCell ref="B167:B171"/>
    <mergeCell ref="A10:A50"/>
    <mergeCell ref="B204:B208"/>
    <mergeCell ref="B209:B213"/>
    <mergeCell ref="B214:B220"/>
    <mergeCell ref="B194:B203"/>
    <mergeCell ref="B103:B107"/>
    <mergeCell ref="B108:B112"/>
    <mergeCell ref="B113:B122"/>
    <mergeCell ref="B123:B127"/>
    <mergeCell ref="B184:B187"/>
    <mergeCell ref="B13:B18"/>
    <mergeCell ref="B59:B64"/>
    <mergeCell ref="B10:B12"/>
    <mergeCell ref="B19:B23"/>
    <mergeCell ref="B24:B33"/>
    <mergeCell ref="B34:B38"/>
    <mergeCell ref="A289:A329"/>
    <mergeCell ref="B292:B297"/>
    <mergeCell ref="B298:B302"/>
    <mergeCell ref="B303:B312"/>
    <mergeCell ref="B313:B317"/>
    <mergeCell ref="B318:B322"/>
    <mergeCell ref="B323:B329"/>
    <mergeCell ref="A274:A278"/>
    <mergeCell ref="A279:A284"/>
    <mergeCell ref="A82:A90"/>
    <mergeCell ref="A52:A64"/>
    <mergeCell ref="A66:A72"/>
    <mergeCell ref="A140:A257"/>
    <mergeCell ref="A100:A139"/>
    <mergeCell ref="A259:A273"/>
    <mergeCell ref="B350:B354"/>
    <mergeCell ref="B355:B364"/>
    <mergeCell ref="B370:B374"/>
    <mergeCell ref="B375:B381"/>
    <mergeCell ref="A331:A336"/>
    <mergeCell ref="B365:B369"/>
    <mergeCell ref="A338:A343"/>
    <mergeCell ref="A383:A397"/>
    <mergeCell ref="A398:A402"/>
    <mergeCell ref="A403:A408"/>
    <mergeCell ref="A345:A381"/>
    <mergeCell ref="A74:A80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BE94-BA71-42FB-9D55-15970F2B103C}">
  <sheetPr codeName="Sheet7">
    <pageSetUpPr fitToPage="1"/>
  </sheetPr>
  <dimension ref="A1:BL117"/>
  <sheetViews>
    <sheetView showGridLines="0" view="pageBreakPreview" zoomScale="40" zoomScaleNormal="55" zoomScaleSheetLayoutView="40" workbookViewId="0">
      <pane xSplit="3" topLeftCell="D1" activePane="topRight" state="frozen"/>
      <selection activeCell="O26" sqref="O26"/>
      <selection pane="topRight" activeCell="R14" sqref="R14"/>
    </sheetView>
  </sheetViews>
  <sheetFormatPr defaultColWidth="8.5703125" defaultRowHeight="15" x14ac:dyDescent="0.55000000000000004"/>
  <cols>
    <col min="1" max="1" width="11.5" style="555" customWidth="1"/>
    <col min="2" max="2" width="10.0703125" style="2525" customWidth="1"/>
    <col min="3" max="3" width="15.85546875" style="842" bestFit="1" customWidth="1"/>
    <col min="4" max="5" width="9.92578125" style="842" customWidth="1"/>
    <col min="6" max="7" width="8.640625" style="842" customWidth="1"/>
    <col min="8" max="11" width="9.42578125" style="842" customWidth="1"/>
    <col min="12" max="13" width="9.42578125" style="6174" customWidth="1"/>
    <col min="14" max="17" width="9.42578125" style="6174" hidden="1" customWidth="1"/>
    <col min="18" max="18" width="9.42578125" style="842" customWidth="1"/>
    <col min="19" max="19" width="9.5703125" style="842" customWidth="1"/>
    <col min="20" max="20" width="9.42578125" style="842" bestFit="1" customWidth="1"/>
    <col min="21" max="21" width="11.85546875" style="842" customWidth="1"/>
    <col min="22" max="22" width="9.42578125" style="842" bestFit="1" customWidth="1"/>
    <col min="23" max="23" width="10.5" style="842" hidden="1" customWidth="1"/>
    <col min="24" max="24" width="8.640625" style="842" hidden="1" customWidth="1"/>
    <col min="25" max="25" width="12.5703125" style="842" customWidth="1"/>
    <col min="26" max="26" width="8.640625" style="2776" bestFit="1" customWidth="1"/>
    <col min="27" max="27" width="9.42578125" style="842" bestFit="1" customWidth="1"/>
    <col min="28" max="28" width="8.640625" style="555" bestFit="1" customWidth="1"/>
    <col min="29" max="33" width="8.5703125" style="555"/>
    <col min="34" max="46" width="12.42578125" style="555" customWidth="1"/>
    <col min="47" max="48" width="12.42578125" style="555" hidden="1" customWidth="1"/>
    <col min="49" max="50" width="12.42578125" style="555" customWidth="1"/>
    <col min="51" max="16384" width="8.5703125" style="555"/>
  </cols>
  <sheetData>
    <row r="1" spans="1:62" ht="13.5" customHeight="1" x14ac:dyDescent="0.55000000000000004">
      <c r="D1" s="6239" t="s">
        <v>618</v>
      </c>
      <c r="E1" s="842" t="s">
        <v>1083</v>
      </c>
      <c r="F1" s="842" t="s">
        <v>619</v>
      </c>
      <c r="G1" s="842" t="s">
        <v>992</v>
      </c>
      <c r="H1" s="842" t="s">
        <v>440</v>
      </c>
      <c r="I1" s="842" t="s">
        <v>439</v>
      </c>
      <c r="J1" s="842" t="s">
        <v>441</v>
      </c>
      <c r="K1" s="842" t="s">
        <v>620</v>
      </c>
      <c r="L1" s="6174" t="s">
        <v>442</v>
      </c>
      <c r="M1" s="6174" t="s">
        <v>449</v>
      </c>
      <c r="R1" s="842" t="s">
        <v>812</v>
      </c>
      <c r="S1" s="842" t="s">
        <v>813</v>
      </c>
      <c r="T1" s="842" t="s">
        <v>814</v>
      </c>
      <c r="U1" s="842" t="s">
        <v>1221</v>
      </c>
      <c r="V1" s="842" t="s">
        <v>743</v>
      </c>
      <c r="W1" s="842" t="s">
        <v>611</v>
      </c>
      <c r="X1" s="842" t="s">
        <v>612</v>
      </c>
      <c r="Y1" s="842" t="s">
        <v>868</v>
      </c>
      <c r="Z1" s="2776" t="s">
        <v>816</v>
      </c>
      <c r="AA1" s="842" t="s">
        <v>817</v>
      </c>
    </row>
    <row r="2" spans="1:62" ht="13.5" customHeight="1" thickBot="1" x14ac:dyDescent="0.6"/>
    <row r="3" spans="1:62" ht="60" customHeight="1" thickTop="1" thickBot="1" x14ac:dyDescent="0.6">
      <c r="A3" s="7226" t="s">
        <v>863</v>
      </c>
      <c r="B3" s="7226"/>
      <c r="C3" s="7226"/>
      <c r="D3" s="7226"/>
      <c r="E3" s="7226"/>
      <c r="F3" s="7226"/>
      <c r="G3" s="7226"/>
      <c r="H3" s="7226"/>
      <c r="I3" s="7226"/>
      <c r="J3" s="7226"/>
      <c r="K3" s="7226"/>
      <c r="L3" s="7226"/>
      <c r="M3" s="7226"/>
      <c r="N3" s="7226"/>
      <c r="O3" s="7226"/>
      <c r="P3" s="7226"/>
      <c r="Q3" s="7226"/>
      <c r="R3" s="7226"/>
      <c r="S3" s="7226"/>
      <c r="T3" s="7226"/>
      <c r="U3" s="7226"/>
      <c r="V3" s="7226"/>
      <c r="W3" s="7226"/>
      <c r="X3" s="7226"/>
      <c r="Y3" s="7226"/>
      <c r="Z3" s="7226"/>
      <c r="AA3" s="7226"/>
    </row>
    <row r="4" spans="1:62" s="561" customFormat="1" ht="15.55" customHeight="1" thickTop="1" thickBot="1" x14ac:dyDescent="0.6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Z4" s="564"/>
      <c r="AA4" s="564"/>
      <c r="AB4" s="564"/>
      <c r="AC4" s="564"/>
      <c r="AG4" s="562"/>
      <c r="AI4" s="562"/>
      <c r="AJ4" s="562"/>
      <c r="AK4" s="563"/>
      <c r="AM4" s="562"/>
      <c r="AN4" s="563"/>
      <c r="BF4" s="566"/>
      <c r="BG4" s="566"/>
      <c r="BH4" s="566"/>
      <c r="BI4" s="566"/>
      <c r="BJ4" s="566"/>
    </row>
    <row r="5" spans="1:62" ht="27.45" thickBot="1" x14ac:dyDescent="0.6">
      <c r="A5" s="2678"/>
      <c r="B5" s="2777"/>
      <c r="C5" s="2778"/>
      <c r="D5" s="2778"/>
      <c r="E5" s="1152"/>
      <c r="F5" s="7237" t="s">
        <v>1193</v>
      </c>
      <c r="G5" s="7192"/>
      <c r="H5" s="7192"/>
      <c r="I5" s="7192"/>
      <c r="J5" s="7192"/>
      <c r="K5" s="7238"/>
      <c r="L5" s="7239" t="s">
        <v>1195</v>
      </c>
      <c r="M5" s="7192"/>
      <c r="N5" s="7192"/>
      <c r="O5" s="7192"/>
      <c r="P5" s="7192"/>
      <c r="Q5" s="7192"/>
      <c r="R5" s="7192"/>
      <c r="S5" s="7192"/>
      <c r="T5" s="7192"/>
      <c r="U5" s="7238"/>
      <c r="V5" s="7072" t="str">
        <f>"연간누적실적(~"&amp;MONTH('※ 디지털 세부데이터'!A1)&amp;"월)"</f>
        <v>연간누적실적(~2월)</v>
      </c>
      <c r="W5" s="7072"/>
      <c r="X5" s="7072"/>
      <c r="Y5" s="7072"/>
      <c r="Z5" s="7072"/>
      <c r="AA5" s="7100"/>
      <c r="AB5" s="2527" t="s">
        <v>453</v>
      </c>
    </row>
    <row r="6" spans="1:62" ht="16.75" thickBot="1" x14ac:dyDescent="0.6">
      <c r="A6" s="7234" t="s">
        <v>124</v>
      </c>
      <c r="B6" s="7235"/>
      <c r="C6" s="7236"/>
      <c r="D6" s="6243" t="s">
        <v>829</v>
      </c>
      <c r="E6" s="2779" t="s">
        <v>1213</v>
      </c>
      <c r="F6" s="2780" t="str" cm="1">
        <f t="array" aca="1" ref="F6" ca="1">INDIRECT("'※ 디지털 세부데이터'!"&amp;F$1&amp;$AB6, TRUE)</f>
        <v>'25.1월</v>
      </c>
      <c r="G6" s="575" t="str" cm="1">
        <f t="array" aca="1" ref="G6" ca="1">INDIRECT("'※ 디지털 세부데이터'!"&amp;G$1&amp;$AB6, TRUE)</f>
        <v>'25.2월</v>
      </c>
      <c r="H6" s="575" t="str" cm="1">
        <f t="array" aca="1" ref="H6" ca="1">INDIRECT("'※ 디지털 세부데이터'!"&amp;H$1&amp;$AB6, TRUE)</f>
        <v>'25.3월</v>
      </c>
      <c r="I6" s="575" t="str" cm="1">
        <f t="array" aca="1" ref="I6" ca="1">INDIRECT("'※ 디지털 세부데이터'!"&amp;I$1&amp;$AB6, TRUE)</f>
        <v>'25.4월</v>
      </c>
      <c r="J6" s="575" t="str" cm="1">
        <f t="array" aca="1" ref="J6" ca="1">INDIRECT("'※ 디지털 세부데이터'!"&amp;J$1&amp;$AB6, TRUE)</f>
        <v>'25.5월</v>
      </c>
      <c r="K6" s="6190" t="str" cm="1">
        <f t="array" aca="1" ref="K6" ca="1">INDIRECT("'※ 디지털 세부데이터'!"&amp;K$1&amp;$AB6, TRUE)</f>
        <v>'25.6월</v>
      </c>
      <c r="L6" s="6404" t="str" cm="1">
        <f t="array" aca="1" ref="L6" ca="1">INDIRECT("'※ 디지털 세부데이터'!"&amp;L$1&amp;$AB6, TRUE)</f>
        <v>'26.1월</v>
      </c>
      <c r="M6" s="575" t="str" cm="1">
        <f t="array" aca="1" ref="M6" ca="1">INDIRECT("'※ 디지털 세부데이터'!"&amp;M$1&amp;$AB6, TRUE)</f>
        <v>'26.2월</v>
      </c>
      <c r="N6" s="575"/>
      <c r="O6" s="575"/>
      <c r="P6" s="575"/>
      <c r="Q6" s="575"/>
      <c r="R6" s="1156" t="s">
        <v>720</v>
      </c>
      <c r="S6" s="1156" t="s">
        <v>721</v>
      </c>
      <c r="T6" s="850" t="s">
        <v>722</v>
      </c>
      <c r="U6" s="6405" t="s">
        <v>443</v>
      </c>
      <c r="V6" s="2782" t="s">
        <v>44</v>
      </c>
      <c r="W6" s="2783" t="s">
        <v>8</v>
      </c>
      <c r="X6" s="2783" t="s">
        <v>9</v>
      </c>
      <c r="Y6" s="2783" t="s">
        <v>569</v>
      </c>
      <c r="Z6" s="2784" t="s">
        <v>45</v>
      </c>
      <c r="AA6" s="2785" t="s">
        <v>11</v>
      </c>
      <c r="AB6" s="1520">
        <f>ROW('※ 디지털 세부데이터'!L4)</f>
        <v>4</v>
      </c>
    </row>
    <row r="7" spans="1:62" ht="21.75" customHeight="1" x14ac:dyDescent="0.55000000000000004">
      <c r="A7" s="7228" t="s">
        <v>313</v>
      </c>
      <c r="B7" s="7230" t="s">
        <v>962</v>
      </c>
      <c r="C7" s="7231"/>
      <c r="D7" s="2786" cm="1">
        <f t="array" aca="1" ref="D7" ca="1">INDIRECT("'※ 디지털 세부데이터'!"&amp;D$1&amp;$AB7, TRUE)</f>
        <v>11492.583333333334</v>
      </c>
      <c r="E7" s="2787" cm="1">
        <f t="array" aca="1" ref="E7" ca="1">INDIRECT("'※ 디지털 세부데이터'!"&amp;E$1&amp;$AB7, TRUE)</f>
        <v>16815.583333333332</v>
      </c>
      <c r="F7" s="2788" cm="1">
        <f t="array" aca="1" ref="F7" ca="1">INDIRECT("'※ 디지털 세부데이터'!"&amp;F$1&amp;$AB7, TRUE)</f>
        <v>7588</v>
      </c>
      <c r="G7" s="2789" cm="1">
        <f t="array" aca="1" ref="G7" ca="1">INDIRECT("'※ 디지털 세부데이터'!"&amp;G$1&amp;$AB7, TRUE)</f>
        <v>20682</v>
      </c>
      <c r="H7" s="2789" cm="1">
        <f t="array" aca="1" ref="H7" ca="1">INDIRECT("'※ 디지털 세부데이터'!"&amp;H$1&amp;$AB7, TRUE)</f>
        <v>10591</v>
      </c>
      <c r="I7" s="2789" cm="1">
        <f t="array" aca="1" ref="I7" ca="1">INDIRECT("'※ 디지털 세부데이터'!"&amp;I$1&amp;$AB7, TRUE)</f>
        <v>14687</v>
      </c>
      <c r="J7" s="2789" cm="1">
        <f t="array" aca="1" ref="J7" ca="1">INDIRECT("'※ 디지털 세부데이터'!"&amp;J$1&amp;$AB7, TRUE)</f>
        <v>30235</v>
      </c>
      <c r="K7" s="6191" cm="1">
        <f t="array" aca="1" ref="K7" ca="1">INDIRECT("'※ 디지털 세부데이터'!"&amp;K$1&amp;$AB7, TRUE)</f>
        <v>15026</v>
      </c>
      <c r="L7" s="6406" cm="1">
        <f t="array" aca="1" ref="L7" ca="1">INDIRECT("'※ 디지털 세부데이터'!"&amp;L$1&amp;$AB7, TRUE)</f>
        <v>17312</v>
      </c>
      <c r="M7" s="2789" cm="1">
        <f t="array" aca="1" ref="M7" ca="1">INDIRECT("'※ 디지털 세부데이터'!"&amp;M$1&amp;$AB7, TRUE)</f>
        <v>10548</v>
      </c>
      <c r="N7" s="2789"/>
      <c r="O7" s="2789"/>
      <c r="P7" s="2789"/>
      <c r="Q7" s="2789"/>
      <c r="R7" s="2789" cm="1">
        <f t="array" aca="1" ref="R7" ca="1">INDIRECT("'※ 디지털 세부데이터'!"&amp;R$1&amp;$AB7, TRUE)</f>
        <v>-12452</v>
      </c>
      <c r="S7" s="6399" cm="1">
        <f t="array" aca="1" ref="S7" ca="1">INDIRECT("'※ 디지털 세부데이터'!"&amp;S$1&amp;$AB7, TRUE)</f>
        <v>0.45860869565217394</v>
      </c>
      <c r="T7" s="2789" cm="1">
        <f t="array" aca="1" ref="T7" ca="1">INDIRECT("'※ 디지털 세부데이터'!"&amp;T$1&amp;$AB7, TRUE)</f>
        <v>-6764</v>
      </c>
      <c r="U7" s="6191" cm="1">
        <f t="array" aca="1" ref="U7" ca="1">INDIRECT("'※ 디지털 세부데이터'!"&amp;U$1&amp;$AB7, TRUE)</f>
        <v>-10134</v>
      </c>
      <c r="V7" s="2790" cm="1">
        <f t="array" aca="1" ref="V7" ca="1">INDIRECT("'※ 디지털 세부데이터'!"&amp;V$1&amp;$AB7, TRUE)</f>
        <v>27860</v>
      </c>
      <c r="W7" s="2789" cm="1">
        <f t="array" aca="1" ref="W7" ca="1">INDIRECT("'※ 디지털 세부데이터'!"&amp;W$1&amp;$AB7, TRUE)</f>
        <v>10078</v>
      </c>
      <c r="X7" s="2791" cm="1">
        <f t="array" aca="1" ref="X7" ca="1">INDIRECT("'※ 디지털 세부데이터'!"&amp;X$1&amp;$AB7, TRUE)</f>
        <v>10130</v>
      </c>
      <c r="Y7" s="2789" cm="1">
        <f t="array" aca="1" ref="Y7" ca="1">INDIRECT("'※ 디지털 세부데이터'!"&amp;Y$1&amp;$AB7, TRUE)</f>
        <v>-410</v>
      </c>
      <c r="Z7" s="2789" cm="1">
        <f t="array" aca="1" ref="Z7" ca="1">INDIRECT("'※ 디지털 세부데이터'!"&amp;Z$1&amp;$AB7, TRUE)</f>
        <v>13930</v>
      </c>
      <c r="AA7" s="2792" cm="1">
        <f t="array" aca="1" ref="AA7" ca="1">INDIRECT("'※ 디지털 세부데이터'!"&amp;AA$1&amp;$AB7, TRUE)</f>
        <v>-2885.5833333333321</v>
      </c>
      <c r="AB7" s="1520">
        <f>ROW('※ 디지털 세부데이터'!L5)</f>
        <v>5</v>
      </c>
    </row>
    <row r="8" spans="1:62" ht="21.75" customHeight="1" x14ac:dyDescent="0.55000000000000004">
      <c r="A8" s="7229"/>
      <c r="B8" s="2506"/>
      <c r="C8" s="2770" t="s">
        <v>297</v>
      </c>
      <c r="D8" s="2793" cm="1">
        <f t="array" aca="1" ref="D8" ca="1">INDIRECT("'※ 디지털 세부데이터'!"&amp;D$1&amp;$AB8, TRUE)</f>
        <v>10239.75</v>
      </c>
      <c r="E8" s="2794" cm="1">
        <f t="array" aca="1" ref="E8" ca="1">INDIRECT("'※ 디지털 세부데이터'!"&amp;E$1&amp;$AB8, TRUE)</f>
        <v>16552</v>
      </c>
      <c r="F8" s="2795" cm="1">
        <f t="array" aca="1" ref="F8" ca="1">INDIRECT("'※ 디지털 세부데이터'!"&amp;F$1&amp;$AB8, TRUE)</f>
        <v>7577</v>
      </c>
      <c r="G8" s="2796" cm="1">
        <f t="array" aca="1" ref="G8" ca="1">INDIRECT("'※ 디지털 세부데이터'!"&amp;G$1&amp;$AB8, TRUE)</f>
        <v>20613</v>
      </c>
      <c r="H8" s="2796" cm="1">
        <f t="array" aca="1" ref="H8" ca="1">INDIRECT("'※ 디지털 세부데이터'!"&amp;H$1&amp;$AB8, TRUE)</f>
        <v>10585</v>
      </c>
      <c r="I8" s="2796" cm="1">
        <f t="array" aca="1" ref="I8" ca="1">INDIRECT("'※ 디지털 세부데이터'!"&amp;I$1&amp;$AB8, TRUE)</f>
        <v>14677</v>
      </c>
      <c r="J8" s="2796" cm="1">
        <f t="array" aca="1" ref="J8" ca="1">INDIRECT("'※ 디지털 세부데이터'!"&amp;J$1&amp;$AB8, TRUE)</f>
        <v>30183</v>
      </c>
      <c r="K8" s="6192" cm="1">
        <f t="array" aca="1" ref="K8" ca="1">INDIRECT("'※ 디지털 세부데이터'!"&amp;K$1&amp;$AB8, TRUE)</f>
        <v>14907</v>
      </c>
      <c r="L8" s="6407" cm="1">
        <f t="array" aca="1" ref="L8" ca="1">INDIRECT("'※ 디지털 세부데이터'!"&amp;L$1&amp;$AB8, TRUE)</f>
        <v>16767</v>
      </c>
      <c r="M8" s="2796" cm="1">
        <f t="array" aca="1" ref="M8" ca="1">INDIRECT("'※ 디지털 세부데이터'!"&amp;M$1&amp;$AB8, TRUE)</f>
        <v>10281</v>
      </c>
      <c r="N8" s="2796"/>
      <c r="O8" s="2796"/>
      <c r="P8" s="2796"/>
      <c r="Q8" s="2796"/>
      <c r="R8" s="2796" cm="1">
        <f t="array" aca="1" ref="R8" ca="1">INDIRECT("'※ 디지털 세부데이터'!"&amp;R$1&amp;$AB8, TRUE)</f>
        <v>-12149</v>
      </c>
      <c r="S8" s="6400" cm="1">
        <f t="array" aca="1" ref="S8" ca="1">INDIRECT("'※ 디지털 세부데이터'!"&amp;S$1&amp;$AB8, TRUE)</f>
        <v>0.45835934016941599</v>
      </c>
      <c r="T8" s="2796" cm="1">
        <f t="array" aca="1" ref="T8" ca="1">INDIRECT("'※ 디지털 세부데이터'!"&amp;T$1&amp;$AB8, TRUE)</f>
        <v>-6486</v>
      </c>
      <c r="U8" s="6192" cm="1">
        <f t="array" aca="1" ref="U8" ca="1">INDIRECT("'※ 디지털 세부데이터'!"&amp;U$1&amp;$AB8, TRUE)</f>
        <v>-10332</v>
      </c>
      <c r="V8" s="2796" cm="1">
        <f t="array" aca="1" ref="V8" ca="1">INDIRECT("'※ 디지털 세부데이터'!"&amp;V$1&amp;$AB8, TRUE)</f>
        <v>27048</v>
      </c>
      <c r="W8" s="2796" cm="1">
        <f t="array" aca="1" ref="W8" ca="1">INDIRECT("'※ 디지털 세부데이터'!"&amp;W$1&amp;$AB8, TRUE)</f>
        <v>8212</v>
      </c>
      <c r="X8" s="2798" cm="1">
        <f t="array" aca="1" ref="X8" ca="1">INDIRECT("'※ 디지털 세부데이터'!"&amp;X$1&amp;$AB8, TRUE)</f>
        <v>8380</v>
      </c>
      <c r="Y8" s="2796" cm="1">
        <f t="array" aca="1" ref="Y8" ca="1">INDIRECT("'※ 디지털 세부데이터'!"&amp;Y$1&amp;$AB8, TRUE)</f>
        <v>-1142</v>
      </c>
      <c r="Z8" s="2796" cm="1">
        <f t="array" aca="1" ref="Z8" ca="1">INDIRECT("'※ 디지털 세부데이터'!"&amp;Z$1&amp;$AB8, TRUE)</f>
        <v>13524</v>
      </c>
      <c r="AA8" s="2799" cm="1">
        <f t="array" aca="1" ref="AA8" ca="1">INDIRECT("'※ 디지털 세부데이터'!"&amp;AA$1&amp;$AB8, TRUE)</f>
        <v>-3028</v>
      </c>
      <c r="AB8" s="1520">
        <f>ROW('※ 디지털 세부데이터'!L6)</f>
        <v>6</v>
      </c>
    </row>
    <row r="9" spans="1:62" ht="21.75" customHeight="1" x14ac:dyDescent="0.55000000000000004">
      <c r="A9" s="7229"/>
      <c r="B9" s="2506"/>
      <c r="C9" s="2770" t="s">
        <v>336</v>
      </c>
      <c r="D9" s="2793" cm="1">
        <f t="array" aca="1" ref="D9" ca="1">INDIRECT("'※ 디지털 세부데이터'!"&amp;D$1&amp;$AB9, TRUE)</f>
        <v>195</v>
      </c>
      <c r="E9" s="2794" cm="1">
        <f t="array" aca="1" ref="E9" ca="1">INDIRECT("'※ 디지털 세부데이터'!"&amp;E$1&amp;$AB9, TRUE)</f>
        <v>263.58333333333331</v>
      </c>
      <c r="F9" s="2795" cm="1">
        <f t="array" aca="1" ref="F9" ca="1">INDIRECT("'※ 디지털 세부데이터'!"&amp;F$1&amp;$AB9, TRUE)</f>
        <v>11</v>
      </c>
      <c r="G9" s="2796" cm="1">
        <f t="array" aca="1" ref="G9" ca="1">INDIRECT("'※ 디지털 세부데이터'!"&amp;G$1&amp;$AB9, TRUE)</f>
        <v>69</v>
      </c>
      <c r="H9" s="2796" cm="1">
        <f t="array" aca="1" ref="H9" ca="1">INDIRECT("'※ 디지털 세부데이터'!"&amp;H$1&amp;$AB9, TRUE)</f>
        <v>6</v>
      </c>
      <c r="I9" s="2796" cm="1">
        <f t="array" aca="1" ref="I9" ca="1">INDIRECT("'※ 디지털 세부데이터'!"&amp;I$1&amp;$AB9, TRUE)</f>
        <v>10</v>
      </c>
      <c r="J9" s="2796" cm="1">
        <f t="array" aca="1" ref="J9" ca="1">INDIRECT("'※ 디지털 세부데이터'!"&amp;J$1&amp;$AB9, TRUE)</f>
        <v>52</v>
      </c>
      <c r="K9" s="6192" cm="1">
        <f t="array" aca="1" ref="K9" ca="1">INDIRECT("'※ 디지털 세부데이터'!"&amp;K$1&amp;$AB9, TRUE)</f>
        <v>119</v>
      </c>
      <c r="L9" s="6407" cm="1">
        <f t="array" aca="1" ref="L9" ca="1">INDIRECT("'※ 디지털 세부데이터'!"&amp;L$1&amp;$AB9, TRUE)</f>
        <v>545</v>
      </c>
      <c r="M9" s="2796" cm="1">
        <f t="array" aca="1" ref="M9" ca="1">INDIRECT("'※ 디지털 세부데이터'!"&amp;M$1&amp;$AB9, TRUE)</f>
        <v>267</v>
      </c>
      <c r="N9" s="2796"/>
      <c r="O9" s="2796"/>
      <c r="P9" s="2796"/>
      <c r="Q9" s="2796"/>
      <c r="R9" s="2796" cm="1">
        <f t="array" aca="1" ref="R9" ca="1">INDIRECT("'※ 디지털 세부데이터'!"&amp;R$1&amp;$AB9, TRUE)</f>
        <v>-303</v>
      </c>
      <c r="S9" s="6400" cm="1">
        <f t="array" aca="1" ref="S9" ca="1">INDIRECT("'※ 디지털 세부데이터'!"&amp;S$1&amp;$AB9, TRUE)</f>
        <v>0.46842105263157896</v>
      </c>
      <c r="T9" s="2796" cm="1">
        <f t="array" aca="1" ref="T9" ca="1">INDIRECT("'※ 디지털 세부데이터'!"&amp;T$1&amp;$AB9, TRUE)</f>
        <v>-278</v>
      </c>
      <c r="U9" s="6192" cm="1">
        <f t="array" aca="1" ref="U9" ca="1">INDIRECT("'※ 디지털 세부데이터'!"&amp;U$1&amp;$AB9, TRUE)</f>
        <v>198</v>
      </c>
      <c r="V9" s="2796" cm="1">
        <f t="array" aca="1" ref="V9" ca="1">INDIRECT("'※ 디지털 세부데이터'!"&amp;V$1&amp;$AB9, TRUE)</f>
        <v>812</v>
      </c>
      <c r="W9" s="2796" cm="1">
        <f t="array" aca="1" ref="W9" ca="1">INDIRECT("'※ 디지털 세부데이터'!"&amp;W$1&amp;$AB9, TRUE)</f>
        <v>411</v>
      </c>
      <c r="X9" s="2798" cm="1">
        <f t="array" aca="1" ref="X9" ca="1">INDIRECT("'※ 디지털 세부데이터'!"&amp;X$1&amp;$AB9, TRUE)</f>
        <v>220</v>
      </c>
      <c r="Y9" s="2796" cm="1">
        <f t="array" aca="1" ref="Y9" ca="1">INDIRECT("'※ 디지털 세부데이터'!"&amp;Y$1&amp;$AB9, TRUE)</f>
        <v>732</v>
      </c>
      <c r="Z9" s="2796" cm="1">
        <f t="array" aca="1" ref="Z9" ca="1">INDIRECT("'※ 디지털 세부데이터'!"&amp;Z$1&amp;$AB9, TRUE)</f>
        <v>406</v>
      </c>
      <c r="AA9" s="2799" cm="1">
        <f t="array" aca="1" ref="AA9" ca="1">INDIRECT("'※ 디지털 세부데이터'!"&amp;AA$1&amp;$AB9, TRUE)</f>
        <v>142.41666666666669</v>
      </c>
      <c r="AB9" s="1520">
        <f>ROW('※ 디지털 세부데이터'!L7)</f>
        <v>7</v>
      </c>
    </row>
    <row r="10" spans="1:62" ht="21.75" customHeight="1" x14ac:dyDescent="0.55000000000000004">
      <c r="A10" s="7229"/>
      <c r="B10" s="7232" t="s">
        <v>723</v>
      </c>
      <c r="C10" s="7233"/>
      <c r="D10" s="2786" cm="1">
        <f t="array" aca="1" ref="D10" ca="1">INDIRECT("'※ 디지털 세부데이터'!"&amp;D$1&amp;$AB10, TRUE)</f>
        <v>8702.4166666666661</v>
      </c>
      <c r="E10" s="2800" cm="1">
        <f t="array" aca="1" ref="E10" ca="1">INDIRECT("'※ 디지털 세부데이터'!"&amp;E$1&amp;$AB10, TRUE)</f>
        <v>10524.083333333334</v>
      </c>
      <c r="F10" s="2801" cm="1">
        <f t="array" aca="1" ref="F10" ca="1">INDIRECT("'※ 디지털 세부데이터'!"&amp;F$1&amp;$AB10, TRUE)</f>
        <v>5385</v>
      </c>
      <c r="G10" s="2790" cm="1">
        <f t="array" aca="1" ref="G10" ca="1">INDIRECT("'※ 디지털 세부데이터'!"&amp;G$1&amp;$AB10, TRUE)</f>
        <v>16915</v>
      </c>
      <c r="H10" s="2790" cm="1">
        <f t="array" aca="1" ref="H10" ca="1">INDIRECT("'※ 디지털 세부데이터'!"&amp;H$1&amp;$AB10, TRUE)</f>
        <v>7408</v>
      </c>
      <c r="I10" s="2790" cm="1">
        <f t="array" aca="1" ref="I10" ca="1">INDIRECT("'※ 디지털 세부데이터'!"&amp;I$1&amp;$AB10, TRUE)</f>
        <v>7814</v>
      </c>
      <c r="J10" s="2790" cm="1">
        <f t="array" aca="1" ref="J10" ca="1">INDIRECT("'※ 디지털 세부데이터'!"&amp;J$1&amp;$AB10, TRUE)</f>
        <v>9792</v>
      </c>
      <c r="K10" s="6193" cm="1">
        <f t="array" aca="1" ref="K10" ca="1">INDIRECT("'※ 디지털 세부데이터'!"&amp;K$1&amp;$AB10, TRUE)</f>
        <v>7562</v>
      </c>
      <c r="L10" s="6408" cm="1">
        <f t="array" aca="1" ref="L10" ca="1">INDIRECT("'※ 디지털 세부데이터'!"&amp;L$1&amp;$AB10, TRUE)</f>
        <v>11824</v>
      </c>
      <c r="M10" s="2790" cm="1">
        <f t="array" aca="1" ref="M10" ca="1">INDIRECT("'※ 디지털 세부데이터'!"&amp;M$1&amp;$AB10, TRUE)</f>
        <v>7465</v>
      </c>
      <c r="N10" s="2790"/>
      <c r="O10" s="2790"/>
      <c r="P10" s="2790"/>
      <c r="Q10" s="2790"/>
      <c r="R10" s="2790" cm="1">
        <f t="array" aca="1" ref="R10" ca="1">INDIRECT("'※ 디지털 세부데이터'!"&amp;R$1&amp;$AB10, TRUE)</f>
        <v>-9835</v>
      </c>
      <c r="S10" s="6401" cm="1">
        <f t="array" aca="1" ref="S10" ca="1">INDIRECT("'※ 디지털 세부데이터'!"&amp;S$1&amp;$AB10, TRUE)</f>
        <v>0.43150289017341042</v>
      </c>
      <c r="T10" s="2790" cm="1">
        <f t="array" aca="1" ref="T10" ca="1">INDIRECT("'※ 디지털 세부데이터'!"&amp;T$1&amp;$AB10, TRUE)</f>
        <v>-4359</v>
      </c>
      <c r="U10" s="6193" cm="1">
        <f t="array" aca="1" ref="U10" ca="1">INDIRECT("'※ 디지털 세부데이터'!"&amp;U$1&amp;$AB10, TRUE)</f>
        <v>-9450</v>
      </c>
      <c r="V10" s="2790" cm="1">
        <f t="array" aca="1" ref="V10" ca="1">INDIRECT("'※ 디지털 세부데이터'!"&amp;V$1&amp;$AB10, TRUE)</f>
        <v>19289</v>
      </c>
      <c r="W10" s="2790" cm="1">
        <f t="array" aca="1" ref="W10" ca="1">INDIRECT("'※ 디지털 세부데이터'!"&amp;W$1&amp;$AB10, TRUE)</f>
        <v>7031</v>
      </c>
      <c r="X10" s="2803" cm="1">
        <f t="array" aca="1" ref="X10" ca="1">INDIRECT("'※ 디지털 세부데이터'!"&amp;X$1&amp;$AB10, TRUE)</f>
        <v>6737</v>
      </c>
      <c r="Y10" s="2790" cm="1">
        <f t="array" aca="1" ref="Y10" ca="1">INDIRECT("'※ 디지털 세부데이터'!"&amp;Y$1&amp;$AB10, TRUE)</f>
        <v>-3011</v>
      </c>
      <c r="Z10" s="2790" cm="1">
        <f t="array" aca="1" ref="Z10" ca="1">INDIRECT("'※ 디지털 세부데이터'!"&amp;Z$1&amp;$AB10, TRUE)</f>
        <v>9644.5</v>
      </c>
      <c r="AA10" s="2804" cm="1">
        <f t="array" aca="1" ref="AA10" ca="1">INDIRECT("'※ 디지털 세부데이터'!"&amp;AA$1&amp;$AB10, TRUE)</f>
        <v>-879.58333333333394</v>
      </c>
      <c r="AB10" s="1520">
        <f>ROW('※ 디지털 세부데이터'!L8)</f>
        <v>8</v>
      </c>
    </row>
    <row r="11" spans="1:62" ht="21.75" customHeight="1" x14ac:dyDescent="0.55000000000000004">
      <c r="A11" s="7229"/>
      <c r="B11" s="2506"/>
      <c r="C11" s="2770" t="s">
        <v>724</v>
      </c>
      <c r="D11" s="2793" cm="1">
        <f t="array" aca="1" ref="D11" ca="1">INDIRECT("'※ 디지털 세부데이터'!"&amp;D$1&amp;$AB11, TRUE)</f>
        <v>7480.083333333333</v>
      </c>
      <c r="E11" s="2805" cm="1">
        <f t="array" aca="1" ref="E11" ca="1">INDIRECT("'※ 디지털 세부데이터'!"&amp;E$1&amp;$AB11, TRUE)</f>
        <v>10260.333333333334</v>
      </c>
      <c r="F11" s="2806" cm="1">
        <f t="array" aca="1" ref="F11" ca="1">INDIRECT("'※ 디지털 세부데이터'!"&amp;F$1&amp;$AB11, TRUE)</f>
        <v>5374</v>
      </c>
      <c r="G11" s="2807" cm="1">
        <f t="array" aca="1" ref="G11" ca="1">INDIRECT("'※ 디지털 세부데이터'!"&amp;G$1&amp;$AB11, TRUE)</f>
        <v>16846</v>
      </c>
      <c r="H11" s="2807" cm="1">
        <f t="array" aca="1" ref="H11" ca="1">INDIRECT("'※ 디지털 세부데이터'!"&amp;H$1&amp;$AB11, TRUE)</f>
        <v>7402</v>
      </c>
      <c r="I11" s="2807" cm="1">
        <f t="array" aca="1" ref="I11" ca="1">INDIRECT("'※ 디지털 세부데이터'!"&amp;I$1&amp;$AB11, TRUE)</f>
        <v>7804</v>
      </c>
      <c r="J11" s="2807" cm="1">
        <f t="array" aca="1" ref="J11" ca="1">INDIRECT("'※ 디지털 세부데이터'!"&amp;J$1&amp;$AB11, TRUE)</f>
        <v>9740</v>
      </c>
      <c r="K11" s="6194" cm="1">
        <f t="array" aca="1" ref="K11" ca="1">INDIRECT("'※ 디지털 세부데이터'!"&amp;K$1&amp;$AB11, TRUE)</f>
        <v>7441</v>
      </c>
      <c r="L11" s="6409" cm="1">
        <f t="array" aca="1" ref="L11" ca="1">INDIRECT("'※ 디지털 세부데이터'!"&amp;L$1&amp;$AB11, TRUE)</f>
        <v>11279</v>
      </c>
      <c r="M11" s="2807" cm="1">
        <f t="array" aca="1" ref="M11" ca="1">INDIRECT("'※ 디지털 세부데이터'!"&amp;M$1&amp;$AB11, TRUE)</f>
        <v>7198</v>
      </c>
      <c r="N11" s="2807"/>
      <c r="O11" s="2807"/>
      <c r="P11" s="2807"/>
      <c r="Q11" s="2807"/>
      <c r="R11" s="2807" cm="1">
        <f t="array" aca="1" ref="R11" ca="1">INDIRECT("'※ 디지털 세부데이터'!"&amp;R$1&amp;$AB11, TRUE)</f>
        <v>-9532</v>
      </c>
      <c r="S11" s="6402" cm="1">
        <f t="array" aca="1" ref="S11" ca="1">INDIRECT("'※ 디지털 세부데이터'!"&amp;S$1&amp;$AB11, TRUE)</f>
        <v>0.43024506873879259</v>
      </c>
      <c r="T11" s="2807" cm="1">
        <f t="array" aca="1" ref="T11" ca="1">INDIRECT("'※ 디지털 세부데이터'!"&amp;T$1&amp;$AB11, TRUE)</f>
        <v>-4081</v>
      </c>
      <c r="U11" s="6194" cm="1">
        <f t="array" aca="1" ref="U11" ca="1">INDIRECT("'※ 디지털 세부데이터'!"&amp;U$1&amp;$AB11, TRUE)</f>
        <v>-9648</v>
      </c>
      <c r="V11" s="2807" cm="1">
        <f t="array" aca="1" ref="V11" ca="1">INDIRECT("'※ 디지털 세부데이터'!"&amp;V$1&amp;$AB11, TRUE)</f>
        <v>18477</v>
      </c>
      <c r="W11" s="2807" cm="1">
        <f t="array" aca="1" ref="W11" ca="1">INDIRECT("'※ 디지털 세부데이터'!"&amp;W$1&amp;$AB11, TRUE)</f>
        <v>5237</v>
      </c>
      <c r="X11" s="2809" cm="1">
        <f t="array" aca="1" ref="X11" ca="1">INDIRECT("'※ 디지털 세부데이터'!"&amp;X$1&amp;$AB11, TRUE)</f>
        <v>5041</v>
      </c>
      <c r="Y11" s="2807" cm="1">
        <f t="array" aca="1" ref="Y11" ca="1">INDIRECT("'※ 디지털 세부데이터'!"&amp;Y$1&amp;$AB11, TRUE)</f>
        <v>-3743</v>
      </c>
      <c r="Z11" s="2807" cm="1">
        <f t="array" aca="1" ref="Z11" ca="1">INDIRECT("'※ 디지털 세부데이터'!"&amp;Z$1&amp;$AB11, TRUE)</f>
        <v>9238.5</v>
      </c>
      <c r="AA11" s="2810" cm="1">
        <f t="array" aca="1" ref="AA11" ca="1">INDIRECT("'※ 디지털 세부데이터'!"&amp;AA$1&amp;$AB11, TRUE)</f>
        <v>-1021.8333333333339</v>
      </c>
      <c r="AB11" s="1520">
        <f>ROW('※ 디지털 세부데이터'!L9)</f>
        <v>9</v>
      </c>
    </row>
    <row r="12" spans="1:62" ht="21.75" customHeight="1" x14ac:dyDescent="0.55000000000000004">
      <c r="A12" s="7229"/>
      <c r="B12" s="2506"/>
      <c r="C12" s="2770" t="s">
        <v>1003</v>
      </c>
      <c r="D12" s="2793" cm="1">
        <f t="array" aca="1" ref="D12" ca="1">INDIRECT("'※ 디지털 세부데이터'!"&amp;D$1&amp;$AB12, TRUE)</f>
        <v>195</v>
      </c>
      <c r="E12" s="2805" cm="1">
        <f t="array" aca="1" ref="E12" ca="1">INDIRECT("'※ 디지털 세부데이터'!"&amp;E$1&amp;$AB12, TRUE)</f>
        <v>263.75</v>
      </c>
      <c r="F12" s="2806" cm="1">
        <f t="array" aca="1" ref="F12" ca="1">INDIRECT("'※ 디지털 세부데이터'!"&amp;F$1&amp;$AB12, TRUE)</f>
        <v>11</v>
      </c>
      <c r="G12" s="2807" cm="1">
        <f t="array" aca="1" ref="G12" ca="1">INDIRECT("'※ 디지털 세부데이터'!"&amp;G$1&amp;$AB12, TRUE)</f>
        <v>69</v>
      </c>
      <c r="H12" s="2807" cm="1">
        <f t="array" aca="1" ref="H12" ca="1">INDIRECT("'※ 디지털 세부데이터'!"&amp;H$1&amp;$AB12, TRUE)</f>
        <v>6</v>
      </c>
      <c r="I12" s="2807" cm="1">
        <f t="array" aca="1" ref="I12" ca="1">INDIRECT("'※ 디지털 세부데이터'!"&amp;I$1&amp;$AB12, TRUE)</f>
        <v>10</v>
      </c>
      <c r="J12" s="2807" cm="1">
        <f t="array" aca="1" ref="J12" ca="1">INDIRECT("'※ 디지털 세부데이터'!"&amp;J$1&amp;$AB12, TRUE)</f>
        <v>52</v>
      </c>
      <c r="K12" s="6194" cm="1">
        <f t="array" aca="1" ref="K12" ca="1">INDIRECT("'※ 디지털 세부데이터'!"&amp;K$1&amp;$AB12, TRUE)</f>
        <v>121</v>
      </c>
      <c r="L12" s="6409" cm="1">
        <f t="array" aca="1" ref="L12" ca="1">INDIRECT("'※ 디지털 세부데이터'!"&amp;L$1&amp;$AB12, TRUE)</f>
        <v>545</v>
      </c>
      <c r="M12" s="2807" cm="1">
        <f t="array" aca="1" ref="M12" ca="1">INDIRECT("'※ 디지털 세부데이터'!"&amp;M$1&amp;$AB12, TRUE)</f>
        <v>267</v>
      </c>
      <c r="N12" s="2807"/>
      <c r="O12" s="2807"/>
      <c r="P12" s="2807"/>
      <c r="Q12" s="2807"/>
      <c r="R12" s="2807" cm="1">
        <f t="array" aca="1" ref="R12" ca="1">INDIRECT("'※ 디지털 세부데이터'!"&amp;R$1&amp;$AB12, TRUE)</f>
        <v>-303</v>
      </c>
      <c r="S12" s="6402" cm="1">
        <f t="array" aca="1" ref="S12" ca="1">INDIRECT("'※ 디지털 세부데이터'!"&amp;S$1&amp;$AB12, TRUE)</f>
        <v>0.46842105263157896</v>
      </c>
      <c r="T12" s="2807" cm="1">
        <f t="array" aca="1" ref="T12" ca="1">INDIRECT("'※ 디지털 세부데이터'!"&amp;T$1&amp;$AB12, TRUE)</f>
        <v>-278</v>
      </c>
      <c r="U12" s="6194" cm="1">
        <f t="array" aca="1" ref="U12" ca="1">INDIRECT("'※ 디지털 세부데이터'!"&amp;U$1&amp;$AB12, TRUE)</f>
        <v>198</v>
      </c>
      <c r="V12" s="2807" cm="1">
        <f t="array" aca="1" ref="V12" ca="1">INDIRECT("'※ 디지털 세부데이터'!"&amp;V$1&amp;$AB12, TRUE)</f>
        <v>812</v>
      </c>
      <c r="W12" s="2807" cm="1">
        <f t="array" aca="1" ref="W12" ca="1">INDIRECT("'※ 디지털 세부데이터'!"&amp;W$1&amp;$AB12, TRUE)</f>
        <v>411</v>
      </c>
      <c r="X12" s="2809" cm="1">
        <f t="array" aca="1" ref="X12" ca="1">INDIRECT("'※ 디지털 세부데이터'!"&amp;X$1&amp;$AB12, TRUE)</f>
        <v>220</v>
      </c>
      <c r="Y12" s="2807" cm="1">
        <f t="array" aca="1" ref="Y12" ca="1">INDIRECT("'※ 디지털 세부데이터'!"&amp;Y$1&amp;$AB12, TRUE)</f>
        <v>732</v>
      </c>
      <c r="Z12" s="2807" cm="1">
        <f t="array" aca="1" ref="Z12" ca="1">INDIRECT("'※ 디지털 세부데이터'!"&amp;Z$1&amp;$AB12, TRUE)</f>
        <v>406</v>
      </c>
      <c r="AA12" s="2810" cm="1">
        <f t="array" aca="1" ref="AA12" ca="1">INDIRECT("'※ 디지털 세부데이터'!"&amp;AA$1&amp;$AB12, TRUE)</f>
        <v>142.25</v>
      </c>
      <c r="AB12" s="1520">
        <f>ROW('※ 디지털 세부데이터'!L10)</f>
        <v>10</v>
      </c>
    </row>
    <row r="13" spans="1:62" ht="21.75" customHeight="1" x14ac:dyDescent="0.55000000000000004">
      <c r="A13" s="7229"/>
      <c r="B13" s="7232" t="s">
        <v>340</v>
      </c>
      <c r="C13" s="7233"/>
      <c r="D13" s="2786" cm="1">
        <f t="array" aca="1" ref="D13" ca="1">INDIRECT("'※ 디지털 세부데이터'!"&amp;D$1&amp;$AB13, TRUE)</f>
        <v>2790.1666666666665</v>
      </c>
      <c r="E13" s="2800" cm="1">
        <f t="array" aca="1" ref="E13" ca="1">INDIRECT("'※ 디지털 세부데이터'!"&amp;E$1&amp;$AB13, TRUE)</f>
        <v>6291.583333333333</v>
      </c>
      <c r="F13" s="2801" cm="1">
        <f t="array" aca="1" ref="F13" ca="1">INDIRECT("'※ 디지털 세부데이터'!"&amp;F$1&amp;$AB13, TRUE)</f>
        <v>2203</v>
      </c>
      <c r="G13" s="2790" cm="1">
        <f t="array" aca="1" ref="G13" ca="1">INDIRECT("'※ 디지털 세부데이터'!"&amp;G$1&amp;$AB13, TRUE)</f>
        <v>3767</v>
      </c>
      <c r="H13" s="2790" cm="1">
        <f t="array" aca="1" ref="H13" ca="1">INDIRECT("'※ 디지털 세부데이터'!"&amp;H$1&amp;$AB13, TRUE)</f>
        <v>3183</v>
      </c>
      <c r="I13" s="2790" cm="1">
        <f t="array" aca="1" ref="I13" ca="1">INDIRECT("'※ 디지털 세부데이터'!"&amp;I$1&amp;$AB13, TRUE)</f>
        <v>6874</v>
      </c>
      <c r="J13" s="2790" cm="1">
        <f t="array" aca="1" ref="J13" ca="1">INDIRECT("'※ 디지털 세부데이터'!"&amp;J$1&amp;$AB13, TRUE)</f>
        <v>20443</v>
      </c>
      <c r="K13" s="6193" cm="1">
        <f t="array" aca="1" ref="K13" ca="1">INDIRECT("'※ 디지털 세부데이터'!"&amp;K$1&amp;$AB13, TRUE)</f>
        <v>7464</v>
      </c>
      <c r="L13" s="6408" cm="1">
        <f t="array" aca="1" ref="L13" ca="1">INDIRECT("'※ 디지털 세부데이터'!"&amp;L$1&amp;$AB13, TRUE)</f>
        <v>5488</v>
      </c>
      <c r="M13" s="2790" cm="1">
        <f t="array" aca="1" ref="M13" ca="1">INDIRECT("'※ 디지털 세부데이터'!"&amp;M$1&amp;$AB13, TRUE)</f>
        <v>3083</v>
      </c>
      <c r="N13" s="2790"/>
      <c r="O13" s="2790"/>
      <c r="P13" s="2790"/>
      <c r="Q13" s="2790"/>
      <c r="R13" s="2790" cm="1">
        <f t="array" aca="1" ref="R13" ca="1">INDIRECT("'※ 디지털 세부데이터'!"&amp;R$1&amp;$AB13, TRUE)</f>
        <v>-2617</v>
      </c>
      <c r="S13" s="6401" cm="1">
        <f t="array" aca="1" ref="S13" ca="1">INDIRECT("'※ 디지털 세부데이터'!"&amp;S$1&amp;$AB13, TRUE)</f>
        <v>0.54087719298245618</v>
      </c>
      <c r="T13" s="2790" cm="1">
        <f t="array" aca="1" ref="T13" ca="1">INDIRECT("'※ 디지털 세부데이터'!"&amp;T$1&amp;$AB13, TRUE)</f>
        <v>-2405</v>
      </c>
      <c r="U13" s="6193" cm="1">
        <f t="array" aca="1" ref="U13" ca="1">INDIRECT("'※ 디지털 세부데이터'!"&amp;U$1&amp;$AB13, TRUE)</f>
        <v>-684</v>
      </c>
      <c r="V13" s="2790" cm="1">
        <f t="array" aca="1" ref="V13" ca="1">INDIRECT("'※ 디지털 세부데이터'!"&amp;V$1&amp;$AB13, TRUE)</f>
        <v>8571</v>
      </c>
      <c r="W13" s="2790" cm="1">
        <f t="array" aca="1" ref="W13" ca="1">INDIRECT("'※ 디지털 세부데이터'!"&amp;W$1&amp;$AB13, TRUE)</f>
        <v>3047</v>
      </c>
      <c r="X13" s="2803" cm="1">
        <f t="array" aca="1" ref="X13" ca="1">INDIRECT("'※ 디지털 세부데이터'!"&amp;X$1&amp;$AB13, TRUE)</f>
        <v>3393</v>
      </c>
      <c r="Y13" s="2790" cm="1">
        <f t="array" aca="1" ref="Y13" ca="1">INDIRECT("'※ 디지털 세부데이터'!"&amp;Y$1&amp;$AB13, TRUE)</f>
        <v>2601</v>
      </c>
      <c r="Z13" s="2790" cm="1">
        <f t="array" aca="1" ref="Z13" ca="1">INDIRECT("'※ 디지털 세부데이터'!"&amp;Z$1&amp;$AB13, TRUE)</f>
        <v>4285.5</v>
      </c>
      <c r="AA13" s="2804" cm="1">
        <f t="array" aca="1" ref="AA13" ca="1">INDIRECT("'※ 디지털 세부데이터'!"&amp;AA$1&amp;$AB13, TRUE)</f>
        <v>-2006.083333333333</v>
      </c>
      <c r="AB13" s="1520">
        <f>ROW('※ 디지털 세부데이터'!L11)</f>
        <v>11</v>
      </c>
    </row>
    <row r="14" spans="1:62" ht="17.149999999999999" customHeight="1" x14ac:dyDescent="0.55000000000000004">
      <c r="A14" s="7229"/>
      <c r="B14" s="7232" t="s">
        <v>1001</v>
      </c>
      <c r="C14" s="7233"/>
      <c r="D14" s="2786" cm="1">
        <f t="array" aca="1" ref="D14" ca="1">INDIRECT("'※ 디지털 세부데이터'!"&amp;D$1&amp;$AB14, TRUE)</f>
        <v>115.41666666666667</v>
      </c>
      <c r="E14" s="2800" cm="1">
        <f t="array" aca="1" ref="E14" ca="1">INDIRECT("'※ 디지털 세부데이터'!"&amp;E$1&amp;$AB14, TRUE)</f>
        <v>243.08333333333334</v>
      </c>
      <c r="F14" s="2801" cm="1">
        <f t="array" aca="1" ref="F14" ca="1">INDIRECT("'※ 디지털 세부데이터'!"&amp;F$1&amp;$AB14, TRUE)</f>
        <v>38</v>
      </c>
      <c r="G14" s="2790" cm="1">
        <f t="array" aca="1" ref="G14" ca="1">INDIRECT("'※ 디지털 세부데이터'!"&amp;G$1&amp;$AB14, TRUE)</f>
        <v>34</v>
      </c>
      <c r="H14" s="2790" cm="1">
        <f t="array" aca="1" ref="H14" ca="1">INDIRECT("'※ 디지털 세부데이터'!"&amp;H$1&amp;$AB14, TRUE)</f>
        <v>124</v>
      </c>
      <c r="I14" s="2790" cm="1">
        <f t="array" aca="1" ref="I14" ca="1">INDIRECT("'※ 디지털 세부데이터'!"&amp;I$1&amp;$AB14, TRUE)</f>
        <v>186</v>
      </c>
      <c r="J14" s="2790" cm="1">
        <f t="array" aca="1" ref="J14" ca="1">INDIRECT("'※ 디지털 세부데이터'!"&amp;J$1&amp;$AB14, TRUE)</f>
        <v>524</v>
      </c>
      <c r="K14" s="6193" cm="1">
        <f t="array" aca="1" ref="K14" ca="1">INDIRECT("'※ 디지털 세부데이터'!"&amp;K$1&amp;$AB14, TRUE)</f>
        <v>316</v>
      </c>
      <c r="L14" s="6408" cm="1">
        <f t="array" aca="1" ref="L14" ca="1">INDIRECT("'※ 디지털 세부데이터'!"&amp;L$1&amp;$AB14, TRUE)</f>
        <v>220</v>
      </c>
      <c r="M14" s="2790" cm="1">
        <f t="array" aca="1" ref="M14" ca="1">INDIRECT("'※ 디지털 세부데이터'!"&amp;M$1&amp;$AB14, TRUE)</f>
        <v>267</v>
      </c>
      <c r="N14" s="2790"/>
      <c r="O14" s="2790"/>
      <c r="P14" s="2790"/>
      <c r="Q14" s="2790"/>
      <c r="R14" s="2790" cm="1">
        <f t="array" aca="1" ref="R14" ca="1">INDIRECT("'※ 디지털 세부데이터'!"&amp;R$1&amp;$AB14, TRUE)</f>
        <v>-733</v>
      </c>
      <c r="S14" s="6401" cm="1">
        <f t="array" aca="1" ref="S14" ca="1">INDIRECT("'※ 디지털 세부데이터'!"&amp;S$1&amp;$AB14, TRUE)</f>
        <v>0.26700000000000002</v>
      </c>
      <c r="T14" s="2790" cm="1">
        <f t="array" aca="1" ref="T14" ca="1">INDIRECT("'※ 디지털 세부데이터'!"&amp;T$1&amp;$AB14, TRUE)</f>
        <v>47</v>
      </c>
      <c r="U14" s="6193" cm="1">
        <f t="array" aca="1" ref="U14" ca="1">INDIRECT("'※ 디지털 세부데이터'!"&amp;U$1&amp;$AB14, TRUE)</f>
        <v>233</v>
      </c>
      <c r="V14" s="2790" cm="1">
        <f t="array" aca="1" ref="V14" ca="1">INDIRECT("'※ 디지털 세부데이터'!"&amp;V$1&amp;$AB14, TRUE)</f>
        <v>487</v>
      </c>
      <c r="W14" s="2811"/>
      <c r="X14" s="2811"/>
      <c r="Y14" s="2790" cm="1">
        <f t="array" aca="1" ref="Y14" ca="1">INDIRECT("'※ 디지털 세부데이터'!"&amp;Y$1&amp;$AB14, TRUE)</f>
        <v>415</v>
      </c>
      <c r="Z14" s="2790" cm="1">
        <f t="array" aca="1" ref="Z14" ca="1">INDIRECT("'※ 디지털 세부데이터'!"&amp;Z$1&amp;$AB14, TRUE)</f>
        <v>243.5</v>
      </c>
      <c r="AA14" s="2804" cm="1">
        <f t="array" aca="1" ref="AA14" ca="1">INDIRECT("'※ 디지털 세부데이터'!"&amp;AA$1&amp;$AB14, TRUE)</f>
        <v>0.41666666666665719</v>
      </c>
      <c r="AB14" s="1520">
        <f>ROW('※ 디지털 세부데이터'!L12)</f>
        <v>12</v>
      </c>
    </row>
    <row r="15" spans="1:62" ht="16.5" customHeight="1" x14ac:dyDescent="0.55000000000000004">
      <c r="A15" s="7229"/>
      <c r="B15" s="2506"/>
      <c r="C15" s="2770" t="s">
        <v>86</v>
      </c>
      <c r="D15" s="2812"/>
      <c r="E15" s="2805" cm="1">
        <f t="array" aca="1" ref="E15" ca="1">INDIRECT("'※ 디지털 세부데이터'!"&amp;E$1&amp;$AB15, TRUE)</f>
        <v>141.41666666666666</v>
      </c>
      <c r="F15" s="2806" cm="1">
        <f t="array" aca="1" ref="F15" ca="1">INDIRECT("'※ 디지털 세부데이터'!"&amp;F$1&amp;$AB15, TRUE)</f>
        <v>22</v>
      </c>
      <c r="G15" s="2807" cm="1">
        <f t="array" aca="1" ref="G15" ca="1">INDIRECT("'※ 디지털 세부데이터'!"&amp;G$1&amp;$AB15, TRUE)</f>
        <v>19</v>
      </c>
      <c r="H15" s="2807" cm="1">
        <f t="array" aca="1" ref="H15" ca="1">INDIRECT("'※ 디지털 세부데이터'!"&amp;H$1&amp;$AB15, TRUE)</f>
        <v>81</v>
      </c>
      <c r="I15" s="2807" cm="1">
        <f t="array" aca="1" ref="I15" ca="1">INDIRECT("'※ 디지털 세부데이터'!"&amp;I$1&amp;$AB15, TRUE)</f>
        <v>124</v>
      </c>
      <c r="J15" s="2807" cm="1">
        <f t="array" aca="1" ref="J15" ca="1">INDIRECT("'※ 디지털 세부데이터'!"&amp;J$1&amp;$AB15, TRUE)</f>
        <v>311</v>
      </c>
      <c r="K15" s="6194" cm="1">
        <f t="array" aca="1" ref="K15" ca="1">INDIRECT("'※ 디지털 세부데이터'!"&amp;K$1&amp;$AB15, TRUE)</f>
        <v>197</v>
      </c>
      <c r="L15" s="6409" cm="1">
        <f t="array" aca="1" ref="L15" ca="1">INDIRECT("'※ 디지털 세부데이터'!"&amp;L$1&amp;$AB15, TRUE)</f>
        <v>129</v>
      </c>
      <c r="M15" s="2807" cm="1">
        <f t="array" aca="1" ref="M15" ca="1">INDIRECT("'※ 디지털 세부데이터'!"&amp;M$1&amp;$AB15, TRUE)</f>
        <v>157</v>
      </c>
      <c r="N15" s="2807"/>
      <c r="O15" s="2807"/>
      <c r="P15" s="2807"/>
      <c r="Q15" s="2807"/>
      <c r="R15" s="2807" cm="1">
        <f t="array" aca="1" ref="R15" ca="1">INDIRECT("'※ 디지털 세부데이터'!"&amp;R$1&amp;$AB15, TRUE)</f>
        <v>-343</v>
      </c>
      <c r="S15" s="6402" cm="1">
        <f t="array" aca="1" ref="S15" ca="1">INDIRECT("'※ 디지털 세부데이터'!"&amp;S$1&amp;$AB15, TRUE)</f>
        <v>0.314</v>
      </c>
      <c r="T15" s="2813" cm="1">
        <f t="array" aca="1" ref="T15" ca="1">INDIRECT("'※ 디지털 세부데이터'!"&amp;T$1&amp;$AB15, TRUE)</f>
        <v>28</v>
      </c>
      <c r="U15" s="6194" cm="1">
        <f t="array" aca="1" ref="U15" ca="1">INDIRECT("'※ 디지털 세부데이터'!"&amp;U$1&amp;$AB15, TRUE)</f>
        <v>138</v>
      </c>
      <c r="V15" s="2807" cm="1">
        <f t="array" aca="1" ref="V15" ca="1">INDIRECT("'※ 디지털 세부데이터'!"&amp;V$1&amp;$AB15, TRUE)</f>
        <v>286</v>
      </c>
      <c r="W15" s="2811"/>
      <c r="X15" s="2811"/>
      <c r="Y15" s="2813" cm="1">
        <f t="array" aca="1" ref="Y15" ca="1">INDIRECT("'※ 디지털 세부데이터'!"&amp;Y$1&amp;$AB15, TRUE)</f>
        <v>245</v>
      </c>
      <c r="Z15" s="2807" cm="1">
        <f t="array" aca="1" ref="Z15" ca="1">INDIRECT("'※ 디지털 세부데이터'!"&amp;Z$1&amp;$AB15, TRUE)</f>
        <v>143</v>
      </c>
      <c r="AA15" s="2810" cm="1">
        <f t="array" aca="1" ref="AA15" ca="1">INDIRECT("'※ 디지털 세부데이터'!"&amp;AA$1&amp;$AB15, TRUE)</f>
        <v>1.5833333333333428</v>
      </c>
      <c r="AB15" s="1520">
        <f>ROW('※ 디지털 세부데이터'!L15)</f>
        <v>15</v>
      </c>
    </row>
    <row r="16" spans="1:62" ht="16.5" customHeight="1" x14ac:dyDescent="0.55000000000000004">
      <c r="A16" s="7229"/>
      <c r="B16" s="2506"/>
      <c r="C16" s="2770" t="s">
        <v>87</v>
      </c>
      <c r="D16" s="2812"/>
      <c r="E16" s="2805" cm="1">
        <f t="array" aca="1" ref="E16" ca="1">INDIRECT("'※ 디지털 세부데이터'!"&amp;E$1&amp;$AB16, TRUE)</f>
        <v>101.66666666666667</v>
      </c>
      <c r="F16" s="2806" cm="1">
        <f t="array" aca="1" ref="F16" ca="1">INDIRECT("'※ 디지털 세부데이터'!"&amp;F$1&amp;$AB16, TRUE)</f>
        <v>16</v>
      </c>
      <c r="G16" s="2807" cm="1">
        <f t="array" aca="1" ref="G16" ca="1">INDIRECT("'※ 디지털 세부데이터'!"&amp;G$1&amp;$AB16, TRUE)</f>
        <v>15</v>
      </c>
      <c r="H16" s="2807" cm="1">
        <f t="array" aca="1" ref="H16" ca="1">INDIRECT("'※ 디지털 세부데이터'!"&amp;H$1&amp;$AB16, TRUE)</f>
        <v>43</v>
      </c>
      <c r="I16" s="2807" cm="1">
        <f t="array" aca="1" ref="I16" ca="1">INDIRECT("'※ 디지털 세부데이터'!"&amp;I$1&amp;$AB16, TRUE)</f>
        <v>62</v>
      </c>
      <c r="J16" s="2807" cm="1">
        <f t="array" aca="1" ref="J16" ca="1">INDIRECT("'※ 디지털 세부데이터'!"&amp;J$1&amp;$AB16, TRUE)</f>
        <v>213</v>
      </c>
      <c r="K16" s="6194" cm="1">
        <f t="array" aca="1" ref="K16" ca="1">INDIRECT("'※ 디지털 세부데이터'!"&amp;K$1&amp;$AB16, TRUE)</f>
        <v>119</v>
      </c>
      <c r="L16" s="6409" cm="1">
        <f t="array" aca="1" ref="L16" ca="1">INDIRECT("'※ 디지털 세부데이터'!"&amp;L$1&amp;$AB16, TRUE)</f>
        <v>91</v>
      </c>
      <c r="M16" s="2807" cm="1">
        <f t="array" aca="1" ref="M16" ca="1">INDIRECT("'※ 디지털 세부데이터'!"&amp;M$1&amp;$AB16, TRUE)</f>
        <v>110</v>
      </c>
      <c r="N16" s="2807"/>
      <c r="O16" s="2807"/>
      <c r="P16" s="2807"/>
      <c r="Q16" s="2807"/>
      <c r="R16" s="2807" cm="1">
        <f t="array" aca="1" ref="R16" ca="1">INDIRECT("'※ 디지털 세부데이터'!"&amp;R$1&amp;$AB16, TRUE)</f>
        <v>-390</v>
      </c>
      <c r="S16" s="6402" cm="1">
        <f t="array" aca="1" ref="S16" ca="1">INDIRECT("'※ 디지털 세부데이터'!"&amp;S$1&amp;$AB16, TRUE)</f>
        <v>0.22</v>
      </c>
      <c r="T16" s="2813" cm="1">
        <f t="array" aca="1" ref="T16" ca="1">INDIRECT("'※ 디지털 세부데이터'!"&amp;T$1&amp;$AB16, TRUE)</f>
        <v>19</v>
      </c>
      <c r="U16" s="6194" cm="1">
        <f t="array" aca="1" ref="U16" ca="1">INDIRECT("'※ 디지털 세부데이터'!"&amp;U$1&amp;$AB16, TRUE)</f>
        <v>95</v>
      </c>
      <c r="V16" s="2807" cm="1">
        <f t="array" aca="1" ref="V16" ca="1">INDIRECT("'※ 디지털 세부데이터'!"&amp;V$1&amp;$AB16, TRUE)</f>
        <v>201</v>
      </c>
      <c r="W16" s="2811"/>
      <c r="X16" s="2811"/>
      <c r="Y16" s="2813" cm="1">
        <f t="array" aca="1" ref="Y16" ca="1">INDIRECT("'※ 디지털 세부데이터'!"&amp;Y$1&amp;$AB16, TRUE)</f>
        <v>170</v>
      </c>
      <c r="Z16" s="2807" cm="1">
        <f t="array" aca="1" ref="Z16" ca="1">INDIRECT("'※ 디지털 세부데이터'!"&amp;Z$1&amp;$AB16, TRUE)</f>
        <v>100.5</v>
      </c>
      <c r="AA16" s="2810" cm="1">
        <f t="array" aca="1" ref="AA16" ca="1">INDIRECT("'※ 디지털 세부데이터'!"&amp;AA$1&amp;$AB16, TRUE)</f>
        <v>-1.1666666666666714</v>
      </c>
      <c r="AB16" s="1520">
        <f>ROW('※ 디지털 세부데이터'!L16)</f>
        <v>16</v>
      </c>
    </row>
    <row r="17" spans="1:64" ht="16.5" customHeight="1" x14ac:dyDescent="0.55000000000000004">
      <c r="A17" s="6180"/>
      <c r="B17" s="4428" t="s">
        <v>1161</v>
      </c>
      <c r="C17" s="4429"/>
      <c r="D17" s="6181"/>
      <c r="E17" s="2800" cm="1">
        <f t="array" aca="1" ref="E17" ca="1">INDIRECT("'※ 디지털 세부데이터'!"&amp;E$1&amp;$AB17, TRUE)</f>
        <v>0</v>
      </c>
      <c r="F17" s="2801" cm="1">
        <f t="array" aca="1" ref="F17" ca="1">INDIRECT("'※ 디지털 세부데이터'!"&amp;F$1&amp;$AB17, TRUE)</f>
        <v>0</v>
      </c>
      <c r="G17" s="2790" cm="1">
        <f t="array" aca="1" ref="G17" ca="1">INDIRECT("'※ 디지털 세부데이터'!"&amp;G$1&amp;$AB17, TRUE)</f>
        <v>0</v>
      </c>
      <c r="H17" s="2790" cm="1">
        <f t="array" aca="1" ref="H17" ca="1">INDIRECT("'※ 디지털 세부데이터'!"&amp;H$1&amp;$AB17, TRUE)</f>
        <v>0</v>
      </c>
      <c r="I17" s="2790" cm="1">
        <f t="array" aca="1" ref="I17" ca="1">INDIRECT("'※ 디지털 세부데이터'!"&amp;I$1&amp;$AB17, TRUE)</f>
        <v>0</v>
      </c>
      <c r="J17" s="2790" cm="1">
        <f t="array" aca="1" ref="J17" ca="1">INDIRECT("'※ 디지털 세부데이터'!"&amp;J$1&amp;$AB17, TRUE)</f>
        <v>0</v>
      </c>
      <c r="K17" s="6193" cm="1">
        <f t="array" aca="1" ref="K17" ca="1">INDIRECT("'※ 디지털 세부데이터'!"&amp;K$1&amp;$AB17, TRUE)</f>
        <v>0</v>
      </c>
      <c r="L17" s="6408" cm="1">
        <f t="array" aca="1" ref="L17" ca="1">INDIRECT("'※ 디지털 세부데이터'!"&amp;L$1&amp;$AB17, TRUE)</f>
        <v>25</v>
      </c>
      <c r="M17" s="2790" cm="1">
        <f t="array" aca="1" ref="M17" ca="1">INDIRECT("'※ 디지털 세부데이터'!"&amp;M$1&amp;$AB17, TRUE)</f>
        <v>28</v>
      </c>
      <c r="N17" s="2790"/>
      <c r="O17" s="2790"/>
      <c r="P17" s="2790"/>
      <c r="Q17" s="2790"/>
      <c r="R17" s="2790" cm="1">
        <f t="array" aca="1" ref="R17" ca="1">INDIRECT("'※ 디지털 세부데이터'!"&amp;R$1&amp;$AB17, TRUE)</f>
        <v>0</v>
      </c>
      <c r="S17" s="6401" cm="1">
        <f t="array" aca="1" ref="S17" ca="1">INDIRECT("'※ 디지털 세부데이터'!"&amp;S$1&amp;$AB17, TRUE)</f>
        <v>0</v>
      </c>
      <c r="T17" s="2630" cm="1">
        <f t="array" aca="1" ref="T17" ca="1">INDIRECT("'※ 디지털 세부데이터'!"&amp;T$1&amp;$AB17, TRUE)</f>
        <v>3</v>
      </c>
      <c r="U17" s="6193" cm="1">
        <f t="array" aca="1" ref="U17" ca="1">INDIRECT("'※ 디지털 세부데이터'!"&amp;U$1&amp;$AB17, TRUE)</f>
        <v>28</v>
      </c>
      <c r="V17" s="2790" cm="1">
        <f t="array" aca="1" ref="V17" ca="1">INDIRECT("'※ 디지털 세부데이터'!"&amp;V$1&amp;$AB17, TRUE)</f>
        <v>53</v>
      </c>
      <c r="W17" s="2630"/>
      <c r="X17" s="2630"/>
      <c r="Y17" s="2630" cm="1">
        <f t="array" aca="1" ref="Y17" ca="1">INDIRECT("'※ 디지털 세부데이터'!"&amp;Y$1&amp;$AB17, TRUE)</f>
        <v>53</v>
      </c>
      <c r="Z17" s="2790" cm="1">
        <f t="array" aca="1" ref="Z17" ca="1">INDIRECT("'※ 디지털 세부데이터'!"&amp;Z$1&amp;$AB17, TRUE)</f>
        <v>26.5</v>
      </c>
      <c r="AA17" s="2790" cm="1">
        <f t="array" aca="1" ref="AA17" ca="1">INDIRECT("'※ 디지털 세부데이터'!"&amp;AA$1&amp;$AB17, TRUE)</f>
        <v>26.5</v>
      </c>
      <c r="AB17" s="1520">
        <v>17</v>
      </c>
    </row>
    <row r="18" spans="1:64" ht="16.5" customHeight="1" x14ac:dyDescent="0.55000000000000004">
      <c r="A18" s="6180"/>
      <c r="B18" s="6175"/>
      <c r="C18" s="898" t="s">
        <v>1162</v>
      </c>
      <c r="D18" s="2812"/>
      <c r="E18" s="2805" cm="1">
        <f t="array" aca="1" ref="E18" ca="1">INDIRECT("'※ 디지털 세부데이터'!"&amp;E$1&amp;$AB18, TRUE)</f>
        <v>0</v>
      </c>
      <c r="F18" s="2806" cm="1">
        <f t="array" aca="1" ref="F18" ca="1">INDIRECT("'※ 디지털 세부데이터'!"&amp;F$1&amp;$AB18, TRUE)</f>
        <v>0</v>
      </c>
      <c r="G18" s="2807" cm="1">
        <f t="array" aca="1" ref="G18" ca="1">INDIRECT("'※ 디지털 세부데이터'!"&amp;G$1&amp;$AB18, TRUE)</f>
        <v>0</v>
      </c>
      <c r="H18" s="2807" cm="1">
        <f t="array" aca="1" ref="H18" ca="1">INDIRECT("'※ 디지털 세부데이터'!"&amp;H$1&amp;$AB18, TRUE)</f>
        <v>0</v>
      </c>
      <c r="I18" s="2807" cm="1">
        <f t="array" aca="1" ref="I18" ca="1">INDIRECT("'※ 디지털 세부데이터'!"&amp;I$1&amp;$AB18, TRUE)</f>
        <v>0</v>
      </c>
      <c r="J18" s="2807" cm="1">
        <f t="array" aca="1" ref="J18" ca="1">INDIRECT("'※ 디지털 세부데이터'!"&amp;J$1&amp;$AB18, TRUE)</f>
        <v>0</v>
      </c>
      <c r="K18" s="6194" cm="1">
        <f t="array" aca="1" ref="K18" ca="1">INDIRECT("'※ 디지털 세부데이터'!"&amp;K$1&amp;$AB18, TRUE)</f>
        <v>0</v>
      </c>
      <c r="L18" s="6410" cm="1">
        <f t="array" aca="1" ref="L18" ca="1">INDIRECT("'※ 디지털 세부데이터'!"&amp;L$1&amp;$AB18, TRUE)</f>
        <v>4</v>
      </c>
      <c r="M18" s="6411" cm="1">
        <f t="array" aca="1" ref="M18" ca="1">INDIRECT("'※ 디지털 세부데이터'!"&amp;M$1&amp;$AB18, TRUE)</f>
        <v>5</v>
      </c>
      <c r="N18" s="6411"/>
      <c r="O18" s="6411"/>
      <c r="P18" s="6411"/>
      <c r="Q18" s="6411"/>
      <c r="R18" s="6411" cm="1">
        <f t="array" aca="1" ref="R18" ca="1">INDIRECT("'※ 디지털 세부데이터'!"&amp;R$1&amp;$AB18, TRUE)</f>
        <v>0</v>
      </c>
      <c r="S18" s="6412" cm="1">
        <f t="array" aca="1" ref="S18" ca="1">INDIRECT("'※ 디지털 세부데이터'!"&amp;S$1&amp;$AB18, TRUE)</f>
        <v>0</v>
      </c>
      <c r="T18" s="4456" cm="1">
        <f t="array" aca="1" ref="T18" ca="1">INDIRECT("'※ 디지털 세부데이터'!"&amp;T$1&amp;$AB18, TRUE)</f>
        <v>1</v>
      </c>
      <c r="U18" s="6403" cm="1">
        <f t="array" aca="1" ref="U18" ca="1">INDIRECT("'※ 디지털 세부데이터'!"&amp;U$1&amp;$AB18, TRUE)</f>
        <v>5</v>
      </c>
      <c r="V18" s="2807" cm="1">
        <f t="array" aca="1" ref="V18" ca="1">INDIRECT("'※ 디지털 세부데이터'!"&amp;V$1&amp;$AB18, TRUE)</f>
        <v>9</v>
      </c>
      <c r="W18" s="2811"/>
      <c r="X18" s="2811"/>
      <c r="Y18" s="2813" cm="1">
        <f t="array" aca="1" ref="Y18" ca="1">INDIRECT("'※ 디지털 세부데이터'!"&amp;Y$1&amp;$AB18, TRUE)</f>
        <v>9</v>
      </c>
      <c r="Z18" s="2807" cm="1">
        <f t="array" aca="1" ref="Z18" ca="1">INDIRECT("'※ 디지털 세부데이터'!"&amp;Z$1&amp;$AB18, TRUE)</f>
        <v>4.5</v>
      </c>
      <c r="AA18" s="2807" cm="1">
        <f t="array" aca="1" ref="AA18" ca="1">INDIRECT("'※ 디지털 세부데이터'!"&amp;AA$1&amp;$AB18, TRUE)</f>
        <v>4.5</v>
      </c>
      <c r="AB18" s="1520">
        <v>18</v>
      </c>
    </row>
    <row r="19" spans="1:64" ht="18" customHeight="1" x14ac:dyDescent="0.55000000000000004">
      <c r="A19" s="7223" t="s">
        <v>725</v>
      </c>
      <c r="B19" s="7227" t="s">
        <v>964</v>
      </c>
      <c r="C19" s="7227"/>
      <c r="D19" s="2814" cm="1">
        <f t="array" aca="1" ref="D19" ca="1">INDIRECT("'※ 디지털 세부데이터'!"&amp;D$1&amp;$AB19, TRUE)</f>
        <v>86.083333333333329</v>
      </c>
      <c r="E19" s="2815" cm="1">
        <f t="array" aca="1" ref="E19" ca="1">INDIRECT("'※ 디지털 세부데이터'!"&amp;E$1&amp;$AB19, TRUE)</f>
        <v>135.58333333333334</v>
      </c>
      <c r="F19" s="2816" cm="1">
        <f t="array" aca="1" ref="F19" ca="1">INDIRECT("'※ 디지털 세부데이터'!"&amp;F$1&amp;$AB19, TRUE)</f>
        <v>117</v>
      </c>
      <c r="G19" s="6176" cm="1">
        <f t="array" aca="1" ref="G19" ca="1">INDIRECT("'※ 디지털 세부데이터'!"&amp;G$1&amp;$AB19, TRUE)</f>
        <v>121</v>
      </c>
      <c r="H19" s="6176" cm="1">
        <f t="array" aca="1" ref="H19" ca="1">INDIRECT("'※ 디지털 세부데이터'!"&amp;H$1&amp;$AB19, TRUE)</f>
        <v>136</v>
      </c>
      <c r="I19" s="6176" cm="1">
        <f t="array" aca="1" ref="I19" ca="1">INDIRECT("'※ 디지털 세부데이터'!"&amp;I$1&amp;$AB19, TRUE)</f>
        <v>137</v>
      </c>
      <c r="J19" s="6176" cm="1">
        <f t="array" aca="1" ref="J19" ca="1">INDIRECT("'※ 디지털 세부데이터'!"&amp;J$1&amp;$AB19, TRUE)</f>
        <v>139</v>
      </c>
      <c r="K19" s="6195" cm="1">
        <f t="array" aca="1" ref="K19" ca="1">INDIRECT("'※ 디지털 세부데이터'!"&amp;K$1&amp;$AB19, TRUE)</f>
        <v>150</v>
      </c>
      <c r="L19" s="6176" cm="1">
        <f t="array" aca="1" ref="L19" ca="1">INDIRECT("'※ 디지털 세부데이터'!"&amp;L$1&amp;$AB19, TRUE)</f>
        <v>148</v>
      </c>
      <c r="M19" s="6240" cm="1">
        <f t="array" aca="1" ref="M19" ca="1">INDIRECT("'※ 디지털 세부데이터'!"&amp;M$1&amp;$AB19, TRUE)</f>
        <v>143</v>
      </c>
      <c r="N19" s="6176"/>
      <c r="O19" s="6176"/>
      <c r="P19" s="6176"/>
      <c r="Q19" s="6176"/>
      <c r="R19" s="2818"/>
      <c r="S19" s="2818"/>
      <c r="T19" s="2819"/>
      <c r="U19" s="2819"/>
      <c r="V19" s="2819"/>
      <c r="W19" s="2817" cm="1">
        <f t="array" aca="1" ref="W19" ca="1">INDIRECT("'※ 디지털 세부데이터'!"&amp;W$1&amp;$AB19, TRUE)</f>
        <v>75</v>
      </c>
      <c r="X19" s="2817" cm="1">
        <f t="array" aca="1" ref="X19" ca="1">INDIRECT("'※ 디지털 세부데이터'!"&amp;X$1&amp;$AB19, TRUE)</f>
        <v>76</v>
      </c>
      <c r="Y19" s="2817" cm="1">
        <f t="array" aca="1" ref="Y19" ca="1">INDIRECT("'※ 디지털 세부데이터'!"&amp;Y$1&amp;$AB19, TRUE)</f>
        <v>53</v>
      </c>
      <c r="Z19" s="6240" cm="1">
        <f t="array" aca="1" ref="Z19" ca="1">INDIRECT("'※ 디지털 세부데이터'!"&amp;Z$1&amp;$AB19, TRUE)</f>
        <v>291</v>
      </c>
      <c r="AA19" s="2820" cm="1">
        <f t="array" aca="1" ref="AA19" ca="1">INDIRECT("'※ 디지털 세부데이터'!"&amp;AA$1&amp;$AB19, TRUE)</f>
        <v>155.41666666666666</v>
      </c>
      <c r="AB19" s="1520">
        <f>ROW('※ 디지털 세부데이터'!L19)</f>
        <v>19</v>
      </c>
    </row>
    <row r="20" spans="1:64" ht="18" customHeight="1" x14ac:dyDescent="0.55000000000000004">
      <c r="A20" s="7224"/>
      <c r="B20" s="661"/>
      <c r="C20" s="2821" t="s">
        <v>965</v>
      </c>
      <c r="D20" s="2822" cm="1">
        <f t="array" aca="1" ref="D20" ca="1">INDIRECT("'※ 디지털 세부데이터'!"&amp;D$1&amp;$AB20, TRUE)</f>
        <v>0</v>
      </c>
      <c r="E20" s="2823" cm="1">
        <f t="array" aca="1" ref="E20" ca="1">INDIRECT("'※ 디지털 세부데이터'!"&amp;E$1&amp;$AB20, TRUE)</f>
        <v>1</v>
      </c>
      <c r="F20" s="2824" cm="1">
        <f t="array" aca="1" ref="F20" ca="1">INDIRECT("'※ 디지털 세부데이터'!"&amp;F$1&amp;$AB20, TRUE)</f>
        <v>1</v>
      </c>
      <c r="G20" s="2813" cm="1">
        <f t="array" aca="1" ref="G20" ca="1">INDIRECT("'※ 디지털 세부데이터'!"&amp;G$1&amp;$AB20, TRUE)</f>
        <v>1</v>
      </c>
      <c r="H20" s="2813" cm="1">
        <f t="array" aca="1" ref="H20" ca="1">INDIRECT("'※ 디지털 세부데이터'!"&amp;H$1&amp;$AB20, TRUE)</f>
        <v>1</v>
      </c>
      <c r="I20" s="2813" cm="1">
        <f t="array" aca="1" ref="I20" ca="1">INDIRECT("'※ 디지털 세부데이터'!"&amp;I$1&amp;$AB20, TRUE)</f>
        <v>1</v>
      </c>
      <c r="J20" s="2813" cm="1">
        <f t="array" aca="1" ref="J20" ca="1">INDIRECT("'※ 디지털 세부데이터'!"&amp;J$1&amp;$AB20, TRUE)</f>
        <v>1</v>
      </c>
      <c r="K20" s="6196" cm="1">
        <f t="array" aca="1" ref="K20" ca="1">INDIRECT("'※ 디지털 세부데이터'!"&amp;K$1&amp;$AB20, TRUE)</f>
        <v>1</v>
      </c>
      <c r="L20" s="2813" cm="1">
        <f t="array" aca="1" ref="L20" ca="1">INDIRECT("'※ 디지털 세부데이터'!"&amp;L$1&amp;$AB20, TRUE)</f>
        <v>1</v>
      </c>
      <c r="M20" s="2813" cm="1">
        <f t="array" aca="1" ref="M20" ca="1">INDIRECT("'※ 디지털 세부데이터'!"&amp;M$1&amp;$AB20, TRUE)</f>
        <v>1</v>
      </c>
      <c r="N20" s="2813"/>
      <c r="O20" s="2813"/>
      <c r="P20" s="2813"/>
      <c r="Q20" s="2813"/>
      <c r="R20" s="2811"/>
      <c r="S20" s="2811"/>
      <c r="T20" s="2811"/>
      <c r="U20" s="2825"/>
      <c r="V20" s="2825"/>
      <c r="W20" s="2813" cm="1">
        <f t="array" aca="1" ref="W20" ca="1">INDIRECT("'※ 디지털 세부데이터'!"&amp;W$1&amp;$AB20, TRUE)</f>
        <v>0</v>
      </c>
      <c r="X20" s="2813" cm="1">
        <f t="array" aca="1" ref="X20" ca="1">INDIRECT("'※ 디지털 세부데이터'!"&amp;X$1&amp;$AB20, TRUE)</f>
        <v>0</v>
      </c>
      <c r="Y20" s="2813" cm="1">
        <f t="array" aca="1" ref="Y20" ca="1">INDIRECT("'※ 디지털 세부데이터'!"&amp;Y$1&amp;$AB20, TRUE)</f>
        <v>0</v>
      </c>
      <c r="Z20" s="2813" cm="1">
        <f t="array" aca="1" ref="Z20" ca="1">INDIRECT("'※ 디지털 세부데이터'!"&amp;Z$1&amp;$AB20, TRUE)</f>
        <v>2</v>
      </c>
      <c r="AA20" s="2826" cm="1">
        <f t="array" aca="1" ref="AA20" ca="1">INDIRECT("'※ 디지털 세부데이터'!"&amp;AA$1&amp;$AB20, TRUE)</f>
        <v>1</v>
      </c>
      <c r="AB20" s="1520">
        <f>ROW('※ 디지털 세부데이터'!L20)</f>
        <v>20</v>
      </c>
    </row>
    <row r="21" spans="1:64" ht="18" hidden="1" customHeight="1" x14ac:dyDescent="0.55000000000000004">
      <c r="A21" s="7224"/>
      <c r="B21" s="2506"/>
      <c r="C21" s="898" t="s">
        <v>727</v>
      </c>
      <c r="D21" s="2822" t="e" cm="1">
        <f t="array" aca="1" ref="D21" ca="1">INDIRECT("'※ 디지털 세부데이터'!"&amp;D$1&amp;$AB21, TRUE)</f>
        <v>#REF!</v>
      </c>
      <c r="E21" s="2823" t="e" cm="1">
        <f t="array" aca="1" ref="E21" ca="1">INDIRECT("'※ 디지털 세부데이터'!"&amp;E$1&amp;$AB21, TRUE)</f>
        <v>#REF!</v>
      </c>
      <c r="F21" s="2824" t="e" cm="1">
        <f t="array" aca="1" ref="F21" ca="1">INDIRECT("'※ 디지털 세부데이터'!"&amp;F$1&amp;$AB21, TRUE)</f>
        <v>#REF!</v>
      </c>
      <c r="G21" s="2813" t="e" cm="1">
        <f t="array" aca="1" ref="G21" ca="1">INDIRECT("'※ 디지털 세부데이터'!"&amp;G$1&amp;$AB21, TRUE)</f>
        <v>#REF!</v>
      </c>
      <c r="H21" s="2813" t="e" cm="1">
        <f t="array" aca="1" ref="H21" ca="1">INDIRECT("'※ 디지털 세부데이터'!"&amp;H$1&amp;$AB21, TRUE)</f>
        <v>#REF!</v>
      </c>
      <c r="I21" s="2813" t="e" cm="1">
        <f t="array" aca="1" ref="I21" ca="1">INDIRECT("'※ 디지털 세부데이터'!"&amp;I$1&amp;$AB21, TRUE)</f>
        <v>#REF!</v>
      </c>
      <c r="J21" s="2813" t="e" cm="1">
        <f t="array" aca="1" ref="J21" ca="1">INDIRECT("'※ 디지털 세부데이터'!"&amp;J$1&amp;$AB21, TRUE)</f>
        <v>#REF!</v>
      </c>
      <c r="K21" s="6196" t="e" cm="1">
        <f t="array" aca="1" ref="K21" ca="1">INDIRECT("'※ 디지털 세부데이터'!"&amp;K$1&amp;$AB21, TRUE)</f>
        <v>#REF!</v>
      </c>
      <c r="L21" s="2813" t="e" cm="1">
        <f t="array" aca="1" ref="L21" ca="1">INDIRECT("'※ 디지털 세부데이터'!"&amp;L$1&amp;$AB21, TRUE)</f>
        <v>#REF!</v>
      </c>
      <c r="M21" s="2813" t="e" cm="1">
        <f t="array" aca="1" ref="M21" ca="1">INDIRECT("'※ 디지털 세부데이터'!"&amp;M$1&amp;$AB21, TRUE)</f>
        <v>#REF!</v>
      </c>
      <c r="N21" s="2813"/>
      <c r="O21" s="2813"/>
      <c r="P21" s="2813"/>
      <c r="Q21" s="2813"/>
      <c r="R21" s="2811"/>
      <c r="S21" s="2811"/>
      <c r="T21" s="2811"/>
      <c r="U21" s="2825"/>
      <c r="V21" s="2825"/>
      <c r="W21" s="2813" t="e" cm="1">
        <f t="array" aca="1" ref="W21" ca="1">INDIRECT("'※ 디지털 세부데이터'!"&amp;W$1&amp;$AB21, TRUE)</f>
        <v>#REF!</v>
      </c>
      <c r="X21" s="2813" t="e" cm="1">
        <f t="array" aca="1" ref="X21" ca="1">INDIRECT("'※ 디지털 세부데이터'!"&amp;X$1&amp;$AB21, TRUE)</f>
        <v>#REF!</v>
      </c>
      <c r="Y21" s="2813" t="e" cm="1">
        <f t="array" aca="1" ref="Y21" ca="1">INDIRECT("'※ 디지털 세부데이터'!"&amp;Y$1&amp;$AB21, TRUE)</f>
        <v>#REF!</v>
      </c>
      <c r="Z21" s="2813" t="e" cm="1">
        <f t="array" aca="1" ref="Z21" ca="1">INDIRECT("'※ 디지털 세부데이터'!"&amp;Z$1&amp;$AB21, TRUE)</f>
        <v>#REF!</v>
      </c>
      <c r="AA21" s="2826" t="e" cm="1">
        <f t="array" aca="1" ref="AA21" ca="1">INDIRECT("'※ 디지털 세부데이터'!"&amp;AA$1&amp;$AB21, TRUE)</f>
        <v>#REF!</v>
      </c>
      <c r="AB21" s="1520" t="e">
        <f>ROW('※ 디지털 세부데이터'!#REF!)</f>
        <v>#REF!</v>
      </c>
    </row>
    <row r="22" spans="1:64" ht="18" customHeight="1" x14ac:dyDescent="0.55000000000000004">
      <c r="A22" s="7224"/>
      <c r="B22" s="2506"/>
      <c r="C22" s="898" t="s">
        <v>967</v>
      </c>
      <c r="D22" s="2822" cm="1">
        <f t="array" aca="1" ref="D22" ca="1">INDIRECT("'※ 디지털 세부데이터'!"&amp;D$1&amp;$AB22, TRUE)</f>
        <v>0</v>
      </c>
      <c r="E22" s="2823" cm="1">
        <f t="array" aca="1" ref="E22" ca="1">INDIRECT("'※ 디지털 세부데이터'!"&amp;E$1&amp;$AB22, TRUE)</f>
        <v>6.333333333333333</v>
      </c>
      <c r="F22" s="2824" cm="1">
        <f t="array" aca="1" ref="F22" ca="1">INDIRECT("'※ 디지털 세부데이터'!"&amp;F$1&amp;$AB22, TRUE)</f>
        <v>6</v>
      </c>
      <c r="G22" s="2813" cm="1">
        <f t="array" aca="1" ref="G22" ca="1">INDIRECT("'※ 디지털 세부데이터'!"&amp;G$1&amp;$AB22, TRUE)</f>
        <v>6</v>
      </c>
      <c r="H22" s="2813" cm="1">
        <f t="array" aca="1" ref="H22" ca="1">INDIRECT("'※ 디지털 세부데이터'!"&amp;H$1&amp;$AB22, TRUE)</f>
        <v>6</v>
      </c>
      <c r="I22" s="2813" cm="1">
        <f t="array" aca="1" ref="I22" ca="1">INDIRECT("'※ 디지털 세부데이터'!"&amp;I$1&amp;$AB22, TRUE)</f>
        <v>6</v>
      </c>
      <c r="J22" s="2813" cm="1">
        <f t="array" aca="1" ref="J22" ca="1">INDIRECT("'※ 디지털 세부데이터'!"&amp;J$1&amp;$AB22, TRUE)</f>
        <v>7</v>
      </c>
      <c r="K22" s="6196" cm="1">
        <f t="array" aca="1" ref="K22" ca="1">INDIRECT("'※ 디지털 세부데이터'!"&amp;K$1&amp;$AB22, TRUE)</f>
        <v>8</v>
      </c>
      <c r="L22" s="2813" cm="1">
        <f t="array" aca="1" ref="L22" ca="1">INDIRECT("'※ 디지털 세부데이터'!"&amp;L$1&amp;$AB22, TRUE)</f>
        <v>6</v>
      </c>
      <c r="M22" s="2813" cm="1">
        <f t="array" aca="1" ref="M22" ca="1">INDIRECT("'※ 디지털 세부데이터'!"&amp;M$1&amp;$AB22, TRUE)</f>
        <v>5</v>
      </c>
      <c r="N22" s="2813"/>
      <c r="O22" s="2813"/>
      <c r="P22" s="2813"/>
      <c r="Q22" s="2813"/>
      <c r="R22" s="2811"/>
      <c r="S22" s="2811"/>
      <c r="T22" s="2811"/>
      <c r="U22" s="2825"/>
      <c r="V22" s="2825"/>
      <c r="W22" s="2813" cm="1">
        <f t="array" aca="1" ref="W22" ca="1">INDIRECT("'※ 디지털 세부데이터'!"&amp;W$1&amp;$AB22, TRUE)</f>
        <v>0</v>
      </c>
      <c r="X22" s="2813" cm="1">
        <f t="array" aca="1" ref="X22" ca="1">INDIRECT("'※ 디지털 세부데이터'!"&amp;X$1&amp;$AB22, TRUE)</f>
        <v>0</v>
      </c>
      <c r="Y22" s="2813" cm="1">
        <f t="array" aca="1" ref="Y22" ca="1">INDIRECT("'※ 디지털 세부데이터'!"&amp;Y$1&amp;$AB22, TRUE)</f>
        <v>-1</v>
      </c>
      <c r="Z22" s="2813" cm="1">
        <f t="array" aca="1" ref="Z22" ca="1">INDIRECT("'※ 디지털 세부데이터'!"&amp;Z$1&amp;$AB22, TRUE)</f>
        <v>11</v>
      </c>
      <c r="AA22" s="2826" cm="1">
        <f t="array" aca="1" ref="AA22" ca="1">INDIRECT("'※ 디지털 세부데이터'!"&amp;AA$1&amp;$AB22, TRUE)</f>
        <v>4.666666666666667</v>
      </c>
      <c r="AB22" s="1520">
        <f>ROW('※ 디지털 세부데이터'!L21)</f>
        <v>21</v>
      </c>
    </row>
    <row r="23" spans="1:64" ht="18" customHeight="1" x14ac:dyDescent="0.55000000000000004">
      <c r="A23" s="7224"/>
      <c r="B23" s="2506"/>
      <c r="C23" s="898" t="s">
        <v>728</v>
      </c>
      <c r="D23" s="2822" cm="1">
        <f t="array" aca="1" ref="D23" ca="1">INDIRECT("'※ 디지털 세부데이터'!"&amp;D$1&amp;$AB23, TRUE)</f>
        <v>9.25</v>
      </c>
      <c r="E23" s="2823" cm="1">
        <f t="array" aca="1" ref="E23" ca="1">INDIRECT("'※ 디지털 세부데이터'!"&amp;E$1&amp;$AB23, TRUE)</f>
        <v>9.0833333333333339</v>
      </c>
      <c r="F23" s="2824" cm="1">
        <f t="array" aca="1" ref="F23" ca="1">INDIRECT("'※ 디지털 세부데이터'!"&amp;F$1&amp;$AB23, TRUE)</f>
        <v>9</v>
      </c>
      <c r="G23" s="2813" cm="1">
        <f t="array" aca="1" ref="G23" ca="1">INDIRECT("'※ 디지털 세부데이터'!"&amp;G$1&amp;$AB23, TRUE)</f>
        <v>9</v>
      </c>
      <c r="H23" s="2813" cm="1">
        <f t="array" aca="1" ref="H23" ca="1">INDIRECT("'※ 디지털 세부데이터'!"&amp;H$1&amp;$AB23, TRUE)</f>
        <v>9</v>
      </c>
      <c r="I23" s="2813" cm="1">
        <f t="array" aca="1" ref="I23" ca="1">INDIRECT("'※ 디지털 세부데이터'!"&amp;I$1&amp;$AB23, TRUE)</f>
        <v>9</v>
      </c>
      <c r="J23" s="2813" cm="1">
        <f t="array" aca="1" ref="J23" ca="1">INDIRECT("'※ 디지털 세부데이터'!"&amp;J$1&amp;$AB23, TRUE)</f>
        <v>9</v>
      </c>
      <c r="K23" s="6196" cm="1">
        <f t="array" aca="1" ref="K23" ca="1">INDIRECT("'※ 디지털 세부데이터'!"&amp;K$1&amp;$AB23, TRUE)</f>
        <v>10</v>
      </c>
      <c r="L23" s="2813" cm="1">
        <f t="array" aca="1" ref="L23" ca="1">INDIRECT("'※ 디지털 세부데이터'!"&amp;L$1&amp;$AB23, TRUE)</f>
        <v>10</v>
      </c>
      <c r="M23" s="2813" cm="1">
        <f t="array" aca="1" ref="M23" ca="1">INDIRECT("'※ 디지털 세부데이터'!"&amp;M$1&amp;$AB23, TRUE)</f>
        <v>10</v>
      </c>
      <c r="N23" s="2813"/>
      <c r="O23" s="2813"/>
      <c r="P23" s="2813"/>
      <c r="Q23" s="2813"/>
      <c r="R23" s="2811"/>
      <c r="S23" s="2811"/>
      <c r="T23" s="2811"/>
      <c r="U23" s="2825"/>
      <c r="V23" s="2825"/>
      <c r="W23" s="2813" cm="1">
        <f t="array" aca="1" ref="W23" ca="1">INDIRECT("'※ 디지털 세부데이터'!"&amp;W$1&amp;$AB23, TRUE)</f>
        <v>10</v>
      </c>
      <c r="X23" s="2813" cm="1">
        <f t="array" aca="1" ref="X23" ca="1">INDIRECT("'※ 디지털 세부데이터'!"&amp;X$1&amp;$AB23, TRUE)</f>
        <v>10</v>
      </c>
      <c r="Y23" s="2813" cm="1">
        <f t="array" aca="1" ref="Y23" ca="1">INDIRECT("'※ 디지털 세부데이터'!"&amp;Y$1&amp;$AB23, TRUE)</f>
        <v>2</v>
      </c>
      <c r="Z23" s="2813" cm="1">
        <f t="array" aca="1" ref="Z23" ca="1">INDIRECT("'※ 디지털 세부데이터'!"&amp;Z$1&amp;$AB23, TRUE)</f>
        <v>20</v>
      </c>
      <c r="AA23" s="2826" cm="1">
        <f t="array" aca="1" ref="AA23" ca="1">INDIRECT("'※ 디지털 세부데이터'!"&amp;AA$1&amp;$AB23, TRUE)</f>
        <v>10.916666666666666</v>
      </c>
      <c r="AB23" s="1520">
        <f>ROW('※ 디지털 세부데이터'!L22)</f>
        <v>22</v>
      </c>
    </row>
    <row r="24" spans="1:64" ht="18" hidden="1" customHeight="1" x14ac:dyDescent="0.55000000000000004">
      <c r="A24" s="7224"/>
      <c r="B24" s="2506"/>
      <c r="C24" s="898"/>
      <c r="D24" s="2822" t="e" cm="1">
        <f t="array" aca="1" ref="D24" ca="1">INDIRECT("'※ 디지털 세부데이터'!"&amp;D$1&amp;$AB24, TRUE)</f>
        <v>#REF!</v>
      </c>
      <c r="E24" s="2823" t="e" cm="1">
        <f t="array" aca="1" ref="E24" ca="1">INDIRECT("'※ 디지털 세부데이터'!"&amp;E$1&amp;$AB24, TRUE)</f>
        <v>#REF!</v>
      </c>
      <c r="F24" s="2824" t="e" cm="1">
        <f t="array" aca="1" ref="F24" ca="1">INDIRECT("'※ 디지털 세부데이터'!"&amp;F$1&amp;$AB24, TRUE)</f>
        <v>#REF!</v>
      </c>
      <c r="G24" s="2813" t="e" cm="1">
        <f t="array" aca="1" ref="G24" ca="1">INDIRECT("'※ 디지털 세부데이터'!"&amp;G$1&amp;$AB24, TRUE)</f>
        <v>#REF!</v>
      </c>
      <c r="H24" s="2813" t="e" cm="1">
        <f t="array" aca="1" ref="H24" ca="1">INDIRECT("'※ 디지털 세부데이터'!"&amp;H$1&amp;$AB24, TRUE)</f>
        <v>#REF!</v>
      </c>
      <c r="I24" s="2813" t="e" cm="1">
        <f t="array" aca="1" ref="I24" ca="1">INDIRECT("'※ 디지털 세부데이터'!"&amp;I$1&amp;$AB24, TRUE)</f>
        <v>#REF!</v>
      </c>
      <c r="J24" s="2813" t="e" cm="1">
        <f t="array" aca="1" ref="J24" ca="1">INDIRECT("'※ 디지털 세부데이터'!"&amp;J$1&amp;$AB24, TRUE)</f>
        <v>#REF!</v>
      </c>
      <c r="K24" s="6196" t="e" cm="1">
        <f t="array" aca="1" ref="K24" ca="1">INDIRECT("'※ 디지털 세부데이터'!"&amp;K$1&amp;$AB24, TRUE)</f>
        <v>#REF!</v>
      </c>
      <c r="L24" s="2813" t="e" cm="1">
        <f t="array" aca="1" ref="L24" ca="1">INDIRECT("'※ 디지털 세부데이터'!"&amp;L$1&amp;$AB24, TRUE)</f>
        <v>#REF!</v>
      </c>
      <c r="M24" s="2813" t="e" cm="1">
        <f t="array" aca="1" ref="M24" ca="1">INDIRECT("'※ 디지털 세부데이터'!"&amp;M$1&amp;$AB24, TRUE)</f>
        <v>#REF!</v>
      </c>
      <c r="N24" s="2813"/>
      <c r="O24" s="2813"/>
      <c r="P24" s="2813"/>
      <c r="Q24" s="2813"/>
      <c r="R24" s="2811"/>
      <c r="S24" s="2811"/>
      <c r="T24" s="2811"/>
      <c r="U24" s="2825"/>
      <c r="V24" s="2825"/>
      <c r="W24" s="2813" t="e" cm="1">
        <f t="array" aca="1" ref="W24" ca="1">INDIRECT("'※ 디지털 세부데이터'!"&amp;W$1&amp;$AB24, TRUE)</f>
        <v>#REF!</v>
      </c>
      <c r="X24" s="2813" t="e" cm="1">
        <f t="array" aca="1" ref="X24" ca="1">INDIRECT("'※ 디지털 세부데이터'!"&amp;X$1&amp;$AB24, TRUE)</f>
        <v>#REF!</v>
      </c>
      <c r="Y24" s="2813" t="e" cm="1">
        <f t="array" aca="1" ref="Y24" ca="1">INDIRECT("'※ 디지털 세부데이터'!"&amp;Y$1&amp;$AB24, TRUE)</f>
        <v>#REF!</v>
      </c>
      <c r="Z24" s="2813" t="e" cm="1">
        <f t="array" aca="1" ref="Z24" ca="1">INDIRECT("'※ 디지털 세부데이터'!"&amp;Z$1&amp;$AB24, TRUE)</f>
        <v>#REF!</v>
      </c>
      <c r="AA24" s="2826" t="e" cm="1">
        <f t="array" aca="1" ref="AA24" ca="1">INDIRECT("'※ 디지털 세부데이터'!"&amp;AA$1&amp;$AB24, TRUE)</f>
        <v>#REF!</v>
      </c>
      <c r="AB24" s="1520" t="e">
        <f>ROW('※ 디지털 세부데이터'!#REF!)</f>
        <v>#REF!</v>
      </c>
    </row>
    <row r="25" spans="1:64" ht="18" customHeight="1" x14ac:dyDescent="0.55000000000000004">
      <c r="A25" s="7224"/>
      <c r="B25" s="2506"/>
      <c r="C25" s="581" t="s">
        <v>1054</v>
      </c>
      <c r="D25" s="2822" cm="1">
        <f t="array" aca="1" ref="D25" ca="1">INDIRECT("'※ 디지털 세부데이터'!"&amp;D$1&amp;$AB25, TRUE)</f>
        <v>18.083333333333332</v>
      </c>
      <c r="E25" s="2823" cm="1">
        <f t="array" aca="1" ref="E25" ca="1">INDIRECT("'※ 디지털 세부데이터'!"&amp;E$1&amp;$AB25, TRUE)</f>
        <v>24</v>
      </c>
      <c r="F25" s="2824" cm="1">
        <f t="array" aca="1" ref="F25" ca="1">INDIRECT("'※ 디지털 세부데이터'!"&amp;F$1&amp;$AB25, TRUE)</f>
        <v>25</v>
      </c>
      <c r="G25" s="2813" cm="1">
        <f t="array" aca="1" ref="G25" ca="1">INDIRECT("'※ 디지털 세부데이터'!"&amp;G$1&amp;$AB25, TRUE)</f>
        <v>28</v>
      </c>
      <c r="H25" s="2813" cm="1">
        <f t="array" aca="1" ref="H25" ca="1">INDIRECT("'※ 디지털 세부데이터'!"&amp;H$1&amp;$AB25, TRUE)</f>
        <v>34</v>
      </c>
      <c r="I25" s="2813" cm="1">
        <f t="array" aca="1" ref="I25" ca="1">INDIRECT("'※ 디지털 세부데이터'!"&amp;I$1&amp;$AB25, TRUE)</f>
        <v>32</v>
      </c>
      <c r="J25" s="2813" cm="1">
        <f t="array" aca="1" ref="J25" ca="1">INDIRECT("'※ 디지털 세부데이터'!"&amp;J$1&amp;$AB25, TRUE)</f>
        <v>35</v>
      </c>
      <c r="K25" s="6196" cm="1">
        <f t="array" aca="1" ref="K25" ca="1">INDIRECT("'※ 디지털 세부데이터'!"&amp;K$1&amp;$AB25, TRUE)</f>
        <v>37</v>
      </c>
      <c r="L25" s="2813" cm="1">
        <f t="array" aca="1" ref="L25" ca="1">INDIRECT("'※ 디지털 세부데이터'!"&amp;L$1&amp;$AB25, TRUE)</f>
        <v>24</v>
      </c>
      <c r="M25" s="2813" cm="1">
        <f t="array" aca="1" ref="M25" ca="1">INDIRECT("'※ 디지털 세부데이터'!"&amp;M$1&amp;$AB25, TRUE)</f>
        <v>23</v>
      </c>
      <c r="N25" s="2813"/>
      <c r="O25" s="2813"/>
      <c r="P25" s="2813"/>
      <c r="Q25" s="2813"/>
      <c r="R25" s="2811"/>
      <c r="S25" s="2811"/>
      <c r="T25" s="2811"/>
      <c r="U25" s="2825"/>
      <c r="V25" s="2825"/>
      <c r="W25" s="2813" cm="1">
        <f t="array" aca="1" ref="W25" ca="1">INDIRECT("'※ 디지털 세부데이터'!"&amp;W$1&amp;$AB25, TRUE)</f>
        <v>18</v>
      </c>
      <c r="X25" s="2813" cm="1">
        <f t="array" aca="1" ref="X25" ca="1">INDIRECT("'※ 디지털 세부데이터'!"&amp;X$1&amp;$AB25, TRUE)</f>
        <v>18</v>
      </c>
      <c r="Y25" s="2813" cm="1">
        <f t="array" aca="1" ref="Y25" ca="1">INDIRECT("'※ 디지털 세부데이터'!"&amp;Y$1&amp;$AB25, TRUE)</f>
        <v>-6</v>
      </c>
      <c r="Z25" s="2813" cm="1">
        <f t="array" aca="1" ref="Z25" ca="1">INDIRECT("'※ 디지털 세부데이터'!"&amp;Z$1&amp;$AB25, TRUE)</f>
        <v>47</v>
      </c>
      <c r="AA25" s="2826" cm="1">
        <f t="array" aca="1" ref="AA25" ca="1">INDIRECT("'※ 디지털 세부데이터'!"&amp;AA$1&amp;$AB25, TRUE)</f>
        <v>23</v>
      </c>
      <c r="AB25" s="1520">
        <f>ROW('※ 디지털 세부데이터'!L23)</f>
        <v>23</v>
      </c>
    </row>
    <row r="26" spans="1:64" ht="18" customHeight="1" x14ac:dyDescent="0.55000000000000004">
      <c r="A26" s="7224"/>
      <c r="B26" s="2506"/>
      <c r="C26" s="581" t="s">
        <v>1055</v>
      </c>
      <c r="D26" s="2827"/>
      <c r="E26" s="1835"/>
      <c r="F26" s="2827"/>
      <c r="G26" s="1835"/>
      <c r="H26" s="1835"/>
      <c r="I26" s="1835"/>
      <c r="J26" s="1835"/>
      <c r="K26" s="6197"/>
      <c r="L26" s="1835"/>
      <c r="M26" s="1835"/>
      <c r="N26" s="1835"/>
      <c r="O26" s="1835"/>
      <c r="P26" s="1835"/>
      <c r="Q26" s="1835"/>
      <c r="R26" s="2811"/>
      <c r="S26" s="2811"/>
      <c r="T26" s="2811"/>
      <c r="U26" s="2825"/>
      <c r="V26" s="2825"/>
      <c r="W26" s="2813" cm="1">
        <f t="array" aca="1" ref="W26" ca="1">INDIRECT("'※ 디지털 세부데이터'!"&amp;W$1&amp;$AB26, TRUE)</f>
        <v>0</v>
      </c>
      <c r="X26" s="2813" cm="1">
        <f t="array" aca="1" ref="X26" ca="1">INDIRECT("'※ 디지털 세부데이터'!"&amp;X$1&amp;$AB26, TRUE)</f>
        <v>0</v>
      </c>
      <c r="Y26" s="2813" cm="1">
        <f t="array" aca="1" ref="Y26" ca="1">INDIRECT("'※ 디지털 세부데이터'!"&amp;Y$1&amp;$AB26, TRUE)</f>
        <v>39</v>
      </c>
      <c r="Z26" s="2813" cm="1">
        <f t="array" aca="1" ref="Z26" ca="1">INDIRECT("'※ 디지털 세부데이터'!"&amp;Z$1&amp;$AB26, TRUE)</f>
        <v>39</v>
      </c>
      <c r="AA26" s="2826" cm="1">
        <f t="array" aca="1" ref="AA26" ca="1">INDIRECT("'※ 디지털 세부데이터'!"&amp;AA$1&amp;$AB26, TRUE)</f>
        <v>23.8</v>
      </c>
      <c r="AB26" s="1520">
        <f>ROW('※ 디지털 세부데이터'!L24)</f>
        <v>24</v>
      </c>
    </row>
    <row r="27" spans="1:64" ht="18" customHeight="1" x14ac:dyDescent="0.55000000000000004">
      <c r="A27" s="7224"/>
      <c r="B27" s="2506"/>
      <c r="C27" s="898" t="s">
        <v>729</v>
      </c>
      <c r="D27" s="2822" cm="1">
        <f t="array" aca="1" ref="D27" ca="1">INDIRECT("'※ 디지털 세부데이터'!"&amp;D$1&amp;$AB27, TRUE)</f>
        <v>8.25</v>
      </c>
      <c r="E27" s="2823" cm="1">
        <f t="array" aca="1" ref="E27" ca="1">INDIRECT("'※ 디지털 세부데이터'!"&amp;E$1&amp;$AB27, TRUE)</f>
        <v>13.333333333333334</v>
      </c>
      <c r="F27" s="2824" cm="1">
        <f t="array" aca="1" ref="F27" ca="1">INDIRECT("'※ 디지털 세부데이터'!"&amp;F$1&amp;$AB27, TRUE)</f>
        <v>12</v>
      </c>
      <c r="G27" s="2813" cm="1">
        <f t="array" aca="1" ref="G27" ca="1">INDIRECT("'※ 디지털 세부데이터'!"&amp;G$1&amp;$AB27, TRUE)</f>
        <v>12</v>
      </c>
      <c r="H27" s="2813" cm="1">
        <f t="array" aca="1" ref="H27" ca="1">INDIRECT("'※ 디지털 세부데이터'!"&amp;H$1&amp;$AB27, TRUE)</f>
        <v>14</v>
      </c>
      <c r="I27" s="2813" cm="1">
        <f t="array" aca="1" ref="I27" ca="1">INDIRECT("'※ 디지털 세부데이터'!"&amp;I$1&amp;$AB27, TRUE)</f>
        <v>14</v>
      </c>
      <c r="J27" s="2813" cm="1">
        <f t="array" aca="1" ref="J27" ca="1">INDIRECT("'※ 디지털 세부데이터'!"&amp;J$1&amp;$AB27, TRUE)</f>
        <v>14</v>
      </c>
      <c r="K27" s="6196" cm="1">
        <f t="array" aca="1" ref="K27" ca="1">INDIRECT("'※ 디지털 세부데이터'!"&amp;K$1&amp;$AB27, TRUE)</f>
        <v>15</v>
      </c>
      <c r="L27" s="2813" cm="1">
        <f t="array" aca="1" ref="L27" ca="1">INDIRECT("'※ 디지털 세부데이터'!"&amp;L$1&amp;$AB27, TRUE)</f>
        <v>12</v>
      </c>
      <c r="M27" s="2813" cm="1">
        <f t="array" aca="1" ref="M27" ca="1">INDIRECT("'※ 디지털 세부데이터'!"&amp;M$1&amp;$AB27, TRUE)</f>
        <v>11</v>
      </c>
      <c r="N27" s="2813"/>
      <c r="O27" s="2813"/>
      <c r="P27" s="2813"/>
      <c r="Q27" s="2813"/>
      <c r="R27" s="2811"/>
      <c r="S27" s="2811"/>
      <c r="T27" s="2811"/>
      <c r="U27" s="2825"/>
      <c r="V27" s="2825"/>
      <c r="W27" s="2813" cm="1">
        <f t="array" aca="1" ref="W27" ca="1">INDIRECT("'※ 디지털 세부데이터'!"&amp;W$1&amp;$AB27, TRUE)</f>
        <v>6</v>
      </c>
      <c r="X27" s="2813" cm="1">
        <f t="array" aca="1" ref="X27" ca="1">INDIRECT("'※ 디지털 세부데이터'!"&amp;X$1&amp;$AB27, TRUE)</f>
        <v>7</v>
      </c>
      <c r="Y27" s="2813" cm="1">
        <f t="array" aca="1" ref="Y27" ca="1">INDIRECT("'※ 디지털 세부데이터'!"&amp;Y$1&amp;$AB27, TRUE)</f>
        <v>-1</v>
      </c>
      <c r="Z27" s="2813" cm="1">
        <f t="array" aca="1" ref="Z27" ca="1">INDIRECT("'※ 디지털 세부데이터'!"&amp;Z$1&amp;$AB27, TRUE)</f>
        <v>23</v>
      </c>
      <c r="AA27" s="2826" cm="1">
        <f t="array" aca="1" ref="AA27" ca="1">INDIRECT("'※ 디지털 세부데이터'!"&amp;AA$1&amp;$AB27, TRUE)</f>
        <v>9.6666666666666661</v>
      </c>
      <c r="AB27" s="1520">
        <f>ROW('※ 디지털 세부데이터'!L25)</f>
        <v>25</v>
      </c>
    </row>
    <row r="28" spans="1:64" ht="18" customHeight="1" x14ac:dyDescent="0.55000000000000004">
      <c r="A28" s="7224"/>
      <c r="B28" s="2506"/>
      <c r="C28" s="898" t="s">
        <v>730</v>
      </c>
      <c r="D28" s="2822" cm="1">
        <f t="array" aca="1" ref="D28" ca="1">INDIRECT("'※ 디지털 세부데이터'!"&amp;D$1&amp;$AB28, TRUE)</f>
        <v>8.5833333333333339</v>
      </c>
      <c r="E28" s="2823" cm="1">
        <f t="array" aca="1" ref="E28" ca="1">INDIRECT("'※ 디지털 세부데이터'!"&amp;E$1&amp;$AB28, TRUE)</f>
        <v>12.916666666666666</v>
      </c>
      <c r="F28" s="2824" cm="1">
        <f t="array" aca="1" ref="F28" ca="1">INDIRECT("'※ 디지털 세부데이터'!"&amp;F$1&amp;$AB28, TRUE)</f>
        <v>12</v>
      </c>
      <c r="G28" s="2813" cm="1">
        <f t="array" aca="1" ref="G28" ca="1">INDIRECT("'※ 디지털 세부데이터'!"&amp;G$1&amp;$AB28, TRUE)</f>
        <v>12</v>
      </c>
      <c r="H28" s="2813" cm="1">
        <f t="array" aca="1" ref="H28" ca="1">INDIRECT("'※ 디지털 세부데이터'!"&amp;H$1&amp;$AB28, TRUE)</f>
        <v>13</v>
      </c>
      <c r="I28" s="2813" cm="1">
        <f t="array" aca="1" ref="I28" ca="1">INDIRECT("'※ 디지털 세부데이터'!"&amp;I$1&amp;$AB28, TRUE)</f>
        <v>15</v>
      </c>
      <c r="J28" s="2813" cm="1">
        <f t="array" aca="1" ref="J28" ca="1">INDIRECT("'※ 디지털 세부데이터'!"&amp;J$1&amp;$AB28, TRUE)</f>
        <v>14</v>
      </c>
      <c r="K28" s="6196" cm="1">
        <f t="array" aca="1" ref="K28" ca="1">INDIRECT("'※ 디지털 세부데이터'!"&amp;K$1&amp;$AB28, TRUE)</f>
        <v>14</v>
      </c>
      <c r="L28" s="2813" cm="1">
        <f t="array" aca="1" ref="L28" ca="1">INDIRECT("'※ 디지털 세부데이터'!"&amp;L$1&amp;$AB28, TRUE)</f>
        <v>11</v>
      </c>
      <c r="M28" s="2813" cm="1">
        <f t="array" aca="1" ref="M28" ca="1">INDIRECT("'※ 디지털 세부데이터'!"&amp;M$1&amp;$AB28, TRUE)</f>
        <v>11</v>
      </c>
      <c r="N28" s="2813"/>
      <c r="O28" s="2813"/>
      <c r="P28" s="2813"/>
      <c r="Q28" s="2813"/>
      <c r="R28" s="2811"/>
      <c r="S28" s="2811"/>
      <c r="T28" s="2811"/>
      <c r="U28" s="2825"/>
      <c r="V28" s="2825"/>
      <c r="W28" s="2813" cm="1">
        <f t="array" aca="1" ref="W28" ca="1">INDIRECT("'※ 디지털 세부데이터'!"&amp;W$1&amp;$AB28, TRUE)</f>
        <v>8</v>
      </c>
      <c r="X28" s="2813" cm="1">
        <f t="array" aca="1" ref="X28" ca="1">INDIRECT("'※ 디지털 세부데이터'!"&amp;X$1&amp;$AB28, TRUE)</f>
        <v>8</v>
      </c>
      <c r="Y28" s="2813" cm="1">
        <f t="array" aca="1" ref="Y28" ca="1">INDIRECT("'※ 디지털 세부데이터'!"&amp;Y$1&amp;$AB28, TRUE)</f>
        <v>-2</v>
      </c>
      <c r="Z28" s="2813" cm="1">
        <f t="array" aca="1" ref="Z28" ca="1">INDIRECT("'※ 디지털 세부데이터'!"&amp;Z$1&amp;$AB28, TRUE)</f>
        <v>22</v>
      </c>
      <c r="AA28" s="2826" cm="1">
        <f t="array" aca="1" ref="AA28" ca="1">INDIRECT("'※ 디지털 세부데이터'!"&amp;AA$1&amp;$AB28, TRUE)</f>
        <v>9.0833333333333339</v>
      </c>
      <c r="AB28" s="1520">
        <f>ROW('※ 디지털 세부데이터'!L26)</f>
        <v>26</v>
      </c>
    </row>
    <row r="29" spans="1:64" ht="18" customHeight="1" x14ac:dyDescent="0.55000000000000004">
      <c r="A29" s="7224"/>
      <c r="B29" s="2506"/>
      <c r="C29" s="898" t="s">
        <v>966</v>
      </c>
      <c r="D29" s="2822" cm="1">
        <f t="array" aca="1" ref="D29" ca="1">INDIRECT("'※ 디지털 세부데이터'!"&amp;D$1&amp;$AB29, TRUE)</f>
        <v>0</v>
      </c>
      <c r="E29" s="2823" cm="1">
        <f t="array" aca="1" ref="E29" ca="1">INDIRECT("'※ 디지털 세부데이터'!"&amp;E$1&amp;$AB29, TRUE)</f>
        <v>12.333333333333334</v>
      </c>
      <c r="F29" s="2824" cm="1">
        <f t="array" aca="1" ref="F29" ca="1">INDIRECT("'※ 디지털 세부데이터'!"&amp;F$1&amp;$AB29, TRUE)</f>
        <v>12</v>
      </c>
      <c r="G29" s="2813" cm="1">
        <f t="array" aca="1" ref="G29" ca="1">INDIRECT("'※ 디지털 세부데이터'!"&amp;G$1&amp;$AB29, TRUE)</f>
        <v>13</v>
      </c>
      <c r="H29" s="2813" cm="1">
        <f t="array" aca="1" ref="H29" ca="1">INDIRECT("'※ 디지털 세부데이터'!"&amp;H$1&amp;$AB29, TRUE)</f>
        <v>13</v>
      </c>
      <c r="I29" s="2813" cm="1">
        <f t="array" aca="1" ref="I29" ca="1">INDIRECT("'※ 디지털 세부데이터'!"&amp;I$1&amp;$AB29, TRUE)</f>
        <v>13</v>
      </c>
      <c r="J29" s="2813" cm="1">
        <f t="array" aca="1" ref="J29" ca="1">INDIRECT("'※ 디지털 세부데이터'!"&amp;J$1&amp;$AB29, TRUE)</f>
        <v>13</v>
      </c>
      <c r="K29" s="6196" cm="1">
        <f t="array" aca="1" ref="K29" ca="1">INDIRECT("'※ 디지털 세부데이터'!"&amp;K$1&amp;$AB29, TRUE)</f>
        <v>13</v>
      </c>
      <c r="L29" s="2813" cm="1">
        <f t="array" aca="1" ref="L29" ca="1">INDIRECT("'※ 디지털 세부데이터'!"&amp;L$1&amp;$AB29, TRUE)</f>
        <v>11</v>
      </c>
      <c r="M29" s="2813" cm="1">
        <f t="array" aca="1" ref="M29" ca="1">INDIRECT("'※ 디지털 세부데이터'!"&amp;M$1&amp;$AB29, TRUE)</f>
        <v>11</v>
      </c>
      <c r="N29" s="2813"/>
      <c r="O29" s="2813"/>
      <c r="P29" s="2813"/>
      <c r="Q29" s="2813"/>
      <c r="R29" s="2811"/>
      <c r="S29" s="2811"/>
      <c r="T29" s="2811"/>
      <c r="U29" s="2825"/>
      <c r="V29" s="2825"/>
      <c r="W29" s="2813" cm="1">
        <f t="array" aca="1" ref="W29" ca="1">INDIRECT("'※ 디지털 세부데이터'!"&amp;W$1&amp;$AB29, TRUE)</f>
        <v>0</v>
      </c>
      <c r="X29" s="2813" cm="1">
        <f t="array" aca="1" ref="X29" ca="1">INDIRECT("'※ 디지털 세부데이터'!"&amp;X$1&amp;$AB29, TRUE)</f>
        <v>0</v>
      </c>
      <c r="Y29" s="2813" cm="1">
        <f t="array" aca="1" ref="Y29" ca="1">INDIRECT("'※ 디지털 세부데이터'!"&amp;Y$1&amp;$AB29, TRUE)</f>
        <v>-3</v>
      </c>
      <c r="Z29" s="2813" cm="1">
        <f t="array" aca="1" ref="Z29" ca="1">INDIRECT("'※ 디지털 세부데이터'!"&amp;Z$1&amp;$AB29, TRUE)</f>
        <v>22</v>
      </c>
      <c r="AA29" s="2826" cm="1">
        <f t="array" aca="1" ref="AA29" ca="1">INDIRECT("'※ 디지털 세부데이터'!"&amp;AA$1&amp;$AB29, TRUE)</f>
        <v>9.6666666666666661</v>
      </c>
      <c r="AB29" s="1520">
        <f>ROW('※ 디지털 세부데이터'!L27)</f>
        <v>27</v>
      </c>
    </row>
    <row r="30" spans="1:64" ht="18" customHeight="1" x14ac:dyDescent="0.55000000000000004">
      <c r="A30" s="7224"/>
      <c r="B30" s="641"/>
      <c r="C30" s="2821" t="s">
        <v>732</v>
      </c>
      <c r="D30" s="2822" cm="1">
        <f t="array" aca="1" ref="D30" ca="1">INDIRECT("'※ 디지털 세부데이터'!"&amp;D$1&amp;$AB30, TRUE)</f>
        <v>17.25</v>
      </c>
      <c r="E30" s="2823" cm="1">
        <f t="array" aca="1" ref="E30" ca="1">INDIRECT("'※ 디지털 세부데이터'!"&amp;E$1&amp;$AB30, TRUE)</f>
        <v>15.416666666666666</v>
      </c>
      <c r="F30" s="2824" cm="1">
        <f t="array" aca="1" ref="F30" ca="1">INDIRECT("'※ 디지털 세부데이터'!"&amp;F$1&amp;$AB30, TRUE)</f>
        <v>19</v>
      </c>
      <c r="G30" s="2813" cm="1">
        <f t="array" aca="1" ref="G30" ca="1">INDIRECT("'※ 디지털 세부데이터'!"&amp;G$1&amp;$AB30, TRUE)</f>
        <v>20</v>
      </c>
      <c r="H30" s="2813" cm="1">
        <f t="array" aca="1" ref="H30" ca="1">INDIRECT("'※ 디지털 세부데이터'!"&amp;H$1&amp;$AB30, TRUE)</f>
        <v>15</v>
      </c>
      <c r="I30" s="2813" cm="1">
        <f t="array" aca="1" ref="I30" ca="1">INDIRECT("'※ 디지털 세부데이터'!"&amp;I$1&amp;$AB30, TRUE)</f>
        <v>16</v>
      </c>
      <c r="J30" s="2813" cm="1">
        <f t="array" aca="1" ref="J30" ca="1">INDIRECT("'※ 디지털 세부데이터'!"&amp;J$1&amp;$AB30, TRUE)</f>
        <v>15</v>
      </c>
      <c r="K30" s="6196" cm="1">
        <f t="array" aca="1" ref="K30" ca="1">INDIRECT("'※ 디지털 세부데이터'!"&amp;K$1&amp;$AB30, TRUE)</f>
        <v>17</v>
      </c>
      <c r="L30" s="2813" cm="1">
        <f t="array" aca="1" ref="L30" ca="1">INDIRECT("'※ 디지털 세부데이터'!"&amp;L$1&amp;$AB30, TRUE)</f>
        <v>14</v>
      </c>
      <c r="M30" s="2813" cm="1">
        <f t="array" aca="1" ref="M30" ca="1">INDIRECT("'※ 디지털 세부데이터'!"&amp;M$1&amp;$AB30, TRUE)</f>
        <v>12</v>
      </c>
      <c r="N30" s="2813"/>
      <c r="O30" s="2813"/>
      <c r="P30" s="2813"/>
      <c r="Q30" s="2813"/>
      <c r="R30" s="2811"/>
      <c r="S30" s="2811"/>
      <c r="T30" s="2811"/>
      <c r="U30" s="2825"/>
      <c r="V30" s="2825"/>
      <c r="W30" s="2813" cm="1">
        <f t="array" aca="1" ref="W30" ca="1">INDIRECT("'※ 디지털 세부데이터'!"&amp;W$1&amp;$AB30, TRUE)</f>
        <v>12</v>
      </c>
      <c r="X30" s="2813" cm="1">
        <f t="array" aca="1" ref="X30" ca="1">INDIRECT("'※ 디지털 세부데이터'!"&amp;X$1&amp;$AB30, TRUE)</f>
        <v>13</v>
      </c>
      <c r="Y30" s="2813" cm="1">
        <f t="array" aca="1" ref="Y30" ca="1">INDIRECT("'※ 디지털 세부데이터'!"&amp;Y$1&amp;$AB30, TRUE)</f>
        <v>-13</v>
      </c>
      <c r="Z30" s="2813" cm="1">
        <f t="array" aca="1" ref="Z30" ca="1">INDIRECT("'※ 디지털 세부데이터'!"&amp;Z$1&amp;$AB30, TRUE)</f>
        <v>26</v>
      </c>
      <c r="AA30" s="2826" cm="1">
        <f t="array" aca="1" ref="AA30" ca="1">INDIRECT("'※ 디지털 세부데이터'!"&amp;AA$1&amp;$AB30, TRUE)</f>
        <v>10.583333333333334</v>
      </c>
      <c r="AB30" s="1520">
        <f>ROW('※ 디지털 세부데이터'!L28)</f>
        <v>28</v>
      </c>
    </row>
    <row r="31" spans="1:64" ht="18" customHeight="1" x14ac:dyDescent="0.55000000000000004">
      <c r="A31" s="7224"/>
      <c r="B31" s="641"/>
      <c r="C31" s="898" t="s">
        <v>731</v>
      </c>
      <c r="D31" s="2822" cm="1">
        <f t="array" aca="1" ref="D31" ca="1">INDIRECT("'※ 디지털 세부데이터'!"&amp;D$1&amp;$AB31, TRUE)</f>
        <v>18.333333333333332</v>
      </c>
      <c r="E31" s="2823" cm="1">
        <f t="array" aca="1" ref="E31" ca="1">INDIRECT("'※ 디지털 세부데이터'!"&amp;E$1&amp;$AB31, TRUE)</f>
        <v>19.25</v>
      </c>
      <c r="F31" s="2824" cm="1">
        <f t="array" aca="1" ref="F31" ca="1">INDIRECT("'※ 디지털 세부데이터'!"&amp;F$1&amp;$AB31, TRUE)</f>
        <v>21</v>
      </c>
      <c r="G31" s="2813" cm="1">
        <f t="array" aca="1" ref="G31" ca="1">INDIRECT("'※ 디지털 세부데이터'!"&amp;G$1&amp;$AB31, TRUE)</f>
        <v>20</v>
      </c>
      <c r="H31" s="2813" cm="1">
        <f t="array" aca="1" ref="H31" ca="1">INDIRECT("'※ 디지털 세부데이터'!"&amp;H$1&amp;$AB31, TRUE)</f>
        <v>17</v>
      </c>
      <c r="I31" s="2813" cm="1">
        <f t="array" aca="1" ref="I31" ca="1">INDIRECT("'※ 디지털 세부데이터'!"&amp;I$1&amp;$AB31, TRUE)</f>
        <v>18</v>
      </c>
      <c r="J31" s="2813" cm="1">
        <f t="array" aca="1" ref="J31" ca="1">INDIRECT("'※ 디지털 세부데이터'!"&amp;J$1&amp;$AB31, TRUE)</f>
        <v>18</v>
      </c>
      <c r="K31" s="6196" cm="1">
        <f t="array" aca="1" ref="K31" ca="1">INDIRECT("'※ 디지털 세부데이터'!"&amp;K$1&amp;$AB31, TRUE)</f>
        <v>21</v>
      </c>
      <c r="L31" s="2813" cm="1">
        <f t="array" aca="1" ref="L31" ca="1">INDIRECT("'※ 디지털 세부데이터'!"&amp;L$1&amp;$AB31, TRUE)</f>
        <v>19</v>
      </c>
      <c r="M31" s="2813" cm="1">
        <f t="array" aca="1" ref="M31" ca="1">INDIRECT("'※ 디지털 세부데이터'!"&amp;M$1&amp;$AB31, TRUE)</f>
        <v>19</v>
      </c>
      <c r="N31" s="2813"/>
      <c r="O31" s="2813"/>
      <c r="P31" s="2813"/>
      <c r="Q31" s="2813"/>
      <c r="R31" s="2811"/>
      <c r="S31" s="2811"/>
      <c r="T31" s="2811"/>
      <c r="U31" s="2825"/>
      <c r="V31" s="2825"/>
      <c r="W31" s="2813" cm="1">
        <f t="array" aca="1" ref="W31" ca="1">INDIRECT("'※ 디지털 세부데이터'!"&amp;W$1&amp;$AB31, TRUE)</f>
        <v>12</v>
      </c>
      <c r="X31" s="2813" cm="1">
        <f t="array" aca="1" ref="X31" ca="1">INDIRECT("'※ 디지털 세부데이터'!"&amp;X$1&amp;$AB31, TRUE)</f>
        <v>11</v>
      </c>
      <c r="Y31" s="2813" cm="1">
        <f t="array" aca="1" ref="Y31" ca="1">INDIRECT("'※ 디지털 세부데이터'!"&amp;Y$1&amp;$AB31, TRUE)</f>
        <v>-3</v>
      </c>
      <c r="Z31" s="2813" cm="1">
        <f t="array" aca="1" ref="Z31" ca="1">INDIRECT("'※ 디지털 세부데이터'!"&amp;Z$1&amp;$AB31, TRUE)</f>
        <v>38</v>
      </c>
      <c r="AA31" s="2826" cm="1">
        <f t="array" aca="1" ref="AA31" ca="1">INDIRECT("'※ 디지털 세부데이터'!"&amp;AA$1&amp;$AB31, TRUE)</f>
        <v>18.75</v>
      </c>
      <c r="AB31" s="1520">
        <f>ROW('※ 디지털 세부데이터'!L29)</f>
        <v>29</v>
      </c>
    </row>
    <row r="32" spans="1:64" s="842" customFormat="1" ht="18" customHeight="1" x14ac:dyDescent="0.55000000000000004">
      <c r="A32" s="7224"/>
      <c r="B32" s="2506"/>
      <c r="C32" s="898" t="s">
        <v>1035</v>
      </c>
      <c r="D32" s="2827"/>
      <c r="E32" s="2828"/>
      <c r="F32" s="2829"/>
      <c r="G32" s="1835"/>
      <c r="H32" s="2830" cm="1">
        <f t="array" aca="1" ref="H32" ca="1">INDIRECT("'※ 디지털 세부데이터'!"&amp;H$1&amp;$AB32, TRUE)</f>
        <v>14</v>
      </c>
      <c r="I32" s="2830" cm="1">
        <f t="array" aca="1" ref="I32" ca="1">INDIRECT("'※ 디지털 세부데이터'!"&amp;I$1&amp;$AB32, TRUE)</f>
        <v>13</v>
      </c>
      <c r="J32" s="2830" cm="1">
        <f t="array" aca="1" ref="J32" ca="1">INDIRECT("'※ 디지털 세부데이터'!"&amp;J$1&amp;$AB32, TRUE)</f>
        <v>13</v>
      </c>
      <c r="K32" s="6198" cm="1">
        <f t="array" aca="1" ref="K32" ca="1">INDIRECT("'※ 디지털 세부데이터'!"&amp;K$1&amp;$AB32, TRUE)</f>
        <v>14</v>
      </c>
      <c r="L32" s="2830" cm="1">
        <f t="array" aca="1" ref="L32" ca="1">INDIRECT("'※ 디지털 세부데이터'!"&amp;L$1&amp;$AB32, TRUE)</f>
        <v>11</v>
      </c>
      <c r="M32" s="2830" cm="1">
        <f t="array" aca="1" ref="M32" ca="1">INDIRECT("'※ 디지털 세부데이터'!"&amp;M$1&amp;$AB32, TRUE)</f>
        <v>12</v>
      </c>
      <c r="N32" s="2830"/>
      <c r="O32" s="2830"/>
      <c r="P32" s="2830"/>
      <c r="Q32" s="2830"/>
      <c r="R32" s="2831"/>
      <c r="S32" s="2831"/>
      <c r="T32" s="2825"/>
      <c r="U32" s="2825"/>
      <c r="V32" s="2825"/>
      <c r="W32" s="2830" cm="1">
        <f t="array" aca="1" ref="W32" ca="1">INDIRECT("'※ 디지털 세부데이터'!"&amp;W$1&amp;$AB32, TRUE)</f>
        <v>0</v>
      </c>
      <c r="X32" s="2830" cm="1">
        <f t="array" aca="1" ref="X32" ca="1">INDIRECT("'※ 디지털 세부데이터'!"&amp;X$1&amp;$AB32, TRUE)</f>
        <v>0</v>
      </c>
      <c r="Y32" s="2830" cm="1">
        <f t="array" aca="1" ref="Y32" ca="1">INDIRECT("'※ 디지털 세부데이터'!"&amp;Y$1&amp;$AB32, TRUE)</f>
        <v>23</v>
      </c>
      <c r="Z32" s="2830" cm="1">
        <f t="array" aca="1" ref="Z32" ca="1">INDIRECT("'※ 디지털 세부데이터'!"&amp;Z$1&amp;$AB32, TRUE)</f>
        <v>23</v>
      </c>
      <c r="AA32" s="2832" cm="1">
        <f t="array" aca="1" ref="AA32" ca="1">INDIRECT("'※ 디지털 세부데이터'!"&amp;AA$1&amp;$AB32, TRUE)</f>
        <v>12.333333333333334</v>
      </c>
      <c r="AB32" s="1520">
        <f>ROW('※ 디지털 세부데이터'!L30)</f>
        <v>30</v>
      </c>
      <c r="AC32" s="555"/>
      <c r="AD32" s="555"/>
      <c r="AE32" s="555"/>
      <c r="AF32" s="555"/>
      <c r="AG32" s="555"/>
      <c r="AH32" s="555"/>
      <c r="AI32" s="555"/>
      <c r="AJ32" s="555"/>
      <c r="AK32" s="555"/>
      <c r="AL32" s="555"/>
      <c r="AM32" s="555"/>
      <c r="AN32" s="555"/>
      <c r="AO32" s="555"/>
      <c r="AP32" s="555"/>
      <c r="AQ32" s="555"/>
      <c r="AR32" s="555"/>
      <c r="AS32" s="555"/>
      <c r="AT32" s="555"/>
      <c r="AU32" s="555"/>
      <c r="AV32" s="555"/>
      <c r="AW32" s="555"/>
      <c r="AX32" s="555"/>
      <c r="AY32" s="555"/>
      <c r="AZ32" s="555"/>
      <c r="BA32" s="555"/>
      <c r="BB32" s="555"/>
      <c r="BC32" s="555"/>
      <c r="BD32" s="555"/>
      <c r="BE32" s="555"/>
      <c r="BF32" s="555"/>
      <c r="BG32" s="555"/>
      <c r="BH32" s="555"/>
      <c r="BI32" s="555"/>
      <c r="BJ32" s="555"/>
      <c r="BK32" s="555"/>
      <c r="BL32" s="555"/>
    </row>
    <row r="33" spans="1:64" s="842" customFormat="1" ht="18" customHeight="1" x14ac:dyDescent="0.55000000000000004">
      <c r="A33" s="7225"/>
      <c r="B33" s="2833"/>
      <c r="C33" s="2834" t="s">
        <v>1049</v>
      </c>
      <c r="D33" s="2835"/>
      <c r="E33" s="2836"/>
      <c r="F33" s="2837"/>
      <c r="G33" s="2838"/>
      <c r="H33" s="2838"/>
      <c r="I33" s="2838"/>
      <c r="J33" s="2838"/>
      <c r="K33" s="6199"/>
      <c r="L33" s="2838"/>
      <c r="M33" s="2838"/>
      <c r="N33" s="2838"/>
      <c r="O33" s="2838"/>
      <c r="P33" s="2838"/>
      <c r="Q33" s="2838"/>
      <c r="R33" s="2840"/>
      <c r="S33" s="2840"/>
      <c r="T33" s="2841"/>
      <c r="U33" s="2841"/>
      <c r="V33" s="2841"/>
      <c r="W33" s="2839" cm="1">
        <f t="array" aca="1" ref="W33" ca="1">INDIRECT("'※ 디지털 세부데이터'!"&amp;W$1&amp;$AB33, TRUE)</f>
        <v>0</v>
      </c>
      <c r="X33" s="2839" cm="1">
        <f t="array" aca="1" ref="X33" ca="1">INDIRECT("'※ 디지털 세부데이터'!"&amp;X$1&amp;$AB33, TRUE)</f>
        <v>0</v>
      </c>
      <c r="Y33" s="2839" cm="1">
        <f t="array" aca="1" ref="Y33" ca="1">INDIRECT("'※ 디지털 세부데이터'!"&amp;Y$1&amp;$AB33, TRUE)</f>
        <v>18</v>
      </c>
      <c r="Z33" s="2839" cm="1">
        <f t="array" aca="1" ref="Z33" ca="1">INDIRECT("'※ 디지털 세부데이터'!"&amp;Z$1&amp;$AB33, TRUE)</f>
        <v>18</v>
      </c>
      <c r="AA33" s="2842" cm="1">
        <f t="array" aca="1" ref="AA33" ca="1">INDIRECT("'※ 디지털 세부데이터'!"&amp;AA$1&amp;$AB33, TRUE)</f>
        <v>9.5</v>
      </c>
      <c r="AB33" s="1520">
        <f>ROW('※ 디지털 세부데이터'!L31)</f>
        <v>31</v>
      </c>
      <c r="AC33" s="555"/>
      <c r="AD33" s="555"/>
      <c r="AE33" s="555"/>
      <c r="AF33" s="555"/>
      <c r="AG33" s="555"/>
      <c r="AH33" s="555"/>
      <c r="AI33" s="555"/>
      <c r="AJ33" s="555"/>
      <c r="AK33" s="555"/>
      <c r="AL33" s="555"/>
      <c r="AM33" s="555"/>
      <c r="AN33" s="555"/>
      <c r="AO33" s="555"/>
      <c r="AP33" s="555"/>
      <c r="AQ33" s="555"/>
      <c r="AR33" s="555"/>
      <c r="AS33" s="555"/>
      <c r="AT33" s="555"/>
      <c r="AU33" s="555"/>
      <c r="AV33" s="555"/>
      <c r="AW33" s="555"/>
      <c r="AX33" s="555"/>
      <c r="AY33" s="555"/>
      <c r="AZ33" s="555"/>
      <c r="BA33" s="555"/>
      <c r="BB33" s="555"/>
      <c r="BC33" s="555"/>
      <c r="BD33" s="555"/>
      <c r="BE33" s="555"/>
      <c r="BF33" s="555"/>
      <c r="BG33" s="555"/>
      <c r="BH33" s="555"/>
      <c r="BI33" s="555"/>
      <c r="BJ33" s="555"/>
      <c r="BK33" s="555"/>
      <c r="BL33" s="555"/>
    </row>
    <row r="35" spans="1:64" ht="18" customHeight="1" x14ac:dyDescent="0.55000000000000004"/>
    <row r="36" spans="1:64" ht="18" customHeight="1" x14ac:dyDescent="0.55000000000000004"/>
    <row r="37" spans="1:64" ht="18" customHeight="1" x14ac:dyDescent="0.55000000000000004"/>
    <row r="38" spans="1:64" ht="18" customHeight="1" x14ac:dyDescent="0.55000000000000004"/>
    <row r="39" spans="1:64" ht="18" customHeight="1" x14ac:dyDescent="0.55000000000000004"/>
    <row r="41" spans="1:64" ht="18" customHeight="1" x14ac:dyDescent="0.55000000000000004"/>
    <row r="42" spans="1:64" ht="18" hidden="1" customHeight="1" x14ac:dyDescent="0.55000000000000004"/>
    <row r="43" spans="1:64" ht="18" hidden="1" customHeight="1" x14ac:dyDescent="0.55000000000000004"/>
    <row r="44" spans="1:64" ht="18" hidden="1" customHeight="1" x14ac:dyDescent="0.55000000000000004"/>
    <row r="45" spans="1:64" ht="18" hidden="1" customHeight="1" x14ac:dyDescent="0.55000000000000004"/>
    <row r="46" spans="1:64" ht="18" hidden="1" customHeight="1" x14ac:dyDescent="0.55000000000000004">
      <c r="B46" s="2673"/>
      <c r="C46" s="2676"/>
      <c r="D46" s="2676"/>
      <c r="E46" s="2676"/>
      <c r="F46" s="2676"/>
      <c r="G46" s="2676"/>
      <c r="H46" s="2676"/>
      <c r="I46" s="2676"/>
      <c r="J46" s="2676"/>
      <c r="K46" s="2676"/>
      <c r="L46" s="2676"/>
      <c r="M46" s="2676"/>
      <c r="N46" s="2676"/>
      <c r="O46" s="2676"/>
      <c r="P46" s="2676"/>
      <c r="Q46" s="2676"/>
      <c r="R46" s="2676"/>
      <c r="S46" s="2676"/>
      <c r="T46" s="2676"/>
      <c r="U46" s="2676"/>
      <c r="V46" s="2676"/>
      <c r="W46" s="2676"/>
      <c r="X46" s="2676"/>
      <c r="Y46" s="2676"/>
    </row>
    <row r="47" spans="1:64" ht="18" hidden="1" customHeight="1" x14ac:dyDescent="0.55000000000000004">
      <c r="B47" s="2673"/>
      <c r="C47" s="2676"/>
      <c r="D47" s="2676"/>
      <c r="E47" s="2676"/>
      <c r="F47" s="2676"/>
      <c r="G47" s="2676"/>
      <c r="H47" s="2676"/>
      <c r="I47" s="2676"/>
      <c r="J47" s="2676"/>
      <c r="K47" s="2676"/>
      <c r="L47" s="2676"/>
      <c r="M47" s="2676"/>
      <c r="N47" s="2676"/>
      <c r="O47" s="2676"/>
      <c r="P47" s="2676"/>
      <c r="Q47" s="2676"/>
      <c r="R47" s="2676"/>
      <c r="S47" s="2676"/>
      <c r="T47" s="2676"/>
      <c r="U47" s="2676"/>
      <c r="V47" s="2676"/>
      <c r="W47" s="2676"/>
      <c r="X47" s="2676"/>
      <c r="Y47" s="2676"/>
    </row>
    <row r="48" spans="1:64" ht="18" customHeight="1" x14ac:dyDescent="0.55000000000000004">
      <c r="B48" s="2673"/>
      <c r="C48" s="2676"/>
      <c r="D48" s="2676"/>
      <c r="E48" s="2676"/>
      <c r="F48" s="2676"/>
      <c r="G48" s="2676"/>
      <c r="H48" s="2676"/>
      <c r="I48" s="2676"/>
      <c r="J48" s="2676"/>
      <c r="K48" s="2676"/>
      <c r="L48" s="2676"/>
      <c r="M48" s="2676"/>
      <c r="N48" s="2676"/>
      <c r="O48" s="2676"/>
      <c r="P48" s="2676"/>
      <c r="Q48" s="2676"/>
      <c r="R48" s="2676"/>
      <c r="S48" s="2676"/>
      <c r="T48" s="2676"/>
      <c r="U48" s="2676"/>
      <c r="V48" s="2676"/>
      <c r="W48" s="2676"/>
      <c r="X48" s="2676"/>
      <c r="Y48" s="2676"/>
    </row>
    <row r="49" spans="2:25" ht="18" customHeight="1" x14ac:dyDescent="0.55000000000000004">
      <c r="B49" s="2673"/>
      <c r="C49" s="2676"/>
      <c r="D49" s="2676"/>
      <c r="E49" s="2676"/>
      <c r="F49" s="2676"/>
      <c r="G49" s="2676"/>
      <c r="H49" s="2676"/>
      <c r="I49" s="2676"/>
      <c r="J49" s="2676"/>
      <c r="K49" s="2676"/>
      <c r="L49" s="2676"/>
      <c r="M49" s="2676"/>
      <c r="N49" s="2676"/>
      <c r="O49" s="2676"/>
      <c r="P49" s="2676"/>
      <c r="Q49" s="2676"/>
      <c r="R49" s="2676"/>
      <c r="S49" s="2676"/>
      <c r="T49" s="2676"/>
      <c r="U49" s="2676"/>
      <c r="V49" s="2676"/>
      <c r="W49" s="2676"/>
      <c r="X49" s="2676"/>
      <c r="Y49" s="2676"/>
    </row>
    <row r="50" spans="2:25" ht="18" customHeight="1" x14ac:dyDescent="0.55000000000000004">
      <c r="B50" s="2673"/>
      <c r="C50" s="2676"/>
      <c r="D50" s="2676"/>
      <c r="E50" s="2676"/>
      <c r="F50" s="2676"/>
      <c r="G50" s="2676"/>
      <c r="H50" s="2676"/>
      <c r="I50" s="2676"/>
      <c r="J50" s="2676"/>
      <c r="K50" s="2676"/>
      <c r="L50" s="2676"/>
      <c r="M50" s="2676"/>
      <c r="N50" s="2676"/>
      <c r="O50" s="2676"/>
      <c r="P50" s="2676"/>
      <c r="Q50" s="2676"/>
      <c r="R50" s="2676"/>
      <c r="S50" s="2676"/>
      <c r="T50" s="2676"/>
      <c r="U50" s="2676"/>
      <c r="V50" s="2676"/>
      <c r="W50" s="2676"/>
      <c r="X50" s="2676"/>
      <c r="Y50" s="2676"/>
    </row>
    <row r="51" spans="2:25" ht="18" customHeight="1" x14ac:dyDescent="0.55000000000000004">
      <c r="B51" s="2673"/>
      <c r="C51" s="2676"/>
      <c r="D51" s="2676"/>
      <c r="E51" s="2676"/>
      <c r="F51" s="2676"/>
      <c r="G51" s="2676"/>
      <c r="H51" s="2676"/>
      <c r="I51" s="2676"/>
      <c r="J51" s="2676"/>
      <c r="K51" s="2676"/>
      <c r="L51" s="2676"/>
      <c r="M51" s="2676"/>
      <c r="N51" s="2676"/>
      <c r="O51" s="2676"/>
      <c r="P51" s="2676"/>
      <c r="Q51" s="2676"/>
      <c r="R51" s="2676"/>
      <c r="S51" s="2676"/>
      <c r="T51" s="2676"/>
      <c r="U51" s="2676"/>
      <c r="V51" s="2676"/>
      <c r="W51" s="2676"/>
      <c r="X51" s="2676"/>
      <c r="Y51" s="2676"/>
    </row>
    <row r="52" spans="2:25" ht="18" customHeight="1" x14ac:dyDescent="0.55000000000000004">
      <c r="B52" s="2673"/>
      <c r="C52" s="2676"/>
      <c r="D52" s="2676"/>
      <c r="E52" s="2676"/>
      <c r="F52" s="2676"/>
      <c r="G52" s="2676"/>
      <c r="H52" s="2676"/>
      <c r="I52" s="2676"/>
      <c r="J52" s="2676"/>
      <c r="K52" s="2676"/>
      <c r="L52" s="2676"/>
      <c r="M52" s="2676"/>
      <c r="N52" s="2676"/>
      <c r="O52" s="2676"/>
      <c r="P52" s="2676"/>
      <c r="Q52" s="2676"/>
      <c r="R52" s="2676"/>
      <c r="S52" s="2676"/>
      <c r="T52" s="2676"/>
      <c r="U52" s="2676"/>
      <c r="V52" s="2676"/>
      <c r="W52" s="2676"/>
      <c r="X52" s="2676"/>
      <c r="Y52" s="2676"/>
    </row>
    <row r="53" spans="2:25" ht="18" customHeight="1" x14ac:dyDescent="0.55000000000000004">
      <c r="B53" s="2673"/>
      <c r="C53" s="2676"/>
      <c r="D53" s="2676"/>
      <c r="E53" s="2676"/>
      <c r="F53" s="2676"/>
      <c r="G53" s="2676"/>
      <c r="H53" s="2676"/>
      <c r="I53" s="2676"/>
      <c r="J53" s="2676"/>
      <c r="K53" s="2676"/>
      <c r="L53" s="2676"/>
      <c r="M53" s="2676"/>
      <c r="N53" s="2676"/>
      <c r="O53" s="2676"/>
      <c r="P53" s="2676"/>
      <c r="Q53" s="2676"/>
      <c r="R53" s="2676"/>
      <c r="S53" s="2676"/>
      <c r="T53" s="2676"/>
      <c r="U53" s="2676"/>
      <c r="V53" s="2676"/>
      <c r="W53" s="2676"/>
      <c r="X53" s="2676"/>
      <c r="Y53" s="2676"/>
    </row>
    <row r="54" spans="2:25" x14ac:dyDescent="0.55000000000000004">
      <c r="B54" s="2673"/>
      <c r="C54" s="2676"/>
      <c r="D54" s="2676"/>
      <c r="E54" s="2676"/>
      <c r="F54" s="2676"/>
      <c r="G54" s="2676"/>
      <c r="H54" s="2676"/>
      <c r="I54" s="2676"/>
      <c r="J54" s="2676"/>
      <c r="K54" s="2676"/>
      <c r="L54" s="2676"/>
      <c r="M54" s="2676"/>
      <c r="N54" s="2676"/>
      <c r="O54" s="2676"/>
      <c r="P54" s="2676"/>
      <c r="Q54" s="2676"/>
      <c r="R54" s="2676"/>
      <c r="S54" s="2676"/>
      <c r="T54" s="2676"/>
      <c r="U54" s="2676"/>
      <c r="V54" s="2676"/>
      <c r="W54" s="2676"/>
      <c r="X54" s="2676"/>
      <c r="Y54" s="2676"/>
    </row>
    <row r="55" spans="2:25" ht="18" customHeight="1" x14ac:dyDescent="0.55000000000000004">
      <c r="B55" s="2673"/>
      <c r="C55" s="2676"/>
      <c r="D55" s="2676"/>
      <c r="E55" s="2676"/>
      <c r="F55" s="2676"/>
      <c r="G55" s="2676"/>
      <c r="H55" s="2676"/>
      <c r="I55" s="2676"/>
      <c r="J55" s="2676"/>
      <c r="K55" s="2676"/>
      <c r="L55" s="2676"/>
      <c r="M55" s="2676"/>
      <c r="N55" s="2676"/>
      <c r="O55" s="2676"/>
      <c r="P55" s="2676"/>
      <c r="Q55" s="2676"/>
      <c r="R55" s="2676"/>
      <c r="S55" s="2676"/>
      <c r="T55" s="2676"/>
      <c r="U55" s="2676"/>
      <c r="V55" s="2676"/>
      <c r="W55" s="2676"/>
      <c r="X55" s="2676"/>
      <c r="Y55" s="2676"/>
    </row>
    <row r="56" spans="2:25" ht="18" customHeight="1" x14ac:dyDescent="0.55000000000000004">
      <c r="B56" s="2673"/>
      <c r="C56" s="2676"/>
      <c r="D56" s="2676"/>
      <c r="E56" s="2676"/>
      <c r="F56" s="2676"/>
      <c r="G56" s="2676"/>
      <c r="H56" s="2676"/>
      <c r="I56" s="2676"/>
      <c r="J56" s="2676"/>
      <c r="K56" s="2676"/>
      <c r="L56" s="2676"/>
      <c r="M56" s="2676"/>
      <c r="N56" s="2676"/>
      <c r="O56" s="2676"/>
      <c r="P56" s="2676"/>
      <c r="Q56" s="2676"/>
      <c r="R56" s="2676"/>
      <c r="S56" s="2676"/>
      <c r="T56" s="2676"/>
      <c r="U56" s="2676"/>
      <c r="V56" s="2676"/>
      <c r="W56" s="2676"/>
      <c r="X56" s="2676"/>
      <c r="Y56" s="2676"/>
    </row>
    <row r="57" spans="2:25" ht="18" customHeight="1" x14ac:dyDescent="0.55000000000000004">
      <c r="B57" s="2673"/>
      <c r="C57" s="2676"/>
      <c r="D57" s="2676"/>
      <c r="E57" s="2676"/>
      <c r="F57" s="2676"/>
      <c r="G57" s="2676"/>
      <c r="H57" s="2676"/>
      <c r="I57" s="2676"/>
      <c r="J57" s="2676"/>
      <c r="K57" s="2676"/>
      <c r="L57" s="2676"/>
      <c r="M57" s="2676"/>
      <c r="N57" s="2676"/>
      <c r="O57" s="2676"/>
      <c r="P57" s="2676"/>
      <c r="Q57" s="2676"/>
      <c r="R57" s="2676"/>
      <c r="S57" s="2676"/>
      <c r="T57" s="2676"/>
      <c r="U57" s="2676"/>
      <c r="V57" s="2676"/>
      <c r="W57" s="2676"/>
      <c r="X57" s="2676"/>
      <c r="Y57" s="2676"/>
    </row>
    <row r="58" spans="2:25" ht="18" customHeight="1" x14ac:dyDescent="0.55000000000000004">
      <c r="B58" s="2673"/>
      <c r="C58" s="2676"/>
      <c r="D58" s="2676"/>
      <c r="E58" s="2676"/>
      <c r="F58" s="2676"/>
      <c r="G58" s="2676"/>
      <c r="H58" s="2676"/>
      <c r="I58" s="2676"/>
      <c r="J58" s="2676"/>
      <c r="K58" s="2676"/>
      <c r="L58" s="2676"/>
      <c r="M58" s="2676"/>
      <c r="N58" s="2676"/>
      <c r="O58" s="2676"/>
      <c r="P58" s="2676"/>
      <c r="Q58" s="2676"/>
      <c r="R58" s="2676"/>
      <c r="S58" s="2676"/>
      <c r="T58" s="2676"/>
      <c r="U58" s="2676"/>
      <c r="V58" s="2676"/>
      <c r="W58" s="2676"/>
      <c r="X58" s="2676"/>
      <c r="Y58" s="2676"/>
    </row>
    <row r="59" spans="2:25" ht="18" customHeight="1" x14ac:dyDescent="0.55000000000000004">
      <c r="B59" s="2673"/>
      <c r="C59" s="2676"/>
      <c r="D59" s="2676"/>
      <c r="E59" s="2676"/>
      <c r="F59" s="2676"/>
      <c r="G59" s="2676"/>
      <c r="H59" s="2676"/>
      <c r="I59" s="2676"/>
      <c r="J59" s="2676"/>
      <c r="K59" s="2676"/>
      <c r="L59" s="2676"/>
      <c r="M59" s="2676"/>
      <c r="N59" s="2676"/>
      <c r="O59" s="2676"/>
      <c r="P59" s="2676"/>
      <c r="Q59" s="2676"/>
      <c r="R59" s="2676"/>
      <c r="S59" s="2676"/>
      <c r="T59" s="2676"/>
      <c r="U59" s="2676"/>
      <c r="V59" s="2676"/>
      <c r="W59" s="2676"/>
      <c r="X59" s="2676"/>
      <c r="Y59" s="2676"/>
    </row>
    <row r="60" spans="2:25" ht="18" customHeight="1" x14ac:dyDescent="0.55000000000000004">
      <c r="B60" s="2673"/>
      <c r="C60" s="2676"/>
      <c r="D60" s="2676"/>
      <c r="E60" s="2676"/>
      <c r="F60" s="2676"/>
      <c r="G60" s="2676"/>
      <c r="H60" s="2676"/>
      <c r="I60" s="2676"/>
      <c r="J60" s="2676"/>
      <c r="K60" s="2676"/>
      <c r="L60" s="2676"/>
      <c r="M60" s="2676"/>
      <c r="N60" s="2676"/>
      <c r="O60" s="2676"/>
      <c r="P60" s="2676"/>
      <c r="Q60" s="2676"/>
      <c r="R60" s="2676"/>
      <c r="S60" s="2676"/>
      <c r="T60" s="2676"/>
      <c r="U60" s="2676"/>
      <c r="V60" s="2676"/>
      <c r="W60" s="2676"/>
      <c r="X60" s="2676"/>
      <c r="Y60" s="2676"/>
    </row>
    <row r="61" spans="2:25" ht="18" customHeight="1" x14ac:dyDescent="0.55000000000000004">
      <c r="B61" s="2673"/>
      <c r="C61" s="2676"/>
      <c r="D61" s="2676"/>
      <c r="E61" s="2676"/>
      <c r="F61" s="2676"/>
      <c r="G61" s="2676"/>
      <c r="H61" s="2676"/>
      <c r="I61" s="2676"/>
      <c r="J61" s="2676"/>
      <c r="K61" s="2676"/>
      <c r="L61" s="2676"/>
      <c r="M61" s="2676"/>
      <c r="N61" s="2676"/>
      <c r="O61" s="2676"/>
      <c r="P61" s="2676"/>
      <c r="Q61" s="2676"/>
      <c r="R61" s="2676"/>
      <c r="S61" s="2676"/>
      <c r="T61" s="2676"/>
      <c r="U61" s="2676"/>
      <c r="V61" s="2676"/>
      <c r="W61" s="2676"/>
      <c r="X61" s="2676"/>
      <c r="Y61" s="2676"/>
    </row>
    <row r="62" spans="2:25" ht="18" customHeight="1" x14ac:dyDescent="0.55000000000000004"/>
    <row r="63" spans="2:25" ht="18" customHeight="1" x14ac:dyDescent="0.55000000000000004">
      <c r="B63" s="2673"/>
      <c r="C63" s="2676"/>
      <c r="D63" s="2676"/>
      <c r="E63" s="2676"/>
      <c r="F63" s="2676"/>
      <c r="G63" s="2676"/>
      <c r="H63" s="2676"/>
      <c r="I63" s="2676"/>
      <c r="J63" s="2676"/>
      <c r="K63" s="2676"/>
      <c r="L63" s="2676"/>
      <c r="M63" s="2676"/>
      <c r="N63" s="2676"/>
      <c r="O63" s="2676"/>
      <c r="P63" s="2676"/>
      <c r="Q63" s="2676"/>
      <c r="R63" s="2676"/>
      <c r="S63" s="2676"/>
      <c r="T63" s="2676"/>
      <c r="U63" s="2676"/>
      <c r="V63" s="2676"/>
      <c r="W63" s="2676"/>
      <c r="X63" s="2676"/>
      <c r="Y63" s="2676"/>
    </row>
    <row r="64" spans="2:25" ht="18" customHeight="1" x14ac:dyDescent="0.55000000000000004">
      <c r="B64" s="2673"/>
      <c r="C64" s="2676"/>
      <c r="D64" s="2676"/>
      <c r="E64" s="2676"/>
      <c r="F64" s="2676"/>
      <c r="G64" s="2676"/>
      <c r="H64" s="2676"/>
      <c r="I64" s="2676"/>
      <c r="J64" s="2676"/>
      <c r="K64" s="2676"/>
      <c r="L64" s="2676"/>
      <c r="M64" s="2676"/>
      <c r="N64" s="2676"/>
      <c r="O64" s="2676"/>
      <c r="P64" s="2676"/>
      <c r="Q64" s="2676"/>
      <c r="R64" s="2676"/>
      <c r="S64" s="2676"/>
      <c r="T64" s="2676"/>
      <c r="U64" s="2676"/>
      <c r="V64" s="2676"/>
      <c r="W64" s="2676"/>
      <c r="X64" s="2676"/>
      <c r="Y64" s="2676"/>
    </row>
    <row r="65" spans="2:25" ht="18" customHeight="1" x14ac:dyDescent="0.55000000000000004">
      <c r="B65" s="2673"/>
      <c r="C65" s="2676"/>
      <c r="D65" s="2676"/>
      <c r="E65" s="2676"/>
      <c r="F65" s="2676"/>
      <c r="G65" s="2676"/>
      <c r="H65" s="2676"/>
      <c r="I65" s="2676"/>
      <c r="J65" s="2676"/>
      <c r="K65" s="2676"/>
      <c r="L65" s="2676"/>
      <c r="M65" s="2676"/>
      <c r="N65" s="2676"/>
      <c r="O65" s="2676"/>
      <c r="P65" s="2676"/>
      <c r="Q65" s="2676"/>
      <c r="R65" s="2676"/>
      <c r="S65" s="2676"/>
      <c r="T65" s="2676"/>
      <c r="U65" s="2676"/>
      <c r="V65" s="2676"/>
      <c r="W65" s="2676"/>
      <c r="X65" s="2676"/>
      <c r="Y65" s="2676"/>
    </row>
    <row r="66" spans="2:25" ht="18" customHeight="1" x14ac:dyDescent="0.55000000000000004">
      <c r="B66" s="2673"/>
      <c r="C66" s="2676"/>
      <c r="D66" s="2676"/>
      <c r="E66" s="2676"/>
      <c r="F66" s="2676"/>
      <c r="G66" s="2676"/>
      <c r="H66" s="2676"/>
      <c r="I66" s="2676"/>
      <c r="J66" s="2676"/>
      <c r="K66" s="2676"/>
      <c r="L66" s="2676"/>
      <c r="M66" s="2676"/>
      <c r="N66" s="2676"/>
      <c r="O66" s="2676"/>
      <c r="P66" s="2676"/>
      <c r="Q66" s="2676"/>
      <c r="R66" s="2676"/>
      <c r="S66" s="2676"/>
      <c r="T66" s="2676"/>
      <c r="U66" s="2676"/>
      <c r="V66" s="2676"/>
      <c r="W66" s="2676"/>
      <c r="X66" s="2676"/>
      <c r="Y66" s="2676"/>
    </row>
    <row r="67" spans="2:25" ht="18" customHeight="1" x14ac:dyDescent="0.55000000000000004">
      <c r="B67" s="2673"/>
      <c r="C67" s="2676"/>
      <c r="D67" s="2676"/>
      <c r="E67" s="2676"/>
      <c r="F67" s="2676"/>
      <c r="G67" s="2676"/>
      <c r="H67" s="2676"/>
      <c r="I67" s="2676"/>
      <c r="J67" s="2676"/>
      <c r="K67" s="2676"/>
      <c r="L67" s="2676"/>
      <c r="M67" s="2676"/>
      <c r="N67" s="2676"/>
      <c r="O67" s="2676"/>
      <c r="P67" s="2676"/>
      <c r="Q67" s="2676"/>
      <c r="R67" s="2676"/>
      <c r="S67" s="2676"/>
      <c r="T67" s="2676"/>
      <c r="U67" s="2676"/>
      <c r="V67" s="2676"/>
      <c r="W67" s="2676"/>
      <c r="X67" s="2676"/>
      <c r="Y67" s="2676"/>
    </row>
    <row r="68" spans="2:25" ht="18" customHeight="1" x14ac:dyDescent="0.55000000000000004">
      <c r="B68" s="2673"/>
      <c r="C68" s="2676"/>
      <c r="D68" s="2676"/>
      <c r="E68" s="2676"/>
      <c r="F68" s="2676"/>
      <c r="G68" s="2676"/>
      <c r="H68" s="2676"/>
      <c r="I68" s="2676"/>
      <c r="J68" s="2676"/>
      <c r="K68" s="2676"/>
      <c r="L68" s="2676"/>
      <c r="M68" s="2676"/>
      <c r="N68" s="2676"/>
      <c r="O68" s="2676"/>
      <c r="P68" s="2676"/>
      <c r="Q68" s="2676"/>
      <c r="R68" s="2676"/>
      <c r="S68" s="2676"/>
      <c r="T68" s="2676"/>
      <c r="U68" s="2676"/>
      <c r="V68" s="2676"/>
      <c r="W68" s="2676"/>
      <c r="X68" s="2676"/>
      <c r="Y68" s="2676"/>
    </row>
    <row r="69" spans="2:25" ht="18" customHeight="1" x14ac:dyDescent="0.55000000000000004">
      <c r="B69" s="2673"/>
      <c r="C69" s="2676"/>
      <c r="D69" s="2676"/>
      <c r="E69" s="2676"/>
      <c r="F69" s="2676"/>
      <c r="G69" s="2676"/>
      <c r="H69" s="2676"/>
      <c r="I69" s="2676"/>
      <c r="J69" s="2676"/>
      <c r="K69" s="2676"/>
      <c r="L69" s="2676"/>
      <c r="M69" s="2676"/>
      <c r="N69" s="2676"/>
      <c r="O69" s="2676"/>
      <c r="P69" s="2676"/>
      <c r="Q69" s="2676"/>
      <c r="R69" s="2676"/>
      <c r="S69" s="2676"/>
      <c r="T69" s="2676"/>
      <c r="U69" s="2676"/>
      <c r="V69" s="2676"/>
      <c r="W69" s="2676"/>
      <c r="X69" s="2676"/>
      <c r="Y69" s="2676"/>
    </row>
    <row r="70" spans="2:25" ht="18" customHeight="1" x14ac:dyDescent="0.55000000000000004">
      <c r="B70" s="2673"/>
      <c r="C70" s="2676"/>
      <c r="D70" s="2676"/>
      <c r="E70" s="2676"/>
      <c r="F70" s="2676"/>
      <c r="G70" s="2676"/>
      <c r="H70" s="2676"/>
      <c r="I70" s="2676"/>
      <c r="J70" s="2676"/>
      <c r="K70" s="2676"/>
      <c r="L70" s="2676"/>
      <c r="M70" s="2676"/>
      <c r="N70" s="2676"/>
      <c r="O70" s="2676"/>
      <c r="P70" s="2676"/>
      <c r="Q70" s="2676"/>
      <c r="R70" s="2676"/>
      <c r="S70" s="2676"/>
      <c r="T70" s="2676"/>
      <c r="U70" s="2676"/>
      <c r="V70" s="2676"/>
      <c r="W70" s="2676"/>
      <c r="X70" s="2676"/>
      <c r="Y70" s="2676"/>
    </row>
    <row r="71" spans="2:25" ht="18" customHeight="1" x14ac:dyDescent="0.55000000000000004">
      <c r="B71" s="2673"/>
      <c r="C71" s="2676"/>
      <c r="D71" s="2676"/>
      <c r="E71" s="2676"/>
      <c r="F71" s="2676"/>
      <c r="G71" s="2676"/>
      <c r="H71" s="2676"/>
      <c r="I71" s="2676"/>
      <c r="J71" s="2676"/>
      <c r="K71" s="2676"/>
      <c r="L71" s="2676"/>
      <c r="M71" s="2676"/>
      <c r="N71" s="2676"/>
      <c r="O71" s="2676"/>
      <c r="P71" s="2676"/>
      <c r="Q71" s="2676"/>
      <c r="R71" s="2676"/>
      <c r="S71" s="2676"/>
      <c r="T71" s="2676"/>
      <c r="U71" s="2676"/>
      <c r="V71" s="2676"/>
      <c r="W71" s="2676"/>
      <c r="X71" s="2676"/>
      <c r="Y71" s="2676"/>
    </row>
    <row r="72" spans="2:25" ht="18" customHeight="1" x14ac:dyDescent="0.55000000000000004">
      <c r="B72" s="2673"/>
      <c r="C72" s="2676"/>
      <c r="D72" s="2676"/>
      <c r="E72" s="2676"/>
      <c r="F72" s="2676"/>
      <c r="G72" s="2676"/>
      <c r="H72" s="2676"/>
      <c r="I72" s="2676"/>
      <c r="J72" s="2676"/>
      <c r="K72" s="2676"/>
      <c r="L72" s="2676"/>
      <c r="M72" s="2676"/>
      <c r="N72" s="2676"/>
      <c r="O72" s="2676"/>
      <c r="P72" s="2676"/>
      <c r="Q72" s="2676"/>
      <c r="R72" s="2676"/>
      <c r="S72" s="2676"/>
      <c r="T72" s="2676"/>
      <c r="U72" s="2676"/>
      <c r="V72" s="2676"/>
      <c r="W72" s="2676"/>
      <c r="X72" s="2676"/>
      <c r="Y72" s="2676"/>
    </row>
    <row r="73" spans="2:25" ht="18" customHeight="1" x14ac:dyDescent="0.55000000000000004">
      <c r="B73" s="2673"/>
      <c r="C73" s="2676"/>
      <c r="D73" s="2676"/>
      <c r="E73" s="2676"/>
      <c r="F73" s="2676"/>
      <c r="G73" s="2676"/>
      <c r="H73" s="2676"/>
      <c r="I73" s="2676"/>
      <c r="J73" s="2676"/>
      <c r="K73" s="2676"/>
      <c r="L73" s="2676"/>
      <c r="M73" s="2676"/>
      <c r="N73" s="2676"/>
      <c r="O73" s="2676"/>
      <c r="P73" s="2676"/>
      <c r="Q73" s="2676"/>
      <c r="R73" s="2676"/>
      <c r="S73" s="2676"/>
      <c r="T73" s="2676"/>
      <c r="U73" s="2676"/>
      <c r="V73" s="2676"/>
      <c r="W73" s="2676"/>
      <c r="X73" s="2676"/>
      <c r="Y73" s="2676"/>
    </row>
    <row r="74" spans="2:25" ht="18" customHeight="1" x14ac:dyDescent="0.55000000000000004">
      <c r="B74" s="2673"/>
      <c r="C74" s="2676"/>
      <c r="D74" s="2676"/>
      <c r="E74" s="2676"/>
      <c r="F74" s="2676"/>
      <c r="G74" s="2676"/>
      <c r="H74" s="2676"/>
      <c r="I74" s="2676"/>
      <c r="J74" s="2676"/>
      <c r="K74" s="2676"/>
      <c r="L74" s="2676"/>
      <c r="M74" s="2676"/>
      <c r="N74" s="2676"/>
      <c r="O74" s="2676"/>
      <c r="P74" s="2676"/>
      <c r="Q74" s="2676"/>
      <c r="R74" s="2676"/>
      <c r="S74" s="2676"/>
      <c r="T74" s="2676"/>
      <c r="U74" s="2676"/>
      <c r="V74" s="2676"/>
      <c r="W74" s="2676"/>
      <c r="X74" s="2676"/>
      <c r="Y74" s="2676"/>
    </row>
    <row r="75" spans="2:25" ht="18" customHeight="1" x14ac:dyDescent="0.55000000000000004">
      <c r="B75" s="2673"/>
      <c r="C75" s="2676"/>
      <c r="D75" s="2676"/>
      <c r="E75" s="2676"/>
      <c r="F75" s="2676"/>
      <c r="G75" s="2676"/>
      <c r="H75" s="2676"/>
      <c r="I75" s="2676"/>
      <c r="J75" s="2676"/>
      <c r="K75" s="2676"/>
      <c r="L75" s="2676"/>
      <c r="M75" s="2676"/>
      <c r="N75" s="2676"/>
      <c r="O75" s="2676"/>
      <c r="P75" s="2676"/>
      <c r="Q75" s="2676"/>
      <c r="R75" s="2676"/>
      <c r="S75" s="2676"/>
      <c r="T75" s="2676"/>
      <c r="U75" s="2676"/>
      <c r="V75" s="2676"/>
      <c r="W75" s="2676"/>
      <c r="X75" s="2676"/>
      <c r="Y75" s="2676"/>
    </row>
    <row r="76" spans="2:25" ht="18" customHeight="1" x14ac:dyDescent="0.55000000000000004">
      <c r="B76" s="2673"/>
      <c r="C76" s="2676"/>
      <c r="D76" s="2676"/>
      <c r="E76" s="2676"/>
      <c r="F76" s="2676"/>
      <c r="G76" s="2676"/>
      <c r="H76" s="2676"/>
      <c r="I76" s="2676"/>
      <c r="J76" s="2676"/>
      <c r="K76" s="2676"/>
      <c r="L76" s="2676"/>
      <c r="M76" s="2676"/>
      <c r="N76" s="2676"/>
      <c r="O76" s="2676"/>
      <c r="P76" s="2676"/>
      <c r="Q76" s="2676"/>
      <c r="R76" s="2676"/>
      <c r="S76" s="2676"/>
      <c r="T76" s="2676"/>
      <c r="U76" s="2676"/>
      <c r="V76" s="2676"/>
      <c r="W76" s="2676"/>
      <c r="X76" s="2676"/>
      <c r="Y76" s="2676"/>
    </row>
    <row r="77" spans="2:25" ht="18" customHeight="1" x14ac:dyDescent="0.55000000000000004">
      <c r="B77" s="2673"/>
      <c r="C77" s="2676"/>
      <c r="D77" s="2676"/>
      <c r="E77" s="2676"/>
      <c r="F77" s="2676"/>
      <c r="G77" s="2676"/>
      <c r="H77" s="2676"/>
      <c r="I77" s="2676"/>
      <c r="J77" s="2676"/>
      <c r="K77" s="2676"/>
      <c r="L77" s="2676"/>
      <c r="M77" s="2676"/>
      <c r="N77" s="2676"/>
      <c r="O77" s="2676"/>
      <c r="P77" s="2676"/>
      <c r="Q77" s="2676"/>
      <c r="R77" s="2676"/>
      <c r="S77" s="2676"/>
      <c r="T77" s="2676"/>
      <c r="U77" s="2676"/>
      <c r="V77" s="2676"/>
      <c r="W77" s="2676"/>
      <c r="X77" s="2676"/>
      <c r="Y77" s="2676"/>
    </row>
    <row r="78" spans="2:25" ht="18" customHeight="1" x14ac:dyDescent="0.55000000000000004">
      <c r="B78" s="2673"/>
      <c r="C78" s="2676"/>
      <c r="D78" s="2676"/>
      <c r="E78" s="2676"/>
      <c r="F78" s="2676"/>
      <c r="G78" s="2676"/>
      <c r="H78" s="2676"/>
      <c r="I78" s="2676"/>
      <c r="J78" s="2676"/>
      <c r="K78" s="2676"/>
      <c r="L78" s="2676"/>
      <c r="M78" s="2676"/>
      <c r="N78" s="2676"/>
      <c r="O78" s="2676"/>
      <c r="P78" s="2676"/>
      <c r="Q78" s="2676"/>
      <c r="R78" s="2676"/>
      <c r="S78" s="2676"/>
      <c r="T78" s="2676"/>
      <c r="U78" s="2676"/>
      <c r="V78" s="2676"/>
      <c r="W78" s="2676"/>
      <c r="X78" s="2676"/>
      <c r="Y78" s="2676"/>
    </row>
    <row r="79" spans="2:25" ht="18" customHeight="1" x14ac:dyDescent="0.55000000000000004">
      <c r="B79" s="2673"/>
      <c r="C79" s="2676"/>
      <c r="D79" s="2676"/>
      <c r="E79" s="2676"/>
      <c r="F79" s="2676"/>
      <c r="G79" s="2676"/>
      <c r="H79" s="2676"/>
      <c r="I79" s="2676"/>
      <c r="J79" s="2676"/>
      <c r="K79" s="2676"/>
      <c r="L79" s="2676"/>
      <c r="M79" s="2676"/>
      <c r="N79" s="2676"/>
      <c r="O79" s="2676"/>
      <c r="P79" s="2676"/>
      <c r="Q79" s="2676"/>
      <c r="R79" s="2676"/>
      <c r="S79" s="2676"/>
      <c r="T79" s="2676"/>
      <c r="U79" s="2676"/>
      <c r="V79" s="2676"/>
      <c r="W79" s="2676"/>
      <c r="X79" s="2676"/>
      <c r="Y79" s="2676"/>
    </row>
    <row r="80" spans="2:25" ht="18" customHeight="1" x14ac:dyDescent="0.55000000000000004">
      <c r="B80" s="2673"/>
      <c r="C80" s="2676"/>
      <c r="D80" s="2676"/>
      <c r="E80" s="2676"/>
      <c r="F80" s="2676"/>
      <c r="G80" s="2676"/>
      <c r="H80" s="2676"/>
      <c r="I80" s="2676"/>
      <c r="J80" s="2676"/>
      <c r="K80" s="2676"/>
      <c r="L80" s="2676"/>
      <c r="M80" s="2676"/>
      <c r="N80" s="2676"/>
      <c r="O80" s="2676"/>
      <c r="P80" s="2676"/>
      <c r="Q80" s="2676"/>
      <c r="R80" s="2676"/>
      <c r="S80" s="2676"/>
      <c r="T80" s="2676"/>
      <c r="U80" s="2676"/>
      <c r="V80" s="2676"/>
      <c r="W80" s="2676"/>
      <c r="X80" s="2676"/>
      <c r="Y80" s="2676"/>
    </row>
    <row r="81" spans="2:25" ht="18" customHeight="1" x14ac:dyDescent="0.55000000000000004">
      <c r="B81" s="2673"/>
      <c r="C81" s="2676"/>
      <c r="D81" s="2676"/>
      <c r="E81" s="2676"/>
      <c r="F81" s="2676"/>
      <c r="G81" s="2676"/>
      <c r="H81" s="2676"/>
      <c r="I81" s="2676"/>
      <c r="J81" s="2676"/>
      <c r="K81" s="2676"/>
      <c r="L81" s="2676"/>
      <c r="M81" s="2676"/>
      <c r="N81" s="2676"/>
      <c r="O81" s="2676"/>
      <c r="P81" s="2676"/>
      <c r="Q81" s="2676"/>
      <c r="R81" s="2676"/>
      <c r="S81" s="2676"/>
      <c r="T81" s="2676"/>
      <c r="U81" s="2676"/>
      <c r="V81" s="2676"/>
      <c r="W81" s="2676"/>
      <c r="X81" s="2676"/>
      <c r="Y81" s="2676"/>
    </row>
    <row r="82" spans="2:25" ht="18" customHeight="1" x14ac:dyDescent="0.55000000000000004">
      <c r="B82" s="2673"/>
      <c r="C82" s="2676"/>
      <c r="D82" s="2676"/>
      <c r="E82" s="2676"/>
      <c r="F82" s="2676"/>
      <c r="G82" s="2676"/>
      <c r="H82" s="2676"/>
      <c r="I82" s="2676"/>
      <c r="J82" s="2676"/>
      <c r="K82" s="2676"/>
      <c r="L82" s="2676"/>
      <c r="M82" s="2676"/>
      <c r="N82" s="2676"/>
      <c r="O82" s="2676"/>
      <c r="P82" s="2676"/>
      <c r="Q82" s="2676"/>
      <c r="R82" s="2676"/>
      <c r="S82" s="2676"/>
      <c r="T82" s="2676"/>
      <c r="U82" s="2676"/>
      <c r="V82" s="2676"/>
      <c r="W82" s="2676"/>
      <c r="X82" s="2676"/>
      <c r="Y82" s="2676"/>
    </row>
    <row r="83" spans="2:25" ht="18" customHeight="1" x14ac:dyDescent="0.55000000000000004">
      <c r="B83" s="2673"/>
      <c r="C83" s="2676"/>
      <c r="D83" s="2676"/>
      <c r="E83" s="2676"/>
      <c r="F83" s="2676"/>
      <c r="G83" s="2676"/>
      <c r="H83" s="2676"/>
      <c r="I83" s="2676"/>
      <c r="J83" s="2676"/>
      <c r="K83" s="2676"/>
      <c r="L83" s="2676"/>
      <c r="M83" s="2676"/>
      <c r="N83" s="2676"/>
      <c r="O83" s="2676"/>
      <c r="P83" s="2676"/>
      <c r="Q83" s="2676"/>
      <c r="R83" s="2676"/>
      <c r="S83" s="2676"/>
      <c r="T83" s="2676"/>
      <c r="U83" s="2676"/>
      <c r="V83" s="2676"/>
      <c r="W83" s="2676"/>
      <c r="X83" s="2676"/>
      <c r="Y83" s="2676"/>
    </row>
    <row r="84" spans="2:25" ht="18" customHeight="1" x14ac:dyDescent="0.55000000000000004">
      <c r="B84" s="2673"/>
      <c r="C84" s="2676"/>
      <c r="D84" s="2676"/>
      <c r="E84" s="2676"/>
      <c r="F84" s="2676"/>
      <c r="G84" s="2676"/>
      <c r="H84" s="2676"/>
      <c r="I84" s="2676"/>
      <c r="J84" s="2676"/>
      <c r="K84" s="2676"/>
      <c r="L84" s="2676"/>
      <c r="M84" s="2676"/>
      <c r="N84" s="2676"/>
      <c r="O84" s="2676"/>
      <c r="P84" s="2676"/>
      <c r="Q84" s="2676"/>
      <c r="R84" s="2676"/>
      <c r="S84" s="2676"/>
      <c r="T84" s="2676"/>
      <c r="U84" s="2676"/>
      <c r="V84" s="2676"/>
      <c r="W84" s="2676"/>
      <c r="X84" s="2676"/>
      <c r="Y84" s="2676"/>
    </row>
    <row r="85" spans="2:25" ht="18" customHeight="1" x14ac:dyDescent="0.55000000000000004">
      <c r="B85" s="2673"/>
      <c r="C85" s="2676"/>
      <c r="D85" s="2676"/>
      <c r="E85" s="2676"/>
      <c r="F85" s="2676"/>
      <c r="G85" s="2676"/>
      <c r="H85" s="2676"/>
      <c r="I85" s="2676"/>
      <c r="J85" s="2676"/>
      <c r="K85" s="2676"/>
      <c r="L85" s="2676"/>
      <c r="M85" s="2676"/>
      <c r="N85" s="2676"/>
      <c r="O85" s="2676"/>
      <c r="P85" s="2676"/>
      <c r="Q85" s="2676"/>
      <c r="R85" s="2676"/>
      <c r="S85" s="2676"/>
      <c r="T85" s="2676"/>
      <c r="U85" s="2676"/>
      <c r="V85" s="2676"/>
      <c r="W85" s="2676"/>
      <c r="X85" s="2676"/>
      <c r="Y85" s="2676"/>
    </row>
    <row r="86" spans="2:25" x14ac:dyDescent="0.55000000000000004">
      <c r="B86" s="2673"/>
      <c r="C86" s="2676"/>
      <c r="D86" s="2676"/>
      <c r="E86" s="2676"/>
      <c r="F86" s="2676"/>
      <c r="G86" s="2676"/>
      <c r="H86" s="2676"/>
      <c r="I86" s="2676"/>
      <c r="J86" s="2676"/>
      <c r="K86" s="2676"/>
      <c r="L86" s="2676"/>
      <c r="M86" s="2676"/>
      <c r="N86" s="2676"/>
      <c r="O86" s="2676"/>
      <c r="P86" s="2676"/>
      <c r="Q86" s="2676"/>
      <c r="R86" s="2676"/>
      <c r="S86" s="2676"/>
      <c r="T86" s="2676"/>
      <c r="U86" s="2676"/>
      <c r="V86" s="2676"/>
      <c r="W86" s="2676"/>
      <c r="X86" s="2676"/>
      <c r="Y86" s="2676"/>
    </row>
    <row r="87" spans="2:25" ht="18" customHeight="1" x14ac:dyDescent="0.55000000000000004">
      <c r="B87" s="2673"/>
      <c r="C87" s="2676"/>
      <c r="D87" s="2676"/>
      <c r="E87" s="2676"/>
      <c r="F87" s="2676"/>
      <c r="G87" s="2676"/>
      <c r="H87" s="2676"/>
      <c r="I87" s="2676"/>
      <c r="J87" s="2676"/>
      <c r="K87" s="2676"/>
      <c r="L87" s="2676"/>
      <c r="M87" s="2676"/>
      <c r="N87" s="2676"/>
      <c r="O87" s="2676"/>
      <c r="P87" s="2676"/>
      <c r="Q87" s="2676"/>
      <c r="R87" s="2676"/>
      <c r="S87" s="2676"/>
      <c r="T87" s="2676"/>
      <c r="U87" s="2676"/>
      <c r="V87" s="2676"/>
      <c r="W87" s="2676"/>
      <c r="X87" s="2676"/>
      <c r="Y87" s="2676"/>
    </row>
    <row r="88" spans="2:25" ht="18" customHeight="1" x14ac:dyDescent="0.55000000000000004">
      <c r="B88" s="2673"/>
      <c r="C88" s="2676"/>
      <c r="D88" s="2676"/>
      <c r="E88" s="2676"/>
      <c r="F88" s="2676"/>
      <c r="G88" s="2676"/>
      <c r="H88" s="2676"/>
      <c r="I88" s="2676"/>
      <c r="J88" s="2676"/>
      <c r="K88" s="2676"/>
      <c r="L88" s="2676"/>
      <c r="M88" s="2676"/>
      <c r="N88" s="2676"/>
      <c r="O88" s="2676"/>
      <c r="P88" s="2676"/>
      <c r="Q88" s="2676"/>
      <c r="R88" s="2676"/>
      <c r="S88" s="2676"/>
      <c r="T88" s="2676"/>
      <c r="U88" s="2676"/>
      <c r="V88" s="2676"/>
      <c r="W88" s="2676"/>
      <c r="X88" s="2676"/>
      <c r="Y88" s="2676"/>
    </row>
    <row r="89" spans="2:25" ht="18" customHeight="1" x14ac:dyDescent="0.55000000000000004">
      <c r="B89" s="2673"/>
      <c r="C89" s="2676"/>
      <c r="D89" s="2676"/>
      <c r="E89" s="2676"/>
      <c r="F89" s="2676"/>
      <c r="G89" s="2676"/>
      <c r="H89" s="2676"/>
      <c r="I89" s="2676"/>
      <c r="J89" s="2676"/>
      <c r="K89" s="2676"/>
      <c r="L89" s="2676"/>
      <c r="M89" s="2676"/>
      <c r="N89" s="2676"/>
      <c r="O89" s="2676"/>
      <c r="P89" s="2676"/>
      <c r="Q89" s="2676"/>
      <c r="R89" s="2676"/>
      <c r="S89" s="2676"/>
      <c r="T89" s="2676"/>
      <c r="U89" s="2676"/>
      <c r="V89" s="2676"/>
      <c r="W89" s="2676"/>
      <c r="X89" s="2676"/>
      <c r="Y89" s="2676"/>
    </row>
    <row r="90" spans="2:25" ht="18" customHeight="1" x14ac:dyDescent="0.55000000000000004">
      <c r="B90" s="2673"/>
      <c r="C90" s="2676"/>
      <c r="D90" s="2676"/>
      <c r="E90" s="2676"/>
      <c r="F90" s="2676"/>
      <c r="G90" s="2676"/>
      <c r="H90" s="2676"/>
      <c r="I90" s="2676"/>
      <c r="J90" s="2676"/>
      <c r="K90" s="2676"/>
      <c r="L90" s="2676"/>
      <c r="M90" s="2676"/>
      <c r="N90" s="2676"/>
      <c r="O90" s="2676"/>
      <c r="P90" s="2676"/>
      <c r="Q90" s="2676"/>
      <c r="R90" s="2676"/>
      <c r="S90" s="2676"/>
      <c r="T90" s="2676"/>
      <c r="U90" s="2676"/>
      <c r="V90" s="2676"/>
      <c r="W90" s="2676"/>
      <c r="X90" s="2676"/>
      <c r="Y90" s="2676"/>
    </row>
    <row r="91" spans="2:25" ht="18" customHeight="1" x14ac:dyDescent="0.55000000000000004">
      <c r="B91" s="2673"/>
      <c r="C91" s="2676"/>
      <c r="D91" s="2676"/>
      <c r="E91" s="2676"/>
      <c r="F91" s="2676"/>
      <c r="G91" s="2676"/>
      <c r="H91" s="2676"/>
      <c r="I91" s="2676"/>
      <c r="J91" s="2676"/>
      <c r="K91" s="2676"/>
      <c r="L91" s="2676"/>
      <c r="M91" s="2676"/>
      <c r="N91" s="2676"/>
      <c r="O91" s="2676"/>
      <c r="P91" s="2676"/>
      <c r="Q91" s="2676"/>
      <c r="R91" s="2676"/>
      <c r="S91" s="2676"/>
      <c r="T91" s="2676"/>
      <c r="U91" s="2676"/>
      <c r="V91" s="2676"/>
      <c r="W91" s="2676"/>
      <c r="X91" s="2676"/>
      <c r="Y91" s="2676"/>
    </row>
    <row r="92" spans="2:25" ht="18" customHeight="1" x14ac:dyDescent="0.55000000000000004">
      <c r="B92" s="2673"/>
      <c r="C92" s="2676"/>
      <c r="D92" s="2676"/>
      <c r="E92" s="2676"/>
      <c r="F92" s="2676"/>
      <c r="G92" s="2676"/>
      <c r="H92" s="2676"/>
      <c r="I92" s="2676"/>
      <c r="J92" s="2676"/>
      <c r="K92" s="2676"/>
      <c r="L92" s="2676"/>
      <c r="M92" s="2676"/>
      <c r="N92" s="2676"/>
      <c r="O92" s="2676"/>
      <c r="P92" s="2676"/>
      <c r="Q92" s="2676"/>
      <c r="R92" s="2676"/>
      <c r="S92" s="2676"/>
      <c r="T92" s="2676"/>
      <c r="U92" s="2676"/>
      <c r="V92" s="2676"/>
      <c r="W92" s="2676"/>
      <c r="X92" s="2676"/>
      <c r="Y92" s="2676"/>
    </row>
    <row r="93" spans="2:25" ht="18" customHeight="1" x14ac:dyDescent="0.55000000000000004">
      <c r="B93" s="2673"/>
      <c r="C93" s="2676"/>
      <c r="D93" s="2676"/>
      <c r="E93" s="2676"/>
      <c r="F93" s="2676"/>
      <c r="G93" s="2676"/>
      <c r="H93" s="2676"/>
      <c r="I93" s="2676"/>
      <c r="J93" s="2676"/>
      <c r="K93" s="2676"/>
      <c r="L93" s="2676"/>
      <c r="M93" s="2676"/>
      <c r="N93" s="2676"/>
      <c r="O93" s="2676"/>
      <c r="P93" s="2676"/>
      <c r="Q93" s="2676"/>
      <c r="R93" s="2676"/>
      <c r="S93" s="2676"/>
      <c r="T93" s="2676"/>
      <c r="U93" s="2676"/>
      <c r="V93" s="2676"/>
      <c r="W93" s="2676"/>
      <c r="X93" s="2676"/>
      <c r="Y93" s="2676"/>
    </row>
    <row r="94" spans="2:25" ht="18" customHeight="1" x14ac:dyDescent="0.55000000000000004">
      <c r="B94" s="2673"/>
      <c r="C94" s="2676"/>
      <c r="D94" s="2676"/>
      <c r="E94" s="2676"/>
      <c r="F94" s="2676"/>
      <c r="G94" s="2676"/>
      <c r="H94" s="2676"/>
      <c r="I94" s="2676"/>
      <c r="J94" s="2676"/>
      <c r="K94" s="2676"/>
      <c r="L94" s="2676"/>
      <c r="M94" s="2676"/>
      <c r="N94" s="2676"/>
      <c r="O94" s="2676"/>
      <c r="P94" s="2676"/>
      <c r="Q94" s="2676"/>
      <c r="R94" s="2676"/>
      <c r="S94" s="2676"/>
      <c r="T94" s="2676"/>
      <c r="U94" s="2676"/>
      <c r="V94" s="2676"/>
      <c r="W94" s="2676"/>
      <c r="X94" s="2676"/>
      <c r="Y94" s="2676"/>
    </row>
    <row r="95" spans="2:25" ht="18" customHeight="1" x14ac:dyDescent="0.55000000000000004">
      <c r="B95" s="2673"/>
      <c r="C95" s="2676"/>
      <c r="D95" s="2676"/>
      <c r="E95" s="2676"/>
      <c r="F95" s="2676"/>
      <c r="G95" s="2676"/>
      <c r="H95" s="2676"/>
      <c r="I95" s="2676"/>
      <c r="J95" s="2676"/>
      <c r="K95" s="2676"/>
      <c r="L95" s="2676"/>
      <c r="M95" s="2676"/>
      <c r="N95" s="2676"/>
      <c r="O95" s="2676"/>
      <c r="P95" s="2676"/>
      <c r="Q95" s="2676"/>
      <c r="R95" s="2676"/>
      <c r="S95" s="2676"/>
      <c r="T95" s="2676"/>
      <c r="U95" s="2676"/>
      <c r="V95" s="2676"/>
      <c r="W95" s="2676"/>
      <c r="X95" s="2676"/>
      <c r="Y95" s="2676"/>
    </row>
    <row r="96" spans="2:25" x14ac:dyDescent="0.55000000000000004">
      <c r="B96" s="2673"/>
      <c r="C96" s="2676"/>
      <c r="D96" s="2676"/>
      <c r="E96" s="2676"/>
      <c r="F96" s="2676"/>
      <c r="G96" s="2676"/>
      <c r="H96" s="2676"/>
      <c r="I96" s="2676"/>
      <c r="J96" s="2676"/>
      <c r="K96" s="2676"/>
      <c r="L96" s="2676"/>
      <c r="M96" s="2676"/>
      <c r="N96" s="2676"/>
      <c r="O96" s="2676"/>
      <c r="P96" s="2676"/>
      <c r="Q96" s="2676"/>
      <c r="R96" s="2676"/>
      <c r="S96" s="2676"/>
      <c r="T96" s="2676"/>
      <c r="U96" s="2676"/>
      <c r="V96" s="2676"/>
      <c r="W96" s="2676"/>
      <c r="X96" s="2676"/>
      <c r="Y96" s="2676"/>
    </row>
    <row r="97" spans="2:25" x14ac:dyDescent="0.55000000000000004">
      <c r="B97" s="2673"/>
      <c r="C97" s="2676"/>
      <c r="D97" s="2676"/>
      <c r="E97" s="2676"/>
      <c r="F97" s="2676"/>
      <c r="G97" s="2676"/>
      <c r="H97" s="2676"/>
      <c r="I97" s="2676"/>
      <c r="J97" s="2676"/>
      <c r="K97" s="2676"/>
      <c r="L97" s="2676"/>
      <c r="M97" s="2676"/>
      <c r="N97" s="2676"/>
      <c r="O97" s="2676"/>
      <c r="P97" s="2676"/>
      <c r="Q97" s="2676"/>
      <c r="R97" s="2676"/>
      <c r="S97" s="2676"/>
      <c r="T97" s="2676"/>
      <c r="U97" s="2676"/>
      <c r="V97" s="2676"/>
      <c r="W97" s="2676"/>
      <c r="X97" s="2676"/>
      <c r="Y97" s="2676"/>
    </row>
    <row r="98" spans="2:25" x14ac:dyDescent="0.55000000000000004">
      <c r="B98" s="2673"/>
      <c r="C98" s="2676"/>
      <c r="D98" s="2676"/>
      <c r="E98" s="2676"/>
      <c r="F98" s="2676"/>
      <c r="G98" s="2676"/>
      <c r="H98" s="2676"/>
      <c r="I98" s="2676"/>
      <c r="J98" s="2676"/>
      <c r="K98" s="2676"/>
      <c r="L98" s="2676"/>
      <c r="M98" s="2676"/>
      <c r="N98" s="2676"/>
      <c r="O98" s="2676"/>
      <c r="P98" s="2676"/>
      <c r="Q98" s="2676"/>
      <c r="R98" s="2676"/>
      <c r="S98" s="2676"/>
      <c r="T98" s="2676"/>
      <c r="U98" s="2676"/>
      <c r="V98" s="2676"/>
      <c r="W98" s="2676"/>
      <c r="X98" s="2676"/>
      <c r="Y98" s="2676"/>
    </row>
    <row r="99" spans="2:25" x14ac:dyDescent="0.55000000000000004">
      <c r="B99" s="2673"/>
      <c r="C99" s="2676"/>
      <c r="D99" s="2676"/>
      <c r="E99" s="2676"/>
      <c r="F99" s="2676"/>
      <c r="G99" s="2676"/>
      <c r="H99" s="2676"/>
      <c r="I99" s="2676"/>
      <c r="J99" s="2676"/>
      <c r="K99" s="2676"/>
      <c r="L99" s="2676"/>
      <c r="M99" s="2676"/>
      <c r="N99" s="2676"/>
      <c r="O99" s="2676"/>
      <c r="P99" s="2676"/>
      <c r="Q99" s="2676"/>
      <c r="R99" s="2676"/>
      <c r="S99" s="2676"/>
      <c r="T99" s="2676"/>
      <c r="U99" s="2676"/>
      <c r="V99" s="2676"/>
      <c r="W99" s="2676"/>
      <c r="X99" s="2676"/>
      <c r="Y99" s="2676"/>
    </row>
    <row r="100" spans="2:25" x14ac:dyDescent="0.55000000000000004">
      <c r="B100" s="2673"/>
      <c r="C100" s="2676"/>
      <c r="D100" s="2676"/>
      <c r="E100" s="2676"/>
      <c r="F100" s="2676"/>
      <c r="G100" s="2676"/>
      <c r="H100" s="2676"/>
      <c r="I100" s="2676"/>
      <c r="J100" s="2676"/>
      <c r="K100" s="2676"/>
      <c r="L100" s="2676"/>
      <c r="M100" s="2676"/>
      <c r="N100" s="2676"/>
      <c r="O100" s="2676"/>
      <c r="P100" s="2676"/>
      <c r="Q100" s="2676"/>
      <c r="R100" s="2676"/>
      <c r="S100" s="2676"/>
      <c r="T100" s="2676"/>
      <c r="U100" s="2676"/>
      <c r="V100" s="2676"/>
      <c r="W100" s="2676"/>
      <c r="X100" s="2676"/>
      <c r="Y100" s="2676"/>
    </row>
    <row r="101" spans="2:25" x14ac:dyDescent="0.55000000000000004">
      <c r="B101" s="2673"/>
      <c r="C101" s="2676"/>
      <c r="D101" s="2676"/>
      <c r="E101" s="2676"/>
      <c r="F101" s="2676"/>
      <c r="G101" s="2676"/>
      <c r="H101" s="2676"/>
      <c r="I101" s="2676"/>
      <c r="J101" s="2676"/>
      <c r="K101" s="2676"/>
      <c r="L101" s="2676"/>
      <c r="M101" s="2676"/>
      <c r="N101" s="2676"/>
      <c r="O101" s="2676"/>
      <c r="P101" s="2676"/>
      <c r="Q101" s="2676"/>
      <c r="R101" s="2676"/>
      <c r="S101" s="2676"/>
      <c r="T101" s="2676"/>
      <c r="U101" s="2676"/>
      <c r="V101" s="2676"/>
      <c r="W101" s="2676"/>
      <c r="X101" s="2676"/>
      <c r="Y101" s="2676"/>
    </row>
    <row r="102" spans="2:25" x14ac:dyDescent="0.55000000000000004">
      <c r="B102" s="2673"/>
      <c r="C102" s="2676"/>
      <c r="D102" s="2676"/>
      <c r="E102" s="2676"/>
      <c r="F102" s="2676"/>
      <c r="G102" s="2676"/>
      <c r="H102" s="2676"/>
      <c r="I102" s="2676"/>
      <c r="J102" s="2676"/>
      <c r="K102" s="2676"/>
      <c r="L102" s="2676"/>
      <c r="M102" s="2676"/>
      <c r="N102" s="2676"/>
      <c r="O102" s="2676"/>
      <c r="P102" s="2676"/>
      <c r="Q102" s="2676"/>
      <c r="R102" s="2676"/>
      <c r="S102" s="2676"/>
      <c r="T102" s="2676"/>
      <c r="U102" s="2676"/>
      <c r="V102" s="2676"/>
      <c r="W102" s="2676"/>
      <c r="X102" s="2676"/>
      <c r="Y102" s="2676"/>
    </row>
    <row r="103" spans="2:25" x14ac:dyDescent="0.55000000000000004">
      <c r="B103" s="2673"/>
      <c r="C103" s="2676"/>
      <c r="D103" s="2676"/>
      <c r="E103" s="2676"/>
      <c r="F103" s="2676"/>
      <c r="G103" s="2676"/>
      <c r="H103" s="2676"/>
      <c r="I103" s="2676"/>
      <c r="J103" s="2676"/>
      <c r="K103" s="2676"/>
      <c r="L103" s="2676"/>
      <c r="M103" s="2676"/>
      <c r="N103" s="2676"/>
      <c r="O103" s="2676"/>
      <c r="P103" s="2676"/>
      <c r="Q103" s="2676"/>
      <c r="R103" s="2676"/>
      <c r="S103" s="2676"/>
      <c r="T103" s="2676"/>
      <c r="U103" s="2676"/>
      <c r="V103" s="2676"/>
      <c r="W103" s="2676"/>
      <c r="X103" s="2676"/>
      <c r="Y103" s="2676"/>
    </row>
    <row r="104" spans="2:25" x14ac:dyDescent="0.55000000000000004">
      <c r="B104" s="2673"/>
      <c r="C104" s="2676"/>
      <c r="D104" s="2676"/>
      <c r="E104" s="2676"/>
      <c r="F104" s="2676"/>
      <c r="G104" s="2676"/>
      <c r="H104" s="2676"/>
      <c r="I104" s="2676"/>
      <c r="J104" s="2676"/>
      <c r="K104" s="2676"/>
      <c r="L104" s="2676"/>
      <c r="M104" s="2676"/>
      <c r="N104" s="2676"/>
      <c r="O104" s="2676"/>
      <c r="P104" s="2676"/>
      <c r="Q104" s="2676"/>
      <c r="R104" s="2676"/>
      <c r="S104" s="2676"/>
      <c r="T104" s="2676"/>
      <c r="U104" s="2676"/>
      <c r="V104" s="2676"/>
      <c r="W104" s="2676"/>
      <c r="X104" s="2676"/>
      <c r="Y104" s="2676"/>
    </row>
    <row r="105" spans="2:25" x14ac:dyDescent="0.55000000000000004">
      <c r="B105" s="2673"/>
      <c r="C105" s="2676"/>
      <c r="D105" s="2676"/>
      <c r="E105" s="2676"/>
      <c r="F105" s="2676"/>
      <c r="G105" s="2676"/>
      <c r="H105" s="2676"/>
      <c r="I105" s="2676"/>
      <c r="J105" s="2676"/>
      <c r="K105" s="2676"/>
      <c r="L105" s="2676"/>
      <c r="M105" s="2676"/>
      <c r="N105" s="2676"/>
      <c r="O105" s="2676"/>
      <c r="P105" s="2676"/>
      <c r="Q105" s="2676"/>
      <c r="R105" s="2676"/>
      <c r="S105" s="2676"/>
      <c r="T105" s="2676"/>
      <c r="U105" s="2676"/>
      <c r="V105" s="2676"/>
      <c r="W105" s="2676"/>
      <c r="X105" s="2676"/>
      <c r="Y105" s="2676"/>
    </row>
    <row r="106" spans="2:25" x14ac:dyDescent="0.55000000000000004">
      <c r="B106" s="2673"/>
      <c r="C106" s="2676"/>
      <c r="D106" s="2676"/>
      <c r="E106" s="2676"/>
      <c r="F106" s="2676"/>
      <c r="G106" s="2676"/>
      <c r="H106" s="2676"/>
      <c r="I106" s="2676"/>
      <c r="J106" s="2676"/>
      <c r="K106" s="2676"/>
      <c r="L106" s="2676"/>
      <c r="M106" s="2676"/>
      <c r="N106" s="2676"/>
      <c r="O106" s="2676"/>
      <c r="P106" s="2676"/>
      <c r="Q106" s="2676"/>
      <c r="R106" s="2676"/>
      <c r="S106" s="2676"/>
      <c r="T106" s="2676"/>
      <c r="U106" s="2676"/>
      <c r="V106" s="2676"/>
      <c r="W106" s="2676"/>
      <c r="X106" s="2676"/>
      <c r="Y106" s="2676"/>
    </row>
    <row r="107" spans="2:25" x14ac:dyDescent="0.55000000000000004">
      <c r="B107" s="2673"/>
      <c r="C107" s="2676"/>
      <c r="D107" s="2676"/>
      <c r="E107" s="2676"/>
      <c r="F107" s="2676"/>
      <c r="G107" s="2676"/>
      <c r="H107" s="2676"/>
      <c r="I107" s="2676"/>
      <c r="J107" s="2676"/>
      <c r="K107" s="2676"/>
      <c r="L107" s="2676"/>
      <c r="M107" s="2676"/>
      <c r="N107" s="2676"/>
      <c r="O107" s="2676"/>
      <c r="P107" s="2676"/>
      <c r="Q107" s="2676"/>
      <c r="R107" s="2676"/>
      <c r="S107" s="2676"/>
      <c r="T107" s="2676"/>
      <c r="U107" s="2676"/>
      <c r="V107" s="2676"/>
      <c r="W107" s="2676"/>
      <c r="X107" s="2676"/>
      <c r="Y107" s="2676"/>
    </row>
    <row r="108" spans="2:25" x14ac:dyDescent="0.55000000000000004">
      <c r="B108" s="2673"/>
      <c r="C108" s="2676"/>
      <c r="D108" s="2676"/>
      <c r="E108" s="2676"/>
      <c r="F108" s="2676"/>
      <c r="G108" s="2676"/>
      <c r="H108" s="2676"/>
      <c r="I108" s="2676"/>
      <c r="J108" s="2676"/>
      <c r="K108" s="2676"/>
      <c r="L108" s="2676"/>
      <c r="M108" s="2676"/>
      <c r="N108" s="2676"/>
      <c r="O108" s="2676"/>
      <c r="P108" s="2676"/>
      <c r="Q108" s="2676"/>
      <c r="R108" s="2676"/>
      <c r="S108" s="2676"/>
      <c r="T108" s="2676"/>
      <c r="U108" s="2676"/>
      <c r="V108" s="2676"/>
      <c r="W108" s="2676"/>
      <c r="X108" s="2676"/>
      <c r="Y108" s="2676"/>
    </row>
    <row r="109" spans="2:25" x14ac:dyDescent="0.55000000000000004">
      <c r="B109" s="2673"/>
      <c r="C109" s="2676"/>
      <c r="D109" s="2676"/>
      <c r="E109" s="2676"/>
      <c r="F109" s="2676"/>
      <c r="G109" s="2676"/>
      <c r="H109" s="2676"/>
      <c r="I109" s="2676"/>
      <c r="J109" s="2676"/>
      <c r="K109" s="2676"/>
      <c r="L109" s="2676"/>
      <c r="M109" s="2676"/>
      <c r="N109" s="2676"/>
      <c r="O109" s="2676"/>
      <c r="P109" s="2676"/>
      <c r="Q109" s="2676"/>
      <c r="R109" s="2676"/>
      <c r="S109" s="2676"/>
      <c r="T109" s="2676"/>
      <c r="U109" s="2676"/>
      <c r="V109" s="2676"/>
      <c r="W109" s="2676"/>
      <c r="X109" s="2676"/>
      <c r="Y109" s="2676"/>
    </row>
    <row r="110" spans="2:25" x14ac:dyDescent="0.55000000000000004">
      <c r="B110" s="2673"/>
      <c r="C110" s="2676"/>
      <c r="D110" s="2676"/>
      <c r="E110" s="2676"/>
      <c r="F110" s="2676"/>
      <c r="G110" s="2676"/>
      <c r="H110" s="2676"/>
      <c r="I110" s="2676"/>
      <c r="J110" s="2676"/>
      <c r="K110" s="2676"/>
      <c r="L110" s="2676"/>
      <c r="M110" s="2676"/>
      <c r="N110" s="2676"/>
      <c r="O110" s="2676"/>
      <c r="P110" s="2676"/>
      <c r="Q110" s="2676"/>
      <c r="R110" s="2676"/>
      <c r="S110" s="2676"/>
      <c r="T110" s="2676"/>
      <c r="U110" s="2676"/>
      <c r="V110" s="2676"/>
      <c r="W110" s="2676"/>
      <c r="X110" s="2676"/>
      <c r="Y110" s="2676"/>
    </row>
    <row r="111" spans="2:25" x14ac:dyDescent="0.55000000000000004">
      <c r="B111" s="2673"/>
      <c r="C111" s="2676"/>
      <c r="D111" s="2676"/>
      <c r="E111" s="2676"/>
      <c r="F111" s="2676"/>
      <c r="G111" s="2676"/>
      <c r="H111" s="2676"/>
      <c r="I111" s="2676"/>
      <c r="J111" s="2676"/>
      <c r="K111" s="2676"/>
      <c r="L111" s="2676"/>
      <c r="M111" s="2676"/>
      <c r="N111" s="2676"/>
      <c r="O111" s="2676"/>
      <c r="P111" s="2676"/>
      <c r="Q111" s="2676"/>
      <c r="R111" s="2676"/>
      <c r="S111" s="2676"/>
      <c r="T111" s="2676"/>
      <c r="U111" s="2676"/>
      <c r="V111" s="2676"/>
      <c r="W111" s="2676"/>
      <c r="X111" s="2676"/>
      <c r="Y111" s="2676"/>
    </row>
    <row r="112" spans="2:25" x14ac:dyDescent="0.55000000000000004">
      <c r="B112" s="2673"/>
      <c r="C112" s="2676"/>
      <c r="D112" s="2676"/>
      <c r="E112" s="2676"/>
      <c r="F112" s="2676"/>
      <c r="G112" s="2676"/>
      <c r="H112" s="2676"/>
      <c r="I112" s="2676"/>
      <c r="J112" s="2676"/>
      <c r="K112" s="2676"/>
      <c r="L112" s="2676"/>
      <c r="M112" s="2676"/>
      <c r="N112" s="2676"/>
      <c r="O112" s="2676"/>
      <c r="P112" s="2676"/>
      <c r="Q112" s="2676"/>
      <c r="R112" s="2676"/>
      <c r="S112" s="2676"/>
      <c r="T112" s="2676"/>
      <c r="U112" s="2676"/>
      <c r="V112" s="2676"/>
      <c r="W112" s="2676"/>
      <c r="X112" s="2676"/>
      <c r="Y112" s="2676"/>
    </row>
    <row r="113" spans="2:25" x14ac:dyDescent="0.55000000000000004">
      <c r="B113" s="2673"/>
      <c r="C113" s="2676"/>
      <c r="D113" s="2676"/>
      <c r="E113" s="2676"/>
      <c r="F113" s="2676"/>
      <c r="G113" s="2676"/>
      <c r="H113" s="2676"/>
      <c r="I113" s="2676"/>
      <c r="J113" s="2676"/>
      <c r="K113" s="2676"/>
      <c r="L113" s="2676"/>
      <c r="M113" s="2676"/>
      <c r="N113" s="2676"/>
      <c r="O113" s="2676"/>
      <c r="P113" s="2676"/>
      <c r="Q113" s="2676"/>
      <c r="R113" s="2676"/>
      <c r="S113" s="2676"/>
      <c r="T113" s="2676"/>
      <c r="U113" s="2676"/>
      <c r="V113" s="2676"/>
      <c r="W113" s="2676"/>
      <c r="X113" s="2676"/>
      <c r="Y113" s="2676"/>
    </row>
    <row r="114" spans="2:25" x14ac:dyDescent="0.55000000000000004">
      <c r="B114" s="2673"/>
      <c r="C114" s="2676"/>
      <c r="D114" s="2676"/>
      <c r="E114" s="2676"/>
      <c r="F114" s="2676"/>
      <c r="G114" s="2676"/>
      <c r="H114" s="2676"/>
      <c r="I114" s="2676"/>
      <c r="J114" s="2676"/>
      <c r="K114" s="2676"/>
      <c r="L114" s="2676"/>
      <c r="M114" s="2676"/>
      <c r="N114" s="2676"/>
      <c r="O114" s="2676"/>
      <c r="P114" s="2676"/>
      <c r="Q114" s="2676"/>
      <c r="R114" s="2676"/>
      <c r="S114" s="2676"/>
      <c r="T114" s="2676"/>
      <c r="U114" s="2676"/>
      <c r="V114" s="2676"/>
      <c r="W114" s="2676"/>
      <c r="X114" s="2676"/>
      <c r="Y114" s="2676"/>
    </row>
    <row r="115" spans="2:25" x14ac:dyDescent="0.55000000000000004">
      <c r="B115" s="2673"/>
      <c r="C115" s="2676"/>
      <c r="D115" s="2676"/>
      <c r="E115" s="2676"/>
      <c r="F115" s="2676"/>
      <c r="G115" s="2676"/>
      <c r="H115" s="2676"/>
      <c r="I115" s="2676"/>
      <c r="J115" s="2676"/>
      <c r="K115" s="2676"/>
      <c r="L115" s="2676"/>
      <c r="M115" s="2676"/>
      <c r="N115" s="2676"/>
      <c r="O115" s="2676"/>
      <c r="P115" s="2676"/>
      <c r="Q115" s="2676"/>
      <c r="R115" s="2676"/>
      <c r="S115" s="2676"/>
      <c r="T115" s="2676"/>
      <c r="U115" s="2676"/>
      <c r="V115" s="2676"/>
      <c r="W115" s="2676"/>
      <c r="X115" s="2676"/>
      <c r="Y115" s="2676"/>
    </row>
    <row r="116" spans="2:25" x14ac:dyDescent="0.55000000000000004">
      <c r="B116" s="2673"/>
      <c r="C116" s="2676"/>
      <c r="D116" s="2676"/>
      <c r="E116" s="2676"/>
      <c r="F116" s="2676"/>
      <c r="G116" s="2676"/>
      <c r="H116" s="2676"/>
      <c r="I116" s="2676"/>
      <c r="J116" s="2676"/>
      <c r="K116" s="2676"/>
      <c r="L116" s="2676"/>
      <c r="M116" s="2676"/>
      <c r="N116" s="2676"/>
      <c r="O116" s="2676"/>
      <c r="P116" s="2676"/>
      <c r="Q116" s="2676"/>
      <c r="R116" s="2676"/>
      <c r="S116" s="2676"/>
      <c r="T116" s="2676"/>
      <c r="U116" s="2676"/>
      <c r="V116" s="2676"/>
      <c r="W116" s="2676"/>
      <c r="X116" s="2676"/>
      <c r="Y116" s="2676"/>
    </row>
    <row r="117" spans="2:25" x14ac:dyDescent="0.55000000000000004">
      <c r="B117" s="2673"/>
      <c r="C117" s="2676"/>
      <c r="D117" s="2676"/>
      <c r="E117" s="2676"/>
      <c r="F117" s="2676"/>
      <c r="G117" s="2676"/>
      <c r="H117" s="2676"/>
      <c r="I117" s="2676"/>
      <c r="J117" s="2676"/>
      <c r="K117" s="2676"/>
      <c r="L117" s="2676"/>
      <c r="M117" s="2676"/>
      <c r="N117" s="2676"/>
      <c r="O117" s="2676"/>
      <c r="P117" s="2676"/>
      <c r="Q117" s="2676"/>
      <c r="R117" s="2676"/>
      <c r="S117" s="2676"/>
      <c r="T117" s="2676"/>
      <c r="U117" s="2676"/>
      <c r="V117" s="2676"/>
      <c r="W117" s="2676"/>
      <c r="X117" s="2676"/>
      <c r="Y117" s="2676"/>
    </row>
  </sheetData>
  <mergeCells count="12">
    <mergeCell ref="A19:A33"/>
    <mergeCell ref="A3:AA3"/>
    <mergeCell ref="B19:C19"/>
    <mergeCell ref="V5:AA5"/>
    <mergeCell ref="A7:A16"/>
    <mergeCell ref="B7:C7"/>
    <mergeCell ref="B13:C13"/>
    <mergeCell ref="B14:C14"/>
    <mergeCell ref="A6:C6"/>
    <mergeCell ref="B10:C10"/>
    <mergeCell ref="F5:K5"/>
    <mergeCell ref="L5:U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62" fitToHeight="0" orientation="landscape" r:id="rId1"/>
  <headerFooter scaleWithDoc="0">
    <oddFooter>&amp;R&amp;"-,기울임꼴"&amp;8&amp;P &amp; 페이지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B0AB-EF8D-47C8-AF94-F9075743B429}">
  <sheetPr codeName="Sheet8">
    <tabColor theme="9" tint="0.79998168889431442"/>
    <pageSetUpPr fitToPage="1"/>
  </sheetPr>
  <dimension ref="A1:CI36"/>
  <sheetViews>
    <sheetView showGridLines="0" zoomScale="40" zoomScaleNormal="40" workbookViewId="0">
      <pane xSplit="3" topLeftCell="P1" activePane="topRight" state="frozen"/>
      <selection activeCell="C499" sqref="C499"/>
      <selection pane="topRight" activeCell="BP19" sqref="BP19:BP31"/>
    </sheetView>
  </sheetViews>
  <sheetFormatPr defaultColWidth="8.5703125" defaultRowHeight="15" outlineLevelCol="1" x14ac:dyDescent="0.55000000000000004"/>
  <cols>
    <col min="1" max="1" width="11.5" style="555" customWidth="1"/>
    <col min="2" max="2" width="12.0703125" style="2525" customWidth="1"/>
    <col min="3" max="3" width="15.92578125" style="4387" bestFit="1" customWidth="1"/>
    <col min="4" max="15" width="10.7109375" style="905" hidden="1" customWidth="1" outlineLevel="1"/>
    <col min="16" max="16" width="10.7109375" style="905" customWidth="1" collapsed="1"/>
    <col min="17" max="17" width="10.7109375" style="905" customWidth="1"/>
    <col min="18" max="29" width="8.5703125" style="4387" hidden="1" customWidth="1" outlineLevel="1"/>
    <col min="30" max="30" width="11.7109375" style="4387" customWidth="1" collapsed="1"/>
    <col min="31" max="31" width="12.7109375" style="2776" customWidth="1"/>
    <col min="32" max="32" width="9" style="4387" customWidth="1" outlineLevel="1"/>
    <col min="33" max="33" width="9.85546875" style="4387" customWidth="1" outlineLevel="1"/>
    <col min="34" max="34" width="9.5703125" style="4387" customWidth="1" outlineLevel="1"/>
    <col min="35" max="35" width="8.7109375" style="4387" customWidth="1" outlineLevel="1"/>
    <col min="36" max="36" width="9.640625" style="4387" customWidth="1" outlineLevel="1"/>
    <col min="37" max="37" width="9.35546875" style="4387" customWidth="1" outlineLevel="1"/>
    <col min="38" max="38" width="9.5703125" style="4387" customWidth="1" outlineLevel="1"/>
    <col min="39" max="39" width="9.35546875" style="4387" customWidth="1" outlineLevel="1"/>
    <col min="40" max="40" width="9.640625" style="4387" customWidth="1" outlineLevel="1"/>
    <col min="41" max="41" width="9.35546875" style="4387" customWidth="1" outlineLevel="1"/>
    <col min="42" max="43" width="8.5703125" style="4387" customWidth="1" outlineLevel="1"/>
    <col min="44" max="44" width="11.7109375" style="4387" customWidth="1"/>
    <col min="45" max="45" width="12.7109375" style="2776" customWidth="1"/>
    <col min="46" max="46" width="9" style="4390" bestFit="1" customWidth="1"/>
    <col min="47" max="47" width="9.85546875" style="6239" customWidth="1"/>
    <col min="48" max="48" width="9.5703125" style="4390" bestFit="1" customWidth="1"/>
    <col min="49" max="49" width="8.7109375" style="4390" customWidth="1"/>
    <col min="50" max="50" width="9.640625" style="4390" bestFit="1" customWidth="1"/>
    <col min="51" max="51" width="9.35546875" style="4390" bestFit="1" customWidth="1"/>
    <col min="52" max="52" width="9.5703125" style="4390" bestFit="1" customWidth="1"/>
    <col min="53" max="53" width="9.35546875" style="4390" bestFit="1" customWidth="1"/>
    <col min="54" max="54" width="9.640625" style="4390" bestFit="1" customWidth="1"/>
    <col min="55" max="55" width="9.35546875" style="4390" bestFit="1" customWidth="1"/>
    <col min="56" max="57" width="8.5703125" style="4390" customWidth="1"/>
    <col min="58" max="58" width="11.7109375" style="4390" customWidth="1"/>
    <col min="59" max="59" width="12.7109375" style="2776" customWidth="1"/>
    <col min="60" max="62" width="8.5703125" style="4387" customWidth="1"/>
    <col min="63" max="63" width="11.85546875" style="4387" customWidth="1"/>
    <col min="64" max="64" width="10.42578125" style="4387" customWidth="1"/>
    <col min="65" max="66" width="10.0703125" style="4387" customWidth="1"/>
    <col min="67" max="67" width="13.140625" style="4387" customWidth="1"/>
    <col min="68" max="68" width="10.0703125" style="2776" customWidth="1"/>
    <col min="69" max="69" width="10.0703125" style="4387" customWidth="1"/>
    <col min="70" max="70" width="1.35546875" style="555" customWidth="1"/>
    <col min="71" max="71" width="8.5703125" style="555"/>
    <col min="72" max="72" width="8.5703125" style="2525"/>
    <col min="73" max="73" width="15.85546875" style="4387" customWidth="1"/>
    <col min="74" max="74" width="13.0703125" style="555" bestFit="1" customWidth="1"/>
    <col min="75" max="75" width="13.140625" style="555" bestFit="1" customWidth="1"/>
    <col min="76" max="85" width="8.5703125" style="555"/>
    <col min="86" max="86" width="9.640625" style="555" bestFit="1" customWidth="1"/>
    <col min="87" max="87" width="8.640625" style="555" bestFit="1" customWidth="1"/>
    <col min="88" max="16384" width="8.5703125" style="555"/>
  </cols>
  <sheetData>
    <row r="1" spans="1:87" ht="24.9" customHeight="1" x14ac:dyDescent="0.55000000000000004">
      <c r="A1" s="4516">
        <f>'0. 개요'!AE2</f>
        <v>46054</v>
      </c>
      <c r="B1" s="4393"/>
      <c r="BO1" s="4387" t="s">
        <v>866</v>
      </c>
    </row>
    <row r="2" spans="1:87" ht="27.45" thickBot="1" x14ac:dyDescent="0.6">
      <c r="A2" s="4394" t="s">
        <v>1000</v>
      </c>
      <c r="D2" s="4395">
        <v>1.0009999999999999</v>
      </c>
      <c r="E2" s="4395">
        <v>2.0009999999999999</v>
      </c>
      <c r="F2" s="4395">
        <v>3.0009999999999999</v>
      </c>
      <c r="G2" s="4395">
        <v>4.0010000000000003</v>
      </c>
      <c r="H2" s="4395">
        <v>5.0010000000000003</v>
      </c>
      <c r="I2" s="4395">
        <v>6.0010000000000003</v>
      </c>
      <c r="J2" s="4395">
        <v>7.0010000000000003</v>
      </c>
      <c r="K2" s="4395">
        <v>8.0009999999999994</v>
      </c>
      <c r="L2" s="4395">
        <v>9.0009999999999994</v>
      </c>
      <c r="M2" s="4395">
        <v>10.000999999999999</v>
      </c>
      <c r="N2" s="4395">
        <v>11.000999999999999</v>
      </c>
      <c r="O2" s="4395">
        <v>12.000999999999999</v>
      </c>
      <c r="R2" s="4395">
        <v>1.0009999999999999</v>
      </c>
      <c r="S2" s="4395">
        <v>2.0009999999999999</v>
      </c>
      <c r="T2" s="4395">
        <v>3.0009999999999999</v>
      </c>
      <c r="U2" s="4395">
        <v>4.0010000000000003</v>
      </c>
      <c r="V2" s="4395">
        <v>5.0010000000000003</v>
      </c>
      <c r="W2" s="4395">
        <v>6.0010000000000003</v>
      </c>
      <c r="X2" s="4395">
        <v>7.0010000000000003</v>
      </c>
      <c r="Y2" s="4395">
        <v>8.0009999999999994</v>
      </c>
      <c r="Z2" s="4395">
        <v>9.0009999999999994</v>
      </c>
      <c r="AA2" s="4395">
        <v>10.000999999999999</v>
      </c>
      <c r="AB2" s="4395">
        <v>11.000999999999999</v>
      </c>
      <c r="AC2" s="4395">
        <v>12.000999999999999</v>
      </c>
      <c r="AF2" s="4477">
        <v>45658</v>
      </c>
      <c r="AG2" s="4477">
        <v>45689</v>
      </c>
      <c r="AH2" s="4477">
        <v>45717</v>
      </c>
      <c r="AI2" s="4477">
        <v>45748</v>
      </c>
      <c r="AJ2" s="4477">
        <v>45778</v>
      </c>
      <c r="AK2" s="4477">
        <v>45809</v>
      </c>
      <c r="AL2" s="4477">
        <v>45839</v>
      </c>
      <c r="AM2" s="4477">
        <v>45870</v>
      </c>
      <c r="AN2" s="4477">
        <v>45901</v>
      </c>
      <c r="AO2" s="4477">
        <v>45931</v>
      </c>
      <c r="AP2" s="4477">
        <v>45962</v>
      </c>
      <c r="AQ2" s="4477">
        <v>45992</v>
      </c>
      <c r="AT2" s="4477">
        <v>46023</v>
      </c>
      <c r="AU2" s="4477">
        <v>46054</v>
      </c>
      <c r="AV2" s="4477">
        <v>46082</v>
      </c>
      <c r="AW2" s="4477">
        <v>46113</v>
      </c>
      <c r="AX2" s="4477">
        <v>46143</v>
      </c>
      <c r="AY2" s="4477">
        <v>46174</v>
      </c>
      <c r="AZ2" s="4477">
        <v>46204</v>
      </c>
      <c r="BA2" s="4477">
        <v>46235</v>
      </c>
      <c r="BB2" s="4477">
        <v>46266</v>
      </c>
      <c r="BC2" s="4477">
        <v>46296</v>
      </c>
      <c r="BD2" s="4477">
        <v>46327</v>
      </c>
      <c r="BE2" s="4477">
        <v>46357</v>
      </c>
      <c r="BV2" s="4477">
        <v>46024</v>
      </c>
      <c r="BW2" s="4477">
        <v>46055</v>
      </c>
      <c r="BX2" s="4477">
        <v>46083</v>
      </c>
      <c r="BY2" s="4477">
        <v>46114</v>
      </c>
      <c r="BZ2" s="4477">
        <v>46144</v>
      </c>
      <c r="CA2" s="4477">
        <v>46175</v>
      </c>
      <c r="CB2" s="4477">
        <v>46205</v>
      </c>
      <c r="CC2" s="4477">
        <v>46236</v>
      </c>
      <c r="CD2" s="4477">
        <v>46267</v>
      </c>
      <c r="CE2" s="4477">
        <v>46297</v>
      </c>
      <c r="CF2" s="4477">
        <v>46328</v>
      </c>
      <c r="CG2" s="4477">
        <v>46358</v>
      </c>
    </row>
    <row r="3" spans="1:87" ht="27.45" thickBot="1" x14ac:dyDescent="0.6">
      <c r="A3" s="2678"/>
      <c r="B3" s="2777"/>
      <c r="C3" s="2778"/>
      <c r="D3" s="7250" t="s">
        <v>719</v>
      </c>
      <c r="E3" s="7251"/>
      <c r="F3" s="7251"/>
      <c r="G3" s="7251"/>
      <c r="H3" s="7251"/>
      <c r="I3" s="7251"/>
      <c r="J3" s="7251"/>
      <c r="K3" s="7251"/>
      <c r="L3" s="7251"/>
      <c r="M3" s="7251"/>
      <c r="N3" s="7251"/>
      <c r="O3" s="7251"/>
      <c r="P3" s="7251"/>
      <c r="Q3" s="7252"/>
      <c r="R3" s="7253" t="s">
        <v>963</v>
      </c>
      <c r="S3" s="7254"/>
      <c r="T3" s="7254"/>
      <c r="U3" s="7254"/>
      <c r="V3" s="7254"/>
      <c r="W3" s="7254"/>
      <c r="X3" s="7254"/>
      <c r="Y3" s="7254"/>
      <c r="Z3" s="7254"/>
      <c r="AA3" s="7254"/>
      <c r="AB3" s="7254"/>
      <c r="AC3" s="7254"/>
      <c r="AD3" s="7254"/>
      <c r="AE3" s="7254"/>
      <c r="AF3" s="7255" t="s">
        <v>1132</v>
      </c>
      <c r="AG3" s="7256"/>
      <c r="AH3" s="7256"/>
      <c r="AI3" s="7256"/>
      <c r="AJ3" s="7256"/>
      <c r="AK3" s="7256"/>
      <c r="AL3" s="7256"/>
      <c r="AM3" s="7256"/>
      <c r="AN3" s="7256"/>
      <c r="AO3" s="7256"/>
      <c r="AP3" s="7256"/>
      <c r="AQ3" s="7256"/>
      <c r="AR3" s="7256"/>
      <c r="AS3" s="7257"/>
      <c r="AT3" s="7258" t="s">
        <v>1159</v>
      </c>
      <c r="AU3" s="7258"/>
      <c r="AV3" s="7258"/>
      <c r="AW3" s="7258"/>
      <c r="AX3" s="7258"/>
      <c r="AY3" s="7258"/>
      <c r="AZ3" s="7258"/>
      <c r="BA3" s="7258"/>
      <c r="BB3" s="7258"/>
      <c r="BC3" s="7258"/>
      <c r="BD3" s="7258"/>
      <c r="BE3" s="7258"/>
      <c r="BF3" s="7258"/>
      <c r="BG3" s="7258"/>
      <c r="BH3" s="7258"/>
      <c r="BI3" s="7258"/>
      <c r="BJ3" s="7258"/>
      <c r="BK3" s="7259"/>
      <c r="BL3" s="7247" t="str">
        <f>"연간누적실적(~"&amp;MONTH(A1)&amp;"월)"</f>
        <v>연간누적실적(~2월)</v>
      </c>
      <c r="BM3" s="7248"/>
      <c r="BN3" s="7248"/>
      <c r="BO3" s="7248"/>
      <c r="BP3" s="7248"/>
      <c r="BQ3" s="7249"/>
      <c r="BS3" s="559"/>
      <c r="BT3" s="2777"/>
      <c r="BU3" s="2778"/>
      <c r="BV3" s="7240" t="s">
        <v>1084</v>
      </c>
      <c r="BW3" s="7241"/>
      <c r="BX3" s="7241"/>
      <c r="BY3" s="7241"/>
      <c r="BZ3" s="7241"/>
      <c r="CA3" s="7241"/>
      <c r="CB3" s="7241"/>
      <c r="CC3" s="7241"/>
      <c r="CD3" s="7241"/>
      <c r="CE3" s="7241"/>
      <c r="CF3" s="7241"/>
      <c r="CG3" s="7241"/>
      <c r="CH3" s="7241"/>
      <c r="CI3" s="7242"/>
    </row>
    <row r="4" spans="1:87" ht="16.75" thickBot="1" x14ac:dyDescent="0.6">
      <c r="A4" s="559"/>
      <c r="B4" s="4396"/>
      <c r="C4" s="4397" t="s">
        <v>602</v>
      </c>
      <c r="D4" s="4398" t="s">
        <v>621</v>
      </c>
      <c r="E4" s="4399" t="s">
        <v>622</v>
      </c>
      <c r="F4" s="4399" t="s">
        <v>623</v>
      </c>
      <c r="G4" s="4399" t="s">
        <v>624</v>
      </c>
      <c r="H4" s="4399" t="s">
        <v>625</v>
      </c>
      <c r="I4" s="4399" t="s">
        <v>626</v>
      </c>
      <c r="J4" s="4399" t="s">
        <v>627</v>
      </c>
      <c r="K4" s="4399" t="s">
        <v>628</v>
      </c>
      <c r="L4" s="4399" t="s">
        <v>629</v>
      </c>
      <c r="M4" s="4399" t="s">
        <v>630</v>
      </c>
      <c r="N4" s="4399" t="s">
        <v>631</v>
      </c>
      <c r="O4" s="4399" t="s">
        <v>632</v>
      </c>
      <c r="P4" s="4400" t="s">
        <v>393</v>
      </c>
      <c r="Q4" s="4728" t="s">
        <v>610</v>
      </c>
      <c r="R4" s="4401" t="s">
        <v>502</v>
      </c>
      <c r="S4" s="4402" t="s">
        <v>3</v>
      </c>
      <c r="T4" s="4402" t="s">
        <v>503</v>
      </c>
      <c r="U4" s="4402" t="s">
        <v>341</v>
      </c>
      <c r="V4" s="4402" t="s">
        <v>342</v>
      </c>
      <c r="W4" s="4402" t="s">
        <v>343</v>
      </c>
      <c r="X4" s="4402" t="s">
        <v>344</v>
      </c>
      <c r="Y4" s="4402" t="s">
        <v>345</v>
      </c>
      <c r="Z4" s="4402" t="s">
        <v>346</v>
      </c>
      <c r="AA4" s="4402" t="s">
        <v>347</v>
      </c>
      <c r="AB4" s="4402" t="s">
        <v>348</v>
      </c>
      <c r="AC4" s="4402" t="s">
        <v>349</v>
      </c>
      <c r="AD4" s="4403" t="s">
        <v>850</v>
      </c>
      <c r="AE4" s="4403" t="s">
        <v>961</v>
      </c>
      <c r="AF4" s="4523" t="s">
        <v>940</v>
      </c>
      <c r="AG4" s="4521" t="s">
        <v>942</v>
      </c>
      <c r="AH4" s="4521" t="s">
        <v>944</v>
      </c>
      <c r="AI4" s="4521" t="s">
        <v>945</v>
      </c>
      <c r="AJ4" s="4521" t="s">
        <v>946</v>
      </c>
      <c r="AK4" s="4521" t="s">
        <v>947</v>
      </c>
      <c r="AL4" s="4521" t="s">
        <v>948</v>
      </c>
      <c r="AM4" s="4521" t="s">
        <v>949</v>
      </c>
      <c r="AN4" s="4521" t="s">
        <v>950</v>
      </c>
      <c r="AO4" s="4521" t="s">
        <v>951</v>
      </c>
      <c r="AP4" s="4521" t="s">
        <v>952</v>
      </c>
      <c r="AQ4" s="4521" t="s">
        <v>953</v>
      </c>
      <c r="AR4" s="4522" t="s">
        <v>969</v>
      </c>
      <c r="AS4" s="4524" t="s">
        <v>45</v>
      </c>
      <c r="AT4" s="3729" t="s">
        <v>1122</v>
      </c>
      <c r="AU4" s="3730" t="s">
        <v>1072</v>
      </c>
      <c r="AV4" s="3729" t="s">
        <v>1073</v>
      </c>
      <c r="AW4" s="3729" t="s">
        <v>1074</v>
      </c>
      <c r="AX4" s="3729" t="s">
        <v>1075</v>
      </c>
      <c r="AY4" s="3729" t="s">
        <v>1076</v>
      </c>
      <c r="AZ4" s="3729" t="s">
        <v>1077</v>
      </c>
      <c r="BA4" s="3729" t="s">
        <v>1078</v>
      </c>
      <c r="BB4" s="3729" t="s">
        <v>1079</v>
      </c>
      <c r="BC4" s="3729" t="s">
        <v>1080</v>
      </c>
      <c r="BD4" s="3729" t="s">
        <v>1081</v>
      </c>
      <c r="BE4" s="3729" t="s">
        <v>1082</v>
      </c>
      <c r="BF4" s="4404" t="s">
        <v>1133</v>
      </c>
      <c r="BG4" s="4405" t="s">
        <v>45</v>
      </c>
      <c r="BH4" s="558" t="s">
        <v>720</v>
      </c>
      <c r="BI4" s="558" t="s">
        <v>721</v>
      </c>
      <c r="BJ4" s="850" t="s">
        <v>722</v>
      </c>
      <c r="BK4" s="1156" t="s">
        <v>443</v>
      </c>
      <c r="BL4" s="4406" t="s">
        <v>44</v>
      </c>
      <c r="BM4" s="846" t="s">
        <v>8</v>
      </c>
      <c r="BN4" s="846" t="s">
        <v>9</v>
      </c>
      <c r="BO4" s="4407" t="s">
        <v>569</v>
      </c>
      <c r="BP4" s="4408" t="s">
        <v>45</v>
      </c>
      <c r="BQ4" s="4409" t="s">
        <v>11</v>
      </c>
      <c r="BT4" s="4396"/>
      <c r="BU4" s="4397"/>
      <c r="BV4" s="5957" t="s">
        <v>1071</v>
      </c>
      <c r="BW4" s="6251" t="s">
        <v>1072</v>
      </c>
      <c r="BX4" s="575" t="s">
        <v>1073</v>
      </c>
      <c r="BY4" s="575" t="s">
        <v>1074</v>
      </c>
      <c r="BZ4" s="575" t="s">
        <v>1075</v>
      </c>
      <c r="CA4" s="575" t="s">
        <v>1076</v>
      </c>
      <c r="CB4" s="575" t="s">
        <v>1077</v>
      </c>
      <c r="CC4" s="575" t="s">
        <v>1078</v>
      </c>
      <c r="CD4" s="575" t="s">
        <v>1079</v>
      </c>
      <c r="CE4" s="575" t="s">
        <v>1080</v>
      </c>
      <c r="CF4" s="575" t="s">
        <v>1081</v>
      </c>
      <c r="CG4" s="575" t="s">
        <v>1082</v>
      </c>
      <c r="CH4" s="5958" t="s">
        <v>854</v>
      </c>
      <c r="CI4" s="5959" t="s">
        <v>855</v>
      </c>
    </row>
    <row r="5" spans="1:87" ht="21.75" customHeight="1" x14ac:dyDescent="0.55000000000000004">
      <c r="A5" s="4410" t="s">
        <v>313</v>
      </c>
      <c r="B5" s="4411" t="s">
        <v>962</v>
      </c>
      <c r="C5" s="4412"/>
      <c r="D5" s="4413">
        <v>921</v>
      </c>
      <c r="E5" s="4414">
        <v>1192</v>
      </c>
      <c r="F5" s="4414">
        <v>1144</v>
      </c>
      <c r="G5" s="4414">
        <v>864</v>
      </c>
      <c r="H5" s="4414">
        <v>868</v>
      </c>
      <c r="I5" s="4414">
        <v>802</v>
      </c>
      <c r="J5" s="4414">
        <v>971</v>
      </c>
      <c r="K5" s="4414">
        <v>2029</v>
      </c>
      <c r="L5" s="4414">
        <v>1546</v>
      </c>
      <c r="M5" s="4414">
        <v>1485</v>
      </c>
      <c r="N5" s="4414">
        <v>1634</v>
      </c>
      <c r="O5" s="4414">
        <v>1650</v>
      </c>
      <c r="P5" s="4414">
        <v>15106</v>
      </c>
      <c r="Q5" s="4729">
        <v>1258.8333333333333</v>
      </c>
      <c r="R5" s="4414">
        <v>11933</v>
      </c>
      <c r="S5" s="4414">
        <v>9513</v>
      </c>
      <c r="T5" s="4414">
        <v>8851</v>
      </c>
      <c r="U5" s="4414">
        <v>10078</v>
      </c>
      <c r="V5" s="4414">
        <v>10130</v>
      </c>
      <c r="W5" s="4414">
        <v>7477</v>
      </c>
      <c r="X5" s="4414">
        <v>12607</v>
      </c>
      <c r="Y5" s="4414">
        <v>9654</v>
      </c>
      <c r="Z5" s="4414">
        <v>22300</v>
      </c>
      <c r="AA5" s="4414">
        <v>18088</v>
      </c>
      <c r="AB5" s="4414">
        <v>9073</v>
      </c>
      <c r="AC5" s="4414">
        <v>8207</v>
      </c>
      <c r="AD5" s="4414">
        <v>137911</v>
      </c>
      <c r="AE5" s="4414">
        <v>11492.583333333334</v>
      </c>
      <c r="AF5" s="4525">
        <v>7588</v>
      </c>
      <c r="AG5" s="4414">
        <v>20682</v>
      </c>
      <c r="AH5" s="4415">
        <v>10591</v>
      </c>
      <c r="AI5" s="4414">
        <v>14687</v>
      </c>
      <c r="AJ5" s="4414">
        <v>30235</v>
      </c>
      <c r="AK5" s="4414">
        <v>15026</v>
      </c>
      <c r="AL5" s="4414">
        <v>28501</v>
      </c>
      <c r="AM5" s="4414">
        <v>13256</v>
      </c>
      <c r="AN5" s="4414">
        <v>23139</v>
      </c>
      <c r="AO5" s="4414">
        <v>14766</v>
      </c>
      <c r="AP5" s="4414">
        <v>11138</v>
      </c>
      <c r="AQ5" s="4414">
        <v>12178</v>
      </c>
      <c r="AR5" s="4416">
        <v>201787</v>
      </c>
      <c r="AS5" s="4526">
        <v>16815.583333333332</v>
      </c>
      <c r="AT5" s="4414">
        <v>17312</v>
      </c>
      <c r="AU5" s="4414">
        <v>10548</v>
      </c>
      <c r="AV5" s="4415"/>
      <c r="AW5" s="4414"/>
      <c r="AX5" s="4414"/>
      <c r="AY5" s="4414"/>
      <c r="AZ5" s="4414"/>
      <c r="BA5" s="4414"/>
      <c r="BB5" s="4414"/>
      <c r="BC5" s="4414"/>
      <c r="BD5" s="4414"/>
      <c r="BE5" s="4414"/>
      <c r="BF5" s="4416">
        <f>SUM(AT5:BE5)</f>
        <v>27860</v>
      </c>
      <c r="BG5" s="4416">
        <f>AVERAGE(AT5:BE5)</f>
        <v>13930</v>
      </c>
      <c r="BH5" s="4416">
        <f>IFERROR(
  _xlfn.XLOOKUP($A$1,$2:$2,5:5,,0)
 -_xlfn.XLOOKUP(EDATE($A$1,0)+1,$2:$2,5:5),"")</f>
        <v>-12452</v>
      </c>
      <c r="BI5" s="6182">
        <f t="shared" ref="BI5:BI16" si="0">IFERROR(
  _xlfn.XLOOKUP($A$1,$2:$2,5:5)
 /_xlfn.XLOOKUP(EDATE($A$1,0)+1,$2:$2,5:5),"")</f>
        <v>0.45860869565217394</v>
      </c>
      <c r="BJ5" s="4416">
        <f t="shared" ref="BJ5:BJ18" si="1">IFERROR(
  _xlfn.XLOOKUP($A$1,$2:$2,5:5)
 -_xlfn.XLOOKUP(EDATE($A$1,-1),$2:$2,5:5),"")</f>
        <v>-6764</v>
      </c>
      <c r="BK5" s="4416">
        <f t="shared" ref="BK5:BK18" si="2">IFERROR(_xlfn.XLOOKUP($A$1,$2:$2,5:5)-_xlfn.XLOOKUP(EDATE($A$1,-12),$2:$2,5:5),"")</f>
        <v>-10134</v>
      </c>
      <c r="BL5" s="4416">
        <f>BF5</f>
        <v>27860</v>
      </c>
      <c r="BM5" s="4417"/>
      <c r="BN5" s="4418"/>
      <c r="BO5" s="2790">
        <f>IFERROR(
  SUM(
    _xlfn.XLOOKUP(DATE(YEAR($A$1),1,1),$2:$2,5:5):
    _xlfn.XLOOKUP($A$1,$2:$2,5:5)
  )
 -SUM(
    _xlfn.XLOOKUP(DATE(YEAR($A$1)-1,1,1),$2:$2,5:5):
    _xlfn.XLOOKUP(EDATE($A$1,-12),$2:$2,5:5)
  ),"")</f>
        <v>-410</v>
      </c>
      <c r="BP5" s="4416">
        <f>BG5</f>
        <v>13930</v>
      </c>
      <c r="BQ5" s="4419">
        <f>BP5-AS5</f>
        <v>-2885.5833333333321</v>
      </c>
      <c r="BT5" s="5960" t="s">
        <v>962</v>
      </c>
      <c r="BU5" s="5961"/>
      <c r="BV5" s="5962">
        <v>20000</v>
      </c>
      <c r="BW5" s="5963">
        <v>23000</v>
      </c>
      <c r="BX5" s="5963"/>
      <c r="BY5" s="5963"/>
      <c r="BZ5" s="5963"/>
      <c r="CA5" s="5963"/>
      <c r="CB5" s="5963"/>
      <c r="CC5" s="5963"/>
      <c r="CD5" s="5963"/>
      <c r="CE5" s="5963"/>
      <c r="CF5" s="5963"/>
      <c r="CG5" s="5963"/>
      <c r="CH5" s="5963">
        <f>SUM(BV5:CG5)</f>
        <v>43000</v>
      </c>
      <c r="CI5" s="5964">
        <f>CH5/12</f>
        <v>3583.3333333333335</v>
      </c>
    </row>
    <row r="6" spans="1:87" ht="21.75" customHeight="1" x14ac:dyDescent="0.55000000000000004">
      <c r="A6" s="4420"/>
      <c r="B6" s="2506"/>
      <c r="C6" s="898" t="s">
        <v>297</v>
      </c>
      <c r="D6" s="4421">
        <v>3177</v>
      </c>
      <c r="E6" s="4422">
        <v>3904</v>
      </c>
      <c r="F6" s="4422">
        <v>2878</v>
      </c>
      <c r="G6" s="4422">
        <v>3058</v>
      </c>
      <c r="H6" s="4422">
        <v>4168</v>
      </c>
      <c r="I6" s="4422">
        <v>3359</v>
      </c>
      <c r="J6" s="4422">
        <v>3105</v>
      </c>
      <c r="K6" s="4422">
        <v>6584</v>
      </c>
      <c r="L6" s="4422">
        <v>3376</v>
      </c>
      <c r="M6" s="4422">
        <v>16429</v>
      </c>
      <c r="N6" s="4422">
        <v>5634</v>
      </c>
      <c r="O6" s="4422">
        <v>4170</v>
      </c>
      <c r="P6" s="4422">
        <v>59842</v>
      </c>
      <c r="Q6" s="4730">
        <v>4986.833333333333</v>
      </c>
      <c r="R6" s="4422">
        <v>9941</v>
      </c>
      <c r="S6" s="4422">
        <v>8098</v>
      </c>
      <c r="T6" s="4422">
        <v>7287</v>
      </c>
      <c r="U6" s="4422">
        <v>8212</v>
      </c>
      <c r="V6" s="4422">
        <v>8380</v>
      </c>
      <c r="W6" s="4422">
        <v>6260</v>
      </c>
      <c r="X6" s="4422">
        <v>11483</v>
      </c>
      <c r="Y6" s="4422">
        <v>8348</v>
      </c>
      <c r="Z6" s="4422">
        <v>21482</v>
      </c>
      <c r="AA6" s="4422">
        <v>17268</v>
      </c>
      <c r="AB6" s="4422">
        <v>8443</v>
      </c>
      <c r="AC6" s="4422">
        <v>7675</v>
      </c>
      <c r="AD6" s="4422">
        <v>122877</v>
      </c>
      <c r="AE6" s="4422">
        <v>10239.75</v>
      </c>
      <c r="AF6" s="4527">
        <v>7577</v>
      </c>
      <c r="AG6" s="4422">
        <v>20613</v>
      </c>
      <c r="AH6" s="4423">
        <v>10585</v>
      </c>
      <c r="AI6" s="4422">
        <v>14677</v>
      </c>
      <c r="AJ6" s="4422">
        <v>30183</v>
      </c>
      <c r="AK6" s="4422">
        <v>14907</v>
      </c>
      <c r="AL6" s="4422">
        <v>28122</v>
      </c>
      <c r="AM6" s="4422">
        <v>12693</v>
      </c>
      <c r="AN6" s="4422">
        <v>22535</v>
      </c>
      <c r="AO6" s="4422">
        <v>14239</v>
      </c>
      <c r="AP6" s="4422">
        <v>10704</v>
      </c>
      <c r="AQ6" s="4422">
        <v>11789</v>
      </c>
      <c r="AR6" s="2807">
        <v>198624</v>
      </c>
      <c r="AS6" s="2808">
        <v>16552</v>
      </c>
      <c r="AT6" s="4422">
        <v>16767</v>
      </c>
      <c r="AU6" s="4422">
        <v>10281</v>
      </c>
      <c r="AV6" s="4423"/>
      <c r="AW6" s="4422"/>
      <c r="AX6" s="4422"/>
      <c r="AY6" s="4422"/>
      <c r="AZ6" s="4422"/>
      <c r="BA6" s="4422"/>
      <c r="BB6" s="4422"/>
      <c r="BC6" s="4422"/>
      <c r="BD6" s="4422"/>
      <c r="BE6" s="4422"/>
      <c r="BF6" s="2807">
        <f>SUM(AT6:BE6)</f>
        <v>27048</v>
      </c>
      <c r="BG6" s="2807">
        <f t="shared" ref="BG6" si="3">AVERAGE(AT6:BE6)</f>
        <v>13524</v>
      </c>
      <c r="BH6" s="6177">
        <f t="shared" ref="BH6:BH16" si="4">IFERROR(
  _xlfn.XLOOKUP($A$1,$2:$2,6:6)
 -_xlfn.XLOOKUP(EDATE($A$1,0)+1,$2:$2,6:6),"")</f>
        <v>-12149</v>
      </c>
      <c r="BI6" s="6183">
        <f t="shared" si="0"/>
        <v>0.45835934016941599</v>
      </c>
      <c r="BJ6" s="2807">
        <f t="shared" si="1"/>
        <v>-6486</v>
      </c>
      <c r="BK6" s="2807">
        <f t="shared" si="2"/>
        <v>-10332</v>
      </c>
      <c r="BL6" s="2807">
        <f t="shared" ref="BL6:BL31" si="5">BF6</f>
        <v>27048</v>
      </c>
      <c r="BM6" s="4424"/>
      <c r="BN6" s="4425"/>
      <c r="BO6" s="2807">
        <f>IFERROR(
  SUM(
    _xlfn.XLOOKUP(DATE(YEAR($A$1),1,1),$2:$2,6:6):
    _xlfn.XLOOKUP($A$1,$2:$2,6:6)
  )
 -SUM(
    _xlfn.XLOOKUP(DATE(YEAR($A$1)-1,1,1),$2:$2,6:6):
    _xlfn.XLOOKUP(EDATE($A$1,-12),$2:$2,6:6)
  ),"")</f>
        <v>-1142</v>
      </c>
      <c r="BP6" s="2807">
        <f t="shared" ref="BP6:BP12" si="6">BG6</f>
        <v>13524</v>
      </c>
      <c r="BQ6" s="4426">
        <f t="shared" ref="BQ6:BQ31" si="7">BP6-AS6</f>
        <v>-3028</v>
      </c>
      <c r="BT6" s="5965"/>
      <c r="BU6" s="898" t="s">
        <v>297</v>
      </c>
      <c r="BV6" s="5945">
        <v>19500</v>
      </c>
      <c r="BW6" s="4422">
        <v>22430</v>
      </c>
      <c r="BX6" s="4422"/>
      <c r="BY6" s="4422"/>
      <c r="BZ6" s="4422"/>
      <c r="CA6" s="4422"/>
      <c r="CB6" s="4422"/>
      <c r="CC6" s="4422"/>
      <c r="CD6" s="4422"/>
      <c r="CE6" s="4422"/>
      <c r="CF6" s="4422"/>
      <c r="CG6" s="4422"/>
      <c r="CH6" s="4422">
        <f t="shared" ref="CH6:CH7" si="8">SUM(BV6:CG6)</f>
        <v>41930</v>
      </c>
      <c r="CI6" s="5946">
        <f>CH6/12</f>
        <v>3494.1666666666665</v>
      </c>
    </row>
    <row r="7" spans="1:87" ht="21.75" customHeight="1" x14ac:dyDescent="0.55000000000000004">
      <c r="A7" s="4420"/>
      <c r="B7" s="2506"/>
      <c r="C7" s="898" t="s">
        <v>336</v>
      </c>
      <c r="D7" s="4421">
        <v>695</v>
      </c>
      <c r="E7" s="4422">
        <v>1803</v>
      </c>
      <c r="F7" s="4422">
        <v>1118</v>
      </c>
      <c r="G7" s="4422">
        <v>880</v>
      </c>
      <c r="H7" s="4422">
        <v>761</v>
      </c>
      <c r="I7" s="4422">
        <v>765</v>
      </c>
      <c r="J7" s="4422">
        <v>676</v>
      </c>
      <c r="K7" s="4422">
        <v>742</v>
      </c>
      <c r="L7" s="4422">
        <v>376</v>
      </c>
      <c r="M7" s="4422">
        <v>787</v>
      </c>
      <c r="N7" s="4422">
        <v>296</v>
      </c>
      <c r="O7" s="4422">
        <v>427</v>
      </c>
      <c r="P7" s="4422">
        <v>9326</v>
      </c>
      <c r="Q7" s="4730">
        <v>777.16666666666663</v>
      </c>
      <c r="R7" s="4422">
        <v>605</v>
      </c>
      <c r="S7" s="4422">
        <v>407</v>
      </c>
      <c r="T7" s="4422">
        <v>380</v>
      </c>
      <c r="U7" s="4422">
        <v>411</v>
      </c>
      <c r="V7" s="4422">
        <v>220</v>
      </c>
      <c r="W7" s="4422">
        <v>310</v>
      </c>
      <c r="X7" s="4422">
        <v>7</v>
      </c>
      <c r="Y7" s="4422">
        <v>0</v>
      </c>
      <c r="Z7" s="4422">
        <v>0</v>
      </c>
      <c r="AA7" s="4422">
        <v>0</v>
      </c>
      <c r="AB7" s="4422">
        <v>0</v>
      </c>
      <c r="AC7" s="4422">
        <v>0</v>
      </c>
      <c r="AD7" s="4422">
        <v>2340</v>
      </c>
      <c r="AE7" s="4422">
        <v>195</v>
      </c>
      <c r="AF7" s="4527">
        <v>11</v>
      </c>
      <c r="AG7" s="4422">
        <v>69</v>
      </c>
      <c r="AH7" s="4423">
        <v>6</v>
      </c>
      <c r="AI7" s="4422">
        <v>10</v>
      </c>
      <c r="AJ7" s="4422">
        <v>52</v>
      </c>
      <c r="AK7" s="4422">
        <v>119</v>
      </c>
      <c r="AL7" s="4422">
        <v>379</v>
      </c>
      <c r="AM7" s="4422">
        <v>563</v>
      </c>
      <c r="AN7" s="4422">
        <v>604</v>
      </c>
      <c r="AO7" s="4422">
        <v>527</v>
      </c>
      <c r="AP7" s="4422">
        <v>434</v>
      </c>
      <c r="AQ7" s="4422">
        <v>389</v>
      </c>
      <c r="AR7" s="2807">
        <v>3163</v>
      </c>
      <c r="AS7" s="2808">
        <v>263.58333333333331</v>
      </c>
      <c r="AT7" s="4422">
        <v>545</v>
      </c>
      <c r="AU7" s="4422">
        <v>267</v>
      </c>
      <c r="AV7" s="4423"/>
      <c r="AW7" s="4422"/>
      <c r="AX7" s="4422"/>
      <c r="AY7" s="4422"/>
      <c r="AZ7" s="4422"/>
      <c r="BA7" s="4422"/>
      <c r="BB7" s="4422"/>
      <c r="BC7" s="4422"/>
      <c r="BD7" s="4422"/>
      <c r="BE7" s="4422"/>
      <c r="BF7" s="2807">
        <f t="shared" ref="BF7" si="9">SUM(AT7:BE7)</f>
        <v>812</v>
      </c>
      <c r="BG7" s="2807">
        <f>AVERAGE(AT7:BE7)</f>
        <v>406</v>
      </c>
      <c r="BH7" s="2807">
        <f t="shared" si="4"/>
        <v>-303</v>
      </c>
      <c r="BI7" s="6183">
        <f t="shared" si="0"/>
        <v>0.46842105263157896</v>
      </c>
      <c r="BJ7" s="2807">
        <f t="shared" si="1"/>
        <v>-278</v>
      </c>
      <c r="BK7" s="2807">
        <f t="shared" si="2"/>
        <v>198</v>
      </c>
      <c r="BL7" s="2807">
        <f t="shared" si="5"/>
        <v>812</v>
      </c>
      <c r="BM7" s="4424"/>
      <c r="BN7" s="4425"/>
      <c r="BO7" s="2807">
        <f>IFERROR(
  SUM(
    _xlfn.XLOOKUP(DATE(YEAR($A$1),1,1),$2:$2,7:7):
    _xlfn.XLOOKUP($A$1,$2:$2,7:7)
  )
 -SUM(
    _xlfn.XLOOKUP(DATE(YEAR($A$1)-1,1,1),$2:$2,7:7):
    _xlfn.XLOOKUP(EDATE($A$1,-12),$2:$2,7:7)
  ),"")</f>
        <v>732</v>
      </c>
      <c r="BP7" s="2807">
        <f t="shared" si="6"/>
        <v>406</v>
      </c>
      <c r="BQ7" s="4426">
        <f t="shared" si="7"/>
        <v>142.41666666666669</v>
      </c>
      <c r="BT7" s="5965"/>
      <c r="BU7" s="898" t="s">
        <v>336</v>
      </c>
      <c r="BV7" s="5945">
        <v>500</v>
      </c>
      <c r="BW7" s="4422">
        <v>570</v>
      </c>
      <c r="BX7" s="4422"/>
      <c r="BY7" s="4422"/>
      <c r="BZ7" s="4422"/>
      <c r="CA7" s="4422"/>
      <c r="CB7" s="4422"/>
      <c r="CC7" s="4422"/>
      <c r="CD7" s="4422"/>
      <c r="CE7" s="4422"/>
      <c r="CF7" s="4422"/>
      <c r="CG7" s="4422"/>
      <c r="CH7" s="4422">
        <f t="shared" si="8"/>
        <v>1070</v>
      </c>
      <c r="CI7" s="5946">
        <f t="shared" ref="CI7" si="10">CH7/12</f>
        <v>89.166666666666671</v>
      </c>
    </row>
    <row r="8" spans="1:87" ht="21.55" customHeight="1" x14ac:dyDescent="0.55000000000000004">
      <c r="A8" s="4420"/>
      <c r="B8" s="4428" t="s">
        <v>723</v>
      </c>
      <c r="C8" s="4429"/>
      <c r="D8" s="4430">
        <v>4044</v>
      </c>
      <c r="E8" s="2636">
        <v>6293</v>
      </c>
      <c r="F8" s="2636">
        <v>4082</v>
      </c>
      <c r="G8" s="2636">
        <v>3828</v>
      </c>
      <c r="H8" s="2636">
        <v>5373</v>
      </c>
      <c r="I8" s="2636">
        <v>4861</v>
      </c>
      <c r="J8" s="2636">
        <v>4364</v>
      </c>
      <c r="K8" s="2636">
        <v>7455</v>
      </c>
      <c r="L8" s="2636">
        <v>2693</v>
      </c>
      <c r="M8" s="2636">
        <v>16731</v>
      </c>
      <c r="N8" s="2636">
        <v>4833</v>
      </c>
      <c r="O8" s="2636">
        <v>3634</v>
      </c>
      <c r="P8" s="2636">
        <v>68191</v>
      </c>
      <c r="Q8" s="4731">
        <v>5682.583333333333</v>
      </c>
      <c r="R8" s="2636">
        <v>9400</v>
      </c>
      <c r="S8" s="2636">
        <v>7026</v>
      </c>
      <c r="T8" s="2636">
        <v>5089</v>
      </c>
      <c r="U8" s="2636">
        <v>7031</v>
      </c>
      <c r="V8" s="2636">
        <v>6737</v>
      </c>
      <c r="W8" s="2636">
        <v>4348</v>
      </c>
      <c r="X8" s="2636">
        <v>9529</v>
      </c>
      <c r="Y8" s="2636">
        <v>6899</v>
      </c>
      <c r="Z8" s="2636">
        <v>20154</v>
      </c>
      <c r="AA8" s="2636">
        <v>15127</v>
      </c>
      <c r="AB8" s="2636">
        <v>6954</v>
      </c>
      <c r="AC8" s="2636">
        <v>6135</v>
      </c>
      <c r="AD8" s="2636">
        <v>104429</v>
      </c>
      <c r="AE8" s="2636">
        <v>8702.4166666666661</v>
      </c>
      <c r="AF8" s="4528">
        <v>5385</v>
      </c>
      <c r="AG8" s="2636">
        <v>16915</v>
      </c>
      <c r="AH8" s="4431">
        <v>7408</v>
      </c>
      <c r="AI8" s="2636">
        <v>7814</v>
      </c>
      <c r="AJ8" s="2636">
        <v>9792</v>
      </c>
      <c r="AK8" s="2636">
        <v>7562</v>
      </c>
      <c r="AL8" s="2636">
        <v>12735</v>
      </c>
      <c r="AM8" s="2636">
        <v>9471</v>
      </c>
      <c r="AN8" s="2636">
        <v>19884</v>
      </c>
      <c r="AO8" s="2636">
        <v>11925</v>
      </c>
      <c r="AP8" s="2636">
        <v>8605</v>
      </c>
      <c r="AQ8" s="2636">
        <v>8793</v>
      </c>
      <c r="AR8" s="2790">
        <v>126289</v>
      </c>
      <c r="AS8" s="2802">
        <v>10524.083333333334</v>
      </c>
      <c r="AT8" s="2636">
        <v>11824</v>
      </c>
      <c r="AU8" s="2636">
        <v>7465</v>
      </c>
      <c r="AV8" s="4431"/>
      <c r="AW8" s="2636"/>
      <c r="AX8" s="2636"/>
      <c r="AY8" s="2636"/>
      <c r="AZ8" s="2636"/>
      <c r="BA8" s="2636"/>
      <c r="BB8" s="2636"/>
      <c r="BC8" s="2636"/>
      <c r="BD8" s="2636"/>
      <c r="BE8" s="2636"/>
      <c r="BF8" s="2790">
        <f t="shared" ref="BF8" si="11">SUM(AT8:BE8)</f>
        <v>19289</v>
      </c>
      <c r="BG8" s="2790">
        <f t="shared" ref="BG8:BG10" si="12">AVERAGE(AT8:BE8)</f>
        <v>9644.5</v>
      </c>
      <c r="BH8" s="2790">
        <f t="shared" si="4"/>
        <v>-9835</v>
      </c>
      <c r="BI8" s="6184">
        <f t="shared" si="0"/>
        <v>0.43150289017341042</v>
      </c>
      <c r="BJ8" s="2790">
        <f t="shared" si="1"/>
        <v>-4359</v>
      </c>
      <c r="BK8" s="2790">
        <f t="shared" si="2"/>
        <v>-9450</v>
      </c>
      <c r="BL8" s="2790">
        <f t="shared" si="5"/>
        <v>19289</v>
      </c>
      <c r="BM8" s="4424"/>
      <c r="BN8" s="4425"/>
      <c r="BO8" s="2790">
        <f>IFERROR(
  SUM(
    _xlfn.XLOOKUP(DATE(YEAR($A$1),1,1),$2:$2,8:8):
    _xlfn.XLOOKUP($A$1,$2:$2,8:8)
  )
 -SUM(
    _xlfn.XLOOKUP(DATE(YEAR($A$1)-1,1,1),$2:$2,8:8):
    _xlfn.XLOOKUP(EDATE($A$1,-12),$2:$2,8:8)
  ),"")</f>
        <v>-3011</v>
      </c>
      <c r="BP8" s="2790">
        <f t="shared" si="6"/>
        <v>9644.5</v>
      </c>
      <c r="BQ8" s="4432">
        <f t="shared" si="7"/>
        <v>-879.58333333333394</v>
      </c>
      <c r="BT8" s="5966" t="s">
        <v>723</v>
      </c>
      <c r="BU8" s="4433"/>
      <c r="BV8" s="5947">
        <v>15000</v>
      </c>
      <c r="BW8" s="2895">
        <v>17300</v>
      </c>
      <c r="BX8" s="2895"/>
      <c r="BY8" s="2895"/>
      <c r="BZ8" s="2895"/>
      <c r="CA8" s="2895"/>
      <c r="CB8" s="2895"/>
      <c r="CC8" s="2895"/>
      <c r="CD8" s="2895"/>
      <c r="CE8" s="2895"/>
      <c r="CF8" s="2895"/>
      <c r="CG8" s="2895"/>
      <c r="CH8" s="2895">
        <f t="shared" ref="CH8:CH10" si="13">SUM(BV8:CG8)</f>
        <v>32300</v>
      </c>
      <c r="CI8" s="5948">
        <f t="shared" ref="CI8:CI10" si="14">CH8/12</f>
        <v>2691.6666666666665</v>
      </c>
    </row>
    <row r="9" spans="1:87" ht="21.75" customHeight="1" x14ac:dyDescent="0.55000000000000004">
      <c r="A9" s="4420"/>
      <c r="B9" s="2506"/>
      <c r="C9" s="898" t="s">
        <v>297</v>
      </c>
      <c r="D9" s="4421">
        <v>2256</v>
      </c>
      <c r="E9" s="4422">
        <v>2712</v>
      </c>
      <c r="F9" s="4422">
        <v>1734</v>
      </c>
      <c r="G9" s="4422">
        <v>2194</v>
      </c>
      <c r="H9" s="4422">
        <v>3300</v>
      </c>
      <c r="I9" s="4422">
        <v>2558</v>
      </c>
      <c r="J9" s="4422">
        <v>2134</v>
      </c>
      <c r="K9" s="4422">
        <v>4555</v>
      </c>
      <c r="L9" s="4422">
        <v>1830</v>
      </c>
      <c r="M9" s="4422">
        <v>14944</v>
      </c>
      <c r="N9" s="4422">
        <v>4000</v>
      </c>
      <c r="O9" s="4422">
        <v>2520</v>
      </c>
      <c r="P9" s="4422">
        <v>44737</v>
      </c>
      <c r="Q9" s="4730">
        <v>3728.0833333333335</v>
      </c>
      <c r="R9" s="4422">
        <v>7410</v>
      </c>
      <c r="S9" s="4422">
        <v>5611</v>
      </c>
      <c r="T9" s="4422">
        <v>3529</v>
      </c>
      <c r="U9" s="4422">
        <v>5237</v>
      </c>
      <c r="V9" s="4422">
        <v>5041</v>
      </c>
      <c r="W9" s="4422">
        <v>3190</v>
      </c>
      <c r="X9" s="4422">
        <v>8450</v>
      </c>
      <c r="Y9" s="4422">
        <v>5618</v>
      </c>
      <c r="Z9" s="4422">
        <v>19347</v>
      </c>
      <c r="AA9" s="4422">
        <v>14326</v>
      </c>
      <c r="AB9" s="4422">
        <v>6358</v>
      </c>
      <c r="AC9" s="4422">
        <v>5644</v>
      </c>
      <c r="AD9" s="4422">
        <v>89761</v>
      </c>
      <c r="AE9" s="4422">
        <v>7480.083333333333</v>
      </c>
      <c r="AF9" s="4527">
        <v>5374</v>
      </c>
      <c r="AG9" s="4422">
        <v>16846</v>
      </c>
      <c r="AH9" s="4423">
        <v>7402</v>
      </c>
      <c r="AI9" s="4422">
        <v>7804</v>
      </c>
      <c r="AJ9" s="4422">
        <v>9740</v>
      </c>
      <c r="AK9" s="4422">
        <v>7441</v>
      </c>
      <c r="AL9" s="4422">
        <v>12356</v>
      </c>
      <c r="AM9" s="4422">
        <v>8908</v>
      </c>
      <c r="AN9" s="4422">
        <v>19280</v>
      </c>
      <c r="AO9" s="4422">
        <v>11398</v>
      </c>
      <c r="AP9" s="4422">
        <v>8171</v>
      </c>
      <c r="AQ9" s="4422">
        <v>8404</v>
      </c>
      <c r="AR9" s="2807">
        <v>123124</v>
      </c>
      <c r="AS9" s="2808">
        <v>10260.333333333334</v>
      </c>
      <c r="AT9" s="4422">
        <v>11279</v>
      </c>
      <c r="AU9" s="4422">
        <v>7198</v>
      </c>
      <c r="AV9" s="4423"/>
      <c r="AW9" s="4422"/>
      <c r="AX9" s="4422"/>
      <c r="AY9" s="4422"/>
      <c r="AZ9" s="4422"/>
      <c r="BA9" s="4422"/>
      <c r="BB9" s="4422"/>
      <c r="BC9" s="4422"/>
      <c r="BD9" s="4422"/>
      <c r="BE9" s="4422"/>
      <c r="BF9" s="2807">
        <f>SUM(AT9:BE9)</f>
        <v>18477</v>
      </c>
      <c r="BG9" s="2807">
        <f t="shared" si="12"/>
        <v>9238.5</v>
      </c>
      <c r="BH9" s="2807">
        <f t="shared" si="4"/>
        <v>-9532</v>
      </c>
      <c r="BI9" s="6183">
        <f t="shared" si="0"/>
        <v>0.43024506873879259</v>
      </c>
      <c r="BJ9" s="2807">
        <f t="shared" si="1"/>
        <v>-4081</v>
      </c>
      <c r="BK9" s="2807">
        <f t="shared" si="2"/>
        <v>-9648</v>
      </c>
      <c r="BL9" s="2807">
        <f t="shared" si="5"/>
        <v>18477</v>
      </c>
      <c r="BM9" s="4424"/>
      <c r="BN9" s="4425"/>
      <c r="BO9" s="2807">
        <f>IFERROR(
  SUM(
    _xlfn.XLOOKUP(DATE(YEAR($A$1),1,1),$2:$2,9:9):
    _xlfn.XLOOKUP($A$1,$2:$2,9:9)
  )
 -SUM(
    _xlfn.XLOOKUP(DATE(YEAR($A$1)-1,1,1),$2:$2,9:9):
    _xlfn.XLOOKUP(EDATE($A$1,-12),$2:$2,9:9)
  ),"")</f>
        <v>-3743</v>
      </c>
      <c r="BP9" s="2807">
        <f t="shared" si="6"/>
        <v>9238.5</v>
      </c>
      <c r="BQ9" s="4426">
        <f t="shared" si="7"/>
        <v>-1021.8333333333339</v>
      </c>
      <c r="BT9" s="5965"/>
      <c r="BU9" s="898" t="s">
        <v>724</v>
      </c>
      <c r="BV9" s="5949">
        <v>14500</v>
      </c>
      <c r="BW9" s="2774">
        <v>16730</v>
      </c>
      <c r="BX9" s="2774"/>
      <c r="BY9" s="2774"/>
      <c r="BZ9" s="2774"/>
      <c r="CA9" s="2774"/>
      <c r="CB9" s="2774"/>
      <c r="CC9" s="2774"/>
      <c r="CD9" s="2774"/>
      <c r="CE9" s="2774"/>
      <c r="CF9" s="2774"/>
      <c r="CG9" s="2774"/>
      <c r="CH9" s="3304">
        <f t="shared" si="13"/>
        <v>31230</v>
      </c>
      <c r="CI9" s="5950">
        <f t="shared" si="14"/>
        <v>2602.5</v>
      </c>
    </row>
    <row r="10" spans="1:87" ht="21.75" customHeight="1" x14ac:dyDescent="0.55000000000000004">
      <c r="A10" s="4420"/>
      <c r="B10" s="2506"/>
      <c r="C10" s="898" t="s">
        <v>336</v>
      </c>
      <c r="D10" s="4421">
        <v>695</v>
      </c>
      <c r="E10" s="4422">
        <v>1803</v>
      </c>
      <c r="F10" s="4422">
        <v>1118</v>
      </c>
      <c r="G10" s="4422">
        <v>880</v>
      </c>
      <c r="H10" s="4422">
        <v>761</v>
      </c>
      <c r="I10" s="4422">
        <v>765</v>
      </c>
      <c r="J10" s="4422">
        <v>676</v>
      </c>
      <c r="K10" s="4422">
        <v>742</v>
      </c>
      <c r="L10" s="4422">
        <v>376</v>
      </c>
      <c r="M10" s="4422">
        <v>787</v>
      </c>
      <c r="N10" s="4422">
        <v>296</v>
      </c>
      <c r="O10" s="4422">
        <v>427</v>
      </c>
      <c r="P10" s="4422">
        <v>9326</v>
      </c>
      <c r="Q10" s="4730">
        <v>777.16666666666663</v>
      </c>
      <c r="R10" s="4422">
        <v>605</v>
      </c>
      <c r="S10" s="4422">
        <v>407</v>
      </c>
      <c r="T10" s="4422">
        <v>380</v>
      </c>
      <c r="U10" s="4422">
        <v>411</v>
      </c>
      <c r="V10" s="4422">
        <v>220</v>
      </c>
      <c r="W10" s="4422">
        <v>310</v>
      </c>
      <c r="X10" s="4422">
        <v>7</v>
      </c>
      <c r="Y10" s="4422">
        <v>0</v>
      </c>
      <c r="Z10" s="4422">
        <v>0</v>
      </c>
      <c r="AA10" s="4422">
        <v>0</v>
      </c>
      <c r="AB10" s="4422">
        <v>0</v>
      </c>
      <c r="AC10" s="4422">
        <v>0</v>
      </c>
      <c r="AD10" s="4422">
        <v>2340</v>
      </c>
      <c r="AE10" s="4422">
        <v>195</v>
      </c>
      <c r="AF10" s="4527">
        <v>11</v>
      </c>
      <c r="AG10" s="4422">
        <v>69</v>
      </c>
      <c r="AH10" s="4423">
        <v>6</v>
      </c>
      <c r="AI10" s="4422">
        <v>10</v>
      </c>
      <c r="AJ10" s="4422">
        <v>52</v>
      </c>
      <c r="AK10" s="4422">
        <v>121</v>
      </c>
      <c r="AL10" s="4422">
        <v>379</v>
      </c>
      <c r="AM10" s="4422">
        <v>563</v>
      </c>
      <c r="AN10" s="4422">
        <v>604</v>
      </c>
      <c r="AO10" s="4422">
        <v>527</v>
      </c>
      <c r="AP10" s="4422">
        <v>434</v>
      </c>
      <c r="AQ10" s="4422">
        <v>389</v>
      </c>
      <c r="AR10" s="2807">
        <v>3165</v>
      </c>
      <c r="AS10" s="2808">
        <v>263.75</v>
      </c>
      <c r="AT10" s="4422">
        <v>545</v>
      </c>
      <c r="AU10" s="4422">
        <v>267</v>
      </c>
      <c r="AV10" s="4423"/>
      <c r="AW10" s="4422"/>
      <c r="AX10" s="4422"/>
      <c r="AY10" s="4422"/>
      <c r="AZ10" s="4422"/>
      <c r="BA10" s="4422"/>
      <c r="BB10" s="4422"/>
      <c r="BC10" s="4422"/>
      <c r="BD10" s="4422"/>
      <c r="BE10" s="4422"/>
      <c r="BF10" s="2807">
        <f>SUM(AT10:BE10)</f>
        <v>812</v>
      </c>
      <c r="BG10" s="2807">
        <f t="shared" si="12"/>
        <v>406</v>
      </c>
      <c r="BH10" s="2807">
        <f t="shared" si="4"/>
        <v>-303</v>
      </c>
      <c r="BI10" s="6183">
        <f t="shared" si="0"/>
        <v>0.46842105263157896</v>
      </c>
      <c r="BJ10" s="2807">
        <f t="shared" si="1"/>
        <v>-278</v>
      </c>
      <c r="BK10" s="2807">
        <f t="shared" si="2"/>
        <v>198</v>
      </c>
      <c r="BL10" s="2807">
        <f t="shared" si="5"/>
        <v>812</v>
      </c>
      <c r="BM10" s="4424"/>
      <c r="BN10" s="4425"/>
      <c r="BO10" s="2807">
        <f>IFERROR(
  SUM(
    _xlfn.XLOOKUP(DATE(YEAR($A$1),1,1),$2:$2,10:10):
    _xlfn.XLOOKUP($A$1,$2:$2,10:10)
  )
 -SUM(
    _xlfn.XLOOKUP(DATE(YEAR($A$1)-1,1,1),$2:$2,10:10):
    _xlfn.XLOOKUP(EDATE($A$1,-12),$2:$2,10:10)
  ),"")</f>
        <v>732</v>
      </c>
      <c r="BP10" s="2807">
        <f t="shared" si="6"/>
        <v>406</v>
      </c>
      <c r="BQ10" s="4426">
        <f t="shared" si="7"/>
        <v>142.25</v>
      </c>
      <c r="BT10" s="5965"/>
      <c r="BU10" s="898" t="s">
        <v>336</v>
      </c>
      <c r="BV10" s="5949">
        <v>500</v>
      </c>
      <c r="BW10" s="2774">
        <v>570</v>
      </c>
      <c r="BX10" s="2774"/>
      <c r="BY10" s="2774"/>
      <c r="BZ10" s="2774"/>
      <c r="CA10" s="2774"/>
      <c r="CB10" s="2774"/>
      <c r="CC10" s="2774"/>
      <c r="CD10" s="2774"/>
      <c r="CE10" s="2774"/>
      <c r="CF10" s="2774"/>
      <c r="CG10" s="2774"/>
      <c r="CH10" s="3304">
        <f t="shared" si="13"/>
        <v>1070</v>
      </c>
      <c r="CI10" s="5950">
        <f t="shared" si="14"/>
        <v>89.166666666666671</v>
      </c>
    </row>
    <row r="11" spans="1:87" ht="17.149999999999999" customHeight="1" x14ac:dyDescent="0.55000000000000004">
      <c r="A11" s="4420"/>
      <c r="B11" s="4428" t="s">
        <v>340</v>
      </c>
      <c r="C11" s="4429"/>
      <c r="D11" s="4430">
        <v>921</v>
      </c>
      <c r="E11" s="2636">
        <v>1192</v>
      </c>
      <c r="F11" s="2636">
        <v>1144</v>
      </c>
      <c r="G11" s="2636">
        <v>864</v>
      </c>
      <c r="H11" s="2636">
        <v>868</v>
      </c>
      <c r="I11" s="2636">
        <v>802</v>
      </c>
      <c r="J11" s="2636">
        <v>971</v>
      </c>
      <c r="K11" s="2636">
        <v>2029</v>
      </c>
      <c r="L11" s="2636">
        <v>1546</v>
      </c>
      <c r="M11" s="2636">
        <v>1485</v>
      </c>
      <c r="N11" s="2636">
        <v>1634</v>
      </c>
      <c r="O11" s="2636">
        <v>1650</v>
      </c>
      <c r="P11" s="2636">
        <v>15106</v>
      </c>
      <c r="Q11" s="4731">
        <v>1258.8333333333333</v>
      </c>
      <c r="R11" s="2636">
        <v>2533</v>
      </c>
      <c r="S11" s="2636">
        <v>2487</v>
      </c>
      <c r="T11" s="2636">
        <v>3762</v>
      </c>
      <c r="U11" s="2636">
        <v>3047</v>
      </c>
      <c r="V11" s="2636">
        <v>3393</v>
      </c>
      <c r="W11" s="2636">
        <v>3129</v>
      </c>
      <c r="X11" s="2636">
        <v>3078</v>
      </c>
      <c r="Y11" s="2636">
        <v>2755</v>
      </c>
      <c r="Z11" s="2636">
        <v>2146</v>
      </c>
      <c r="AA11" s="2636">
        <v>2961</v>
      </c>
      <c r="AB11" s="2636">
        <v>2119</v>
      </c>
      <c r="AC11" s="2636">
        <v>2072</v>
      </c>
      <c r="AD11" s="2636">
        <v>33482</v>
      </c>
      <c r="AE11" s="2636">
        <v>2790.1666666666665</v>
      </c>
      <c r="AF11" s="4528">
        <v>2203</v>
      </c>
      <c r="AG11" s="2636">
        <v>3767</v>
      </c>
      <c r="AH11" s="4431">
        <v>3183</v>
      </c>
      <c r="AI11" s="2636">
        <v>6874</v>
      </c>
      <c r="AJ11" s="2636">
        <v>20443</v>
      </c>
      <c r="AK11" s="2636">
        <v>7464</v>
      </c>
      <c r="AL11" s="2636">
        <v>15766</v>
      </c>
      <c r="AM11" s="2636">
        <v>3785</v>
      </c>
      <c r="AN11" s="2636">
        <v>3255</v>
      </c>
      <c r="AO11" s="2636">
        <v>2841</v>
      </c>
      <c r="AP11" s="2636">
        <v>2533</v>
      </c>
      <c r="AQ11" s="2636">
        <v>3385</v>
      </c>
      <c r="AR11" s="2790">
        <v>75499</v>
      </c>
      <c r="AS11" s="2802">
        <v>6291.583333333333</v>
      </c>
      <c r="AT11" s="2636">
        <v>5488</v>
      </c>
      <c r="AU11" s="2636">
        <v>3083</v>
      </c>
      <c r="AV11" s="4431"/>
      <c r="AW11" s="2636"/>
      <c r="AX11" s="2636"/>
      <c r="AY11" s="2636"/>
      <c r="AZ11" s="2636"/>
      <c r="BA11" s="2636"/>
      <c r="BB11" s="2636"/>
      <c r="BC11" s="2636"/>
      <c r="BD11" s="2636"/>
      <c r="BE11" s="2636"/>
      <c r="BF11" s="2790">
        <f>SUM(AT11:BE11)</f>
        <v>8571</v>
      </c>
      <c r="BG11" s="2790">
        <f>AVERAGE(AT11:BE11)</f>
        <v>4285.5</v>
      </c>
      <c r="BH11" s="2790">
        <f t="shared" si="4"/>
        <v>-2617</v>
      </c>
      <c r="BI11" s="6184">
        <f t="shared" si="0"/>
        <v>0.54087719298245618</v>
      </c>
      <c r="BJ11" s="2790">
        <f t="shared" si="1"/>
        <v>-2405</v>
      </c>
      <c r="BK11" s="2790">
        <f t="shared" si="2"/>
        <v>-684</v>
      </c>
      <c r="BL11" s="2790">
        <f t="shared" si="5"/>
        <v>8571</v>
      </c>
      <c r="BM11" s="2811"/>
      <c r="BN11" s="2811"/>
      <c r="BO11" s="2790">
        <f>IFERROR(
  SUM(
    _xlfn.XLOOKUP(DATE(YEAR($A$1),1,1),$2:$2,11:11):
    _xlfn.XLOOKUP($A$1,$2:$2,11:11)
  )
 -SUM(
    _xlfn.XLOOKUP(DATE(YEAR($A$1)-1,1,1),$2:$2,11:11):
    _xlfn.XLOOKUP(EDATE($A$1,-12),$2:$2,11:11)
  ),"")</f>
        <v>2601</v>
      </c>
      <c r="BP11" s="2790">
        <f t="shared" si="6"/>
        <v>4285.5</v>
      </c>
      <c r="BQ11" s="4432">
        <f t="shared" si="7"/>
        <v>-2006.083333333333</v>
      </c>
      <c r="BT11" s="5966" t="s">
        <v>340</v>
      </c>
      <c r="BU11" s="4433"/>
      <c r="BV11" s="5947">
        <v>5000</v>
      </c>
      <c r="BW11" s="2636">
        <v>5700</v>
      </c>
      <c r="BX11" s="2636"/>
      <c r="BY11" s="2636"/>
      <c r="BZ11" s="2636"/>
      <c r="CA11" s="2636"/>
      <c r="CB11" s="2636"/>
      <c r="CC11" s="2636"/>
      <c r="CD11" s="2636"/>
      <c r="CE11" s="2636"/>
      <c r="CF11" s="2636"/>
      <c r="CG11" s="2636"/>
      <c r="CH11" s="2636">
        <f t="shared" ref="CH11" si="15">SUM(BV11:CG11)</f>
        <v>10700</v>
      </c>
      <c r="CI11" s="5951">
        <f t="shared" ref="CI11" si="16">CH11/12</f>
        <v>891.66666666666663</v>
      </c>
    </row>
    <row r="12" spans="1:87" ht="21.55" customHeight="1" x14ac:dyDescent="0.55000000000000004">
      <c r="A12" s="4420"/>
      <c r="B12" s="4428" t="s">
        <v>423</v>
      </c>
      <c r="C12" s="4429"/>
      <c r="D12" s="2894">
        <v>26</v>
      </c>
      <c r="E12" s="2895">
        <v>32</v>
      </c>
      <c r="F12" s="2895">
        <v>18</v>
      </c>
      <c r="G12" s="2895">
        <v>8</v>
      </c>
      <c r="H12" s="2895">
        <v>27</v>
      </c>
      <c r="I12" s="2895">
        <v>33</v>
      </c>
      <c r="J12" s="2895">
        <v>19</v>
      </c>
      <c r="K12" s="2895">
        <v>30</v>
      </c>
      <c r="L12" s="2895">
        <v>34</v>
      </c>
      <c r="M12" s="2895">
        <v>60</v>
      </c>
      <c r="N12" s="2895">
        <v>27</v>
      </c>
      <c r="O12" s="2895">
        <v>27</v>
      </c>
      <c r="P12" s="2895">
        <v>341</v>
      </c>
      <c r="Q12" s="4500">
        <v>28.416666666666668</v>
      </c>
      <c r="R12" s="2636">
        <v>86</v>
      </c>
      <c r="S12" s="2636">
        <v>52</v>
      </c>
      <c r="T12" s="2636">
        <v>145</v>
      </c>
      <c r="U12" s="2636">
        <v>161</v>
      </c>
      <c r="V12" s="2636">
        <v>261</v>
      </c>
      <c r="W12" s="2636">
        <v>196</v>
      </c>
      <c r="X12" s="2636">
        <v>103</v>
      </c>
      <c r="Y12" s="2636">
        <v>108</v>
      </c>
      <c r="Z12" s="2636">
        <v>63</v>
      </c>
      <c r="AA12" s="2636">
        <v>52</v>
      </c>
      <c r="AB12" s="2636">
        <v>69</v>
      </c>
      <c r="AC12" s="2636">
        <v>89</v>
      </c>
      <c r="AD12" s="2636">
        <v>1385</v>
      </c>
      <c r="AE12" s="2895">
        <v>115.41666666666667</v>
      </c>
      <c r="AF12" s="4528">
        <v>38</v>
      </c>
      <c r="AG12" s="2636">
        <v>34</v>
      </c>
      <c r="AH12" s="4431">
        <v>124</v>
      </c>
      <c r="AI12" s="2636">
        <v>186</v>
      </c>
      <c r="AJ12" s="2636">
        <v>524</v>
      </c>
      <c r="AK12" s="2636">
        <v>316</v>
      </c>
      <c r="AL12" s="2636">
        <v>516</v>
      </c>
      <c r="AM12" s="2636">
        <v>200</v>
      </c>
      <c r="AN12" s="2636">
        <v>277</v>
      </c>
      <c r="AO12" s="2636">
        <v>190</v>
      </c>
      <c r="AP12" s="2636">
        <v>270</v>
      </c>
      <c r="AQ12" s="2636">
        <v>242</v>
      </c>
      <c r="AR12" s="2790">
        <v>2917</v>
      </c>
      <c r="AS12" s="2802">
        <v>243.08333333333334</v>
      </c>
      <c r="AT12" s="2636">
        <v>220</v>
      </c>
      <c r="AU12" s="2636">
        <v>267</v>
      </c>
      <c r="AV12" s="4431"/>
      <c r="AW12" s="2636"/>
      <c r="AX12" s="2636"/>
      <c r="AY12" s="2636"/>
      <c r="AZ12" s="2636"/>
      <c r="BA12" s="2636"/>
      <c r="BB12" s="2636"/>
      <c r="BC12" s="2636"/>
      <c r="BD12" s="2636"/>
      <c r="BE12" s="2636"/>
      <c r="BF12" s="2790">
        <f t="shared" ref="BF12" si="17">SUM(AT12:BE12)</f>
        <v>487</v>
      </c>
      <c r="BG12" s="2790">
        <f t="shared" ref="BG12" si="18">AVERAGE(AT12:BE12)</f>
        <v>243.5</v>
      </c>
      <c r="BH12" s="2790">
        <f t="shared" si="4"/>
        <v>-733</v>
      </c>
      <c r="BI12" s="6184">
        <f t="shared" si="0"/>
        <v>0.26700000000000002</v>
      </c>
      <c r="BJ12" s="2790">
        <f t="shared" si="1"/>
        <v>47</v>
      </c>
      <c r="BK12" s="2790">
        <f t="shared" si="2"/>
        <v>233</v>
      </c>
      <c r="BL12" s="2790">
        <f t="shared" si="5"/>
        <v>487</v>
      </c>
      <c r="BM12" s="4424"/>
      <c r="BN12" s="4425"/>
      <c r="BO12" s="2790">
        <f>IFERROR(
  SUM(
    _xlfn.XLOOKUP(DATE(YEAR($A$1),1,1),$2:$2,12:12):
    _xlfn.XLOOKUP($A$1,$2:$2,12:12)
  )
 -SUM(
    _xlfn.XLOOKUP(DATE(YEAR($A$1)-1,1,1),$2:$2,12:12):
    _xlfn.XLOOKUP(EDATE($A$1,-12),$2:$2,12:12)
  ),"")</f>
        <v>415</v>
      </c>
      <c r="BP12" s="2790">
        <f t="shared" si="6"/>
        <v>243.5</v>
      </c>
      <c r="BQ12" s="4432">
        <f t="shared" si="7"/>
        <v>0.41666666666665719</v>
      </c>
      <c r="BT12" s="5966" t="s">
        <v>423</v>
      </c>
      <c r="BU12" s="4433"/>
      <c r="BV12" s="5947">
        <v>1000</v>
      </c>
      <c r="BW12" s="2895">
        <v>1000</v>
      </c>
      <c r="BX12" s="2895"/>
      <c r="BY12" s="2895"/>
      <c r="BZ12" s="2895"/>
      <c r="CA12" s="2895"/>
      <c r="CB12" s="2895"/>
      <c r="CC12" s="2895"/>
      <c r="CD12" s="2895"/>
      <c r="CE12" s="2895"/>
      <c r="CF12" s="2895"/>
      <c r="CG12" s="2895"/>
      <c r="CH12" s="2895">
        <f t="shared" ref="CH12:CH16" si="19">SUM(BV12:CG12)</f>
        <v>2000</v>
      </c>
      <c r="CI12" s="5948">
        <f t="shared" ref="CI12:CI16" si="20">CH12/12</f>
        <v>166.66666666666666</v>
      </c>
    </row>
    <row r="13" spans="1:87" ht="21.55" customHeight="1" x14ac:dyDescent="0.55000000000000004">
      <c r="A13" s="4420"/>
      <c r="B13" s="7261" t="s">
        <v>1164</v>
      </c>
      <c r="C13" s="4739" t="s">
        <v>297</v>
      </c>
      <c r="D13" s="3304"/>
      <c r="E13" s="3304"/>
      <c r="F13" s="3304"/>
      <c r="G13" s="3304"/>
      <c r="H13" s="3304"/>
      <c r="I13" s="3304"/>
      <c r="J13" s="3304"/>
      <c r="K13" s="3304"/>
      <c r="L13" s="3304"/>
      <c r="M13" s="3304"/>
      <c r="N13" s="3304"/>
      <c r="O13" s="3304"/>
      <c r="P13" s="3304"/>
      <c r="Q13" s="4634"/>
      <c r="R13" s="2644">
        <f>R15+R16</f>
        <v>10</v>
      </c>
      <c r="S13" s="2644">
        <f t="shared" ref="S13:AR13" si="21">S15+S16</f>
        <v>2</v>
      </c>
      <c r="T13" s="2644">
        <f t="shared" si="21"/>
        <v>11</v>
      </c>
      <c r="U13" s="2644">
        <f t="shared" si="21"/>
        <v>33</v>
      </c>
      <c r="V13" s="2644">
        <f t="shared" si="21"/>
        <v>50</v>
      </c>
      <c r="W13" s="2644">
        <f t="shared" si="21"/>
        <v>28</v>
      </c>
      <c r="X13" s="2644">
        <f t="shared" si="21"/>
        <v>23</v>
      </c>
      <c r="Y13" s="2644">
        <f t="shared" si="21"/>
        <v>16</v>
      </c>
      <c r="Z13" s="2644">
        <f t="shared" si="21"/>
        <v>6</v>
      </c>
      <c r="AA13" s="2644">
        <f t="shared" si="21"/>
        <v>17</v>
      </c>
      <c r="AB13" s="2644">
        <f t="shared" si="21"/>
        <v>26</v>
      </c>
      <c r="AC13" s="2644">
        <f t="shared" si="21"/>
        <v>52</v>
      </c>
      <c r="AD13" s="2644">
        <f t="shared" si="21"/>
        <v>274</v>
      </c>
      <c r="AE13" s="3304">
        <f t="shared" si="21"/>
        <v>22.833333333333336</v>
      </c>
      <c r="AF13" s="4529">
        <f t="shared" si="21"/>
        <v>38</v>
      </c>
      <c r="AG13" s="2644">
        <f t="shared" si="21"/>
        <v>34</v>
      </c>
      <c r="AH13" s="4740">
        <f t="shared" si="21"/>
        <v>124</v>
      </c>
      <c r="AI13" s="2644">
        <f t="shared" si="21"/>
        <v>186</v>
      </c>
      <c r="AJ13" s="2644">
        <f t="shared" si="21"/>
        <v>524</v>
      </c>
      <c r="AK13" s="2644">
        <f t="shared" si="21"/>
        <v>316</v>
      </c>
      <c r="AL13" s="2644">
        <f t="shared" si="21"/>
        <v>516</v>
      </c>
      <c r="AM13" s="2644">
        <f t="shared" si="21"/>
        <v>200</v>
      </c>
      <c r="AN13" s="2644">
        <f t="shared" si="21"/>
        <v>277</v>
      </c>
      <c r="AO13" s="2644">
        <f t="shared" si="21"/>
        <v>190</v>
      </c>
      <c r="AP13" s="2644">
        <f t="shared" si="21"/>
        <v>270</v>
      </c>
      <c r="AQ13" s="2644">
        <f t="shared" si="21"/>
        <v>242</v>
      </c>
      <c r="AR13" s="2796">
        <f t="shared" si="21"/>
        <v>2917</v>
      </c>
      <c r="AS13" s="2797">
        <f>AW15+AW16</f>
        <v>0</v>
      </c>
      <c r="AT13" s="2644">
        <v>220</v>
      </c>
      <c r="AU13" s="2644">
        <v>267</v>
      </c>
      <c r="AV13" s="4740"/>
      <c r="AW13" s="2644"/>
      <c r="AX13" s="2644"/>
      <c r="AY13" s="2644"/>
      <c r="AZ13" s="2644"/>
      <c r="BA13" s="2644"/>
      <c r="BB13" s="2644"/>
      <c r="BC13" s="2644"/>
      <c r="BD13" s="2644"/>
      <c r="BE13" s="2644"/>
      <c r="BF13" s="2796">
        <f t="shared" ref="BF13:BF18" si="22">SUM(AT13:BE13)</f>
        <v>487</v>
      </c>
      <c r="BG13" s="2796">
        <f t="shared" ref="BG13:BG18" si="23">AVERAGE(AT13:BE13)</f>
        <v>243.5</v>
      </c>
      <c r="BH13" s="2796">
        <f t="shared" si="4"/>
        <v>-733</v>
      </c>
      <c r="BI13" s="6185">
        <f t="shared" si="0"/>
        <v>0.26700000000000002</v>
      </c>
      <c r="BJ13" s="2796">
        <f t="shared" si="1"/>
        <v>47</v>
      </c>
      <c r="BK13" s="2796">
        <f t="shared" si="2"/>
        <v>233</v>
      </c>
      <c r="BL13" s="2796">
        <f t="shared" ref="BL13:BL18" si="24">BF13</f>
        <v>487</v>
      </c>
      <c r="BM13" s="2796"/>
      <c r="BN13" s="2798"/>
      <c r="BO13" s="2796">
        <f>IFERROR(
  SUM(
    _xlfn.XLOOKUP(DATE(YEAR($A$1),1,1),$2:$2,13:13):
    _xlfn.XLOOKUP($A$1,$2:$2,13:13)
  )
 -SUM(
    _xlfn.XLOOKUP(DATE(YEAR($A$1)-1,1,1),$2:$2,13:13):
    _xlfn.XLOOKUP(EDATE($A$1,-12),$2:$2,13:13)
  ),"")</f>
        <v>415</v>
      </c>
      <c r="BP13" s="2796">
        <f t="shared" ref="BP13:BP18" si="25">BG13</f>
        <v>243.5</v>
      </c>
      <c r="BQ13" s="4436">
        <f t="shared" ref="BQ13:BQ18" si="26">BP13-AS13</f>
        <v>243.5</v>
      </c>
      <c r="BT13" s="5967"/>
      <c r="BU13" s="5943" t="s">
        <v>297</v>
      </c>
      <c r="BV13" s="5952">
        <f>BV12</f>
        <v>1000</v>
      </c>
      <c r="BW13" s="3304">
        <v>1000</v>
      </c>
      <c r="BX13" s="3304"/>
      <c r="BY13" s="3304"/>
      <c r="BZ13" s="3304"/>
      <c r="CA13" s="3304"/>
      <c r="CB13" s="3304"/>
      <c r="CC13" s="3304"/>
      <c r="CD13" s="3304"/>
      <c r="CE13" s="3304"/>
      <c r="CF13" s="3304"/>
      <c r="CG13" s="3304"/>
      <c r="CH13" s="3304"/>
      <c r="CI13" s="5953"/>
    </row>
    <row r="14" spans="1:87" ht="21.55" customHeight="1" x14ac:dyDescent="0.55000000000000004">
      <c r="A14" s="4420"/>
      <c r="B14" s="7262"/>
      <c r="C14" s="4741" t="s">
        <v>336</v>
      </c>
      <c r="D14" s="4742"/>
      <c r="E14" s="4742"/>
      <c r="F14" s="4742"/>
      <c r="G14" s="4742"/>
      <c r="H14" s="4742"/>
      <c r="I14" s="4742"/>
      <c r="J14" s="4742"/>
      <c r="K14" s="4742"/>
      <c r="L14" s="4742"/>
      <c r="M14" s="4742"/>
      <c r="N14" s="4742"/>
      <c r="O14" s="4742"/>
      <c r="P14" s="4742"/>
      <c r="Q14" s="4743"/>
      <c r="R14" s="4744"/>
      <c r="S14" s="4744"/>
      <c r="T14" s="4744"/>
      <c r="U14" s="4744"/>
      <c r="V14" s="4744"/>
      <c r="W14" s="4744"/>
      <c r="X14" s="4744"/>
      <c r="Y14" s="4744"/>
      <c r="Z14" s="4744"/>
      <c r="AA14" s="4744"/>
      <c r="AB14" s="4744"/>
      <c r="AC14" s="4744"/>
      <c r="AD14" s="4744"/>
      <c r="AE14" s="4745"/>
      <c r="AF14" s="4746"/>
      <c r="AG14" s="4744"/>
      <c r="AH14" s="4747"/>
      <c r="AI14" s="4744"/>
      <c r="AJ14" s="4744"/>
      <c r="AK14" s="4744"/>
      <c r="AL14" s="4744"/>
      <c r="AM14" s="4744"/>
      <c r="AN14" s="4744"/>
      <c r="AO14" s="4744"/>
      <c r="AP14" s="4744"/>
      <c r="AQ14" s="4744"/>
      <c r="AR14" s="4748"/>
      <c r="AS14" s="4749"/>
      <c r="AT14" s="4744">
        <v>0</v>
      </c>
      <c r="AU14" s="4744">
        <v>0</v>
      </c>
      <c r="AV14" s="4747"/>
      <c r="AW14" s="4744"/>
      <c r="AX14" s="4744"/>
      <c r="AY14" s="4744"/>
      <c r="AZ14" s="4744"/>
      <c r="BA14" s="4744"/>
      <c r="BB14" s="4744"/>
      <c r="BC14" s="4744"/>
      <c r="BD14" s="4744"/>
      <c r="BE14" s="4744"/>
      <c r="BF14" s="4748">
        <f t="shared" si="22"/>
        <v>0</v>
      </c>
      <c r="BG14" s="4748">
        <f t="shared" si="23"/>
        <v>0</v>
      </c>
      <c r="BH14" s="4748">
        <f t="shared" si="4"/>
        <v>0</v>
      </c>
      <c r="BI14" s="6186" t="str">
        <f t="shared" si="0"/>
        <v/>
      </c>
      <c r="BJ14" s="4748">
        <f t="shared" si="1"/>
        <v>0</v>
      </c>
      <c r="BK14" s="4748">
        <f t="shared" si="2"/>
        <v>0</v>
      </c>
      <c r="BL14" s="4748">
        <f t="shared" si="24"/>
        <v>0</v>
      </c>
      <c r="BM14" s="4750"/>
      <c r="BN14" s="4751"/>
      <c r="BO14" s="4748">
        <f>IFERROR(
  SUM(
    _xlfn.XLOOKUP(DATE(YEAR($A$1),1,1),$2:$2,14:14):
    _xlfn.XLOOKUP($A$1,$2:$2,14:14)
  )
 -SUM(
    _xlfn.XLOOKUP(DATE(YEAR($A$1)-1,1,1),$2:$2,14:14):
    _xlfn.XLOOKUP(EDATE($A$1,-12),$2:$2,14:14)
  ),"")</f>
        <v>0</v>
      </c>
      <c r="BP14" s="4752">
        <f>BG14</f>
        <v>0</v>
      </c>
      <c r="BQ14" s="4753">
        <f t="shared" si="26"/>
        <v>0</v>
      </c>
      <c r="BT14" s="5967"/>
      <c r="BU14" s="5944" t="s">
        <v>336</v>
      </c>
      <c r="BV14" s="5952"/>
      <c r="BW14" s="3304"/>
      <c r="BX14" s="3304"/>
      <c r="BY14" s="3304"/>
      <c r="BZ14" s="3304"/>
      <c r="CA14" s="3304"/>
      <c r="CB14" s="3304"/>
      <c r="CC14" s="3304"/>
      <c r="CD14" s="3304"/>
      <c r="CE14" s="3304"/>
      <c r="CF14" s="3304"/>
      <c r="CG14" s="3304"/>
      <c r="CH14" s="3304"/>
      <c r="CI14" s="5953"/>
    </row>
    <row r="15" spans="1:87" ht="21.55" customHeight="1" x14ac:dyDescent="0.55000000000000004">
      <c r="A15" s="4420"/>
      <c r="B15" s="7260" t="s">
        <v>1163</v>
      </c>
      <c r="C15" s="2821" t="s">
        <v>86</v>
      </c>
      <c r="D15" s="3553"/>
      <c r="E15" s="4434"/>
      <c r="F15" s="4434"/>
      <c r="G15" s="4434"/>
      <c r="H15" s="4434"/>
      <c r="I15" s="4434"/>
      <c r="J15" s="4434"/>
      <c r="K15" s="4434"/>
      <c r="L15" s="4434"/>
      <c r="M15" s="4434"/>
      <c r="N15" s="4434"/>
      <c r="O15" s="4434"/>
      <c r="P15" s="4434"/>
      <c r="Q15" s="4732"/>
      <c r="R15" s="2644">
        <v>5</v>
      </c>
      <c r="S15" s="2644">
        <v>1</v>
      </c>
      <c r="T15" s="2644">
        <v>6</v>
      </c>
      <c r="U15" s="2644">
        <v>20</v>
      </c>
      <c r="V15" s="2644">
        <v>26</v>
      </c>
      <c r="W15" s="2644">
        <v>14</v>
      </c>
      <c r="X15" s="2644">
        <v>12</v>
      </c>
      <c r="Y15" s="2644">
        <v>9</v>
      </c>
      <c r="Z15" s="2644">
        <v>3</v>
      </c>
      <c r="AA15" s="2644">
        <v>8</v>
      </c>
      <c r="AB15" s="2644">
        <v>14</v>
      </c>
      <c r="AC15" s="2644">
        <v>29.999999999999996</v>
      </c>
      <c r="AD15" s="2644">
        <v>148</v>
      </c>
      <c r="AE15" s="3304">
        <v>12.333333333333334</v>
      </c>
      <c r="AF15" s="4529">
        <v>22</v>
      </c>
      <c r="AG15" s="2644">
        <v>19</v>
      </c>
      <c r="AH15" s="4435">
        <v>81</v>
      </c>
      <c r="AI15" s="2644">
        <v>124</v>
      </c>
      <c r="AJ15" s="2644">
        <v>311</v>
      </c>
      <c r="AK15" s="2644">
        <v>197</v>
      </c>
      <c r="AL15" s="2644">
        <v>293</v>
      </c>
      <c r="AM15" s="2644">
        <v>112</v>
      </c>
      <c r="AN15" s="2644">
        <v>151</v>
      </c>
      <c r="AO15" s="2644">
        <v>112</v>
      </c>
      <c r="AP15" s="2644">
        <v>145</v>
      </c>
      <c r="AQ15" s="2644">
        <v>130</v>
      </c>
      <c r="AR15" s="2796">
        <v>1697</v>
      </c>
      <c r="AS15" s="2797">
        <v>141.41666666666666</v>
      </c>
      <c r="AT15" s="2644">
        <v>129</v>
      </c>
      <c r="AU15" s="2644">
        <v>157</v>
      </c>
      <c r="AV15" s="4435"/>
      <c r="AW15" s="2644"/>
      <c r="AX15" s="2644"/>
      <c r="AY15" s="2644"/>
      <c r="AZ15" s="2644"/>
      <c r="BA15" s="2644"/>
      <c r="BB15" s="2644"/>
      <c r="BC15" s="2644"/>
      <c r="BD15" s="2644"/>
      <c r="BE15" s="2644"/>
      <c r="BF15" s="2796">
        <f t="shared" si="22"/>
        <v>286</v>
      </c>
      <c r="BG15" s="2796">
        <f t="shared" si="23"/>
        <v>143</v>
      </c>
      <c r="BH15" s="2796">
        <f t="shared" si="4"/>
        <v>-343</v>
      </c>
      <c r="BI15" s="6185">
        <f t="shared" si="0"/>
        <v>0.314</v>
      </c>
      <c r="BJ15" s="2796">
        <f t="shared" si="1"/>
        <v>28</v>
      </c>
      <c r="BK15" s="2796">
        <f t="shared" si="2"/>
        <v>138</v>
      </c>
      <c r="BL15" s="2796">
        <f t="shared" si="24"/>
        <v>286</v>
      </c>
      <c r="BM15" s="4424"/>
      <c r="BN15" s="4425"/>
      <c r="BO15" s="2796">
        <f>IFERROR(
  SUM(
    _xlfn.XLOOKUP(DATE(YEAR($A$1),1,1),$2:$2,15:15):
    _xlfn.XLOOKUP($A$1,$2:$2,15:15)
  )
 -SUM(
    _xlfn.XLOOKUP(DATE(YEAR($A$1)-1,1,1),$2:$2,15:15):
    _xlfn.XLOOKUP(EDATE($A$1,-12),$2:$2,15:15)
  ),"")</f>
        <v>245</v>
      </c>
      <c r="BP15" s="2807">
        <f t="shared" si="25"/>
        <v>143</v>
      </c>
      <c r="BQ15" s="4436">
        <f t="shared" si="26"/>
        <v>1.5833333333333428</v>
      </c>
      <c r="BT15" s="5967"/>
      <c r="BU15" s="2821" t="s">
        <v>86</v>
      </c>
      <c r="BV15" s="5952">
        <v>500</v>
      </c>
      <c r="BW15" s="3304">
        <v>500</v>
      </c>
      <c r="BX15" s="3304"/>
      <c r="BY15" s="3304"/>
      <c r="BZ15" s="3304"/>
      <c r="CA15" s="3304"/>
      <c r="CB15" s="3304"/>
      <c r="CC15" s="3304"/>
      <c r="CD15" s="3304"/>
      <c r="CE15" s="3304"/>
      <c r="CF15" s="3304"/>
      <c r="CG15" s="3304"/>
      <c r="CH15" s="3304">
        <f t="shared" si="19"/>
        <v>1000</v>
      </c>
      <c r="CI15" s="5953">
        <f t="shared" si="20"/>
        <v>83.333333333333329</v>
      </c>
    </row>
    <row r="16" spans="1:87" ht="21.55" customHeight="1" x14ac:dyDescent="0.55000000000000004">
      <c r="A16" s="4420"/>
      <c r="B16" s="7260"/>
      <c r="C16" s="898" t="s">
        <v>87</v>
      </c>
      <c r="D16" s="3553"/>
      <c r="E16" s="4434"/>
      <c r="F16" s="4434"/>
      <c r="G16" s="4434"/>
      <c r="H16" s="4434"/>
      <c r="I16" s="4434"/>
      <c r="J16" s="4434"/>
      <c r="K16" s="4434"/>
      <c r="L16" s="4434"/>
      <c r="M16" s="4434"/>
      <c r="N16" s="4434"/>
      <c r="O16" s="4434"/>
      <c r="P16" s="4434"/>
      <c r="Q16" s="4732"/>
      <c r="R16" s="2644">
        <v>5</v>
      </c>
      <c r="S16" s="2644">
        <v>1</v>
      </c>
      <c r="T16" s="2644">
        <v>5</v>
      </c>
      <c r="U16" s="2644">
        <v>13</v>
      </c>
      <c r="V16" s="2644">
        <v>24</v>
      </c>
      <c r="W16" s="2644">
        <v>14</v>
      </c>
      <c r="X16" s="2644">
        <v>11</v>
      </c>
      <c r="Y16" s="2644">
        <v>7</v>
      </c>
      <c r="Z16" s="2644">
        <v>3</v>
      </c>
      <c r="AA16" s="2644">
        <v>9</v>
      </c>
      <c r="AB16" s="2644">
        <v>12</v>
      </c>
      <c r="AC16" s="2644">
        <v>22</v>
      </c>
      <c r="AD16" s="2644">
        <v>126</v>
      </c>
      <c r="AE16" s="3304">
        <v>10.5</v>
      </c>
      <c r="AF16" s="4529">
        <v>16</v>
      </c>
      <c r="AG16" s="2644">
        <v>15</v>
      </c>
      <c r="AH16" s="4435">
        <v>43</v>
      </c>
      <c r="AI16" s="2644">
        <v>62</v>
      </c>
      <c r="AJ16" s="2644">
        <v>213</v>
      </c>
      <c r="AK16" s="2644">
        <v>119</v>
      </c>
      <c r="AL16" s="2644">
        <v>223</v>
      </c>
      <c r="AM16" s="2644">
        <v>88</v>
      </c>
      <c r="AN16" s="2644">
        <v>126</v>
      </c>
      <c r="AO16" s="2644">
        <v>78</v>
      </c>
      <c r="AP16" s="2644">
        <v>125</v>
      </c>
      <c r="AQ16" s="2644">
        <v>112</v>
      </c>
      <c r="AR16" s="2796">
        <v>1220</v>
      </c>
      <c r="AS16" s="2797">
        <v>101.66666666666667</v>
      </c>
      <c r="AT16" s="2644">
        <v>91</v>
      </c>
      <c r="AU16" s="2644">
        <v>110</v>
      </c>
      <c r="AV16" s="4435"/>
      <c r="AW16" s="2644"/>
      <c r="AX16" s="2644"/>
      <c r="AY16" s="2644"/>
      <c r="AZ16" s="2644"/>
      <c r="BA16" s="2644"/>
      <c r="BB16" s="2644"/>
      <c r="BC16" s="2644"/>
      <c r="BD16" s="2644"/>
      <c r="BE16" s="2644"/>
      <c r="BF16" s="2796">
        <f t="shared" si="22"/>
        <v>201</v>
      </c>
      <c r="BG16" s="2796">
        <f t="shared" si="23"/>
        <v>100.5</v>
      </c>
      <c r="BH16" s="2796">
        <f t="shared" si="4"/>
        <v>-390</v>
      </c>
      <c r="BI16" s="6185">
        <f t="shared" si="0"/>
        <v>0.22</v>
      </c>
      <c r="BJ16" s="2796">
        <f t="shared" si="1"/>
        <v>19</v>
      </c>
      <c r="BK16" s="2796">
        <f t="shared" si="2"/>
        <v>95</v>
      </c>
      <c r="BL16" s="2796">
        <f t="shared" si="24"/>
        <v>201</v>
      </c>
      <c r="BM16" s="4424"/>
      <c r="BN16" s="4425"/>
      <c r="BO16" s="2796">
        <f>IFERROR(
  SUM(
    _xlfn.XLOOKUP(DATE(YEAR($A$1),1,1),$2:$2,16:16):
    _xlfn.XLOOKUP($A$1,$2:$2,16:16)
  )
 -SUM(
    _xlfn.XLOOKUP(DATE(YEAR($A$1)-1,1,1),$2:$2,16:16):
    _xlfn.XLOOKUP(EDATE($A$1,-12),$2:$2,16:16)
  ),"")</f>
        <v>170</v>
      </c>
      <c r="BP16" s="2807">
        <f t="shared" si="25"/>
        <v>100.5</v>
      </c>
      <c r="BQ16" s="4436">
        <f t="shared" si="26"/>
        <v>-1.1666666666666714</v>
      </c>
      <c r="BT16" s="5967"/>
      <c r="BU16" s="898" t="s">
        <v>87</v>
      </c>
      <c r="BV16" s="5952">
        <v>500</v>
      </c>
      <c r="BW16" s="3304">
        <v>500</v>
      </c>
      <c r="BX16" s="3304"/>
      <c r="BY16" s="3304"/>
      <c r="BZ16" s="3304"/>
      <c r="CA16" s="3304"/>
      <c r="CB16" s="3304"/>
      <c r="CC16" s="3304"/>
      <c r="CD16" s="3304"/>
      <c r="CE16" s="3304"/>
      <c r="CF16" s="3304"/>
      <c r="CG16" s="3304"/>
      <c r="CH16" s="3304">
        <f t="shared" si="19"/>
        <v>1000</v>
      </c>
      <c r="CI16" s="5953">
        <f t="shared" si="20"/>
        <v>83.333333333333329</v>
      </c>
    </row>
    <row r="17" spans="1:87" ht="21.55" customHeight="1" x14ac:dyDescent="0.55000000000000004">
      <c r="A17" s="4420"/>
      <c r="B17" s="4428" t="s">
        <v>1161</v>
      </c>
      <c r="C17" s="4429"/>
      <c r="D17" s="2895"/>
      <c r="E17" s="2895"/>
      <c r="F17" s="2895"/>
      <c r="G17" s="2895"/>
      <c r="H17" s="2895"/>
      <c r="I17" s="2895"/>
      <c r="J17" s="2895"/>
      <c r="K17" s="2895"/>
      <c r="L17" s="2895"/>
      <c r="M17" s="2895"/>
      <c r="N17" s="2895"/>
      <c r="O17" s="2895"/>
      <c r="P17" s="2895"/>
      <c r="Q17" s="4500"/>
      <c r="R17" s="2636"/>
      <c r="S17" s="2636"/>
      <c r="T17" s="2636"/>
      <c r="U17" s="2636"/>
      <c r="V17" s="2636"/>
      <c r="W17" s="2636"/>
      <c r="X17" s="2636"/>
      <c r="Y17" s="2636"/>
      <c r="Z17" s="2636"/>
      <c r="AA17" s="2636"/>
      <c r="AB17" s="2636"/>
      <c r="AC17" s="2636"/>
      <c r="AD17" s="2636"/>
      <c r="AE17" s="2895"/>
      <c r="AF17" s="4528"/>
      <c r="AG17" s="2636"/>
      <c r="AH17" s="4754"/>
      <c r="AI17" s="2636"/>
      <c r="AJ17" s="2636"/>
      <c r="AK17" s="2636"/>
      <c r="AL17" s="2636"/>
      <c r="AM17" s="2636"/>
      <c r="AN17" s="2636"/>
      <c r="AO17" s="2636"/>
      <c r="AP17" s="2636"/>
      <c r="AQ17" s="2636"/>
      <c r="AR17" s="2790"/>
      <c r="AS17" s="2802"/>
      <c r="AT17" s="2636">
        <v>25</v>
      </c>
      <c r="AU17" s="2636">
        <v>28</v>
      </c>
      <c r="AV17" s="4754"/>
      <c r="AW17" s="2636"/>
      <c r="AX17" s="2636"/>
      <c r="AY17" s="2636"/>
      <c r="AZ17" s="2636"/>
      <c r="BA17" s="2636"/>
      <c r="BB17" s="2636"/>
      <c r="BC17" s="2636"/>
      <c r="BD17" s="2636"/>
      <c r="BE17" s="2636"/>
      <c r="BF17" s="2790">
        <f t="shared" si="22"/>
        <v>53</v>
      </c>
      <c r="BG17" s="2790">
        <f t="shared" si="23"/>
        <v>26.5</v>
      </c>
      <c r="BH17" s="6178"/>
      <c r="BI17" s="6187"/>
      <c r="BJ17" s="2790">
        <f t="shared" si="1"/>
        <v>3</v>
      </c>
      <c r="BK17" s="2790">
        <f t="shared" si="2"/>
        <v>28</v>
      </c>
      <c r="BL17" s="2790">
        <f t="shared" si="24"/>
        <v>53</v>
      </c>
      <c r="BM17" s="2790"/>
      <c r="BN17" s="2803"/>
      <c r="BO17" s="2790">
        <f>IFERROR(
  SUM(
    _xlfn.XLOOKUP(DATE(YEAR($A$1),1,1),$2:$2,17:17):
    _xlfn.XLOOKUP($A$1,$2:$2,17:17)
  )
 -SUM(
    _xlfn.XLOOKUP(DATE(YEAR($A$1)-1,1,1),$2:$2,17:17):
    _xlfn.XLOOKUP(EDATE($A$1,-12),$2:$2,17:17)
  ),"")</f>
        <v>53</v>
      </c>
      <c r="BP17" s="2790">
        <f t="shared" si="25"/>
        <v>26.5</v>
      </c>
      <c r="BQ17" s="4432">
        <f t="shared" si="26"/>
        <v>26.5</v>
      </c>
      <c r="BT17" s="5968" t="s">
        <v>1161</v>
      </c>
      <c r="BU17" s="4428"/>
      <c r="BV17" s="5947"/>
      <c r="BW17" s="2895"/>
      <c r="BX17" s="2895"/>
      <c r="BY17" s="2895"/>
      <c r="BZ17" s="2895"/>
      <c r="CA17" s="2895"/>
      <c r="CB17" s="2895"/>
      <c r="CC17" s="2895"/>
      <c r="CD17" s="2895"/>
      <c r="CE17" s="2895"/>
      <c r="CF17" s="2895"/>
      <c r="CG17" s="2895"/>
      <c r="CH17" s="2895"/>
      <c r="CI17" s="5948"/>
    </row>
    <row r="18" spans="1:87" ht="21.55" customHeight="1" thickBot="1" x14ac:dyDescent="0.6">
      <c r="A18" s="4420"/>
      <c r="B18" s="661"/>
      <c r="C18" s="898" t="s">
        <v>1162</v>
      </c>
      <c r="D18" s="2774"/>
      <c r="E18" s="2774"/>
      <c r="F18" s="2774"/>
      <c r="G18" s="2774"/>
      <c r="H18" s="2774"/>
      <c r="I18" s="2774"/>
      <c r="J18" s="2774"/>
      <c r="K18" s="2774"/>
      <c r="L18" s="2774"/>
      <c r="M18" s="2774"/>
      <c r="N18" s="2774"/>
      <c r="O18" s="2774"/>
      <c r="P18" s="3304"/>
      <c r="Q18" s="4733"/>
      <c r="R18" s="4422"/>
      <c r="S18" s="4422"/>
      <c r="T18" s="4422"/>
      <c r="U18" s="4422"/>
      <c r="V18" s="4422"/>
      <c r="W18" s="4422"/>
      <c r="X18" s="4422"/>
      <c r="Y18" s="4422"/>
      <c r="Z18" s="4422"/>
      <c r="AA18" s="4422"/>
      <c r="AB18" s="4422"/>
      <c r="AC18" s="4422"/>
      <c r="AD18" s="4422"/>
      <c r="AE18" s="2774"/>
      <c r="AF18" s="4527"/>
      <c r="AG18" s="4422"/>
      <c r="AH18" s="4423"/>
      <c r="AI18" s="4422"/>
      <c r="AJ18" s="4422"/>
      <c r="AK18" s="4422"/>
      <c r="AL18" s="4422"/>
      <c r="AM18" s="4422"/>
      <c r="AN18" s="4422"/>
      <c r="AO18" s="4422"/>
      <c r="AP18" s="4422"/>
      <c r="AQ18" s="4422"/>
      <c r="AR18" s="2807"/>
      <c r="AS18" s="2808"/>
      <c r="AT18" s="4422">
        <v>4</v>
      </c>
      <c r="AU18" s="4422">
        <v>5</v>
      </c>
      <c r="AV18" s="4423"/>
      <c r="AW18" s="4422"/>
      <c r="AX18" s="4422"/>
      <c r="AY18" s="4422"/>
      <c r="AZ18" s="4422"/>
      <c r="BA18" s="4422"/>
      <c r="BB18" s="4422"/>
      <c r="BC18" s="4422"/>
      <c r="BD18" s="4422"/>
      <c r="BE18" s="4422"/>
      <c r="BF18" s="2807">
        <f t="shared" si="22"/>
        <v>9</v>
      </c>
      <c r="BG18" s="2807">
        <f t="shared" si="23"/>
        <v>4.5</v>
      </c>
      <c r="BH18" s="6179"/>
      <c r="BI18" s="6188"/>
      <c r="BJ18" s="2807">
        <f t="shared" si="1"/>
        <v>1</v>
      </c>
      <c r="BK18" s="2807">
        <f t="shared" si="2"/>
        <v>5</v>
      </c>
      <c r="BL18" s="2807">
        <f t="shared" si="24"/>
        <v>9</v>
      </c>
      <c r="BM18" s="4424"/>
      <c r="BN18" s="4425"/>
      <c r="BO18" s="2807">
        <f>IFERROR(
  SUM(
    _xlfn.XLOOKUP(DATE(YEAR($A$1),1,1),$2:$2,18:18):
    _xlfn.XLOOKUP($A$1,$2:$2,18:18)
  )
 -SUM(
    _xlfn.XLOOKUP(DATE(YEAR($A$1)-1,1,1),$2:$2,18:18):
    _xlfn.XLOOKUP(EDATE($A$1,-12),$2:$2,18:18)
  ),"")</f>
        <v>9</v>
      </c>
      <c r="BP18" s="2807">
        <f t="shared" si="25"/>
        <v>4.5</v>
      </c>
      <c r="BQ18" s="4426">
        <f t="shared" si="26"/>
        <v>4.5</v>
      </c>
      <c r="BT18" s="5969"/>
      <c r="BU18" s="5970" t="s">
        <v>1162</v>
      </c>
      <c r="BV18" s="5954"/>
      <c r="BW18" s="5955"/>
      <c r="BX18" s="5955"/>
      <c r="BY18" s="5955"/>
      <c r="BZ18" s="5955"/>
      <c r="CA18" s="5955"/>
      <c r="CB18" s="5955"/>
      <c r="CC18" s="5955"/>
      <c r="CD18" s="5955"/>
      <c r="CE18" s="5955"/>
      <c r="CF18" s="5955"/>
      <c r="CG18" s="5955"/>
      <c r="CH18" s="5955"/>
      <c r="CI18" s="5956"/>
    </row>
    <row r="19" spans="1:87" ht="16.5" customHeight="1" x14ac:dyDescent="0.55000000000000004">
      <c r="A19" s="7243" t="s">
        <v>725</v>
      </c>
      <c r="B19" s="7246" t="s">
        <v>964</v>
      </c>
      <c r="C19" s="7246"/>
      <c r="D19" s="4437">
        <v>77</v>
      </c>
      <c r="E19" s="4437">
        <v>76</v>
      </c>
      <c r="F19" s="4437">
        <v>75</v>
      </c>
      <c r="G19" s="4437">
        <v>75</v>
      </c>
      <c r="H19" s="4437">
        <v>75</v>
      </c>
      <c r="I19" s="4437">
        <v>75</v>
      </c>
      <c r="J19" s="4437">
        <v>72</v>
      </c>
      <c r="K19" s="4437">
        <v>69</v>
      </c>
      <c r="L19" s="4437">
        <v>72</v>
      </c>
      <c r="M19" s="4437">
        <v>71</v>
      </c>
      <c r="N19" s="4437">
        <v>72</v>
      </c>
      <c r="O19" s="4437">
        <v>75</v>
      </c>
      <c r="P19" s="4437">
        <v>884</v>
      </c>
      <c r="Q19" s="4734">
        <v>73.666666666666671</v>
      </c>
      <c r="R19" s="4438">
        <v>81</v>
      </c>
      <c r="S19" s="4439">
        <v>79</v>
      </c>
      <c r="T19" s="4439">
        <v>77</v>
      </c>
      <c r="U19" s="4439">
        <v>75</v>
      </c>
      <c r="V19" s="4439">
        <v>76</v>
      </c>
      <c r="W19" s="4439">
        <v>76</v>
      </c>
      <c r="X19" s="4439">
        <v>91</v>
      </c>
      <c r="Y19" s="4439">
        <v>103</v>
      </c>
      <c r="Z19" s="4439">
        <v>107</v>
      </c>
      <c r="AA19" s="4439">
        <v>99</v>
      </c>
      <c r="AB19" s="4439">
        <v>112</v>
      </c>
      <c r="AC19" s="4438">
        <f>SUM(AC21:AC28)</f>
        <v>57</v>
      </c>
      <c r="AD19" s="4438">
        <f t="shared" ref="AD19:AD28" si="27">SUM(R19:AC19)</f>
        <v>1033</v>
      </c>
      <c r="AE19" s="4438">
        <f>AVERAGE(R19:AC19)</f>
        <v>86.083333333333329</v>
      </c>
      <c r="AF19" s="4440">
        <f>SUM(AF20:AF29)</f>
        <v>117</v>
      </c>
      <c r="AG19" s="4687">
        <f>SUM(AG20:AG29)</f>
        <v>121</v>
      </c>
      <c r="AH19" s="4687">
        <v>136</v>
      </c>
      <c r="AI19" s="4687">
        <v>137</v>
      </c>
      <c r="AJ19" s="4687">
        <v>139</v>
      </c>
      <c r="AK19" s="4687">
        <f>SUM(AK20:AK31)</f>
        <v>150</v>
      </c>
      <c r="AL19" s="4687">
        <v>137</v>
      </c>
      <c r="AM19" s="4687">
        <v>142</v>
      </c>
      <c r="AN19" s="4687">
        <v>139</v>
      </c>
      <c r="AO19" s="4687">
        <v>138</v>
      </c>
      <c r="AP19" s="4687">
        <v>135</v>
      </c>
      <c r="AQ19" s="4438">
        <v>136</v>
      </c>
      <c r="AR19" s="4438">
        <f>AQ19</f>
        <v>136</v>
      </c>
      <c r="AS19" s="4722">
        <f>AVERAGE(AF19:AQ19)</f>
        <v>135.58333333333334</v>
      </c>
      <c r="AT19" s="4438">
        <v>148</v>
      </c>
      <c r="AU19" s="6241">
        <v>143</v>
      </c>
      <c r="AV19" s="4439"/>
      <c r="AW19" s="4439"/>
      <c r="AX19" s="4439"/>
      <c r="AY19" s="4439"/>
      <c r="AZ19" s="4439"/>
      <c r="BA19" s="4439"/>
      <c r="BB19" s="4439"/>
      <c r="BC19" s="4439"/>
      <c r="BD19" s="4439"/>
      <c r="BE19" s="4438"/>
      <c r="BF19" s="4438">
        <f>SUM(AT19:BE19)</f>
        <v>291</v>
      </c>
      <c r="BG19" s="4438">
        <f>SUM(AT19:BE19)</f>
        <v>291</v>
      </c>
      <c r="BH19" s="4442"/>
      <c r="BI19" s="4442"/>
      <c r="BJ19" s="4441"/>
      <c r="BK19" s="4441"/>
      <c r="BL19" s="4438">
        <f t="shared" si="5"/>
        <v>291</v>
      </c>
      <c r="BM19" s="4442"/>
      <c r="BN19" s="4442"/>
      <c r="BO19" s="4438">
        <f>IFERROR(
  SUM(
    _xlfn.XLOOKUP(DATE(YEAR($A$1),1,1),$2:$2,19:19):
    _xlfn.XLOOKUP($A$1,$2:$2,19:19)
  )
 -SUM(
    _xlfn.XLOOKUP(DATE(YEAR($A$1)-1,1,1),$2:$2,19:19):
    _xlfn.XLOOKUP(EDATE($A$1,-12),$2:$2,19:19)
  ),"")</f>
        <v>53</v>
      </c>
      <c r="BP19" s="4438">
        <f>BG19</f>
        <v>291</v>
      </c>
      <c r="BQ19" s="4443">
        <f t="shared" si="7"/>
        <v>155.41666666666666</v>
      </c>
      <c r="BR19" s="556"/>
      <c r="BS19" s="556"/>
      <c r="BT19" s="556"/>
      <c r="BU19" s="556"/>
      <c r="BX19" s="556"/>
    </row>
    <row r="20" spans="1:87" ht="16.5" customHeight="1" x14ac:dyDescent="0.55000000000000004">
      <c r="A20" s="7244"/>
      <c r="B20" s="661"/>
      <c r="C20" s="2821" t="s">
        <v>965</v>
      </c>
      <c r="D20" s="4444"/>
      <c r="E20" s="4444"/>
      <c r="F20" s="4444"/>
      <c r="G20" s="4444"/>
      <c r="H20" s="4444"/>
      <c r="I20" s="4444"/>
      <c r="J20" s="4444"/>
      <c r="K20" s="4444"/>
      <c r="L20" s="4444"/>
      <c r="M20" s="4444"/>
      <c r="N20" s="4444"/>
      <c r="O20" s="4444"/>
      <c r="P20" s="4444"/>
      <c r="Q20" s="4735"/>
      <c r="R20" s="4445"/>
      <c r="S20" s="661"/>
      <c r="T20" s="661"/>
      <c r="U20" s="661"/>
      <c r="V20" s="661"/>
      <c r="W20" s="661"/>
      <c r="X20" s="661"/>
      <c r="Y20" s="661"/>
      <c r="Z20" s="661"/>
      <c r="AA20" s="661"/>
      <c r="AB20" s="661"/>
      <c r="AC20" s="4445"/>
      <c r="AD20" s="4445"/>
      <c r="AE20" s="4445"/>
      <c r="AF20" s="2645">
        <v>1</v>
      </c>
      <c r="AG20" s="2821">
        <v>1</v>
      </c>
      <c r="AH20" s="661">
        <v>1</v>
      </c>
      <c r="AI20" s="661">
        <v>1</v>
      </c>
      <c r="AJ20" s="661">
        <v>1</v>
      </c>
      <c r="AK20" s="661">
        <v>1</v>
      </c>
      <c r="AL20" s="661">
        <v>1</v>
      </c>
      <c r="AM20" s="661">
        <v>1</v>
      </c>
      <c r="AN20" s="661">
        <v>1</v>
      </c>
      <c r="AO20" s="661">
        <v>1</v>
      </c>
      <c r="AP20" s="661">
        <v>1</v>
      </c>
      <c r="AQ20" s="4445">
        <v>1</v>
      </c>
      <c r="AR20" s="4467">
        <f t="shared" ref="AR20:AR31" si="28">AQ20</f>
        <v>1</v>
      </c>
      <c r="AS20" s="4723">
        <f t="shared" ref="AS20:AS31" si="29">AVERAGE(AF20:AQ20)</f>
        <v>1</v>
      </c>
      <c r="AT20" s="2612">
        <v>1</v>
      </c>
      <c r="AU20" s="6239">
        <v>1</v>
      </c>
      <c r="AV20" s="661"/>
      <c r="AW20" s="661"/>
      <c r="AX20" s="661"/>
      <c r="AY20" s="661"/>
      <c r="AZ20" s="661"/>
      <c r="BA20" s="661"/>
      <c r="BB20" s="661"/>
      <c r="BC20" s="661"/>
      <c r="BD20" s="661"/>
      <c r="BE20" s="4445"/>
      <c r="BF20" s="4467">
        <f t="shared" ref="BF20:BF31" si="30">SUM(AT20:BE20)</f>
        <v>2</v>
      </c>
      <c r="BG20" s="4467">
        <f t="shared" ref="BG20:BG31" si="31">SUM(AT20:BE20)</f>
        <v>2</v>
      </c>
      <c r="BH20" s="2811"/>
      <c r="BI20" s="2811"/>
      <c r="BJ20" s="2825"/>
      <c r="BK20" s="2825"/>
      <c r="BL20" s="4445">
        <f t="shared" si="5"/>
        <v>2</v>
      </c>
      <c r="BM20" s="2811"/>
      <c r="BN20" s="2811"/>
      <c r="BO20" s="4446">
        <f>IFERROR(
  SUM(
    _xlfn.XLOOKUP(DATE(YEAR($A$1),1,1),$2:$2,20:20):
    _xlfn.XLOOKUP($A$1,$2:$2,20:20)
  )
 -SUM(
    _xlfn.XLOOKUP(DATE(YEAR($A$1)-1,1,1),$2:$2,20:20):
    _xlfn.XLOOKUP(EDATE($A$1,-12),$2:$2,20:20)
  ),"")</f>
        <v>0</v>
      </c>
      <c r="BP20" s="4445">
        <f t="shared" ref="BP20:BP31" si="32">BG20</f>
        <v>2</v>
      </c>
      <c r="BQ20" s="4447">
        <f t="shared" si="7"/>
        <v>1</v>
      </c>
      <c r="BR20" s="556"/>
      <c r="BS20" s="556"/>
      <c r="BT20" s="556"/>
      <c r="BU20" s="556"/>
      <c r="BX20" s="556"/>
    </row>
    <row r="21" spans="1:87" ht="16.5" customHeight="1" x14ac:dyDescent="0.55000000000000004">
      <c r="A21" s="7244"/>
      <c r="B21" s="2506"/>
      <c r="C21" s="898" t="s">
        <v>967</v>
      </c>
      <c r="D21" s="4427"/>
      <c r="E21" s="4427"/>
      <c r="F21" s="4427"/>
      <c r="G21" s="4427"/>
      <c r="H21" s="4427"/>
      <c r="I21" s="4427"/>
      <c r="J21" s="4427"/>
      <c r="K21" s="4427"/>
      <c r="L21" s="4427"/>
      <c r="M21" s="4427"/>
      <c r="N21" s="4427"/>
      <c r="O21" s="4427"/>
      <c r="P21" s="4427"/>
      <c r="Q21" s="4736"/>
      <c r="R21" s="2813"/>
      <c r="S21" s="2813"/>
      <c r="T21" s="2813"/>
      <c r="U21" s="2813"/>
      <c r="V21" s="2813"/>
      <c r="W21" s="2813"/>
      <c r="X21" s="2813"/>
      <c r="Y21" s="2813"/>
      <c r="Z21" s="2813"/>
      <c r="AA21" s="2813"/>
      <c r="AB21" s="2813"/>
      <c r="AC21" s="2813"/>
      <c r="AD21" s="2813"/>
      <c r="AE21" s="2813"/>
      <c r="AF21" s="2822">
        <v>6</v>
      </c>
      <c r="AG21" s="2813">
        <v>6</v>
      </c>
      <c r="AH21" s="2813">
        <v>6</v>
      </c>
      <c r="AI21" s="2813">
        <v>6</v>
      </c>
      <c r="AJ21" s="2813">
        <v>7</v>
      </c>
      <c r="AK21" s="2813">
        <v>8</v>
      </c>
      <c r="AL21" s="2813">
        <v>5</v>
      </c>
      <c r="AM21" s="2813">
        <v>8</v>
      </c>
      <c r="AN21" s="2813">
        <v>6</v>
      </c>
      <c r="AO21" s="2813">
        <v>6</v>
      </c>
      <c r="AP21" s="2813">
        <v>6</v>
      </c>
      <c r="AQ21" s="2813">
        <v>6</v>
      </c>
      <c r="AR21" s="2813">
        <f t="shared" si="28"/>
        <v>6</v>
      </c>
      <c r="AS21" s="4724">
        <f t="shared" si="29"/>
        <v>6.333333333333333</v>
      </c>
      <c r="AT21" s="3952">
        <v>6</v>
      </c>
      <c r="AU21" s="3952">
        <v>5</v>
      </c>
      <c r="AV21" s="2813"/>
      <c r="AW21" s="2813"/>
      <c r="AX21" s="2813"/>
      <c r="AY21" s="2813"/>
      <c r="AZ21" s="2813"/>
      <c r="BA21" s="2813"/>
      <c r="BB21" s="2813"/>
      <c r="BC21" s="2813"/>
      <c r="BD21" s="2813"/>
      <c r="BE21" s="2813"/>
      <c r="BF21" s="2813">
        <f t="shared" si="30"/>
        <v>11</v>
      </c>
      <c r="BG21" s="2813">
        <f t="shared" si="31"/>
        <v>11</v>
      </c>
      <c r="BH21" s="2811"/>
      <c r="BI21" s="2811"/>
      <c r="BJ21" s="2825"/>
      <c r="BK21" s="2825"/>
      <c r="BL21" s="2813">
        <f t="shared" si="5"/>
        <v>11</v>
      </c>
      <c r="BM21" s="2825"/>
      <c r="BN21" s="2825"/>
      <c r="BO21" s="3952">
        <f>IFERROR(
  SUM(
    _xlfn.XLOOKUP(DATE(YEAR($A$1),1,1),$2:$2,21:21):
    _xlfn.XLOOKUP($A$1,$2:$2,21:21)
  )
 -SUM(
    _xlfn.XLOOKUP(DATE(YEAR($A$1)-1,1,1),$2:$2,21:21):
    _xlfn.XLOOKUP(EDATE($A$1,-12),$2:$2,21:21)
  ),"")</f>
        <v>-1</v>
      </c>
      <c r="BP21" s="2813">
        <f t="shared" si="32"/>
        <v>11</v>
      </c>
      <c r="BQ21" s="4448">
        <f t="shared" si="7"/>
        <v>4.666666666666667</v>
      </c>
      <c r="BR21" s="556"/>
      <c r="BS21" s="556"/>
      <c r="BT21" s="556"/>
      <c r="BU21" s="556"/>
      <c r="BX21" s="556"/>
    </row>
    <row r="22" spans="1:87" ht="16.5" customHeight="1" x14ac:dyDescent="0.55000000000000004">
      <c r="A22" s="7244"/>
      <c r="B22" s="2506"/>
      <c r="C22" s="898" t="s">
        <v>728</v>
      </c>
      <c r="D22" s="4427">
        <v>8</v>
      </c>
      <c r="E22" s="4427">
        <v>8</v>
      </c>
      <c r="F22" s="4427">
        <v>7</v>
      </c>
      <c r="G22" s="4427">
        <v>7</v>
      </c>
      <c r="H22" s="4427">
        <v>7</v>
      </c>
      <c r="I22" s="4427">
        <v>7</v>
      </c>
      <c r="J22" s="4427">
        <v>7</v>
      </c>
      <c r="K22" s="4427">
        <v>7</v>
      </c>
      <c r="L22" s="4427">
        <v>7</v>
      </c>
      <c r="M22" s="4427">
        <v>7</v>
      </c>
      <c r="N22" s="4427">
        <v>7</v>
      </c>
      <c r="O22" s="4427">
        <v>7</v>
      </c>
      <c r="P22" s="4427">
        <v>86</v>
      </c>
      <c r="Q22" s="4736">
        <v>7.166666666666667</v>
      </c>
      <c r="R22" s="2813">
        <v>10</v>
      </c>
      <c r="S22" s="2813">
        <v>10</v>
      </c>
      <c r="T22" s="2813">
        <v>10</v>
      </c>
      <c r="U22" s="2813">
        <v>10</v>
      </c>
      <c r="V22" s="2813">
        <v>10</v>
      </c>
      <c r="W22" s="2813">
        <v>10</v>
      </c>
      <c r="X22" s="2813">
        <v>10</v>
      </c>
      <c r="Y22" s="2813">
        <v>10</v>
      </c>
      <c r="Z22" s="2813">
        <v>10</v>
      </c>
      <c r="AA22" s="2813">
        <v>10</v>
      </c>
      <c r="AB22" s="2813">
        <v>10</v>
      </c>
      <c r="AC22" s="2813">
        <v>1</v>
      </c>
      <c r="AD22" s="2813">
        <f t="shared" si="27"/>
        <v>111</v>
      </c>
      <c r="AE22" s="2813">
        <f t="shared" ref="AE22:AE29" si="33">AVERAGE(R22:AC22)</f>
        <v>9.25</v>
      </c>
      <c r="AF22" s="2822">
        <v>9</v>
      </c>
      <c r="AG22" s="2813">
        <v>9</v>
      </c>
      <c r="AH22" s="2813">
        <v>9</v>
      </c>
      <c r="AI22" s="2813">
        <v>9</v>
      </c>
      <c r="AJ22" s="2813">
        <v>9</v>
      </c>
      <c r="AK22" s="2813">
        <v>10</v>
      </c>
      <c r="AL22" s="2813">
        <v>9</v>
      </c>
      <c r="AM22" s="2813">
        <v>9</v>
      </c>
      <c r="AN22" s="2813">
        <v>9</v>
      </c>
      <c r="AO22" s="2813">
        <v>9</v>
      </c>
      <c r="AP22" s="2813">
        <v>9</v>
      </c>
      <c r="AQ22" s="2813">
        <v>9</v>
      </c>
      <c r="AR22" s="2813">
        <f t="shared" si="28"/>
        <v>9</v>
      </c>
      <c r="AS22" s="4724">
        <f t="shared" si="29"/>
        <v>9.0833333333333339</v>
      </c>
      <c r="AT22" s="3952">
        <v>10</v>
      </c>
      <c r="AU22" s="3952">
        <v>10</v>
      </c>
      <c r="AV22" s="2813"/>
      <c r="AW22" s="2813"/>
      <c r="AX22" s="2813"/>
      <c r="AY22" s="2813"/>
      <c r="AZ22" s="2813"/>
      <c r="BA22" s="2813"/>
      <c r="BB22" s="2813"/>
      <c r="BC22" s="2813"/>
      <c r="BD22" s="2813"/>
      <c r="BE22" s="2813"/>
      <c r="BF22" s="2813">
        <f t="shared" si="30"/>
        <v>20</v>
      </c>
      <c r="BG22" s="2813">
        <f t="shared" si="31"/>
        <v>20</v>
      </c>
      <c r="BH22" s="2811"/>
      <c r="BI22" s="2811"/>
      <c r="BJ22" s="2825"/>
      <c r="BK22" s="2825"/>
      <c r="BL22" s="2813">
        <f t="shared" si="5"/>
        <v>20</v>
      </c>
      <c r="BM22" s="2825"/>
      <c r="BN22" s="2825"/>
      <c r="BO22" s="3952">
        <f>IFERROR(
  SUM(
    _xlfn.XLOOKUP(DATE(YEAR($A$1),1,1),$2:$2,22:22):
    _xlfn.XLOOKUP($A$1,$2:$2,22:22)
  )
 -SUM(
    _xlfn.XLOOKUP(DATE(YEAR($A$1)-1,1,1),$2:$2,22:22):
    _xlfn.XLOOKUP(EDATE($A$1,-12),$2:$2,22:22)
  ),"")</f>
        <v>2</v>
      </c>
      <c r="BP22" s="2813">
        <f t="shared" si="32"/>
        <v>20</v>
      </c>
      <c r="BQ22" s="4448">
        <f t="shared" si="7"/>
        <v>10.916666666666666</v>
      </c>
      <c r="BR22" s="556"/>
      <c r="BS22" s="556"/>
      <c r="BT22" s="556"/>
      <c r="BU22" s="556"/>
      <c r="BX22" s="556"/>
    </row>
    <row r="23" spans="1:87" ht="16.5" customHeight="1" x14ac:dyDescent="0.55000000000000004">
      <c r="A23" s="7244"/>
      <c r="B23" s="2506"/>
      <c r="C23" s="581" t="s">
        <v>1054</v>
      </c>
      <c r="D23" s="4427">
        <v>7</v>
      </c>
      <c r="E23" s="4427">
        <v>7</v>
      </c>
      <c r="F23" s="4427">
        <v>7</v>
      </c>
      <c r="G23" s="4427">
        <v>6</v>
      </c>
      <c r="H23" s="4427">
        <v>6</v>
      </c>
      <c r="I23" s="4427">
        <v>6</v>
      </c>
      <c r="J23" s="4427">
        <v>6</v>
      </c>
      <c r="K23" s="4427">
        <v>6</v>
      </c>
      <c r="L23" s="4427">
        <v>7</v>
      </c>
      <c r="M23" s="4427">
        <v>7</v>
      </c>
      <c r="N23" s="4427">
        <v>7</v>
      </c>
      <c r="O23" s="4427">
        <v>7</v>
      </c>
      <c r="P23" s="4427">
        <v>79</v>
      </c>
      <c r="Q23" s="4736">
        <v>6.583333333333333</v>
      </c>
      <c r="R23" s="2813">
        <v>17</v>
      </c>
      <c r="S23" s="2813">
        <v>17</v>
      </c>
      <c r="T23" s="2813">
        <v>17</v>
      </c>
      <c r="U23" s="2813">
        <v>18</v>
      </c>
      <c r="V23" s="2813">
        <v>18</v>
      </c>
      <c r="W23" s="2813">
        <v>18</v>
      </c>
      <c r="X23" s="2813">
        <v>19</v>
      </c>
      <c r="Y23" s="2813">
        <v>19</v>
      </c>
      <c r="Z23" s="2813">
        <v>19</v>
      </c>
      <c r="AA23" s="2813">
        <v>18</v>
      </c>
      <c r="AB23" s="2813">
        <v>26</v>
      </c>
      <c r="AC23" s="2813">
        <v>11</v>
      </c>
      <c r="AD23" s="2813">
        <f t="shared" si="27"/>
        <v>217</v>
      </c>
      <c r="AE23" s="2813">
        <f t="shared" si="33"/>
        <v>18.083333333333332</v>
      </c>
      <c r="AF23" s="2822">
        <v>25</v>
      </c>
      <c r="AG23" s="2813">
        <v>28</v>
      </c>
      <c r="AH23" s="2813">
        <v>34</v>
      </c>
      <c r="AI23" s="2813">
        <v>32</v>
      </c>
      <c r="AJ23" s="2813">
        <v>35</v>
      </c>
      <c r="AK23" s="2813">
        <v>37</v>
      </c>
      <c r="AL23" s="2813">
        <v>16</v>
      </c>
      <c r="AM23" s="2813">
        <v>17</v>
      </c>
      <c r="AN23" s="2813">
        <v>18</v>
      </c>
      <c r="AO23" s="2813">
        <v>16</v>
      </c>
      <c r="AP23" s="2813">
        <v>15</v>
      </c>
      <c r="AQ23" s="2813">
        <v>15</v>
      </c>
      <c r="AR23" s="2813">
        <f t="shared" si="28"/>
        <v>15</v>
      </c>
      <c r="AS23" s="4724">
        <f t="shared" si="29"/>
        <v>24</v>
      </c>
      <c r="AT23" s="3952">
        <v>24</v>
      </c>
      <c r="AU23" s="3952">
        <v>23</v>
      </c>
      <c r="AV23" s="2813"/>
      <c r="AW23" s="2813"/>
      <c r="AX23" s="2813"/>
      <c r="AY23" s="2813"/>
      <c r="AZ23" s="2813"/>
      <c r="BA23" s="2813"/>
      <c r="BB23" s="2813"/>
      <c r="BC23" s="2813"/>
      <c r="BD23" s="2813"/>
      <c r="BE23" s="2813"/>
      <c r="BF23" s="2813">
        <f t="shared" si="30"/>
        <v>47</v>
      </c>
      <c r="BG23" s="2813">
        <f t="shared" si="31"/>
        <v>47</v>
      </c>
      <c r="BH23" s="2811"/>
      <c r="BI23" s="2811"/>
      <c r="BJ23" s="2825"/>
      <c r="BK23" s="2825"/>
      <c r="BL23" s="2813">
        <f t="shared" si="5"/>
        <v>47</v>
      </c>
      <c r="BM23" s="2825"/>
      <c r="BN23" s="2825"/>
      <c r="BO23" s="3952">
        <f>IFERROR(
  SUM(
    _xlfn.XLOOKUP(DATE(YEAR($A$1),1,1),$2:$2,23:23):
    _xlfn.XLOOKUP($A$1,$2:$2,23:23)
  )
 -SUM(
    _xlfn.XLOOKUP(DATE(YEAR($A$1)-1,1,1),$2:$2,23:23):
    _xlfn.XLOOKUP(EDATE($A$1,-12),$2:$2,23:23)
  ),"")</f>
        <v>-6</v>
      </c>
      <c r="BP23" s="2813">
        <f t="shared" si="32"/>
        <v>47</v>
      </c>
      <c r="BQ23" s="4448">
        <f t="shared" si="7"/>
        <v>23</v>
      </c>
      <c r="BR23" s="556"/>
      <c r="BS23" s="556"/>
      <c r="BT23" s="556"/>
      <c r="BU23" s="556"/>
      <c r="BX23" s="556"/>
    </row>
    <row r="24" spans="1:87" ht="16.5" customHeight="1" x14ac:dyDescent="0.55000000000000004">
      <c r="A24" s="7244"/>
      <c r="B24" s="2506"/>
      <c r="C24" s="581" t="s">
        <v>1055</v>
      </c>
      <c r="D24" s="4427"/>
      <c r="E24" s="4427"/>
      <c r="F24" s="4427"/>
      <c r="G24" s="4427"/>
      <c r="H24" s="4427"/>
      <c r="I24" s="4427"/>
      <c r="J24" s="4427"/>
      <c r="K24" s="4427"/>
      <c r="L24" s="4427"/>
      <c r="M24" s="4427"/>
      <c r="N24" s="4427"/>
      <c r="O24" s="4427"/>
      <c r="P24" s="4427"/>
      <c r="Q24" s="4736"/>
      <c r="R24" s="2813"/>
      <c r="S24" s="2813"/>
      <c r="T24" s="2813"/>
      <c r="U24" s="2813"/>
      <c r="V24" s="2813"/>
      <c r="W24" s="2813"/>
      <c r="X24" s="2813"/>
      <c r="Y24" s="2813"/>
      <c r="Z24" s="2813"/>
      <c r="AA24" s="2813"/>
      <c r="AB24" s="2813"/>
      <c r="AC24" s="2813"/>
      <c r="AD24" s="2813"/>
      <c r="AE24" s="2813"/>
      <c r="AF24" s="4449"/>
      <c r="AG24" s="4450"/>
      <c r="AH24" s="4450"/>
      <c r="AI24" s="4450"/>
      <c r="AJ24" s="4450"/>
      <c r="AK24" s="4450"/>
      <c r="AL24" s="4450"/>
      <c r="AM24" s="2813">
        <v>17</v>
      </c>
      <c r="AN24" s="2813">
        <v>15</v>
      </c>
      <c r="AO24" s="2813">
        <v>15</v>
      </c>
      <c r="AP24" s="2813">
        <v>14</v>
      </c>
      <c r="AQ24" s="2813">
        <v>15</v>
      </c>
      <c r="AR24" s="2813">
        <f t="shared" si="28"/>
        <v>15</v>
      </c>
      <c r="AS24" s="4724">
        <f t="shared" si="29"/>
        <v>15.2</v>
      </c>
      <c r="AT24" s="3952">
        <v>20</v>
      </c>
      <c r="AU24" s="3952">
        <v>19</v>
      </c>
      <c r="AV24" s="2813"/>
      <c r="AW24" s="2813"/>
      <c r="AX24" s="2813"/>
      <c r="AY24" s="2813"/>
      <c r="AZ24" s="2813"/>
      <c r="BA24" s="2813"/>
      <c r="BB24" s="2813"/>
      <c r="BC24" s="2813"/>
      <c r="BD24" s="2813"/>
      <c r="BE24" s="2813"/>
      <c r="BF24" s="2813">
        <f t="shared" si="30"/>
        <v>39</v>
      </c>
      <c r="BG24" s="2813">
        <f t="shared" si="31"/>
        <v>39</v>
      </c>
      <c r="BH24" s="2811"/>
      <c r="BI24" s="2811"/>
      <c r="BJ24" s="2825"/>
      <c r="BK24" s="2825"/>
      <c r="BL24" s="2813">
        <f t="shared" si="5"/>
        <v>39</v>
      </c>
      <c r="BM24" s="2825"/>
      <c r="BN24" s="2825"/>
      <c r="BO24" s="3952">
        <f>IFERROR(
  SUM(
    _xlfn.XLOOKUP(DATE(YEAR($A$1),1,1),$2:$2,24:24):
    _xlfn.XLOOKUP($A$1,$2:$2,24:24)
  )
 -SUM(
    _xlfn.XLOOKUP(DATE(YEAR($A$1)-1,1,1),$2:$2,24:24):
    _xlfn.XLOOKUP(EDATE($A$1,-12),$2:$2,24:24)
  ),"")</f>
        <v>39</v>
      </c>
      <c r="BP24" s="2813">
        <f t="shared" si="32"/>
        <v>39</v>
      </c>
      <c r="BQ24" s="4448">
        <f t="shared" si="7"/>
        <v>23.8</v>
      </c>
      <c r="BR24" s="556"/>
      <c r="BS24" s="556"/>
      <c r="BT24" s="556"/>
      <c r="BU24" s="556"/>
      <c r="BX24" s="556"/>
    </row>
    <row r="25" spans="1:87" ht="16.5" customHeight="1" x14ac:dyDescent="0.55000000000000004">
      <c r="A25" s="7244"/>
      <c r="B25" s="2506"/>
      <c r="C25" s="898" t="s">
        <v>729</v>
      </c>
      <c r="D25" s="4427">
        <v>11</v>
      </c>
      <c r="E25" s="4427">
        <v>10</v>
      </c>
      <c r="F25" s="4427">
        <v>9</v>
      </c>
      <c r="G25" s="4427">
        <v>9</v>
      </c>
      <c r="H25" s="4427">
        <v>9</v>
      </c>
      <c r="I25" s="4427">
        <v>8</v>
      </c>
      <c r="J25" s="4427">
        <v>8</v>
      </c>
      <c r="K25" s="4427">
        <v>8</v>
      </c>
      <c r="L25" s="4427">
        <v>7</v>
      </c>
      <c r="M25" s="4427">
        <v>6</v>
      </c>
      <c r="N25" s="4427">
        <v>6</v>
      </c>
      <c r="O25" s="4427">
        <v>6</v>
      </c>
      <c r="P25" s="4427">
        <v>97</v>
      </c>
      <c r="Q25" s="4736">
        <v>8.0833333333333339</v>
      </c>
      <c r="R25" s="2813">
        <v>8</v>
      </c>
      <c r="S25" s="2813">
        <v>9</v>
      </c>
      <c r="T25" s="2813">
        <v>7</v>
      </c>
      <c r="U25" s="2813">
        <v>6</v>
      </c>
      <c r="V25" s="2813">
        <v>7</v>
      </c>
      <c r="W25" s="2813">
        <v>7</v>
      </c>
      <c r="X25" s="2813">
        <v>9</v>
      </c>
      <c r="Y25" s="2813">
        <v>9</v>
      </c>
      <c r="Z25" s="2813">
        <v>9</v>
      </c>
      <c r="AA25" s="2813">
        <v>8</v>
      </c>
      <c r="AB25" s="2813">
        <v>9</v>
      </c>
      <c r="AC25" s="2813">
        <v>11</v>
      </c>
      <c r="AD25" s="2813">
        <f t="shared" si="27"/>
        <v>99</v>
      </c>
      <c r="AE25" s="2813">
        <f t="shared" si="33"/>
        <v>8.25</v>
      </c>
      <c r="AF25" s="2822">
        <v>12</v>
      </c>
      <c r="AG25" s="2813">
        <v>12</v>
      </c>
      <c r="AH25" s="2813">
        <v>14</v>
      </c>
      <c r="AI25" s="2813">
        <v>14</v>
      </c>
      <c r="AJ25" s="2813">
        <v>14</v>
      </c>
      <c r="AK25" s="2813">
        <v>15</v>
      </c>
      <c r="AL25" s="2813">
        <v>17</v>
      </c>
      <c r="AM25" s="2813">
        <v>13</v>
      </c>
      <c r="AN25" s="2813">
        <v>13</v>
      </c>
      <c r="AO25" s="2813">
        <v>12</v>
      </c>
      <c r="AP25" s="2813">
        <v>12</v>
      </c>
      <c r="AQ25" s="2813">
        <v>12</v>
      </c>
      <c r="AR25" s="2813">
        <f t="shared" si="28"/>
        <v>12</v>
      </c>
      <c r="AS25" s="4724">
        <f t="shared" si="29"/>
        <v>13.333333333333334</v>
      </c>
      <c r="AT25" s="3952">
        <v>12</v>
      </c>
      <c r="AU25" s="3952">
        <v>11</v>
      </c>
      <c r="AV25" s="2813"/>
      <c r="AW25" s="2813"/>
      <c r="AX25" s="2813"/>
      <c r="AY25" s="2813"/>
      <c r="AZ25" s="2813"/>
      <c r="BA25" s="2813"/>
      <c r="BB25" s="2813"/>
      <c r="BC25" s="2813"/>
      <c r="BD25" s="2813"/>
      <c r="BE25" s="2813"/>
      <c r="BF25" s="2813">
        <f t="shared" si="30"/>
        <v>23</v>
      </c>
      <c r="BG25" s="2813">
        <f t="shared" si="31"/>
        <v>23</v>
      </c>
      <c r="BH25" s="2811"/>
      <c r="BI25" s="2811"/>
      <c r="BJ25" s="2825"/>
      <c r="BK25" s="2825"/>
      <c r="BL25" s="2813">
        <f t="shared" si="5"/>
        <v>23</v>
      </c>
      <c r="BM25" s="2825"/>
      <c r="BN25" s="2825"/>
      <c r="BO25" s="3952">
        <f>IFERROR(
  SUM(
    _xlfn.XLOOKUP(DATE(YEAR($A$1),1,1),$2:$2,25:25):
    _xlfn.XLOOKUP($A$1,$2:$2,25:25)
  )
 -SUM(
    _xlfn.XLOOKUP(DATE(YEAR($A$1)-1,1,1),$2:$2,25:25):
    _xlfn.XLOOKUP(EDATE($A$1,-12),$2:$2,25:25)
  ),"")</f>
        <v>-1</v>
      </c>
      <c r="BP25" s="2813">
        <f t="shared" si="32"/>
        <v>23</v>
      </c>
      <c r="BQ25" s="4448">
        <f t="shared" si="7"/>
        <v>9.6666666666666661</v>
      </c>
      <c r="BR25" s="556"/>
      <c r="BS25" s="556"/>
      <c r="BT25" s="556"/>
      <c r="BU25" s="556"/>
      <c r="BX25" s="556"/>
    </row>
    <row r="26" spans="1:87" ht="17.25" customHeight="1" x14ac:dyDescent="0.55000000000000004">
      <c r="A26" s="7244"/>
      <c r="B26" s="2506"/>
      <c r="C26" s="898" t="s">
        <v>730</v>
      </c>
      <c r="D26" s="4427">
        <v>12</v>
      </c>
      <c r="E26" s="4427">
        <v>12</v>
      </c>
      <c r="F26" s="4427">
        <v>12</v>
      </c>
      <c r="G26" s="4427">
        <v>12</v>
      </c>
      <c r="H26" s="4427">
        <v>12</v>
      </c>
      <c r="I26" s="4427">
        <v>12</v>
      </c>
      <c r="J26" s="4427">
        <v>12</v>
      </c>
      <c r="K26" s="4427">
        <v>11</v>
      </c>
      <c r="L26" s="4427">
        <v>11</v>
      </c>
      <c r="M26" s="4427">
        <v>11</v>
      </c>
      <c r="N26" s="4427">
        <v>12</v>
      </c>
      <c r="O26" s="4427">
        <v>12</v>
      </c>
      <c r="P26" s="4427">
        <v>141</v>
      </c>
      <c r="Q26" s="4736">
        <v>11.75</v>
      </c>
      <c r="R26" s="2813">
        <v>8</v>
      </c>
      <c r="S26" s="2813">
        <v>8</v>
      </c>
      <c r="T26" s="2813">
        <v>8</v>
      </c>
      <c r="U26" s="2813">
        <v>8</v>
      </c>
      <c r="V26" s="2813">
        <v>8</v>
      </c>
      <c r="W26" s="2813">
        <v>8</v>
      </c>
      <c r="X26" s="2813">
        <v>8</v>
      </c>
      <c r="Y26" s="2813">
        <v>8</v>
      </c>
      <c r="Z26" s="2813">
        <v>8</v>
      </c>
      <c r="AA26" s="2813">
        <v>9</v>
      </c>
      <c r="AB26" s="2813">
        <v>10</v>
      </c>
      <c r="AC26" s="2813">
        <v>12</v>
      </c>
      <c r="AD26" s="2813">
        <f t="shared" si="27"/>
        <v>103</v>
      </c>
      <c r="AE26" s="2813">
        <f t="shared" si="33"/>
        <v>8.5833333333333339</v>
      </c>
      <c r="AF26" s="2822">
        <v>12</v>
      </c>
      <c r="AG26" s="2813">
        <v>12</v>
      </c>
      <c r="AH26" s="2813">
        <v>13</v>
      </c>
      <c r="AI26" s="2813">
        <v>15</v>
      </c>
      <c r="AJ26" s="2813">
        <v>14</v>
      </c>
      <c r="AK26" s="2813">
        <v>14</v>
      </c>
      <c r="AL26" s="2813">
        <v>13</v>
      </c>
      <c r="AM26" s="2813">
        <v>13</v>
      </c>
      <c r="AN26" s="2813">
        <v>13</v>
      </c>
      <c r="AO26" s="2813">
        <v>12</v>
      </c>
      <c r="AP26" s="2813">
        <v>12</v>
      </c>
      <c r="AQ26" s="2813">
        <v>12</v>
      </c>
      <c r="AR26" s="2813">
        <f t="shared" si="28"/>
        <v>12</v>
      </c>
      <c r="AS26" s="4724">
        <f t="shared" si="29"/>
        <v>12.916666666666666</v>
      </c>
      <c r="AT26" s="3952">
        <v>11</v>
      </c>
      <c r="AU26" s="3952">
        <v>11</v>
      </c>
      <c r="AV26" s="2813"/>
      <c r="AW26" s="2813"/>
      <c r="AX26" s="2813"/>
      <c r="AY26" s="2813"/>
      <c r="AZ26" s="2813"/>
      <c r="BA26" s="2813"/>
      <c r="BB26" s="2813"/>
      <c r="BC26" s="2813"/>
      <c r="BD26" s="2813"/>
      <c r="BE26" s="2813"/>
      <c r="BF26" s="2813">
        <f t="shared" si="30"/>
        <v>22</v>
      </c>
      <c r="BG26" s="2813">
        <f t="shared" si="31"/>
        <v>22</v>
      </c>
      <c r="BH26" s="2811"/>
      <c r="BI26" s="2811"/>
      <c r="BJ26" s="2825"/>
      <c r="BK26" s="2825"/>
      <c r="BL26" s="2813">
        <f t="shared" si="5"/>
        <v>22</v>
      </c>
      <c r="BM26" s="2825"/>
      <c r="BN26" s="2825"/>
      <c r="BO26" s="3952">
        <f>IFERROR(
  SUM(
    _xlfn.XLOOKUP(DATE(YEAR($A$1),1,1),$2:$2,26:26):
    _xlfn.XLOOKUP($A$1,$2:$2,26:26)
  )
 -SUM(
    _xlfn.XLOOKUP(DATE(YEAR($A$1)-1,1,1),$2:$2,26:26):
    _xlfn.XLOOKUP(EDATE($A$1,-12),$2:$2,26:26)
  ),"")</f>
        <v>-2</v>
      </c>
      <c r="BP26" s="2813">
        <f t="shared" si="32"/>
        <v>22</v>
      </c>
      <c r="BQ26" s="4448">
        <f t="shared" si="7"/>
        <v>9.0833333333333339</v>
      </c>
      <c r="BR26" s="556"/>
      <c r="BS26" s="556"/>
      <c r="BT26" s="556"/>
      <c r="BU26" s="556"/>
      <c r="BX26" s="556"/>
    </row>
    <row r="27" spans="1:87" ht="17.25" customHeight="1" x14ac:dyDescent="0.55000000000000004">
      <c r="A27" s="7244"/>
      <c r="B27" s="2506"/>
      <c r="C27" s="898" t="s">
        <v>966</v>
      </c>
      <c r="D27" s="4427"/>
      <c r="E27" s="4427"/>
      <c r="F27" s="4427"/>
      <c r="G27" s="4427"/>
      <c r="H27" s="4427"/>
      <c r="I27" s="4427"/>
      <c r="J27" s="4427"/>
      <c r="K27" s="4427"/>
      <c r="L27" s="4427"/>
      <c r="M27" s="4427"/>
      <c r="N27" s="4427"/>
      <c r="O27" s="4427"/>
      <c r="P27" s="4427"/>
      <c r="Q27" s="4736"/>
      <c r="R27" s="2813"/>
      <c r="S27" s="2813"/>
      <c r="T27" s="2813"/>
      <c r="U27" s="2813"/>
      <c r="V27" s="2813"/>
      <c r="W27" s="2813"/>
      <c r="X27" s="2813"/>
      <c r="Y27" s="2813"/>
      <c r="Z27" s="2813"/>
      <c r="AA27" s="2813"/>
      <c r="AB27" s="2813"/>
      <c r="AC27" s="2813"/>
      <c r="AD27" s="2813"/>
      <c r="AE27" s="2813"/>
      <c r="AF27" s="2822">
        <v>12</v>
      </c>
      <c r="AG27" s="2813">
        <v>13</v>
      </c>
      <c r="AH27" s="2813">
        <v>13</v>
      </c>
      <c r="AI27" s="2813">
        <v>13</v>
      </c>
      <c r="AJ27" s="2813">
        <v>13</v>
      </c>
      <c r="AK27" s="2813">
        <v>13</v>
      </c>
      <c r="AL27" s="2813">
        <v>13</v>
      </c>
      <c r="AM27" s="2813">
        <v>11</v>
      </c>
      <c r="AN27" s="2813">
        <v>12</v>
      </c>
      <c r="AO27" s="2813">
        <v>12</v>
      </c>
      <c r="AP27" s="2813">
        <v>12</v>
      </c>
      <c r="AQ27" s="2813">
        <v>11</v>
      </c>
      <c r="AR27" s="2813">
        <f t="shared" si="28"/>
        <v>11</v>
      </c>
      <c r="AS27" s="4724">
        <f t="shared" si="29"/>
        <v>12.333333333333334</v>
      </c>
      <c r="AT27" s="3952">
        <v>11</v>
      </c>
      <c r="AU27" s="3952">
        <v>11</v>
      </c>
      <c r="AV27" s="2813"/>
      <c r="AW27" s="2813"/>
      <c r="AX27" s="2813"/>
      <c r="AY27" s="2813"/>
      <c r="AZ27" s="2813"/>
      <c r="BA27" s="2813"/>
      <c r="BB27" s="2813"/>
      <c r="BC27" s="2813"/>
      <c r="BD27" s="2813"/>
      <c r="BE27" s="2813"/>
      <c r="BF27" s="2813">
        <f t="shared" si="30"/>
        <v>22</v>
      </c>
      <c r="BG27" s="2813">
        <f t="shared" si="31"/>
        <v>22</v>
      </c>
      <c r="BH27" s="2811"/>
      <c r="BI27" s="2811"/>
      <c r="BJ27" s="2825"/>
      <c r="BK27" s="2825"/>
      <c r="BL27" s="2813">
        <f t="shared" si="5"/>
        <v>22</v>
      </c>
      <c r="BM27" s="2825"/>
      <c r="BN27" s="2825"/>
      <c r="BO27" s="3952">
        <f>IFERROR(
  SUM(
    _xlfn.XLOOKUP(DATE(YEAR($A$1),1,1),$2:$2,27:27):
    _xlfn.XLOOKUP($A$1,$2:$2,27:27)
  )
 -SUM(
    _xlfn.XLOOKUP(DATE(YEAR($A$1)-1,1,1),$2:$2,27:27):
    _xlfn.XLOOKUP(EDATE($A$1,-12),$2:$2,27:27)
  ),"")</f>
        <v>-3</v>
      </c>
      <c r="BP27" s="2813">
        <f t="shared" si="32"/>
        <v>22</v>
      </c>
      <c r="BQ27" s="4448">
        <f t="shared" si="7"/>
        <v>9.6666666666666661</v>
      </c>
      <c r="BR27" s="556"/>
      <c r="BS27" s="556"/>
      <c r="BT27" s="556"/>
      <c r="BU27" s="556"/>
      <c r="BX27" s="556"/>
    </row>
    <row r="28" spans="1:87" ht="17.25" customHeight="1" x14ac:dyDescent="0.55000000000000004">
      <c r="A28" s="7244"/>
      <c r="B28" s="4389"/>
      <c r="C28" s="2821" t="s">
        <v>732</v>
      </c>
      <c r="D28" s="4451">
        <v>6</v>
      </c>
      <c r="E28" s="4451">
        <v>6</v>
      </c>
      <c r="F28" s="4451">
        <v>6</v>
      </c>
      <c r="G28" s="4451">
        <v>6</v>
      </c>
      <c r="H28" s="4451">
        <v>5</v>
      </c>
      <c r="I28" s="4451">
        <v>5</v>
      </c>
      <c r="J28" s="4451">
        <v>5</v>
      </c>
      <c r="K28" s="4451">
        <v>5</v>
      </c>
      <c r="L28" s="4451">
        <v>6</v>
      </c>
      <c r="M28" s="4451">
        <v>6</v>
      </c>
      <c r="N28" s="4451">
        <v>6</v>
      </c>
      <c r="O28" s="4451">
        <v>6</v>
      </c>
      <c r="P28" s="4451">
        <v>68</v>
      </c>
      <c r="Q28" s="4737">
        <v>5.666666666666667</v>
      </c>
      <c r="R28" s="2830">
        <v>13</v>
      </c>
      <c r="S28" s="2830">
        <v>11</v>
      </c>
      <c r="T28" s="2830">
        <v>13</v>
      </c>
      <c r="U28" s="2830">
        <v>12</v>
      </c>
      <c r="V28" s="2830">
        <v>13</v>
      </c>
      <c r="W28" s="2830">
        <v>13</v>
      </c>
      <c r="X28" s="2830">
        <v>19</v>
      </c>
      <c r="Y28" s="2830">
        <v>27</v>
      </c>
      <c r="Z28" s="2830">
        <v>23</v>
      </c>
      <c r="AA28" s="2830">
        <v>19</v>
      </c>
      <c r="AB28" s="2830">
        <v>22</v>
      </c>
      <c r="AC28" s="2830">
        <v>22</v>
      </c>
      <c r="AD28" s="2830">
        <f t="shared" si="27"/>
        <v>207</v>
      </c>
      <c r="AE28" s="2830">
        <f t="shared" si="33"/>
        <v>17.25</v>
      </c>
      <c r="AF28" s="4452">
        <v>19</v>
      </c>
      <c r="AG28" s="2830">
        <v>20</v>
      </c>
      <c r="AH28" s="2830">
        <v>15</v>
      </c>
      <c r="AI28" s="2796">
        <v>16</v>
      </c>
      <c r="AJ28" s="2830">
        <v>15</v>
      </c>
      <c r="AK28" s="2830">
        <v>17</v>
      </c>
      <c r="AL28" s="2830">
        <v>11</v>
      </c>
      <c r="AM28" s="2796">
        <v>15</v>
      </c>
      <c r="AN28" s="2796">
        <v>14</v>
      </c>
      <c r="AO28" s="2796">
        <v>14</v>
      </c>
      <c r="AP28" s="2796">
        <v>14</v>
      </c>
      <c r="AQ28" s="2796">
        <v>15</v>
      </c>
      <c r="AR28" s="2813">
        <f t="shared" si="28"/>
        <v>15</v>
      </c>
      <c r="AS28" s="4724">
        <f t="shared" si="29"/>
        <v>15.416666666666666</v>
      </c>
      <c r="AT28" s="2830">
        <v>14</v>
      </c>
      <c r="AU28" s="2830">
        <v>12</v>
      </c>
      <c r="AV28" s="2830"/>
      <c r="AW28" s="2796"/>
      <c r="AX28" s="2830"/>
      <c r="AY28" s="2830"/>
      <c r="AZ28" s="2830"/>
      <c r="BA28" s="2796"/>
      <c r="BB28" s="2796"/>
      <c r="BC28" s="2796"/>
      <c r="BD28" s="2796"/>
      <c r="BE28" s="2796"/>
      <c r="BF28" s="2813">
        <f t="shared" si="30"/>
        <v>26</v>
      </c>
      <c r="BG28" s="2813">
        <f t="shared" si="31"/>
        <v>26</v>
      </c>
      <c r="BH28" s="2831"/>
      <c r="BI28" s="2831"/>
      <c r="BJ28" s="2825"/>
      <c r="BK28" s="2825"/>
      <c r="BL28" s="2830">
        <f t="shared" si="5"/>
        <v>26</v>
      </c>
      <c r="BM28" s="2825"/>
      <c r="BN28" s="2825"/>
      <c r="BO28" s="2830">
        <f>IFERROR(
  SUM(
    _xlfn.XLOOKUP(DATE(YEAR($A$1),1,1),$2:$2,28:28):
    _xlfn.XLOOKUP($A$1,$2:$2,28:28)
  )
 -SUM(
    _xlfn.XLOOKUP(DATE(YEAR($A$1)-1,1,1),$2:$2,28:28):
    _xlfn.XLOOKUP(EDATE($A$1,-12),$2:$2,28:28)
  ),"")</f>
        <v>-13</v>
      </c>
      <c r="BP28" s="2830">
        <f t="shared" si="32"/>
        <v>26</v>
      </c>
      <c r="BQ28" s="4453">
        <f t="shared" si="7"/>
        <v>10.583333333333334</v>
      </c>
      <c r="BR28" s="556"/>
      <c r="BS28" s="556"/>
      <c r="BT28" s="556"/>
      <c r="BU28" s="556"/>
      <c r="BX28" s="556"/>
    </row>
    <row r="29" spans="1:87" ht="17.25" customHeight="1" x14ac:dyDescent="0.55000000000000004">
      <c r="A29" s="7244"/>
      <c r="B29" s="2506"/>
      <c r="C29" s="898" t="s">
        <v>731</v>
      </c>
      <c r="D29" s="4427">
        <v>8</v>
      </c>
      <c r="E29" s="4427">
        <v>7</v>
      </c>
      <c r="F29" s="4427">
        <v>10</v>
      </c>
      <c r="G29" s="4427">
        <v>11</v>
      </c>
      <c r="H29" s="4427">
        <v>12</v>
      </c>
      <c r="I29" s="4427">
        <v>12</v>
      </c>
      <c r="J29" s="4427">
        <v>12</v>
      </c>
      <c r="K29" s="4427">
        <v>12</v>
      </c>
      <c r="L29" s="4427">
        <v>11</v>
      </c>
      <c r="M29" s="4427">
        <v>11</v>
      </c>
      <c r="N29" s="4427">
        <v>8</v>
      </c>
      <c r="O29" s="4427">
        <v>8</v>
      </c>
      <c r="P29" s="4427">
        <v>122</v>
      </c>
      <c r="Q29" s="4736">
        <v>10.166666666666666</v>
      </c>
      <c r="R29" s="2813">
        <v>13</v>
      </c>
      <c r="S29" s="2813">
        <v>12</v>
      </c>
      <c r="T29" s="2813">
        <v>12</v>
      </c>
      <c r="U29" s="2813">
        <v>12</v>
      </c>
      <c r="V29" s="2813">
        <v>11</v>
      </c>
      <c r="W29" s="2813">
        <v>11</v>
      </c>
      <c r="X29" s="2813">
        <v>19</v>
      </c>
      <c r="Y29" s="2813">
        <v>23</v>
      </c>
      <c r="Z29" s="2813">
        <v>31</v>
      </c>
      <c r="AA29" s="2813">
        <v>28</v>
      </c>
      <c r="AB29" s="2813">
        <v>21</v>
      </c>
      <c r="AC29" s="2813">
        <v>27</v>
      </c>
      <c r="AD29" s="2813">
        <f>SUM(R29:AC29)</f>
        <v>220</v>
      </c>
      <c r="AE29" s="2813">
        <f t="shared" si="33"/>
        <v>18.333333333333332</v>
      </c>
      <c r="AF29" s="2822">
        <v>21</v>
      </c>
      <c r="AG29" s="2813">
        <v>20</v>
      </c>
      <c r="AH29" s="2813">
        <v>17</v>
      </c>
      <c r="AI29" s="2813">
        <v>18</v>
      </c>
      <c r="AJ29" s="2813">
        <v>18</v>
      </c>
      <c r="AK29" s="2813">
        <v>21</v>
      </c>
      <c r="AL29" s="2813">
        <v>17</v>
      </c>
      <c r="AM29" s="4454">
        <v>19</v>
      </c>
      <c r="AN29" s="2813">
        <v>20</v>
      </c>
      <c r="AO29" s="2813">
        <v>20</v>
      </c>
      <c r="AP29" s="2813">
        <v>20</v>
      </c>
      <c r="AQ29" s="2813">
        <v>20</v>
      </c>
      <c r="AR29" s="2813">
        <f t="shared" si="28"/>
        <v>20</v>
      </c>
      <c r="AS29" s="4724">
        <f t="shared" si="29"/>
        <v>19.25</v>
      </c>
      <c r="AT29" s="3952">
        <v>19</v>
      </c>
      <c r="AU29" s="3952">
        <v>19</v>
      </c>
      <c r="AV29" s="2813"/>
      <c r="AW29" s="2813"/>
      <c r="AX29" s="2813"/>
      <c r="AY29" s="2813"/>
      <c r="AZ29" s="2813"/>
      <c r="BA29" s="4454"/>
      <c r="BB29" s="2813"/>
      <c r="BC29" s="2813"/>
      <c r="BD29" s="2813"/>
      <c r="BE29" s="2813"/>
      <c r="BF29" s="2813">
        <f t="shared" si="30"/>
        <v>38</v>
      </c>
      <c r="BG29" s="2813">
        <f t="shared" si="31"/>
        <v>38</v>
      </c>
      <c r="BH29" s="2811"/>
      <c r="BI29" s="2811"/>
      <c r="BJ29" s="2825"/>
      <c r="BK29" s="2825"/>
      <c r="BL29" s="2813">
        <f t="shared" si="5"/>
        <v>38</v>
      </c>
      <c r="BM29" s="2825"/>
      <c r="BN29" s="2825"/>
      <c r="BO29" s="3952">
        <f>IFERROR(
  SUM(
    _xlfn.XLOOKUP(DATE(YEAR($A$1),1,1),$2:$2,29:29):
    _xlfn.XLOOKUP($A$1,$2:$2,29:29)
  )
 -SUM(
    _xlfn.XLOOKUP(DATE(YEAR($A$1)-1,1,1),$2:$2,29:29):
    _xlfn.XLOOKUP(EDATE($A$1,-12),$2:$2,29:29)
  ),"")</f>
        <v>-3</v>
      </c>
      <c r="BP29" s="2813">
        <f t="shared" si="32"/>
        <v>38</v>
      </c>
      <c r="BQ29" s="4448">
        <f t="shared" si="7"/>
        <v>18.75</v>
      </c>
      <c r="BT29" s="555"/>
      <c r="BU29" s="555"/>
    </row>
    <row r="30" spans="1:87" ht="17.25" customHeight="1" x14ac:dyDescent="0.55000000000000004">
      <c r="A30" s="7244"/>
      <c r="B30" s="2506"/>
      <c r="C30" s="898" t="s">
        <v>1035</v>
      </c>
      <c r="D30" s="4427"/>
      <c r="E30" s="4427"/>
      <c r="F30" s="4427"/>
      <c r="G30" s="4427"/>
      <c r="H30" s="4427"/>
      <c r="I30" s="4427"/>
      <c r="J30" s="4427"/>
      <c r="K30" s="4427"/>
      <c r="L30" s="4427"/>
      <c r="M30" s="4427"/>
      <c r="N30" s="4427"/>
      <c r="O30" s="4427"/>
      <c r="P30" s="4427"/>
      <c r="Q30" s="4736"/>
      <c r="R30" s="2813"/>
      <c r="S30" s="2813"/>
      <c r="T30" s="2813"/>
      <c r="U30" s="2813"/>
      <c r="V30" s="2813"/>
      <c r="W30" s="2813"/>
      <c r="X30" s="2813"/>
      <c r="Y30" s="2813"/>
      <c r="Z30" s="2813"/>
      <c r="AA30" s="2813"/>
      <c r="AB30" s="2813"/>
      <c r="AC30" s="2813"/>
      <c r="AD30" s="2813"/>
      <c r="AE30" s="2813"/>
      <c r="AF30" s="2822">
        <v>0</v>
      </c>
      <c r="AG30" s="2813">
        <v>0</v>
      </c>
      <c r="AH30" s="2813">
        <v>14</v>
      </c>
      <c r="AI30" s="2813">
        <v>13</v>
      </c>
      <c r="AJ30" s="2813">
        <v>13</v>
      </c>
      <c r="AK30" s="2813">
        <v>14</v>
      </c>
      <c r="AL30" s="2813">
        <v>18</v>
      </c>
      <c r="AM30" s="2813">
        <v>11</v>
      </c>
      <c r="AN30" s="2813">
        <v>11</v>
      </c>
      <c r="AO30" s="2813">
        <v>12</v>
      </c>
      <c r="AP30" s="2813">
        <v>11</v>
      </c>
      <c r="AQ30" s="2813">
        <v>11</v>
      </c>
      <c r="AR30" s="2813">
        <f t="shared" si="28"/>
        <v>11</v>
      </c>
      <c r="AS30" s="4724">
        <f t="shared" si="29"/>
        <v>10.666666666666666</v>
      </c>
      <c r="AT30" s="3952">
        <v>11</v>
      </c>
      <c r="AU30" s="3952">
        <v>12</v>
      </c>
      <c r="AV30" s="2813"/>
      <c r="AW30" s="2813"/>
      <c r="AX30" s="2813"/>
      <c r="AY30" s="2813"/>
      <c r="AZ30" s="2813"/>
      <c r="BA30" s="2813"/>
      <c r="BB30" s="2813"/>
      <c r="BC30" s="2813"/>
      <c r="BD30" s="2813"/>
      <c r="BE30" s="2813"/>
      <c r="BF30" s="2813">
        <f t="shared" si="30"/>
        <v>23</v>
      </c>
      <c r="BG30" s="2813">
        <f t="shared" si="31"/>
        <v>23</v>
      </c>
      <c r="BH30" s="2811"/>
      <c r="BI30" s="2811"/>
      <c r="BJ30" s="2825"/>
      <c r="BK30" s="2825"/>
      <c r="BL30" s="2813">
        <f t="shared" si="5"/>
        <v>23</v>
      </c>
      <c r="BM30" s="2825"/>
      <c r="BN30" s="2825"/>
      <c r="BO30" s="3952">
        <f>IFERROR(
  SUM(
    _xlfn.XLOOKUP(DATE(YEAR($A$1),1,1),$2:$2,30:30):
    _xlfn.XLOOKUP($A$1,$2:$2,30:30)
  )
 -SUM(
    _xlfn.XLOOKUP(DATE(YEAR($A$1)-1,1,1),$2:$2,30:30):
    _xlfn.XLOOKUP(EDATE($A$1,-12),$2:$2,30:30)
  ),"")</f>
        <v>23</v>
      </c>
      <c r="BP30" s="2813">
        <f t="shared" si="32"/>
        <v>23</v>
      </c>
      <c r="BQ30" s="4448">
        <f t="shared" si="7"/>
        <v>12.333333333333334</v>
      </c>
      <c r="BT30" s="555"/>
      <c r="BU30" s="555"/>
    </row>
    <row r="31" spans="1:87" ht="17.149999999999999" customHeight="1" thickBot="1" x14ac:dyDescent="0.6">
      <c r="A31" s="7245"/>
      <c r="B31" s="2833"/>
      <c r="C31" s="2834" t="s">
        <v>1049</v>
      </c>
      <c r="D31" s="4455"/>
      <c r="E31" s="4455"/>
      <c r="F31" s="4455"/>
      <c r="G31" s="4455"/>
      <c r="H31" s="4455"/>
      <c r="I31" s="4455"/>
      <c r="J31" s="4455"/>
      <c r="K31" s="4455"/>
      <c r="L31" s="4455"/>
      <c r="M31" s="4455"/>
      <c r="N31" s="4455"/>
      <c r="O31" s="4455"/>
      <c r="P31" s="4455"/>
      <c r="Q31" s="4738"/>
      <c r="R31" s="4456"/>
      <c r="S31" s="4456"/>
      <c r="T31" s="4456"/>
      <c r="U31" s="4456"/>
      <c r="V31" s="4456"/>
      <c r="W31" s="4456"/>
      <c r="X31" s="4456"/>
      <c r="Y31" s="4456"/>
      <c r="Z31" s="4456"/>
      <c r="AA31" s="4456"/>
      <c r="AB31" s="4456"/>
      <c r="AC31" s="4456"/>
      <c r="AD31" s="4456"/>
      <c r="AE31" s="4456"/>
      <c r="AF31" s="4725"/>
      <c r="AG31" s="4726"/>
      <c r="AH31" s="4726"/>
      <c r="AI31" s="4726"/>
      <c r="AJ31" s="4726"/>
      <c r="AK31" s="4726"/>
      <c r="AL31" s="4726">
        <v>9</v>
      </c>
      <c r="AM31" s="4726">
        <v>8</v>
      </c>
      <c r="AN31" s="4726">
        <v>7</v>
      </c>
      <c r="AO31" s="4726">
        <v>9</v>
      </c>
      <c r="AP31" s="4726">
        <v>9</v>
      </c>
      <c r="AQ31" s="4726">
        <v>9</v>
      </c>
      <c r="AR31" s="4726">
        <f t="shared" si="28"/>
        <v>9</v>
      </c>
      <c r="AS31" s="4727">
        <f t="shared" si="29"/>
        <v>8.5</v>
      </c>
      <c r="AT31" s="4456">
        <v>9</v>
      </c>
      <c r="AU31" s="4456">
        <v>9</v>
      </c>
      <c r="AV31" s="4456"/>
      <c r="AW31" s="4456"/>
      <c r="AX31" s="4456"/>
      <c r="AY31" s="4456"/>
      <c r="AZ31" s="4456"/>
      <c r="BA31" s="4456"/>
      <c r="BB31" s="4456"/>
      <c r="BC31" s="4456"/>
      <c r="BD31" s="4456"/>
      <c r="BE31" s="4456"/>
      <c r="BF31" s="4456">
        <f t="shared" si="30"/>
        <v>18</v>
      </c>
      <c r="BG31" s="4456">
        <f t="shared" si="31"/>
        <v>18</v>
      </c>
      <c r="BH31" s="4457"/>
      <c r="BI31" s="4457"/>
      <c r="BJ31" s="2841"/>
      <c r="BK31" s="2841"/>
      <c r="BL31" s="4456">
        <f t="shared" si="5"/>
        <v>18</v>
      </c>
      <c r="BM31" s="2841"/>
      <c r="BN31" s="2841"/>
      <c r="BO31" s="4466">
        <f>IFERROR(
  SUM(
    _xlfn.XLOOKUP(DATE(YEAR($A$1),1,1),$2:$2,31:31):
    _xlfn.XLOOKUP($A$1,$2:$2,31:31)
  )
 -SUM(
    _xlfn.XLOOKUP(DATE(YEAR($A$1)-1,1,1),$2:$2,31:31):
    _xlfn.XLOOKUP(EDATE($A$1,-12),$2:$2,31:31)
  ),"")</f>
        <v>18</v>
      </c>
      <c r="BP31" s="4456">
        <f t="shared" si="32"/>
        <v>18</v>
      </c>
      <c r="BQ31" s="4458">
        <f t="shared" si="7"/>
        <v>9.5</v>
      </c>
      <c r="BT31" s="555"/>
      <c r="BU31" s="555"/>
    </row>
    <row r="32" spans="1:87" ht="16.5" customHeight="1" x14ac:dyDescent="0.55000000000000004">
      <c r="A32" s="4388"/>
      <c r="B32" s="4459"/>
      <c r="C32" s="4460" t="s">
        <v>727</v>
      </c>
      <c r="D32" s="4461">
        <v>12</v>
      </c>
      <c r="E32" s="4461">
        <v>13</v>
      </c>
      <c r="F32" s="4461">
        <v>13</v>
      </c>
      <c r="G32" s="4461">
        <v>13</v>
      </c>
      <c r="H32" s="4461">
        <v>13</v>
      </c>
      <c r="I32" s="4461">
        <v>13</v>
      </c>
      <c r="J32" s="4461">
        <v>12</v>
      </c>
      <c r="K32" s="4461">
        <v>11</v>
      </c>
      <c r="L32" s="4461">
        <v>12</v>
      </c>
      <c r="M32" s="4461">
        <v>12</v>
      </c>
      <c r="N32" s="4461">
        <v>15</v>
      </c>
      <c r="O32" s="4461">
        <v>17</v>
      </c>
      <c r="P32" s="4461">
        <v>156</v>
      </c>
      <c r="Q32" s="4461">
        <v>13</v>
      </c>
      <c r="R32" s="4462">
        <v>4</v>
      </c>
      <c r="S32" s="4462">
        <v>3</v>
      </c>
      <c r="T32" s="4462">
        <v>3</v>
      </c>
      <c r="U32" s="4462">
        <v>2</v>
      </c>
      <c r="V32" s="4462">
        <v>2</v>
      </c>
      <c r="W32" s="4462">
        <v>2</v>
      </c>
      <c r="X32" s="4462">
        <v>2</v>
      </c>
      <c r="Y32" s="4462">
        <v>2</v>
      </c>
      <c r="Z32" s="4462">
        <v>2</v>
      </c>
      <c r="AA32" s="4462">
        <v>2</v>
      </c>
      <c r="AB32" s="4462">
        <v>8</v>
      </c>
      <c r="AC32" s="4462">
        <v>10</v>
      </c>
      <c r="AD32" s="4462">
        <f t="shared" ref="AD32:AD33" si="34">SUM(R32:AC32)</f>
        <v>42</v>
      </c>
      <c r="AE32" s="4462">
        <f t="shared" ref="AE32:AE33" si="35">AVERAGE(R32:AC32)</f>
        <v>3.5</v>
      </c>
      <c r="AF32" s="4462"/>
      <c r="AG32" s="4462"/>
      <c r="AH32" s="4462"/>
      <c r="AI32" s="4462"/>
      <c r="AJ32" s="4462"/>
      <c r="AK32" s="4462"/>
      <c r="AL32" s="4462">
        <v>8</v>
      </c>
      <c r="AM32" s="4462"/>
      <c r="AN32" s="4462"/>
      <c r="AO32" s="4462"/>
      <c r="AP32" s="4462"/>
      <c r="AQ32" s="4462"/>
      <c r="AR32" s="4462"/>
      <c r="AS32" s="4462"/>
      <c r="AT32" s="4462"/>
      <c r="AU32" s="6250"/>
      <c r="AV32" s="4462"/>
      <c r="AW32" s="4462"/>
      <c r="AX32" s="4463"/>
      <c r="AY32" s="4463"/>
      <c r="AZ32" s="4463"/>
      <c r="BA32" s="4463"/>
      <c r="BB32" s="4462"/>
      <c r="BC32" s="4462"/>
      <c r="BD32" s="4462"/>
      <c r="BE32" s="4462"/>
      <c r="BF32" s="4462"/>
      <c r="BG32" s="4464"/>
      <c r="BH32" s="4462"/>
      <c r="BI32" s="4462"/>
      <c r="BJ32" s="4464"/>
      <c r="BK32" s="4464"/>
      <c r="BL32" s="4462"/>
      <c r="BM32" s="4464"/>
      <c r="BN32" s="4464"/>
      <c r="BO32" s="4463"/>
      <c r="BP32" s="4462"/>
      <c r="BQ32" s="4465"/>
      <c r="BR32" s="556"/>
      <c r="BS32" s="556"/>
      <c r="BT32" s="556"/>
      <c r="BU32" s="556"/>
      <c r="BX32" s="556"/>
    </row>
    <row r="33" spans="2:76" ht="16.5" customHeight="1" x14ac:dyDescent="0.55000000000000004">
      <c r="B33" s="4459"/>
      <c r="C33" s="4460"/>
      <c r="D33" s="4461">
        <v>13</v>
      </c>
      <c r="E33" s="4461">
        <v>13</v>
      </c>
      <c r="F33" s="4461">
        <v>11</v>
      </c>
      <c r="G33" s="4461">
        <v>11</v>
      </c>
      <c r="H33" s="4461">
        <v>11</v>
      </c>
      <c r="I33" s="4461">
        <v>12</v>
      </c>
      <c r="J33" s="4461">
        <v>10</v>
      </c>
      <c r="K33" s="4461">
        <v>9</v>
      </c>
      <c r="L33" s="4461">
        <v>11</v>
      </c>
      <c r="M33" s="4461">
        <v>11</v>
      </c>
      <c r="N33" s="4461">
        <v>11</v>
      </c>
      <c r="O33" s="4461">
        <v>12</v>
      </c>
      <c r="P33" s="4461">
        <v>135</v>
      </c>
      <c r="Q33" s="4461">
        <v>11.25</v>
      </c>
      <c r="R33" s="4462">
        <v>8</v>
      </c>
      <c r="S33" s="4462">
        <v>9</v>
      </c>
      <c r="T33" s="4462">
        <v>7</v>
      </c>
      <c r="U33" s="4462">
        <v>7</v>
      </c>
      <c r="V33" s="4462">
        <v>7</v>
      </c>
      <c r="W33" s="4462">
        <v>7</v>
      </c>
      <c r="X33" s="4462">
        <v>5</v>
      </c>
      <c r="Y33" s="4462">
        <v>5</v>
      </c>
      <c r="Z33" s="4462">
        <v>5</v>
      </c>
      <c r="AA33" s="4462">
        <v>5</v>
      </c>
      <c r="AB33" s="4462">
        <v>6</v>
      </c>
      <c r="AC33" s="4462">
        <v>28</v>
      </c>
      <c r="AD33" s="4462">
        <f t="shared" si="34"/>
        <v>99</v>
      </c>
      <c r="AE33" s="4462">
        <f t="shared" si="35"/>
        <v>8.25</v>
      </c>
      <c r="AF33" s="4462"/>
      <c r="AG33" s="4462"/>
      <c r="AH33" s="4462"/>
      <c r="AI33" s="4462"/>
      <c r="AJ33" s="4462"/>
      <c r="AK33" s="4462"/>
      <c r="AL33" s="4462"/>
      <c r="AM33" s="4462"/>
      <c r="AN33" s="4462"/>
      <c r="AO33" s="4462"/>
      <c r="AP33" s="4462"/>
      <c r="AQ33" s="4462"/>
      <c r="AR33" s="4462"/>
      <c r="AS33" s="4462"/>
      <c r="AT33" s="4462"/>
      <c r="AU33" s="6250"/>
      <c r="AV33" s="4462"/>
      <c r="AW33" s="4462"/>
      <c r="AX33" s="4463"/>
      <c r="AY33" s="4463"/>
      <c r="AZ33" s="4463"/>
      <c r="BA33" s="4463"/>
      <c r="BB33" s="4462"/>
      <c r="BC33" s="4462"/>
      <c r="BD33" s="4462"/>
      <c r="BE33" s="4462"/>
      <c r="BF33" s="4462"/>
      <c r="BG33" s="4464"/>
      <c r="BH33" s="4462"/>
      <c r="BI33" s="4462"/>
      <c r="BJ33" s="4464"/>
      <c r="BK33" s="4464"/>
      <c r="BL33" s="4462"/>
      <c r="BM33" s="4464"/>
      <c r="BN33" s="4464"/>
      <c r="BO33" s="4463"/>
      <c r="BP33" s="4462"/>
      <c r="BQ33" s="4465"/>
      <c r="BR33" s="556"/>
      <c r="BS33" s="556"/>
      <c r="BT33" s="556"/>
      <c r="BU33" s="556"/>
      <c r="BX33" s="556"/>
    </row>
    <row r="34" spans="2:76" x14ac:dyDescent="0.55000000000000004">
      <c r="R34" s="665"/>
      <c r="S34" s="665"/>
      <c r="T34" s="665"/>
      <c r="U34" s="665"/>
      <c r="V34" s="665"/>
      <c r="W34" s="665"/>
      <c r="X34" s="665"/>
      <c r="Y34" s="665"/>
      <c r="Z34" s="665"/>
      <c r="AA34" s="665"/>
      <c r="AF34" s="665"/>
      <c r="AH34" s="665"/>
      <c r="AI34" s="665"/>
      <c r="AJ34" s="665"/>
      <c r="AK34" s="665"/>
      <c r="AL34" s="665"/>
      <c r="AM34" s="2612"/>
      <c r="AN34" s="665"/>
      <c r="AO34" s="665"/>
      <c r="AT34" s="665"/>
      <c r="AV34" s="665"/>
      <c r="AW34" s="665"/>
      <c r="AX34" s="665"/>
      <c r="AY34" s="665"/>
      <c r="AZ34" s="665"/>
      <c r="BA34" s="2612"/>
      <c r="BB34" s="665"/>
      <c r="BC34" s="665"/>
      <c r="BT34" s="555"/>
      <c r="BU34" s="555"/>
    </row>
    <row r="35" spans="2:76" x14ac:dyDescent="0.55000000000000004">
      <c r="AK35" s="665"/>
      <c r="AY35" s="665"/>
      <c r="BT35" s="555"/>
      <c r="BU35" s="555"/>
    </row>
    <row r="36" spans="2:76" x14ac:dyDescent="0.55000000000000004">
      <c r="BT36" s="555"/>
      <c r="BU36" s="555"/>
    </row>
  </sheetData>
  <mergeCells count="10">
    <mergeCell ref="BV3:CI3"/>
    <mergeCell ref="A19:A31"/>
    <mergeCell ref="B19:C19"/>
    <mergeCell ref="BL3:BQ3"/>
    <mergeCell ref="D3:Q3"/>
    <mergeCell ref="R3:AE3"/>
    <mergeCell ref="AF3:AS3"/>
    <mergeCell ref="AT3:BK3"/>
    <mergeCell ref="B15:B16"/>
    <mergeCell ref="B13:B14"/>
  </mergeCells>
  <phoneticPr fontId="1" type="noConversion"/>
  <pageMargins left="0.7" right="0.7" top="0.75" bottom="0.75" header="0.3" footer="0.3"/>
  <pageSetup paperSize="9" scale="1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pageSetUpPr fitToPage="1"/>
  </sheetPr>
  <dimension ref="A1:AZ74"/>
  <sheetViews>
    <sheetView showGridLines="0" view="pageBreakPreview" zoomScale="55" zoomScaleNormal="100" zoomScaleSheetLayoutView="55" workbookViewId="0">
      <pane xSplit="3" ySplit="6" topLeftCell="D22" activePane="bottomRight" state="frozen"/>
      <selection activeCell="O26" sqref="O26"/>
      <selection pane="topRight" activeCell="O26" sqref="O26"/>
      <selection pane="bottomLeft" activeCell="O26" sqref="O26"/>
      <selection pane="bottomRight" activeCell="G9" sqref="G9"/>
    </sheetView>
  </sheetViews>
  <sheetFormatPr defaultColWidth="9.140625" defaultRowHeight="15" outlineLevelCol="1" x14ac:dyDescent="0.55000000000000004"/>
  <cols>
    <col min="1" max="1" width="14" style="559" customWidth="1"/>
    <col min="2" max="2" width="10.640625" style="559" customWidth="1"/>
    <col min="3" max="5" width="12.7109375" style="559" customWidth="1"/>
    <col min="6" max="6" width="11.35546875" style="559" customWidth="1"/>
    <col min="7" max="7" width="11.35546875" style="559" customWidth="1" outlineLevel="1"/>
    <col min="8" max="13" width="10.640625" style="559" customWidth="1" outlineLevel="1"/>
    <col min="14" max="19" width="12.640625" style="2775" customWidth="1"/>
    <col min="20" max="21" width="8.640625" style="559" customWidth="1"/>
    <col min="22" max="23" width="9.140625" style="559"/>
    <col min="24" max="36" width="12.42578125" style="559" customWidth="1"/>
    <col min="37" max="38" width="12.42578125" style="559" hidden="1" customWidth="1"/>
    <col min="39" max="40" width="12.42578125" style="559" customWidth="1"/>
    <col min="41" max="16384" width="9.140625" style="559"/>
  </cols>
  <sheetData>
    <row r="1" spans="1:52" x14ac:dyDescent="0.55000000000000004">
      <c r="C1" s="840"/>
      <c r="D1" s="840" t="s">
        <v>618</v>
      </c>
      <c r="E1" s="840" t="s">
        <v>442</v>
      </c>
      <c r="F1" s="840" t="s">
        <v>440</v>
      </c>
      <c r="G1" s="840" t="s">
        <v>439</v>
      </c>
      <c r="H1" s="840" t="s">
        <v>441</v>
      </c>
      <c r="I1" s="840" t="s">
        <v>620</v>
      </c>
      <c r="J1" s="840" t="s">
        <v>601</v>
      </c>
      <c r="K1" s="840" t="s">
        <v>605</v>
      </c>
      <c r="L1" s="840" t="str">
        <f>SUBSTITUTE(ADDRESS(1,COLUMN('※ 소상공인 세부데이터'!AW3),4),"1","")</f>
        <v>AW</v>
      </c>
      <c r="M1" s="840" t="s">
        <v>446</v>
      </c>
      <c r="N1" s="840" t="str">
        <f>SUBSTITUTE(ADDRESS(1,COLUMN('※ 소상공인 세부데이터'!BO3),4),"1","")</f>
        <v>BO</v>
      </c>
      <c r="O1" s="840" t="str">
        <f>SUBSTITUTE(ADDRESS(1,COLUMN('※ 소상공인 세부데이터'!BL3),4),"1","")</f>
        <v>BL</v>
      </c>
      <c r="P1" s="840" t="str">
        <f>SUBSTITUTE(ADDRESS(1,COLUMN('※ 소상공인 세부데이터'!BI3),4),"1","")</f>
        <v>BI</v>
      </c>
      <c r="Q1" s="840" t="str">
        <f>SUBSTITUTE(ADDRESS(1,COLUMN('※ 소상공인 세부데이터'!BN3),4),"1","")</f>
        <v>BN</v>
      </c>
      <c r="R1" s="840" t="str">
        <f>SUBSTITUTE(ADDRESS(1,COLUMN('※ 소상공인 세부데이터'!BJ3),4),"1","")</f>
        <v>BJ</v>
      </c>
      <c r="S1" s="840" t="str">
        <f>SUBSTITUTE(ADDRESS(1,COLUMN('※ 소상공인 세부데이터'!BM3),4),"1","")</f>
        <v>BM</v>
      </c>
      <c r="T1" s="844" t="s">
        <v>453</v>
      </c>
      <c r="U1" s="2677"/>
    </row>
    <row r="2" spans="1:52" ht="15.45" thickBot="1" x14ac:dyDescent="0.6">
      <c r="C2" s="840"/>
      <c r="D2" s="840"/>
      <c r="E2" s="840"/>
      <c r="F2" s="840" t="s">
        <v>440</v>
      </c>
      <c r="G2" s="840" t="s">
        <v>439</v>
      </c>
      <c r="H2" s="840" t="s">
        <v>441</v>
      </c>
      <c r="I2" s="840" t="s">
        <v>620</v>
      </c>
      <c r="J2" s="840" t="s">
        <v>601</v>
      </c>
      <c r="K2" s="840" t="s">
        <v>605</v>
      </c>
      <c r="L2" s="840" t="str">
        <f>SUBSTITUTE(ADDRESS(1,COLUMN('※ 소상공인 세부데이터'!AW4),4),"1","")</f>
        <v>AW</v>
      </c>
      <c r="M2" s="840" t="s">
        <v>446</v>
      </c>
      <c r="N2" s="840" t="str">
        <f>N1</f>
        <v>BO</v>
      </c>
      <c r="O2" s="840" t="str">
        <f t="shared" ref="O2:S2" si="0">O1</f>
        <v>BL</v>
      </c>
      <c r="P2" s="840" t="str">
        <f t="shared" si="0"/>
        <v>BI</v>
      </c>
      <c r="Q2" s="840" t="str">
        <f t="shared" si="0"/>
        <v>BN</v>
      </c>
      <c r="R2" s="840" t="str">
        <f t="shared" si="0"/>
        <v>BJ</v>
      </c>
      <c r="S2" s="840" t="str">
        <f t="shared" si="0"/>
        <v>BM</v>
      </c>
    </row>
    <row r="3" spans="1:52" s="561" customFormat="1" ht="60" customHeight="1" thickTop="1" thickBot="1" x14ac:dyDescent="0.6">
      <c r="A3" s="7226" t="s">
        <v>864</v>
      </c>
      <c r="B3" s="7226"/>
      <c r="C3" s="7226"/>
      <c r="D3" s="7226"/>
      <c r="E3" s="7226"/>
      <c r="F3" s="7226"/>
      <c r="G3" s="7226"/>
      <c r="H3" s="7226"/>
      <c r="I3" s="7226"/>
      <c r="J3" s="7226"/>
      <c r="K3" s="7226"/>
      <c r="L3" s="7226"/>
      <c r="M3" s="7226"/>
      <c r="N3" s="7226"/>
      <c r="O3" s="7226"/>
      <c r="P3" s="7226"/>
      <c r="Q3" s="7226"/>
      <c r="R3" s="7226"/>
      <c r="S3" s="7226"/>
      <c r="T3" s="4370"/>
      <c r="U3" s="4370"/>
    </row>
    <row r="4" spans="1:52" s="561" customFormat="1" ht="15.55" customHeight="1" thickTop="1" thickBot="1" x14ac:dyDescent="0.6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W4" s="562"/>
      <c r="Y4" s="562"/>
      <c r="Z4" s="562"/>
      <c r="AA4" s="563"/>
      <c r="AC4" s="562"/>
      <c r="AD4" s="563"/>
      <c r="AV4" s="566"/>
      <c r="AW4" s="566"/>
      <c r="AX4" s="566"/>
      <c r="AY4" s="566"/>
      <c r="AZ4" s="566"/>
    </row>
    <row r="5" spans="1:52" ht="19.75" customHeight="1" thickBot="1" x14ac:dyDescent="0.6">
      <c r="A5" s="2678"/>
      <c r="B5" s="567"/>
      <c r="C5" s="567"/>
      <c r="D5" s="1152" t="str">
        <f>"(~"&amp;MONTH('※ 소상공인 세부데이터'!A1)&amp;"월)"</f>
        <v>(~2월)</v>
      </c>
      <c r="E5" s="7276" t="s">
        <v>1193</v>
      </c>
      <c r="F5" s="7277"/>
      <c r="G5" s="7277"/>
      <c r="H5" s="7277"/>
      <c r="I5" s="7277"/>
      <c r="J5" s="7277"/>
      <c r="K5" s="7277"/>
      <c r="L5" s="7278" t="s">
        <v>1194</v>
      </c>
      <c r="M5" s="7279"/>
      <c r="N5" s="7279"/>
      <c r="O5" s="7280"/>
      <c r="P5" s="7071" t="str">
        <f>"연간누적실적(~"&amp;MONTH('※ 소상공인 세부데이터'!A1)&amp;"월)"</f>
        <v>연간누적실적(~2월)</v>
      </c>
      <c r="Q5" s="7072"/>
      <c r="R5" s="7072"/>
      <c r="S5" s="7100"/>
    </row>
    <row r="6" spans="1:52" ht="17.399999999999999" customHeight="1" thickBot="1" x14ac:dyDescent="0.6">
      <c r="A6" s="7285" t="s">
        <v>124</v>
      </c>
      <c r="B6" s="7286"/>
      <c r="C6" s="7286"/>
      <c r="D6" s="6005" t="s">
        <v>823</v>
      </c>
      <c r="E6" s="6158" t="s">
        <v>1123</v>
      </c>
      <c r="F6" s="558" t="str" cm="1">
        <f t="array" aca="1" ref="F6" ca="1">INDIRECT("'※ 소상공인 세부데이터'!"&amp;F$1&amp;$T6, TRUE)</f>
        <v>'25.1월</v>
      </c>
      <c r="G6" s="2679" t="str" cm="1">
        <f t="array" aca="1" ref="G6" ca="1">INDIRECT("'※ 소상공인 세부데이터'!"&amp;G$1&amp;$T6, TRUE)</f>
        <v>'25.2월</v>
      </c>
      <c r="H6" s="558" t="str" cm="1">
        <f t="array" aca="1" ref="H6" ca="1">INDIRECT("'※ 소상공인 세부데이터'!"&amp;H$1&amp;$T6, TRUE)</f>
        <v>'25.3월</v>
      </c>
      <c r="I6" s="558" t="str" cm="1">
        <f t="array" aca="1" ref="I6" ca="1">INDIRECT("'※ 소상공인 세부데이터'!"&amp;I$1&amp;$T6, TRUE)</f>
        <v>'25.4월</v>
      </c>
      <c r="J6" s="558" t="str" cm="1">
        <f t="array" aca="1" ref="J6" ca="1">INDIRECT("'※ 소상공인 세부데이터'!"&amp;J$1&amp;$T6, TRUE)</f>
        <v>'25.5월</v>
      </c>
      <c r="K6" s="558" t="str" cm="1">
        <f t="array" aca="1" ref="K6" ca="1">INDIRECT("'※ 소상공인 세부데이터'!"&amp;K$1&amp;$T6, TRUE)</f>
        <v>'25.6월</v>
      </c>
      <c r="L6" s="849" t="str" cm="1">
        <f t="array" aca="1" ref="L6" ca="1">INDIRECT("'※ 소상공인 세부데이터'!"&amp;L$1&amp;$T6, TRUE)</f>
        <v>'26.1월</v>
      </c>
      <c r="M6" s="558" t="str" cm="1">
        <f t="array" aca="1" ref="M6" ca="1">INDIRECT("'※ 소상공인 세부데이터'!"&amp;M$1&amp;$T6, TRUE)</f>
        <v>'26.2월</v>
      </c>
      <c r="N6" s="850" t="s">
        <v>130</v>
      </c>
      <c r="O6" s="851" t="s">
        <v>444</v>
      </c>
      <c r="P6" s="852" t="s">
        <v>44</v>
      </c>
      <c r="Q6" s="846" t="s">
        <v>569</v>
      </c>
      <c r="R6" s="853" t="s">
        <v>45</v>
      </c>
      <c r="S6" s="2680" t="s">
        <v>11</v>
      </c>
      <c r="T6" s="1520">
        <f>ROW('※ 소상공인 세부데이터'!J3)</f>
        <v>3</v>
      </c>
      <c r="U6" s="570"/>
      <c r="V6" s="570"/>
      <c r="W6" s="570"/>
      <c r="X6" s="570"/>
      <c r="Y6" s="570"/>
      <c r="Z6" s="570"/>
      <c r="AA6" s="570"/>
      <c r="AB6" s="570"/>
      <c r="AC6" s="570"/>
      <c r="AD6" s="570"/>
      <c r="AE6" s="570"/>
      <c r="AF6" s="570"/>
      <c r="AG6" s="570"/>
    </row>
    <row r="7" spans="1:52" ht="16.95" customHeight="1" x14ac:dyDescent="0.55000000000000004">
      <c r="A7" s="7268" t="s">
        <v>82</v>
      </c>
      <c r="B7" s="7291" t="s">
        <v>1187</v>
      </c>
      <c r="C7" s="7291"/>
      <c r="D7" s="6130" cm="1">
        <f t="array" aca="1" ref="D7" ca="1">INDIRECT("'※ 소상공인 세부데이터'!"&amp;D$1&amp;$T7, TRUE)</f>
        <v>123</v>
      </c>
      <c r="E7" s="6159" cm="1">
        <f t="array" aca="1" ref="E7" ca="1">INDIRECT("'※ 소상공인 세부데이터'!"&amp;E$1&amp;$T7, TRUE)</f>
        <v>68</v>
      </c>
      <c r="F7" s="6130" cm="1">
        <f t="array" aca="1" ref="F7" ca="1">INDIRECT("'※ 소상공인 세부데이터'!"&amp;F$1&amp;$T7, TRUE)</f>
        <v>130</v>
      </c>
      <c r="G7" s="6130" cm="1">
        <f t="array" aca="1" ref="G7" ca="1">INDIRECT("'※ 소상공인 세부데이터'!"&amp;G$1&amp;$T7, TRUE)</f>
        <v>128</v>
      </c>
      <c r="H7" s="6130" cm="1">
        <f t="array" aca="1" ref="H7" ca="1">INDIRECT("'※ 소상공인 세부데이터'!"&amp;H$1&amp;$T7, TRUE)</f>
        <v>139</v>
      </c>
      <c r="I7" s="6130" cm="1">
        <f t="array" aca="1" ref="I7" ca="1">INDIRECT("'※ 소상공인 세부데이터'!"&amp;I$1&amp;$T7, TRUE)</f>
        <v>138</v>
      </c>
      <c r="J7" s="6130" cm="1">
        <f t="array" aca="1" ref="J7" ca="1">INDIRECT("'※ 소상공인 세부데이터'!"&amp;J$1&amp;$T7, TRUE)</f>
        <v>134</v>
      </c>
      <c r="K7" s="6130" cm="1">
        <f t="array" aca="1" ref="K7" ca="1">INDIRECT("'※ 소상공인 세부데이터'!"&amp;K$1&amp;$T7, TRUE)</f>
        <v>129</v>
      </c>
      <c r="L7" s="6144" cm="1">
        <f t="array" aca="1" ref="L7" ca="1">INDIRECT("'※ 소상공인 세부데이터'!"&amp;L$1&amp;$T7, TRUE)</f>
        <v>60</v>
      </c>
      <c r="M7" s="6130" cm="1">
        <f t="array" aca="1" ref="M7" ca="1">INDIRECT("'※ 소상공인 세부데이터'!"&amp;M$1&amp;$T7, TRUE)</f>
        <v>58</v>
      </c>
      <c r="N7" s="6130" cm="1">
        <f t="array" aca="1" ref="N7" ca="1">INDIRECT("'※ 소상공인 세부데이터'!"&amp;N$1&amp;$T7, TRUE)</f>
        <v>-2</v>
      </c>
      <c r="O7" s="6130" cm="1">
        <f t="array" aca="1" ref="O7" ca="1">INDIRECT("'※ 소상공인 세부데이터'!"&amp;O$1&amp;$T7, TRUE)</f>
        <v>-70</v>
      </c>
      <c r="P7" s="6163" cm="1">
        <f t="array" aca="1" ref="P7" ca="1">INDIRECT("'※ 소상공인 세부데이터'!"&amp;P$1&amp;$T7, TRUE)</f>
        <v>59</v>
      </c>
      <c r="Q7" s="6130" cm="1">
        <f t="array" aca="1" ref="Q7" ca="1">INDIRECT("'※ 소상공인 세부데이터'!"&amp;Q$1&amp;$T7, TRUE)</f>
        <v>-140</v>
      </c>
      <c r="R7" s="6130" cm="1">
        <f t="array" aca="1" ref="R7" ca="1">INDIRECT("'※ 소상공인 세부데이터'!"&amp;R$1&amp;$T7, TRUE)</f>
        <v>59</v>
      </c>
      <c r="S7" s="6130" cm="1">
        <f t="array" aca="1" ref="S7" ca="1">INDIRECT("'※ 소상공인 세부데이터'!"&amp;S$1&amp;$T7, TRUE)</f>
        <v>-57.333333333333329</v>
      </c>
      <c r="T7" s="1520">
        <f>ROW('※ 소상공인 세부데이터'!J4)</f>
        <v>4</v>
      </c>
    </row>
    <row r="8" spans="1:52" ht="16.95" customHeight="1" x14ac:dyDescent="0.55000000000000004">
      <c r="A8" s="7269"/>
      <c r="B8" s="7271" t="s">
        <v>1191</v>
      </c>
      <c r="C8" s="898" t="s">
        <v>1192</v>
      </c>
      <c r="D8" s="6131" cm="1">
        <f t="array" aca="1" ref="D8" ca="1">INDIRECT("'※ 소상공인 세부데이터'!"&amp;D$1&amp;$T8, TRUE)</f>
        <v>2.443709119822683</v>
      </c>
      <c r="E8" s="6160" cm="1">
        <f t="array" aca="1" ref="E8" ca="1">INDIRECT("'※ 소상공인 세부데이터'!"&amp;E$1&amp;$T8, TRUE)</f>
        <v>2.3917228179960333</v>
      </c>
      <c r="F8" s="6131" cm="1">
        <f t="array" aca="1" ref="F8" ca="1">INDIRECT("'※ 소상공인 세부데이터'!"&amp;F$1&amp;$T8, TRUE)</f>
        <v>1.1846153846153846</v>
      </c>
      <c r="G8" s="6131" cm="1">
        <f t="array" aca="1" ref="G8" ca="1">INDIRECT("'※ 소상공인 세부데이터'!"&amp;G$1&amp;$T8, TRUE)</f>
        <v>3.1171875</v>
      </c>
      <c r="H8" s="6131" cm="1">
        <f t="array" aca="1" ref="H8" ca="1">INDIRECT("'※ 소상공인 세부데이터'!"&amp;H$1&amp;$T8, TRUE)</f>
        <v>1.2158273381294964</v>
      </c>
      <c r="I8" s="6131" cm="1">
        <f t="array" aca="1" ref="I8" ca="1">INDIRECT("'※ 소상공인 세부데이터'!"&amp;I$1&amp;$T8, TRUE)</f>
        <v>2.0797101449275361</v>
      </c>
      <c r="J8" s="6131" cm="1">
        <f t="array" aca="1" ref="J8" ca="1">INDIRECT("'※ 소상공인 세부데이터'!"&amp;J$1&amp;$T8, TRUE)</f>
        <v>3.216417910447761</v>
      </c>
      <c r="K8" s="6131" cm="1">
        <f t="array" aca="1" ref="K8" ca="1">INDIRECT("'※ 소상공인 세부데이터'!"&amp;K$1&amp;$T8, TRUE)</f>
        <v>1.4806201550387597</v>
      </c>
      <c r="L8" s="6145" cm="1">
        <f t="array" aca="1" ref="L8" ca="1">INDIRECT("'※ 소상공인 세부데이터'!"&amp;L$1&amp;$T8, TRUE)</f>
        <v>4.45</v>
      </c>
      <c r="M8" s="6131" cm="1">
        <f t="array" aca="1" ref="M8" ca="1">INDIRECT("'※ 소상공인 세부데이터'!"&amp;M$1&amp;$T8, TRUE)</f>
        <v>2.5344827586206895</v>
      </c>
      <c r="N8" s="6131" cm="1">
        <f t="array" aca="1" ref="N8" ca="1">INDIRECT("'※ 소상공인 세부데이터'!"&amp;N$1&amp;$T8, TRUE)</f>
        <v>-1.9155172413793107</v>
      </c>
      <c r="O8" s="6131" cm="1">
        <f t="array" aca="1" ref="O8" ca="1">INDIRECT("'※ 소상공인 세부데이터'!"&amp;O$1&amp;$T8, TRUE)</f>
        <v>-0.5827047413793105</v>
      </c>
      <c r="P8" s="6164" cm="1">
        <f t="array" aca="1" ref="P8" ca="1">INDIRECT("'※ 소상공인 세부데이터'!"&amp;P$1&amp;$T8, TRUE)</f>
        <v>3.4922413793103448</v>
      </c>
      <c r="Q8" s="6131" cm="1">
        <f t="array" aca="1" ref="Q8" ca="1">INDIRECT("'※ 소상공인 세부데이터'!"&amp;Q$1&amp;$T8, TRUE)</f>
        <v>2.6826798740053048</v>
      </c>
      <c r="R8" s="6131" cm="1">
        <f t="array" aca="1" ref="R8" ca="1">INDIRECT("'※ 소상공인 세부데이터'!"&amp;R$1&amp;$T8, TRUE)</f>
        <v>3.4922413793103448</v>
      </c>
      <c r="S8" s="6131" cm="1">
        <f t="array" aca="1" ref="S8" ca="1">INDIRECT("'※ 소상공인 세부데이터'!"&amp;S$1&amp;$T8, TRUE)</f>
        <v>1.1005185613143116</v>
      </c>
      <c r="T8" s="1520">
        <f>ROW('※ 소상공인 세부데이터'!J54)</f>
        <v>54</v>
      </c>
    </row>
    <row r="9" spans="1:52" ht="16.95" customHeight="1" x14ac:dyDescent="0.55000000000000004">
      <c r="A9" s="7270"/>
      <c r="B9" s="7272"/>
      <c r="C9" s="6125" t="s">
        <v>423</v>
      </c>
      <c r="D9" s="6132" cm="1">
        <f t="array" aca="1" ref="D9" ca="1">INDIRECT("'※ 소상공인 세부데이터'!"&amp;D$1&amp;$T9, TRUE)</f>
        <v>14.347429257703636</v>
      </c>
      <c r="E9" s="6161" cm="1">
        <f t="array" aca="1" ref="E9" ca="1">INDIRECT("'※ 소상공인 세부데이터'!"&amp;E$1&amp;$T9, TRUE)</f>
        <v>14.643481575548348</v>
      </c>
      <c r="F9" s="6132" cm="1">
        <f t="array" aca="1" ref="F9" ca="1">INDIRECT("'※ 소상공인 세부데이터'!"&amp;F$1&amp;$T9, TRUE)</f>
        <v>8.792307692307693</v>
      </c>
      <c r="G9" s="6132" cm="1">
        <f t="array" aca="1" ref="G9" ca="1">INDIRECT("'※ 소상공인 세부데이터'!"&amp;G$1&amp;$T9, TRUE)</f>
        <v>9.3046875</v>
      </c>
      <c r="H9" s="6132" cm="1">
        <f t="array" aca="1" ref="H9" ca="1">INDIRECT("'※ 소상공인 세부데이터'!"&amp;H$1&amp;$T9, TRUE)</f>
        <v>10.971223021582734</v>
      </c>
      <c r="I9" s="6132" cm="1">
        <f t="array" aca="1" ref="I9" ca="1">INDIRECT("'※ 소상공인 세부데이터'!"&amp;I$1&amp;$T9, TRUE)</f>
        <v>11.855072463768115</v>
      </c>
      <c r="J9" s="6132" cm="1">
        <f t="array" aca="1" ref="J9" ca="1">INDIRECT("'※ 소상공인 세부데이터'!"&amp;J$1&amp;$T9, TRUE)</f>
        <v>12.604477611940299</v>
      </c>
      <c r="K9" s="6132" cm="1">
        <f t="array" aca="1" ref="K9" ca="1">INDIRECT("'※ 소상공인 세부데이터'!"&amp;K$1&amp;$T9, TRUE)</f>
        <v>13.906976744186046</v>
      </c>
      <c r="L9" s="6146" cm="1">
        <f t="array" aca="1" ref="L9" ca="1">INDIRECT("'※ 소상공인 세부데이터'!"&amp;L$1&amp;$T9, TRUE)</f>
        <v>19.616666666666667</v>
      </c>
      <c r="M9" s="6132" cm="1">
        <f t="array" aca="1" ref="M9" ca="1">INDIRECT("'※ 소상공인 세부데이터'!"&amp;M$1&amp;$T9, TRUE)</f>
        <v>23.844827586206897</v>
      </c>
      <c r="N9" s="6132" cm="1">
        <f t="array" aca="1" ref="N9" ca="1">INDIRECT("'※ 소상공인 세부데이터'!"&amp;N$1&amp;$T9, TRUE)</f>
        <v>4.2281609195402297</v>
      </c>
      <c r="O9" s="6132" cm="1">
        <f t="array" aca="1" ref="O9" ca="1">INDIRECT("'※ 소상공인 세부데이터'!"&amp;O$1&amp;$T9, TRUE)</f>
        <v>14.540140086206897</v>
      </c>
      <c r="P9" s="6165" cm="1">
        <f t="array" aca="1" ref="P9" ca="1">INDIRECT("'※ 소상공인 세부데이터'!"&amp;P$1&amp;$T9, TRUE)</f>
        <v>21.730747126436782</v>
      </c>
      <c r="Q9" s="6132" cm="1">
        <f t="array" aca="1" ref="Q9" ca="1">INDIRECT("'※ 소상공인 세부데이터'!"&amp;Q$1&amp;$T9, TRUE)</f>
        <v>25.364499060565869</v>
      </c>
      <c r="R9" s="6132" cm="1">
        <f t="array" aca="1" ref="R9" ca="1">INDIRECT("'※ 소상공인 세부데이터'!"&amp;R$1&amp;$T9, TRUE)</f>
        <v>21.730747126436782</v>
      </c>
      <c r="S9" s="6132" cm="1">
        <f t="array" aca="1" ref="S9" ca="1">INDIRECT("'※ 소상공인 세부데이터'!"&amp;S$1&amp;$T9, TRUE)</f>
        <v>7.0872655508884339</v>
      </c>
      <c r="T9" s="1520">
        <f>ROW('※ 소상공인 세부데이터'!J60)</f>
        <v>60</v>
      </c>
    </row>
    <row r="10" spans="1:52" ht="16.95" customHeight="1" x14ac:dyDescent="0.55000000000000004">
      <c r="A10" s="7273" t="s">
        <v>67</v>
      </c>
      <c r="B10" s="7290" t="s">
        <v>1187</v>
      </c>
      <c r="C10" s="7290"/>
      <c r="D10" s="6133" cm="1">
        <f t="array" aca="1" ref="D10" ca="1">INDIRECT("'※ 소상공인 세부데이터'!"&amp;D$1&amp;$T10, TRUE)</f>
        <v>23</v>
      </c>
      <c r="E10" s="6162" cm="1">
        <f t="array" aca="1" ref="E10" ca="1">INDIRECT("'※ 소상공인 세부데이터'!"&amp;E$1&amp;$T10, TRUE)</f>
        <v>16</v>
      </c>
      <c r="F10" s="6133" cm="1">
        <f t="array" aca="1" ref="F10" ca="1">INDIRECT("'※ 소상공인 세부데이터'!"&amp;F$1&amp;$T10, TRUE)</f>
        <v>22</v>
      </c>
      <c r="G10" s="6133" cm="1">
        <f t="array" aca="1" ref="G10" ca="1">INDIRECT("'※ 소상공인 세부데이터'!"&amp;G$1&amp;$T10, TRUE)</f>
        <v>22</v>
      </c>
      <c r="H10" s="6133" cm="1">
        <f t="array" aca="1" ref="H10" ca="1">INDIRECT("'※ 소상공인 세부데이터'!"&amp;H$1&amp;$T10, TRUE)</f>
        <v>27</v>
      </c>
      <c r="I10" s="6133" cm="1">
        <f t="array" aca="1" ref="I10" ca="1">INDIRECT("'※ 소상공인 세부데이터'!"&amp;I$1&amp;$T10, TRUE)</f>
        <v>28</v>
      </c>
      <c r="J10" s="6133" cm="1">
        <f t="array" aca="1" ref="J10" ca="1">INDIRECT("'※ 소상공인 세부데이터'!"&amp;J$1&amp;$T10, TRUE)</f>
        <v>27</v>
      </c>
      <c r="K10" s="6133" cm="1">
        <f t="array" aca="1" ref="K10" ca="1">INDIRECT("'※ 소상공인 세부데이터'!"&amp;K$1&amp;$T10, TRUE)</f>
        <v>27</v>
      </c>
      <c r="L10" s="6147" cm="1">
        <f t="array" aca="1" ref="L10" ca="1">INDIRECT("'※ 소상공인 세부데이터'!"&amp;L$1&amp;$T10, TRUE)</f>
        <v>14</v>
      </c>
      <c r="M10" s="6133" cm="1">
        <f t="array" aca="1" ref="M10" ca="1">INDIRECT("'※ 소상공인 세부데이터'!"&amp;M$1&amp;$T10, TRUE)</f>
        <v>14</v>
      </c>
      <c r="N10" s="6133" cm="1">
        <f t="array" aca="1" ref="N10" ca="1">INDIRECT("'※ 소상공인 세부데이터'!"&amp;N$1&amp;$T10, TRUE)</f>
        <v>0</v>
      </c>
      <c r="O10" s="6133" cm="1">
        <f t="array" aca="1" ref="O10" ca="1">INDIRECT("'※ 소상공인 세부데이터'!"&amp;O$1&amp;$T10, TRUE)</f>
        <v>-8</v>
      </c>
      <c r="P10" s="6166" cm="1">
        <f t="array" aca="1" ref="P10" ca="1">INDIRECT("'※ 소상공인 세부데이터'!"&amp;P$1&amp;$T10, TRUE)</f>
        <v>14</v>
      </c>
      <c r="Q10" s="6133" cm="1">
        <f t="array" aca="1" ref="Q10" ca="1">INDIRECT("'※ 소상공인 세부데이터'!"&amp;Q$1&amp;$T10, TRUE)</f>
        <v>-16</v>
      </c>
      <c r="R10" s="6133" cm="1">
        <f t="array" aca="1" ref="R10" ca="1">INDIRECT("'※ 소상공인 세부데이터'!"&amp;R$1&amp;$T10, TRUE)</f>
        <v>14</v>
      </c>
      <c r="S10" s="6133" cm="1">
        <f t="array" aca="1" ref="S10" ca="1">INDIRECT("'※ 소상공인 세부데이터'!"&amp;S$1&amp;$T10, TRUE)</f>
        <v>-9.5</v>
      </c>
      <c r="T10" s="1520">
        <f>ROW('※ 소상공인 세부데이터'!J5)</f>
        <v>5</v>
      </c>
    </row>
    <row r="11" spans="1:52" ht="16.95" customHeight="1" x14ac:dyDescent="0.55000000000000004">
      <c r="A11" s="7274"/>
      <c r="B11" s="7271" t="s">
        <v>1190</v>
      </c>
      <c r="C11" s="898" t="s">
        <v>1192</v>
      </c>
      <c r="D11" s="6131" cm="1">
        <f t="array" aca="1" ref="D11" ca="1">INDIRECT("'※ 소상공인 세부데이터'!"&amp;D$1&amp;$T11, TRUE)</f>
        <v>3.3766684511969038</v>
      </c>
      <c r="E11" s="6160" cm="1">
        <f t="array" aca="1" ref="E11" ca="1">INDIRECT("'※ 소상공인 세부데이터'!"&amp;E$1&amp;$T11, TRUE)</f>
        <v>2.6953964245630915</v>
      </c>
      <c r="F11" s="6131" cm="1">
        <f t="array" aca="1" ref="F11" ca="1">INDIRECT("'※ 소상공인 세부데이터'!"&amp;F$1&amp;$T11, TRUE)</f>
        <v>1.5909090909090908</v>
      </c>
      <c r="G11" s="6131" cm="1">
        <f t="array" aca="1" ref="G11" ca="1">INDIRECT("'※ 소상공인 세부데이터'!"&amp;G$1&amp;$T11, TRUE)</f>
        <v>4.5</v>
      </c>
      <c r="H11" s="6131" cm="1">
        <f t="array" aca="1" ref="H11" ca="1">INDIRECT("'※ 소상공인 세부데이터'!"&amp;H$1&amp;$T11, TRUE)</f>
        <v>1.1481481481481481</v>
      </c>
      <c r="I11" s="6131" cm="1">
        <f t="array" aca="1" ref="I11" ca="1">INDIRECT("'※ 소상공인 세부데이터'!"&amp;I$1&amp;$T11, TRUE)</f>
        <v>2.9642857142857144</v>
      </c>
      <c r="J11" s="6131" cm="1">
        <f t="array" aca="1" ref="J11" ca="1">INDIRECT("'※ 소상공인 세부데이터'!"&amp;J$1&amp;$T11, TRUE)</f>
        <v>3.925925925925926</v>
      </c>
      <c r="K11" s="6131" cm="1">
        <f t="array" aca="1" ref="K11" ca="1">INDIRECT("'※ 소상공인 세부데이터'!"&amp;K$1&amp;$T11, TRUE)</f>
        <v>1.8518518518518519</v>
      </c>
      <c r="L11" s="6145" cm="1">
        <f t="array" aca="1" ref="L11" ca="1">INDIRECT("'※ 소상공인 세부데이터'!"&amp;L$1&amp;$T11, TRUE)</f>
        <v>5.4285714285714288</v>
      </c>
      <c r="M11" s="6131" cm="1">
        <f t="array" aca="1" ref="M11" ca="1">INDIRECT("'※ 소상공인 세부데이터'!"&amp;M$1&amp;$T11, TRUE)</f>
        <v>3.7142857142857144</v>
      </c>
      <c r="N11" s="6131" cm="1">
        <f t="array" aca="1" ref="N11" ca="1">INDIRECT("'※ 소상공인 세부데이터'!"&amp;N$1&amp;$T11, TRUE)</f>
        <v>-1.7142857142857144</v>
      </c>
      <c r="O11" s="6131" cm="1">
        <f t="array" aca="1" ref="O11" ca="1">INDIRECT("'※ 소상공인 세부데이터'!"&amp;O$1&amp;$T11, TRUE)</f>
        <v>-0.78571428571428559</v>
      </c>
      <c r="P11" s="6164" cm="1">
        <f t="array" aca="1" ref="P11" ca="1">INDIRECT("'※ 소상공인 세부데이터'!"&amp;P$1&amp;$T11, TRUE)</f>
        <v>4.5714285714285712</v>
      </c>
      <c r="Q11" s="6131" cm="1">
        <f t="array" aca="1" ref="Q11" ca="1">INDIRECT("'※ 소상공인 세부데이터'!"&amp;Q$1&amp;$T11, TRUE)</f>
        <v>3.0519480519480515</v>
      </c>
      <c r="R11" s="6131" cm="1">
        <f t="array" aca="1" ref="R11" ca="1">INDIRECT("'※ 소상공인 세부데이터'!"&amp;R$1&amp;$T11, TRUE)</f>
        <v>4.5714285714285712</v>
      </c>
      <c r="S11" s="6131" cm="1">
        <f t="array" aca="1" ref="S11" ca="1">INDIRECT("'※ 소상공인 세부데이터'!"&amp;S$1&amp;$T11, TRUE)</f>
        <v>1.8760321468654797</v>
      </c>
      <c r="T11" s="1520">
        <f>ROW('※ 소상공인 세부데이터'!J55)</f>
        <v>55</v>
      </c>
    </row>
    <row r="12" spans="1:52" ht="16.95" customHeight="1" x14ac:dyDescent="0.55000000000000004">
      <c r="A12" s="7275"/>
      <c r="B12" s="7272"/>
      <c r="C12" s="6125" t="s">
        <v>423</v>
      </c>
      <c r="D12" s="6132" cm="1">
        <f t="array" aca="1" ref="D12" ca="1">INDIRECT("'※ 소상공인 세부데이터'!"&amp;D$1&amp;$T12, TRUE)</f>
        <v>15.778987410181463</v>
      </c>
      <c r="E12" s="6161" cm="1">
        <f t="array" aca="1" ref="E12" ca="1">INDIRECT("'※ 소상공인 세부데이터'!"&amp;E$1&amp;$T12, TRUE)</f>
        <v>16.1035201044259</v>
      </c>
      <c r="F12" s="6132" cm="1">
        <f t="array" aca="1" ref="F12" ca="1">INDIRECT("'※ 소상공인 세부데이터'!"&amp;F$1&amp;$T12, TRUE)</f>
        <v>8.8181818181818183</v>
      </c>
      <c r="G12" s="6132" cm="1">
        <f t="array" aca="1" ref="G12" ca="1">INDIRECT("'※ 소상공인 세부데이터'!"&amp;G$1&amp;$T12, TRUE)</f>
        <v>11</v>
      </c>
      <c r="H12" s="6132" cm="1">
        <f t="array" aca="1" ref="H12" ca="1">INDIRECT("'※ 소상공인 세부데이터'!"&amp;H$1&amp;$T12, TRUE)</f>
        <v>8.8148148148148149</v>
      </c>
      <c r="I12" s="6132" cm="1">
        <f t="array" aca="1" ref="I12" ca="1">INDIRECT("'※ 소상공인 세부데이터'!"&amp;I$1&amp;$T12, TRUE)</f>
        <v>11</v>
      </c>
      <c r="J12" s="6132" cm="1">
        <f t="array" aca="1" ref="J12" ca="1">INDIRECT("'※ 소상공인 세부데이터'!"&amp;J$1&amp;$T12, TRUE)</f>
        <v>15.25925925925926</v>
      </c>
      <c r="K12" s="6132" cm="1">
        <f t="array" aca="1" ref="K12" ca="1">INDIRECT("'※ 소상공인 세부데이터'!"&amp;K$1&amp;$T12, TRUE)</f>
        <v>11.62962962962963</v>
      </c>
      <c r="L12" s="6146" cm="1">
        <f t="array" aca="1" ref="L12" ca="1">INDIRECT("'※ 소상공인 세부데이터'!"&amp;L$1&amp;$T12, TRUE)</f>
        <v>11.142857142857142</v>
      </c>
      <c r="M12" s="6132" cm="1">
        <f t="array" aca="1" ref="M12" ca="1">INDIRECT("'※ 소상공인 세부데이터'!"&amp;M$1&amp;$T12, TRUE)</f>
        <v>16.928571428571427</v>
      </c>
      <c r="N12" s="6132" cm="1">
        <f t="array" aca="1" ref="N12" ca="1">INDIRECT("'※ 소상공인 세부데이터'!"&amp;N$1&amp;$T12, TRUE)</f>
        <v>5.7857142857142847</v>
      </c>
      <c r="O12" s="6132" cm="1">
        <f t="array" aca="1" ref="O12" ca="1">INDIRECT("'※ 소상공인 세부데이터'!"&amp;O$1&amp;$T12, TRUE)</f>
        <v>5.928571428571427</v>
      </c>
      <c r="P12" s="6165" cm="1">
        <f t="array" aca="1" ref="P12" ca="1">INDIRECT("'※ 소상공인 세부데이터'!"&amp;P$1&amp;$T12, TRUE)</f>
        <v>14.035714285714285</v>
      </c>
      <c r="Q12" s="6132" cm="1">
        <f t="array" aca="1" ref="Q12" ca="1">INDIRECT("'※ 소상공인 세부데이터'!"&amp;Q$1&amp;$T12, TRUE)</f>
        <v>8.2532467532467493</v>
      </c>
      <c r="R12" s="6132" cm="1">
        <f t="array" aca="1" ref="R12" ca="1">INDIRECT("'※ 소상공인 세부데이터'!"&amp;R$1&amp;$T12, TRUE)</f>
        <v>14.035714285714285</v>
      </c>
      <c r="S12" s="6132" cm="1">
        <f t="array" aca="1" ref="S12" ca="1">INDIRECT("'※ 소상공인 세부데이터'!"&amp;S$1&amp;$T12, TRUE)</f>
        <v>-2.0678058187116157</v>
      </c>
      <c r="T12" s="1520">
        <f>ROW('※ 소상공인 세부데이터'!J61)</f>
        <v>61</v>
      </c>
    </row>
    <row r="13" spans="1:52" ht="16.95" customHeight="1" x14ac:dyDescent="0.55000000000000004">
      <c r="A13" s="7273" t="s">
        <v>68</v>
      </c>
      <c r="B13" s="7292" t="s">
        <v>1187</v>
      </c>
      <c r="C13" s="7292"/>
      <c r="D13" s="6133" cm="1">
        <f t="array" aca="1" ref="D13" ca="1">INDIRECT("'※ 소상공인 세부데이터'!"&amp;D$1&amp;$T13, TRUE)</f>
        <v>15</v>
      </c>
      <c r="E13" s="6162" cm="1">
        <f t="array" aca="1" ref="E13" ca="1">INDIRECT("'※ 소상공인 세부데이터'!"&amp;E$1&amp;$T13, TRUE)</f>
        <v>9</v>
      </c>
      <c r="F13" s="6133" cm="1">
        <f t="array" aca="1" ref="F13" ca="1">INDIRECT("'※ 소상공인 세부데이터'!"&amp;F$1&amp;$T13, TRUE)</f>
        <v>16</v>
      </c>
      <c r="G13" s="6133" cm="1">
        <f t="array" aca="1" ref="G13" ca="1">INDIRECT("'※ 소상공인 세부데이터'!"&amp;G$1&amp;$T13, TRUE)</f>
        <v>15</v>
      </c>
      <c r="H13" s="6133" cm="1">
        <f t="array" aca="1" ref="H13" ca="1">INDIRECT("'※ 소상공인 세부데이터'!"&amp;H$1&amp;$T13, TRUE)</f>
        <v>17</v>
      </c>
      <c r="I13" s="6133" cm="1">
        <f t="array" aca="1" ref="I13" ca="1">INDIRECT("'※ 소상공인 세부데이터'!"&amp;I$1&amp;$T13, TRUE)</f>
        <v>16</v>
      </c>
      <c r="J13" s="6133" cm="1">
        <f t="array" aca="1" ref="J13" ca="1">INDIRECT("'※ 소상공인 세부데이터'!"&amp;J$1&amp;$T13, TRUE)</f>
        <v>15</v>
      </c>
      <c r="K13" s="6133" cm="1">
        <f t="array" aca="1" ref="K13" ca="1">INDIRECT("'※ 소상공인 세부데이터'!"&amp;K$1&amp;$T13, TRUE)</f>
        <v>15</v>
      </c>
      <c r="L13" s="6147" cm="1">
        <f t="array" aca="1" ref="L13" ca="1">INDIRECT("'※ 소상공인 세부데이터'!"&amp;L$1&amp;$T13, TRUE)</f>
        <v>7</v>
      </c>
      <c r="M13" s="6133" cm="1">
        <f t="array" aca="1" ref="M13" ca="1">INDIRECT("'※ 소상공인 세부데이터'!"&amp;M$1&amp;$T13, TRUE)</f>
        <v>7</v>
      </c>
      <c r="N13" s="6133" cm="1">
        <f t="array" aca="1" ref="N13" ca="1">INDIRECT("'※ 소상공인 세부데이터'!"&amp;N$1&amp;$T13, TRUE)</f>
        <v>0</v>
      </c>
      <c r="O13" s="6133" cm="1">
        <f t="array" aca="1" ref="O13" ca="1">INDIRECT("'※ 소상공인 세부데이터'!"&amp;O$1&amp;$T13, TRUE)</f>
        <v>-8</v>
      </c>
      <c r="P13" s="6166" cm="1">
        <f t="array" aca="1" ref="P13" ca="1">INDIRECT("'※ 소상공인 세부데이터'!"&amp;P$1&amp;$T13, TRUE)</f>
        <v>7</v>
      </c>
      <c r="Q13" s="6133" cm="1">
        <f t="array" aca="1" ref="Q13" ca="1">INDIRECT("'※ 소상공인 세부데이터'!"&amp;Q$1&amp;$T13, TRUE)</f>
        <v>-17</v>
      </c>
      <c r="R13" s="6133" cm="1">
        <f t="array" aca="1" ref="R13" ca="1">INDIRECT("'※ 소상공인 세부데이터'!"&amp;R$1&amp;$T13, TRUE)</f>
        <v>7</v>
      </c>
      <c r="S13" s="6133" cm="1">
        <f t="array" aca="1" ref="S13" ca="1">INDIRECT("'※ 소상공인 세부데이터'!"&amp;S$1&amp;$T13, TRUE)</f>
        <v>-6.75</v>
      </c>
      <c r="T13" s="1520">
        <f>ROW('※ 소상공인 세부데이터'!J7)</f>
        <v>7</v>
      </c>
    </row>
    <row r="14" spans="1:52" ht="16.95" customHeight="1" x14ac:dyDescent="0.55000000000000004">
      <c r="A14" s="7274"/>
      <c r="B14" s="7271" t="s">
        <v>1190</v>
      </c>
      <c r="C14" s="898" t="s">
        <v>1192</v>
      </c>
      <c r="D14" s="6131" cm="1">
        <f t="array" aca="1" ref="D14" ca="1">INDIRECT("'※ 소상공인 세부데이터'!"&amp;D$1&amp;$T14, TRUE)</f>
        <v>0.79319104919622774</v>
      </c>
      <c r="E14" s="6160" cm="1">
        <f t="array" aca="1" ref="E14" ca="1">INDIRECT("'※ 소상공인 세부데이터'!"&amp;E$1&amp;$T14, TRUE)</f>
        <v>0.40261810778108781</v>
      </c>
      <c r="F14" s="6131" cm="1">
        <f t="array" aca="1" ref="F14" ca="1">INDIRECT("'※ 소상공인 세부데이터'!"&amp;F$1&amp;$T14, TRUE)</f>
        <v>0.15053763440860216</v>
      </c>
      <c r="G14" s="6131" cm="1">
        <f t="array" aca="1" ref="G14" ca="1">INDIRECT("'※ 소상공인 세부데이터'!"&amp;G$1&amp;$T14, TRUE)</f>
        <v>0.89184060721062619</v>
      </c>
      <c r="H14" s="6131" cm="1">
        <f t="array" aca="1" ref="H14" ca="1">INDIRECT("'※ 소상공인 세부데이터'!"&amp;H$1&amp;$T14, TRUE)</f>
        <v>0.19953051643192488</v>
      </c>
      <c r="I14" s="6131" cm="1">
        <f t="array" aca="1" ref="I14" ca="1">INDIRECT("'※ 소상공인 세부데이터'!"&amp;I$1&amp;$T14, TRUE)</f>
        <v>0.34612490594431899</v>
      </c>
      <c r="J14" s="6131" cm="1">
        <f t="array" aca="1" ref="J14" ca="1">INDIRECT("'※ 소상공인 세부데이터'!"&amp;J$1&amp;$T14, TRUE)</f>
        <v>0.78358208955223874</v>
      </c>
      <c r="K14" s="6131" cm="1">
        <f t="array" aca="1" ref="K14" ca="1">INDIRECT("'※ 소상공인 세부데이터'!"&amp;K$1&amp;$T14, TRUE)</f>
        <v>0.20895522388059701</v>
      </c>
      <c r="L14" s="6145" cm="1">
        <f t="array" aca="1" ref="L14" ca="1">INDIRECT("'※ 소상공인 세부데이터'!"&amp;L$1&amp;$T14, TRUE)</f>
        <v>0.44619422572178474</v>
      </c>
      <c r="M14" s="6131" cm="1">
        <f t="array" aca="1" ref="M14" ca="1">INDIRECT("'※ 소상공인 세부데이터'!"&amp;M$1&amp;$T14, TRUE)</f>
        <v>0.31700288184438036</v>
      </c>
      <c r="N14" s="6131" cm="1">
        <f t="array" aca="1" ref="N14" ca="1">INDIRECT("'※ 소상공인 세부데이터'!"&amp;N$1&amp;$T14, TRUE)</f>
        <v>-0.12919134387740439</v>
      </c>
      <c r="O14" s="6131" cm="1">
        <f t="array" aca="1" ref="O14" ca="1">INDIRECT("'※ 소상공인 세부데이터'!"&amp;O$1&amp;$T14, TRUE)</f>
        <v>-0.57483772536624578</v>
      </c>
      <c r="P14" s="6164" cm="1">
        <f t="array" aca="1" ref="P14" ca="1">INDIRECT("'※ 소상공인 세부데이터'!"&amp;P$1&amp;$T14, TRUE)</f>
        <v>0.38159855378308255</v>
      </c>
      <c r="Q14" s="6131" cm="1">
        <f t="array" aca="1" ref="Q14" ca="1">INDIRECT("'※ 소상공인 세부데이터'!"&amp;Q$1&amp;$T14, TRUE)</f>
        <v>-0.27918113405306333</v>
      </c>
      <c r="R14" s="6131" cm="1">
        <f t="array" aca="1" ref="R14" ca="1">INDIRECT("'※ 소상공인 세부데이터'!"&amp;R$1&amp;$T14, TRUE)</f>
        <v>0.38159855378308255</v>
      </c>
      <c r="S14" s="6131" cm="1">
        <f t="array" aca="1" ref="S14" ca="1">INDIRECT("'※ 소상공인 세부데이터'!"&amp;S$1&amp;$T14, TRUE)</f>
        <v>-2.1019553998005258E-2</v>
      </c>
      <c r="T14" s="1520">
        <f>ROW('※ 소상공인 세부데이터'!J56)</f>
        <v>56</v>
      </c>
    </row>
    <row r="15" spans="1:52" ht="16.95" customHeight="1" x14ac:dyDescent="0.55000000000000004">
      <c r="A15" s="7275"/>
      <c r="B15" s="7272"/>
      <c r="C15" s="6125" t="s">
        <v>423</v>
      </c>
      <c r="D15" s="6132" cm="1">
        <f t="array" aca="1" ref="D15" ca="1">INDIRECT("'※ 소상공인 세부데이터'!"&amp;D$1&amp;$T15, TRUE)</f>
        <v>4.3769313275391326</v>
      </c>
      <c r="E15" s="6161" cm="1">
        <f t="array" aca="1" ref="E15" ca="1">INDIRECT("'※ 소상공인 세부데이터'!"&amp;E$1&amp;$T15, TRUE)</f>
        <v>2.8720738037496498</v>
      </c>
      <c r="F15" s="6132" cm="1">
        <f t="array" aca="1" ref="F15" ca="1">INDIRECT("'※ 소상공인 세부데이터'!"&amp;F$1&amp;$T15, TRUE)</f>
        <v>1.956989247311828</v>
      </c>
      <c r="G15" s="6132" cm="1">
        <f t="array" aca="1" ref="G15" ca="1">INDIRECT("'※ 소상공인 세부데이터'!"&amp;G$1&amp;$T15, TRUE)</f>
        <v>2.618595825426945</v>
      </c>
      <c r="H15" s="6132" cm="1">
        <f t="array" aca="1" ref="H15" ca="1">INDIRECT("'※ 소상공인 세부데이터'!"&amp;H$1&amp;$T15, TRUE)</f>
        <v>1.596244131455399</v>
      </c>
      <c r="I15" s="6132" cm="1">
        <f t="array" aca="1" ref="I15" ca="1">INDIRECT("'※ 소상공인 세부데이터'!"&amp;I$1&amp;$T15, TRUE)</f>
        <v>2.1068472535741156</v>
      </c>
      <c r="J15" s="6132" cm="1">
        <f t="array" aca="1" ref="J15" ca="1">INDIRECT("'※ 소상공인 세부데이터'!"&amp;J$1&amp;$T15, TRUE)</f>
        <v>3.4079601990049748</v>
      </c>
      <c r="K15" s="6132" cm="1">
        <f t="array" aca="1" ref="K15" ca="1">INDIRECT("'※ 소상공인 세부데이터'!"&amp;K$1&amp;$T15, TRUE)</f>
        <v>1.2537313432835822</v>
      </c>
      <c r="L15" s="6146" cm="1">
        <f t="array" aca="1" ref="L15" ca="1">INDIRECT("'※ 소상공인 세부데이터'!"&amp;L$1&amp;$T15, TRUE)</f>
        <v>3.4383202099737531</v>
      </c>
      <c r="M15" s="6132" cm="1">
        <f t="array" aca="1" ref="M15" ca="1">INDIRECT("'※ 소상공인 세부데이터'!"&amp;M$1&amp;$T15, TRUE)</f>
        <v>5.3025936599423629</v>
      </c>
      <c r="N15" s="6132" cm="1">
        <f t="array" aca="1" ref="N15" ca="1">INDIRECT("'※ 소상공인 세부데이터'!"&amp;N$1&amp;$T15, TRUE)</f>
        <v>1.8642734499686098</v>
      </c>
      <c r="O15" s="6132" cm="1">
        <f t="array" aca="1" ref="O15" ca="1">INDIRECT("'※ 소상공인 세부데이터'!"&amp;O$1&amp;$T15, TRUE)</f>
        <v>2.6839978345154178</v>
      </c>
      <c r="P15" s="6165" cm="1">
        <f t="array" aca="1" ref="P15" ca="1">INDIRECT("'※ 소상공인 세부데이터'!"&amp;P$1&amp;$T15, TRUE)</f>
        <v>4.3704569349580584</v>
      </c>
      <c r="Q15" s="6132" cm="1">
        <f t="array" aca="1" ref="Q15" ca="1">INDIRECT("'※ 소상공인 세부데이터'!"&amp;Q$1&amp;$T15, TRUE)</f>
        <v>4.1653287971773434</v>
      </c>
      <c r="R15" s="6132" cm="1">
        <f t="array" aca="1" ref="R15" ca="1">INDIRECT("'※ 소상공인 세부데이터'!"&amp;R$1&amp;$T15, TRUE)</f>
        <v>4.3704569349580584</v>
      </c>
      <c r="S15" s="6132" cm="1">
        <f t="array" aca="1" ref="S15" ca="1">INDIRECT("'※ 소상공인 세부데이터'!"&amp;S$1&amp;$T15, TRUE)</f>
        <v>1.4983831312084086</v>
      </c>
      <c r="T15" s="1520">
        <f>ROW('※ 소상공인 세부데이터'!J62)</f>
        <v>62</v>
      </c>
    </row>
    <row r="16" spans="1:52" ht="16.95" customHeight="1" x14ac:dyDescent="0.55000000000000004">
      <c r="A16" s="7273" t="s">
        <v>69</v>
      </c>
      <c r="B16" s="7292" t="s">
        <v>1187</v>
      </c>
      <c r="C16" s="7292"/>
      <c r="D16" s="6133" cm="1">
        <f t="array" aca="1" ref="D16" ca="1">INDIRECT("'※ 소상공인 세부데이터'!"&amp;D$1&amp;$T16, TRUE)</f>
        <v>21</v>
      </c>
      <c r="E16" s="6162" cm="1">
        <f t="array" aca="1" ref="E16" ca="1">INDIRECT("'※ 소상공인 세부데이터'!"&amp;E$1&amp;$T16, TRUE)</f>
        <v>11</v>
      </c>
      <c r="F16" s="6133" cm="1">
        <f t="array" aca="1" ref="F16" ca="1">INDIRECT("'※ 소상공인 세부데이터'!"&amp;F$1&amp;$T16, TRUE)</f>
        <v>22</v>
      </c>
      <c r="G16" s="6133" cm="1">
        <f t="array" aca="1" ref="G16" ca="1">INDIRECT("'※ 소상공인 세부데이터'!"&amp;G$1&amp;$T16, TRUE)</f>
        <v>23</v>
      </c>
      <c r="H16" s="6133" cm="1">
        <f t="array" aca="1" ref="H16" ca="1">INDIRECT("'※ 소상공인 세부데이터'!"&amp;H$1&amp;$T16, TRUE)</f>
        <v>23</v>
      </c>
      <c r="I16" s="6133" cm="1">
        <f t="array" aca="1" ref="I16" ca="1">INDIRECT("'※ 소상공인 세부데이터'!"&amp;I$1&amp;$T16, TRUE)</f>
        <v>20</v>
      </c>
      <c r="J16" s="6133" cm="1">
        <f t="array" aca="1" ref="J16" ca="1">INDIRECT("'※ 소상공인 세부데이터'!"&amp;J$1&amp;$T16, TRUE)</f>
        <v>20</v>
      </c>
      <c r="K16" s="6133" cm="1">
        <f t="array" aca="1" ref="K16" ca="1">INDIRECT("'※ 소상공인 세부데이터'!"&amp;K$1&amp;$T16, TRUE)</f>
        <v>20</v>
      </c>
      <c r="L16" s="6147" cm="1">
        <f t="array" aca="1" ref="L16" ca="1">INDIRECT("'※ 소상공인 세부데이터'!"&amp;L$1&amp;$T16, TRUE)</f>
        <v>9</v>
      </c>
      <c r="M16" s="6133" cm="1">
        <f t="array" aca="1" ref="M16" ca="1">INDIRECT("'※ 소상공인 세부데이터'!"&amp;M$1&amp;$T16, TRUE)</f>
        <v>8</v>
      </c>
      <c r="N16" s="6133" cm="1">
        <f t="array" aca="1" ref="N16" ca="1">INDIRECT("'※ 소상공인 세부데이터'!"&amp;N$1&amp;$T16, TRUE)</f>
        <v>-1</v>
      </c>
      <c r="O16" s="6133" cm="1">
        <f t="array" aca="1" ref="O16" ca="1">INDIRECT("'※ 소상공인 세부데이터'!"&amp;O$1&amp;$T16, TRUE)</f>
        <v>-15</v>
      </c>
      <c r="P16" s="6166" cm="1">
        <f t="array" aca="1" ref="P16" ca="1">INDIRECT("'※ 소상공인 세부데이터'!"&amp;P$1&amp;$T16, TRUE)</f>
        <v>8.5</v>
      </c>
      <c r="Q16" s="6133" cm="1">
        <f t="array" aca="1" ref="Q16" ca="1">INDIRECT("'※ 소상공인 세부데이터'!"&amp;Q$1&amp;$T16, TRUE)</f>
        <v>-28</v>
      </c>
      <c r="R16" s="6133" cm="1">
        <f t="array" aca="1" ref="R16" ca="1">INDIRECT("'※ 소상공인 세부데이터'!"&amp;R$1&amp;$T16, TRUE)</f>
        <v>8.5</v>
      </c>
      <c r="S16" s="6133" cm="1">
        <f t="array" aca="1" ref="S16" ca="1">INDIRECT("'※ 소상공인 세부데이터'!"&amp;S$1&amp;$T16, TRUE)</f>
        <v>-10.333333333333332</v>
      </c>
      <c r="T16" s="1520">
        <f>ROW('※ 소상공인 세부데이터'!J9)</f>
        <v>9</v>
      </c>
    </row>
    <row r="17" spans="1:20" ht="16.95" customHeight="1" x14ac:dyDescent="0.55000000000000004">
      <c r="A17" s="7274"/>
      <c r="B17" s="7271" t="s">
        <v>1190</v>
      </c>
      <c r="C17" s="898" t="s">
        <v>1192</v>
      </c>
      <c r="D17" s="6131" cm="1">
        <f t="array" aca="1" ref="D17" ca="1">INDIRECT("'※ 소상공인 세부데이터'!"&amp;D$1&amp;$T17, TRUE)</f>
        <v>2.2706908831908832</v>
      </c>
      <c r="E17" s="6160" cm="1">
        <f t="array" aca="1" ref="E17" ca="1">INDIRECT("'※ 소상공인 세부데이터'!"&amp;E$1&amp;$T17, TRUE)</f>
        <v>2.905341581076875</v>
      </c>
      <c r="F17" s="6131" cm="1">
        <f t="array" aca="1" ref="F17" ca="1">INDIRECT("'※ 소상공인 세부데이터'!"&amp;F$1&amp;$T17, TRUE)</f>
        <v>1.375</v>
      </c>
      <c r="G17" s="6131" cm="1">
        <f t="array" aca="1" ref="G17" ca="1">INDIRECT("'※ 소상공인 세부데이터'!"&amp;G$1&amp;$T17, TRUE)</f>
        <v>2.6</v>
      </c>
      <c r="H17" s="6131" cm="1">
        <f t="array" aca="1" ref="H17" ca="1">INDIRECT("'※ 소상공인 세부데이터'!"&amp;H$1&amp;$T17, TRUE)</f>
        <v>0.88235294117647056</v>
      </c>
      <c r="I17" s="6131" cm="1">
        <f t="array" aca="1" ref="I17" ca="1">INDIRECT("'※ 소상공인 세부데이터'!"&amp;I$1&amp;$T17, TRUE)</f>
        <v>3.875</v>
      </c>
      <c r="J17" s="6131" cm="1">
        <f t="array" aca="1" ref="J17" ca="1">INDIRECT("'※ 소상공인 세부데이터'!"&amp;J$1&amp;$T17, TRUE)</f>
        <v>4.2</v>
      </c>
      <c r="K17" s="6131" cm="1">
        <f t="array" aca="1" ref="K17" ca="1">INDIRECT("'※ 소상공인 세부데이터'!"&amp;K$1&amp;$T17, TRUE)</f>
        <v>1.7333333333333334</v>
      </c>
      <c r="L17" s="6145" cm="1">
        <f t="array" aca="1" ref="L17" ca="1">INDIRECT("'※ 소상공인 세부데이터'!"&amp;L$1&amp;$T17, TRUE)</f>
        <v>5.8571428571428568</v>
      </c>
      <c r="M17" s="6131" cm="1">
        <f t="array" aca="1" ref="M17" ca="1">INDIRECT("'※ 소상공인 세부데이터'!"&amp;M$1&amp;$T17, TRUE)</f>
        <v>1.1428571428571428</v>
      </c>
      <c r="N17" s="6131" cm="1">
        <f t="array" aca="1" ref="N17" ca="1">INDIRECT("'※ 소상공인 세부데이터'!"&amp;N$1&amp;$T17, TRUE)</f>
        <v>-4.7142857142857135</v>
      </c>
      <c r="O17" s="6131" cm="1">
        <f t="array" aca="1" ref="O17" ca="1">INDIRECT("'※ 소상공인 세부데이터'!"&amp;O$1&amp;$T17, TRUE)</f>
        <v>-1.4571428571428573</v>
      </c>
      <c r="P17" s="6164" cm="1">
        <f t="array" aca="1" ref="P17" ca="1">INDIRECT("'※ 소상공인 세부데이터'!"&amp;P$1&amp;$T17, TRUE)</f>
        <v>3.5</v>
      </c>
      <c r="Q17" s="6131" cm="1">
        <f t="array" aca="1" ref="Q17" ca="1">INDIRECT("'※ 소상공인 세부데이터'!"&amp;Q$1&amp;$T17, TRUE)</f>
        <v>3.0249999999999999</v>
      </c>
      <c r="R17" s="6131" cm="1">
        <f t="array" aca="1" ref="R17" ca="1">INDIRECT("'※ 소상공인 세부데이터'!"&amp;R$1&amp;$T17, TRUE)</f>
        <v>3.5</v>
      </c>
      <c r="S17" s="6131" cm="1">
        <f t="array" aca="1" ref="S17" ca="1">INDIRECT("'※ 소상공인 세부데이터'!"&amp;S$1&amp;$T17, TRUE)</f>
        <v>0.59465841892312499</v>
      </c>
      <c r="T17" s="1520">
        <f>ROW('※ 소상공인 세부데이터'!J57)</f>
        <v>57</v>
      </c>
    </row>
    <row r="18" spans="1:20" ht="16.95" customHeight="1" x14ac:dyDescent="0.55000000000000004">
      <c r="A18" s="7275"/>
      <c r="B18" s="7272"/>
      <c r="C18" s="6125" t="s">
        <v>423</v>
      </c>
      <c r="D18" s="6132" cm="1">
        <f t="array" aca="1" ref="D18" ca="1">INDIRECT("'※ 소상공인 세부데이터'!"&amp;D$1&amp;$T18, TRUE)</f>
        <v>19.068517246642248</v>
      </c>
      <c r="E18" s="6161" cm="1">
        <f t="array" aca="1" ref="E18" ca="1">INDIRECT("'※ 소상공인 세부데이터'!"&amp;E$1&amp;$T18, TRUE)</f>
        <v>17.004864028944908</v>
      </c>
      <c r="F18" s="6132" cm="1">
        <f t="array" aca="1" ref="F18" ca="1">INDIRECT("'※ 소상공인 세부데이터'!"&amp;F$1&amp;$T18, TRUE)</f>
        <v>19.625</v>
      </c>
      <c r="G18" s="6132" cm="1">
        <f t="array" aca="1" ref="G18" ca="1">INDIRECT("'※ 소상공인 세부데이터'!"&amp;G$1&amp;$T18, TRUE)</f>
        <v>10.333333333333334</v>
      </c>
      <c r="H18" s="6132" cm="1">
        <f t="array" aca="1" ref="H18" ca="1">INDIRECT("'※ 소상공인 세부데이터'!"&amp;H$1&amp;$T18, TRUE)</f>
        <v>14.647058823529411</v>
      </c>
      <c r="I18" s="6132" cm="1">
        <f t="array" aca="1" ref="I18" ca="1">INDIRECT("'※ 소상공인 세부데이터'!"&amp;I$1&amp;$T18, TRUE)</f>
        <v>12.3125</v>
      </c>
      <c r="J18" s="6132" cm="1">
        <f t="array" aca="1" ref="J18" ca="1">INDIRECT("'※ 소상공인 세부데이터'!"&amp;J$1&amp;$T18, TRUE)</f>
        <v>18.399999999999999</v>
      </c>
      <c r="K18" s="6132" cm="1">
        <f t="array" aca="1" ref="K18" ca="1">INDIRECT("'※ 소상공인 세부데이터'!"&amp;K$1&amp;$T18, TRUE)</f>
        <v>15.133333333333333</v>
      </c>
      <c r="L18" s="6146" cm="1">
        <f t="array" aca="1" ref="L18" ca="1">INDIRECT("'※ 소상공인 세부데이터'!"&amp;L$1&amp;$T18, TRUE)</f>
        <v>28</v>
      </c>
      <c r="M18" s="6132" cm="1">
        <f t="array" aca="1" ref="M18" ca="1">INDIRECT("'※ 소상공인 세부데이터'!"&amp;M$1&amp;$T18, TRUE)</f>
        <v>39.142857142857146</v>
      </c>
      <c r="N18" s="6132" cm="1">
        <f t="array" aca="1" ref="N18" ca="1">INDIRECT("'※ 소상공인 세부데이터'!"&amp;N$1&amp;$T18, TRUE)</f>
        <v>11.142857142857146</v>
      </c>
      <c r="O18" s="6132" cm="1">
        <f t="array" aca="1" ref="O18" ca="1">INDIRECT("'※ 소상공인 세부데이터'!"&amp;O$1&amp;$T18, TRUE)</f>
        <v>28.80952380952381</v>
      </c>
      <c r="P18" s="6165" cm="1">
        <f t="array" aca="1" ref="P18" ca="1">INDIRECT("'※ 소상공인 세부데이터'!"&amp;P$1&amp;$T18, TRUE)</f>
        <v>33.571428571428569</v>
      </c>
      <c r="Q18" s="6132" cm="1">
        <f t="array" aca="1" ref="Q18" ca="1">INDIRECT("'※ 소상공인 세부데이터'!"&amp;Q$1&amp;$T18, TRUE)</f>
        <v>37.184523809523803</v>
      </c>
      <c r="R18" s="6132" cm="1">
        <f t="array" aca="1" ref="R18" ca="1">INDIRECT("'※ 소상공인 세부데이터'!"&amp;R$1&amp;$T18, TRUE)</f>
        <v>33.571428571428569</v>
      </c>
      <c r="S18" s="6132" cm="1">
        <f t="array" aca="1" ref="S18" ca="1">INDIRECT("'※ 소상공인 세부데이터'!"&amp;S$1&amp;$T18, TRUE)</f>
        <v>16.566564542483661</v>
      </c>
      <c r="T18" s="1520">
        <f>ROW('※ 소상공인 세부데이터'!J63)</f>
        <v>63</v>
      </c>
    </row>
    <row r="19" spans="1:20" ht="16.95" customHeight="1" x14ac:dyDescent="0.55000000000000004">
      <c r="A19" s="7273" t="s">
        <v>163</v>
      </c>
      <c r="B19" s="7292" t="s">
        <v>1187</v>
      </c>
      <c r="C19" s="7292"/>
      <c r="D19" s="6133" cm="1">
        <f t="array" aca="1" ref="D19" ca="1">INDIRECT("'※ 소상공인 세부데이터'!"&amp;D$1&amp;$T19, TRUE)</f>
        <v>29</v>
      </c>
      <c r="E19" s="6162" cm="1">
        <f t="array" aca="1" ref="E19" ca="1">INDIRECT("'※ 소상공인 세부데이터'!"&amp;E$1&amp;$T19, TRUE)</f>
        <v>15</v>
      </c>
      <c r="F19" s="6133" cm="1">
        <f t="array" aca="1" ref="F19" ca="1">INDIRECT("'※ 소상공인 세부데이터'!"&amp;F$1&amp;$T19, TRUE)</f>
        <v>29</v>
      </c>
      <c r="G19" s="6133" cm="1">
        <f t="array" aca="1" ref="G19" ca="1">INDIRECT("'※ 소상공인 세부데이터'!"&amp;G$1&amp;$T19, TRUE)</f>
        <v>29</v>
      </c>
      <c r="H19" s="6133" cm="1">
        <f t="array" aca="1" ref="H19" ca="1">INDIRECT("'※ 소상공인 세부데이터'!"&amp;H$1&amp;$T19, TRUE)</f>
        <v>29</v>
      </c>
      <c r="I19" s="6133" cm="1">
        <f t="array" aca="1" ref="I19" ca="1">INDIRECT("'※ 소상공인 세부데이터'!"&amp;I$1&amp;$T19, TRUE)</f>
        <v>30</v>
      </c>
      <c r="J19" s="6133" cm="1">
        <f t="array" aca="1" ref="J19" ca="1">INDIRECT("'※ 소상공인 세부데이터'!"&amp;J$1&amp;$T19, TRUE)</f>
        <v>29</v>
      </c>
      <c r="K19" s="6133" cm="1">
        <f t="array" aca="1" ref="K19" ca="1">INDIRECT("'※ 소상공인 세부데이터'!"&amp;K$1&amp;$T19, TRUE)</f>
        <v>29</v>
      </c>
      <c r="L19" s="6147" cm="1">
        <f t="array" aca="1" ref="L19" ca="1">INDIRECT("'※ 소상공인 세부데이터'!"&amp;L$1&amp;$T19, TRUE)</f>
        <v>14</v>
      </c>
      <c r="M19" s="6133" cm="1">
        <f t="array" aca="1" ref="M19" ca="1">INDIRECT("'※ 소상공인 세부데이터'!"&amp;M$1&amp;$T19, TRUE)</f>
        <v>14</v>
      </c>
      <c r="N19" s="6133" cm="1">
        <f t="array" aca="1" ref="N19" ca="1">INDIRECT("'※ 소상공인 세부데이터'!"&amp;N$1&amp;$T19, TRUE)</f>
        <v>0</v>
      </c>
      <c r="O19" s="6133" cm="1">
        <f t="array" aca="1" ref="O19" ca="1">INDIRECT("'※ 소상공인 세부데이터'!"&amp;O$1&amp;$T19, TRUE)</f>
        <v>-15</v>
      </c>
      <c r="P19" s="6166" cm="1">
        <f t="array" aca="1" ref="P19" ca="1">INDIRECT("'※ 소상공인 세부데이터'!"&amp;P$1&amp;$T19, TRUE)</f>
        <v>14</v>
      </c>
      <c r="Q19" s="6133" cm="1">
        <f t="array" aca="1" ref="Q19" ca="1">INDIRECT("'※ 소상공인 세부데이터'!"&amp;Q$1&amp;$T19, TRUE)</f>
        <v>-30</v>
      </c>
      <c r="R19" s="6133" cm="1">
        <f t="array" aca="1" ref="R19" ca="1">INDIRECT("'※ 소상공인 세부데이터'!"&amp;R$1&amp;$T19, TRUE)</f>
        <v>14</v>
      </c>
      <c r="S19" s="6133" cm="1">
        <f t="array" aca="1" ref="S19" ca="1">INDIRECT("'※ 소상공인 세부데이터'!"&amp;S$1&amp;$T19, TRUE)</f>
        <v>-12.583333333333332</v>
      </c>
      <c r="T19" s="1520">
        <f>ROW('※ 소상공인 세부데이터'!J11)</f>
        <v>11</v>
      </c>
    </row>
    <row r="20" spans="1:20" ht="16.95" customHeight="1" x14ac:dyDescent="0.55000000000000004">
      <c r="A20" s="7274"/>
      <c r="B20" s="7271" t="s">
        <v>1190</v>
      </c>
      <c r="C20" s="898" t="s">
        <v>1192</v>
      </c>
      <c r="D20" s="6131" cm="1">
        <f t="array" aca="1" ref="D20" ca="1">INDIRECT("'※ 소상공인 세부데이터'!"&amp;D$1&amp;$T20, TRUE)</f>
        <v>1.6080667504746702</v>
      </c>
      <c r="E20" s="6160" cm="1">
        <f t="array" aca="1" ref="E20" ca="1">INDIRECT("'※ 소상공인 세부데이터'!"&amp;E$1&amp;$T20, TRUE)</f>
        <v>1.1089595780461223</v>
      </c>
      <c r="F20" s="6131" cm="1">
        <f t="array" aca="1" ref="F20" ca="1">INDIRECT("'※ 소상공인 세부데이터'!"&amp;F$1&amp;$T20, TRUE)</f>
        <v>1.1161731207289294</v>
      </c>
      <c r="G20" s="6131" cm="1">
        <f t="array" aca="1" ref="G20" ca="1">INDIRECT("'※ 소상공인 세부데이터'!"&amp;G$1&amp;$T20, TRUE)</f>
        <v>1.9536423841059603</v>
      </c>
      <c r="H20" s="6131" cm="1">
        <f t="array" aca="1" ref="H20" ca="1">INDIRECT("'※ 소상공인 세부데이터'!"&amp;H$1&amp;$T20, TRUE)</f>
        <v>1.1092436974789917</v>
      </c>
      <c r="I20" s="6131" cm="1">
        <f t="array" aca="1" ref="I20" ca="1">INDIRECT("'※ 소상공인 세부데이터'!"&amp;I$1&amp;$T20, TRUE)</f>
        <v>0.74344023323615172</v>
      </c>
      <c r="J20" s="6131" cm="1">
        <f t="array" aca="1" ref="J20" ca="1">INDIRECT("'※ 소상공인 세부데이터'!"&amp;J$1&amp;$T20, TRUE)</f>
        <v>1.260229132569558</v>
      </c>
      <c r="K20" s="6131" cm="1">
        <f t="array" aca="1" ref="K20" ca="1">INDIRECT("'※ 소상공인 세부데이터'!"&amp;K$1&amp;$T20, TRUE)</f>
        <v>0.65063649222065056</v>
      </c>
      <c r="L20" s="6145" cm="1">
        <f t="array" aca="1" ref="L20" ca="1">INDIRECT("'※ 소상공인 세부데이터'!"&amp;L$1&amp;$T20, TRUE)</f>
        <v>1.408450704225352</v>
      </c>
      <c r="M20" s="6131" cm="1">
        <f t="array" aca="1" ref="M20" ca="1">INDIRECT("'※ 소상공인 세부데이터'!"&amp;M$1&amp;$T20, TRUE)</f>
        <v>0.48</v>
      </c>
      <c r="N20" s="6131" cm="1">
        <f t="array" aca="1" ref="N20" ca="1">INDIRECT("'※ 소상공인 세부데이터'!"&amp;N$1&amp;$T20, TRUE)</f>
        <v>-0.92845070422535203</v>
      </c>
      <c r="O20" s="6131" cm="1">
        <f t="array" aca="1" ref="O20" ca="1">INDIRECT("'※ 소상공인 세부데이터'!"&amp;O$1&amp;$T20, TRUE)</f>
        <v>-1.4736423841059603</v>
      </c>
      <c r="P20" s="6164" cm="1">
        <f t="array" aca="1" ref="P20" ca="1">INDIRECT("'※ 소상공인 세부데이터'!"&amp;P$1&amp;$T20, TRUE)</f>
        <v>0.944225352112676</v>
      </c>
      <c r="Q20" s="6131" cm="1">
        <f t="array" aca="1" ref="Q20" ca="1">INDIRECT("'※ 소상공인 세부데이터'!"&amp;Q$1&amp;$T20, TRUE)</f>
        <v>-1.1813648006095376</v>
      </c>
      <c r="R20" s="6131" cm="1">
        <f t="array" aca="1" ref="R20" ca="1">INDIRECT("'※ 소상공인 세부데이터'!"&amp;R$1&amp;$T20, TRUE)</f>
        <v>0.944225352112676</v>
      </c>
      <c r="S20" s="6131" cm="1">
        <f t="array" aca="1" ref="S20" ca="1">INDIRECT("'※ 소상공인 세부데이터'!"&amp;S$1&amp;$T20, TRUE)</f>
        <v>-0.16473422593344633</v>
      </c>
      <c r="T20" s="1520">
        <f>ROW('※ 소상공인 세부데이터'!J58)</f>
        <v>58</v>
      </c>
    </row>
    <row r="21" spans="1:20" ht="16.95" customHeight="1" x14ac:dyDescent="0.55000000000000004">
      <c r="A21" s="7275"/>
      <c r="B21" s="7272"/>
      <c r="C21" s="6125" t="s">
        <v>423</v>
      </c>
      <c r="D21" s="6132" cm="1">
        <f t="array" aca="1" ref="D21" ca="1">INDIRECT("'※ 소상공인 세부데이터'!"&amp;D$1&amp;$T21, TRUE)</f>
        <v>6.8343460315287272</v>
      </c>
      <c r="E21" s="6161" cm="1">
        <f t="array" aca="1" ref="E21" ca="1">INDIRECT("'※ 소상공인 세부데이터'!"&amp;E$1&amp;$T21, TRUE)</f>
        <v>7.2968522398376408</v>
      </c>
      <c r="F21" s="6132" cm="1">
        <f t="array" aca="1" ref="F21" ca="1">INDIRECT("'※ 소상공인 세부데이터'!"&amp;F$1&amp;$T21, TRUE)</f>
        <v>4.9430523917995446</v>
      </c>
      <c r="G21" s="6132" cm="1">
        <f t="array" aca="1" ref="G21" ca="1">INDIRECT("'※ 소상공인 세부데이터'!"&amp;G$1&amp;$T21, TRUE)</f>
        <v>5.5132450331125833</v>
      </c>
      <c r="H21" s="6132" cm="1">
        <f t="array" aca="1" ref="H21" ca="1">INDIRECT("'※ 소상공인 세부데이터'!"&amp;H$1&amp;$T21, TRUE)</f>
        <v>6.4537815126050422</v>
      </c>
      <c r="I21" s="6132" cm="1">
        <f t="array" aca="1" ref="I21" ca="1">INDIRECT("'※ 소상공인 세부데이터'!"&amp;I$1&amp;$T21, TRUE)</f>
        <v>10.320699708454811</v>
      </c>
      <c r="J21" s="6132" cm="1">
        <f t="array" aca="1" ref="J21" ca="1">INDIRECT("'※ 소상공인 세부데이터'!"&amp;J$1&amp;$T21, TRUE)</f>
        <v>8.2487725040916526</v>
      </c>
      <c r="K21" s="6132" cm="1">
        <f t="array" aca="1" ref="K21" ca="1">INDIRECT("'※ 소상공인 세부데이터'!"&amp;K$1&amp;$T21, TRUE)</f>
        <v>5.318246110325318</v>
      </c>
      <c r="L21" s="6146" cm="1">
        <f t="array" aca="1" ref="L21" ca="1">INDIRECT("'※ 소상공인 세부데이터'!"&amp;L$1&amp;$T21, TRUE)</f>
        <v>5.605633802816901</v>
      </c>
      <c r="M21" s="6132" cm="1">
        <f t="array" aca="1" ref="M21" ca="1">INDIRECT("'※ 소상공인 세부데이터'!"&amp;M$1&amp;$T21, TRUE)</f>
        <v>4.4000000000000004</v>
      </c>
      <c r="N21" s="6132" cm="1">
        <f t="array" aca="1" ref="N21" ca="1">INDIRECT("'※ 소상공인 세부데이터'!"&amp;N$1&amp;$T21, TRUE)</f>
        <v>-1.2056338028169007</v>
      </c>
      <c r="O21" s="6132" cm="1">
        <f t="array" aca="1" ref="O21" ca="1">INDIRECT("'※ 소상공인 세부데이터'!"&amp;O$1&amp;$T21, TRUE)</f>
        <v>-1.1132450331125829</v>
      </c>
      <c r="P21" s="6165" cm="1">
        <f t="array" aca="1" ref="P21" ca="1">INDIRECT("'※ 소상공인 세부데이터'!"&amp;P$1&amp;$T21, TRUE)</f>
        <v>5.0028169014084511</v>
      </c>
      <c r="Q21" s="6132" cm="1">
        <f t="array" aca="1" ref="Q21" ca="1">INDIRECT("'※ 소상공인 세부데이터'!"&amp;Q$1&amp;$T21, TRUE)</f>
        <v>-0.45066362209522559</v>
      </c>
      <c r="R21" s="6132" cm="1">
        <f t="array" aca="1" ref="R21" ca="1">INDIRECT("'※ 소상공인 세부데이터'!"&amp;R$1&amp;$T21, TRUE)</f>
        <v>5.0028169014084511</v>
      </c>
      <c r="S21" s="6132" cm="1">
        <f t="array" aca="1" ref="S21" ca="1">INDIRECT("'※ 소상공인 세부데이터'!"&amp;S$1&amp;$T21, TRUE)</f>
        <v>-2.2940353384291896</v>
      </c>
      <c r="T21" s="1520">
        <f>ROW('※ 소상공인 세부데이터'!J64)</f>
        <v>64</v>
      </c>
    </row>
    <row r="22" spans="1:20" ht="16.95" customHeight="1" x14ac:dyDescent="0.55000000000000004">
      <c r="A22" s="7274" t="s">
        <v>164</v>
      </c>
      <c r="B22" s="7292" t="s">
        <v>1187</v>
      </c>
      <c r="C22" s="7292"/>
      <c r="D22" s="6133" cm="1">
        <f t="array" aca="1" ref="D22" ca="1">INDIRECT("'※ 소상공인 세부데이터'!"&amp;D$1&amp;$T22, TRUE)</f>
        <v>35</v>
      </c>
      <c r="E22" s="6162" cm="1">
        <f t="array" aca="1" ref="E22" ca="1">INDIRECT("'※ 소상공인 세부데이터'!"&amp;E$1&amp;$T22, TRUE)</f>
        <v>17</v>
      </c>
      <c r="F22" s="6133" cm="1">
        <f t="array" aca="1" ref="F22" ca="1">INDIRECT("'※ 소상공인 세부데이터'!"&amp;F$1&amp;$T22, TRUE)</f>
        <v>41</v>
      </c>
      <c r="G22" s="6133" cm="1">
        <f t="array" aca="1" ref="G22" ca="1">INDIRECT("'※ 소상공인 세부데이터'!"&amp;G$1&amp;$T22, TRUE)</f>
        <v>39</v>
      </c>
      <c r="H22" s="6133" cm="1">
        <f t="array" aca="1" ref="H22" ca="1">INDIRECT("'※ 소상공인 세부데이터'!"&amp;H$1&amp;$T22, TRUE)</f>
        <v>43</v>
      </c>
      <c r="I22" s="6133" cm="1">
        <f t="array" aca="1" ref="I22" ca="1">INDIRECT("'※ 소상공인 세부데이터'!"&amp;I$1&amp;$T22, TRUE)</f>
        <v>44</v>
      </c>
      <c r="J22" s="6133" cm="1">
        <f t="array" aca="1" ref="J22" ca="1">INDIRECT("'※ 소상공인 세부데이터'!"&amp;J$1&amp;$T22, TRUE)</f>
        <v>43</v>
      </c>
      <c r="K22" s="6133" cm="1">
        <f t="array" aca="1" ref="K22" ca="1">INDIRECT("'※ 소상공인 세부데이터'!"&amp;K$1&amp;$T22, TRUE)</f>
        <v>38</v>
      </c>
      <c r="L22" s="6147" cm="1">
        <f t="array" aca="1" ref="L22" ca="1">INDIRECT("'※ 소상공인 세부데이터'!"&amp;L$1&amp;$T22, TRUE)</f>
        <v>16</v>
      </c>
      <c r="M22" s="6133" cm="1">
        <f t="array" aca="1" ref="M22" ca="1">INDIRECT("'※ 소상공인 세부데이터'!"&amp;M$1&amp;$T22, TRUE)</f>
        <v>15</v>
      </c>
      <c r="N22" s="6133" cm="1">
        <f t="array" aca="1" ref="N22" ca="1">INDIRECT("'※ 소상공인 세부데이터'!"&amp;N$1&amp;$T22, TRUE)</f>
        <v>-1</v>
      </c>
      <c r="O22" s="6133" cm="1">
        <f t="array" aca="1" ref="O22" ca="1">INDIRECT("'※ 소상공인 세부데이터'!"&amp;O$1&amp;$T22, TRUE)</f>
        <v>-24</v>
      </c>
      <c r="P22" s="6166" cm="1">
        <f t="array" aca="1" ref="P22" ca="1">INDIRECT("'※ 소상공인 세부데이터'!"&amp;P$1&amp;$T22, TRUE)</f>
        <v>15.5</v>
      </c>
      <c r="Q22" s="6133" cm="1">
        <f t="array" aca="1" ref="Q22" ca="1">INDIRECT("'※ 소상공인 세부데이터'!"&amp;Q$1&amp;$T22, TRUE)</f>
        <v>-49</v>
      </c>
      <c r="R22" s="6133" cm="1">
        <f t="array" aca="1" ref="R22" ca="1">INDIRECT("'※ 소상공인 세부데이터'!"&amp;R$1&amp;$T22, TRUE)</f>
        <v>15.5</v>
      </c>
      <c r="S22" s="6133" cm="1">
        <f t="array" aca="1" ref="S22" ca="1">INDIRECT("'※ 소상공인 세부데이터'!"&amp;S$1&amp;$T22, TRUE)</f>
        <v>-18.166666666666664</v>
      </c>
      <c r="T22" s="1520">
        <f>ROW('※ 소상공인 세부데이터'!J13)</f>
        <v>13</v>
      </c>
    </row>
    <row r="23" spans="1:20" ht="16.95" customHeight="1" x14ac:dyDescent="0.55000000000000004">
      <c r="A23" s="7274"/>
      <c r="B23" s="7271" t="s">
        <v>1190</v>
      </c>
      <c r="C23" s="898" t="s">
        <v>1192</v>
      </c>
      <c r="D23" s="6131" cm="1">
        <f t="array" aca="1" ref="D23" ca="1">INDIRECT("'※ 소상공인 세부데이터'!"&amp;D$1&amp;$T23, TRUE)</f>
        <v>2.7883278867102397</v>
      </c>
      <c r="E23" s="6160" cm="1">
        <f t="array" aca="1" ref="E23" ca="1">INDIRECT("'※ 소상공인 세부데이터'!"&amp;E$1&amp;$T23, TRUE)</f>
        <v>4.4078591091627004</v>
      </c>
      <c r="F23" s="6131" cm="1">
        <f t="array" aca="1" ref="F23" ca="1">INDIRECT("'※ 소상공인 세부데이터'!"&amp;F$1&amp;$T23, TRUE)</f>
        <v>1.8636363636363635</v>
      </c>
      <c r="G23" s="6131" cm="1">
        <f t="array" aca="1" ref="G23" ca="1">INDIRECT("'※ 소상공인 세부데이터'!"&amp;G$1&amp;$T23, TRUE)</f>
        <v>4.1739130434782608</v>
      </c>
      <c r="H23" s="6131" cm="1">
        <f t="array" aca="1" ref="H23" ca="1">INDIRECT("'※ 소상공인 세부데이터'!"&amp;H$1&amp;$T23, TRUE)</f>
        <v>1.7391304347826086</v>
      </c>
      <c r="I23" s="6131" cm="1">
        <f t="array" aca="1" ref="I23" ca="1">INDIRECT("'※ 소상공인 세부데이터'!"&amp;I$1&amp;$T23, TRUE)</f>
        <v>3.4</v>
      </c>
      <c r="J23" s="6131" cm="1">
        <f t="array" aca="1" ref="J23" ca="1">INDIRECT("'※ 소상공인 세부데이터'!"&amp;J$1&amp;$T23, TRUE)</f>
        <v>6.1</v>
      </c>
      <c r="K23" s="6131" cm="1">
        <f t="array" aca="1" ref="K23" ca="1">INDIRECT("'※ 소상공인 세부데이터'!"&amp;K$1&amp;$T23, TRUE)</f>
        <v>2.75</v>
      </c>
      <c r="L23" s="6145" cm="1">
        <f t="array" aca="1" ref="L23" ca="1">INDIRECT("'※ 소상공인 세부데이터'!"&amp;L$1&amp;$T23, TRUE)</f>
        <v>9.2222222222222214</v>
      </c>
      <c r="M23" s="6131" cm="1">
        <f t="array" aca="1" ref="M23" ca="1">INDIRECT("'※ 소상공인 세부데이터'!"&amp;M$1&amp;$T23, TRUE)</f>
        <v>7.25</v>
      </c>
      <c r="N23" s="6131" cm="1">
        <f t="array" aca="1" ref="N23" ca="1">INDIRECT("'※ 소상공인 세부데이터'!"&amp;N$1&amp;$T23, TRUE)</f>
        <v>-1.9722222222222214</v>
      </c>
      <c r="O23" s="6131" cm="1">
        <f t="array" aca="1" ref="O23" ca="1">INDIRECT("'※ 소상공인 세부데이터'!"&amp;O$1&amp;$T23, TRUE)</f>
        <v>3.0760869565217392</v>
      </c>
      <c r="P23" s="6164" cm="1">
        <f t="array" aca="1" ref="P23" ca="1">INDIRECT("'※ 소상공인 세부데이터'!"&amp;P$1&amp;$T23, TRUE)</f>
        <v>8.2361111111111107</v>
      </c>
      <c r="Q23" s="6131" cm="1">
        <f t="array" aca="1" ref="Q23" ca="1">INDIRECT("'※ 소상공인 세부데이터'!"&amp;Q$1&amp;$T23, TRUE)</f>
        <v>10.434672815107596</v>
      </c>
      <c r="R23" s="6131" cm="1">
        <f t="array" aca="1" ref="R23" ca="1">INDIRECT("'※ 소상공인 세부데이터'!"&amp;R$1&amp;$T23, TRUE)</f>
        <v>8.2361111111111107</v>
      </c>
      <c r="S23" s="6131" cm="1">
        <f t="array" aca="1" ref="S23" ca="1">INDIRECT("'※ 소상공인 세부데이터'!"&amp;S$1&amp;$T23, TRUE)</f>
        <v>3.8282520019484103</v>
      </c>
      <c r="T23" s="1520">
        <f>ROW('※ 소상공인 세부데이터'!J59)</f>
        <v>59</v>
      </c>
    </row>
    <row r="24" spans="1:20" ht="16.95" customHeight="1" thickBot="1" x14ac:dyDescent="0.6">
      <c r="A24" s="7289"/>
      <c r="B24" s="7281"/>
      <c r="C24" s="6168" t="s">
        <v>423</v>
      </c>
      <c r="D24" s="6169" cm="1">
        <f t="array" aca="1" ref="D24" ca="1">INDIRECT("'※ 소상공인 세부데이터'!"&amp;D$1&amp;$T24, TRUE)</f>
        <v>23.653001867413632</v>
      </c>
      <c r="E24" s="6170" cm="1">
        <f t="array" aca="1" ref="E24" ca="1">INDIRECT("'※ 소상공인 세부데이터'!"&amp;E$1&amp;$T24, TRUE)</f>
        <v>24.403967712527077</v>
      </c>
      <c r="F24" s="6169" cm="1">
        <f t="array" aca="1" ref="F24" ca="1">INDIRECT("'※ 소상공인 세부데이터'!"&amp;F$1&amp;$T24, TRUE)</f>
        <v>14.863636363636363</v>
      </c>
      <c r="G24" s="6169" cm="1">
        <f t="array" aca="1" ref="G24" ca="1">INDIRECT("'※ 소상공인 세부데이터'!"&amp;G$1&amp;$T24, TRUE)</f>
        <v>14.043478260869565</v>
      </c>
      <c r="H24" s="6169" cm="1">
        <f t="array" aca="1" ref="H24" ca="1">INDIRECT("'※ 소상공인 세부데이터'!"&amp;H$1&amp;$T24, TRUE)</f>
        <v>22.521739130434781</v>
      </c>
      <c r="I24" s="6169" cm="1">
        <f t="array" aca="1" ref="I24" ca="1">INDIRECT("'※ 소상공인 세부데이터'!"&amp;I$1&amp;$T24, TRUE)</f>
        <v>14.15</v>
      </c>
      <c r="J24" s="6169" cm="1">
        <f t="array" aca="1" ref="J24" ca="1">INDIRECT("'※ 소상공인 세부데이터'!"&amp;J$1&amp;$T24, TRUE)</f>
        <v>11.15</v>
      </c>
      <c r="K24" s="6169" cm="1">
        <f t="array" aca="1" ref="K24" ca="1">INDIRECT("'※ 소상공인 세부데이터'!"&amp;K$1&amp;$T24, TRUE)</f>
        <v>39.65</v>
      </c>
      <c r="L24" s="6171" cm="1">
        <f t="array" aca="1" ref="L24" ca="1">INDIRECT("'※ 소상공인 세부데이터'!"&amp;L$1&amp;$T24, TRUE)</f>
        <v>55</v>
      </c>
      <c r="M24" s="6169" cm="1">
        <f t="array" aca="1" ref="M24" ca="1">INDIRECT("'※ 소상공인 세부데이터'!"&amp;M$1&amp;$T24, TRUE)</f>
        <v>65.375</v>
      </c>
      <c r="N24" s="6169" cm="1">
        <f t="array" aca="1" ref="N24" ca="1">INDIRECT("'※ 소상공인 세부데이터'!"&amp;N$1&amp;$T24, TRUE)</f>
        <v>10.375</v>
      </c>
      <c r="O24" s="6169" cm="1">
        <f t="array" aca="1" ref="O24" ca="1">INDIRECT("'※ 소상공인 세부데이터'!"&amp;O$1&amp;$T24, TRUE)</f>
        <v>51.331521739130437</v>
      </c>
      <c r="P24" s="6167" cm="1">
        <f t="array" aca="1" ref="P24" ca="1">INDIRECT("'※ 소상공인 세부데이터'!"&amp;P$1&amp;$T24, TRUE)</f>
        <v>60.1875</v>
      </c>
      <c r="Q24" s="6169" cm="1">
        <f t="array" aca="1" ref="Q24" ca="1">INDIRECT("'※ 소상공인 세부데이터'!"&amp;Q$1&amp;$T24, TRUE)</f>
        <v>91.467885375494063</v>
      </c>
      <c r="R24" s="6169" cm="1">
        <f t="array" aca="1" ref="R24" ca="1">INDIRECT("'※ 소상공인 세부데이터'!"&amp;R$1&amp;$T24, TRUE)</f>
        <v>60.1875</v>
      </c>
      <c r="S24" s="6169" cm="1">
        <f t="array" aca="1" ref="S24" ca="1">INDIRECT("'※ 소상공인 세부데이터'!"&amp;S$1&amp;$T24, TRUE)</f>
        <v>35.783532287472923</v>
      </c>
      <c r="T24" s="1520">
        <f>ROW('※ 소상공인 세부데이터'!J65)</f>
        <v>65</v>
      </c>
    </row>
    <row r="25" spans="1:20" ht="16.95" hidden="1" customHeight="1" x14ac:dyDescent="0.55000000000000004">
      <c r="A25" s="6172"/>
      <c r="B25" s="6124"/>
      <c r="C25" s="898"/>
      <c r="D25" s="6131"/>
      <c r="E25" s="6131"/>
      <c r="F25" s="6131"/>
      <c r="G25" s="6131"/>
      <c r="H25" s="6131"/>
      <c r="I25" s="6131"/>
      <c r="J25" s="6131"/>
      <c r="K25" s="6131"/>
      <c r="L25" s="6131"/>
      <c r="M25" s="6131"/>
      <c r="N25" s="6131"/>
      <c r="O25" s="6131"/>
      <c r="P25" s="6131"/>
      <c r="Q25" s="6131"/>
      <c r="R25" s="6131"/>
      <c r="S25" s="6131"/>
      <c r="T25" s="1520"/>
    </row>
    <row r="26" spans="1:20" ht="16.95" hidden="1" customHeight="1" x14ac:dyDescent="0.55000000000000004">
      <c r="A26" s="6172"/>
      <c r="B26" s="6124"/>
      <c r="C26" s="6006"/>
      <c r="D26" s="6173"/>
      <c r="E26" s="6173"/>
      <c r="F26" s="6173"/>
      <c r="G26" s="6173"/>
      <c r="H26" s="6173"/>
      <c r="I26" s="6173"/>
      <c r="J26" s="6173"/>
      <c r="K26" s="6173"/>
      <c r="L26" s="6173"/>
      <c r="M26" s="6173"/>
      <c r="N26" s="6173"/>
      <c r="O26" s="6173"/>
      <c r="P26" s="6173"/>
      <c r="Q26" s="6173"/>
      <c r="R26" s="6173"/>
      <c r="S26" s="6173"/>
      <c r="T26" s="1520"/>
    </row>
    <row r="27" spans="1:20" ht="16.95" hidden="1" customHeight="1" x14ac:dyDescent="0.55000000000000004">
      <c r="A27" s="6172"/>
      <c r="B27" s="6124"/>
      <c r="C27" s="6006"/>
      <c r="D27" s="6173"/>
      <c r="E27" s="6173"/>
      <c r="F27" s="6173"/>
      <c r="G27" s="6173"/>
      <c r="H27" s="6173"/>
      <c r="I27" s="6173"/>
      <c r="J27" s="6173"/>
      <c r="K27" s="6173"/>
      <c r="L27" s="6173"/>
      <c r="M27" s="6173"/>
      <c r="N27" s="6173"/>
      <c r="O27" s="6173"/>
      <c r="P27" s="6173"/>
      <c r="Q27" s="6173"/>
      <c r="R27" s="6173"/>
      <c r="S27" s="6173"/>
      <c r="T27" s="1520"/>
    </row>
    <row r="28" spans="1:20" ht="16.95" hidden="1" customHeight="1" x14ac:dyDescent="0.55000000000000004">
      <c r="A28" s="6172"/>
      <c r="B28" s="6124"/>
      <c r="C28" s="6006"/>
      <c r="D28" s="6173"/>
      <c r="E28" s="6173"/>
      <c r="F28" s="6173"/>
      <c r="G28" s="6173"/>
      <c r="H28" s="6173"/>
      <c r="I28" s="6173"/>
      <c r="J28" s="6173"/>
      <c r="K28" s="6173"/>
      <c r="L28" s="6173"/>
      <c r="M28" s="6173"/>
      <c r="N28" s="6173"/>
      <c r="O28" s="6173"/>
      <c r="P28" s="6173"/>
      <c r="Q28" s="6173"/>
      <c r="R28" s="6173"/>
      <c r="S28" s="6173"/>
      <c r="T28" s="1520"/>
    </row>
    <row r="29" spans="1:20" ht="16.95" hidden="1" customHeight="1" x14ac:dyDescent="0.55000000000000004">
      <c r="A29" s="6172"/>
      <c r="B29" s="6124"/>
      <c r="C29" s="6006"/>
      <c r="D29" s="6173"/>
      <c r="E29" s="6173"/>
      <c r="F29" s="6173"/>
      <c r="G29" s="6173"/>
      <c r="H29" s="6173"/>
      <c r="I29" s="6173"/>
      <c r="J29" s="6173"/>
      <c r="K29" s="6173"/>
      <c r="L29" s="6173"/>
      <c r="M29" s="6173"/>
      <c r="N29" s="6173"/>
      <c r="O29" s="6173"/>
      <c r="P29" s="6173"/>
      <c r="Q29" s="6173"/>
      <c r="R29" s="6173"/>
      <c r="S29" s="6173"/>
      <c r="T29" s="1520"/>
    </row>
    <row r="30" spans="1:20" ht="16.95" hidden="1" customHeight="1" x14ac:dyDescent="0.55000000000000004">
      <c r="A30" s="6172"/>
      <c r="B30" s="6124"/>
      <c r="C30" s="6006"/>
      <c r="D30" s="6173"/>
      <c r="E30" s="6173"/>
      <c r="F30" s="6173"/>
      <c r="G30" s="6173"/>
      <c r="H30" s="6173"/>
      <c r="I30" s="6173"/>
      <c r="J30" s="6173"/>
      <c r="K30" s="6173"/>
      <c r="L30" s="6173"/>
      <c r="M30" s="6173"/>
      <c r="N30" s="6173"/>
      <c r="O30" s="6173"/>
      <c r="P30" s="6173"/>
      <c r="Q30" s="6173"/>
      <c r="R30" s="6173"/>
      <c r="S30" s="6173"/>
      <c r="T30" s="1520"/>
    </row>
    <row r="31" spans="1:20" ht="16.95" hidden="1" customHeight="1" x14ac:dyDescent="0.55000000000000004">
      <c r="A31" s="6172"/>
      <c r="B31" s="6124"/>
      <c r="C31" s="6006"/>
      <c r="D31" s="6173"/>
      <c r="E31" s="6173"/>
      <c r="F31" s="6173"/>
      <c r="G31" s="6173"/>
      <c r="H31" s="6173"/>
      <c r="I31" s="6173"/>
      <c r="J31" s="6173"/>
      <c r="K31" s="6173"/>
      <c r="L31" s="6173"/>
      <c r="M31" s="6173"/>
      <c r="N31" s="6173"/>
      <c r="O31" s="6173"/>
      <c r="P31" s="6173"/>
      <c r="Q31" s="6173"/>
      <c r="R31" s="6173"/>
      <c r="S31" s="6173"/>
      <c r="T31" s="1520"/>
    </row>
    <row r="32" spans="1:20" ht="16.95" hidden="1" customHeight="1" x14ac:dyDescent="0.55000000000000004">
      <c r="A32" s="6172"/>
      <c r="B32" s="6124"/>
      <c r="C32" s="6006"/>
      <c r="D32" s="6173"/>
      <c r="E32" s="6173"/>
      <c r="F32" s="6173"/>
      <c r="G32" s="6173"/>
      <c r="H32" s="6173"/>
      <c r="I32" s="6173"/>
      <c r="J32" s="6173"/>
      <c r="K32" s="6173"/>
      <c r="L32" s="6173"/>
      <c r="M32" s="6173"/>
      <c r="N32" s="6173"/>
      <c r="O32" s="6173"/>
      <c r="P32" s="6173"/>
      <c r="Q32" s="6173"/>
      <c r="R32" s="6173"/>
      <c r="S32" s="6173"/>
      <c r="T32" s="1520"/>
    </row>
    <row r="33" spans="1:21" ht="16.95" hidden="1" customHeight="1" x14ac:dyDescent="0.55000000000000004">
      <c r="A33" s="6172"/>
      <c r="B33" s="6124"/>
      <c r="C33" s="6006"/>
      <c r="D33" s="6173"/>
      <c r="E33" s="6173"/>
      <c r="F33" s="6173"/>
      <c r="G33" s="6173"/>
      <c r="H33" s="6173"/>
      <c r="I33" s="6173"/>
      <c r="J33" s="6173"/>
      <c r="K33" s="6173"/>
      <c r="L33" s="6173"/>
      <c r="M33" s="6173"/>
      <c r="N33" s="6173"/>
      <c r="O33" s="6173"/>
      <c r="P33" s="6173"/>
      <c r="Q33" s="6173"/>
      <c r="R33" s="6173"/>
      <c r="S33" s="6173"/>
      <c r="T33" s="1520"/>
    </row>
    <row r="34" spans="1:21" ht="16.95" hidden="1" customHeight="1" x14ac:dyDescent="0.55000000000000004">
      <c r="A34" s="6172"/>
      <c r="B34" s="6124"/>
      <c r="C34" s="6006"/>
      <c r="D34" s="6173"/>
      <c r="E34" s="6173"/>
      <c r="F34" s="6173"/>
      <c r="G34" s="6173"/>
      <c r="H34" s="6173"/>
      <c r="I34" s="6173"/>
      <c r="J34" s="6173"/>
      <c r="K34" s="6173"/>
      <c r="L34" s="6173"/>
      <c r="M34" s="6173"/>
      <c r="N34" s="6173"/>
      <c r="O34" s="6173"/>
      <c r="P34" s="6173"/>
      <c r="Q34" s="6173"/>
      <c r="R34" s="6173"/>
      <c r="S34" s="6173"/>
      <c r="T34" s="1520"/>
    </row>
    <row r="35" spans="1:21" ht="16.95" hidden="1" customHeight="1" x14ac:dyDescent="0.55000000000000004">
      <c r="A35" s="6172"/>
      <c r="B35" s="6124"/>
      <c r="C35" s="6006"/>
      <c r="D35" s="6173"/>
      <c r="E35" s="6173"/>
      <c r="F35" s="6173"/>
      <c r="G35" s="6173"/>
      <c r="H35" s="6173"/>
      <c r="I35" s="6173"/>
      <c r="J35" s="6173"/>
      <c r="K35" s="6173"/>
      <c r="L35" s="6173"/>
      <c r="M35" s="6173"/>
      <c r="N35" s="6173"/>
      <c r="O35" s="6173"/>
      <c r="P35" s="6173"/>
      <c r="Q35" s="6173"/>
      <c r="R35" s="6173"/>
      <c r="S35" s="6173"/>
      <c r="T35" s="1520"/>
    </row>
    <row r="36" spans="1:21" ht="15.45" hidden="1" thickBot="1" x14ac:dyDescent="0.6"/>
    <row r="37" spans="1:21" ht="19.95" customHeight="1" x14ac:dyDescent="0.55000000000000004">
      <c r="A37" s="7263" t="s">
        <v>162</v>
      </c>
      <c r="B37" s="2681" t="s">
        <v>962</v>
      </c>
      <c r="C37" s="2682"/>
      <c r="D37" s="2683" cm="1">
        <f t="array" aca="1" ref="D37" ca="1">INDIRECT("'※ 소상공인 세부데이터'!"&amp;D$1&amp;$T37, TRUE)</f>
        <v>3192</v>
      </c>
      <c r="E37" s="6148" cm="1">
        <f t="array" aca="1" ref="E37" ca="1">INDIRECT("'※ 소상공인 세부데이터'!"&amp;E$1&amp;$T37, TRUE)</f>
        <v>3330</v>
      </c>
      <c r="F37" s="2683" cm="1">
        <f t="array" aca="1" ref="F37" ca="1">INDIRECT("'※ 소상공인 세부데이터'!"&amp;F$1&amp;$T37, TRUE)</f>
        <v>154</v>
      </c>
      <c r="G37" s="2683" cm="1">
        <f t="array" aca="1" ref="G37" ca="1">INDIRECT("'※ 소상공인 세부데이터'!"&amp;G$1&amp;$T37, TRUE)</f>
        <v>399</v>
      </c>
      <c r="H37" s="2683" cm="1">
        <f t="array" aca="1" ref="H37" ca="1">INDIRECT("'※ 소상공인 세부데이터'!"&amp;H$1&amp;$T37, TRUE)</f>
        <v>169</v>
      </c>
      <c r="I37" s="2683" cm="1">
        <f t="array" aca="1" ref="I37" ca="1">INDIRECT("'※ 소상공인 세부데이터'!"&amp;I$1&amp;$T37, TRUE)</f>
        <v>287</v>
      </c>
      <c r="J37" s="2683" cm="1">
        <f t="array" aca="1" ref="J37" ca="1">INDIRECT("'※ 소상공인 세부데이터'!"&amp;J$1&amp;$T37, TRUE)</f>
        <v>431</v>
      </c>
      <c r="K37" s="2683" cm="1">
        <f t="array" aca="1" ref="K37" ca="1">INDIRECT("'※ 소상공인 세부데이터'!"&amp;K$1&amp;$T37, TRUE)</f>
        <v>191</v>
      </c>
      <c r="L37" s="6134" cm="1">
        <f t="array" aca="1" ref="L37" ca="1">INDIRECT("'※ 소상공인 세부데이터'!"&amp;L$1&amp;$T37, TRUE)</f>
        <v>267</v>
      </c>
      <c r="M37" s="2683" cm="1">
        <f t="array" aca="1" ref="M37" ca="1">INDIRECT("'※ 소상공인 세부데이터'!"&amp;M$1&amp;$T37, TRUE)</f>
        <v>147</v>
      </c>
      <c r="N37" s="2684" cm="1">
        <f t="array" aca="1" ref="N37" ca="1">INDIRECT("'※ 소상공인 세부데이터'!"&amp;N$1&amp;$T37, TRUE)</f>
        <v>-120</v>
      </c>
      <c r="O37" s="2685" cm="1">
        <f t="array" aca="1" ref="O37" ca="1">INDIRECT("'※ 소상공인 세부데이터'!"&amp;O$1&amp;$T37, TRUE)</f>
        <v>-252</v>
      </c>
      <c r="P37" s="2686" cm="1">
        <f t="array" aca="1" ref="P37" ca="1">INDIRECT("'※ 소상공인 세부데이터'!"&amp;P$1&amp;$T37, TRUE)</f>
        <v>414</v>
      </c>
      <c r="Q37" s="2687" cm="1">
        <f t="array" aca="1" ref="Q37" ca="1">INDIRECT("'※ 소상공인 세부데이터'!"&amp;Q$1&amp;$T37, TRUE)</f>
        <v>-139</v>
      </c>
      <c r="R37" s="2688" cm="1">
        <f t="array" aca="1" ref="R37" ca="1">INDIRECT("'※ 소상공인 세부데이터'!"&amp;R$1&amp;$T37, TRUE)</f>
        <v>207</v>
      </c>
      <c r="S37" s="2689" cm="1">
        <f t="array" aca="1" ref="S37" ca="1">INDIRECT("'※ 소상공인 세부데이터'!"&amp;S$1&amp;$T37, TRUE)</f>
        <v>-70.5</v>
      </c>
      <c r="T37" s="1520">
        <f>ROW('※ 소상공인 세부데이터'!J16)</f>
        <v>16</v>
      </c>
      <c r="U37" s="905"/>
    </row>
    <row r="38" spans="1:21" ht="19.95" customHeight="1" x14ac:dyDescent="0.55000000000000004">
      <c r="A38" s="7264"/>
      <c r="B38" s="886" t="s">
        <v>723</v>
      </c>
      <c r="C38" s="2690"/>
      <c r="D38" s="2691" cm="1">
        <f t="array" aca="1" ref="D38" ca="1">INDIRECT("'※ 소상공인 세부데이터'!"&amp;D$1&amp;$T38, TRUE)</f>
        <v>2508</v>
      </c>
      <c r="E38" s="6149" cm="1">
        <f t="array" aca="1" ref="E38" ca="1">INDIRECT("'※ 소상공인 세부데이터'!"&amp;E$1&amp;$T38, TRUE)</f>
        <v>1954</v>
      </c>
      <c r="F38" s="2691" cm="1">
        <f t="array" aca="1" ref="F38" ca="1">INDIRECT("'※ 소상공인 세부데이터'!"&amp;F$1&amp;$T38, TRUE)</f>
        <v>111</v>
      </c>
      <c r="G38" s="2691" cm="1">
        <f t="array" aca="1" ref="G38" ca="1">INDIRECT("'※ 소상공인 세부데이터'!"&amp;G$1&amp;$T38, TRUE)</f>
        <v>343</v>
      </c>
      <c r="H38" s="2691" cm="1">
        <f t="array" aca="1" ref="H38" ca="1">INDIRECT("'※ 소상공인 세부데이터'!"&amp;H$1&amp;$T38, TRUE)</f>
        <v>117</v>
      </c>
      <c r="I38" s="2691" cm="1">
        <f t="array" aca="1" ref="I38" ca="1">INDIRECT("'※ 소상공인 세부데이터'!"&amp;I$1&amp;$T38, TRUE)</f>
        <v>122</v>
      </c>
      <c r="J38" s="2691" cm="1">
        <f t="array" aca="1" ref="J38" ca="1">INDIRECT("'※ 소상공인 세부데이터'!"&amp;J$1&amp;$T38, TRUE)</f>
        <v>172</v>
      </c>
      <c r="K38" s="2691" cm="1">
        <f t="array" aca="1" ref="K38" ca="1">INDIRECT("'※ 소상공인 세부데이터'!"&amp;K$1&amp;$T38, TRUE)</f>
        <v>123</v>
      </c>
      <c r="L38" s="6135" cm="1">
        <f t="array" aca="1" ref="L38" ca="1">INDIRECT("'※ 소상공인 세부데이터'!"&amp;L$1&amp;$T38, TRUE)</f>
        <v>202</v>
      </c>
      <c r="M38" s="2691" cm="1">
        <f t="array" aca="1" ref="M38" ca="1">INDIRECT("'※ 소상공인 세부데이터'!"&amp;M$1&amp;$T38, TRUE)</f>
        <v>74</v>
      </c>
      <c r="N38" s="914" cm="1">
        <f t="array" aca="1" ref="N38" ca="1">INDIRECT("'※ 소상공인 세부데이터'!"&amp;N$1&amp;$T38, TRUE)</f>
        <v>-128</v>
      </c>
      <c r="O38" s="915" cm="1">
        <f t="array" aca="1" ref="O38" ca="1">INDIRECT("'※ 소상공인 세부데이터'!"&amp;O$1&amp;$T38, TRUE)</f>
        <v>-269</v>
      </c>
      <c r="P38" s="2692" cm="1">
        <f t="array" aca="1" ref="P38" ca="1">INDIRECT("'※ 소상공인 세부데이터'!"&amp;P$1&amp;$T38, TRUE)</f>
        <v>276</v>
      </c>
      <c r="Q38" s="917" cm="1">
        <f t="array" aca="1" ref="Q38" ca="1">INDIRECT("'※ 소상공인 세부데이터'!"&amp;Q$1&amp;$T38, TRUE)</f>
        <v>-178</v>
      </c>
      <c r="R38" s="2693" cm="1">
        <f t="array" aca="1" ref="R38" ca="1">INDIRECT("'※ 소상공인 세부데이터'!"&amp;R$1&amp;$T38, TRUE)</f>
        <v>138</v>
      </c>
      <c r="S38" s="2694" cm="1">
        <f t="array" aca="1" ref="S38" ca="1">INDIRECT("'※ 소상공인 세부데이터'!"&amp;S$1&amp;$T38, TRUE)</f>
        <v>-24.833333333333343</v>
      </c>
      <c r="T38" s="1520">
        <f>ROW('※ 소상공인 세부데이터'!J17)</f>
        <v>17</v>
      </c>
      <c r="U38" s="905"/>
    </row>
    <row r="39" spans="1:21" ht="19.95" customHeight="1" x14ac:dyDescent="0.55000000000000004">
      <c r="A39" s="7264"/>
      <c r="B39" s="886" t="s">
        <v>157</v>
      </c>
      <c r="C39" s="2690"/>
      <c r="D39" s="2691" cm="1">
        <f t="array" aca="1" ref="D39" ca="1">INDIRECT("'※ 소상공인 세부데이터'!"&amp;D$1&amp;$T39, TRUE)</f>
        <v>8850</v>
      </c>
      <c r="E39" s="6149" cm="1">
        <f t="array" aca="1" ref="E39" ca="1">INDIRECT("'※ 소상공인 세부데이터'!"&amp;E$1&amp;$T39, TRUE)</f>
        <v>8645</v>
      </c>
      <c r="F39" s="2691" cm="1">
        <f t="array" aca="1" ref="F39" ca="1">INDIRECT("'※ 소상공인 세부데이터'!"&amp;F$1&amp;$T39, TRUE)</f>
        <v>551</v>
      </c>
      <c r="G39" s="2691" cm="1">
        <f t="array" aca="1" ref="G39" ca="1">INDIRECT("'※ 소상공인 세부데이터'!"&amp;G$1&amp;$T39, TRUE)</f>
        <v>529</v>
      </c>
      <c r="H39" s="2691" cm="1">
        <f t="array" aca="1" ref="H39" ca="1">INDIRECT("'※ 소상공인 세부데이터'!"&amp;H$1&amp;$T39, TRUE)</f>
        <v>775</v>
      </c>
      <c r="I39" s="2691" cm="1">
        <f t="array" aca="1" ref="I39" ca="1">INDIRECT("'※ 소상공인 세부데이터'!"&amp;I$1&amp;$T39, TRUE)</f>
        <v>791</v>
      </c>
      <c r="J39" s="2691" cm="1">
        <f t="array" aca="1" ref="J39" ca="1">INDIRECT("'※ 소상공인 세부데이터'!"&amp;J$1&amp;$T39, TRUE)</f>
        <v>958</v>
      </c>
      <c r="K39" s="2691" cm="1">
        <f t="array" aca="1" ref="K39" ca="1">INDIRECT("'※ 소상공인 세부데이터'!"&amp;K$1&amp;$T39, TRUE)</f>
        <v>807</v>
      </c>
      <c r="L39" s="6135" cm="1">
        <f t="array" aca="1" ref="L39" ca="1">INDIRECT("'※ 소상공인 세부데이터'!"&amp;L$1&amp;$T39, TRUE)</f>
        <v>408</v>
      </c>
      <c r="M39" s="2691" cm="1">
        <f t="array" aca="1" ref="M39" ca="1">INDIRECT("'※ 소상공인 세부데이터'!"&amp;M$1&amp;$T39, TRUE)</f>
        <v>414</v>
      </c>
      <c r="N39" s="914" cm="1">
        <f t="array" aca="1" ref="N39" ca="1">INDIRECT("'※ 소상공인 세부데이터'!"&amp;N$1&amp;$T39, TRUE)</f>
        <v>6</v>
      </c>
      <c r="O39" s="915" cm="1">
        <f t="array" aca="1" ref="O39" ca="1">INDIRECT("'※ 소상공인 세부데이터'!"&amp;O$1&amp;$T39, TRUE)</f>
        <v>-115</v>
      </c>
      <c r="P39" s="2692" cm="1">
        <f t="array" aca="1" ref="P39" ca="1">INDIRECT("'※ 소상공인 세부데이터'!"&amp;P$1&amp;$T39, TRUE)</f>
        <v>822</v>
      </c>
      <c r="Q39" s="917" cm="1">
        <f t="array" aca="1" ref="Q39" ca="1">INDIRECT("'※ 소상공인 세부데이터'!"&amp;Q$1&amp;$T39, TRUE)</f>
        <v>-258</v>
      </c>
      <c r="R39" s="2693" cm="1">
        <f t="array" aca="1" ref="R39" ca="1">INDIRECT("'※ 소상공인 세부데이터'!"&amp;R$1&amp;$T39, TRUE)</f>
        <v>411</v>
      </c>
      <c r="S39" s="2694" cm="1">
        <f t="array" aca="1" ref="S39" ca="1">INDIRECT("'※ 소상공인 세부데이터'!"&amp;S$1&amp;$T39, TRUE)</f>
        <v>-309.41666666666663</v>
      </c>
      <c r="T39" s="1520">
        <f>ROW('※ 소상공인 세부데이터'!J18)</f>
        <v>18</v>
      </c>
      <c r="U39" s="905"/>
    </row>
    <row r="40" spans="1:21" ht="19.95" customHeight="1" x14ac:dyDescent="0.55000000000000004">
      <c r="A40" s="7264"/>
      <c r="B40" s="886" t="s">
        <v>158</v>
      </c>
      <c r="C40" s="2690"/>
      <c r="D40" s="2691" cm="1">
        <f t="array" aca="1" ref="D40" ca="1">INDIRECT("'※ 소상공인 세부데이터'!"&amp;D$1&amp;$T40, TRUE)</f>
        <v>9959</v>
      </c>
      <c r="E40" s="6149" cm="1">
        <f t="array" aca="1" ref="E40" ca="1">INDIRECT("'※ 소상공인 세부데이터'!"&amp;E$1&amp;$T40, TRUE)</f>
        <v>11360</v>
      </c>
      <c r="F40" s="2691" cm="1">
        <f t="array" aca="1" ref="F40" ca="1">INDIRECT("'※ 소상공인 세부데이터'!"&amp;F$1&amp;$T40, TRUE)</f>
        <v>592</v>
      </c>
      <c r="G40" s="2691" cm="1">
        <f t="array" aca="1" ref="G40" ca="1">INDIRECT("'※ 소상공인 세부데이터'!"&amp;G$1&amp;$T40, TRUE)</f>
        <v>662</v>
      </c>
      <c r="H40" s="2691" cm="1">
        <f t="array" aca="1" ref="H40" ca="1">INDIRECT("'※ 소상공인 세부데이터'!"&amp;H$1&amp;$T40, TRUE)</f>
        <v>750</v>
      </c>
      <c r="I40" s="2691" cm="1">
        <f t="array" aca="1" ref="I40" ca="1">INDIRECT("'※ 소상공인 세부데이터'!"&amp;I$1&amp;$T40, TRUE)</f>
        <v>845</v>
      </c>
      <c r="J40" s="2691" cm="1">
        <f t="array" aca="1" ref="J40" ca="1">INDIRECT("'※ 소상공인 세부데이터'!"&amp;J$1&amp;$T40, TRUE)</f>
        <v>731</v>
      </c>
      <c r="K40" s="2691" cm="1">
        <f t="array" aca="1" ref="K40" ca="1">INDIRECT("'※ 소상공인 세부데이터'!"&amp;K$1&amp;$T40, TRUE)</f>
        <v>987</v>
      </c>
      <c r="L40" s="6135" cm="1">
        <f t="array" aca="1" ref="L40" ca="1">INDIRECT("'※ 소상공인 세부데이터'!"&amp;L$1&amp;$T40, TRUE)</f>
        <v>769</v>
      </c>
      <c r="M40" s="2691" cm="1">
        <f t="array" aca="1" ref="M40" ca="1">INDIRECT("'※ 소상공인 세부데이터'!"&amp;M$1&amp;$T40, TRUE)</f>
        <v>969</v>
      </c>
      <c r="N40" s="914" cm="1">
        <f t="array" aca="1" ref="N40" ca="1">INDIRECT("'※ 소상공인 세부데이터'!"&amp;N$1&amp;$T40, TRUE)</f>
        <v>200</v>
      </c>
      <c r="O40" s="915" cm="1">
        <f t="array" aca="1" ref="O40" ca="1">INDIRECT("'※ 소상공인 세부데이터'!"&amp;O$1&amp;$T40, TRUE)</f>
        <v>307</v>
      </c>
      <c r="P40" s="2692" cm="1">
        <f t="array" aca="1" ref="P40" ca="1">INDIRECT("'※ 소상공인 세부데이터'!"&amp;P$1&amp;$T40, TRUE)</f>
        <v>1738</v>
      </c>
      <c r="Q40" s="917" cm="1">
        <f t="array" aca="1" ref="Q40" ca="1">INDIRECT("'※ 소상공인 세부데이터'!"&amp;Q$1&amp;$T40, TRUE)</f>
        <v>484</v>
      </c>
      <c r="R40" s="2693" cm="1">
        <f t="array" aca="1" ref="R40" ca="1">INDIRECT("'※ 소상공인 세부데이터'!"&amp;R$1&amp;$T40, TRUE)</f>
        <v>869</v>
      </c>
      <c r="S40" s="2694" cm="1">
        <f t="array" aca="1" ref="S40" ca="1">INDIRECT("'※ 소상공인 세부데이터'!"&amp;S$1&amp;$T40, TRUE)</f>
        <v>-77.666666666666629</v>
      </c>
      <c r="T40" s="1520">
        <f>ROW('※ 소상공인 세부데이터'!J19)</f>
        <v>19</v>
      </c>
      <c r="U40" s="905"/>
    </row>
    <row r="41" spans="1:21" ht="19.95" customHeight="1" x14ac:dyDescent="0.55000000000000004">
      <c r="A41" s="7264"/>
      <c r="B41" s="886"/>
      <c r="C41" s="2695" t="s">
        <v>516</v>
      </c>
      <c r="D41" s="2691" cm="1">
        <f t="array" aca="1" ref="D41" ca="1">INDIRECT("'※ 소상공인 세부데이터'!"&amp;D$1&amp;$T41, TRUE)</f>
        <v>4511</v>
      </c>
      <c r="E41" s="6149" cm="1">
        <f t="array" aca="1" ref="E41" ca="1">INDIRECT("'※ 소상공인 세부데이터'!"&amp;E$1&amp;$T41, TRUE)</f>
        <v>4041</v>
      </c>
      <c r="F41" s="2691" cm="1">
        <f t="array" aca="1" ref="F41" ca="1">INDIRECT("'※ 소상공인 세부데이터'!"&amp;F$1&amp;$T41, TRUE)</f>
        <v>276</v>
      </c>
      <c r="G41" s="2691" cm="1">
        <f t="array" aca="1" ref="G41" ca="1">INDIRECT("'※ 소상공인 세부데이터'!"&amp;G$1&amp;$T41, TRUE)</f>
        <v>282</v>
      </c>
      <c r="H41" s="2691" cm="1">
        <f t="array" aca="1" ref="H41" ca="1">INDIRECT("'※ 소상공인 세부데이터'!"&amp;H$1&amp;$T41, TRUE)</f>
        <v>347</v>
      </c>
      <c r="I41" s="2691" cm="1">
        <f t="array" aca="1" ref="I41" ca="1">INDIRECT("'※ 소상공인 세부데이터'!"&amp;I$1&amp;$T41, TRUE)</f>
        <v>403</v>
      </c>
      <c r="J41" s="2691" cm="1">
        <f t="array" aca="1" ref="J41" ca="1">INDIRECT("'※ 소상공인 세부데이터'!"&amp;J$1&amp;$T41, TRUE)</f>
        <v>527</v>
      </c>
      <c r="K41" s="2691" cm="1">
        <f t="array" aca="1" ref="K41" ca="1">INDIRECT("'※ 소상공인 세부데이터'!"&amp;K$1&amp;$T41, TRUE)</f>
        <v>356</v>
      </c>
      <c r="L41" s="6135" cm="1">
        <f t="array" aca="1" ref="L41" ca="1">INDIRECT("'※ 소상공인 세부데이터'!"&amp;L$1&amp;$T41, TRUE)</f>
        <v>133</v>
      </c>
      <c r="M41" s="2691" cm="1">
        <f t="array" aca="1" ref="M41" ca="1">INDIRECT("'※ 소상공인 세부데이터'!"&amp;M$1&amp;$T41, TRUE)</f>
        <v>129</v>
      </c>
      <c r="N41" s="914" cm="1">
        <f t="array" aca="1" ref="N41" ca="1">INDIRECT("'※ 소상공인 세부데이터'!"&amp;N$1&amp;$T41, TRUE)</f>
        <v>-4</v>
      </c>
      <c r="O41" s="915" cm="1">
        <f t="array" aca="1" ref="O41" ca="1">INDIRECT("'※ 소상공인 세부데이터'!"&amp;O$1&amp;$T41, TRUE)</f>
        <v>-153</v>
      </c>
      <c r="P41" s="2692" cm="1">
        <f t="array" aca="1" ref="P41" ca="1">INDIRECT("'※ 소상공인 세부데이터'!"&amp;P$1&amp;$T41, TRUE)</f>
        <v>262</v>
      </c>
      <c r="Q41" s="917" cm="1">
        <f t="array" aca="1" ref="Q41" ca="1">INDIRECT("'※ 소상공인 세부데이터'!"&amp;Q$1&amp;$T41, TRUE)</f>
        <v>-296</v>
      </c>
      <c r="R41" s="2693" cm="1">
        <f t="array" aca="1" ref="R41" ca="1">INDIRECT("'※ 소상공인 세부데이터'!"&amp;R$1&amp;$T41, TRUE)</f>
        <v>131</v>
      </c>
      <c r="S41" s="2694" cm="1">
        <f t="array" aca="1" ref="S41" ca="1">INDIRECT("'※ 소상공인 세부데이터'!"&amp;S$1&amp;$T41, TRUE)</f>
        <v>-205.75</v>
      </c>
      <c r="T41" s="1520">
        <f>ROW('※ 소상공인 세부데이터'!J20)</f>
        <v>20</v>
      </c>
      <c r="U41" s="905"/>
    </row>
    <row r="42" spans="1:21" ht="19.95" customHeight="1" x14ac:dyDescent="0.55000000000000004">
      <c r="A42" s="7264"/>
      <c r="B42" s="886"/>
      <c r="C42" s="2695" t="s">
        <v>517</v>
      </c>
      <c r="D42" s="2691" cm="1">
        <f t="array" aca="1" ref="D42" ca="1">INDIRECT("'※ 소상공인 세부데이터'!"&amp;D$1&amp;$T42, TRUE)</f>
        <v>5448</v>
      </c>
      <c r="E42" s="6149" cm="1">
        <f t="array" aca="1" ref="E42" ca="1">INDIRECT("'※ 소상공인 세부데이터'!"&amp;E$1&amp;$T42, TRUE)</f>
        <v>7319</v>
      </c>
      <c r="F42" s="2691" cm="1">
        <f t="array" aca="1" ref="F42" ca="1">INDIRECT("'※ 소상공인 세부데이터'!"&amp;F$1&amp;$T42, TRUE)</f>
        <v>316</v>
      </c>
      <c r="G42" s="2691" cm="1">
        <f t="array" aca="1" ref="G42" ca="1">INDIRECT("'※ 소상공인 세부데이터'!"&amp;G$1&amp;$T42, TRUE)</f>
        <v>380</v>
      </c>
      <c r="H42" s="2691" cm="1">
        <f t="array" aca="1" ref="H42" ca="1">INDIRECT("'※ 소상공인 세부데이터'!"&amp;H$1&amp;$T42, TRUE)</f>
        <v>403</v>
      </c>
      <c r="I42" s="2691" cm="1">
        <f t="array" aca="1" ref="I42" ca="1">INDIRECT("'※ 소상공인 세부데이터'!"&amp;I$1&amp;$T42, TRUE)</f>
        <v>442</v>
      </c>
      <c r="J42" s="2691" cm="1">
        <f t="array" aca="1" ref="J42" ca="1">INDIRECT("'※ 소상공인 세부데이터'!"&amp;J$1&amp;$T42, TRUE)</f>
        <v>204</v>
      </c>
      <c r="K42" s="2691" cm="1">
        <f t="array" aca="1" ref="K42" ca="1">INDIRECT("'※ 소상공인 세부데이터'!"&amp;K$1&amp;$T42, TRUE)</f>
        <v>631</v>
      </c>
      <c r="L42" s="6135" cm="1">
        <f t="array" aca="1" ref="L42" ca="1">INDIRECT("'※ 소상공인 세부데이터'!"&amp;L$1&amp;$T42, TRUE)</f>
        <v>636</v>
      </c>
      <c r="M42" s="2691" cm="1">
        <f t="array" aca="1" ref="M42" ca="1">INDIRECT("'※ 소상공인 세부데이터'!"&amp;M$1&amp;$T42, TRUE)</f>
        <v>840</v>
      </c>
      <c r="N42" s="914" cm="1">
        <f t="array" aca="1" ref="N42" ca="1">INDIRECT("'※ 소상공인 세부데이터'!"&amp;N$1&amp;$T42, TRUE)</f>
        <v>204</v>
      </c>
      <c r="O42" s="915" cm="1">
        <f t="array" aca="1" ref="O42" ca="1">INDIRECT("'※ 소상공인 세부데이터'!"&amp;O$1&amp;$T42, TRUE)</f>
        <v>460</v>
      </c>
      <c r="P42" s="2692" cm="1">
        <f t="array" aca="1" ref="P42" ca="1">INDIRECT("'※ 소상공인 세부데이터'!"&amp;P$1&amp;$T42, TRUE)</f>
        <v>1476</v>
      </c>
      <c r="Q42" s="917" cm="1">
        <f t="array" aca="1" ref="Q42" ca="1">INDIRECT("'※ 소상공인 세부데이터'!"&amp;Q$1&amp;$T42, TRUE)</f>
        <v>780</v>
      </c>
      <c r="R42" s="2693" cm="1">
        <f t="array" aca="1" ref="R42" ca="1">INDIRECT("'※ 소상공인 세부데이터'!"&amp;R$1&amp;$T42, TRUE)</f>
        <v>738</v>
      </c>
      <c r="S42" s="2694" cm="1">
        <f t="array" aca="1" ref="S42" ca="1">INDIRECT("'※ 소상공인 세부데이터'!"&amp;S$1&amp;$T42, TRUE)</f>
        <v>128.08333333333337</v>
      </c>
      <c r="T42" s="1520">
        <f>ROW('※ 소상공인 세부데이터'!J21)</f>
        <v>21</v>
      </c>
      <c r="U42" s="905"/>
    </row>
    <row r="43" spans="1:21" ht="19.95" customHeight="1" x14ac:dyDescent="0.55000000000000004">
      <c r="A43" s="7264"/>
      <c r="B43" s="2696" t="s">
        <v>159</v>
      </c>
      <c r="C43" s="2697"/>
      <c r="D43" s="2698" t="s">
        <v>462</v>
      </c>
      <c r="E43" s="6150" cm="1">
        <f t="array" aca="1" ref="E43" ca="1">INDIRECT("'※ 소상공인 세부데이터'!"&amp;E$1&amp;$T43, TRUE)</f>
        <v>1147</v>
      </c>
      <c r="F43" s="2698" cm="1">
        <f t="array" aca="1" ref="F43" ca="1">INDIRECT("'※ 소상공인 세부데이터'!"&amp;F$1&amp;$T43, TRUE)</f>
        <v>28</v>
      </c>
      <c r="G43" s="2698" cm="1">
        <f t="array" aca="1" ref="G43" ca="1">INDIRECT("'※ 소상공인 세부데이터'!"&amp;G$1&amp;$T43, TRUE)</f>
        <v>93</v>
      </c>
      <c r="H43" s="2698" cm="1">
        <f t="array" aca="1" ref="H43" ca="1">INDIRECT("'※ 소상공인 세부데이터'!"&amp;H$1&amp;$T43, TRUE)</f>
        <v>84</v>
      </c>
      <c r="I43" s="2698" cm="1">
        <f t="array" aca="1" ref="I43" ca="1">INDIRECT("'※ 소상공인 세부데이터'!"&amp;I$1&amp;$T43, TRUE)</f>
        <v>87</v>
      </c>
      <c r="J43" s="2698" cm="1">
        <f t="array" aca="1" ref="J43" ca="1">INDIRECT("'※ 소상공인 세부데이터'!"&amp;J$1&amp;$T43, TRUE)</f>
        <v>147</v>
      </c>
      <c r="K43" s="2698" cm="1">
        <f t="array" aca="1" ref="K43" ca="1">INDIRECT("'※ 소상공인 세부데이터'!"&amp;K$1&amp;$T43, TRUE)</f>
        <v>83</v>
      </c>
      <c r="L43" s="6136" cm="1">
        <f t="array" aca="1" ref="L43" ca="1">INDIRECT("'※ 소상공인 세부데이터'!"&amp;L$1&amp;$T43, TRUE)</f>
        <v>61</v>
      </c>
      <c r="M43" s="2698" cm="1">
        <f t="array" aca="1" ref="M43" ca="1">INDIRECT("'※ 소상공인 세부데이터'!"&amp;M$1&amp;$T43, TRUE)</f>
        <v>39</v>
      </c>
      <c r="N43" s="2699" cm="1">
        <f t="array" aca="1" ref="N43" ca="1">INDIRECT("'※ 소상공인 세부데이터'!"&amp;N$1&amp;$T43, TRUE)</f>
        <v>-22</v>
      </c>
      <c r="O43" s="2700" cm="1">
        <f t="array" aca="1" ref="O43" ca="1">INDIRECT("'※ 소상공인 세부데이터'!"&amp;O$1&amp;$T43, TRUE)</f>
        <v>-54</v>
      </c>
      <c r="P43" s="2701" cm="1">
        <f t="array" aca="1" ref="P43" ca="1">INDIRECT("'※ 소상공인 세부데이터'!"&amp;P$1&amp;$T43, TRUE)</f>
        <v>100</v>
      </c>
      <c r="Q43" s="2702" cm="1">
        <f t="array" aca="1" ref="Q43" ca="1">INDIRECT("'※ 소상공인 세부데이터'!"&amp;Q$1&amp;$T43, TRUE)</f>
        <v>-21</v>
      </c>
      <c r="R43" s="2703" cm="1">
        <f t="array" aca="1" ref="R43" ca="1">INDIRECT("'※ 소상공인 세부데이터'!"&amp;R$1&amp;$T43, TRUE)</f>
        <v>50</v>
      </c>
      <c r="S43" s="2704" cm="1">
        <f t="array" aca="1" ref="S43" ca="1">INDIRECT("'※ 소상공인 세부데이터'!"&amp;S$1&amp;$T43, TRUE)</f>
        <v>-45.583333333333329</v>
      </c>
      <c r="T43" s="1520">
        <f>ROW('※ 소상공인 세부데이터'!J22)</f>
        <v>22</v>
      </c>
      <c r="U43" s="905"/>
    </row>
    <row r="44" spans="1:21" ht="19.95" customHeight="1" x14ac:dyDescent="0.55000000000000004">
      <c r="A44" s="7264"/>
      <c r="B44" s="886" t="s">
        <v>878</v>
      </c>
      <c r="C44" s="2690"/>
      <c r="D44" s="2691" cm="1">
        <f t="array" aca="1" ref="D44" ca="1">INDIRECT("'※ 소상공인 세부데이터'!"&amp;D$1&amp;$T44, TRUE)</f>
        <v>484</v>
      </c>
      <c r="E44" s="6149" cm="1">
        <f t="array" aca="1" ref="E44" ca="1">INDIRECT("'※ 소상공인 세부데이터'!"&amp;E$1&amp;$T44, TRUE)</f>
        <v>623</v>
      </c>
      <c r="F44" s="2691" cm="1">
        <f t="array" aca="1" ref="F44" ca="1">INDIRECT("'※ 소상공인 세부데이터'!"&amp;F$1&amp;$T44, TRUE)</f>
        <v>21</v>
      </c>
      <c r="G44" s="2691" cm="1">
        <f t="array" aca="1" ref="G44" ca="1">INDIRECT("'※ 소상공인 세부데이터'!"&amp;G$1&amp;$T44, TRUE)</f>
        <v>41</v>
      </c>
      <c r="H44" s="2691" cm="1">
        <f t="array" aca="1" ref="H44" ca="1">INDIRECT("'※ 소상공인 세부데이터'!"&amp;H$1&amp;$T44, TRUE)</f>
        <v>49</v>
      </c>
      <c r="I44" s="2691" cm="1">
        <f t="array" aca="1" ref="I44" ca="1">INDIRECT("'※ 소상공인 세부데이터'!"&amp;I$1&amp;$T44, TRUE)</f>
        <v>84</v>
      </c>
      <c r="J44" s="2691" cm="1">
        <f t="array" aca="1" ref="J44" ca="1">INDIRECT("'※ 소상공인 세부데이터'!"&amp;J$1&amp;$T44, TRUE)</f>
        <v>70</v>
      </c>
      <c r="K44" s="2691" cm="1">
        <f t="array" aca="1" ref="K44" ca="1">INDIRECT("'※ 소상공인 세부데이터'!"&amp;K$1&amp;$T44, TRUE)</f>
        <v>56</v>
      </c>
      <c r="L44" s="6135" cm="1">
        <f t="array" aca="1" ref="L44" ca="1">INDIRECT("'※ 소상공인 세부데이터'!"&amp;L$1&amp;$T44, TRUE)</f>
        <v>29</v>
      </c>
      <c r="M44" s="2691" cm="1">
        <f t="array" aca="1" ref="M44" ca="1">INDIRECT("'※ 소상공인 세부데이터'!"&amp;M$1&amp;$T44, TRUE)</f>
        <v>43</v>
      </c>
      <c r="N44" s="914" cm="1">
        <f t="array" aca="1" ref="N44" ca="1">INDIRECT("'※ 소상공인 세부데이터'!"&amp;N$1&amp;$T44, TRUE)</f>
        <v>14</v>
      </c>
      <c r="O44" s="915" cm="1">
        <f t="array" aca="1" ref="O44" ca="1">INDIRECT("'※ 소상공인 세부데이터'!"&amp;O$1&amp;$T44, TRUE)</f>
        <v>2</v>
      </c>
      <c r="P44" s="2692" cm="1">
        <f t="array" aca="1" ref="P44" ca="1">INDIRECT("'※ 소상공인 세부데이터'!"&amp;P$1&amp;$T44, TRUE)</f>
        <v>72</v>
      </c>
      <c r="Q44" s="917" cm="1">
        <f t="array" aca="1" ref="Q44" ca="1">INDIRECT("'※ 소상공인 세부데이터'!"&amp;Q$1&amp;$T44, TRUE)</f>
        <v>10</v>
      </c>
      <c r="R44" s="2693" cm="1">
        <f t="array" aca="1" ref="R44" ca="1">INDIRECT("'※ 소상공인 세부데이터'!"&amp;R$1&amp;$T44, TRUE)</f>
        <v>36</v>
      </c>
      <c r="S44" s="2694" cm="1">
        <f t="array" aca="1" ref="S44" ca="1">INDIRECT("'※ 소상공인 세부데이터'!"&amp;S$1&amp;$T44, TRUE)</f>
        <v>-15.916666666666664</v>
      </c>
      <c r="T44" s="1520">
        <f>ROW('※ 소상공인 세부데이터'!J23)</f>
        <v>23</v>
      </c>
      <c r="U44" s="905"/>
    </row>
    <row r="45" spans="1:21" ht="19.95" customHeight="1" x14ac:dyDescent="0.55000000000000004">
      <c r="A45" s="7264"/>
      <c r="B45" s="886"/>
      <c r="C45" s="2695" t="s">
        <v>518</v>
      </c>
      <c r="D45" s="2691" cm="1">
        <f t="array" aca="1" ref="D45" ca="1">INDIRECT("'※ 소상공인 세부데이터'!"&amp;D$1&amp;$T45, TRUE)</f>
        <v>7002</v>
      </c>
      <c r="E45" s="6149" cm="1">
        <f t="array" aca="1" ref="E45" ca="1">INDIRECT("'※ 소상공인 세부데이터'!"&amp;E$1&amp;$T45, TRUE)</f>
        <v>9501</v>
      </c>
      <c r="F45" s="2691" cm="1">
        <f t="array" aca="1" ref="F45" ca="1">INDIRECT("'※ 소상공인 세부데이터'!"&amp;F$1&amp;$T45, TRUE)</f>
        <v>313</v>
      </c>
      <c r="G45" s="2691" cm="1">
        <f t="array" aca="1" ref="G45" ca="1">INDIRECT("'※ 소상공인 세부데이터'!"&amp;G$1&amp;$T45, TRUE)</f>
        <v>669</v>
      </c>
      <c r="H45" s="2691" cm="1">
        <f t="array" aca="1" ref="H45" ca="1">INDIRECT("'※ 소상공인 세부데이터'!"&amp;H$1&amp;$T45, TRUE)</f>
        <v>803</v>
      </c>
      <c r="I45" s="2691" cm="1">
        <f t="array" aca="1" ref="I45" ca="1">INDIRECT("'※ 소상공인 세부데이터'!"&amp;I$1&amp;$T45, TRUE)</f>
        <v>1178</v>
      </c>
      <c r="J45" s="2691" cm="1">
        <f t="array" aca="1" ref="J45" ca="1">INDIRECT("'※ 소상공인 세부데이터'!"&amp;J$1&amp;$T45, TRUE)</f>
        <v>1081</v>
      </c>
      <c r="K45" s="2691" cm="1">
        <f t="array" aca="1" ref="K45" ca="1">INDIRECT("'※ 소상공인 세부데이터'!"&amp;K$1&amp;$T45, TRUE)</f>
        <v>883</v>
      </c>
      <c r="L45" s="6135" cm="1">
        <f t="array" aca="1" ref="L45" ca="1">INDIRECT("'※ 소상공인 세부데이터'!"&amp;L$1&amp;$T45, TRUE)</f>
        <v>482</v>
      </c>
      <c r="M45" s="2691" cm="1">
        <f t="array" aca="1" ref="M45" ca="1">INDIRECT("'※ 소상공인 세부데이터'!"&amp;M$1&amp;$T45, TRUE)</f>
        <v>512</v>
      </c>
      <c r="N45" s="914" cm="1">
        <f t="array" aca="1" ref="N45" ca="1">INDIRECT("'※ 소상공인 세부데이터'!"&amp;N$1&amp;$T45, TRUE)</f>
        <v>30</v>
      </c>
      <c r="O45" s="915" cm="1">
        <f t="array" aca="1" ref="O45" ca="1">INDIRECT("'※ 소상공인 세부데이터'!"&amp;O$1&amp;$T45, TRUE)</f>
        <v>-157</v>
      </c>
      <c r="P45" s="2692" cm="1">
        <f t="array" aca="1" ref="P45" ca="1">INDIRECT("'※ 소상공인 세부데이터'!"&amp;P$1&amp;$T45, TRUE)</f>
        <v>994</v>
      </c>
      <c r="Q45" s="917" cm="1">
        <f t="array" aca="1" ref="Q45" ca="1">INDIRECT("'※ 소상공인 세부데이터'!"&amp;Q$1&amp;$T45, TRUE)</f>
        <v>12</v>
      </c>
      <c r="R45" s="2693" cm="1">
        <f t="array" aca="1" ref="R45" ca="1">INDIRECT("'※ 소상공인 세부데이터'!"&amp;R$1&amp;$T45, TRUE)</f>
        <v>497</v>
      </c>
      <c r="S45" s="2694" cm="1">
        <f t="array" aca="1" ref="S45" ca="1">INDIRECT("'※ 소상공인 세부데이터'!"&amp;S$1&amp;$T45, TRUE)</f>
        <v>-294.75</v>
      </c>
      <c r="T45" s="1520">
        <f>ROW('※ 소상공인 세부데이터'!J24)</f>
        <v>24</v>
      </c>
      <c r="U45" s="905"/>
    </row>
    <row r="46" spans="1:21" ht="19.95" customHeight="1" x14ac:dyDescent="0.55000000000000004">
      <c r="A46" s="7264"/>
      <c r="B46" s="886" t="s">
        <v>160</v>
      </c>
      <c r="C46" s="2690"/>
      <c r="D46" s="2691" cm="1">
        <f t="array" aca="1" ref="D46" ca="1">INDIRECT("'※ 소상공인 세부데이터'!"&amp;D$1&amp;$T46, TRUE)</f>
        <v>64</v>
      </c>
      <c r="E46" s="6149" cm="1">
        <f t="array" aca="1" ref="E46" ca="1">INDIRECT("'※ 소상공인 세부데이터'!"&amp;E$1&amp;$T46, TRUE)</f>
        <v>38</v>
      </c>
      <c r="F46" s="2691" cm="1">
        <f t="array" aca="1" ref="F46" ca="1">INDIRECT("'※ 소상공인 세부데이터'!"&amp;F$1&amp;$T46, TRUE)</f>
        <v>1</v>
      </c>
      <c r="G46" s="2691" cm="1">
        <f t="array" aca="1" ref="G46" ca="1">INDIRECT("'※ 소상공인 세부데이터'!"&amp;G$1&amp;$T46, TRUE)</f>
        <v>2</v>
      </c>
      <c r="H46" s="2691" cm="1">
        <f t="array" aca="1" ref="H46" ca="1">INDIRECT("'※ 소상공인 세부데이터'!"&amp;H$1&amp;$T46, TRUE)</f>
        <v>8</v>
      </c>
      <c r="I46" s="2691" cm="1">
        <f t="array" aca="1" ref="I46" ca="1">INDIRECT("'※ 소상공인 세부데이터'!"&amp;I$1&amp;$T46, TRUE)</f>
        <v>3</v>
      </c>
      <c r="J46" s="2691" cm="1">
        <f t="array" aca="1" ref="J46" ca="1">INDIRECT("'※ 소상공인 세부데이터'!"&amp;J$1&amp;$T46, TRUE)</f>
        <v>15</v>
      </c>
      <c r="K46" s="2691" cm="1">
        <f t="array" aca="1" ref="K46" ca="1">INDIRECT("'※ 소상공인 세부데이터'!"&amp;K$1&amp;$T46, TRUE)</f>
        <v>0</v>
      </c>
      <c r="L46" s="6135" cm="1">
        <f t="array" aca="1" ref="L46" ca="1">INDIRECT("'※ 소상공인 세부데이터'!"&amp;L$1&amp;$T46, TRUE)</f>
        <v>2</v>
      </c>
      <c r="M46" s="2691" cm="1">
        <f t="array" aca="1" ref="M46" ca="1">INDIRECT("'※ 소상공인 세부데이터'!"&amp;M$1&amp;$T46, TRUE)</f>
        <v>1</v>
      </c>
      <c r="N46" s="914" cm="1">
        <f t="array" aca="1" ref="N46" ca="1">INDIRECT("'※ 소상공인 세부데이터'!"&amp;N$1&amp;$T46, TRUE)</f>
        <v>-1</v>
      </c>
      <c r="O46" s="915" cm="1">
        <f t="array" aca="1" ref="O46" ca="1">INDIRECT("'※ 소상공인 세부데이터'!"&amp;O$1&amp;$T46, TRUE)</f>
        <v>-1</v>
      </c>
      <c r="P46" s="2692" cm="1">
        <f t="array" aca="1" ref="P46" ca="1">INDIRECT("'※ 소상공인 세부데이터'!"&amp;P$1&amp;$T46, TRUE)</f>
        <v>3</v>
      </c>
      <c r="Q46" s="917" cm="1">
        <f t="array" aca="1" ref="Q46" ca="1">INDIRECT("'※ 소상공인 세부데이터'!"&amp;Q$1&amp;$T46, TRUE)</f>
        <v>0</v>
      </c>
      <c r="R46" s="2693" cm="1">
        <f t="array" aca="1" ref="R46" ca="1">INDIRECT("'※ 소상공인 세부데이터'!"&amp;R$1&amp;$T46, TRUE)</f>
        <v>1.5</v>
      </c>
      <c r="S46" s="2694" cm="1">
        <f t="array" aca="1" ref="S46" ca="1">INDIRECT("'※ 소상공인 세부데이터'!"&amp;S$1&amp;$T46, TRUE)</f>
        <v>-1.6666666666666665</v>
      </c>
      <c r="T46" s="1520">
        <f>ROW('※ 소상공인 세부데이터'!J25)</f>
        <v>25</v>
      </c>
      <c r="U46" s="905"/>
    </row>
    <row r="47" spans="1:21" ht="19.95" customHeight="1" x14ac:dyDescent="0.55000000000000004">
      <c r="A47" s="7265"/>
      <c r="B47" s="2706" t="s">
        <v>161</v>
      </c>
      <c r="C47" s="2707"/>
      <c r="D47" s="2708" t="s">
        <v>462</v>
      </c>
      <c r="E47" s="6151" cm="1">
        <f t="array" aca="1" ref="E47" ca="1">INDIRECT("'※ 소상공인 세부데이터'!"&amp;E$1&amp;$T47, TRUE)</f>
        <v>17040</v>
      </c>
      <c r="F47" s="2708" cm="1">
        <f t="array" aca="1" ref="F47" ca="1">INDIRECT("'※ 소상공인 세부데이터'!"&amp;F$1&amp;$T47, TRUE)</f>
        <v>145</v>
      </c>
      <c r="G47" s="2708" cm="1">
        <f t="array" aca="1" ref="G47" ca="1">INDIRECT("'※ 소상공인 세부데이터'!"&amp;G$1&amp;$T47, TRUE)</f>
        <v>538</v>
      </c>
      <c r="H47" s="2708" cm="1">
        <f t="array" aca="1" ref="H47" ca="1">INDIRECT("'※ 소상공인 세부데이터'!"&amp;H$1&amp;$T47, TRUE)</f>
        <v>1274</v>
      </c>
      <c r="I47" s="2708" cm="1">
        <f t="array" aca="1" ref="I47" ca="1">INDIRECT("'※ 소상공인 세부데이터'!"&amp;I$1&amp;$T47, TRUE)</f>
        <v>1344</v>
      </c>
      <c r="J47" s="2708" cm="1">
        <f t="array" aca="1" ref="J47" ca="1">INDIRECT("'※ 소상공인 세부데이터'!"&amp;J$1&amp;$T47, TRUE)</f>
        <v>1234</v>
      </c>
      <c r="K47" s="2708" cm="1">
        <f t="array" aca="1" ref="K47" ca="1">INDIRECT("'※ 소상공인 세부데이터'!"&amp;K$1&amp;$T47, TRUE)</f>
        <v>1278</v>
      </c>
      <c r="L47" s="6137" cm="1">
        <f t="array" aca="1" ref="L47" ca="1">INDIRECT("'※ 소상공인 세부데이터'!"&amp;L$1&amp;$T47, TRUE)</f>
        <v>1424</v>
      </c>
      <c r="M47" s="2708" cm="1">
        <f t="array" aca="1" ref="M47" ca="1">INDIRECT("'※ 소상공인 세부데이터'!"&amp;M$1&amp;$T47, TRUE)</f>
        <v>1382</v>
      </c>
      <c r="N47" s="2709" cm="1">
        <f t="array" aca="1" ref="N47" ca="1">INDIRECT("'※ 소상공인 세부데이터'!"&amp;N$1&amp;$T47, TRUE)</f>
        <v>-42</v>
      </c>
      <c r="O47" s="2710" cm="1">
        <f t="array" aca="1" ref="O47" ca="1">INDIRECT("'※ 소상공인 세부데이터'!"&amp;O$1&amp;$T47, TRUE)</f>
        <v>844</v>
      </c>
      <c r="P47" s="2711" cm="1">
        <f t="array" aca="1" ref="P47" ca="1">INDIRECT("'※ 소상공인 세부데이터'!"&amp;P$1&amp;$T47, TRUE)</f>
        <v>2806</v>
      </c>
      <c r="Q47" s="2712" cm="1">
        <f t="array" aca="1" ref="Q47" ca="1">INDIRECT("'※ 소상공인 세부데이터'!"&amp;Q$1&amp;$T47, TRUE)</f>
        <v>2123</v>
      </c>
      <c r="R47" s="2713" cm="1">
        <f t="array" aca="1" ref="R47" ca="1">INDIRECT("'※ 소상공인 세부데이터'!"&amp;R$1&amp;$T47, TRUE)</f>
        <v>1403</v>
      </c>
      <c r="S47" s="2714" cm="1">
        <f t="array" aca="1" ref="S47" ca="1">INDIRECT("'※ 소상공인 세부데이터'!"&amp;S$1&amp;$T47, TRUE)</f>
        <v>-17</v>
      </c>
      <c r="T47" s="1520">
        <f>ROW('※ 소상공인 세부데이터'!J26)</f>
        <v>26</v>
      </c>
      <c r="U47" s="905"/>
    </row>
    <row r="48" spans="1:21" ht="6" customHeight="1" x14ac:dyDescent="0.55000000000000004">
      <c r="A48" s="2715"/>
      <c r="B48" s="886"/>
      <c r="C48" s="2690"/>
      <c r="D48" s="2691"/>
      <c r="E48" s="6149"/>
      <c r="F48" s="2691"/>
      <c r="G48" s="2691"/>
      <c r="H48" s="2691"/>
      <c r="I48" s="2691"/>
      <c r="J48" s="2691"/>
      <c r="K48" s="2691"/>
      <c r="L48" s="6135"/>
      <c r="M48" s="2691"/>
      <c r="N48" s="914"/>
      <c r="O48" s="915"/>
      <c r="P48" s="2692"/>
      <c r="Q48" s="781"/>
      <c r="R48" s="2693"/>
      <c r="S48" s="2716"/>
      <c r="T48" s="1520">
        <f>ROW('※ 소상공인 세부데이터'!J27)</f>
        <v>27</v>
      </c>
      <c r="U48" s="905"/>
    </row>
    <row r="49" spans="1:21" ht="19.95" customHeight="1" x14ac:dyDescent="0.55000000000000004">
      <c r="A49" s="7288" t="s">
        <v>977</v>
      </c>
      <c r="B49" s="2717" t="s">
        <v>67</v>
      </c>
      <c r="C49" s="2718"/>
      <c r="D49" s="2719" cm="1">
        <f t="array" aca="1" ref="D49" ca="1">INDIRECT("'※ 소상공인 세부데이터'!"&amp;D$1&amp;$T49, TRUE)</f>
        <v>714</v>
      </c>
      <c r="E49" s="6152" cm="1">
        <f t="array" aca="1" ref="E49" ca="1">INDIRECT("'※ 소상공인 세부데이터'!"&amp;E$1&amp;$T49, TRUE)</f>
        <v>765</v>
      </c>
      <c r="F49" s="2719" cm="1">
        <f t="array" aca="1" ref="F49" ca="1">INDIRECT("'※ 소상공인 세부데이터'!"&amp;F$1&amp;$T49, TRUE)</f>
        <v>35</v>
      </c>
      <c r="G49" s="2719" cm="1">
        <f t="array" aca="1" ref="G49" ca="1">INDIRECT("'※ 소상공인 세부데이터'!"&amp;G$1&amp;$T49, TRUE)</f>
        <v>99</v>
      </c>
      <c r="H49" s="2719" cm="1">
        <f t="array" aca="1" ref="H49" ca="1">INDIRECT("'※ 소상공인 세부데이터'!"&amp;H$1&amp;$T49, TRUE)</f>
        <v>31</v>
      </c>
      <c r="I49" s="2719" cm="1">
        <f t="array" aca="1" ref="I49" ca="1">INDIRECT("'※ 소상공인 세부데이터'!"&amp;I$1&amp;$T49, TRUE)</f>
        <v>83</v>
      </c>
      <c r="J49" s="2719" cm="1">
        <f t="array" aca="1" ref="J49" ca="1">INDIRECT("'※ 소상공인 세부데이터'!"&amp;J$1&amp;$T49, TRUE)</f>
        <v>106</v>
      </c>
      <c r="K49" s="2719" cm="1">
        <f t="array" aca="1" ref="K49" ca="1">INDIRECT("'※ 소상공인 세부데이터'!"&amp;K$1&amp;$T49, TRUE)</f>
        <v>50</v>
      </c>
      <c r="L49" s="6138" cm="1">
        <f t="array" aca="1" ref="L49" ca="1">INDIRECT("'※ 소상공인 세부데이터'!"&amp;L$1&amp;$T49, TRUE)</f>
        <v>76</v>
      </c>
      <c r="M49" s="2719" cm="1">
        <f t="array" aca="1" ref="M49" ca="1">INDIRECT("'※ 소상공인 세부데이터'!"&amp;M$1&amp;$T49, TRUE)</f>
        <v>52</v>
      </c>
      <c r="N49" s="2720" cm="1">
        <f t="array" aca="1" ref="N49" ca="1">INDIRECT("'※ 소상공인 세부데이터'!"&amp;N$1&amp;$T49, TRUE)</f>
        <v>-24</v>
      </c>
      <c r="O49" s="2721" cm="1">
        <f t="array" aca="1" ref="O49" ca="1">INDIRECT("'※ 소상공인 세부데이터'!"&amp;O$1&amp;$T49, TRUE)</f>
        <v>-47</v>
      </c>
      <c r="P49" s="2721" cm="1">
        <f t="array" aca="1" ref="P49" ca="1">INDIRECT("'※ 소상공인 세부데이터'!"&amp;P$1&amp;$T49, TRUE)</f>
        <v>128</v>
      </c>
      <c r="Q49" s="2722" cm="1">
        <f t="array" aca="1" ref="Q49" ca="1">INDIRECT("'※ 소상공인 세부데이터'!"&amp;Q$1&amp;$T49, TRUE)</f>
        <v>-6</v>
      </c>
      <c r="R49" s="2723" cm="1">
        <f t="array" aca="1" ref="R49" ca="1">INDIRECT("'※ 소상공인 세부데이터'!"&amp;R$1&amp;$T49, TRUE)</f>
        <v>64</v>
      </c>
      <c r="S49" s="2724" cm="1">
        <f t="array" aca="1" ref="S49" ca="1">INDIRECT("'※ 소상공인 세부데이터'!"&amp;S$1&amp;$T49, TRUE)</f>
        <v>0.25</v>
      </c>
      <c r="T49" s="1520">
        <f>ROW('※ 소상공인 세부데이터'!J28)</f>
        <v>28</v>
      </c>
      <c r="U49" s="905"/>
    </row>
    <row r="50" spans="1:21" ht="19.95" customHeight="1" x14ac:dyDescent="0.55000000000000004">
      <c r="A50" s="7283"/>
      <c r="B50" s="803" t="s">
        <v>68</v>
      </c>
      <c r="C50" s="2725"/>
      <c r="D50" s="2726" cm="1">
        <f t="array" aca="1" ref="D50" ca="1">INDIRECT("'※ 소상공인 세부데이터'!"&amp;D$1&amp;$T50, TRUE)</f>
        <v>490</v>
      </c>
      <c r="E50" s="6153" cm="1">
        <f t="array" aca="1" ref="E50" ca="1">INDIRECT("'※ 소상공인 세부데이터'!"&amp;E$1&amp;$T50, TRUE)</f>
        <v>306</v>
      </c>
      <c r="F50" s="2726" cm="1">
        <f t="array" aca="1" ref="F50" ca="1">INDIRECT("'※ 소상공인 세부데이터'!"&amp;F$1&amp;$T50, TRUE)</f>
        <v>7</v>
      </c>
      <c r="G50" s="2726" cm="1">
        <f t="array" aca="1" ref="G50" ca="1">INDIRECT("'※ 소상공인 세부데이터'!"&amp;G$1&amp;$T50, TRUE)</f>
        <v>47</v>
      </c>
      <c r="H50" s="2726" cm="1">
        <f t="array" aca="1" ref="H50" ca="1">INDIRECT("'※ 소상공인 세부데이터'!"&amp;H$1&amp;$T50, TRUE)</f>
        <v>17</v>
      </c>
      <c r="I50" s="2726" cm="1">
        <f t="array" aca="1" ref="I50" ca="1">INDIRECT("'※ 소상공인 세부데이터'!"&amp;I$1&amp;$T50, TRUE)</f>
        <v>23</v>
      </c>
      <c r="J50" s="2726" cm="1">
        <f t="array" aca="1" ref="J50" ca="1">INDIRECT("'※ 소상공인 세부데이터'!"&amp;J$1&amp;$T50, TRUE)</f>
        <v>63</v>
      </c>
      <c r="K50" s="2726" cm="1">
        <f t="array" aca="1" ref="K50" ca="1">INDIRECT("'※ 소상공인 세부데이터'!"&amp;K$1&amp;$T50, TRUE)</f>
        <v>14</v>
      </c>
      <c r="L50" s="6139" cm="1">
        <f t="array" aca="1" ref="L50" ca="1">INDIRECT("'※ 소상공인 세부데이터'!"&amp;L$1&amp;$T50, TRUE)</f>
        <v>17</v>
      </c>
      <c r="M50" s="2726" cm="1">
        <f t="array" aca="1" ref="M50" ca="1">INDIRECT("'※ 소상공인 세부데이터'!"&amp;M$1&amp;$T50, TRUE)</f>
        <v>11</v>
      </c>
      <c r="N50" s="2727" cm="1">
        <f t="array" aca="1" ref="N50" ca="1">INDIRECT("'※ 소상공인 세부데이터'!"&amp;N$1&amp;$T50, TRUE)</f>
        <v>-6</v>
      </c>
      <c r="O50" s="2728" cm="1">
        <f t="array" aca="1" ref="O50" ca="1">INDIRECT("'※ 소상공인 세부데이터'!"&amp;O$1&amp;$T50, TRUE)</f>
        <v>-36</v>
      </c>
      <c r="P50" s="2729" cm="1">
        <f t="array" aca="1" ref="P50" ca="1">INDIRECT("'※ 소상공인 세부데이터'!"&amp;P$1&amp;$T50, TRUE)</f>
        <v>28</v>
      </c>
      <c r="Q50" s="2730" cm="1">
        <f t="array" aca="1" ref="Q50" ca="1">INDIRECT("'※ 소상공인 세부데이터'!"&amp;Q$1&amp;$T50, TRUE)</f>
        <v>-26</v>
      </c>
      <c r="R50" s="2731" cm="1">
        <f t="array" aca="1" ref="R50" ca="1">INDIRECT("'※ 소상공인 세부데이터'!"&amp;R$1&amp;$T50, TRUE)</f>
        <v>14</v>
      </c>
      <c r="S50" s="2732" cm="1">
        <f t="array" aca="1" ref="S50" ca="1">INDIRECT("'※ 소상공인 세부데이터'!"&amp;S$1&amp;$T50, TRUE)</f>
        <v>-11.5</v>
      </c>
      <c r="T50" s="1520">
        <f>ROW('※ 소상공인 세부데이터'!J29)</f>
        <v>29</v>
      </c>
      <c r="U50" s="905"/>
    </row>
    <row r="51" spans="1:21" ht="19.95" customHeight="1" x14ac:dyDescent="0.55000000000000004">
      <c r="A51" s="7283"/>
      <c r="B51" s="803" t="s">
        <v>69</v>
      </c>
      <c r="C51" s="2725"/>
      <c r="D51" s="2726" cm="1">
        <f t="array" aca="1" ref="D51" ca="1">INDIRECT("'※ 소상공인 세부데이터'!"&amp;D$1&amp;$T51, TRUE)</f>
        <v>393</v>
      </c>
      <c r="E51" s="6153" cm="1">
        <f t="array" aca="1" ref="E51" ca="1">INDIRECT("'※ 소상공인 세부데이터'!"&amp;E$1&amp;$T51, TRUE)</f>
        <v>473</v>
      </c>
      <c r="F51" s="2726" cm="1">
        <f t="array" aca="1" ref="F51" ca="1">INDIRECT("'※ 소상공인 세부데이터'!"&amp;F$1&amp;$T51, TRUE)</f>
        <v>22</v>
      </c>
      <c r="G51" s="2726" cm="1">
        <f t="array" aca="1" ref="G51" ca="1">INDIRECT("'※ 소상공인 세부데이터'!"&amp;G$1&amp;$T51, TRUE)</f>
        <v>39</v>
      </c>
      <c r="H51" s="2726" cm="1">
        <f t="array" aca="1" ref="H51" ca="1">INDIRECT("'※ 소상공인 세부데이터'!"&amp;H$1&amp;$T51, TRUE)</f>
        <v>15</v>
      </c>
      <c r="I51" s="2726" cm="1">
        <f t="array" aca="1" ref="I51" ca="1">INDIRECT("'※ 소상공인 세부데이터'!"&amp;I$1&amp;$T51, TRUE)</f>
        <v>62</v>
      </c>
      <c r="J51" s="2726" cm="1">
        <f t="array" aca="1" ref="J51" ca="1">INDIRECT("'※ 소상공인 세부데이터'!"&amp;J$1&amp;$T51, TRUE)</f>
        <v>63</v>
      </c>
      <c r="K51" s="2726" cm="1">
        <f t="array" aca="1" ref="K51" ca="1">INDIRECT("'※ 소상공인 세부데이터'!"&amp;K$1&amp;$T51, TRUE)</f>
        <v>26</v>
      </c>
      <c r="L51" s="6139" cm="1">
        <f t="array" aca="1" ref="L51" ca="1">INDIRECT("'※ 소상공인 세부데이터'!"&amp;L$1&amp;$T51, TRUE)</f>
        <v>41</v>
      </c>
      <c r="M51" s="2726" cm="1">
        <f t="array" aca="1" ref="M51" ca="1">INDIRECT("'※ 소상공인 세부데이터'!"&amp;M$1&amp;$T51, TRUE)</f>
        <v>8</v>
      </c>
      <c r="N51" s="2727" cm="1">
        <f t="array" aca="1" ref="N51" ca="1">INDIRECT("'※ 소상공인 세부데이터'!"&amp;N$1&amp;$T51, TRUE)</f>
        <v>-33</v>
      </c>
      <c r="O51" s="2728" cm="1">
        <f t="array" aca="1" ref="O51" ca="1">INDIRECT("'※ 소상공인 세부데이터'!"&amp;O$1&amp;$T51, TRUE)</f>
        <v>-31</v>
      </c>
      <c r="P51" s="2729" cm="1">
        <f t="array" aca="1" ref="P51" ca="1">INDIRECT("'※ 소상공인 세부데이터'!"&amp;P$1&amp;$T51, TRUE)</f>
        <v>49</v>
      </c>
      <c r="Q51" s="2730" cm="1">
        <f t="array" aca="1" ref="Q51" ca="1">INDIRECT("'※ 소상공인 세부데이터'!"&amp;Q$1&amp;$T51, TRUE)</f>
        <v>-12</v>
      </c>
      <c r="R51" s="2731" cm="1">
        <f t="array" aca="1" ref="R51" ca="1">INDIRECT("'※ 소상공인 세부데이터'!"&amp;R$1&amp;$T51, TRUE)</f>
        <v>24.5</v>
      </c>
      <c r="S51" s="2732" cm="1">
        <f t="array" aca="1" ref="S51" ca="1">INDIRECT("'※ 소상공인 세부데이터'!"&amp;S$1&amp;$T51, TRUE)</f>
        <v>-14.916666666666664</v>
      </c>
      <c r="T51" s="1520">
        <f>ROW('※ 소상공인 세부데이터'!J30)</f>
        <v>30</v>
      </c>
      <c r="U51" s="905"/>
    </row>
    <row r="52" spans="1:21" ht="19.95" customHeight="1" x14ac:dyDescent="0.55000000000000004">
      <c r="A52" s="7283"/>
      <c r="B52" s="803" t="s">
        <v>163</v>
      </c>
      <c r="C52" s="2725"/>
      <c r="D52" s="2726" cm="1">
        <f t="array" aca="1" ref="D52" ca="1">INDIRECT("'※ 소상공인 세부데이터'!"&amp;D$1&amp;$T52, TRUE)</f>
        <v>934</v>
      </c>
      <c r="E52" s="6153" cm="1">
        <f t="array" aca="1" ref="E52" ca="1">INDIRECT("'※ 소상공인 세부데이터'!"&amp;E$1&amp;$T52, TRUE)</f>
        <v>794</v>
      </c>
      <c r="F52" s="2726" cm="1">
        <f t="array" aca="1" ref="F52" ca="1">INDIRECT("'※ 소상공인 세부데이터'!"&amp;F$1&amp;$T52, TRUE)</f>
        <v>49</v>
      </c>
      <c r="G52" s="2726" cm="1">
        <f t="array" aca="1" ref="G52" ca="1">INDIRECT("'※ 소상공인 세부데이터'!"&amp;G$1&amp;$T52, TRUE)</f>
        <v>118</v>
      </c>
      <c r="H52" s="2726" cm="1">
        <f t="array" aca="1" ref="H52" ca="1">INDIRECT("'※ 소상공인 세부데이터'!"&amp;H$1&amp;$T52, TRUE)</f>
        <v>66</v>
      </c>
      <c r="I52" s="2726" cm="1">
        <f t="array" aca="1" ref="I52" ca="1">INDIRECT("'※ 소상공인 세부데이터'!"&amp;I$1&amp;$T52, TRUE)</f>
        <v>51</v>
      </c>
      <c r="J52" s="2726" cm="1">
        <f t="array" aca="1" ref="J52" ca="1">INDIRECT("'※ 소상공인 세부데이터'!"&amp;J$1&amp;$T52, TRUE)</f>
        <v>77</v>
      </c>
      <c r="K52" s="2726" cm="1">
        <f t="array" aca="1" ref="K52" ca="1">INDIRECT("'※ 소상공인 세부데이터'!"&amp;K$1&amp;$T52, TRUE)</f>
        <v>46</v>
      </c>
      <c r="L52" s="6139" cm="1">
        <f t="array" aca="1" ref="L52" ca="1">INDIRECT("'※ 소상공인 세부데이터'!"&amp;L$1&amp;$T52, TRUE)</f>
        <v>50</v>
      </c>
      <c r="M52" s="2726" cm="1">
        <f t="array" aca="1" ref="M52" ca="1">INDIRECT("'※ 소상공인 세부데이터'!"&amp;M$1&amp;$T52, TRUE)</f>
        <v>18</v>
      </c>
      <c r="N52" s="2727" cm="1">
        <f t="array" aca="1" ref="N52" ca="1">INDIRECT("'※ 소상공인 세부데이터'!"&amp;N$1&amp;$T52, TRUE)</f>
        <v>-32</v>
      </c>
      <c r="O52" s="2728" cm="1">
        <f t="array" aca="1" ref="O52" ca="1">INDIRECT("'※ 소상공인 세부데이터'!"&amp;O$1&amp;$T52, TRUE)</f>
        <v>-100</v>
      </c>
      <c r="P52" s="2729" cm="1">
        <f t="array" aca="1" ref="P52" ca="1">INDIRECT("'※ 소상공인 세부데이터'!"&amp;P$1&amp;$T52, TRUE)</f>
        <v>68</v>
      </c>
      <c r="Q52" s="2730" cm="1">
        <f t="array" aca="1" ref="Q52" ca="1">INDIRECT("'※ 소상공인 세부데이터'!"&amp;Q$1&amp;$T52, TRUE)</f>
        <v>-99</v>
      </c>
      <c r="R52" s="2731" cm="1">
        <f t="array" aca="1" ref="R52" ca="1">INDIRECT("'※ 소상공인 세부데이터'!"&amp;R$1&amp;$T52, TRUE)</f>
        <v>34</v>
      </c>
      <c r="S52" s="2732" cm="1">
        <f t="array" aca="1" ref="S52" ca="1">INDIRECT("'※ 소상공인 세부데이터'!"&amp;S$1&amp;$T52, TRUE)</f>
        <v>-32.166666666666671</v>
      </c>
      <c r="T52" s="1520">
        <f>ROW('※ 소상공인 세부데이터'!J31)</f>
        <v>31</v>
      </c>
      <c r="U52" s="905"/>
    </row>
    <row r="53" spans="1:21" ht="19.95" customHeight="1" x14ac:dyDescent="0.55000000000000004">
      <c r="A53" s="7283"/>
      <c r="B53" s="803" t="s">
        <v>164</v>
      </c>
      <c r="C53" s="2725"/>
      <c r="D53" s="2726" cm="1">
        <f t="array" aca="1" ref="D53" ca="1">INDIRECT("'※ 소상공인 세부데이터'!"&amp;D$1&amp;$T53, TRUE)</f>
        <v>661</v>
      </c>
      <c r="E53" s="6153" cm="1">
        <f t="array" aca="1" ref="E53" ca="1">INDIRECT("'※ 소상공인 세부데이터'!"&amp;E$1&amp;$T53, TRUE)</f>
        <v>991</v>
      </c>
      <c r="F53" s="2726" cm="1">
        <f t="array" aca="1" ref="F53" ca="1">INDIRECT("'※ 소상공인 세부데이터'!"&amp;F$1&amp;$T53, TRUE)</f>
        <v>41</v>
      </c>
      <c r="G53" s="2726" cm="1">
        <f t="array" aca="1" ref="G53" ca="1">INDIRECT("'※ 소상공인 세부데이터'!"&amp;G$1&amp;$T53, TRUE)</f>
        <v>96</v>
      </c>
      <c r="H53" s="2726" cm="1">
        <f t="array" aca="1" ref="H53" ca="1">INDIRECT("'※ 소상공인 세부데이터'!"&amp;H$1&amp;$T53, TRUE)</f>
        <v>40</v>
      </c>
      <c r="I53" s="2726" cm="1">
        <f t="array" aca="1" ref="I53" ca="1">INDIRECT("'※ 소상공인 세부데이터'!"&amp;I$1&amp;$T53, TRUE)</f>
        <v>68</v>
      </c>
      <c r="J53" s="2726" cm="1">
        <f t="array" aca="1" ref="J53" ca="1">INDIRECT("'※ 소상공인 세부데이터'!"&amp;J$1&amp;$T53, TRUE)</f>
        <v>122</v>
      </c>
      <c r="K53" s="2726" cm="1">
        <f t="array" aca="1" ref="K53" ca="1">INDIRECT("'※ 소상공인 세부데이터'!"&amp;K$1&amp;$T53, TRUE)</f>
        <v>55</v>
      </c>
      <c r="L53" s="6139" cm="1">
        <f t="array" aca="1" ref="L53" ca="1">INDIRECT("'※ 소상공인 세부데이터'!"&amp;L$1&amp;$T53, TRUE)</f>
        <v>83</v>
      </c>
      <c r="M53" s="2726" cm="1">
        <f t="array" aca="1" ref="M53" ca="1">INDIRECT("'※ 소상공인 세부데이터'!"&amp;M$1&amp;$T53, TRUE)</f>
        <v>58</v>
      </c>
      <c r="N53" s="2727" cm="1">
        <f t="array" aca="1" ref="N53" ca="1">INDIRECT("'※ 소상공인 세부데이터'!"&amp;N$1&amp;$T53, TRUE)</f>
        <v>-25</v>
      </c>
      <c r="O53" s="2728" cm="1">
        <f t="array" aca="1" ref="O53" ca="1">INDIRECT("'※ 소상공인 세부데이터'!"&amp;O$1&amp;$T53, TRUE)</f>
        <v>-38</v>
      </c>
      <c r="P53" s="2729" cm="1">
        <f t="array" aca="1" ref="P53" ca="1">INDIRECT("'※ 소상공인 세부데이터'!"&amp;P$1&amp;$T53, TRUE)</f>
        <v>141</v>
      </c>
      <c r="Q53" s="2730" cm="1">
        <f t="array" aca="1" ref="Q53" ca="1">INDIRECT("'※ 소상공인 세부데이터'!"&amp;Q$1&amp;$T53, TRUE)</f>
        <v>4</v>
      </c>
      <c r="R53" s="2731" cm="1">
        <f t="array" aca="1" ref="R53" ca="1">INDIRECT("'※ 소상공인 세부데이터'!"&amp;R$1&amp;$T53, TRUE)</f>
        <v>70.5</v>
      </c>
      <c r="S53" s="2732" cm="1">
        <f t="array" aca="1" ref="S53" ca="1">INDIRECT("'※ 소상공인 세부데이터'!"&amp;S$1&amp;$T53, TRUE)</f>
        <v>-12.083333333333329</v>
      </c>
      <c r="T53" s="1520">
        <f>ROW('※ 소상공인 세부데이터'!J32)</f>
        <v>32</v>
      </c>
      <c r="U53" s="905"/>
    </row>
    <row r="54" spans="1:21" ht="19.95" customHeight="1" x14ac:dyDescent="0.55000000000000004">
      <c r="A54" s="7266" t="s">
        <v>991</v>
      </c>
      <c r="B54" s="2733" t="s">
        <v>140</v>
      </c>
      <c r="C54" s="2734"/>
      <c r="D54" s="2735" cm="1">
        <f t="array" aca="1" ref="D54" ca="1">INDIRECT("'※ 소상공인 세부데이터'!"&amp;D$1&amp;$T54, TRUE)</f>
        <v>553</v>
      </c>
      <c r="E54" s="6154" cm="1">
        <f t="array" aca="1" ref="E54" ca="1">INDIRECT("'※ 소상공인 세부데이터'!"&amp;E$1&amp;$T54, TRUE)</f>
        <v>504</v>
      </c>
      <c r="F54" s="2735" cm="1">
        <f t="array" aca="1" ref="F54" ca="1">INDIRECT("'※ 소상공인 세부데이터'!"&amp;F$1&amp;$T54, TRUE)</f>
        <v>29</v>
      </c>
      <c r="G54" s="2735" cm="1">
        <f t="array" aca="1" ref="G54" ca="1">INDIRECT("'※ 소상공인 세부데이터'!"&amp;G$1&amp;$T54, TRUE)</f>
        <v>89</v>
      </c>
      <c r="H54" s="2735" cm="1">
        <f t="array" aca="1" ref="H54" ca="1">INDIRECT("'※ 소상공인 세부데이터'!"&amp;H$1&amp;$T54, TRUE)</f>
        <v>24</v>
      </c>
      <c r="I54" s="2735" cm="1">
        <f t="array" aca="1" ref="I54" ca="1">INDIRECT("'※ 소상공인 세부데이터'!"&amp;I$1&amp;$T54, TRUE)</f>
        <v>34</v>
      </c>
      <c r="J54" s="2735" cm="1">
        <f t="array" aca="1" ref="J54" ca="1">INDIRECT("'※ 소상공인 세부데이터'!"&amp;J$1&amp;$T54, TRUE)</f>
        <v>50</v>
      </c>
      <c r="K54" s="2735" cm="1">
        <f t="array" aca="1" ref="K54" ca="1">INDIRECT("'※ 소상공인 세부데이터'!"&amp;K$1&amp;$T54, TRUE)</f>
        <v>41</v>
      </c>
      <c r="L54" s="6140" cm="1">
        <f t="array" aca="1" ref="L54" ca="1">INDIRECT("'※ 소상공인 세부데이터'!"&amp;L$1&amp;$T54, TRUE)</f>
        <v>76</v>
      </c>
      <c r="M54" s="2735" cm="1">
        <f t="array" aca="1" ref="M54" ca="1">INDIRECT("'※ 소상공인 세부데이터'!"&amp;M$1&amp;$T54, TRUE)</f>
        <v>36</v>
      </c>
      <c r="N54" s="2736" cm="1">
        <f t="array" aca="1" ref="N54" ca="1">INDIRECT("'※ 소상공인 세부데이터'!"&amp;N$1&amp;$T54, TRUE)</f>
        <v>-40</v>
      </c>
      <c r="O54" s="2737" cm="1">
        <f t="array" aca="1" ref="O54" ca="1">INDIRECT("'※ 소상공인 세부데이터'!"&amp;O$1&amp;$T54, TRUE)</f>
        <v>-53</v>
      </c>
      <c r="P54" s="2737" cm="1">
        <f t="array" aca="1" ref="P54" ca="1">INDIRECT("'※ 소상공인 세부데이터'!"&amp;P$1&amp;$T54, TRUE)</f>
        <v>112</v>
      </c>
      <c r="Q54" s="2738" cm="1">
        <f t="array" aca="1" ref="Q54" ca="1">INDIRECT("'※ 소상공인 세부데이터'!"&amp;Q$1&amp;$T54, TRUE)</f>
        <v>-6</v>
      </c>
      <c r="R54" s="2739" cm="1">
        <f t="array" aca="1" ref="R54" ca="1">INDIRECT("'※ 소상공인 세부데이터'!"&amp;R$1&amp;$T54, TRUE)</f>
        <v>56</v>
      </c>
      <c r="S54" s="2740" cm="1">
        <f t="array" aca="1" ref="S54" ca="1">INDIRECT("'※ 소상공인 세부데이터'!"&amp;S$1&amp;$T54, TRUE)</f>
        <v>14</v>
      </c>
      <c r="T54" s="1520">
        <f>ROW('※ 소상공인 세부데이터'!J33)</f>
        <v>33</v>
      </c>
      <c r="U54" s="905"/>
    </row>
    <row r="55" spans="1:21" ht="19.95" customHeight="1" x14ac:dyDescent="0.55000000000000004">
      <c r="A55" s="7267"/>
      <c r="B55" s="886" t="s">
        <v>142</v>
      </c>
      <c r="C55" s="2690"/>
      <c r="D55" s="2691" cm="1">
        <f t="array" aca="1" ref="D55" ca="1">INDIRECT("'※ 소상공인 세부데이터'!"&amp;D$1&amp;$T55, TRUE)</f>
        <v>341</v>
      </c>
      <c r="E55" s="6149" cm="1">
        <f t="array" aca="1" ref="E55" ca="1">INDIRECT("'※ 소상공인 세부데이터'!"&amp;E$1&amp;$T55, TRUE)</f>
        <v>174</v>
      </c>
      <c r="F55" s="2691" cm="1">
        <f t="array" aca="1" ref="F55" ca="1">INDIRECT("'※ 소상공인 세부데이터'!"&amp;F$1&amp;$T55, TRUE)</f>
        <v>2</v>
      </c>
      <c r="G55" s="2691" cm="1">
        <f t="array" aca="1" ref="G55" ca="1">INDIRECT("'※ 소상공인 세부데이터'!"&amp;G$1&amp;$T55, TRUE)</f>
        <v>38</v>
      </c>
      <c r="H55" s="2691" cm="1">
        <f t="array" aca="1" ref="H55" ca="1">INDIRECT("'※ 소상공인 세부데이터'!"&amp;H$1&amp;$T55, TRUE)</f>
        <v>14</v>
      </c>
      <c r="I55" s="2691" cm="1">
        <f t="array" aca="1" ref="I55" ca="1">INDIRECT("'※ 소상공인 세부데이터'!"&amp;I$1&amp;$T55, TRUE)</f>
        <v>12</v>
      </c>
      <c r="J55" s="2691" cm="1">
        <f t="array" aca="1" ref="J55" ca="1">INDIRECT("'※ 소상공인 세부데이터'!"&amp;J$1&amp;$T55, TRUE)</f>
        <v>15</v>
      </c>
      <c r="K55" s="2691" cm="1">
        <f t="array" aca="1" ref="K55" ca="1">INDIRECT("'※ 소상공인 세부데이터'!"&amp;K$1&amp;$T55, TRUE)</f>
        <v>9</v>
      </c>
      <c r="L55" s="6135" cm="1">
        <f t="array" aca="1" ref="L55" ca="1">INDIRECT("'※ 소상공인 세부데이터'!"&amp;L$1&amp;$T55, TRUE)</f>
        <v>11</v>
      </c>
      <c r="M55" s="2691" cm="1">
        <f t="array" aca="1" ref="M55" ca="1">INDIRECT("'※ 소상공인 세부데이터'!"&amp;M$1&amp;$T55, TRUE)</f>
        <v>5</v>
      </c>
      <c r="N55" s="914" cm="1">
        <f t="array" aca="1" ref="N55" ca="1">INDIRECT("'※ 소상공인 세부데이터'!"&amp;N$1&amp;$T55, TRUE)</f>
        <v>-6</v>
      </c>
      <c r="O55" s="915" cm="1">
        <f t="array" aca="1" ref="O55" ca="1">INDIRECT("'※ 소상공인 세부데이터'!"&amp;O$1&amp;$T55, TRUE)</f>
        <v>-33</v>
      </c>
      <c r="P55" s="2692" cm="1">
        <f t="array" aca="1" ref="P55" ca="1">INDIRECT("'※ 소상공인 세부데이터'!"&amp;P$1&amp;$T55, TRUE)</f>
        <v>16</v>
      </c>
      <c r="Q55" s="781" cm="1">
        <f t="array" aca="1" ref="Q55" ca="1">INDIRECT("'※ 소상공인 세부데이터'!"&amp;Q$1&amp;$T55, TRUE)</f>
        <v>-24</v>
      </c>
      <c r="R55" s="2693" cm="1">
        <f t="array" aca="1" ref="R55" ca="1">INDIRECT("'※ 소상공인 세부데이터'!"&amp;R$1&amp;$T55, TRUE)</f>
        <v>8</v>
      </c>
      <c r="S55" s="2694" cm="1">
        <f t="array" aca="1" ref="S55" ca="1">INDIRECT("'※ 소상공인 세부데이터'!"&amp;S$1&amp;$T55, TRUE)</f>
        <v>-6.5</v>
      </c>
      <c r="T55" s="1520">
        <f>ROW('※ 소상공인 세부데이터'!J34)</f>
        <v>34</v>
      </c>
      <c r="U55" s="905"/>
    </row>
    <row r="56" spans="1:21" ht="19.95" customHeight="1" x14ac:dyDescent="0.55000000000000004">
      <c r="A56" s="7267"/>
      <c r="B56" s="886" t="s">
        <v>144</v>
      </c>
      <c r="C56" s="2690"/>
      <c r="D56" s="2691" cm="1">
        <f t="array" aca="1" ref="D56" ca="1">INDIRECT("'※ 소상공인 세부데이터'!"&amp;D$1&amp;$T56, TRUE)</f>
        <v>316</v>
      </c>
      <c r="E56" s="6149" cm="1">
        <f t="array" aca="1" ref="E56" ca="1">INDIRECT("'※ 소상공인 세부데이터'!"&amp;E$1&amp;$T56, TRUE)</f>
        <v>251</v>
      </c>
      <c r="F56" s="2691" cm="1">
        <f t="array" aca="1" ref="F56" ca="1">INDIRECT("'※ 소상공인 세부데이터'!"&amp;F$1&amp;$T56, TRUE)</f>
        <v>14</v>
      </c>
      <c r="G56" s="2691" cm="1">
        <f t="array" aca="1" ref="G56" ca="1">INDIRECT("'※ 소상공인 세부데이터'!"&amp;G$1&amp;$T56, TRUE)</f>
        <v>30</v>
      </c>
      <c r="H56" s="2691" cm="1">
        <f t="array" aca="1" ref="H56" ca="1">INDIRECT("'※ 소상공인 세부데이터'!"&amp;H$1&amp;$T56, TRUE)</f>
        <v>9</v>
      </c>
      <c r="I56" s="2691" cm="1">
        <f t="array" aca="1" ref="I56" ca="1">INDIRECT("'※ 소상공인 세부데이터'!"&amp;I$1&amp;$T56, TRUE)</f>
        <v>15</v>
      </c>
      <c r="J56" s="2691" cm="1">
        <f t="array" aca="1" ref="J56" ca="1">INDIRECT("'※ 소상공인 세부데이터'!"&amp;J$1&amp;$T56, TRUE)</f>
        <v>26</v>
      </c>
      <c r="K56" s="2691" cm="1">
        <f t="array" aca="1" ref="K56" ca="1">INDIRECT("'※ 소상공인 세부데이터'!"&amp;K$1&amp;$T56, TRUE)</f>
        <v>20</v>
      </c>
      <c r="L56" s="6135" cm="1">
        <f t="array" aca="1" ref="L56" ca="1">INDIRECT("'※ 소상공인 세부데이터'!"&amp;L$1&amp;$T56, TRUE)</f>
        <v>28</v>
      </c>
      <c r="M56" s="2691" cm="1">
        <f t="array" aca="1" ref="M56" ca="1">INDIRECT("'※ 소상공인 세부데이터'!"&amp;M$1&amp;$T56, TRUE)</f>
        <v>3</v>
      </c>
      <c r="N56" s="914" cm="1">
        <f t="array" aca="1" ref="N56" ca="1">INDIRECT("'※ 소상공인 세부데이터'!"&amp;N$1&amp;$T56, TRUE)</f>
        <v>-25</v>
      </c>
      <c r="O56" s="915" cm="1">
        <f t="array" aca="1" ref="O56" ca="1">INDIRECT("'※ 소상공인 세부데이터'!"&amp;O$1&amp;$T56, TRUE)</f>
        <v>-27</v>
      </c>
      <c r="P56" s="2692" cm="1">
        <f t="array" aca="1" ref="P56" ca="1">INDIRECT("'※ 소상공인 세부데이터'!"&amp;P$1&amp;$T56, TRUE)</f>
        <v>31</v>
      </c>
      <c r="Q56" s="781" cm="1">
        <f t="array" aca="1" ref="Q56" ca="1">INDIRECT("'※ 소상공인 세부데이터'!"&amp;Q$1&amp;$T56, TRUE)</f>
        <v>-13</v>
      </c>
      <c r="R56" s="2693" cm="1">
        <f t="array" aca="1" ref="R56" ca="1">INDIRECT("'※ 소상공인 세부데이터'!"&amp;R$1&amp;$T56, TRUE)</f>
        <v>15.5</v>
      </c>
      <c r="S56" s="2694" cm="1">
        <f t="array" aca="1" ref="S56" ca="1">INDIRECT("'※ 소상공인 세부데이터'!"&amp;S$1&amp;$T56, TRUE)</f>
        <v>-5.4166666666666679</v>
      </c>
      <c r="T56" s="1520">
        <f>ROW('※ 소상공인 세부데이터'!J35)</f>
        <v>35</v>
      </c>
      <c r="U56" s="905"/>
    </row>
    <row r="57" spans="1:21" ht="19.95" customHeight="1" x14ac:dyDescent="0.55000000000000004">
      <c r="A57" s="7267"/>
      <c r="B57" s="886" t="s">
        <v>163</v>
      </c>
      <c r="C57" s="2690"/>
      <c r="D57" s="2691" cm="1">
        <f t="array" aca="1" ref="D57" ca="1">INDIRECT("'※ 소상공인 세부데이터'!"&amp;D$1&amp;$T57, TRUE)</f>
        <v>785</v>
      </c>
      <c r="E57" s="6149" cm="1">
        <f t="array" aca="1" ref="E57" ca="1">INDIRECT("'※ 소상공인 세부데이터'!"&amp;E$1&amp;$T57, TRUE)</f>
        <v>566</v>
      </c>
      <c r="F57" s="2691" cm="1">
        <f t="array" aca="1" ref="F57" ca="1">INDIRECT("'※ 소상공인 세부데이터'!"&amp;F$1&amp;$T57, TRUE)</f>
        <v>40</v>
      </c>
      <c r="G57" s="2691" cm="1">
        <f t="array" aca="1" ref="G57" ca="1">INDIRECT("'※ 소상공인 세부데이터'!"&amp;G$1&amp;$T57, TRUE)</f>
        <v>109</v>
      </c>
      <c r="H57" s="2691" cm="1">
        <f t="array" aca="1" ref="H57" ca="1">INDIRECT("'※ 소상공인 세부데이터'!"&amp;H$1&amp;$T57, TRUE)</f>
        <v>53</v>
      </c>
      <c r="I57" s="2691" cm="1">
        <f t="array" aca="1" ref="I57" ca="1">INDIRECT("'※ 소상공인 세부데이터'!"&amp;I$1&amp;$T57, TRUE)</f>
        <v>30</v>
      </c>
      <c r="J57" s="2691" cm="1">
        <f t="array" aca="1" ref="J57" ca="1">INDIRECT("'※ 소상공인 세부데이터'!"&amp;J$1&amp;$T57, TRUE)</f>
        <v>45</v>
      </c>
      <c r="K57" s="2691" cm="1">
        <f t="array" aca="1" ref="K57" ca="1">INDIRECT("'※ 소상공인 세부데이터'!"&amp;K$1&amp;$T57, TRUE)</f>
        <v>24</v>
      </c>
      <c r="L57" s="6135" cm="1">
        <f t="array" aca="1" ref="L57" ca="1">INDIRECT("'※ 소상공인 세부데이터'!"&amp;L$1&amp;$T57, TRUE)</f>
        <v>34</v>
      </c>
      <c r="M57" s="2691" cm="1">
        <f t="array" aca="1" ref="M57" ca="1">INDIRECT("'※ 소상공인 세부데이터'!"&amp;M$1&amp;$T57, TRUE)</f>
        <v>10</v>
      </c>
      <c r="N57" s="914" cm="1">
        <f t="array" aca="1" ref="N57" ca="1">INDIRECT("'※ 소상공인 세부데이터'!"&amp;N$1&amp;$T57, TRUE)</f>
        <v>-24</v>
      </c>
      <c r="O57" s="915" cm="1">
        <f t="array" aca="1" ref="O57" ca="1">INDIRECT("'※ 소상공인 세부데이터'!"&amp;O$1&amp;$T57, TRUE)</f>
        <v>-99</v>
      </c>
      <c r="P57" s="2692" cm="1">
        <f t="array" aca="1" ref="P57" ca="1">INDIRECT("'※ 소상공인 세부데이터'!"&amp;P$1&amp;$T57, TRUE)</f>
        <v>44</v>
      </c>
      <c r="Q57" s="781" cm="1">
        <f t="array" aca="1" ref="Q57" ca="1">INDIRECT("'※ 소상공인 세부데이터'!"&amp;Q$1&amp;$T57, TRUE)</f>
        <v>-105</v>
      </c>
      <c r="R57" s="2693" cm="1">
        <f t="array" aca="1" ref="R57" ca="1">INDIRECT("'※ 소상공인 세부데이터'!"&amp;R$1&amp;$T57, TRUE)</f>
        <v>22</v>
      </c>
      <c r="S57" s="2694" cm="1">
        <f t="array" aca="1" ref="S57" ca="1">INDIRECT("'※ 소상공인 세부데이터'!"&amp;S$1&amp;$T57, TRUE)</f>
        <v>-25.166666666666664</v>
      </c>
      <c r="T57" s="1520">
        <f>ROW('※ 소상공인 세부데이터'!J36)</f>
        <v>36</v>
      </c>
      <c r="U57" s="905"/>
    </row>
    <row r="58" spans="1:21" ht="19.95" customHeight="1" x14ac:dyDescent="0.55000000000000004">
      <c r="A58" s="7267"/>
      <c r="B58" s="886" t="s">
        <v>164</v>
      </c>
      <c r="C58" s="2690"/>
      <c r="D58" s="2691" cm="1">
        <f t="array" aca="1" ref="D58" ca="1">INDIRECT("'※ 소상공인 세부데이터'!"&amp;D$1&amp;$T58, TRUE)</f>
        <v>513</v>
      </c>
      <c r="E58" s="6149" cm="1">
        <f t="array" aca="1" ref="E58" ca="1">INDIRECT("'※ 소상공인 세부데이터'!"&amp;E$1&amp;$T58, TRUE)</f>
        <v>458</v>
      </c>
      <c r="F58" s="2691" cm="1">
        <f t="array" aca="1" ref="F58" ca="1">INDIRECT("'※ 소상공인 세부데이터'!"&amp;F$1&amp;$T58, TRUE)</f>
        <v>26</v>
      </c>
      <c r="G58" s="2691" cm="1">
        <f t="array" aca="1" ref="G58" ca="1">INDIRECT("'※ 소상공인 세부데이터'!"&amp;G$1&amp;$T58, TRUE)</f>
        <v>77</v>
      </c>
      <c r="H58" s="2691" cm="1">
        <f t="array" aca="1" ref="H58" ca="1">INDIRECT("'※ 소상공인 세부데이터'!"&amp;H$1&amp;$T58, TRUE)</f>
        <v>17</v>
      </c>
      <c r="I58" s="2691" cm="1">
        <f t="array" aca="1" ref="I58" ca="1">INDIRECT("'※ 소상공인 세부데이터'!"&amp;I$1&amp;$T58, TRUE)</f>
        <v>31</v>
      </c>
      <c r="J58" s="2691" cm="1">
        <f t="array" aca="1" ref="J58" ca="1">INDIRECT("'※ 소상공인 세부데이터'!"&amp;J$1&amp;$T58, TRUE)</f>
        <v>36</v>
      </c>
      <c r="K58" s="2691" cm="1">
        <f t="array" aca="1" ref="K58" ca="1">INDIRECT("'※ 소상공인 세부데이터'!"&amp;K$1&amp;$T58, TRUE)</f>
        <v>29</v>
      </c>
      <c r="L58" s="6135" cm="1">
        <f t="array" aca="1" ref="L58" ca="1">INDIRECT("'※ 소상공인 세부데이터'!"&amp;L$1&amp;$T58, TRUE)</f>
        <v>53</v>
      </c>
      <c r="M58" s="2691" cm="1">
        <f t="array" aca="1" ref="M58" ca="1">INDIRECT("'※ 소상공인 세부데이터'!"&amp;M$1&amp;$T58, TRUE)</f>
        <v>20</v>
      </c>
      <c r="N58" s="914" cm="1">
        <f t="array" aca="1" ref="N58" ca="1">INDIRECT("'※ 소상공인 세부데이터'!"&amp;N$1&amp;$T58, TRUE)</f>
        <v>-33</v>
      </c>
      <c r="O58" s="915" cm="1">
        <f t="array" aca="1" ref="O58" ca="1">INDIRECT("'※ 소상공인 세부데이터'!"&amp;O$1&amp;$T58, TRUE)</f>
        <v>-57</v>
      </c>
      <c r="P58" s="2692" cm="1">
        <f t="array" aca="1" ref="P58" ca="1">INDIRECT("'※ 소상공인 세부데이터'!"&amp;P$1&amp;$T58, TRUE)</f>
        <v>73</v>
      </c>
      <c r="Q58" s="781" cm="1">
        <f t="array" aca="1" ref="Q58" ca="1">INDIRECT("'※ 소상공인 세부데이터'!"&amp;Q$1&amp;$T58, TRUE)</f>
        <v>-30</v>
      </c>
      <c r="R58" s="2693" cm="1">
        <f t="array" aca="1" ref="R58" ca="1">INDIRECT("'※ 소상공인 세부데이터'!"&amp;R$1&amp;$T58, TRUE)</f>
        <v>36.5</v>
      </c>
      <c r="S58" s="2694" cm="1">
        <f t="array" aca="1" ref="S58" ca="1">INDIRECT("'※ 소상공인 세부데이터'!"&amp;S$1&amp;$T58, TRUE)</f>
        <v>-1.6666666666666643</v>
      </c>
      <c r="T58" s="1520">
        <f>ROW('※ 소상공인 세부데이터'!J37)</f>
        <v>37</v>
      </c>
      <c r="U58" s="905"/>
    </row>
    <row r="59" spans="1:21" ht="19.95" customHeight="1" x14ac:dyDescent="0.55000000000000004">
      <c r="A59" s="7282" t="s">
        <v>165</v>
      </c>
      <c r="B59" s="2741" t="s">
        <v>140</v>
      </c>
      <c r="C59" s="2742"/>
      <c r="D59" s="2743" cm="1">
        <f t="array" aca="1" ref="D59" ca="1">INDIRECT("'※ 소상공인 세부데이터'!"&amp;D$1&amp;$T59, TRUE)</f>
        <v>1599</v>
      </c>
      <c r="E59" s="6155" cm="1">
        <f t="array" aca="1" ref="E59" ca="1">INDIRECT("'※ 소상공인 세부데이터'!"&amp;E$1&amp;$T59, TRUE)</f>
        <v>1804</v>
      </c>
      <c r="F59" s="2743" cm="1">
        <f t="array" aca="1" ref="F59" ca="1">INDIRECT("'※ 소상공인 세부데이터'!"&amp;F$1&amp;$T59, TRUE)</f>
        <v>87</v>
      </c>
      <c r="G59" s="2743" cm="1">
        <f t="array" aca="1" ref="G59" ca="1">INDIRECT("'※ 소상공인 세부데이터'!"&amp;G$1&amp;$T59, TRUE)</f>
        <v>97</v>
      </c>
      <c r="H59" s="2743" cm="1">
        <f t="array" aca="1" ref="H59" ca="1">INDIRECT("'※ 소상공인 세부데이터'!"&amp;H$1&amp;$T59, TRUE)</f>
        <v>130</v>
      </c>
      <c r="I59" s="2743" cm="1">
        <f t="array" aca="1" ref="I59" ca="1">INDIRECT("'※ 소상공인 세부데이터'!"&amp;I$1&amp;$T59, TRUE)</f>
        <v>148</v>
      </c>
      <c r="J59" s="2743" cm="1">
        <f t="array" aca="1" ref="J59" ca="1">INDIRECT("'※ 소상공인 세부데이터'!"&amp;J$1&amp;$T59, TRUE)</f>
        <v>236</v>
      </c>
      <c r="K59" s="2743" cm="1">
        <f t="array" aca="1" ref="K59" ca="1">INDIRECT("'※ 소상공인 세부데이터'!"&amp;K$1&amp;$T59, TRUE)</f>
        <v>164</v>
      </c>
      <c r="L59" s="6141" cm="1">
        <f t="array" aca="1" ref="L59" ca="1">INDIRECT("'※ 소상공인 세부데이터'!"&amp;L$1&amp;$T59, TRUE)</f>
        <v>86</v>
      </c>
      <c r="M59" s="2743" cm="1">
        <f t="array" aca="1" ref="M59" ca="1">INDIRECT("'※ 소상공인 세부데이터'!"&amp;M$1&amp;$T59, TRUE)</f>
        <v>97</v>
      </c>
      <c r="N59" s="2744" cm="1">
        <f t="array" aca="1" ref="N59" ca="1">INDIRECT("'※ 소상공인 세부데이터'!"&amp;N$1&amp;$T59, TRUE)</f>
        <v>11</v>
      </c>
      <c r="O59" s="2745" cm="1">
        <f t="array" aca="1" ref="O59" ca="1">INDIRECT("'※ 소상공인 세부데이터'!"&amp;O$1&amp;$T59, TRUE)</f>
        <v>0</v>
      </c>
      <c r="P59" s="2746" cm="1">
        <f t="array" aca="1" ref="P59" ca="1">INDIRECT("'※ 소상공인 세부데이터'!"&amp;P$1&amp;$T59, TRUE)</f>
        <v>183</v>
      </c>
      <c r="Q59" s="2747" cm="1">
        <f t="array" aca="1" ref="Q59" ca="1">INDIRECT("'※ 소상공인 세부데이터'!"&amp;Q$1&amp;$T59, TRUE)</f>
        <v>-1</v>
      </c>
      <c r="R59" s="2748" cm="1">
        <f t="array" aca="1" ref="R59" ca="1">INDIRECT("'※ 소상공인 세부데이터'!"&amp;R$1&amp;$T59, TRUE)</f>
        <v>91.5</v>
      </c>
      <c r="S59" s="2749" cm="1">
        <f t="array" aca="1" ref="S59" ca="1">INDIRECT("'※ 소상공인 세부데이터'!"&amp;S$1&amp;$T59, TRUE)</f>
        <v>-58.833333333333343</v>
      </c>
      <c r="T59" s="1520">
        <f>ROW('※ 소상공인 세부데이터'!J38)</f>
        <v>38</v>
      </c>
      <c r="U59" s="905"/>
    </row>
    <row r="60" spans="1:21" ht="19.95" customHeight="1" x14ac:dyDescent="0.55000000000000004">
      <c r="A60" s="7283"/>
      <c r="B60" s="803" t="s">
        <v>142</v>
      </c>
      <c r="C60" s="2725"/>
      <c r="D60" s="2726" cm="1">
        <f t="array" aca="1" ref="D60" ca="1">INDIRECT("'※ 소상공인 세부데이터'!"&amp;D$1&amp;$T60, TRUE)</f>
        <v>1449</v>
      </c>
      <c r="E60" s="6153" cm="1">
        <f t="array" aca="1" ref="E60" ca="1">INDIRECT("'※ 소상공인 세부데이터'!"&amp;E$1&amp;$T60, TRUE)</f>
        <v>1107</v>
      </c>
      <c r="F60" s="2726" cm="1">
        <f t="array" aca="1" ref="F60" ca="1">INDIRECT("'※ 소상공인 세부데이터'!"&amp;F$1&amp;$T60, TRUE)</f>
        <v>67</v>
      </c>
      <c r="G60" s="2726" cm="1">
        <f t="array" aca="1" ref="G60" ca="1">INDIRECT("'※ 소상공인 세부데이터'!"&amp;G$1&amp;$T60, TRUE)</f>
        <v>88</v>
      </c>
      <c r="H60" s="2726" cm="1">
        <f t="array" aca="1" ref="H60" ca="1">INDIRECT("'※ 소상공인 세부데이터'!"&amp;H$1&amp;$T60, TRUE)</f>
        <v>90</v>
      </c>
      <c r="I60" s="2726" cm="1">
        <f t="array" aca="1" ref="I60" ca="1">INDIRECT("'※ 소상공인 세부데이터'!"&amp;I$1&amp;$T60, TRUE)</f>
        <v>90</v>
      </c>
      <c r="J60" s="2726" cm="1">
        <f t="array" aca="1" ref="J60" ca="1">INDIRECT("'※ 소상공인 세부데이터'!"&amp;J$1&amp;$T60, TRUE)</f>
        <v>196</v>
      </c>
      <c r="K60" s="2726" cm="1">
        <f t="array" aca="1" ref="K60" ca="1">INDIRECT("'※ 소상공인 세부데이터'!"&amp;K$1&amp;$T60, TRUE)</f>
        <v>65</v>
      </c>
      <c r="L60" s="6139" cm="1">
        <f t="array" aca="1" ref="L60" ca="1">INDIRECT("'※ 소상공인 세부데이터'!"&amp;L$1&amp;$T60, TRUE)</f>
        <v>46</v>
      </c>
      <c r="M60" s="2726" cm="1">
        <f t="array" aca="1" ref="M60" ca="1">INDIRECT("'※ 소상공인 세부데이터'!"&amp;M$1&amp;$T60, TRUE)</f>
        <v>58</v>
      </c>
      <c r="N60" s="2727" cm="1">
        <f t="array" aca="1" ref="N60" ca="1">INDIRECT("'※ 소상공인 세부데이터'!"&amp;N$1&amp;$T60, TRUE)</f>
        <v>12</v>
      </c>
      <c r="O60" s="2728" cm="1">
        <f t="array" aca="1" ref="O60" ca="1">INDIRECT("'※ 소상공인 세부데이터'!"&amp;O$1&amp;$T60, TRUE)</f>
        <v>-30</v>
      </c>
      <c r="P60" s="2729" cm="1">
        <f t="array" aca="1" ref="P60" ca="1">INDIRECT("'※ 소상공인 세부데이터'!"&amp;P$1&amp;$T60, TRUE)</f>
        <v>104</v>
      </c>
      <c r="Q60" s="2730" cm="1">
        <f t="array" aca="1" ref="Q60" ca="1">INDIRECT("'※ 소상공인 세부데이터'!"&amp;Q$1&amp;$T60, TRUE)</f>
        <v>-51</v>
      </c>
      <c r="R60" s="2731" cm="1">
        <f t="array" aca="1" ref="R60" ca="1">INDIRECT("'※ 소상공인 세부데이터'!"&amp;R$1&amp;$T60, TRUE)</f>
        <v>52</v>
      </c>
      <c r="S60" s="2732" cm="1">
        <f t="array" aca="1" ref="S60" ca="1">INDIRECT("'※ 소상공인 세부데이터'!"&amp;S$1&amp;$T60, TRUE)</f>
        <v>-40.25</v>
      </c>
      <c r="T60" s="1520">
        <f>ROW('※ 소상공인 세부데이터'!J39)</f>
        <v>39</v>
      </c>
      <c r="U60" s="905"/>
    </row>
    <row r="61" spans="1:21" ht="19.95" customHeight="1" x14ac:dyDescent="0.55000000000000004">
      <c r="A61" s="7283"/>
      <c r="B61" s="803" t="s">
        <v>144</v>
      </c>
      <c r="C61" s="2725"/>
      <c r="D61" s="2726" cm="1">
        <f t="array" aca="1" ref="D61" ca="1">INDIRECT("'※ 소상공인 세부데이터'!"&amp;D$1&amp;$T61, TRUE)</f>
        <v>1401</v>
      </c>
      <c r="E61" s="6153" cm="1">
        <f t="array" aca="1" ref="E61" ca="1">INDIRECT("'※ 소상공인 세부데이터'!"&amp;E$1&amp;$T61, TRUE)</f>
        <v>1325</v>
      </c>
      <c r="F61" s="2726" cm="1">
        <f t="array" aca="1" ref="F61" ca="1">INDIRECT("'※ 소상공인 세부데이터'!"&amp;F$1&amp;$T61, TRUE)</f>
        <v>167</v>
      </c>
      <c r="G61" s="2726" cm="1">
        <f t="array" aca="1" ref="G61" ca="1">INDIRECT("'※ 소상공인 세부데이터'!"&amp;G$1&amp;$T61, TRUE)</f>
        <v>94</v>
      </c>
      <c r="H61" s="2726" cm="1">
        <f t="array" aca="1" ref="H61" ca="1">INDIRECT("'※ 소상공인 세부데이터'!"&amp;H$1&amp;$T61, TRUE)</f>
        <v>116</v>
      </c>
      <c r="I61" s="2726" cm="1">
        <f t="array" aca="1" ref="I61" ca="1">INDIRECT("'※ 소상공인 세부데이터'!"&amp;I$1&amp;$T61, TRUE)</f>
        <v>110</v>
      </c>
      <c r="J61" s="2726" cm="1">
        <f t="array" aca="1" ref="J61" ca="1">INDIRECT("'※ 소상공인 세부데이터'!"&amp;J$1&amp;$T61, TRUE)</f>
        <v>140</v>
      </c>
      <c r="K61" s="2726" cm="1">
        <f t="array" aca="1" ref="K61" ca="1">INDIRECT("'※ 소상공인 세부데이터'!"&amp;K$1&amp;$T61, TRUE)</f>
        <v>104</v>
      </c>
      <c r="L61" s="6139" cm="1">
        <f t="array" aca="1" ref="L61" ca="1">INDIRECT("'※ 소상공인 세부데이터'!"&amp;L$1&amp;$T61, TRUE)</f>
        <v>66</v>
      </c>
      <c r="M61" s="2726" cm="1">
        <f t="array" aca="1" ref="M61" ca="1">INDIRECT("'※ 소상공인 세부데이터'!"&amp;M$1&amp;$T61, TRUE)</f>
        <v>52</v>
      </c>
      <c r="N61" s="2727" cm="1">
        <f t="array" aca="1" ref="N61" ca="1">INDIRECT("'※ 소상공인 세부데이터'!"&amp;N$1&amp;$T61, TRUE)</f>
        <v>-14</v>
      </c>
      <c r="O61" s="2728" cm="1">
        <f t="array" aca="1" ref="O61" ca="1">INDIRECT("'※ 소상공인 세부데이터'!"&amp;O$1&amp;$T61, TRUE)</f>
        <v>-42</v>
      </c>
      <c r="P61" s="2729" cm="1">
        <f t="array" aca="1" ref="P61" ca="1">INDIRECT("'※ 소상공인 세부데이터'!"&amp;P$1&amp;$T61, TRUE)</f>
        <v>118</v>
      </c>
      <c r="Q61" s="2730" cm="1">
        <f t="array" aca="1" ref="Q61" ca="1">INDIRECT("'※ 소상공인 세부데이터'!"&amp;Q$1&amp;$T61, TRUE)</f>
        <v>-143</v>
      </c>
      <c r="R61" s="2731" cm="1">
        <f t="array" aca="1" ref="R61" ca="1">INDIRECT("'※ 소상공인 세부데이터'!"&amp;R$1&amp;$T61, TRUE)</f>
        <v>59</v>
      </c>
      <c r="S61" s="2732" cm="1">
        <f t="array" aca="1" ref="S61" ca="1">INDIRECT("'※ 소상공인 세부데이터'!"&amp;S$1&amp;$T61, TRUE)</f>
        <v>-51.416666666666671</v>
      </c>
      <c r="T61" s="1520">
        <f>ROW('※ 소상공인 세부데이터'!J40)</f>
        <v>40</v>
      </c>
      <c r="U61" s="905"/>
    </row>
    <row r="62" spans="1:21" ht="19.95" customHeight="1" x14ac:dyDescent="0.55000000000000004">
      <c r="A62" s="7283"/>
      <c r="B62" s="803" t="s">
        <v>163</v>
      </c>
      <c r="C62" s="2725"/>
      <c r="D62" s="2726" cm="1">
        <f t="array" aca="1" ref="D62" ca="1">INDIRECT("'※ 소상공인 세부데이터'!"&amp;D$1&amp;$T62, TRUE)</f>
        <v>1867</v>
      </c>
      <c r="E62" s="6153" cm="1">
        <f t="array" aca="1" ref="E62" ca="1">INDIRECT("'※ 소상공인 세부데이터'!"&amp;E$1&amp;$T62, TRUE)</f>
        <v>2270</v>
      </c>
      <c r="F62" s="2726" cm="1">
        <f t="array" aca="1" ref="F62" ca="1">INDIRECT("'※ 소상공인 세부데이터'!"&amp;F$1&amp;$T62, TRUE)</f>
        <v>125</v>
      </c>
      <c r="G62" s="2726" cm="1">
        <f t="array" aca="1" ref="G62" ca="1">INDIRECT("'※ 소상공인 세부데이터'!"&amp;G$1&amp;$T62, TRUE)</f>
        <v>102</v>
      </c>
      <c r="H62" s="2726" cm="1">
        <f t="array" aca="1" ref="H62" ca="1">INDIRECT("'※ 소상공인 세부데이터'!"&amp;H$1&amp;$T62, TRUE)</f>
        <v>167</v>
      </c>
      <c r="I62" s="2726" cm="1">
        <f t="array" aca="1" ref="I62" ca="1">INDIRECT("'※ 소상공인 세부데이터'!"&amp;I$1&amp;$T62, TRUE)</f>
        <v>303</v>
      </c>
      <c r="J62" s="2726" cm="1">
        <f t="array" aca="1" ref="J62" ca="1">INDIRECT("'※ 소상공인 세부데이터'!"&amp;J$1&amp;$T62, TRUE)</f>
        <v>257</v>
      </c>
      <c r="K62" s="2726" cm="1">
        <f t="array" aca="1" ref="K62" ca="1">INDIRECT("'※ 소상공인 세부데이터'!"&amp;K$1&amp;$T62, TRUE)</f>
        <v>179</v>
      </c>
      <c r="L62" s="6139" cm="1">
        <f t="array" aca="1" ref="L62" ca="1">INDIRECT("'※ 소상공인 세부데이터'!"&amp;L$1&amp;$T62, TRUE)</f>
        <v>89</v>
      </c>
      <c r="M62" s="2726" cm="1">
        <f t="array" aca="1" ref="M62" ca="1">INDIRECT("'※ 소상공인 세부데이터'!"&amp;M$1&amp;$T62, TRUE)</f>
        <v>92</v>
      </c>
      <c r="N62" s="2727" cm="1">
        <f t="array" aca="1" ref="N62" ca="1">INDIRECT("'※ 소상공인 세부데이터'!"&amp;N$1&amp;$T62, TRUE)</f>
        <v>3</v>
      </c>
      <c r="O62" s="2728" cm="1">
        <f t="array" aca="1" ref="O62" ca="1">INDIRECT("'※ 소상공인 세부데이터'!"&amp;O$1&amp;$T62, TRUE)</f>
        <v>-10</v>
      </c>
      <c r="P62" s="2729" cm="1">
        <f t="array" aca="1" ref="P62" ca="1">INDIRECT("'※ 소상공인 세부데이터'!"&amp;P$1&amp;$T62, TRUE)</f>
        <v>181</v>
      </c>
      <c r="Q62" s="2730" cm="1">
        <f t="array" aca="1" ref="Q62" ca="1">INDIRECT("'※ 소상공인 세부데이터'!"&amp;Q$1&amp;$T62, TRUE)</f>
        <v>-46</v>
      </c>
      <c r="R62" s="2731" cm="1">
        <f t="array" aca="1" ref="R62" ca="1">INDIRECT("'※ 소상공인 세부데이터'!"&amp;R$1&amp;$T62, TRUE)</f>
        <v>90.5</v>
      </c>
      <c r="S62" s="2732" cm="1">
        <f t="array" aca="1" ref="S62" ca="1">INDIRECT("'※ 소상공인 세부데이터'!"&amp;S$1&amp;$T62, TRUE)</f>
        <v>-98.666666666666657</v>
      </c>
      <c r="T62" s="1520">
        <f>ROW('※ 소상공인 세부데이터'!J41)</f>
        <v>41</v>
      </c>
      <c r="U62" s="905"/>
    </row>
    <row r="63" spans="1:21" ht="19.95" customHeight="1" x14ac:dyDescent="0.55000000000000004">
      <c r="A63" s="7284"/>
      <c r="B63" s="2750" t="s">
        <v>164</v>
      </c>
      <c r="C63" s="2751"/>
      <c r="D63" s="2752" cm="1">
        <f t="array" aca="1" ref="D63" ca="1">INDIRECT("'※ 소상공인 세부데이터'!"&amp;D$1&amp;$T63, TRUE)</f>
        <v>2554</v>
      </c>
      <c r="E63" s="6156" cm="1">
        <f t="array" aca="1" ref="E63" ca="1">INDIRECT("'※ 소상공인 세부데이터'!"&amp;E$1&amp;$T63, TRUE)</f>
        <v>2139</v>
      </c>
      <c r="F63" s="2752" cm="1">
        <f t="array" aca="1" ref="F63" ca="1">INDIRECT("'※ 소상공인 세부데이터'!"&amp;F$1&amp;$T63, TRUE)</f>
        <v>105</v>
      </c>
      <c r="G63" s="2752" cm="1">
        <f t="array" aca="1" ref="G63" ca="1">INDIRECT("'※ 소상공인 세부데이터'!"&amp;G$1&amp;$T63, TRUE)</f>
        <v>148</v>
      </c>
      <c r="H63" s="2752" cm="1">
        <f t="array" aca="1" ref="H63" ca="1">INDIRECT("'※ 소상공인 세부데이터'!"&amp;H$1&amp;$T63, TRUE)</f>
        <v>272</v>
      </c>
      <c r="I63" s="2752" cm="1">
        <f t="array" aca="1" ref="I63" ca="1">INDIRECT("'※ 소상공인 세부데이터'!"&amp;I$1&amp;$T63, TRUE)</f>
        <v>140</v>
      </c>
      <c r="J63" s="2752" cm="1">
        <f t="array" aca="1" ref="J63" ca="1">INDIRECT("'※ 소상공인 세부데이터'!"&amp;J$1&amp;$T63, TRUE)</f>
        <v>129</v>
      </c>
      <c r="K63" s="2752" cm="1">
        <f t="array" aca="1" ref="K63" ca="1">INDIRECT("'※ 소상공인 세부데이터'!"&amp;K$1&amp;$T63, TRUE)</f>
        <v>295</v>
      </c>
      <c r="L63" s="6142" cm="1">
        <f t="array" aca="1" ref="L63" ca="1">INDIRECT("'※ 소상공인 세부데이터'!"&amp;L$1&amp;$T63, TRUE)</f>
        <v>121</v>
      </c>
      <c r="M63" s="2752" cm="1">
        <f t="array" aca="1" ref="M63" ca="1">INDIRECT("'※ 소상공인 세부데이터'!"&amp;M$1&amp;$T63, TRUE)</f>
        <v>115</v>
      </c>
      <c r="N63" s="2753" cm="1">
        <f t="array" aca="1" ref="N63" ca="1">INDIRECT("'※ 소상공인 세부데이터'!"&amp;N$1&amp;$T63, TRUE)</f>
        <v>-6</v>
      </c>
      <c r="O63" s="2754" cm="1">
        <f t="array" aca="1" ref="O63" ca="1">INDIRECT("'※ 소상공인 세부데이터'!"&amp;O$1&amp;$T63, TRUE)</f>
        <v>-33</v>
      </c>
      <c r="P63" s="2755" cm="1">
        <f t="array" aca="1" ref="P63" ca="1">INDIRECT("'※ 소상공인 세부데이터'!"&amp;P$1&amp;$T63, TRUE)</f>
        <v>236</v>
      </c>
      <c r="Q63" s="2756" cm="1">
        <f t="array" aca="1" ref="Q63" ca="1">INDIRECT("'※ 소상공인 세부데이터'!"&amp;Q$1&amp;$T63, TRUE)</f>
        <v>-17</v>
      </c>
      <c r="R63" s="2757" cm="1">
        <f t="array" aca="1" ref="R63" ca="1">INDIRECT("'※ 소상공인 세부데이터'!"&amp;R$1&amp;$T63, TRUE)</f>
        <v>118</v>
      </c>
      <c r="S63" s="2758" cm="1">
        <f t="array" aca="1" ref="S63" ca="1">INDIRECT("'※ 소상공인 세부데이터'!"&amp;S$1&amp;$T63, TRUE)</f>
        <v>-60.25</v>
      </c>
      <c r="T63" s="1520">
        <f>ROW('※ 소상공인 세부데이터'!J42)</f>
        <v>42</v>
      </c>
      <c r="U63" s="905"/>
    </row>
    <row r="64" spans="1:21" ht="19.95" customHeight="1" x14ac:dyDescent="0.55000000000000004">
      <c r="A64" s="7267" t="s">
        <v>166</v>
      </c>
      <c r="B64" s="886" t="s">
        <v>140</v>
      </c>
      <c r="C64" s="2690"/>
      <c r="D64" s="2691" cm="1">
        <f t="array" aca="1" ref="D64" ca="1">INDIRECT("'※ 소상공인 세부데이터'!"&amp;D$1&amp;$T64, TRUE)</f>
        <v>1782</v>
      </c>
      <c r="E64" s="6149" cm="1">
        <f t="array" aca="1" ref="E64" ca="1">INDIRECT("'※ 소상공인 세부데이터'!"&amp;E$1&amp;$T64, TRUE)</f>
        <v>2711</v>
      </c>
      <c r="F64" s="2691" cm="1">
        <f t="array" aca="1" ref="F64" ca="1">INDIRECT("'※ 소상공인 세부데이터'!"&amp;F$1&amp;$T64, TRUE)</f>
        <v>107</v>
      </c>
      <c r="G64" s="2691" cm="1">
        <f t="array" aca="1" ref="G64" ca="1">INDIRECT("'※ 소상공인 세부데이터'!"&amp;G$1&amp;$T64, TRUE)</f>
        <v>145</v>
      </c>
      <c r="H64" s="2691" cm="1">
        <f t="array" aca="1" ref="H64" ca="1">INDIRECT("'※ 소상공인 세부데이터'!"&amp;H$1&amp;$T64, TRUE)</f>
        <v>108</v>
      </c>
      <c r="I64" s="2691" cm="1">
        <f t="array" aca="1" ref="I64" ca="1">INDIRECT("'※ 소상공인 세부데이터'!"&amp;I$1&amp;$T64, TRUE)</f>
        <v>160</v>
      </c>
      <c r="J64" s="2691" cm="1">
        <f t="array" aca="1" ref="J64" ca="1">INDIRECT("'※ 소상공인 세부데이터'!"&amp;J$1&amp;$T64, TRUE)</f>
        <v>176</v>
      </c>
      <c r="K64" s="2691" cm="1">
        <f t="array" aca="1" ref="K64" ca="1">INDIRECT("'※ 소상공인 세부데이터'!"&amp;K$1&amp;$T64, TRUE)</f>
        <v>150</v>
      </c>
      <c r="L64" s="6135" cm="1">
        <f t="array" aca="1" ref="L64" ca="1">INDIRECT("'※ 소상공인 세부데이터'!"&amp;L$1&amp;$T64, TRUE)</f>
        <v>70</v>
      </c>
      <c r="M64" s="2691" cm="1">
        <f t="array" aca="1" ref="M64" ca="1">INDIRECT("'※ 소상공인 세부데이터'!"&amp;M$1&amp;$T64, TRUE)</f>
        <v>140</v>
      </c>
      <c r="N64" s="914" cm="1">
        <f t="array" aca="1" ref="N64" ca="1">INDIRECT("'※ 소상공인 세부데이터'!"&amp;N$1&amp;$T64, TRUE)</f>
        <v>70</v>
      </c>
      <c r="O64" s="915" cm="1">
        <f t="array" aca="1" ref="O64" ca="1">INDIRECT("'※ 소상공인 세부데이터'!"&amp;O$1&amp;$T64, TRUE)</f>
        <v>-5</v>
      </c>
      <c r="P64" s="2692" cm="1">
        <f t="array" aca="1" ref="P64" ca="1">INDIRECT("'※ 소상공인 세부데이터'!"&amp;P$1&amp;$T64, TRUE)</f>
        <v>210</v>
      </c>
      <c r="Q64" s="781" cm="1">
        <f t="array" aca="1" ref="Q64" ca="1">INDIRECT("'※ 소상공인 세부데이터'!"&amp;Q$1&amp;$T64, TRUE)</f>
        <v>-42</v>
      </c>
      <c r="R64" s="2693" cm="1">
        <f t="array" aca="1" ref="R64" ca="1">INDIRECT("'※ 소상공인 세부데이터'!"&amp;R$1&amp;$T64, TRUE)</f>
        <v>105</v>
      </c>
      <c r="S64" s="2694" cm="1">
        <f t="array" aca="1" ref="S64" ca="1">INDIRECT("'※ 소상공인 세부데이터'!"&amp;S$1&amp;$T64, TRUE)</f>
        <v>-120.91666666666666</v>
      </c>
      <c r="T64" s="1520">
        <f>ROW('※ 소상공인 세부데이터'!J43)</f>
        <v>43</v>
      </c>
      <c r="U64" s="905"/>
    </row>
    <row r="65" spans="1:21" ht="19.95" customHeight="1" x14ac:dyDescent="0.55000000000000004">
      <c r="A65" s="7267"/>
      <c r="B65" s="886" t="s">
        <v>142</v>
      </c>
      <c r="C65" s="2690"/>
      <c r="D65" s="2691" cm="1">
        <f t="array" aca="1" ref="D65" ca="1">INDIRECT("'※ 소상공인 세부데이터'!"&amp;D$1&amp;$T65, TRUE)</f>
        <v>1204</v>
      </c>
      <c r="E65" s="6149" cm="1">
        <f t="array" aca="1" ref="E65" ca="1">INDIRECT("'※ 소상공인 세부데이터'!"&amp;E$1&amp;$T65, TRUE)</f>
        <v>888</v>
      </c>
      <c r="F65" s="2691" cm="1">
        <f t="array" aca="1" ref="F65" ca="1">INDIRECT("'※ 소상공인 세부데이터'!"&amp;F$1&amp;$T65, TRUE)</f>
        <v>24</v>
      </c>
      <c r="G65" s="2691" cm="1">
        <f t="array" aca="1" ref="G65" ca="1">INDIRECT("'※ 소상공인 세부데이터'!"&amp;G$1&amp;$T65, TRUE)</f>
        <v>50</v>
      </c>
      <c r="H65" s="2691" cm="1">
        <f t="array" aca="1" ref="H65" ca="1">INDIRECT("'※ 소상공인 세부데이터'!"&amp;H$1&amp;$T65, TRUE)</f>
        <v>46</v>
      </c>
      <c r="I65" s="2691" cm="1">
        <f t="array" aca="1" ref="I65" ca="1">INDIRECT("'※ 소상공인 세부데이터'!"&amp;I$1&amp;$T65, TRUE)</f>
        <v>50</v>
      </c>
      <c r="J65" s="2691" cm="1">
        <f t="array" aca="1" ref="J65" ca="1">INDIRECT("'※ 소상공인 세부데이터'!"&amp;J$1&amp;$T65, TRUE)</f>
        <v>78</v>
      </c>
      <c r="K65" s="2691" cm="1">
        <f t="array" aca="1" ref="K65" ca="1">INDIRECT("'※ 소상공인 세부데이터'!"&amp;K$1&amp;$T65, TRUE)</f>
        <v>19</v>
      </c>
      <c r="L65" s="6135" cm="1">
        <f t="array" aca="1" ref="L65" ca="1">INDIRECT("'※ 소상공인 세부데이터'!"&amp;L$1&amp;$T65, TRUE)</f>
        <v>85</v>
      </c>
      <c r="M65" s="2691" cm="1">
        <f t="array" aca="1" ref="M65" ca="1">INDIRECT("'※ 소상공인 세부데이터'!"&amp;M$1&amp;$T65, TRUE)</f>
        <v>126</v>
      </c>
      <c r="N65" s="914" cm="1">
        <f t="array" aca="1" ref="N65" ca="1">INDIRECT("'※ 소상공인 세부데이터'!"&amp;N$1&amp;$T65, TRUE)</f>
        <v>41</v>
      </c>
      <c r="O65" s="915" cm="1">
        <f t="array" aca="1" ref="O65" ca="1">INDIRECT("'※ 소상공인 세부데이터'!"&amp;O$1&amp;$T65, TRUE)</f>
        <v>76</v>
      </c>
      <c r="P65" s="2692" cm="1">
        <f t="array" aca="1" ref="P65" ca="1">INDIRECT("'※ 소상공인 세부데이터'!"&amp;P$1&amp;$T65, TRUE)</f>
        <v>211</v>
      </c>
      <c r="Q65" s="781" cm="1">
        <f t="array" aca="1" ref="Q65" ca="1">INDIRECT("'※ 소상공인 세부데이터'!"&amp;Q$1&amp;$T65, TRUE)</f>
        <v>137</v>
      </c>
      <c r="R65" s="2693" cm="1">
        <f t="array" aca="1" ref="R65" ca="1">INDIRECT("'※ 소상공인 세부데이터'!"&amp;R$1&amp;$T65, TRUE)</f>
        <v>105.5</v>
      </c>
      <c r="S65" s="2694" cm="1">
        <f t="array" aca="1" ref="S65" ca="1">INDIRECT("'※ 소상공인 세부데이터'!"&amp;S$1&amp;$T65, TRUE)</f>
        <v>31.5</v>
      </c>
      <c r="T65" s="1520">
        <f>ROW('※ 소상공인 세부데이터'!J44)</f>
        <v>44</v>
      </c>
      <c r="U65" s="905"/>
    </row>
    <row r="66" spans="1:21" ht="19.95" customHeight="1" x14ac:dyDescent="0.55000000000000004">
      <c r="A66" s="7267"/>
      <c r="B66" s="886" t="s">
        <v>144</v>
      </c>
      <c r="C66" s="2690"/>
      <c r="D66" s="2691" cm="1">
        <f t="array" aca="1" ref="D66" ca="1">INDIRECT("'※ 소상공인 세부데이터'!"&amp;D$1&amp;$T66, TRUE)</f>
        <v>1896</v>
      </c>
      <c r="E66" s="6149" cm="1">
        <f t="array" aca="1" ref="E66" ca="1">INDIRECT("'※ 소상공인 세부데이터'!"&amp;E$1&amp;$T66, TRUE)</f>
        <v>1422</v>
      </c>
      <c r="F66" s="2691" cm="1">
        <f t="array" aca="1" ref="F66" ca="1">INDIRECT("'※ 소상공인 세부데이터'!"&amp;F$1&amp;$T66, TRUE)</f>
        <v>147</v>
      </c>
      <c r="G66" s="2691" cm="1">
        <f t="array" aca="1" ref="G66" ca="1">INDIRECT("'※ 소상공인 세부데이터'!"&amp;G$1&amp;$T66, TRUE)</f>
        <v>61</v>
      </c>
      <c r="H66" s="2691" cm="1">
        <f t="array" aca="1" ref="H66" ca="1">INDIRECT("'※ 소상공인 세부데이터'!"&amp;H$1&amp;$T66, TRUE)</f>
        <v>133</v>
      </c>
      <c r="I66" s="2691" cm="1">
        <f t="array" aca="1" ref="I66" ca="1">INDIRECT("'※ 소상공인 세부데이터'!"&amp;I$1&amp;$T66, TRUE)</f>
        <v>87</v>
      </c>
      <c r="J66" s="2691" cm="1">
        <f t="array" aca="1" ref="J66" ca="1">INDIRECT("'※ 소상공인 세부데이터'!"&amp;J$1&amp;$T66, TRUE)</f>
        <v>136</v>
      </c>
      <c r="K66" s="2691" cm="1">
        <f t="array" aca="1" ref="K66" ca="1">INDIRECT("'※ 소상공인 세부데이터'!"&amp;K$1&amp;$T66, TRUE)</f>
        <v>123</v>
      </c>
      <c r="L66" s="6135" cm="1">
        <f t="array" aca="1" ref="L66" ca="1">INDIRECT("'※ 소상공인 세부데이터'!"&amp;L$1&amp;$T66, TRUE)</f>
        <v>130</v>
      </c>
      <c r="M66" s="2691" cm="1">
        <f t="array" aca="1" ref="M66" ca="1">INDIRECT("'※ 소상공인 세부데이터'!"&amp;M$1&amp;$T66, TRUE)</f>
        <v>222</v>
      </c>
      <c r="N66" s="914" cm="1">
        <f t="array" aca="1" ref="N66" ca="1">INDIRECT("'※ 소상공인 세부데이터'!"&amp;N$1&amp;$T66, TRUE)</f>
        <v>92</v>
      </c>
      <c r="O66" s="915" cm="1">
        <f t="array" aca="1" ref="O66" ca="1">INDIRECT("'※ 소상공인 세부데이터'!"&amp;O$1&amp;$T66, TRUE)</f>
        <v>161</v>
      </c>
      <c r="P66" s="2692" cm="1">
        <f t="array" aca="1" ref="P66" ca="1">INDIRECT("'※ 소상공인 세부데이터'!"&amp;P$1&amp;$T66, TRUE)</f>
        <v>352</v>
      </c>
      <c r="Q66" s="781" cm="1">
        <f t="array" aca="1" ref="Q66" ca="1">INDIRECT("'※ 소상공인 세부데이터'!"&amp;Q$1&amp;$T66, TRUE)</f>
        <v>144</v>
      </c>
      <c r="R66" s="2693" cm="1">
        <f t="array" aca="1" ref="R66" ca="1">INDIRECT("'※ 소상공인 세부데이터'!"&amp;R$1&amp;$T66, TRUE)</f>
        <v>176</v>
      </c>
      <c r="S66" s="2694" cm="1">
        <f t="array" aca="1" ref="S66" ca="1">INDIRECT("'※ 소상공인 세부데이터'!"&amp;S$1&amp;$T66, TRUE)</f>
        <v>57.5</v>
      </c>
      <c r="T66" s="1520">
        <f>ROW('※ 소상공인 세부데이터'!J45)</f>
        <v>45</v>
      </c>
      <c r="U66" s="905"/>
    </row>
    <row r="67" spans="1:21" ht="19.95" customHeight="1" x14ac:dyDescent="0.55000000000000004">
      <c r="A67" s="7267"/>
      <c r="B67" s="886" t="s">
        <v>163</v>
      </c>
      <c r="C67" s="2690"/>
      <c r="D67" s="2691" cm="1">
        <f t="array" aca="1" ref="D67" ca="1">INDIRECT("'※ 소상공인 세부데이터'!"&amp;D$1&amp;$T67, TRUE)</f>
        <v>2037</v>
      </c>
      <c r="E67" s="6149" cm="1">
        <f t="array" aca="1" ref="E67" ca="1">INDIRECT("'※ 소상공인 세부데이터'!"&amp;E$1&amp;$T67, TRUE)</f>
        <v>3081</v>
      </c>
      <c r="F67" s="2691" cm="1">
        <f t="array" aca="1" ref="F67" ca="1">INDIRECT("'※ 소상공인 세부데이터'!"&amp;F$1&amp;$T67, TRUE)</f>
        <v>92</v>
      </c>
      <c r="G67" s="2691" cm="1">
        <f t="array" aca="1" ref="G67" ca="1">INDIRECT("'※ 소상공인 세부데이터'!"&amp;G$1&amp;$T67, TRUE)</f>
        <v>231</v>
      </c>
      <c r="H67" s="2691" cm="1">
        <f t="array" aca="1" ref="H67" ca="1">INDIRECT("'※ 소상공인 세부데이터'!"&amp;H$1&amp;$T67, TRUE)</f>
        <v>217</v>
      </c>
      <c r="I67" s="2691" cm="1">
        <f t="array" aca="1" ref="I67" ca="1">INDIRECT("'※ 소상공인 세부데이터'!"&amp;I$1&amp;$T67, TRUE)</f>
        <v>405</v>
      </c>
      <c r="J67" s="2691" cm="1">
        <f t="array" aca="1" ref="J67" ca="1">INDIRECT("'※ 소상공인 세부데이터'!"&amp;J$1&amp;$T67, TRUE)</f>
        <v>247</v>
      </c>
      <c r="K67" s="2691" cm="1">
        <f t="array" aca="1" ref="K67" ca="1">INDIRECT("'※ 소상공인 세부데이터'!"&amp;K$1&amp;$T67, TRUE)</f>
        <v>197</v>
      </c>
      <c r="L67" s="6135" cm="1">
        <f t="array" aca="1" ref="L67" ca="1">INDIRECT("'※ 소상공인 세부데이터'!"&amp;L$1&amp;$T67, TRUE)</f>
        <v>110</v>
      </c>
      <c r="M67" s="2691" cm="1">
        <f t="array" aca="1" ref="M67" ca="1">INDIRECT("'※ 소상공인 세부데이터'!"&amp;M$1&amp;$T67, TRUE)</f>
        <v>73</v>
      </c>
      <c r="N67" s="914" cm="1">
        <f t="array" aca="1" ref="N67" ca="1">INDIRECT("'※ 소상공인 세부데이터'!"&amp;N$1&amp;$T67, TRUE)</f>
        <v>-37</v>
      </c>
      <c r="O67" s="915" cm="1">
        <f t="array" aca="1" ref="O67" ca="1">INDIRECT("'※ 소상공인 세부데이터'!"&amp;O$1&amp;$T67, TRUE)</f>
        <v>-158</v>
      </c>
      <c r="P67" s="2692" cm="1">
        <f t="array" aca="1" ref="P67" ca="1">INDIRECT("'※ 소상공인 세부데이터'!"&amp;P$1&amp;$T67, TRUE)</f>
        <v>183</v>
      </c>
      <c r="Q67" s="781" cm="1">
        <f t="array" aca="1" ref="Q67" ca="1">INDIRECT("'※ 소상공인 세부데이터'!"&amp;Q$1&amp;$T67, TRUE)</f>
        <v>-140</v>
      </c>
      <c r="R67" s="2693" cm="1">
        <f t="array" aca="1" ref="R67" ca="1">INDIRECT("'※ 소상공인 세부데이터'!"&amp;R$1&amp;$T67, TRUE)</f>
        <v>91.5</v>
      </c>
      <c r="S67" s="2694" cm="1">
        <f t="array" aca="1" ref="S67" ca="1">INDIRECT("'※ 소상공인 세부데이터'!"&amp;S$1&amp;$T67, TRUE)</f>
        <v>-165.25</v>
      </c>
      <c r="T67" s="1520">
        <f>ROW('※ 소상공인 세부데이터'!J46)</f>
        <v>46</v>
      </c>
      <c r="U67" s="905"/>
    </row>
    <row r="68" spans="1:21" ht="19.95" customHeight="1" x14ac:dyDescent="0.55000000000000004">
      <c r="A68" s="7267"/>
      <c r="B68" s="886" t="s">
        <v>167</v>
      </c>
      <c r="C68" s="2690"/>
      <c r="D68" s="2691" cm="1">
        <f t="array" aca="1" ref="D68" ca="1">INDIRECT("'※ 소상공인 세부데이터'!"&amp;D$1&amp;$T68, TRUE)</f>
        <v>3041</v>
      </c>
      <c r="E68" s="6149" cm="1">
        <f t="array" aca="1" ref="E68" ca="1">INDIRECT("'※ 소상공인 세부데이터'!"&amp;E$1&amp;$T68, TRUE)</f>
        <v>3257.5</v>
      </c>
      <c r="F68" s="2691" cm="1">
        <f t="array" aca="1" ref="F68" ca="1">INDIRECT("'※ 소상공인 세부데이터'!"&amp;F$1&amp;$T68, TRUE)</f>
        <v>222</v>
      </c>
      <c r="G68" s="2691" cm="1">
        <f t="array" aca="1" ref="G68" ca="1">INDIRECT("'※ 소상공인 세부데이터'!"&amp;G$1&amp;$T68, TRUE)</f>
        <v>175</v>
      </c>
      <c r="H68" s="2691" cm="1">
        <f t="array" aca="1" ref="H68" ca="1">INDIRECT("'※ 소상공인 세부데이터'!"&amp;H$1&amp;$T68, TRUE)</f>
        <v>246</v>
      </c>
      <c r="I68" s="2691" cm="1">
        <f t="array" aca="1" ref="I68" ca="1">INDIRECT("'※ 소상공인 세부데이터'!"&amp;I$1&amp;$T68, TRUE)</f>
        <v>143</v>
      </c>
      <c r="J68" s="2691" cm="1">
        <f t="array" aca="1" ref="J68" ca="1">INDIRECT("'※ 소상공인 세부데이터'!"&amp;J$1&amp;$T68, TRUE)</f>
        <v>94</v>
      </c>
      <c r="K68" s="2691" cm="1">
        <f t="array" aca="1" ref="K68" ca="1">INDIRECT("'※ 소상공인 세부데이터'!"&amp;K$1&amp;$T68, TRUE)</f>
        <v>498</v>
      </c>
      <c r="L68" s="6135" cm="1">
        <f t="array" aca="1" ref="L68" ca="1">INDIRECT("'※ 소상공인 세부데이터'!"&amp;L$1&amp;$T68, TRUE)</f>
        <v>374</v>
      </c>
      <c r="M68" s="2691" cm="1">
        <f t="array" aca="1" ref="M68" ca="1">INDIRECT("'※ 소상공인 세부데이터'!"&amp;M$1&amp;$T68, TRUE)</f>
        <v>408</v>
      </c>
      <c r="N68" s="914" cm="1">
        <f t="array" aca="1" ref="N68" ca="1">INDIRECT("'※ 소상공인 세부데이터'!"&amp;N$1&amp;$T68, TRUE)</f>
        <v>34</v>
      </c>
      <c r="O68" s="915" cm="1">
        <f t="array" aca="1" ref="O68" ca="1">INDIRECT("'※ 소상공인 세부데이터'!"&amp;O$1&amp;$T68, TRUE)</f>
        <v>233</v>
      </c>
      <c r="P68" s="2692" cm="1">
        <f t="array" aca="1" ref="P68" ca="1">INDIRECT("'※ 소상공인 세부데이터'!"&amp;P$1&amp;$T68, TRUE)</f>
        <v>782</v>
      </c>
      <c r="Q68" s="781" cm="1">
        <f t="array" aca="1" ref="Q68" ca="1">INDIRECT("'※ 소상공인 세부데이터'!"&amp;Q$1&amp;$T68, TRUE)</f>
        <v>385</v>
      </c>
      <c r="R68" s="2693" cm="1">
        <f t="array" aca="1" ref="R68" ca="1">INDIRECT("'※ 소상공인 세부데이터'!"&amp;R$1&amp;$T68, TRUE)</f>
        <v>391</v>
      </c>
      <c r="S68" s="2694" cm="1">
        <f t="array" aca="1" ref="S68" ca="1">INDIRECT("'※ 소상공인 세부데이터'!"&amp;S$1&amp;$T68, TRUE)</f>
        <v>119.54166666666669</v>
      </c>
      <c r="T68" s="1520">
        <f>ROW('※ 소상공인 세부데이터'!J47)</f>
        <v>47</v>
      </c>
      <c r="U68" s="905"/>
    </row>
    <row r="69" spans="1:21" ht="19.95" customHeight="1" x14ac:dyDescent="0.55000000000000004">
      <c r="A69" s="7267"/>
      <c r="B69" s="803" t="s">
        <v>168</v>
      </c>
      <c r="C69" s="2725" t="s">
        <v>170</v>
      </c>
      <c r="D69" s="2726" cm="1">
        <f t="array" aca="1" ref="D69" ca="1">INDIRECT("'※ 소상공인 세부데이터'!"&amp;D$1&amp;$T69, TRUE)</f>
        <v>976</v>
      </c>
      <c r="E69" s="6153" cm="1">
        <f t="array" aca="1" ref="E69" ca="1">INDIRECT("'※ 소상공인 세부데이터'!"&amp;E$1&amp;$T69, TRUE)</f>
        <v>2026</v>
      </c>
      <c r="F69" s="2726" cm="1">
        <f t="array" aca="1" ref="F69" ca="1">INDIRECT("'※ 소상공인 세부데이터'!"&amp;F$1&amp;$T69, TRUE)</f>
        <v>63</v>
      </c>
      <c r="G69" s="2726" cm="1">
        <f t="array" aca="1" ref="G69" ca="1">INDIRECT("'※ 소상공인 세부데이터'!"&amp;G$1&amp;$T69, TRUE)</f>
        <v>79</v>
      </c>
      <c r="H69" s="2726" cm="1">
        <f t="array" aca="1" ref="H69" ca="1">INDIRECT("'※ 소상공인 세부데이터'!"&amp;H$1&amp;$T69, TRUE)</f>
        <v>59</v>
      </c>
      <c r="I69" s="2726" cm="1">
        <f t="array" aca="1" ref="I69" ca="1">INDIRECT("'※ 소상공인 세부데이터'!"&amp;I$1&amp;$T69, TRUE)</f>
        <v>105</v>
      </c>
      <c r="J69" s="2726" cm="1">
        <f t="array" aca="1" ref="J69" ca="1">INDIRECT("'※ 소상공인 세부데이터'!"&amp;J$1&amp;$T69, TRUE)</f>
        <v>80</v>
      </c>
      <c r="K69" s="2726" cm="1">
        <f t="array" aca="1" ref="K69" ca="1">INDIRECT("'※ 소상공인 세부데이터'!"&amp;K$1&amp;$T69, TRUE)</f>
        <v>95</v>
      </c>
      <c r="L69" s="6139" cm="1">
        <f t="array" aca="1" ref="L69" ca="1">INDIRECT("'※ 소상공인 세부데이터'!"&amp;L$1&amp;$T69, TRUE)</f>
        <v>48</v>
      </c>
      <c r="M69" s="2726" cm="1">
        <f t="array" aca="1" ref="M69" ca="1">INDIRECT("'※ 소상공인 세부데이터'!"&amp;M$1&amp;$T69, TRUE)</f>
        <v>109</v>
      </c>
      <c r="N69" s="2727" cm="1">
        <f t="array" aca="1" ref="N69" ca="1">INDIRECT("'※ 소상공인 세부데이터'!"&amp;N$1&amp;$T69, TRUE)</f>
        <v>61</v>
      </c>
      <c r="O69" s="2728" cm="1">
        <f t="array" aca="1" ref="O69" ca="1">INDIRECT("'※ 소상공인 세부데이터'!"&amp;O$1&amp;$T69, TRUE)</f>
        <v>30</v>
      </c>
      <c r="P69" s="2729" cm="1">
        <f t="array" aca="1" ref="P69" ca="1">INDIRECT("'※ 소상공인 세부데이터'!"&amp;P$1&amp;$T69, TRUE)</f>
        <v>157</v>
      </c>
      <c r="Q69" s="2730" cm="1">
        <f t="array" aca="1" ref="Q69" ca="1">INDIRECT("'※ 소상공인 세부데이터'!"&amp;Q$1&amp;$T69, TRUE)</f>
        <v>15</v>
      </c>
      <c r="R69" s="2731" cm="1">
        <f t="array" aca="1" ref="R69" ca="1">INDIRECT("'※ 소상공인 세부데이터'!"&amp;R$1&amp;$T69, TRUE)</f>
        <v>78.5</v>
      </c>
      <c r="S69" s="2732" cm="1">
        <f t="array" aca="1" ref="S69" ca="1">INDIRECT("'※ 소상공인 세부데이터'!"&amp;S$1&amp;$T69, TRUE)</f>
        <v>-90.333333333333343</v>
      </c>
      <c r="T69" s="1520">
        <f>ROW('※ 소상공인 세부데이터'!J48)</f>
        <v>48</v>
      </c>
      <c r="U69" s="905"/>
    </row>
    <row r="70" spans="1:21" ht="19.95" customHeight="1" x14ac:dyDescent="0.55000000000000004">
      <c r="A70" s="7267"/>
      <c r="B70" s="803"/>
      <c r="C70" s="2725" t="s">
        <v>142</v>
      </c>
      <c r="D70" s="2726" cm="1">
        <f t="array" aca="1" ref="D70" ca="1">INDIRECT("'※ 소상공인 세부데이터'!"&amp;D$1&amp;$T70, TRUE)</f>
        <v>676</v>
      </c>
      <c r="E70" s="6153" cm="1">
        <f t="array" aca="1" ref="E70" ca="1">INDIRECT("'※ 소상공인 세부데이터'!"&amp;E$1&amp;$T70, TRUE)</f>
        <v>584</v>
      </c>
      <c r="F70" s="2726" cm="1">
        <f t="array" aca="1" ref="F70" ca="1">INDIRECT("'※ 소상공인 세부데이터'!"&amp;F$1&amp;$T70, TRUE)</f>
        <v>4</v>
      </c>
      <c r="G70" s="2726" cm="1">
        <f t="array" aca="1" ref="G70" ca="1">INDIRECT("'※ 소상공인 세부데이터'!"&amp;G$1&amp;$T70, TRUE)</f>
        <v>8</v>
      </c>
      <c r="H70" s="2726" cm="1">
        <f t="array" aca="1" ref="H70" ca="1">INDIRECT("'※ 소상공인 세부데이터'!"&amp;H$1&amp;$T70, TRUE)</f>
        <v>12</v>
      </c>
      <c r="I70" s="2726" cm="1">
        <f t="array" aca="1" ref="I70" ca="1">INDIRECT("'※ 소상공인 세부데이터'!"&amp;I$1&amp;$T70, TRUE)</f>
        <v>18</v>
      </c>
      <c r="J70" s="2726" cm="1">
        <f t="array" aca="1" ref="J70" ca="1">INDIRECT("'※ 소상공인 세부데이터'!"&amp;J$1&amp;$T70, TRUE)</f>
        <v>23</v>
      </c>
      <c r="K70" s="2726" cm="1">
        <f t="array" aca="1" ref="K70" ca="1">INDIRECT("'※ 소상공인 세부데이터'!"&amp;K$1&amp;$T70, TRUE)</f>
        <v>1</v>
      </c>
      <c r="L70" s="6139" cm="1">
        <f t="array" aca="1" ref="L70" ca="1">INDIRECT("'※ 소상공인 세부데이터'!"&amp;L$1&amp;$T70, TRUE)</f>
        <v>80</v>
      </c>
      <c r="M70" s="2726" cm="1">
        <f t="array" aca="1" ref="M70" ca="1">INDIRECT("'※ 소상공인 세부데이터'!"&amp;M$1&amp;$T70, TRUE)</f>
        <v>117</v>
      </c>
      <c r="N70" s="2727" cm="1">
        <f t="array" aca="1" ref="N70" ca="1">INDIRECT("'※ 소상공인 세부데이터'!"&amp;N$1&amp;$T70, TRUE)</f>
        <v>37</v>
      </c>
      <c r="O70" s="2728" cm="1">
        <f t="array" aca="1" ref="O70" ca="1">INDIRECT("'※ 소상공인 세부데이터'!"&amp;O$1&amp;$T70, TRUE)</f>
        <v>109</v>
      </c>
      <c r="P70" s="2729" cm="1">
        <f t="array" aca="1" ref="P70" ca="1">INDIRECT("'※ 소상공인 세부데이터'!"&amp;P$1&amp;$T70, TRUE)</f>
        <v>197</v>
      </c>
      <c r="Q70" s="2730" cm="1">
        <f t="array" aca="1" ref="Q70" ca="1">INDIRECT("'※ 소상공인 세부데이터'!"&amp;Q$1&amp;$T70, TRUE)</f>
        <v>185</v>
      </c>
      <c r="R70" s="2731" cm="1">
        <f t="array" aca="1" ref="R70" ca="1">INDIRECT("'※ 소상공인 세부데이터'!"&amp;R$1&amp;$T70, TRUE)</f>
        <v>98.5</v>
      </c>
      <c r="S70" s="2732" cm="1">
        <f t="array" aca="1" ref="S70" ca="1">INDIRECT("'※ 소상공인 세부데이터'!"&amp;S$1&amp;$T70, TRUE)</f>
        <v>49.833333333333336</v>
      </c>
      <c r="T70" s="1520">
        <f>ROW('※ 소상공인 세부데이터'!J49)</f>
        <v>49</v>
      </c>
      <c r="U70" s="905"/>
    </row>
    <row r="71" spans="1:21" ht="19.95" customHeight="1" x14ac:dyDescent="0.55000000000000004">
      <c r="A71" s="7267"/>
      <c r="B71" s="803"/>
      <c r="C71" s="2725" t="s">
        <v>144</v>
      </c>
      <c r="D71" s="2726" cm="1">
        <f t="array" aca="1" ref="D71" ca="1">INDIRECT("'※ 소상공인 세부데이터'!"&amp;D$1&amp;$T71, TRUE)</f>
        <v>1359</v>
      </c>
      <c r="E71" s="6153" cm="1">
        <f t="array" aca="1" ref="E71" ca="1">INDIRECT("'※ 소상공인 세부데이터'!"&amp;E$1&amp;$T71, TRUE)</f>
        <v>963</v>
      </c>
      <c r="F71" s="2726" cm="1">
        <f t="array" aca="1" ref="F71" ca="1">INDIRECT("'※ 소상공인 세부데이터'!"&amp;F$1&amp;$T71, TRUE)</f>
        <v>71</v>
      </c>
      <c r="G71" s="2726" cm="1">
        <f t="array" aca="1" ref="G71" ca="1">INDIRECT("'※ 소상공인 세부데이터'!"&amp;G$1&amp;$T71, TRUE)</f>
        <v>8</v>
      </c>
      <c r="H71" s="2726" cm="1">
        <f t="array" aca="1" ref="H71" ca="1">INDIRECT("'※ 소상공인 세부데이터'!"&amp;H$1&amp;$T71, TRUE)</f>
        <v>96</v>
      </c>
      <c r="I71" s="2726" cm="1">
        <f t="array" aca="1" ref="I71" ca="1">INDIRECT("'※ 소상공인 세부데이터'!"&amp;I$1&amp;$T71, TRUE)</f>
        <v>51</v>
      </c>
      <c r="J71" s="2726" cm="1">
        <f t="array" aca="1" ref="J71" ca="1">INDIRECT("'※ 소상공인 세부데이터'!"&amp;J$1&amp;$T71, TRUE)</f>
        <v>70</v>
      </c>
      <c r="K71" s="2726" cm="1">
        <f t="array" aca="1" ref="K71" ca="1">INDIRECT("'※ 소상공인 세부데이터'!"&amp;K$1&amp;$T71, TRUE)</f>
        <v>88</v>
      </c>
      <c r="L71" s="6139" cm="1">
        <f t="array" aca="1" ref="L71" ca="1">INDIRECT("'※ 소상공인 세부데이터'!"&amp;L$1&amp;$T71, TRUE)</f>
        <v>115</v>
      </c>
      <c r="M71" s="2726" cm="1">
        <f t="array" aca="1" ref="M71" ca="1">INDIRECT("'※ 소상공인 세부데이터'!"&amp;M$1&amp;$T71, TRUE)</f>
        <v>214</v>
      </c>
      <c r="N71" s="2727" cm="1">
        <f t="array" aca="1" ref="N71" ca="1">INDIRECT("'※ 소상공인 세부데이터'!"&amp;N$1&amp;$T71, TRUE)</f>
        <v>99</v>
      </c>
      <c r="O71" s="2728" cm="1">
        <f t="array" aca="1" ref="O71" ca="1">INDIRECT("'※ 소상공인 세부데이터'!"&amp;O$1&amp;$T71, TRUE)</f>
        <v>206</v>
      </c>
      <c r="P71" s="2729" cm="1">
        <f t="array" aca="1" ref="P71" ca="1">INDIRECT("'※ 소상공인 세부데이터'!"&amp;P$1&amp;$T71, TRUE)</f>
        <v>329</v>
      </c>
      <c r="Q71" s="2730" cm="1">
        <f t="array" aca="1" ref="Q71" ca="1">INDIRECT("'※ 소상공인 세부데이터'!"&amp;Q$1&amp;$T71, TRUE)</f>
        <v>250</v>
      </c>
      <c r="R71" s="2731" cm="1">
        <f t="array" aca="1" ref="R71" ca="1">INDIRECT("'※ 소상공인 세부데이터'!"&amp;R$1&amp;$T71, TRUE)</f>
        <v>164.5</v>
      </c>
      <c r="S71" s="2732" cm="1">
        <f t="array" aca="1" ref="S71" ca="1">INDIRECT("'※ 소상공인 세부데이터'!"&amp;S$1&amp;$T71, TRUE)</f>
        <v>84.25</v>
      </c>
      <c r="T71" s="1520">
        <f>ROW('※ 소상공인 세부데이터'!J50)</f>
        <v>50</v>
      </c>
      <c r="U71" s="905"/>
    </row>
    <row r="72" spans="1:21" ht="19.95" customHeight="1" x14ac:dyDescent="0.55000000000000004">
      <c r="A72" s="7267"/>
      <c r="B72" s="803"/>
      <c r="C72" s="2725" t="s">
        <v>163</v>
      </c>
      <c r="D72" s="2726" cm="1">
        <f t="array" aca="1" ref="D72" ca="1">INDIRECT("'※ 소상공인 세부데이터'!"&amp;D$1&amp;$T72, TRUE)</f>
        <v>823</v>
      </c>
      <c r="E72" s="6153" cm="1">
        <f t="array" aca="1" ref="E72" ca="1">INDIRECT("'※ 소상공인 세부데이터'!"&amp;E$1&amp;$T72, TRUE)</f>
        <v>1529</v>
      </c>
      <c r="F72" s="2726" cm="1">
        <f t="array" aca="1" ref="F72" ca="1">INDIRECT("'※ 소상공인 세부데이터'!"&amp;F$1&amp;$T72, TRUE)</f>
        <v>8</v>
      </c>
      <c r="G72" s="2726" cm="1">
        <f t="array" aca="1" ref="G72" ca="1">INDIRECT("'※ 소상공인 세부데이터'!"&amp;G$1&amp;$T72, TRUE)</f>
        <v>183</v>
      </c>
      <c r="H72" s="2726" cm="1">
        <f t="array" aca="1" ref="H72" ca="1">INDIRECT("'※ 소상공인 세부데이터'!"&amp;H$1&amp;$T72, TRUE)</f>
        <v>117</v>
      </c>
      <c r="I72" s="2726" cm="1">
        <f t="array" aca="1" ref="I72" ca="1">INDIRECT("'※ 소상공인 세부데이터'!"&amp;I$1&amp;$T72, TRUE)</f>
        <v>192</v>
      </c>
      <c r="J72" s="2726" cm="1">
        <f t="array" aca="1" ref="J72" ca="1">INDIRECT("'※ 소상공인 세부데이터'!"&amp;J$1&amp;$T72, TRUE)</f>
        <v>18</v>
      </c>
      <c r="K72" s="2726" cm="1">
        <f t="array" aca="1" ref="K72" ca="1">INDIRECT("'※ 소상공인 세부데이터'!"&amp;K$1&amp;$T72, TRUE)</f>
        <v>98</v>
      </c>
      <c r="L72" s="6139" cm="1">
        <f t="array" aca="1" ref="L72" ca="1">INDIRECT("'※ 소상공인 세부데이터'!"&amp;L$1&amp;$T72, TRUE)</f>
        <v>51</v>
      </c>
      <c r="M72" s="2726" cm="1">
        <f t="array" aca="1" ref="M72" ca="1">INDIRECT("'※ 소상공인 세부데이터'!"&amp;M$1&amp;$T72, TRUE)</f>
        <v>32</v>
      </c>
      <c r="N72" s="2727" cm="1">
        <f t="array" aca="1" ref="N72" ca="1">INDIRECT("'※ 소상공인 세부데이터'!"&amp;N$1&amp;$T72, TRUE)</f>
        <v>-19</v>
      </c>
      <c r="O72" s="2728" cm="1">
        <f t="array" aca="1" ref="O72" ca="1">INDIRECT("'※ 소상공인 세부데이터'!"&amp;O$1&amp;$T72, TRUE)</f>
        <v>-151</v>
      </c>
      <c r="P72" s="2729" cm="1">
        <f t="array" aca="1" ref="P72" ca="1">INDIRECT("'※ 소상공인 세부데이터'!"&amp;P$1&amp;$T72, TRUE)</f>
        <v>83</v>
      </c>
      <c r="Q72" s="2730" cm="1">
        <f t="array" aca="1" ref="Q72" ca="1">INDIRECT("'※ 소상공인 세부데이터'!"&amp;Q$1&amp;$T72, TRUE)</f>
        <v>-108</v>
      </c>
      <c r="R72" s="2731" cm="1">
        <f t="array" aca="1" ref="R72" ca="1">INDIRECT("'※ 소상공인 세부데이터'!"&amp;R$1&amp;$T72, TRUE)</f>
        <v>41.5</v>
      </c>
      <c r="S72" s="2732" cm="1">
        <f t="array" aca="1" ref="S72" ca="1">INDIRECT("'※ 소상공인 세부데이터'!"&amp;S$1&amp;$T72, TRUE)</f>
        <v>-85.916666666666671</v>
      </c>
      <c r="T72" s="1520">
        <f>ROW('※ 소상공인 세부데이터'!J51)</f>
        <v>51</v>
      </c>
      <c r="U72" s="905"/>
    </row>
    <row r="73" spans="1:21" ht="19.95" customHeight="1" thickBot="1" x14ac:dyDescent="0.6">
      <c r="A73" s="7287"/>
      <c r="B73" s="2759"/>
      <c r="C73" s="2760" t="s">
        <v>169</v>
      </c>
      <c r="D73" s="2761" cm="1">
        <f t="array" aca="1" ref="D73" ca="1">INDIRECT("'※ 소상공인 세부데이터'!"&amp;D$1&amp;$T73, TRUE)</f>
        <v>1614</v>
      </c>
      <c r="E73" s="6157" cm="1">
        <f t="array" aca="1" ref="E73" ca="1">INDIRECT("'※ 소상공인 세부데이터'!"&amp;E$1&amp;$T73, TRUE)</f>
        <v>2217</v>
      </c>
      <c r="F73" s="2761" cm="1">
        <f t="array" aca="1" ref="F73" ca="1">INDIRECT("'※ 소상공인 세부데이터'!"&amp;F$1&amp;$T73, TRUE)</f>
        <v>170</v>
      </c>
      <c r="G73" s="2761" cm="1">
        <f t="array" aca="1" ref="G73" ca="1">INDIRECT("'※ 소상공인 세부데이터'!"&amp;G$1&amp;$T73, TRUE)</f>
        <v>102</v>
      </c>
      <c r="H73" s="2761" cm="1">
        <f t="array" aca="1" ref="H73" ca="1">INDIRECT("'※ 소상공인 세부데이터'!"&amp;H$1&amp;$T73, TRUE)</f>
        <v>119</v>
      </c>
      <c r="I73" s="2761" cm="1">
        <f t="array" aca="1" ref="I73" ca="1">INDIRECT("'※ 소상공인 세부데이터'!"&amp;I$1&amp;$T73, TRUE)</f>
        <v>76</v>
      </c>
      <c r="J73" s="2761" cm="1">
        <f t="array" aca="1" ref="J73" ca="1">INDIRECT("'※ 소상공인 세부데이터'!"&amp;J$1&amp;$T73, TRUE)</f>
        <v>13</v>
      </c>
      <c r="K73" s="2761" cm="1">
        <f t="array" aca="1" ref="K73" ca="1">INDIRECT("'※ 소상공인 세부데이터'!"&amp;K$1&amp;$T73, TRUE)</f>
        <v>349</v>
      </c>
      <c r="L73" s="6143" cm="1">
        <f t="array" aca="1" ref="L73" ca="1">INDIRECT("'※ 소상공인 세부데이터'!"&amp;L$1&amp;$T73, TRUE)</f>
        <v>342</v>
      </c>
      <c r="M73" s="2761" cm="1">
        <f t="array" aca="1" ref="M73" ca="1">INDIRECT("'※ 소상공인 세부데이터'!"&amp;M$1&amp;$T73, TRUE)</f>
        <v>368</v>
      </c>
      <c r="N73" s="2762" cm="1">
        <f t="array" aca="1" ref="N73" ca="1">INDIRECT("'※ 소상공인 세부데이터'!"&amp;N$1&amp;$T73, TRUE)</f>
        <v>26</v>
      </c>
      <c r="O73" s="2763" cm="1">
        <f t="array" aca="1" ref="O73" ca="1">INDIRECT("'※ 소상공인 세부데이터'!"&amp;O$1&amp;$T73, TRUE)</f>
        <v>266</v>
      </c>
      <c r="P73" s="2764" cm="1">
        <f t="array" aca="1" ref="P73" ca="1">INDIRECT("'※ 소상공인 세부데이터'!"&amp;P$1&amp;$T73, TRUE)</f>
        <v>710</v>
      </c>
      <c r="Q73" s="2765" cm="1">
        <f t="array" aca="1" ref="Q73" ca="1">INDIRECT("'※ 소상공인 세부데이터'!"&amp;Q$1&amp;$T73, TRUE)</f>
        <v>438</v>
      </c>
      <c r="R73" s="2766" cm="1">
        <f t="array" aca="1" ref="R73" ca="1">INDIRECT("'※ 소상공인 세부데이터'!"&amp;R$1&amp;$T73, TRUE)</f>
        <v>355</v>
      </c>
      <c r="S73" s="2767" cm="1">
        <f t="array" aca="1" ref="S73" ca="1">INDIRECT("'※ 소상공인 세부데이터'!"&amp;S$1&amp;$T73, TRUE)</f>
        <v>170.25</v>
      </c>
      <c r="T73" s="1520">
        <f>ROW('※ 소상공인 세부데이터'!J52)</f>
        <v>52</v>
      </c>
      <c r="U73" s="905"/>
    </row>
    <row r="74" spans="1:21" ht="9.5500000000000007" customHeight="1" x14ac:dyDescent="0.55000000000000004">
      <c r="A74" s="2768"/>
      <c r="B74" s="2768"/>
      <c r="C74" s="2768"/>
      <c r="D74" s="2768"/>
      <c r="E74" s="2768"/>
      <c r="F74" s="2768"/>
      <c r="G74" s="2768"/>
      <c r="H74" s="2768"/>
      <c r="I74" s="2768"/>
      <c r="J74" s="2768"/>
      <c r="K74" s="2774"/>
      <c r="L74" s="2774"/>
      <c r="M74" s="2774"/>
      <c r="N74" s="2774"/>
      <c r="O74" s="2728"/>
      <c r="P74" s="2729"/>
      <c r="Q74" s="2731"/>
      <c r="R74" s="2769"/>
      <c r="S74" s="2769"/>
      <c r="T74" s="1520"/>
      <c r="U74" s="905"/>
    </row>
  </sheetData>
  <mergeCells count="28">
    <mergeCell ref="A59:A63"/>
    <mergeCell ref="A6:C6"/>
    <mergeCell ref="A64:A73"/>
    <mergeCell ref="A49:A53"/>
    <mergeCell ref="A19:A21"/>
    <mergeCell ref="A22:A24"/>
    <mergeCell ref="B10:C10"/>
    <mergeCell ref="B7:C7"/>
    <mergeCell ref="B13:C13"/>
    <mergeCell ref="B16:C16"/>
    <mergeCell ref="B19:C19"/>
    <mergeCell ref="B22:C22"/>
    <mergeCell ref="A3:S3"/>
    <mergeCell ref="A37:A47"/>
    <mergeCell ref="A54:A58"/>
    <mergeCell ref="P5:S5"/>
    <mergeCell ref="A7:A9"/>
    <mergeCell ref="B8:B9"/>
    <mergeCell ref="B11:B12"/>
    <mergeCell ref="B14:B15"/>
    <mergeCell ref="B17:B18"/>
    <mergeCell ref="A10:A12"/>
    <mergeCell ref="A13:A15"/>
    <mergeCell ref="A16:A18"/>
    <mergeCell ref="E5:K5"/>
    <mergeCell ref="L5:O5"/>
    <mergeCell ref="B20:B21"/>
    <mergeCell ref="B23:B24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8" fitToHeight="0" orientation="landscape" r:id="rId1"/>
  <headerFooter scaleWithDoc="0">
    <oddFooter>&amp;R&amp;"-,기울임꼴"&amp;8&amp;P &amp; 페이지</oddFooter>
  </headerFooter>
  <rowBreaks count="1" manualBreakCount="1">
    <brk id="36" max="1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0764-0F1E-4AAA-85B1-C98C56131B05}">
  <sheetPr codeName="Sheet12">
    <pageSetUpPr fitToPage="1"/>
  </sheetPr>
  <dimension ref="A1:BG116"/>
  <sheetViews>
    <sheetView view="pageBreakPreview" zoomScale="55" zoomScaleNormal="55" zoomScaleSheetLayoutView="55" workbookViewId="0">
      <selection activeCell="G14" sqref="G14"/>
    </sheetView>
  </sheetViews>
  <sheetFormatPr defaultColWidth="8.640625" defaultRowHeight="15" x14ac:dyDescent="0.55000000000000004"/>
  <cols>
    <col min="1" max="2" width="8.640625" style="555"/>
    <col min="3" max="3" width="12.640625" style="2525" customWidth="1"/>
    <col min="4" max="4" width="5" style="2525" customWidth="1"/>
    <col min="5" max="5" width="11" style="2525" customWidth="1"/>
    <col min="6" max="6" width="11" style="555" customWidth="1"/>
    <col min="7" max="8" width="11.7109375" style="555" customWidth="1"/>
    <col min="9" max="9" width="11.7109375" style="665" customWidth="1"/>
    <col min="10" max="10" width="11.7109375" style="842" customWidth="1"/>
    <col min="11" max="12" width="11.7109375" style="2526" customWidth="1"/>
    <col min="13" max="13" width="11" style="555" customWidth="1"/>
    <col min="14" max="15" width="11.7109375" style="2526" customWidth="1"/>
    <col min="16" max="17" width="11.640625" style="555" customWidth="1"/>
    <col min="18" max="23" width="13.35546875" style="555" customWidth="1"/>
    <col min="24" max="24" width="8.640625" style="2527"/>
    <col min="25" max="16384" width="8.640625" style="555"/>
  </cols>
  <sheetData>
    <row r="1" spans="1:59" x14ac:dyDescent="0.55000000000000004">
      <c r="C1" s="2525" t="s">
        <v>993</v>
      </c>
      <c r="E1" s="555" t="s">
        <v>1220</v>
      </c>
      <c r="F1" s="555" t="s">
        <v>1083</v>
      </c>
      <c r="G1" s="555" t="s">
        <v>992</v>
      </c>
      <c r="H1" s="555" t="s">
        <v>440</v>
      </c>
      <c r="I1" s="665" t="s">
        <v>439</v>
      </c>
      <c r="J1" s="842" t="s">
        <v>441</v>
      </c>
      <c r="K1" s="2526" t="s">
        <v>620</v>
      </c>
      <c r="L1" s="2526" t="s">
        <v>601</v>
      </c>
      <c r="M1" s="6239" t="s">
        <v>811</v>
      </c>
      <c r="N1" s="2526" t="s">
        <v>449</v>
      </c>
      <c r="O1" s="2526" t="s">
        <v>994</v>
      </c>
      <c r="P1" s="555" t="s">
        <v>811</v>
      </c>
      <c r="Q1" s="555" t="s">
        <v>812</v>
      </c>
      <c r="R1" s="555" t="s">
        <v>811</v>
      </c>
      <c r="S1" s="555" t="s">
        <v>812</v>
      </c>
      <c r="T1" s="555" t="s">
        <v>813</v>
      </c>
      <c r="U1" s="555" t="s">
        <v>814</v>
      </c>
      <c r="V1" s="555" t="s">
        <v>1221</v>
      </c>
      <c r="W1" s="555" t="s">
        <v>743</v>
      </c>
    </row>
    <row r="2" spans="1:59" ht="15.45" thickBot="1" x14ac:dyDescent="0.6">
      <c r="E2" s="555" t="s">
        <v>1220</v>
      </c>
      <c r="F2" s="555" t="s">
        <v>1083</v>
      </c>
    </row>
    <row r="3" spans="1:59" ht="60" customHeight="1" thickTop="1" thickBot="1" x14ac:dyDescent="0.6">
      <c r="A3" s="7061" t="s">
        <v>838</v>
      </c>
      <c r="B3" s="7061"/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7061"/>
      <c r="U3" s="7061"/>
      <c r="V3" s="7061"/>
      <c r="W3" s="7061"/>
      <c r="X3" s="4373"/>
    </row>
    <row r="4" spans="1:59" s="561" customFormat="1" ht="15.55" customHeight="1" thickTop="1" thickBot="1" x14ac:dyDescent="0.6">
      <c r="A4" s="564"/>
      <c r="B4" s="564"/>
      <c r="C4" s="564"/>
      <c r="D4" s="564"/>
      <c r="E4" s="564"/>
      <c r="F4" s="564"/>
      <c r="G4" s="564"/>
      <c r="H4" s="564"/>
      <c r="I4" s="2528"/>
      <c r="J4" s="564"/>
      <c r="K4" s="2529"/>
      <c r="L4" s="2529"/>
      <c r="M4" s="564"/>
      <c r="N4" s="2529"/>
      <c r="O4" s="2529"/>
      <c r="P4" s="564"/>
      <c r="Q4" s="564"/>
      <c r="R4" s="564"/>
      <c r="S4" s="564"/>
      <c r="T4" s="564"/>
      <c r="U4" s="564"/>
      <c r="V4" s="564"/>
      <c r="W4" s="564"/>
      <c r="X4" s="564"/>
      <c r="Y4" s="564"/>
      <c r="Z4" s="564"/>
      <c r="AD4" s="562"/>
      <c r="AF4" s="562"/>
      <c r="AG4" s="562"/>
      <c r="AH4" s="563"/>
      <c r="AJ4" s="562"/>
      <c r="AK4" s="563"/>
      <c r="BC4" s="566"/>
      <c r="BD4" s="566"/>
      <c r="BE4" s="566"/>
      <c r="BF4" s="566"/>
      <c r="BG4" s="566"/>
    </row>
    <row r="5" spans="1:59" ht="19.5" customHeight="1" thickBot="1" x14ac:dyDescent="0.6">
      <c r="A5" s="2530"/>
      <c r="B5" s="2530"/>
      <c r="C5" s="2531"/>
      <c r="D5" s="2531"/>
      <c r="E5" s="2531"/>
      <c r="F5" s="1152"/>
      <c r="G5" s="7325" t="s">
        <v>1193</v>
      </c>
      <c r="H5" s="7279"/>
      <c r="I5" s="7279"/>
      <c r="J5" s="7279"/>
      <c r="K5" s="7279"/>
      <c r="L5" s="7326"/>
      <c r="M5" s="1152"/>
      <c r="N5" s="7327" t="s">
        <v>1195</v>
      </c>
      <c r="O5" s="7279"/>
      <c r="P5" s="7279"/>
      <c r="Q5" s="7279"/>
      <c r="R5" s="7072" t="str">
        <f>"연간누적실적(~"&amp;MONTH('※ B2B 세부데이터'!A1)&amp;"월)"</f>
        <v>연간누적실적(~2월)</v>
      </c>
      <c r="S5" s="7072"/>
      <c r="T5" s="7072"/>
      <c r="U5" s="7072"/>
      <c r="V5" s="7072"/>
      <c r="W5" s="7073"/>
      <c r="X5" s="2527" t="s">
        <v>453</v>
      </c>
    </row>
    <row r="6" spans="1:59" ht="16.75" thickBot="1" x14ac:dyDescent="0.6">
      <c r="A6" s="7322" t="s">
        <v>124</v>
      </c>
      <c r="B6" s="7323"/>
      <c r="C6" s="7323"/>
      <c r="D6" s="7324"/>
      <c r="E6" s="6242" t="s">
        <v>823</v>
      </c>
      <c r="F6" s="1153" t="s">
        <v>1123</v>
      </c>
      <c r="G6" s="2532" t="str" cm="1">
        <f t="array" aca="1" ref="G6" ca="1">INDIRECT("'※ B2B 세부데이터'!"&amp;G$1&amp;$X6, TRUE)</f>
        <v>'25.1월</v>
      </c>
      <c r="H6" s="1155" t="str" cm="1">
        <f t="array" aca="1" ref="H6" ca="1">INDIRECT("'※ B2B 세부데이터'!"&amp;H$1&amp;$X6, TRUE)</f>
        <v>'25.2월</v>
      </c>
      <c r="I6" s="2533" t="str" cm="1">
        <f t="array" aca="1" ref="I6" ca="1">INDIRECT("'※ B2B 세부데이터'!"&amp;I$1&amp;$X6, TRUE)</f>
        <v>'25.3월</v>
      </c>
      <c r="J6" s="2533" t="str" cm="1">
        <f t="array" aca="1" ref="J6" ca="1">INDIRECT("'※ B2B 세부데이터'!"&amp;J$1&amp;$X6, TRUE)</f>
        <v>'25.4월</v>
      </c>
      <c r="K6" s="2534" t="str" cm="1">
        <f t="array" aca="1" ref="K6" ca="1">INDIRECT("'※ B2B 세부데이터'!"&amp;K$1&amp;$X6, TRUE)</f>
        <v>'25.5월</v>
      </c>
      <c r="L6" s="6357" t="str" cm="1">
        <f t="array" aca="1" ref="L6" ca="1">INDIRECT("'※ B2B 세부데이터'!"&amp;L$1&amp;$X6, TRUE)</f>
        <v>'25.6월</v>
      </c>
      <c r="M6" s="6358" t="s">
        <v>1206</v>
      </c>
      <c r="N6" s="6359" t="str" cm="1">
        <f t="array" aca="1" ref="N6" ca="1">INDIRECT("'※ B2B 세부데이터'!"&amp;N$1&amp;$X6, TRUE)</f>
        <v>'26.1월</v>
      </c>
      <c r="O6" s="2534" t="str" cm="1">
        <f t="array" aca="1" ref="O6" ca="1">INDIRECT("'※ B2B 세부데이터'!"&amp;O$1&amp;$X6, TRUE)</f>
        <v>'26.2월</v>
      </c>
      <c r="P6" s="2535" t="str" cm="1">
        <f t="array" aca="1" ref="P6" ca="1">INDIRECT("'※ B2B 세부데이터'!"&amp;P$1&amp;$X6, TRUE)</f>
        <v>누적</v>
      </c>
      <c r="Q6" s="2536" t="str" cm="1">
        <f t="array" aca="1" ref="Q6" ca="1">INDIRECT("'※ B2B 세부데이터'!"&amp;Q$1&amp;$X6, TRUE)</f>
        <v>연평균</v>
      </c>
      <c r="R6" s="2537" t="str" cm="1">
        <f t="array" aca="1" ref="R6" ca="1">INDIRECT("'※ B2B 세부데이터'!"&amp;R$1&amp;$X6, TRUE)</f>
        <v>누적</v>
      </c>
      <c r="S6" s="1157" t="str" cm="1">
        <f t="array" aca="1" ref="S6" ca="1">INDIRECT("'※ B2B 세부데이터'!"&amp;S$1&amp;$X6, TRUE)</f>
        <v>연평균</v>
      </c>
      <c r="T6" s="1157" t="str" cm="1">
        <f t="array" aca="1" ref="T6" ca="1">INDIRECT("'※ B2B 세부데이터'!"&amp;T$1&amp;$X6, TRUE)</f>
        <v>전월대비</v>
      </c>
      <c r="U6" s="1157" t="str" cm="1">
        <f t="array" aca="1" ref="U6" ca="1">INDIRECT("'※ B2B 세부데이터'!"&amp;U$1&amp;$X6, TRUE)</f>
        <v>전년 동월대비</v>
      </c>
      <c r="V6" s="1158" t="str" cm="1">
        <f t="array" aca="1" ref="V6" ca="1">INDIRECT("'※ B2B 세부데이터'!"&amp;V$1&amp;$X6, TRUE)</f>
        <v>전년 동기대비</v>
      </c>
      <c r="W6" s="2538" t="str" cm="1">
        <f t="array" aca="1" ref="W6" ca="1">INDIRECT("'※ B2B 세부데이터'!"&amp;W$1&amp;$X6, TRUE)</f>
        <v>전년대비(월평균)</v>
      </c>
      <c r="X6" s="2527">
        <f>ROW('※ B2B 세부데이터'!J5)</f>
        <v>5</v>
      </c>
    </row>
    <row r="7" spans="1:59" x14ac:dyDescent="0.55000000000000004">
      <c r="A7" s="7312" t="s">
        <v>453</v>
      </c>
      <c r="B7" s="7315" t="s">
        <v>746</v>
      </c>
      <c r="C7" s="2539" t="str" cm="1">
        <f t="array" aca="1" ref="C7" ca="1">INDIRECT("'※ B2B 세부데이터'!"&amp;C$1&amp;$X7, TRUE)</f>
        <v>일반후불</v>
      </c>
      <c r="D7" s="2540"/>
      <c r="E7" s="2541" cm="1">
        <f t="array" aca="1" ref="E7" ca="1">INDIRECT("'※ B2B 세부데이터'!"&amp;E$1&amp;$X7, TRUE)</f>
        <v>33179</v>
      </c>
      <c r="F7" s="2542" cm="1">
        <f t="array" aca="1" ref="F7" ca="1">INDIRECT("'※ B2B 세부데이터'!"&amp;F$1&amp;$X7, TRUE)</f>
        <v>37823</v>
      </c>
      <c r="G7" s="2543" cm="1">
        <f t="array" aca="1" ref="G7" ca="1">INDIRECT("'※ B2B 세부데이터'!"&amp;G$1&amp;$X7, TRUE)</f>
        <v>1913</v>
      </c>
      <c r="H7" s="2544" cm="1">
        <f t="array" aca="1" ref="H7" ca="1">INDIRECT("'※ B2B 세부데이터'!"&amp;H$1&amp;$X7, TRUE)</f>
        <v>2778</v>
      </c>
      <c r="I7" s="2544" cm="1">
        <f t="array" aca="1" ref="I7" ca="1">INDIRECT("'※ B2B 세부데이터'!"&amp;I$1&amp;$X7, TRUE)</f>
        <v>3485</v>
      </c>
      <c r="J7" s="2544" cm="1">
        <f t="array" aca="1" ref="J7" ca="1">INDIRECT("'※ B2B 세부데이터'!"&amp;J$1&amp;$X7, TRUE)</f>
        <v>2478</v>
      </c>
      <c r="K7" s="2544" cm="1">
        <f t="array" aca="1" ref="K7" ca="1">INDIRECT("'※ B2B 세부데이터'!"&amp;K$1&amp;$X7, TRUE)</f>
        <v>2591</v>
      </c>
      <c r="L7" s="6367" cm="1">
        <f t="array" aca="1" ref="L7" ca="1">INDIRECT("'※ B2B 세부데이터'!"&amp;L$1&amp;$X7, TRUE)</f>
        <v>1942</v>
      </c>
      <c r="M7" s="2542" cm="1">
        <f t="array" aca="1" ref="M7" ca="1">INDIRECT("'※ B2B 세부데이터'!"&amp;M$1&amp;$X7, TRUE)</f>
        <v>6844</v>
      </c>
      <c r="N7" s="6360" cm="1">
        <f t="array" aca="1" ref="N7" ca="1">INDIRECT("'※ B2B 세부데이터'!"&amp;N$1&amp;$X7, TRUE)</f>
        <v>3919</v>
      </c>
      <c r="O7" s="2544" cm="1">
        <f t="array" aca="1" ref="O7" ca="1">INDIRECT("'※ B2B 세부데이터'!"&amp;O$1&amp;$X7, TRUE)</f>
        <v>2925</v>
      </c>
      <c r="P7" s="2545" cm="1">
        <f t="array" aca="1" ref="P7" ca="1">INDIRECT("'※ B2B 세부데이터'!"&amp;P$1&amp;$X7, TRUE)</f>
        <v>6844</v>
      </c>
      <c r="Q7" s="2546" cm="1">
        <f t="array" aca="1" ref="Q7" ca="1">INDIRECT("'※ B2B 세부데이터'!"&amp;Q$1&amp;$X7, TRUE)</f>
        <v>3422</v>
      </c>
      <c r="R7" s="2547" cm="1">
        <f t="array" aca="1" ref="R7" ca="1">INDIRECT("'※ B2B 세부데이터'!"&amp;R$1&amp;$X7, TRUE)</f>
        <v>6844</v>
      </c>
      <c r="S7" s="2548" cm="1">
        <f t="array" aca="1" ref="S7" ca="1">INDIRECT("'※ B2B 세부데이터'!"&amp;S$1&amp;$X7, TRUE)</f>
        <v>3422</v>
      </c>
      <c r="T7" s="6390" cm="1">
        <f t="array" aca="1" ref="T7" ca="1">INDIRECT("'※ B2B 세부데이터'!"&amp;T$1&amp;$X7, TRUE)</f>
        <v>-994</v>
      </c>
      <c r="U7" s="6390" cm="1">
        <f t="array" aca="1" ref="U7" ca="1">INDIRECT("'※ B2B 세부데이터'!"&amp;U$1&amp;$X7, TRUE)</f>
        <v>147</v>
      </c>
      <c r="V7" s="2549" cm="1">
        <f t="array" aca="1" ref="V7" ca="1">INDIRECT("'※ B2B 세부데이터'!"&amp;V$1&amp;$X7, TRUE)</f>
        <v>2153</v>
      </c>
      <c r="W7" s="2550" cm="1">
        <f t="array" aca="1" ref="W7" ca="1">INDIRECT("'※ B2B 세부데이터'!"&amp;W$1&amp;$X7, TRUE)</f>
        <v>270.08333333333348</v>
      </c>
      <c r="X7" s="2527">
        <f>ROW('※ B2B 세부데이터'!J6)</f>
        <v>6</v>
      </c>
    </row>
    <row r="8" spans="1:59" x14ac:dyDescent="0.55000000000000004">
      <c r="A8" s="7313"/>
      <c r="B8" s="7316"/>
      <c r="C8" s="2551" t="str" cm="1">
        <f t="array" aca="1" ref="C8" ca="1">INDIRECT("'※ B2B 세부데이터'!"&amp;C$1&amp;$X8, TRUE)</f>
        <v>중고개통</v>
      </c>
      <c r="D8" s="2551"/>
      <c r="E8" s="2552" cm="1">
        <f t="array" aca="1" ref="E8" ca="1">INDIRECT("'※ B2B 세부데이터'!"&amp;E$1&amp;$X8, TRUE)</f>
        <v>9323</v>
      </c>
      <c r="F8" s="2553" cm="1">
        <f t="array" aca="1" ref="F8" ca="1">INDIRECT("'※ B2B 세부데이터'!"&amp;F$1&amp;$X8, TRUE)</f>
        <v>10872</v>
      </c>
      <c r="G8" s="2554" cm="1">
        <f t="array" aca="1" ref="G8" ca="1">INDIRECT("'※ B2B 세부데이터'!"&amp;G$1&amp;$X8, TRUE)</f>
        <v>686</v>
      </c>
      <c r="H8" s="2555" cm="1">
        <f t="array" aca="1" ref="H8" ca="1">INDIRECT("'※ B2B 세부데이터'!"&amp;H$1&amp;$X8, TRUE)</f>
        <v>559</v>
      </c>
      <c r="I8" s="2555" cm="1">
        <f t="array" aca="1" ref="I8" ca="1">INDIRECT("'※ B2B 세부데이터'!"&amp;I$1&amp;$X8, TRUE)</f>
        <v>1600</v>
      </c>
      <c r="J8" s="2555" cm="1">
        <f t="array" aca="1" ref="J8" ca="1">INDIRECT("'※ B2B 세부데이터'!"&amp;J$1&amp;$X8, TRUE)</f>
        <v>1354</v>
      </c>
      <c r="K8" s="2555" cm="1">
        <f t="array" aca="1" ref="K8" ca="1">INDIRECT("'※ B2B 세부데이터'!"&amp;K$1&amp;$X8, TRUE)</f>
        <v>909</v>
      </c>
      <c r="L8" s="6368" cm="1">
        <f t="array" aca="1" ref="L8" ca="1">INDIRECT("'※ B2B 세부데이터'!"&amp;L$1&amp;$X8, TRUE)</f>
        <v>664</v>
      </c>
      <c r="M8" s="2553" cm="1">
        <f t="array" aca="1" ref="M8" ca="1">INDIRECT("'※ B2B 세부데이터'!"&amp;M$1&amp;$X8, TRUE)</f>
        <v>752</v>
      </c>
      <c r="N8" s="6361" cm="1">
        <f t="array" aca="1" ref="N8" ca="1">INDIRECT("'※ B2B 세부데이터'!"&amp;N$1&amp;$X8, TRUE)</f>
        <v>363</v>
      </c>
      <c r="O8" s="2555" cm="1">
        <f t="array" aca="1" ref="O8" ca="1">INDIRECT("'※ B2B 세부데이터'!"&amp;O$1&amp;$X8, TRUE)</f>
        <v>389</v>
      </c>
      <c r="P8" s="2556" cm="1">
        <f t="array" aca="1" ref="P8" ca="1">INDIRECT("'※ B2B 세부데이터'!"&amp;P$1&amp;$X8, TRUE)</f>
        <v>752</v>
      </c>
      <c r="Q8" s="2557" cm="1">
        <f t="array" aca="1" ref="Q8" ca="1">INDIRECT("'※ B2B 세부데이터'!"&amp;Q$1&amp;$X8, TRUE)</f>
        <v>376</v>
      </c>
      <c r="R8" s="2558" cm="1">
        <f t="array" aca="1" ref="R8" ca="1">INDIRECT("'※ B2B 세부데이터'!"&amp;R$1&amp;$X8, TRUE)</f>
        <v>752</v>
      </c>
      <c r="S8" s="2559" cm="1">
        <f t="array" aca="1" ref="S8" ca="1">INDIRECT("'※ B2B 세부데이터'!"&amp;S$1&amp;$X8, TRUE)</f>
        <v>376</v>
      </c>
      <c r="T8" s="6391" cm="1">
        <f t="array" aca="1" ref="T8" ca="1">INDIRECT("'※ B2B 세부데이터'!"&amp;T$1&amp;$X8, TRUE)</f>
        <v>26</v>
      </c>
      <c r="U8" s="6391" cm="1">
        <f t="array" aca="1" ref="U8" ca="1">INDIRECT("'※ B2B 세부데이터'!"&amp;U$1&amp;$X8, TRUE)</f>
        <v>-170</v>
      </c>
      <c r="V8" s="2560" cm="1">
        <f t="array" aca="1" ref="V8" ca="1">INDIRECT("'※ B2B 세부데이터'!"&amp;V$1&amp;$X8, TRUE)</f>
        <v>-493</v>
      </c>
      <c r="W8" s="912" cm="1">
        <f t="array" aca="1" ref="W8" ca="1">INDIRECT("'※ B2B 세부데이터'!"&amp;W$1&amp;$X8, TRUE)</f>
        <v>-530</v>
      </c>
      <c r="X8" s="2527">
        <f>ROW('※ B2B 세부데이터'!J7)</f>
        <v>7</v>
      </c>
    </row>
    <row r="9" spans="1:59" x14ac:dyDescent="0.55000000000000004">
      <c r="A9" s="7313"/>
      <c r="B9" s="7316"/>
      <c r="C9" s="2551" t="str" cm="1">
        <f t="array" aca="1" ref="C9" ca="1">INDIRECT("'※ B2B 세부데이터'!"&amp;C$1&amp;$X9, TRUE)</f>
        <v>운영후불</v>
      </c>
      <c r="D9" s="2551"/>
      <c r="E9" s="2552" cm="1">
        <f t="array" aca="1" ref="E9" ca="1">INDIRECT("'※ B2B 세부데이터'!"&amp;E$1&amp;$X9, TRUE)</f>
        <v>23856</v>
      </c>
      <c r="F9" s="2553" cm="1">
        <f t="array" aca="1" ref="F9" ca="1">INDIRECT("'※ B2B 세부데이터'!"&amp;F$1&amp;$X9, TRUE)</f>
        <v>26951</v>
      </c>
      <c r="G9" s="2554" cm="1">
        <f t="array" aca="1" ref="G9" ca="1">INDIRECT("'※ B2B 세부데이터'!"&amp;G$1&amp;$X9, TRUE)</f>
        <v>1227</v>
      </c>
      <c r="H9" s="2555" cm="1">
        <f t="array" aca="1" ref="H9" ca="1">INDIRECT("'※ B2B 세부데이터'!"&amp;H$1&amp;$X9, TRUE)</f>
        <v>2219</v>
      </c>
      <c r="I9" s="2555" cm="1">
        <f t="array" aca="1" ref="I9" ca="1">INDIRECT("'※ B2B 세부데이터'!"&amp;I$1&amp;$X9, TRUE)</f>
        <v>1885</v>
      </c>
      <c r="J9" s="2555" cm="1">
        <f t="array" aca="1" ref="J9" ca="1">INDIRECT("'※ B2B 세부데이터'!"&amp;J$1&amp;$X9, TRUE)</f>
        <v>1124</v>
      </c>
      <c r="K9" s="2555" cm="1">
        <f t="array" aca="1" ref="K9" ca="1">INDIRECT("'※ B2B 세부데이터'!"&amp;K$1&amp;$X9, TRUE)</f>
        <v>1682</v>
      </c>
      <c r="L9" s="6368" cm="1">
        <f t="array" aca="1" ref="L9" ca="1">INDIRECT("'※ B2B 세부데이터'!"&amp;L$1&amp;$X9, TRUE)</f>
        <v>1278</v>
      </c>
      <c r="M9" s="2553" cm="1">
        <f t="array" aca="1" ref="M9" ca="1">INDIRECT("'※ B2B 세부데이터'!"&amp;M$1&amp;$X9, TRUE)</f>
        <v>6092</v>
      </c>
      <c r="N9" s="6361" cm="1">
        <f t="array" aca="1" ref="N9" ca="1">INDIRECT("'※ B2B 세부데이터'!"&amp;N$1&amp;$X9, TRUE)</f>
        <v>3556</v>
      </c>
      <c r="O9" s="2555" cm="1">
        <f t="array" aca="1" ref="O9" ca="1">INDIRECT("'※ B2B 세부데이터'!"&amp;O$1&amp;$X9, TRUE)</f>
        <v>2536</v>
      </c>
      <c r="P9" s="2556" cm="1">
        <f t="array" aca="1" ref="P9" ca="1">INDIRECT("'※ B2B 세부데이터'!"&amp;P$1&amp;$X9, TRUE)</f>
        <v>6092</v>
      </c>
      <c r="Q9" s="2557" cm="1">
        <f t="array" aca="1" ref="Q9" ca="1">INDIRECT("'※ B2B 세부데이터'!"&amp;Q$1&amp;$X9, TRUE)</f>
        <v>3046</v>
      </c>
      <c r="R9" s="2558" cm="1">
        <f t="array" aca="1" ref="R9" ca="1">INDIRECT("'※ B2B 세부데이터'!"&amp;R$1&amp;$X9, TRUE)</f>
        <v>6092</v>
      </c>
      <c r="S9" s="2559" cm="1">
        <f t="array" aca="1" ref="S9" ca="1">INDIRECT("'※ B2B 세부데이터'!"&amp;S$1&amp;$X9, TRUE)</f>
        <v>3046</v>
      </c>
      <c r="T9" s="6391" cm="1">
        <f t="array" aca="1" ref="T9" ca="1">INDIRECT("'※ B2B 세부데이터'!"&amp;T$1&amp;$X9, TRUE)</f>
        <v>-1020</v>
      </c>
      <c r="U9" s="6391" cm="1">
        <f t="array" aca="1" ref="U9" ca="1">INDIRECT("'※ B2B 세부데이터'!"&amp;U$1&amp;$X9, TRUE)</f>
        <v>317</v>
      </c>
      <c r="V9" s="2560" cm="1">
        <f t="array" aca="1" ref="V9" ca="1">INDIRECT("'※ B2B 세부데이터'!"&amp;V$1&amp;$X9, TRUE)</f>
        <v>2646</v>
      </c>
      <c r="W9" s="912" cm="1">
        <f t="array" aca="1" ref="W9" ca="1">INDIRECT("'※ B2B 세부데이터'!"&amp;W$1&amp;$X9, TRUE)</f>
        <v>800.08333333333348</v>
      </c>
      <c r="X9" s="2527">
        <f>ROW('※ B2B 세부데이터'!J8)</f>
        <v>8</v>
      </c>
    </row>
    <row r="10" spans="1:59" x14ac:dyDescent="0.55000000000000004">
      <c r="A10" s="7313"/>
      <c r="B10" s="7316"/>
      <c r="C10" s="2551" t="str" cm="1">
        <f t="array" aca="1" ref="C10" ca="1">INDIRECT("'※ B2B 세부데이터'!"&amp;C$1&amp;$X10, TRUE)</f>
        <v>2nd (pad)</v>
      </c>
      <c r="D10" s="2551"/>
      <c r="E10" s="2552" cm="1">
        <f t="array" aca="1" ref="E10" ca="1">INDIRECT("'※ B2B 세부데이터'!"&amp;E$1&amp;$X10, TRUE)</f>
        <v>20844</v>
      </c>
      <c r="F10" s="2553" cm="1">
        <f t="array" aca="1" ref="F10" ca="1">INDIRECT("'※ B2B 세부데이터'!"&amp;F$1&amp;$X10, TRUE)</f>
        <v>26310</v>
      </c>
      <c r="G10" s="2554" cm="1">
        <f t="array" aca="1" ref="G10" ca="1">INDIRECT("'※ B2B 세부데이터'!"&amp;G$1&amp;$X10, TRUE)</f>
        <v>1770</v>
      </c>
      <c r="H10" s="2555" cm="1">
        <f t="array" aca="1" ref="H10" ca="1">INDIRECT("'※ B2B 세부데이터'!"&amp;H$1&amp;$X10, TRUE)</f>
        <v>3927</v>
      </c>
      <c r="I10" s="2555" cm="1">
        <f t="array" aca="1" ref="I10" ca="1">INDIRECT("'※ B2B 세부데이터'!"&amp;I$1&amp;$X10, TRUE)</f>
        <v>2097</v>
      </c>
      <c r="J10" s="2555" cm="1">
        <f t="array" aca="1" ref="J10" ca="1">INDIRECT("'※ B2B 세부데이터'!"&amp;J$1&amp;$X10, TRUE)</f>
        <v>2052</v>
      </c>
      <c r="K10" s="2555" cm="1">
        <f t="array" aca="1" ref="K10" ca="1">INDIRECT("'※ B2B 세부데이터'!"&amp;K$1&amp;$X10, TRUE)</f>
        <v>2379</v>
      </c>
      <c r="L10" s="6368" cm="1">
        <f t="array" aca="1" ref="L10" ca="1">INDIRECT("'※ B2B 세부데이터'!"&amp;L$1&amp;$X10, TRUE)</f>
        <v>2328</v>
      </c>
      <c r="M10" s="2553" cm="1">
        <f t="array" aca="1" ref="M10" ca="1">INDIRECT("'※ B2B 세부데이터'!"&amp;M$1&amp;$X10, TRUE)</f>
        <v>10112</v>
      </c>
      <c r="N10" s="6361" cm="1">
        <f t="array" aca="1" ref="N10" ca="1">INDIRECT("'※ B2B 세부데이터'!"&amp;N$1&amp;$X10, TRUE)</f>
        <v>2775</v>
      </c>
      <c r="O10" s="2555" cm="1">
        <f t="array" aca="1" ref="O10" ca="1">INDIRECT("'※ B2B 세부데이터'!"&amp;O$1&amp;$X10, TRUE)</f>
        <v>7337</v>
      </c>
      <c r="P10" s="2556" cm="1">
        <f t="array" aca="1" ref="P10" ca="1">INDIRECT("'※ B2B 세부데이터'!"&amp;P$1&amp;$X10, TRUE)</f>
        <v>10112</v>
      </c>
      <c r="Q10" s="2557" cm="1">
        <f t="array" aca="1" ref="Q10" ca="1">INDIRECT("'※ B2B 세부데이터'!"&amp;Q$1&amp;$X10, TRUE)</f>
        <v>5056</v>
      </c>
      <c r="R10" s="2558" cm="1">
        <f t="array" aca="1" ref="R10" ca="1">INDIRECT("'※ B2B 세부데이터'!"&amp;R$1&amp;$X10, TRUE)</f>
        <v>10112</v>
      </c>
      <c r="S10" s="2559" cm="1">
        <f t="array" aca="1" ref="S10" ca="1">INDIRECT("'※ B2B 세부데이터'!"&amp;S$1&amp;$X10, TRUE)</f>
        <v>5056</v>
      </c>
      <c r="T10" s="6391" cm="1">
        <f t="array" aca="1" ref="T10" ca="1">INDIRECT("'※ B2B 세부데이터'!"&amp;T$1&amp;$X10, TRUE)</f>
        <v>4562</v>
      </c>
      <c r="U10" s="6391" cm="1">
        <f t="array" aca="1" ref="U10" ca="1">INDIRECT("'※ B2B 세부데이터'!"&amp;U$1&amp;$X10, TRUE)</f>
        <v>3410</v>
      </c>
      <c r="V10" s="2560" cm="1">
        <f t="array" aca="1" ref="V10" ca="1">INDIRECT("'※ B2B 세부데이터'!"&amp;V$1&amp;$X10, TRUE)</f>
        <v>4415</v>
      </c>
      <c r="W10" s="912" cm="1">
        <f t="array" aca="1" ref="W10" ca="1">INDIRECT("'※ B2B 세부데이터'!"&amp;W$1&amp;$X10, TRUE)</f>
        <v>2863.5</v>
      </c>
      <c r="X10" s="2527">
        <f>ROW('※ B2B 세부데이터'!J9)</f>
        <v>9</v>
      </c>
    </row>
    <row r="11" spans="1:59" x14ac:dyDescent="0.55000000000000004">
      <c r="A11" s="7313"/>
      <c r="B11" s="7316"/>
      <c r="C11" s="2551" t="str" cm="1">
        <f t="array" aca="1" ref="C11" ca="1">INDIRECT("'※ B2B 세부데이터'!"&amp;C$1&amp;$X11, TRUE)</f>
        <v>iot</v>
      </c>
      <c r="D11" s="2551"/>
      <c r="E11" s="2552" cm="1">
        <f t="array" aca="1" ref="E11" ca="1">INDIRECT("'※ B2B 세부데이터'!"&amp;E$1&amp;$X11, TRUE)</f>
        <v>63783</v>
      </c>
      <c r="F11" s="2553" cm="1">
        <f t="array" aca="1" ref="F11" ca="1">INDIRECT("'※ B2B 세부데이터'!"&amp;F$1&amp;$X11, TRUE)</f>
        <v>72841</v>
      </c>
      <c r="G11" s="2554" cm="1">
        <f t="array" aca="1" ref="G11" ca="1">INDIRECT("'※ B2B 세부데이터'!"&amp;G$1&amp;$X11, TRUE)</f>
        <v>5549</v>
      </c>
      <c r="H11" s="2555" cm="1">
        <f t="array" aca="1" ref="H11" ca="1">INDIRECT("'※ B2B 세부데이터'!"&amp;H$1&amp;$X11, TRUE)</f>
        <v>3086</v>
      </c>
      <c r="I11" s="2555" cm="1">
        <f t="array" aca="1" ref="I11" ca="1">INDIRECT("'※ B2B 세부데이터'!"&amp;I$1&amp;$X11, TRUE)</f>
        <v>2922</v>
      </c>
      <c r="J11" s="2555" cm="1">
        <f t="array" aca="1" ref="J11" ca="1">INDIRECT("'※ B2B 세부데이터'!"&amp;J$1&amp;$X11, TRUE)</f>
        <v>11432</v>
      </c>
      <c r="K11" s="2555" cm="1">
        <f t="array" aca="1" ref="K11" ca="1">INDIRECT("'※ B2B 세부데이터'!"&amp;K$1&amp;$X11, TRUE)</f>
        <v>7692</v>
      </c>
      <c r="L11" s="6368" cm="1">
        <f t="array" aca="1" ref="L11" ca="1">INDIRECT("'※ B2B 세부데이터'!"&amp;L$1&amp;$X11, TRUE)</f>
        <v>7756</v>
      </c>
      <c r="M11" s="2553" cm="1">
        <f t="array" aca="1" ref="M11" ca="1">INDIRECT("'※ B2B 세부데이터'!"&amp;M$1&amp;$X11, TRUE)</f>
        <v>11950</v>
      </c>
      <c r="N11" s="6361" cm="1">
        <f t="array" aca="1" ref="N11" ca="1">INDIRECT("'※ B2B 세부데이터'!"&amp;N$1&amp;$X11, TRUE)</f>
        <v>8993</v>
      </c>
      <c r="O11" s="2555" cm="1">
        <f t="array" aca="1" ref="O11" ca="1">INDIRECT("'※ B2B 세부데이터'!"&amp;O$1&amp;$X11, TRUE)</f>
        <v>2957</v>
      </c>
      <c r="P11" s="2556" cm="1">
        <f t="array" aca="1" ref="P11" ca="1">INDIRECT("'※ B2B 세부데이터'!"&amp;P$1&amp;$X11, TRUE)</f>
        <v>11950</v>
      </c>
      <c r="Q11" s="2557" cm="1">
        <f t="array" aca="1" ref="Q11" ca="1">INDIRECT("'※ B2B 세부데이터'!"&amp;Q$1&amp;$X11, TRUE)</f>
        <v>5975</v>
      </c>
      <c r="R11" s="2558" cm="1">
        <f t="array" aca="1" ref="R11" ca="1">INDIRECT("'※ B2B 세부데이터'!"&amp;R$1&amp;$X11, TRUE)</f>
        <v>11950</v>
      </c>
      <c r="S11" s="2559" cm="1">
        <f t="array" aca="1" ref="S11" ca="1">INDIRECT("'※ B2B 세부데이터'!"&amp;S$1&amp;$X11, TRUE)</f>
        <v>5975</v>
      </c>
      <c r="T11" s="6391" cm="1">
        <f t="array" aca="1" ref="T11" ca="1">INDIRECT("'※ B2B 세부데이터'!"&amp;T$1&amp;$X11, TRUE)</f>
        <v>-6036</v>
      </c>
      <c r="U11" s="6391" cm="1">
        <f t="array" aca="1" ref="U11" ca="1">INDIRECT("'※ B2B 세부데이터'!"&amp;U$1&amp;$X11, TRUE)</f>
        <v>-129</v>
      </c>
      <c r="V11" s="2560" cm="1">
        <f t="array" aca="1" ref="V11" ca="1">INDIRECT("'※ B2B 세부데이터'!"&amp;V$1&amp;$X11, TRUE)</f>
        <v>3315</v>
      </c>
      <c r="W11" s="912" cm="1">
        <f t="array" aca="1" ref="W11" ca="1">INDIRECT("'※ B2B 세부데이터'!"&amp;W$1&amp;$X11, TRUE)</f>
        <v>-95.08333333333303</v>
      </c>
      <c r="X11" s="2527">
        <f>ROW('※ B2B 세부데이터'!J10)</f>
        <v>10</v>
      </c>
    </row>
    <row r="12" spans="1:59" x14ac:dyDescent="0.55000000000000004">
      <c r="A12" s="7313"/>
      <c r="B12" s="7316"/>
      <c r="C12" s="2551" t="str" cm="1">
        <f t="array" aca="1" ref="C12" ca="1">INDIRECT("'※ B2B 세부데이터'!"&amp;C$1&amp;$X12, TRUE)</f>
        <v>후불신규</v>
      </c>
      <c r="D12" s="2551"/>
      <c r="E12" s="2552" cm="1">
        <f t="array" aca="1" ref="E12" ca="1">INDIRECT("'※ B2B 세부데이터'!"&amp;E$1&amp;$X12, TRUE)</f>
        <v>5848</v>
      </c>
      <c r="F12" s="2553" cm="1">
        <f t="array" aca="1" ref="F12" ca="1">INDIRECT("'※ B2B 세부데이터'!"&amp;F$1&amp;$X12, TRUE)</f>
        <v>12922</v>
      </c>
      <c r="G12" s="2554" cm="1">
        <f t="array" aca="1" ref="G12" ca="1">INDIRECT("'※ B2B 세부데이터'!"&amp;G$1&amp;$X12, TRUE)</f>
        <v>364</v>
      </c>
      <c r="H12" s="2555" cm="1">
        <f t="array" aca="1" ref="H12" ca="1">INDIRECT("'※ B2B 세부데이터'!"&amp;H$1&amp;$X12, TRUE)</f>
        <v>368</v>
      </c>
      <c r="I12" s="2555" cm="1">
        <f t="array" aca="1" ref="I12" ca="1">INDIRECT("'※ B2B 세부데이터'!"&amp;I$1&amp;$X12, TRUE)</f>
        <v>1229</v>
      </c>
      <c r="J12" s="2555" cm="1">
        <f t="array" aca="1" ref="J12" ca="1">INDIRECT("'※ B2B 세부데이터'!"&amp;J$1&amp;$X12, TRUE)</f>
        <v>276</v>
      </c>
      <c r="K12" s="2555" cm="1">
        <f t="array" aca="1" ref="K12" ca="1">INDIRECT("'※ B2B 세부데이터'!"&amp;K$1&amp;$X12, TRUE)</f>
        <v>770</v>
      </c>
      <c r="L12" s="6368" cm="1">
        <f t="array" aca="1" ref="L12" ca="1">INDIRECT("'※ B2B 세부데이터'!"&amp;L$1&amp;$X12, TRUE)</f>
        <v>527</v>
      </c>
      <c r="M12" s="2553" cm="1">
        <f t="array" aca="1" ref="M12" ca="1">INDIRECT("'※ B2B 세부데이터'!"&amp;M$1&amp;$X12, TRUE)</f>
        <v>2360</v>
      </c>
      <c r="N12" s="6361" cm="1">
        <f t="array" aca="1" ref="N12" ca="1">INDIRECT("'※ B2B 세부데이터'!"&amp;N$1&amp;$X12, TRUE)</f>
        <v>1608</v>
      </c>
      <c r="O12" s="2555" cm="1">
        <f t="array" aca="1" ref="O12" ca="1">INDIRECT("'※ B2B 세부데이터'!"&amp;O$1&amp;$X12, TRUE)</f>
        <v>752</v>
      </c>
      <c r="P12" s="2556" cm="1">
        <f t="array" aca="1" ref="P12" ca="1">INDIRECT("'※ B2B 세부데이터'!"&amp;P$1&amp;$X12, TRUE)</f>
        <v>2360</v>
      </c>
      <c r="Q12" s="2557" cm="1">
        <f t="array" aca="1" ref="Q12" ca="1">INDIRECT("'※ B2B 세부데이터'!"&amp;Q$1&amp;$X12, TRUE)</f>
        <v>1180</v>
      </c>
      <c r="R12" s="2558" cm="1">
        <f t="array" aca="1" ref="R12" ca="1">INDIRECT("'※ B2B 세부데이터'!"&amp;R$1&amp;$X12, TRUE)</f>
        <v>2360</v>
      </c>
      <c r="S12" s="2559" cm="1">
        <f t="array" aca="1" ref="S12" ca="1">INDIRECT("'※ B2B 세부데이터'!"&amp;S$1&amp;$X12, TRUE)</f>
        <v>1180</v>
      </c>
      <c r="T12" s="6391" cm="1">
        <f t="array" aca="1" ref="T12" ca="1">INDIRECT("'※ B2B 세부데이터'!"&amp;T$1&amp;$X12, TRUE)</f>
        <v>-856</v>
      </c>
      <c r="U12" s="6391" cm="1">
        <f t="array" aca="1" ref="U12" ca="1">INDIRECT("'※ B2B 세부데이터'!"&amp;U$1&amp;$X12, TRUE)</f>
        <v>384</v>
      </c>
      <c r="V12" s="2560" cm="1">
        <f t="array" aca="1" ref="V12" ca="1">INDIRECT("'※ B2B 세부데이터'!"&amp;V$1&amp;$X12, TRUE)</f>
        <v>1628</v>
      </c>
      <c r="W12" s="912" cm="1">
        <f t="array" aca="1" ref="W12" ca="1">INDIRECT("'※ B2B 세부데이터'!"&amp;W$1&amp;$X12, TRUE)</f>
        <v>103.16666666666674</v>
      </c>
      <c r="X12" s="2527">
        <f>ROW('※ B2B 세부데이터'!J11)</f>
        <v>11</v>
      </c>
    </row>
    <row r="13" spans="1:59" x14ac:dyDescent="0.55000000000000004">
      <c r="A13" s="7313"/>
      <c r="B13" s="7316"/>
      <c r="C13" s="2551" t="str" cm="1">
        <f t="array" aca="1" ref="C13" ca="1">INDIRECT("'※ B2B 세부데이터'!"&amp;C$1&amp;$X13, TRUE)</f>
        <v>무선순증</v>
      </c>
      <c r="D13" s="2551"/>
      <c r="E13" s="2552" cm="1">
        <f t="array" aca="1" ref="E13" ca="1">INDIRECT("'※ B2B 세부데이터'!"&amp;E$1&amp;$X13, TRUE)</f>
        <v>15867</v>
      </c>
      <c r="F13" s="2553" cm="1">
        <f t="array" aca="1" ref="F13" ca="1">INDIRECT("'※ B2B 세부데이터'!"&amp;F$1&amp;$X13, TRUE)</f>
        <v>11487</v>
      </c>
      <c r="G13" s="2554" cm="1">
        <f t="array" aca="1" ref="G13" ca="1">INDIRECT("'※ B2B 세부데이터'!"&amp;G$1&amp;$X13, TRUE)</f>
        <v>377</v>
      </c>
      <c r="H13" s="2555" cm="1">
        <f t="array" aca="1" ref="H13" ca="1">INDIRECT("'※ B2B 세부데이터'!"&amp;H$1&amp;$X13, TRUE)</f>
        <v>216</v>
      </c>
      <c r="I13" s="2555" cm="1">
        <f t="array" aca="1" ref="I13" ca="1">INDIRECT("'※ B2B 세부데이터'!"&amp;I$1&amp;$X13, TRUE)</f>
        <v>1511</v>
      </c>
      <c r="J13" s="2555" cm="1">
        <f t="array" aca="1" ref="J13" ca="1">INDIRECT("'※ B2B 세부데이터'!"&amp;J$1&amp;$X13, TRUE)</f>
        <v>719</v>
      </c>
      <c r="K13" s="2555" cm="1">
        <f t="array" aca="1" ref="K13" ca="1">INDIRECT("'※ B2B 세부데이터'!"&amp;K$1&amp;$X13, TRUE)</f>
        <v>709</v>
      </c>
      <c r="L13" s="6368" cm="1">
        <f t="array" aca="1" ref="L13" ca="1">INDIRECT("'※ B2B 세부데이터'!"&amp;L$1&amp;$X13, TRUE)</f>
        <v>504</v>
      </c>
      <c r="M13" s="2553" cm="1">
        <f t="array" aca="1" ref="M13" ca="1">INDIRECT("'※ B2B 세부데이터'!"&amp;M$1&amp;$X13, TRUE)</f>
        <v>6050</v>
      </c>
      <c r="N13" s="6361" cm="1">
        <f t="array" aca="1" ref="N13" ca="1">INDIRECT("'※ B2B 세부데이터'!"&amp;N$1&amp;$X13, TRUE)</f>
        <v>734</v>
      </c>
      <c r="O13" s="2555" cm="1">
        <f t="array" aca="1" ref="O13" ca="1">INDIRECT("'※ B2B 세부데이터'!"&amp;O$1&amp;$X13, TRUE)</f>
        <v>5316</v>
      </c>
      <c r="P13" s="2556" cm="1">
        <f t="array" aca="1" ref="P13" ca="1">INDIRECT("'※ B2B 세부데이터'!"&amp;P$1&amp;$X13, TRUE)</f>
        <v>6050</v>
      </c>
      <c r="Q13" s="2557" cm="1">
        <f t="array" aca="1" ref="Q13" ca="1">INDIRECT("'※ B2B 세부데이터'!"&amp;Q$1&amp;$X13, TRUE)</f>
        <v>3025</v>
      </c>
      <c r="R13" s="2558" cm="1">
        <f t="array" aca="1" ref="R13" ca="1">INDIRECT("'※ B2B 세부데이터'!"&amp;R$1&amp;$X13, TRUE)</f>
        <v>6050</v>
      </c>
      <c r="S13" s="2559" cm="1">
        <f t="array" aca="1" ref="S13" ca="1">INDIRECT("'※ B2B 세부데이터'!"&amp;S$1&amp;$X13, TRUE)</f>
        <v>3025</v>
      </c>
      <c r="T13" s="6391" cm="1">
        <f t="array" aca="1" ref="T13" ca="1">INDIRECT("'※ B2B 세부데이터'!"&amp;T$1&amp;$X13, TRUE)</f>
        <v>4582</v>
      </c>
      <c r="U13" s="6391" cm="1">
        <f t="array" aca="1" ref="U13" ca="1">INDIRECT("'※ B2B 세부데이터'!"&amp;U$1&amp;$X13, TRUE)</f>
        <v>5100</v>
      </c>
      <c r="V13" s="2560" cm="1">
        <f t="array" aca="1" ref="V13" ca="1">INDIRECT("'※ B2B 세부데이터'!"&amp;V$1&amp;$X13, TRUE)</f>
        <v>5457</v>
      </c>
      <c r="W13" s="912" cm="1">
        <f t="array" aca="1" ref="W13" ca="1">INDIRECT("'※ B2B 세부데이터'!"&amp;W$1&amp;$X13, TRUE)</f>
        <v>2067.75</v>
      </c>
      <c r="X13" s="2527">
        <f>ROW('※ B2B 세부데이터'!J12)</f>
        <v>12</v>
      </c>
    </row>
    <row r="14" spans="1:59" x14ac:dyDescent="0.55000000000000004">
      <c r="A14" s="7313"/>
      <c r="B14" s="7316"/>
      <c r="C14" s="2551" t="str" cm="1">
        <f t="array" aca="1" ref="C14" ca="1">INDIRECT("'※ B2B 세부데이터'!"&amp;C$1&amp;$X14, TRUE)</f>
        <v>유선</v>
      </c>
      <c r="D14" s="2551"/>
      <c r="E14" s="2552" cm="1">
        <f t="array" aca="1" ref="E14" ca="1">INDIRECT("'※ B2B 세부데이터'!"&amp;E$1&amp;$X14, TRUE)</f>
        <v>2094</v>
      </c>
      <c r="F14" s="2553" cm="1">
        <f t="array" aca="1" ref="F14" ca="1">INDIRECT("'※ B2B 세부데이터'!"&amp;F$1&amp;$X14, TRUE)</f>
        <v>2566</v>
      </c>
      <c r="G14" s="2554" cm="1">
        <f t="array" aca="1" ref="G14" ca="1">INDIRECT("'※ B2B 세부데이터'!"&amp;G$1&amp;$X14, TRUE)</f>
        <v>81</v>
      </c>
      <c r="H14" s="2555" cm="1">
        <f t="array" aca="1" ref="H14" ca="1">INDIRECT("'※ B2B 세부데이터'!"&amp;H$1&amp;$X14, TRUE)</f>
        <v>190</v>
      </c>
      <c r="I14" s="2555" cm="1">
        <f t="array" aca="1" ref="I14" ca="1">INDIRECT("'※ B2B 세부데이터'!"&amp;I$1&amp;$X14, TRUE)</f>
        <v>36</v>
      </c>
      <c r="J14" s="2555" cm="1">
        <f t="array" aca="1" ref="J14" ca="1">INDIRECT("'※ B2B 세부데이터'!"&amp;J$1&amp;$X14, TRUE)</f>
        <v>196</v>
      </c>
      <c r="K14" s="2555" cm="1">
        <f t="array" aca="1" ref="K14" ca="1">INDIRECT("'※ B2B 세부데이터'!"&amp;K$1&amp;$X14, TRUE)</f>
        <v>101</v>
      </c>
      <c r="L14" s="6368" cm="1">
        <f t="array" aca="1" ref="L14" ca="1">INDIRECT("'※ B2B 세부데이터'!"&amp;L$1&amp;$X14, TRUE)</f>
        <v>242</v>
      </c>
      <c r="M14" s="2553" cm="1">
        <f t="array" aca="1" ref="M14" ca="1">INDIRECT("'※ B2B 세부데이터'!"&amp;M$1&amp;$X14, TRUE)</f>
        <v>895</v>
      </c>
      <c r="N14" s="6361" cm="1">
        <f t="array" aca="1" ref="N14" ca="1">INDIRECT("'※ B2B 세부데이터'!"&amp;N$1&amp;$X14, TRUE)</f>
        <v>334</v>
      </c>
      <c r="O14" s="2555" cm="1">
        <f t="array" aca="1" ref="O14" ca="1">INDIRECT("'※ B2B 세부데이터'!"&amp;O$1&amp;$X14, TRUE)</f>
        <v>561</v>
      </c>
      <c r="P14" s="2556" cm="1">
        <f t="array" aca="1" ref="P14" ca="1">INDIRECT("'※ B2B 세부데이터'!"&amp;P$1&amp;$X14, TRUE)</f>
        <v>895</v>
      </c>
      <c r="Q14" s="2557" cm="1">
        <f t="array" aca="1" ref="Q14" ca="1">INDIRECT("'※ B2B 세부데이터'!"&amp;Q$1&amp;$X14, TRUE)</f>
        <v>447.5</v>
      </c>
      <c r="R14" s="2558" cm="1">
        <f t="array" aca="1" ref="R14" ca="1">INDIRECT("'※ B2B 세부데이터'!"&amp;R$1&amp;$X14, TRUE)</f>
        <v>895</v>
      </c>
      <c r="S14" s="2559" cm="1">
        <f t="array" aca="1" ref="S14" ca="1">INDIRECT("'※ B2B 세부데이터'!"&amp;S$1&amp;$X14, TRUE)</f>
        <v>447.5</v>
      </c>
      <c r="T14" s="6391" cm="1">
        <f t="array" aca="1" ref="T14" ca="1">INDIRECT("'※ B2B 세부데이터'!"&amp;T$1&amp;$X14, TRUE)</f>
        <v>227</v>
      </c>
      <c r="U14" s="6391" cm="1">
        <f t="array" aca="1" ref="U14" ca="1">INDIRECT("'※ B2B 세부데이터'!"&amp;U$1&amp;$X14, TRUE)</f>
        <v>371</v>
      </c>
      <c r="V14" s="2560" cm="1">
        <f t="array" aca="1" ref="V14" ca="1">INDIRECT("'※ B2B 세부데이터'!"&amp;V$1&amp;$X14, TRUE)</f>
        <v>624</v>
      </c>
      <c r="W14" s="912" cm="1">
        <f t="array" aca="1" ref="W14" ca="1">INDIRECT("'※ B2B 세부데이터'!"&amp;W$1&amp;$X14, TRUE)</f>
        <v>233.66666666666666</v>
      </c>
      <c r="X14" s="2527">
        <f>ROW('※ B2B 세부데이터'!J13)</f>
        <v>13</v>
      </c>
    </row>
    <row r="15" spans="1:59" x14ac:dyDescent="0.55000000000000004">
      <c r="A15" s="7313"/>
      <c r="B15" s="7317"/>
      <c r="C15" s="2561" t="str" cm="1">
        <f t="array" aca="1" ref="C15" ca="1">INDIRECT("'※ B2B 세부데이터'!"&amp;C$1&amp;$X15, TRUE)</f>
        <v>전략상품</v>
      </c>
      <c r="D15" s="2561"/>
      <c r="E15" s="2562" cm="1">
        <f t="array" aca="1" ref="E15" ca="1">INDIRECT("'※ B2B 세부데이터'!"&amp;E$1&amp;$X15, TRUE)</f>
        <v>123</v>
      </c>
      <c r="F15" s="2563" cm="1">
        <f t="array" aca="1" ref="F15" ca="1">INDIRECT("'※ B2B 세부데이터'!"&amp;F$1&amp;$X15, TRUE)</f>
        <v>65</v>
      </c>
      <c r="G15" s="2564" cm="1">
        <f t="array" aca="1" ref="G15" ca="1">INDIRECT("'※ B2B 세부데이터'!"&amp;G$1&amp;$X15, TRUE)</f>
        <v>4</v>
      </c>
      <c r="H15" s="2565" cm="1">
        <f t="array" aca="1" ref="H15" ca="1">INDIRECT("'※ B2B 세부데이터'!"&amp;H$1&amp;$X15, TRUE)</f>
        <v>0</v>
      </c>
      <c r="I15" s="2565" cm="1">
        <f t="array" aca="1" ref="I15" ca="1">INDIRECT("'※ B2B 세부데이터'!"&amp;I$1&amp;$X15, TRUE)</f>
        <v>24</v>
      </c>
      <c r="J15" s="2565" cm="1">
        <f t="array" aca="1" ref="J15" ca="1">INDIRECT("'※ B2B 세부데이터'!"&amp;J$1&amp;$X15, TRUE)</f>
        <v>16</v>
      </c>
      <c r="K15" s="2565" cm="1">
        <f t="array" aca="1" ref="K15" ca="1">INDIRECT("'※ B2B 세부데이터'!"&amp;K$1&amp;$X15, TRUE)</f>
        <v>21</v>
      </c>
      <c r="L15" s="6369" cm="1">
        <f t="array" aca="1" ref="L15" ca="1">INDIRECT("'※ B2B 세부데이터'!"&amp;L$1&amp;$X15, TRUE)</f>
        <v>0</v>
      </c>
      <c r="M15" s="2563" cm="1">
        <f t="array" aca="1" ref="M15" ca="1">INDIRECT("'※ B2B 세부데이터'!"&amp;M$1&amp;$X15, TRUE)</f>
        <v>0</v>
      </c>
      <c r="N15" s="6362" cm="1">
        <f t="array" aca="1" ref="N15" ca="1">INDIRECT("'※ B2B 세부데이터'!"&amp;N$1&amp;$X15, TRUE)</f>
        <v>0</v>
      </c>
      <c r="O15" s="2565" cm="1">
        <f t="array" aca="1" ref="O15" ca="1">INDIRECT("'※ B2B 세부데이터'!"&amp;O$1&amp;$X15, TRUE)</f>
        <v>0</v>
      </c>
      <c r="P15" s="2566" cm="1">
        <f t="array" aca="1" ref="P15" ca="1">INDIRECT("'※ B2B 세부데이터'!"&amp;P$1&amp;$X15, TRUE)</f>
        <v>0</v>
      </c>
      <c r="Q15" s="2567" cm="1">
        <f t="array" aca="1" ref="Q15" ca="1">INDIRECT("'※ B2B 세부데이터'!"&amp;Q$1&amp;$X15, TRUE)</f>
        <v>0</v>
      </c>
      <c r="R15" s="2568" cm="1">
        <f t="array" aca="1" ref="R15" ca="1">INDIRECT("'※ B2B 세부데이터'!"&amp;R$1&amp;$X15, TRUE)</f>
        <v>0</v>
      </c>
      <c r="S15" s="6396" cm="1">
        <f t="array" aca="1" ref="S15" ca="1">INDIRECT("'※ B2B 세부데이터'!"&amp;S$1&amp;$X15, TRUE)</f>
        <v>0</v>
      </c>
      <c r="T15" s="6392" cm="1">
        <f t="array" aca="1" ref="T15" ca="1">INDIRECT("'※ B2B 세부데이터'!"&amp;T$1&amp;$X15, TRUE)</f>
        <v>0</v>
      </c>
      <c r="U15" s="6392" cm="1">
        <f t="array" aca="1" ref="U15" ca="1">INDIRECT("'※ B2B 세부데이터'!"&amp;U$1&amp;$X15, TRUE)</f>
        <v>0</v>
      </c>
      <c r="V15" s="2569" cm="1">
        <f t="array" aca="1" ref="V15" ca="1">INDIRECT("'※ B2B 세부데이터'!"&amp;V$1&amp;$X15, TRUE)</f>
        <v>-4</v>
      </c>
      <c r="W15" s="2570" cm="1">
        <f t="array" aca="1" ref="W15" ca="1">INDIRECT("'※ B2B 세부데이터'!"&amp;W$1&amp;$X15, TRUE)</f>
        <v>-5.416666666666667</v>
      </c>
      <c r="X15" s="2527">
        <f>ROW('※ B2B 세부데이터'!J14)</f>
        <v>14</v>
      </c>
    </row>
    <row r="16" spans="1:59" x14ac:dyDescent="0.55000000000000004">
      <c r="A16" s="7313"/>
      <c r="B16" s="7318" t="s">
        <v>754</v>
      </c>
      <c r="C16" s="2571" t="str" cm="1">
        <f t="array" aca="1" ref="C16" ca="1">INDIRECT("'※ B2B 세부데이터'!"&amp;C$1&amp;$X16, TRUE)</f>
        <v>일반후불</v>
      </c>
      <c r="D16" s="2571"/>
      <c r="E16" s="2572" cm="1">
        <f t="array" aca="1" ref="E16" ca="1">INDIRECT("'※ B2B 세부데이터'!"&amp;E$1&amp;$X16, TRUE)</f>
        <v>16061</v>
      </c>
      <c r="F16" s="2573" cm="1">
        <f t="array" aca="1" ref="F16" ca="1">INDIRECT("'※ B2B 세부데이터'!"&amp;F$1&amp;$X16, TRUE)</f>
        <v>16031</v>
      </c>
      <c r="G16" s="2574" cm="1">
        <f t="array" aca="1" ref="G16" ca="1">INDIRECT("'※ B2B 세부데이터'!"&amp;G$1&amp;$X16, TRUE)</f>
        <v>614</v>
      </c>
      <c r="H16" s="2575" cm="1">
        <f t="array" aca="1" ref="H16" ca="1">INDIRECT("'※ B2B 세부데이터'!"&amp;H$1&amp;$X16, TRUE)</f>
        <v>1037</v>
      </c>
      <c r="I16" s="2575" cm="1">
        <f t="array" aca="1" ref="I16" ca="1">INDIRECT("'※ B2B 세부데이터'!"&amp;I$1&amp;$X16, TRUE)</f>
        <v>2255</v>
      </c>
      <c r="J16" s="2575" cm="1">
        <f t="array" aca="1" ref="J16" ca="1">INDIRECT("'※ B2B 세부데이터'!"&amp;J$1&amp;$X16, TRUE)</f>
        <v>915</v>
      </c>
      <c r="K16" s="2575" cm="1">
        <f t="array" aca="1" ref="K16" ca="1">INDIRECT("'※ B2B 세부데이터'!"&amp;K$1&amp;$X16, TRUE)</f>
        <v>781</v>
      </c>
      <c r="L16" s="6370" cm="1">
        <f t="array" aca="1" ref="L16" ca="1">INDIRECT("'※ B2B 세부데이터'!"&amp;L$1&amp;$X16, TRUE)</f>
        <v>562</v>
      </c>
      <c r="M16" s="2573" cm="1">
        <f t="array" aca="1" ref="M16" ca="1">INDIRECT("'※ B2B 세부데이터'!"&amp;M$1&amp;$X16, TRUE)</f>
        <v>1002</v>
      </c>
      <c r="N16" s="6363" cm="1">
        <f t="array" aca="1" ref="N16" ca="1">INDIRECT("'※ B2B 세부데이터'!"&amp;N$1&amp;$X16, TRUE)</f>
        <v>687</v>
      </c>
      <c r="O16" s="2575" cm="1">
        <f t="array" aca="1" ref="O16" ca="1">INDIRECT("'※ B2B 세부데이터'!"&amp;O$1&amp;$X16, TRUE)</f>
        <v>315</v>
      </c>
      <c r="P16" s="2576" cm="1">
        <f t="array" aca="1" ref="P16" ca="1">INDIRECT("'※ B2B 세부데이터'!"&amp;P$1&amp;$X16, TRUE)</f>
        <v>1002</v>
      </c>
      <c r="Q16" s="2577" cm="1">
        <f t="array" aca="1" ref="Q16" ca="1">INDIRECT("'※ B2B 세부데이터'!"&amp;Q$1&amp;$X16, TRUE)</f>
        <v>501</v>
      </c>
      <c r="R16" s="2578" cm="1">
        <f t="array" aca="1" ref="R16" ca="1">INDIRECT("'※ B2B 세부데이터'!"&amp;R$1&amp;$X16, TRUE)</f>
        <v>1002</v>
      </c>
      <c r="S16" s="2579" cm="1">
        <f t="array" aca="1" ref="S16" ca="1">INDIRECT("'※ B2B 세부데이터'!"&amp;S$1&amp;$X16, TRUE)</f>
        <v>501</v>
      </c>
      <c r="T16" s="6393" cm="1">
        <f t="array" aca="1" ref="T16" ca="1">INDIRECT("'※ B2B 세부데이터'!"&amp;T$1&amp;$X16, TRUE)</f>
        <v>-372</v>
      </c>
      <c r="U16" s="6393" cm="1">
        <f t="array" aca="1" ref="U16" ca="1">INDIRECT("'※ B2B 세부데이터'!"&amp;U$1&amp;$X16, TRUE)</f>
        <v>-722</v>
      </c>
      <c r="V16" s="2580" cm="1">
        <f t="array" aca="1" ref="V16" ca="1">INDIRECT("'※ B2B 세부데이터'!"&amp;V$1&amp;$X16, TRUE)</f>
        <v>-649</v>
      </c>
      <c r="W16" s="2581" cm="1">
        <f t="array" aca="1" ref="W16" ca="1">INDIRECT("'※ B2B 세부데이터'!"&amp;W$1&amp;$X16, TRUE)</f>
        <v>-834.91666666666674</v>
      </c>
      <c r="X16" s="2527">
        <f>ROW('※ B2B 세부데이터'!J15)</f>
        <v>15</v>
      </c>
    </row>
    <row r="17" spans="1:24" x14ac:dyDescent="0.55000000000000004">
      <c r="A17" s="7313"/>
      <c r="B17" s="7319"/>
      <c r="C17" s="641" t="str" cm="1">
        <f t="array" aca="1" ref="C17" ca="1">INDIRECT("'※ B2B 세부데이터'!"&amp;C$1&amp;$X17, TRUE)</f>
        <v>중고개통</v>
      </c>
      <c r="D17" s="641"/>
      <c r="E17" s="2582" cm="1">
        <f t="array" aca="1" ref="E17" ca="1">INDIRECT("'※ B2B 세부데이터'!"&amp;E$1&amp;$X17, TRUE)</f>
        <v>6512</v>
      </c>
      <c r="F17" s="2583" cm="1">
        <f t="array" aca="1" ref="F17" ca="1">INDIRECT("'※ B2B 세부데이터'!"&amp;F$1&amp;$X17, TRUE)</f>
        <v>6404</v>
      </c>
      <c r="G17" s="2584" cm="1">
        <f t="array" aca="1" ref="G17" ca="1">INDIRECT("'※ B2B 세부데이터'!"&amp;G$1&amp;$X17, TRUE)</f>
        <v>463</v>
      </c>
      <c r="H17" s="2585" cm="1">
        <f t="array" aca="1" ref="H17" ca="1">INDIRECT("'※ B2B 세부데이터'!"&amp;H$1&amp;$X17, TRUE)</f>
        <v>459</v>
      </c>
      <c r="I17" s="2585" cm="1">
        <f t="array" aca="1" ref="I17" ca="1">INDIRECT("'※ B2B 세부데이터'!"&amp;I$1&amp;$X17, TRUE)</f>
        <v>1463</v>
      </c>
      <c r="J17" s="2585" cm="1">
        <f t="array" aca="1" ref="J17" ca="1">INDIRECT("'※ B2B 세부데이터'!"&amp;J$1&amp;$X17, TRUE)</f>
        <v>702</v>
      </c>
      <c r="K17" s="2585" cm="1">
        <f t="array" aca="1" ref="K17" ca="1">INDIRECT("'※ B2B 세부데이터'!"&amp;K$1&amp;$X17, TRUE)</f>
        <v>522</v>
      </c>
      <c r="L17" s="6371" cm="1">
        <f t="array" aca="1" ref="L17" ca="1">INDIRECT("'※ B2B 세부데이터'!"&amp;L$1&amp;$X17, TRUE)</f>
        <v>316</v>
      </c>
      <c r="M17" s="2583" cm="1">
        <f t="array" aca="1" ref="M17" ca="1">INDIRECT("'※ B2B 세부데이터'!"&amp;M$1&amp;$X17, TRUE)</f>
        <v>363</v>
      </c>
      <c r="N17" s="6364" cm="1">
        <f t="array" aca="1" ref="N17" ca="1">INDIRECT("'※ B2B 세부데이터'!"&amp;N$1&amp;$X17, TRUE)</f>
        <v>170</v>
      </c>
      <c r="O17" s="2585" cm="1">
        <f t="array" aca="1" ref="O17" ca="1">INDIRECT("'※ B2B 세부데이터'!"&amp;O$1&amp;$X17, TRUE)</f>
        <v>193</v>
      </c>
      <c r="P17" s="2586" cm="1">
        <f t="array" aca="1" ref="P17" ca="1">INDIRECT("'※ B2B 세부데이터'!"&amp;P$1&amp;$X17, TRUE)</f>
        <v>363</v>
      </c>
      <c r="Q17" s="2587" cm="1">
        <f t="array" aca="1" ref="Q17" ca="1">INDIRECT("'※ B2B 세부데이터'!"&amp;Q$1&amp;$X17, TRUE)</f>
        <v>181.5</v>
      </c>
      <c r="R17" s="2588" cm="1">
        <f t="array" aca="1" ref="R17" ca="1">INDIRECT("'※ B2B 세부데이터'!"&amp;R$1&amp;$X17, TRUE)</f>
        <v>363</v>
      </c>
      <c r="S17" s="2589" cm="1">
        <f t="array" aca="1" ref="S17" ca="1">INDIRECT("'※ B2B 세부데이터'!"&amp;S$1&amp;$X17, TRUE)</f>
        <v>181.5</v>
      </c>
      <c r="T17" s="2798" cm="1">
        <f t="array" aca="1" ref="T17" ca="1">INDIRECT("'※ B2B 세부데이터'!"&amp;T$1&amp;$X17, TRUE)</f>
        <v>23</v>
      </c>
      <c r="U17" s="2798" cm="1">
        <f t="array" aca="1" ref="U17" ca="1">INDIRECT("'※ B2B 세부데이터'!"&amp;U$1&amp;$X17, TRUE)</f>
        <v>-266</v>
      </c>
      <c r="V17" s="2590" cm="1">
        <f t="array" aca="1" ref="V17" ca="1">INDIRECT("'※ B2B 세부데이터'!"&amp;V$1&amp;$X17, TRUE)</f>
        <v>-559</v>
      </c>
      <c r="W17" s="2591" cm="1">
        <f t="array" aca="1" ref="W17" ca="1">INDIRECT("'※ B2B 세부데이터'!"&amp;W$1&amp;$X17, TRUE)</f>
        <v>-352.16666666666663</v>
      </c>
      <c r="X17" s="2527">
        <f>ROW('※ B2B 세부데이터'!J16)</f>
        <v>16</v>
      </c>
    </row>
    <row r="18" spans="1:24" x14ac:dyDescent="0.55000000000000004">
      <c r="A18" s="7313"/>
      <c r="B18" s="7319"/>
      <c r="C18" s="641" t="str" cm="1">
        <f t="array" aca="1" ref="C18" ca="1">INDIRECT("'※ B2B 세부데이터'!"&amp;C$1&amp;$X18, TRUE)</f>
        <v>운영후불</v>
      </c>
      <c r="D18" s="641"/>
      <c r="E18" s="2582" cm="1">
        <f t="array" aca="1" ref="E18" ca="1">INDIRECT("'※ B2B 세부데이터'!"&amp;E$1&amp;$X18, TRUE)</f>
        <v>9549</v>
      </c>
      <c r="F18" s="2583" cm="1">
        <f t="array" aca="1" ref="F18" ca="1">INDIRECT("'※ B2B 세부데이터'!"&amp;F$1&amp;$X18, TRUE)</f>
        <v>9627</v>
      </c>
      <c r="G18" s="2584" cm="1">
        <f t="array" aca="1" ref="G18" ca="1">INDIRECT("'※ B2B 세부데이터'!"&amp;G$1&amp;$X18, TRUE)</f>
        <v>151</v>
      </c>
      <c r="H18" s="2585" cm="1">
        <f t="array" aca="1" ref="H18" ca="1">INDIRECT("'※ B2B 세부데이터'!"&amp;H$1&amp;$X18, TRUE)</f>
        <v>578</v>
      </c>
      <c r="I18" s="2585" cm="1">
        <f t="array" aca="1" ref="I18" ca="1">INDIRECT("'※ B2B 세부데이터'!"&amp;I$1&amp;$X18, TRUE)</f>
        <v>792</v>
      </c>
      <c r="J18" s="2585" cm="1">
        <f t="array" aca="1" ref="J18" ca="1">INDIRECT("'※ B2B 세부데이터'!"&amp;J$1&amp;$X18, TRUE)</f>
        <v>213</v>
      </c>
      <c r="K18" s="2585" cm="1">
        <f t="array" aca="1" ref="K18" ca="1">INDIRECT("'※ B2B 세부데이터'!"&amp;K$1&amp;$X18, TRUE)</f>
        <v>259</v>
      </c>
      <c r="L18" s="6371" cm="1">
        <f t="array" aca="1" ref="L18" ca="1">INDIRECT("'※ B2B 세부데이터'!"&amp;L$1&amp;$X18, TRUE)</f>
        <v>246</v>
      </c>
      <c r="M18" s="2583" cm="1">
        <f t="array" aca="1" ref="M18" ca="1">INDIRECT("'※ B2B 세부데이터'!"&amp;M$1&amp;$X18, TRUE)</f>
        <v>639</v>
      </c>
      <c r="N18" s="6364" cm="1">
        <f t="array" aca="1" ref="N18" ca="1">INDIRECT("'※ B2B 세부데이터'!"&amp;N$1&amp;$X18, TRUE)</f>
        <v>517</v>
      </c>
      <c r="O18" s="2585" cm="1">
        <f t="array" aca="1" ref="O18" ca="1">INDIRECT("'※ B2B 세부데이터'!"&amp;O$1&amp;$X18, TRUE)</f>
        <v>122</v>
      </c>
      <c r="P18" s="2586" cm="1">
        <f t="array" aca="1" ref="P18" ca="1">INDIRECT("'※ B2B 세부데이터'!"&amp;P$1&amp;$X18, TRUE)</f>
        <v>639</v>
      </c>
      <c r="Q18" s="2587" cm="1">
        <f t="array" aca="1" ref="Q18" ca="1">INDIRECT("'※ B2B 세부데이터'!"&amp;Q$1&amp;$X18, TRUE)</f>
        <v>319.5</v>
      </c>
      <c r="R18" s="2588" cm="1">
        <f t="array" aca="1" ref="R18" ca="1">INDIRECT("'※ B2B 세부데이터'!"&amp;R$1&amp;$X18, TRUE)</f>
        <v>639</v>
      </c>
      <c r="S18" s="2589" cm="1">
        <f t="array" aca="1" ref="S18" ca="1">INDIRECT("'※ B2B 세부데이터'!"&amp;S$1&amp;$X18, TRUE)</f>
        <v>319.5</v>
      </c>
      <c r="T18" s="2798" cm="1">
        <f t="array" aca="1" ref="T18" ca="1">INDIRECT("'※ B2B 세부데이터'!"&amp;T$1&amp;$X18, TRUE)</f>
        <v>-395</v>
      </c>
      <c r="U18" s="2798" cm="1">
        <f t="array" aca="1" ref="U18" ca="1">INDIRECT("'※ B2B 세부데이터'!"&amp;U$1&amp;$X18, TRUE)</f>
        <v>-456</v>
      </c>
      <c r="V18" s="2590" cm="1">
        <f t="array" aca="1" ref="V18" ca="1">INDIRECT("'※ B2B 세부데이터'!"&amp;V$1&amp;$X18, TRUE)</f>
        <v>-90</v>
      </c>
      <c r="W18" s="2591" cm="1">
        <f t="array" aca="1" ref="W18" ca="1">INDIRECT("'※ B2B 세부데이터'!"&amp;W$1&amp;$X18, TRUE)</f>
        <v>-482.75</v>
      </c>
      <c r="X18" s="2527">
        <f>ROW('※ B2B 세부데이터'!J17)</f>
        <v>17</v>
      </c>
    </row>
    <row r="19" spans="1:24" x14ac:dyDescent="0.55000000000000004">
      <c r="A19" s="7313"/>
      <c r="B19" s="7319"/>
      <c r="C19" s="641" t="str" cm="1">
        <f t="array" aca="1" ref="C19" ca="1">INDIRECT("'※ B2B 세부데이터'!"&amp;C$1&amp;$X19, TRUE)</f>
        <v>2nd (pad)</v>
      </c>
      <c r="D19" s="641"/>
      <c r="E19" s="2582" cm="1">
        <f t="array" aca="1" ref="E19" ca="1">INDIRECT("'※ B2B 세부데이터'!"&amp;E$1&amp;$X19, TRUE)</f>
        <v>5413</v>
      </c>
      <c r="F19" s="2583" cm="1">
        <f t="array" aca="1" ref="F19" ca="1">INDIRECT("'※ B2B 세부데이터'!"&amp;F$1&amp;$X19, TRUE)</f>
        <v>8899</v>
      </c>
      <c r="G19" s="2584" cm="1">
        <f t="array" aca="1" ref="G19" ca="1">INDIRECT("'※ B2B 세부데이터'!"&amp;G$1&amp;$X19, TRUE)</f>
        <v>533</v>
      </c>
      <c r="H19" s="2585" cm="1">
        <f t="array" aca="1" ref="H19" ca="1">INDIRECT("'※ B2B 세부데이터'!"&amp;H$1&amp;$X19, TRUE)</f>
        <v>2378</v>
      </c>
      <c r="I19" s="2585" cm="1">
        <f t="array" aca="1" ref="I19" ca="1">INDIRECT("'※ B2B 세부데이터'!"&amp;I$1&amp;$X19, TRUE)</f>
        <v>268</v>
      </c>
      <c r="J19" s="2585" cm="1">
        <f t="array" aca="1" ref="J19" ca="1">INDIRECT("'※ B2B 세부데이터'!"&amp;J$1&amp;$X19, TRUE)</f>
        <v>307</v>
      </c>
      <c r="K19" s="2585" cm="1">
        <f t="array" aca="1" ref="K19" ca="1">INDIRECT("'※ B2B 세부데이터'!"&amp;K$1&amp;$X19, TRUE)</f>
        <v>913</v>
      </c>
      <c r="L19" s="6371" cm="1">
        <f t="array" aca="1" ref="L19" ca="1">INDIRECT("'※ B2B 세부데이터'!"&amp;L$1&amp;$X19, TRUE)</f>
        <v>821</v>
      </c>
      <c r="M19" s="2583" cm="1">
        <f t="array" aca="1" ref="M19" ca="1">INDIRECT("'※ B2B 세부데이터'!"&amp;M$1&amp;$X19, TRUE)</f>
        <v>6655</v>
      </c>
      <c r="N19" s="6364" cm="1">
        <f t="array" aca="1" ref="N19" ca="1">INDIRECT("'※ B2B 세부데이터'!"&amp;N$1&amp;$X19, TRUE)</f>
        <v>1185</v>
      </c>
      <c r="O19" s="2585" cm="1">
        <f t="array" aca="1" ref="O19" ca="1">INDIRECT("'※ B2B 세부데이터'!"&amp;O$1&amp;$X19, TRUE)</f>
        <v>5470</v>
      </c>
      <c r="P19" s="2586" cm="1">
        <f t="array" aca="1" ref="P19" ca="1">INDIRECT("'※ B2B 세부데이터'!"&amp;P$1&amp;$X19, TRUE)</f>
        <v>6655</v>
      </c>
      <c r="Q19" s="2587" cm="1">
        <f t="array" aca="1" ref="Q19" ca="1">INDIRECT("'※ B2B 세부데이터'!"&amp;Q$1&amp;$X19, TRUE)</f>
        <v>3327.5</v>
      </c>
      <c r="R19" s="2588" cm="1">
        <f t="array" aca="1" ref="R19" ca="1">INDIRECT("'※ B2B 세부데이터'!"&amp;R$1&amp;$X19, TRUE)</f>
        <v>6655</v>
      </c>
      <c r="S19" s="2589" cm="1">
        <f t="array" aca="1" ref="S19" ca="1">INDIRECT("'※ B2B 세부데이터'!"&amp;S$1&amp;$X19, TRUE)</f>
        <v>3327.5</v>
      </c>
      <c r="T19" s="2798" cm="1">
        <f t="array" aca="1" ref="T19" ca="1">INDIRECT("'※ B2B 세부데이터'!"&amp;T$1&amp;$X19, TRUE)</f>
        <v>4285</v>
      </c>
      <c r="U19" s="2798" cm="1">
        <f t="array" aca="1" ref="U19" ca="1">INDIRECT("'※ B2B 세부데이터'!"&amp;U$1&amp;$X19, TRUE)</f>
        <v>3092</v>
      </c>
      <c r="V19" s="2590" cm="1">
        <f t="array" aca="1" ref="V19" ca="1">INDIRECT("'※ B2B 세부데이터'!"&amp;V$1&amp;$X19, TRUE)</f>
        <v>3744</v>
      </c>
      <c r="W19" s="2591" cm="1">
        <f t="array" aca="1" ref="W19" ca="1">INDIRECT("'※ B2B 세부데이터'!"&amp;W$1&amp;$X19, TRUE)</f>
        <v>2585.9166666666665</v>
      </c>
      <c r="X19" s="2527">
        <f>ROW('※ B2B 세부데이터'!J18)</f>
        <v>18</v>
      </c>
    </row>
    <row r="20" spans="1:24" x14ac:dyDescent="0.55000000000000004">
      <c r="A20" s="7313"/>
      <c r="B20" s="7319"/>
      <c r="C20" s="641" t="str" cm="1">
        <f t="array" aca="1" ref="C20" ca="1">INDIRECT("'※ B2B 세부데이터'!"&amp;C$1&amp;$X20, TRUE)</f>
        <v>iot</v>
      </c>
      <c r="D20" s="641"/>
      <c r="E20" s="2582" cm="1">
        <f t="array" aca="1" ref="E20" ca="1">INDIRECT("'※ B2B 세부데이터'!"&amp;E$1&amp;$X20, TRUE)</f>
        <v>61742</v>
      </c>
      <c r="F20" s="2583" cm="1">
        <f t="array" aca="1" ref="F20" ca="1">INDIRECT("'※ B2B 세부데이터'!"&amp;F$1&amp;$X20, TRUE)</f>
        <v>72483</v>
      </c>
      <c r="G20" s="2584" cm="1">
        <f t="array" aca="1" ref="G20" ca="1">INDIRECT("'※ B2B 세부데이터'!"&amp;G$1&amp;$X20, TRUE)</f>
        <v>5542</v>
      </c>
      <c r="H20" s="2585" cm="1">
        <f t="array" aca="1" ref="H20" ca="1">INDIRECT("'※ B2B 세부데이터'!"&amp;H$1&amp;$X20, TRUE)</f>
        <v>3049</v>
      </c>
      <c r="I20" s="2585" cm="1">
        <f t="array" aca="1" ref="I20" ca="1">INDIRECT("'※ B2B 세부데이터'!"&amp;I$1&amp;$X20, TRUE)</f>
        <v>2873</v>
      </c>
      <c r="J20" s="2585" cm="1">
        <f t="array" aca="1" ref="J20" ca="1">INDIRECT("'※ B2B 세부데이터'!"&amp;J$1&amp;$X20, TRUE)</f>
        <v>11396</v>
      </c>
      <c r="K20" s="2585" cm="1">
        <f t="array" aca="1" ref="K20" ca="1">INDIRECT("'※ B2B 세부데이터'!"&amp;K$1&amp;$X20, TRUE)</f>
        <v>7691</v>
      </c>
      <c r="L20" s="6371" cm="1">
        <f t="array" aca="1" ref="L20" ca="1">INDIRECT("'※ B2B 세부데이터'!"&amp;L$1&amp;$X20, TRUE)</f>
        <v>7715</v>
      </c>
      <c r="M20" s="2583" cm="1">
        <f t="array" aca="1" ref="M20" ca="1">INDIRECT("'※ B2B 세부데이터'!"&amp;M$1&amp;$X20, TRUE)</f>
        <v>11949</v>
      </c>
      <c r="N20" s="6364" cm="1">
        <f t="array" aca="1" ref="N20" ca="1">INDIRECT("'※ B2B 세부데이터'!"&amp;N$1&amp;$X20, TRUE)</f>
        <v>8993</v>
      </c>
      <c r="O20" s="2585" cm="1">
        <f t="array" aca="1" ref="O20" ca="1">INDIRECT("'※ B2B 세부데이터'!"&amp;O$1&amp;$X20, TRUE)</f>
        <v>2956</v>
      </c>
      <c r="P20" s="2586" cm="1">
        <f t="array" aca="1" ref="P20" ca="1">INDIRECT("'※ B2B 세부데이터'!"&amp;P$1&amp;$X20, TRUE)</f>
        <v>11949</v>
      </c>
      <c r="Q20" s="2587" cm="1">
        <f t="array" aca="1" ref="Q20" ca="1">INDIRECT("'※ B2B 세부데이터'!"&amp;Q$1&amp;$X20, TRUE)</f>
        <v>5974.5</v>
      </c>
      <c r="R20" s="2588" cm="1">
        <f t="array" aca="1" ref="R20" ca="1">INDIRECT("'※ B2B 세부데이터'!"&amp;R$1&amp;$X20, TRUE)</f>
        <v>11949</v>
      </c>
      <c r="S20" s="2589" cm="1">
        <f t="array" aca="1" ref="S20" ca="1">INDIRECT("'※ B2B 세부데이터'!"&amp;S$1&amp;$X20, TRUE)</f>
        <v>5974.5</v>
      </c>
      <c r="T20" s="2798" cm="1">
        <f t="array" aca="1" ref="T20" ca="1">INDIRECT("'※ B2B 세부데이터'!"&amp;T$1&amp;$X20, TRUE)</f>
        <v>-6037</v>
      </c>
      <c r="U20" s="2798" cm="1">
        <f t="array" aca="1" ref="U20" ca="1">INDIRECT("'※ B2B 세부데이터'!"&amp;U$1&amp;$X20, TRUE)</f>
        <v>-93</v>
      </c>
      <c r="V20" s="2590" cm="1">
        <f t="array" aca="1" ref="V20" ca="1">INDIRECT("'※ B2B 세부데이터'!"&amp;V$1&amp;$X20, TRUE)</f>
        <v>3358</v>
      </c>
      <c r="W20" s="2591" cm="1">
        <f t="array" aca="1" ref="W20" ca="1">INDIRECT("'※ B2B 세부데이터'!"&amp;W$1&amp;$X20, TRUE)</f>
        <v>-65.75</v>
      </c>
      <c r="X20" s="2527">
        <f>ROW('※ B2B 세부데이터'!J19)</f>
        <v>19</v>
      </c>
    </row>
    <row r="21" spans="1:24" x14ac:dyDescent="0.55000000000000004">
      <c r="A21" s="7313"/>
      <c r="B21" s="7319"/>
      <c r="C21" s="641" t="str" cm="1">
        <f t="array" aca="1" ref="C21" ca="1">INDIRECT("'※ B2B 세부데이터'!"&amp;C$1&amp;$X21, TRUE)</f>
        <v>후불신규</v>
      </c>
      <c r="D21" s="641"/>
      <c r="E21" s="2582" cm="1">
        <f t="array" aca="1" ref="E21" ca="1">INDIRECT("'※ B2B 세부데이터'!"&amp;E$1&amp;$X21, TRUE)</f>
        <v>1282</v>
      </c>
      <c r="F21" s="2583" cm="1">
        <f t="array" aca="1" ref="F21" ca="1">INDIRECT("'※ B2B 세부데이터'!"&amp;F$1&amp;$X21, TRUE)</f>
        <v>5127</v>
      </c>
      <c r="G21" s="2584" cm="1">
        <f t="array" aca="1" ref="G21" ca="1">INDIRECT("'※ B2B 세부데이터'!"&amp;G$1&amp;$X21, TRUE)</f>
        <v>76</v>
      </c>
      <c r="H21" s="2585" cm="1">
        <f t="array" aca="1" ref="H21" ca="1">INDIRECT("'※ B2B 세부데이터'!"&amp;H$1&amp;$X21, TRUE)</f>
        <v>103</v>
      </c>
      <c r="I21" s="2585" cm="1">
        <f t="array" aca="1" ref="I21" ca="1">INDIRECT("'※ B2B 세부데이터'!"&amp;I$1&amp;$X21, TRUE)</f>
        <v>708</v>
      </c>
      <c r="J21" s="2585" cm="1">
        <f t="array" aca="1" ref="J21" ca="1">INDIRECT("'※ B2B 세부데이터'!"&amp;J$1&amp;$X21, TRUE)</f>
        <v>75</v>
      </c>
      <c r="K21" s="2585" cm="1">
        <f t="array" aca="1" ref="K21" ca="1">INDIRECT("'※ B2B 세부데이터'!"&amp;K$1&amp;$X21, TRUE)</f>
        <v>163</v>
      </c>
      <c r="L21" s="6371" cm="1">
        <f t="array" aca="1" ref="L21" ca="1">INDIRECT("'※ B2B 세부데이터'!"&amp;L$1&amp;$X21, TRUE)</f>
        <v>163</v>
      </c>
      <c r="M21" s="2583" cm="1">
        <f t="array" aca="1" ref="M21" ca="1">INDIRECT("'※ B2B 세부데이터'!"&amp;M$1&amp;$X21, TRUE)</f>
        <v>501</v>
      </c>
      <c r="N21" s="6364" cm="1">
        <f t="array" aca="1" ref="N21" ca="1">INDIRECT("'※ B2B 세부데이터'!"&amp;N$1&amp;$X21, TRUE)</f>
        <v>273</v>
      </c>
      <c r="O21" s="2585" cm="1">
        <f t="array" aca="1" ref="O21" ca="1">INDIRECT("'※ B2B 세부데이터'!"&amp;O$1&amp;$X21, TRUE)</f>
        <v>228</v>
      </c>
      <c r="P21" s="2586" cm="1">
        <f t="array" aca="1" ref="P21" ca="1">INDIRECT("'※ B2B 세부데이터'!"&amp;P$1&amp;$X21, TRUE)</f>
        <v>501</v>
      </c>
      <c r="Q21" s="2587" cm="1">
        <f t="array" aca="1" ref="Q21" ca="1">INDIRECT("'※ B2B 세부데이터'!"&amp;Q$1&amp;$X21, TRUE)</f>
        <v>250.5</v>
      </c>
      <c r="R21" s="2588" cm="1">
        <f t="array" aca="1" ref="R21" ca="1">INDIRECT("'※ B2B 세부데이터'!"&amp;R$1&amp;$X21, TRUE)</f>
        <v>501</v>
      </c>
      <c r="S21" s="2589" cm="1">
        <f t="array" aca="1" ref="S21" ca="1">INDIRECT("'※ B2B 세부데이터'!"&amp;S$1&amp;$X21, TRUE)</f>
        <v>250.5</v>
      </c>
      <c r="T21" s="2798" cm="1">
        <f t="array" aca="1" ref="T21" ca="1">INDIRECT("'※ B2B 세부데이터'!"&amp;T$1&amp;$X21, TRUE)</f>
        <v>-45</v>
      </c>
      <c r="U21" s="2798" cm="1">
        <f t="array" aca="1" ref="U21" ca="1">INDIRECT("'※ B2B 세부데이터'!"&amp;U$1&amp;$X21, TRUE)</f>
        <v>125</v>
      </c>
      <c r="V21" s="2590" cm="1">
        <f t="array" aca="1" ref="V21" ca="1">INDIRECT("'※ B2B 세부데이터'!"&amp;V$1&amp;$X21, TRUE)</f>
        <v>322</v>
      </c>
      <c r="W21" s="2591" cm="1">
        <f t="array" aca="1" ref="W21" ca="1">INDIRECT("'※ B2B 세부데이터'!"&amp;W$1&amp;$X21, TRUE)</f>
        <v>-176.75</v>
      </c>
      <c r="X21" s="2527">
        <f>ROW('※ B2B 세부데이터'!J20)</f>
        <v>20</v>
      </c>
    </row>
    <row r="22" spans="1:24" x14ac:dyDescent="0.55000000000000004">
      <c r="A22" s="7313"/>
      <c r="B22" s="7319"/>
      <c r="C22" s="641" t="str" cm="1">
        <f t="array" aca="1" ref="C22" ca="1">INDIRECT("'※ B2B 세부데이터'!"&amp;C$1&amp;$X22, TRUE)</f>
        <v>무선순증</v>
      </c>
      <c r="D22" s="641"/>
      <c r="E22" s="2582" cm="1">
        <f t="array" aca="1" ref="E22" ca="1">INDIRECT("'※ B2B 세부데이터'!"&amp;E$1&amp;$X22, TRUE)</f>
        <v>7585</v>
      </c>
      <c r="F22" s="2583" cm="1">
        <f t="array" aca="1" ref="F22" ca="1">INDIRECT("'※ B2B 세부데이터'!"&amp;F$1&amp;$X22, TRUE)</f>
        <v>6834</v>
      </c>
      <c r="G22" s="2584" cm="1">
        <f t="array" aca="1" ref="G22" ca="1">INDIRECT("'※ B2B 세부데이터'!"&amp;G$1&amp;$X22, TRUE)</f>
        <v>481</v>
      </c>
      <c r="H22" s="2585" cm="1">
        <f t="array" aca="1" ref="H22" ca="1">INDIRECT("'※ B2B 세부데이터'!"&amp;H$1&amp;$X22, TRUE)</f>
        <v>419</v>
      </c>
      <c r="I22" s="2585" cm="1">
        <f t="array" aca="1" ref="I22" ca="1">INDIRECT("'※ B2B 세부데이터'!"&amp;I$1&amp;$X22, TRUE)</f>
        <v>1364</v>
      </c>
      <c r="J22" s="2585" cm="1">
        <f t="array" aca="1" ref="J22" ca="1">INDIRECT("'※ B2B 세부데이터'!"&amp;J$1&amp;$X22, TRUE)</f>
        <v>635</v>
      </c>
      <c r="K22" s="2585" cm="1">
        <f t="array" aca="1" ref="K22" ca="1">INDIRECT("'※ B2B 세부데이터'!"&amp;K$1&amp;$X22, TRUE)</f>
        <v>183</v>
      </c>
      <c r="L22" s="6371" cm="1">
        <f t="array" aca="1" ref="L22" ca="1">INDIRECT("'※ B2B 세부데이터'!"&amp;L$1&amp;$X22, TRUE)</f>
        <v>389</v>
      </c>
      <c r="M22" s="2583" cm="1">
        <f t="array" aca="1" ref="M22" ca="1">INDIRECT("'※ B2B 세부데이터'!"&amp;M$1&amp;$X22, TRUE)</f>
        <v>6017</v>
      </c>
      <c r="N22" s="6364" cm="1">
        <f t="array" aca="1" ref="N22" ca="1">INDIRECT("'※ B2B 세부데이터'!"&amp;N$1&amp;$X22, TRUE)</f>
        <v>740</v>
      </c>
      <c r="O22" s="2585" cm="1">
        <f t="array" aca="1" ref="O22" ca="1">INDIRECT("'※ B2B 세부데이터'!"&amp;O$1&amp;$X22, TRUE)</f>
        <v>5277</v>
      </c>
      <c r="P22" s="2586" cm="1">
        <f t="array" aca="1" ref="P22" ca="1">INDIRECT("'※ B2B 세부데이터'!"&amp;P$1&amp;$X22, TRUE)</f>
        <v>6017</v>
      </c>
      <c r="Q22" s="2587" cm="1">
        <f t="array" aca="1" ref="Q22" ca="1">INDIRECT("'※ B2B 세부데이터'!"&amp;Q$1&amp;$X22, TRUE)</f>
        <v>3008.5</v>
      </c>
      <c r="R22" s="2588" cm="1">
        <f t="array" aca="1" ref="R22" ca="1">INDIRECT("'※ B2B 세부데이터'!"&amp;R$1&amp;$X22, TRUE)</f>
        <v>6017</v>
      </c>
      <c r="S22" s="2589" cm="1">
        <f t="array" aca="1" ref="S22" ca="1">INDIRECT("'※ B2B 세부데이터'!"&amp;S$1&amp;$X22, TRUE)</f>
        <v>3008.5</v>
      </c>
      <c r="T22" s="2798" cm="1">
        <f t="array" aca="1" ref="T22" ca="1">INDIRECT("'※ B2B 세부데이터'!"&amp;T$1&amp;$X22, TRUE)</f>
        <v>4537</v>
      </c>
      <c r="U22" s="2798" cm="1">
        <f t="array" aca="1" ref="U22" ca="1">INDIRECT("'※ B2B 세부데이터'!"&amp;U$1&amp;$X22, TRUE)</f>
        <v>4858</v>
      </c>
      <c r="V22" s="2590" cm="1">
        <f t="array" aca="1" ref="V22" ca="1">INDIRECT("'※ B2B 세부데이터'!"&amp;V$1&amp;$X22, TRUE)</f>
        <v>5117</v>
      </c>
      <c r="W22" s="2591" cm="1">
        <f t="array" aca="1" ref="W22" ca="1">INDIRECT("'※ B2B 세부데이터'!"&amp;W$1&amp;$X22, TRUE)</f>
        <v>2439</v>
      </c>
      <c r="X22" s="2527">
        <f>ROW('※ B2B 세부데이터'!J21)</f>
        <v>21</v>
      </c>
    </row>
    <row r="23" spans="1:24" x14ac:dyDescent="0.55000000000000004">
      <c r="A23" s="7313"/>
      <c r="B23" s="7319"/>
      <c r="C23" s="641" t="str" cm="1">
        <f t="array" aca="1" ref="C23" ca="1">INDIRECT("'※ B2B 세부데이터'!"&amp;C$1&amp;$X23, TRUE)</f>
        <v>유선</v>
      </c>
      <c r="D23" s="641"/>
      <c r="E23" s="2582" cm="1">
        <f t="array" aca="1" ref="E23" ca="1">INDIRECT("'※ B2B 세부데이터'!"&amp;E$1&amp;$X23, TRUE)</f>
        <v>0</v>
      </c>
      <c r="F23" s="2583" cm="1">
        <f t="array" aca="1" ref="F23" ca="1">INDIRECT("'※ B2B 세부데이터'!"&amp;F$1&amp;$X23, TRUE)</f>
        <v>0</v>
      </c>
      <c r="G23" s="2584" cm="1">
        <f t="array" aca="1" ref="G23" ca="1">INDIRECT("'※ B2B 세부데이터'!"&amp;G$1&amp;$X23, TRUE)</f>
        <v>0</v>
      </c>
      <c r="H23" s="2585" cm="1">
        <f t="array" aca="1" ref="H23" ca="1">INDIRECT("'※ B2B 세부데이터'!"&amp;H$1&amp;$X23, TRUE)</f>
        <v>0</v>
      </c>
      <c r="I23" s="2585" cm="1">
        <f t="array" aca="1" ref="I23" ca="1">INDIRECT("'※ B2B 세부데이터'!"&amp;I$1&amp;$X23, TRUE)</f>
        <v>0</v>
      </c>
      <c r="J23" s="2585" cm="1">
        <f t="array" aca="1" ref="J23" ca="1">INDIRECT("'※ B2B 세부데이터'!"&amp;J$1&amp;$X23, TRUE)</f>
        <v>0</v>
      </c>
      <c r="K23" s="2585" cm="1">
        <f t="array" aca="1" ref="K23" ca="1">INDIRECT("'※ B2B 세부데이터'!"&amp;K$1&amp;$X23, TRUE)</f>
        <v>0</v>
      </c>
      <c r="L23" s="6371" cm="1">
        <f t="array" aca="1" ref="L23" ca="1">INDIRECT("'※ B2B 세부데이터'!"&amp;L$1&amp;$X23, TRUE)</f>
        <v>0</v>
      </c>
      <c r="M23" s="2583" cm="1">
        <f t="array" aca="1" ref="M23" ca="1">INDIRECT("'※ B2B 세부데이터'!"&amp;M$1&amp;$X23, TRUE)</f>
        <v>0</v>
      </c>
      <c r="N23" s="6364" cm="1">
        <f t="array" aca="1" ref="N23" ca="1">INDIRECT("'※ B2B 세부데이터'!"&amp;N$1&amp;$X23, TRUE)</f>
        <v>0</v>
      </c>
      <c r="O23" s="2585" cm="1">
        <f t="array" aca="1" ref="O23" ca="1">INDIRECT("'※ B2B 세부데이터'!"&amp;O$1&amp;$X23, TRUE)</f>
        <v>0</v>
      </c>
      <c r="P23" s="2586" cm="1">
        <f t="array" aca="1" ref="P23" ca="1">INDIRECT("'※ B2B 세부데이터'!"&amp;P$1&amp;$X23, TRUE)</f>
        <v>0</v>
      </c>
      <c r="Q23" s="2587" cm="1">
        <f t="array" aca="1" ref="Q23" ca="1">INDIRECT("'※ B2B 세부데이터'!"&amp;Q$1&amp;$X23, TRUE)</f>
        <v>0</v>
      </c>
      <c r="R23" s="2588" cm="1">
        <f t="array" aca="1" ref="R23" ca="1">INDIRECT("'※ B2B 세부데이터'!"&amp;R$1&amp;$X23, TRUE)</f>
        <v>0</v>
      </c>
      <c r="S23" s="2589" cm="1">
        <f t="array" aca="1" ref="S23" ca="1">INDIRECT("'※ B2B 세부데이터'!"&amp;S$1&amp;$X23, TRUE)</f>
        <v>0</v>
      </c>
      <c r="T23" s="2798" cm="1">
        <f t="array" aca="1" ref="T23" ca="1">INDIRECT("'※ B2B 세부데이터'!"&amp;T$1&amp;$X23, TRUE)</f>
        <v>0</v>
      </c>
      <c r="U23" s="2798" cm="1">
        <f t="array" aca="1" ref="U23" ca="1">INDIRECT("'※ B2B 세부데이터'!"&amp;U$1&amp;$X23, TRUE)</f>
        <v>0</v>
      </c>
      <c r="V23" s="2590" cm="1">
        <f t="array" aca="1" ref="V23" ca="1">INDIRECT("'※ B2B 세부데이터'!"&amp;V$1&amp;$X23, TRUE)</f>
        <v>0</v>
      </c>
      <c r="W23" s="2591" cm="1">
        <f t="array" aca="1" ref="W23" ca="1">INDIRECT("'※ B2B 세부데이터'!"&amp;W$1&amp;$X23, TRUE)</f>
        <v>0</v>
      </c>
      <c r="X23" s="2527">
        <f>ROW('※ B2B 세부데이터'!J22)</f>
        <v>22</v>
      </c>
    </row>
    <row r="24" spans="1:24" x14ac:dyDescent="0.55000000000000004">
      <c r="A24" s="7313"/>
      <c r="B24" s="7320"/>
      <c r="C24" s="2592" t="str" cm="1">
        <f t="array" aca="1" ref="C24" ca="1">INDIRECT("'※ B2B 세부데이터'!"&amp;C$1&amp;$X24, TRUE)</f>
        <v>전략상품</v>
      </c>
      <c r="D24" s="2592"/>
      <c r="E24" s="2593" cm="1">
        <f t="array" aca="1" ref="E24" ca="1">INDIRECT("'※ B2B 세부데이터'!"&amp;E$1&amp;$X24, TRUE)</f>
        <v>0</v>
      </c>
      <c r="F24" s="2594" cm="1">
        <f t="array" aca="1" ref="F24" ca="1">INDIRECT("'※ B2B 세부데이터'!"&amp;F$1&amp;$X24, TRUE)</f>
        <v>0</v>
      </c>
      <c r="G24" s="2595" cm="1">
        <f t="array" aca="1" ref="G24" ca="1">INDIRECT("'※ B2B 세부데이터'!"&amp;G$1&amp;$X24, TRUE)</f>
        <v>0</v>
      </c>
      <c r="H24" s="2596" cm="1">
        <f t="array" aca="1" ref="H24" ca="1">INDIRECT("'※ B2B 세부데이터'!"&amp;H$1&amp;$X24, TRUE)</f>
        <v>0</v>
      </c>
      <c r="I24" s="2596" cm="1">
        <f t="array" aca="1" ref="I24" ca="1">INDIRECT("'※ B2B 세부데이터'!"&amp;I$1&amp;$X24, TRUE)</f>
        <v>0</v>
      </c>
      <c r="J24" s="2596" cm="1">
        <f t="array" aca="1" ref="J24" ca="1">INDIRECT("'※ B2B 세부데이터'!"&amp;J$1&amp;$X24, TRUE)</f>
        <v>0</v>
      </c>
      <c r="K24" s="2596" cm="1">
        <f t="array" aca="1" ref="K24" ca="1">INDIRECT("'※ B2B 세부데이터'!"&amp;K$1&amp;$X24, TRUE)</f>
        <v>0</v>
      </c>
      <c r="L24" s="6372" cm="1">
        <f t="array" aca="1" ref="L24" ca="1">INDIRECT("'※ B2B 세부데이터'!"&amp;L$1&amp;$X24, TRUE)</f>
        <v>0</v>
      </c>
      <c r="M24" s="2594" cm="1">
        <f t="array" aca="1" ref="M24" ca="1">INDIRECT("'※ B2B 세부데이터'!"&amp;M$1&amp;$X24, TRUE)</f>
        <v>0</v>
      </c>
      <c r="N24" s="6365" cm="1">
        <f t="array" aca="1" ref="N24" ca="1">INDIRECT("'※ B2B 세부데이터'!"&amp;N$1&amp;$X24, TRUE)</f>
        <v>0</v>
      </c>
      <c r="O24" s="2596" cm="1">
        <f t="array" aca="1" ref="O24" ca="1">INDIRECT("'※ B2B 세부데이터'!"&amp;O$1&amp;$X24, TRUE)</f>
        <v>0</v>
      </c>
      <c r="P24" s="2597" cm="1">
        <f t="array" aca="1" ref="P24" ca="1">INDIRECT("'※ B2B 세부데이터'!"&amp;P$1&amp;$X24, TRUE)</f>
        <v>0</v>
      </c>
      <c r="Q24" s="2598" cm="1">
        <f t="array" aca="1" ref="Q24" ca="1">INDIRECT("'※ B2B 세부데이터'!"&amp;Q$1&amp;$X24, TRUE)</f>
        <v>0</v>
      </c>
      <c r="R24" s="2599" cm="1">
        <f t="array" aca="1" ref="R24" ca="1">INDIRECT("'※ B2B 세부데이터'!"&amp;R$1&amp;$X24, TRUE)</f>
        <v>0</v>
      </c>
      <c r="S24" s="6397" cm="1">
        <f t="array" aca="1" ref="S24" ca="1">INDIRECT("'※ B2B 세부데이터'!"&amp;S$1&amp;$X24, TRUE)</f>
        <v>0</v>
      </c>
      <c r="T24" s="6394" cm="1">
        <f t="array" aca="1" ref="T24" ca="1">INDIRECT("'※ B2B 세부데이터'!"&amp;T$1&amp;$X24, TRUE)</f>
        <v>0</v>
      </c>
      <c r="U24" s="6394" cm="1">
        <f t="array" aca="1" ref="U24" ca="1">INDIRECT("'※ B2B 세부데이터'!"&amp;U$1&amp;$X24, TRUE)</f>
        <v>0</v>
      </c>
      <c r="V24" s="2600" cm="1">
        <f t="array" aca="1" ref="V24" ca="1">INDIRECT("'※ B2B 세부데이터'!"&amp;V$1&amp;$X24, TRUE)</f>
        <v>0</v>
      </c>
      <c r="W24" s="2601" cm="1">
        <f t="array" aca="1" ref="W24" ca="1">INDIRECT("'※ B2B 세부데이터'!"&amp;W$1&amp;$X24, TRUE)</f>
        <v>0</v>
      </c>
      <c r="X24" s="2527">
        <f>ROW('※ B2B 세부데이터'!J23)</f>
        <v>23</v>
      </c>
    </row>
    <row r="25" spans="1:24" x14ac:dyDescent="0.55000000000000004">
      <c r="A25" s="7313"/>
      <c r="B25" s="7318" t="s">
        <v>755</v>
      </c>
      <c r="C25" s="641" t="str" cm="1">
        <f t="array" aca="1" ref="C25" ca="1">INDIRECT("'※ B2B 세부데이터'!"&amp;C$1&amp;$X25, TRUE)</f>
        <v>일반후불</v>
      </c>
      <c r="D25" s="641"/>
      <c r="E25" s="2582" cm="1">
        <f t="array" aca="1" ref="E25" ca="1">INDIRECT("'※ B2B 세부데이터'!"&amp;E$1&amp;$X25, TRUE)</f>
        <v>17118</v>
      </c>
      <c r="F25" s="2583" cm="1">
        <f t="array" aca="1" ref="F25" ca="1">INDIRECT("'※ B2B 세부데이터'!"&amp;F$1&amp;$X25, TRUE)</f>
        <v>21792</v>
      </c>
      <c r="G25" s="2584" cm="1">
        <f t="array" aca="1" ref="G25" ca="1">INDIRECT("'※ B2B 세부데이터'!"&amp;G$1&amp;$X25, TRUE)</f>
        <v>1299</v>
      </c>
      <c r="H25" s="2585" cm="1">
        <f t="array" aca="1" ref="H25" ca="1">INDIRECT("'※ B2B 세부데이터'!"&amp;H$1&amp;$X25, TRUE)</f>
        <v>1741</v>
      </c>
      <c r="I25" s="2585" cm="1">
        <f t="array" aca="1" ref="I25" ca="1">INDIRECT("'※ B2B 세부데이터'!"&amp;I$1&amp;$X25, TRUE)</f>
        <v>1230</v>
      </c>
      <c r="J25" s="2585" cm="1">
        <f t="array" aca="1" ref="J25" ca="1">INDIRECT("'※ B2B 세부데이터'!"&amp;J$1&amp;$X25, TRUE)</f>
        <v>1563</v>
      </c>
      <c r="K25" s="2585" cm="1">
        <f t="array" aca="1" ref="K25" ca="1">INDIRECT("'※ B2B 세부데이터'!"&amp;K$1&amp;$X25, TRUE)</f>
        <v>1810</v>
      </c>
      <c r="L25" s="6371" cm="1">
        <f t="array" aca="1" ref="L25" ca="1">INDIRECT("'※ B2B 세부데이터'!"&amp;L$1&amp;$X25, TRUE)</f>
        <v>1380</v>
      </c>
      <c r="M25" s="2583" cm="1">
        <f t="array" aca="1" ref="M25" ca="1">INDIRECT("'※ B2B 세부데이터'!"&amp;M$1&amp;$X25, TRUE)</f>
        <v>5842</v>
      </c>
      <c r="N25" s="6364" cm="1">
        <f t="array" aca="1" ref="N25" ca="1">INDIRECT("'※ B2B 세부데이터'!"&amp;N$1&amp;$X25, TRUE)</f>
        <v>3232</v>
      </c>
      <c r="O25" s="2585" cm="1">
        <f t="array" aca="1" ref="O25" ca="1">INDIRECT("'※ B2B 세부데이터'!"&amp;O$1&amp;$X25, TRUE)</f>
        <v>2610</v>
      </c>
      <c r="P25" s="2586" cm="1">
        <f t="array" aca="1" ref="P25" ca="1">INDIRECT("'※ B2B 세부데이터'!"&amp;P$1&amp;$X25, TRUE)</f>
        <v>5842</v>
      </c>
      <c r="Q25" s="2587" cm="1">
        <f t="array" aca="1" ref="Q25" ca="1">INDIRECT("'※ B2B 세부데이터'!"&amp;Q$1&amp;$X25, TRUE)</f>
        <v>2921</v>
      </c>
      <c r="R25" s="2588" cm="1">
        <f t="array" aca="1" ref="R25" ca="1">INDIRECT("'※ B2B 세부데이터'!"&amp;R$1&amp;$X25, TRUE)</f>
        <v>5842</v>
      </c>
      <c r="S25" s="2589" cm="1">
        <f t="array" aca="1" ref="S25" ca="1">INDIRECT("'※ B2B 세부데이터'!"&amp;S$1&amp;$X25, TRUE)</f>
        <v>2921</v>
      </c>
      <c r="T25" s="2798" cm="1">
        <f t="array" aca="1" ref="T25" ca="1">INDIRECT("'※ B2B 세부데이터'!"&amp;T$1&amp;$X25, TRUE)</f>
        <v>-622</v>
      </c>
      <c r="U25" s="2798" cm="1">
        <f t="array" aca="1" ref="U25" ca="1">INDIRECT("'※ B2B 세부데이터'!"&amp;U$1&amp;$X25, TRUE)</f>
        <v>869</v>
      </c>
      <c r="V25" s="2590" cm="1">
        <f t="array" aca="1" ref="V25" ca="1">INDIRECT("'※ B2B 세부데이터'!"&amp;V$1&amp;$X25, TRUE)</f>
        <v>2802</v>
      </c>
      <c r="W25" s="2591" cm="1">
        <f t="array" aca="1" ref="W25" ca="1">INDIRECT("'※ B2B 세부데이터'!"&amp;W$1&amp;$X25, TRUE)</f>
        <v>1105</v>
      </c>
      <c r="X25" s="2527">
        <f>ROW('※ B2B 세부데이터'!J24)</f>
        <v>24</v>
      </c>
    </row>
    <row r="26" spans="1:24" x14ac:dyDescent="0.55000000000000004">
      <c r="A26" s="7313"/>
      <c r="B26" s="7319"/>
      <c r="C26" s="641" t="str" cm="1">
        <f t="array" aca="1" ref="C26" ca="1">INDIRECT("'※ B2B 세부데이터'!"&amp;C$1&amp;$X26, TRUE)</f>
        <v>중고개통</v>
      </c>
      <c r="D26" s="641"/>
      <c r="E26" s="2582" cm="1">
        <f t="array" aca="1" ref="E26" ca="1">INDIRECT("'※ B2B 세부데이터'!"&amp;E$1&amp;$X26, TRUE)</f>
        <v>2811</v>
      </c>
      <c r="F26" s="2583" cm="1">
        <f t="array" aca="1" ref="F26" ca="1">INDIRECT("'※ B2B 세부데이터'!"&amp;F$1&amp;$X26, TRUE)</f>
        <v>4468</v>
      </c>
      <c r="G26" s="2584" cm="1">
        <f t="array" aca="1" ref="G26" ca="1">INDIRECT("'※ B2B 세부데이터'!"&amp;G$1&amp;$X26, TRUE)</f>
        <v>223</v>
      </c>
      <c r="H26" s="2585" cm="1">
        <f t="array" aca="1" ref="H26" ca="1">INDIRECT("'※ B2B 세부데이터'!"&amp;H$1&amp;$X26, TRUE)</f>
        <v>100</v>
      </c>
      <c r="I26" s="2585" cm="1">
        <f t="array" aca="1" ref="I26" ca="1">INDIRECT("'※ B2B 세부데이터'!"&amp;I$1&amp;$X26, TRUE)</f>
        <v>137</v>
      </c>
      <c r="J26" s="2585" cm="1">
        <f t="array" aca="1" ref="J26" ca="1">INDIRECT("'※ B2B 세부데이터'!"&amp;J$1&amp;$X26, TRUE)</f>
        <v>652</v>
      </c>
      <c r="K26" s="2585" cm="1">
        <f t="array" aca="1" ref="K26" ca="1">INDIRECT("'※ B2B 세부데이터'!"&amp;K$1&amp;$X26, TRUE)</f>
        <v>387</v>
      </c>
      <c r="L26" s="6371" cm="1">
        <f t="array" aca="1" ref="L26" ca="1">INDIRECT("'※ B2B 세부데이터'!"&amp;L$1&amp;$X26, TRUE)</f>
        <v>348</v>
      </c>
      <c r="M26" s="2583" cm="1">
        <f t="array" aca="1" ref="M26" ca="1">INDIRECT("'※ B2B 세부데이터'!"&amp;M$1&amp;$X26, TRUE)</f>
        <v>389</v>
      </c>
      <c r="N26" s="6364" cm="1">
        <f t="array" aca="1" ref="N26" ca="1">INDIRECT("'※ B2B 세부데이터'!"&amp;N$1&amp;$X26, TRUE)</f>
        <v>193</v>
      </c>
      <c r="O26" s="2585" cm="1">
        <f t="array" aca="1" ref="O26" ca="1">INDIRECT("'※ B2B 세부데이터'!"&amp;O$1&amp;$X26, TRUE)</f>
        <v>196</v>
      </c>
      <c r="P26" s="2586" cm="1">
        <f t="array" aca="1" ref="P26" ca="1">INDIRECT("'※ B2B 세부데이터'!"&amp;P$1&amp;$X26, TRUE)</f>
        <v>389</v>
      </c>
      <c r="Q26" s="2587" cm="1">
        <f t="array" aca="1" ref="Q26" ca="1">INDIRECT("'※ B2B 세부데이터'!"&amp;Q$1&amp;$X26, TRUE)</f>
        <v>194.5</v>
      </c>
      <c r="R26" s="2588" cm="1">
        <f t="array" aca="1" ref="R26" ca="1">INDIRECT("'※ B2B 세부데이터'!"&amp;R$1&amp;$X26, TRUE)</f>
        <v>389</v>
      </c>
      <c r="S26" s="2589" cm="1">
        <f t="array" aca="1" ref="S26" ca="1">INDIRECT("'※ B2B 세부데이터'!"&amp;S$1&amp;$X26, TRUE)</f>
        <v>194.5</v>
      </c>
      <c r="T26" s="2798" cm="1">
        <f t="array" aca="1" ref="T26" ca="1">INDIRECT("'※ B2B 세부데이터'!"&amp;T$1&amp;$X26, TRUE)</f>
        <v>3</v>
      </c>
      <c r="U26" s="2798" cm="1">
        <f t="array" aca="1" ref="U26" ca="1">INDIRECT("'※ B2B 세부데이터'!"&amp;U$1&amp;$X26, TRUE)</f>
        <v>96</v>
      </c>
      <c r="V26" s="2590" cm="1">
        <f t="array" aca="1" ref="V26" ca="1">INDIRECT("'※ B2B 세부데이터'!"&amp;V$1&amp;$X26, TRUE)</f>
        <v>66</v>
      </c>
      <c r="W26" s="2591" cm="1">
        <f t="array" aca="1" ref="W26" ca="1">INDIRECT("'※ B2B 세부데이터'!"&amp;W$1&amp;$X26, TRUE)</f>
        <v>-177.83333333333331</v>
      </c>
      <c r="X26" s="2527">
        <f>ROW('※ B2B 세부데이터'!J25)</f>
        <v>25</v>
      </c>
    </row>
    <row r="27" spans="1:24" x14ac:dyDescent="0.55000000000000004">
      <c r="A27" s="7313"/>
      <c r="B27" s="7319"/>
      <c r="C27" s="641" t="str" cm="1">
        <f t="array" aca="1" ref="C27" ca="1">INDIRECT("'※ B2B 세부데이터'!"&amp;C$1&amp;$X27, TRUE)</f>
        <v>운영후불</v>
      </c>
      <c r="D27" s="641"/>
      <c r="E27" s="2582" cm="1">
        <f t="array" aca="1" ref="E27" ca="1">INDIRECT("'※ B2B 세부데이터'!"&amp;E$1&amp;$X27, TRUE)</f>
        <v>14307</v>
      </c>
      <c r="F27" s="2583" cm="1">
        <f t="array" aca="1" ref="F27" ca="1">INDIRECT("'※ B2B 세부데이터'!"&amp;F$1&amp;$X27, TRUE)</f>
        <v>17324</v>
      </c>
      <c r="G27" s="2584" cm="1">
        <f t="array" aca="1" ref="G27" ca="1">INDIRECT("'※ B2B 세부데이터'!"&amp;G$1&amp;$X27, TRUE)</f>
        <v>1076</v>
      </c>
      <c r="H27" s="2585" cm="1">
        <f t="array" aca="1" ref="H27" ca="1">INDIRECT("'※ B2B 세부데이터'!"&amp;H$1&amp;$X27, TRUE)</f>
        <v>1641</v>
      </c>
      <c r="I27" s="2585" cm="1">
        <f t="array" aca="1" ref="I27" ca="1">INDIRECT("'※ B2B 세부데이터'!"&amp;I$1&amp;$X27, TRUE)</f>
        <v>1093</v>
      </c>
      <c r="J27" s="2585" cm="1">
        <f t="array" aca="1" ref="J27" ca="1">INDIRECT("'※ B2B 세부데이터'!"&amp;J$1&amp;$X27, TRUE)</f>
        <v>911</v>
      </c>
      <c r="K27" s="2585" cm="1">
        <f t="array" aca="1" ref="K27" ca="1">INDIRECT("'※ B2B 세부데이터'!"&amp;K$1&amp;$X27, TRUE)</f>
        <v>1423</v>
      </c>
      <c r="L27" s="6371" cm="1">
        <f t="array" aca="1" ref="L27" ca="1">INDIRECT("'※ B2B 세부데이터'!"&amp;L$1&amp;$X27, TRUE)</f>
        <v>1032</v>
      </c>
      <c r="M27" s="2583" cm="1">
        <f t="array" aca="1" ref="M27" ca="1">INDIRECT("'※ B2B 세부데이터'!"&amp;M$1&amp;$X27, TRUE)</f>
        <v>5453</v>
      </c>
      <c r="N27" s="6364" cm="1">
        <f t="array" aca="1" ref="N27" ca="1">INDIRECT("'※ B2B 세부데이터'!"&amp;N$1&amp;$X27, TRUE)</f>
        <v>3039</v>
      </c>
      <c r="O27" s="2585" cm="1">
        <f t="array" aca="1" ref="O27" ca="1">INDIRECT("'※ B2B 세부데이터'!"&amp;O$1&amp;$X27, TRUE)</f>
        <v>2414</v>
      </c>
      <c r="P27" s="2586" cm="1">
        <f t="array" aca="1" ref="P27" ca="1">INDIRECT("'※ B2B 세부데이터'!"&amp;P$1&amp;$X27, TRUE)</f>
        <v>5453</v>
      </c>
      <c r="Q27" s="2587" cm="1">
        <f t="array" aca="1" ref="Q27" ca="1">INDIRECT("'※ B2B 세부데이터'!"&amp;Q$1&amp;$X27, TRUE)</f>
        <v>2726.5</v>
      </c>
      <c r="R27" s="2588" cm="1">
        <f t="array" aca="1" ref="R27" ca="1">INDIRECT("'※ B2B 세부데이터'!"&amp;R$1&amp;$X27, TRUE)</f>
        <v>5453</v>
      </c>
      <c r="S27" s="2589" cm="1">
        <f t="array" aca="1" ref="S27" ca="1">INDIRECT("'※ B2B 세부데이터'!"&amp;S$1&amp;$X27, TRUE)</f>
        <v>2726.5</v>
      </c>
      <c r="T27" s="2798" cm="1">
        <f t="array" aca="1" ref="T27" ca="1">INDIRECT("'※ B2B 세부데이터'!"&amp;T$1&amp;$X27, TRUE)</f>
        <v>-625</v>
      </c>
      <c r="U27" s="2798" cm="1">
        <f t="array" aca="1" ref="U27" ca="1">INDIRECT("'※ B2B 세부데이터'!"&amp;U$1&amp;$X27, TRUE)</f>
        <v>773</v>
      </c>
      <c r="V27" s="2590" cm="1">
        <f t="array" aca="1" ref="V27" ca="1">INDIRECT("'※ B2B 세부데이터'!"&amp;V$1&amp;$X27, TRUE)</f>
        <v>2736</v>
      </c>
      <c r="W27" s="2591" cm="1">
        <f t="array" aca="1" ref="W27" ca="1">INDIRECT("'※ B2B 세부데이터'!"&amp;W$1&amp;$X27, TRUE)</f>
        <v>1282.8333333333333</v>
      </c>
      <c r="X27" s="2527">
        <f>ROW('※ B2B 세부데이터'!J26)</f>
        <v>26</v>
      </c>
    </row>
    <row r="28" spans="1:24" x14ac:dyDescent="0.55000000000000004">
      <c r="A28" s="7313"/>
      <c r="B28" s="7319"/>
      <c r="C28" s="641" t="str" cm="1">
        <f t="array" aca="1" ref="C28" ca="1">INDIRECT("'※ B2B 세부데이터'!"&amp;C$1&amp;$X28, TRUE)</f>
        <v>2nd (pad)</v>
      </c>
      <c r="D28" s="641"/>
      <c r="E28" s="2582" cm="1">
        <f t="array" aca="1" ref="E28" ca="1">INDIRECT("'※ B2B 세부데이터'!"&amp;E$1&amp;$X28, TRUE)</f>
        <v>15431</v>
      </c>
      <c r="F28" s="2583" cm="1">
        <f t="array" aca="1" ref="F28" ca="1">INDIRECT("'※ B2B 세부데이터'!"&amp;F$1&amp;$X28, TRUE)</f>
        <v>17411</v>
      </c>
      <c r="G28" s="2584" cm="1">
        <f t="array" aca="1" ref="G28" ca="1">INDIRECT("'※ B2B 세부데이터'!"&amp;G$1&amp;$X28, TRUE)</f>
        <v>1237</v>
      </c>
      <c r="H28" s="2585" cm="1">
        <f t="array" aca="1" ref="H28" ca="1">INDIRECT("'※ B2B 세부데이터'!"&amp;H$1&amp;$X28, TRUE)</f>
        <v>1549</v>
      </c>
      <c r="I28" s="2585" cm="1">
        <f t="array" aca="1" ref="I28" ca="1">INDIRECT("'※ B2B 세부데이터'!"&amp;I$1&amp;$X28, TRUE)</f>
        <v>1829</v>
      </c>
      <c r="J28" s="2585" cm="1">
        <f t="array" aca="1" ref="J28" ca="1">INDIRECT("'※ B2B 세부데이터'!"&amp;J$1&amp;$X28, TRUE)</f>
        <v>1745</v>
      </c>
      <c r="K28" s="2585" cm="1">
        <f t="array" aca="1" ref="K28" ca="1">INDIRECT("'※ B2B 세부데이터'!"&amp;K$1&amp;$X28, TRUE)</f>
        <v>1466</v>
      </c>
      <c r="L28" s="6371" cm="1">
        <f t="array" aca="1" ref="L28" ca="1">INDIRECT("'※ B2B 세부데이터'!"&amp;L$1&amp;$X28, TRUE)</f>
        <v>1507</v>
      </c>
      <c r="M28" s="2583" cm="1">
        <f t="array" aca="1" ref="M28" ca="1">INDIRECT("'※ B2B 세부데이터'!"&amp;M$1&amp;$X28, TRUE)</f>
        <v>3457</v>
      </c>
      <c r="N28" s="6364" cm="1">
        <f t="array" aca="1" ref="N28" ca="1">INDIRECT("'※ B2B 세부데이터'!"&amp;N$1&amp;$X28, TRUE)</f>
        <v>1590</v>
      </c>
      <c r="O28" s="2585" cm="1">
        <f t="array" aca="1" ref="O28" ca="1">INDIRECT("'※ B2B 세부데이터'!"&amp;O$1&amp;$X28, TRUE)</f>
        <v>1867</v>
      </c>
      <c r="P28" s="2586" cm="1">
        <f t="array" aca="1" ref="P28" ca="1">INDIRECT("'※ B2B 세부데이터'!"&amp;P$1&amp;$X28, TRUE)</f>
        <v>3457</v>
      </c>
      <c r="Q28" s="2587" cm="1">
        <f t="array" aca="1" ref="Q28" ca="1">INDIRECT("'※ B2B 세부데이터'!"&amp;Q$1&amp;$X28, TRUE)</f>
        <v>1728.5</v>
      </c>
      <c r="R28" s="2588" cm="1">
        <f t="array" aca="1" ref="R28" ca="1">INDIRECT("'※ B2B 세부데이터'!"&amp;R$1&amp;$X28, TRUE)</f>
        <v>3457</v>
      </c>
      <c r="S28" s="2589" cm="1">
        <f t="array" aca="1" ref="S28" ca="1">INDIRECT("'※ B2B 세부데이터'!"&amp;S$1&amp;$X28, TRUE)</f>
        <v>1728.5</v>
      </c>
      <c r="T28" s="2798" cm="1">
        <f t="array" aca="1" ref="T28" ca="1">INDIRECT("'※ B2B 세부데이터'!"&amp;T$1&amp;$X28, TRUE)</f>
        <v>277</v>
      </c>
      <c r="U28" s="2798" cm="1">
        <f t="array" aca="1" ref="U28" ca="1">INDIRECT("'※ B2B 세부데이터'!"&amp;U$1&amp;$X28, TRUE)</f>
        <v>318</v>
      </c>
      <c r="V28" s="2590" cm="1">
        <f t="array" aca="1" ref="V28" ca="1">INDIRECT("'※ B2B 세부데이터'!"&amp;V$1&amp;$X28, TRUE)</f>
        <v>671</v>
      </c>
      <c r="W28" s="2591" cm="1">
        <f t="array" aca="1" ref="W28" ca="1">INDIRECT("'※ B2B 세부데이터'!"&amp;W$1&amp;$X28, TRUE)</f>
        <v>277.58333333333326</v>
      </c>
      <c r="X28" s="2527">
        <f>ROW('※ B2B 세부데이터'!J27)</f>
        <v>27</v>
      </c>
    </row>
    <row r="29" spans="1:24" x14ac:dyDescent="0.55000000000000004">
      <c r="A29" s="7313"/>
      <c r="B29" s="7319"/>
      <c r="C29" s="641" t="str" cm="1">
        <f t="array" aca="1" ref="C29" ca="1">INDIRECT("'※ B2B 세부데이터'!"&amp;C$1&amp;$X29, TRUE)</f>
        <v>iot</v>
      </c>
      <c r="D29" s="641"/>
      <c r="E29" s="2582" cm="1">
        <f t="array" aca="1" ref="E29" ca="1">INDIRECT("'※ B2B 세부데이터'!"&amp;E$1&amp;$X29, TRUE)</f>
        <v>2041</v>
      </c>
      <c r="F29" s="2583" cm="1">
        <f t="array" aca="1" ref="F29" ca="1">INDIRECT("'※ B2B 세부데이터'!"&amp;F$1&amp;$X29, TRUE)</f>
        <v>358</v>
      </c>
      <c r="G29" s="2584" cm="1">
        <f t="array" aca="1" ref="G29" ca="1">INDIRECT("'※ B2B 세부데이터'!"&amp;G$1&amp;$X29, TRUE)</f>
        <v>7</v>
      </c>
      <c r="H29" s="2585" cm="1">
        <f t="array" aca="1" ref="H29" ca="1">INDIRECT("'※ B2B 세부데이터'!"&amp;H$1&amp;$X29, TRUE)</f>
        <v>37</v>
      </c>
      <c r="I29" s="2585" cm="1">
        <f t="array" aca="1" ref="I29" ca="1">INDIRECT("'※ B2B 세부데이터'!"&amp;I$1&amp;$X29, TRUE)</f>
        <v>49</v>
      </c>
      <c r="J29" s="2585" cm="1">
        <f t="array" aca="1" ref="J29" ca="1">INDIRECT("'※ B2B 세부데이터'!"&amp;J$1&amp;$X29, TRUE)</f>
        <v>36</v>
      </c>
      <c r="K29" s="2585" cm="1">
        <f t="array" aca="1" ref="K29" ca="1">INDIRECT("'※ B2B 세부데이터'!"&amp;K$1&amp;$X29, TRUE)</f>
        <v>1</v>
      </c>
      <c r="L29" s="6371" cm="1">
        <f t="array" aca="1" ref="L29" ca="1">INDIRECT("'※ B2B 세부데이터'!"&amp;L$1&amp;$X29, TRUE)</f>
        <v>41</v>
      </c>
      <c r="M29" s="2583" cm="1">
        <f t="array" aca="1" ref="M29" ca="1">INDIRECT("'※ B2B 세부데이터'!"&amp;M$1&amp;$X29, TRUE)</f>
        <v>1</v>
      </c>
      <c r="N29" s="6364" cm="1">
        <f t="array" aca="1" ref="N29" ca="1">INDIRECT("'※ B2B 세부데이터'!"&amp;N$1&amp;$X29, TRUE)</f>
        <v>0</v>
      </c>
      <c r="O29" s="2585" cm="1">
        <f t="array" aca="1" ref="O29" ca="1">INDIRECT("'※ B2B 세부데이터'!"&amp;O$1&amp;$X29, TRUE)</f>
        <v>1</v>
      </c>
      <c r="P29" s="2586" cm="1">
        <f t="array" aca="1" ref="P29" ca="1">INDIRECT("'※ B2B 세부데이터'!"&amp;P$1&amp;$X29, TRUE)</f>
        <v>1</v>
      </c>
      <c r="Q29" s="2587" cm="1">
        <f t="array" aca="1" ref="Q29" ca="1">INDIRECT("'※ B2B 세부데이터'!"&amp;Q$1&amp;$X29, TRUE)</f>
        <v>0.5</v>
      </c>
      <c r="R29" s="2588" cm="1">
        <f t="array" aca="1" ref="R29" ca="1">INDIRECT("'※ B2B 세부데이터'!"&amp;R$1&amp;$X29, TRUE)</f>
        <v>1</v>
      </c>
      <c r="S29" s="2589" cm="1">
        <f t="array" aca="1" ref="S29" ca="1">INDIRECT("'※ B2B 세부데이터'!"&amp;S$1&amp;$X29, TRUE)</f>
        <v>0.5</v>
      </c>
      <c r="T29" s="2798" cm="1">
        <f t="array" aca="1" ref="T29" ca="1">INDIRECT("'※ B2B 세부데이터'!"&amp;T$1&amp;$X29, TRUE)</f>
        <v>1</v>
      </c>
      <c r="U29" s="2798" cm="1">
        <f t="array" aca="1" ref="U29" ca="1">INDIRECT("'※ B2B 세부데이터'!"&amp;U$1&amp;$X29, TRUE)</f>
        <v>-36</v>
      </c>
      <c r="V29" s="2590" cm="1">
        <f t="array" aca="1" ref="V29" ca="1">INDIRECT("'※ B2B 세부데이터'!"&amp;V$1&amp;$X29, TRUE)</f>
        <v>-43</v>
      </c>
      <c r="W29" s="2591" cm="1">
        <f t="array" aca="1" ref="W29" ca="1">INDIRECT("'※ B2B 세부데이터'!"&amp;W$1&amp;$X29, TRUE)</f>
        <v>-29.333333333333332</v>
      </c>
      <c r="X29" s="2527">
        <f>ROW('※ B2B 세부데이터'!J28)</f>
        <v>28</v>
      </c>
    </row>
    <row r="30" spans="1:24" x14ac:dyDescent="0.55000000000000004">
      <c r="A30" s="7313"/>
      <c r="B30" s="7319"/>
      <c r="C30" s="641" t="str" cm="1">
        <f t="array" aca="1" ref="C30" ca="1">INDIRECT("'※ B2B 세부데이터'!"&amp;C$1&amp;$X30, TRUE)</f>
        <v>후불신규</v>
      </c>
      <c r="D30" s="641"/>
      <c r="E30" s="2582" cm="1">
        <f t="array" aca="1" ref="E30" ca="1">INDIRECT("'※ B2B 세부데이터'!"&amp;E$1&amp;$X30, TRUE)</f>
        <v>4566</v>
      </c>
      <c r="F30" s="2583" cm="1">
        <f t="array" aca="1" ref="F30" ca="1">INDIRECT("'※ B2B 세부데이터'!"&amp;F$1&amp;$X30, TRUE)</f>
        <v>7795</v>
      </c>
      <c r="G30" s="2584" cm="1">
        <f t="array" aca="1" ref="G30" ca="1">INDIRECT("'※ B2B 세부데이터'!"&amp;G$1&amp;$X30, TRUE)</f>
        <v>288</v>
      </c>
      <c r="H30" s="2585" cm="1">
        <f t="array" aca="1" ref="H30" ca="1">INDIRECT("'※ B2B 세부데이터'!"&amp;H$1&amp;$X30, TRUE)</f>
        <v>265</v>
      </c>
      <c r="I30" s="2585" cm="1">
        <f t="array" aca="1" ref="I30" ca="1">INDIRECT("'※ B2B 세부데이터'!"&amp;I$1&amp;$X30, TRUE)</f>
        <v>521</v>
      </c>
      <c r="J30" s="2585" cm="1">
        <f t="array" aca="1" ref="J30" ca="1">INDIRECT("'※ B2B 세부데이터'!"&amp;J$1&amp;$X30, TRUE)</f>
        <v>201</v>
      </c>
      <c r="K30" s="2585" cm="1">
        <f t="array" aca="1" ref="K30" ca="1">INDIRECT("'※ B2B 세부데이터'!"&amp;K$1&amp;$X30, TRUE)</f>
        <v>607</v>
      </c>
      <c r="L30" s="6371" cm="1">
        <f t="array" aca="1" ref="L30" ca="1">INDIRECT("'※ B2B 세부데이터'!"&amp;L$1&amp;$X30, TRUE)</f>
        <v>364</v>
      </c>
      <c r="M30" s="2583" cm="1">
        <f t="array" aca="1" ref="M30" ca="1">INDIRECT("'※ B2B 세부데이터'!"&amp;M$1&amp;$X30, TRUE)</f>
        <v>1859</v>
      </c>
      <c r="N30" s="6364" cm="1">
        <f t="array" aca="1" ref="N30" ca="1">INDIRECT("'※ B2B 세부데이터'!"&amp;N$1&amp;$X30, TRUE)</f>
        <v>1335</v>
      </c>
      <c r="O30" s="2585" cm="1">
        <f t="array" aca="1" ref="O30" ca="1">INDIRECT("'※ B2B 세부데이터'!"&amp;O$1&amp;$X30, TRUE)</f>
        <v>524</v>
      </c>
      <c r="P30" s="2586" cm="1">
        <f t="array" aca="1" ref="P30" ca="1">INDIRECT("'※ B2B 세부데이터'!"&amp;P$1&amp;$X30, TRUE)</f>
        <v>1859</v>
      </c>
      <c r="Q30" s="2587" cm="1">
        <f t="array" aca="1" ref="Q30" ca="1">INDIRECT("'※ B2B 세부데이터'!"&amp;Q$1&amp;$X30, TRUE)</f>
        <v>929.5</v>
      </c>
      <c r="R30" s="2588" cm="1">
        <f t="array" aca="1" ref="R30" ca="1">INDIRECT("'※ B2B 세부데이터'!"&amp;R$1&amp;$X30, TRUE)</f>
        <v>1859</v>
      </c>
      <c r="S30" s="2589" cm="1">
        <f t="array" aca="1" ref="S30" ca="1">INDIRECT("'※ B2B 세부데이터'!"&amp;S$1&amp;$X30, TRUE)</f>
        <v>929.5</v>
      </c>
      <c r="T30" s="2798" cm="1">
        <f t="array" aca="1" ref="T30" ca="1">INDIRECT("'※ B2B 세부데이터'!"&amp;T$1&amp;$X30, TRUE)</f>
        <v>-811</v>
      </c>
      <c r="U30" s="2798" cm="1">
        <f t="array" aca="1" ref="U30" ca="1">INDIRECT("'※ B2B 세부데이터'!"&amp;U$1&amp;$X30, TRUE)</f>
        <v>259</v>
      </c>
      <c r="V30" s="2590" cm="1">
        <f t="array" aca="1" ref="V30" ca="1">INDIRECT("'※ B2B 세부데이터'!"&amp;V$1&amp;$X30, TRUE)</f>
        <v>1306</v>
      </c>
      <c r="W30" s="2591" cm="1">
        <f t="array" aca="1" ref="W30" ca="1">INDIRECT("'※ B2B 세부데이터'!"&amp;W$1&amp;$X30, TRUE)</f>
        <v>279.91666666666663</v>
      </c>
      <c r="X30" s="2527">
        <f>ROW('※ B2B 세부데이터'!J29)</f>
        <v>29</v>
      </c>
    </row>
    <row r="31" spans="1:24" x14ac:dyDescent="0.55000000000000004">
      <c r="A31" s="7313"/>
      <c r="B31" s="7319"/>
      <c r="C31" s="641" t="str" cm="1">
        <f t="array" aca="1" ref="C31" ca="1">INDIRECT("'※ B2B 세부데이터'!"&amp;C$1&amp;$X31, TRUE)</f>
        <v>무선순증</v>
      </c>
      <c r="D31" s="641"/>
      <c r="E31" s="2582" cm="1">
        <f t="array" aca="1" ref="E31" ca="1">INDIRECT("'※ B2B 세부데이터'!"&amp;E$1&amp;$X31, TRUE)</f>
        <v>8282</v>
      </c>
      <c r="F31" s="2583" cm="1">
        <f t="array" aca="1" ref="F31" ca="1">INDIRECT("'※ B2B 세부데이터'!"&amp;F$1&amp;$X31, TRUE)</f>
        <v>4653</v>
      </c>
      <c r="G31" s="2584" cm="1">
        <f t="array" aca="1" ref="G31" ca="1">INDIRECT("'※ B2B 세부데이터'!"&amp;G$1&amp;$X31, TRUE)</f>
        <v>-104</v>
      </c>
      <c r="H31" s="2585" cm="1">
        <f t="array" aca="1" ref="H31" ca="1">INDIRECT("'※ B2B 세부데이터'!"&amp;H$1&amp;$X31, TRUE)</f>
        <v>-203</v>
      </c>
      <c r="I31" s="2585" cm="1">
        <f t="array" aca="1" ref="I31" ca="1">INDIRECT("'※ B2B 세부데이터'!"&amp;I$1&amp;$X31, TRUE)</f>
        <v>147</v>
      </c>
      <c r="J31" s="2585" cm="1">
        <f t="array" aca="1" ref="J31" ca="1">INDIRECT("'※ B2B 세부데이터'!"&amp;J$1&amp;$X31, TRUE)</f>
        <v>84</v>
      </c>
      <c r="K31" s="2585" cm="1">
        <f t="array" aca="1" ref="K31" ca="1">INDIRECT("'※ B2B 세부데이터'!"&amp;K$1&amp;$X31, TRUE)</f>
        <v>526</v>
      </c>
      <c r="L31" s="6371" cm="1">
        <f t="array" aca="1" ref="L31" ca="1">INDIRECT("'※ B2B 세부데이터'!"&amp;L$1&amp;$X31, TRUE)</f>
        <v>115</v>
      </c>
      <c r="M31" s="2583" cm="1">
        <f t="array" aca="1" ref="M31" ca="1">INDIRECT("'※ B2B 세부데이터'!"&amp;M$1&amp;$X31, TRUE)</f>
        <v>33</v>
      </c>
      <c r="N31" s="6364" cm="1">
        <f t="array" aca="1" ref="N31" ca="1">INDIRECT("'※ B2B 세부데이터'!"&amp;N$1&amp;$X31, TRUE)</f>
        <v>-6</v>
      </c>
      <c r="O31" s="2585" cm="1">
        <f t="array" aca="1" ref="O31" ca="1">INDIRECT("'※ B2B 세부데이터'!"&amp;O$1&amp;$X31, TRUE)</f>
        <v>39</v>
      </c>
      <c r="P31" s="2586" cm="1">
        <f t="array" aca="1" ref="P31" ca="1">INDIRECT("'※ B2B 세부데이터'!"&amp;P$1&amp;$X31, TRUE)</f>
        <v>33</v>
      </c>
      <c r="Q31" s="2587" cm="1">
        <f t="array" aca="1" ref="Q31" ca="1">INDIRECT("'※ B2B 세부데이터'!"&amp;Q$1&amp;$X31, TRUE)</f>
        <v>16.5</v>
      </c>
      <c r="R31" s="2588" cm="1">
        <f t="array" aca="1" ref="R31" ca="1">INDIRECT("'※ B2B 세부데이터'!"&amp;R$1&amp;$X31, TRUE)</f>
        <v>33</v>
      </c>
      <c r="S31" s="2589" cm="1">
        <f t="array" aca="1" ref="S31" ca="1">INDIRECT("'※ B2B 세부데이터'!"&amp;S$1&amp;$X31, TRUE)</f>
        <v>16.5</v>
      </c>
      <c r="T31" s="2798" cm="1">
        <f t="array" aca="1" ref="T31" ca="1">INDIRECT("'※ B2B 세부데이터'!"&amp;T$1&amp;$X31, TRUE)</f>
        <v>45</v>
      </c>
      <c r="U31" s="2798" cm="1">
        <f t="array" aca="1" ref="U31" ca="1">INDIRECT("'※ B2B 세부데이터'!"&amp;U$1&amp;$X31, TRUE)</f>
        <v>242</v>
      </c>
      <c r="V31" s="2590" cm="1">
        <f t="array" aca="1" ref="V31" ca="1">INDIRECT("'※ B2B 세부데이터'!"&amp;V$1&amp;$X31, TRUE)</f>
        <v>340</v>
      </c>
      <c r="W31" s="2591" cm="1">
        <f t="array" aca="1" ref="W31" ca="1">INDIRECT("'※ B2B 세부데이터'!"&amp;W$1&amp;$X31, TRUE)</f>
        <v>-371.25</v>
      </c>
      <c r="X31" s="2527">
        <f>ROW('※ B2B 세부데이터'!J30)</f>
        <v>30</v>
      </c>
    </row>
    <row r="32" spans="1:24" x14ac:dyDescent="0.55000000000000004">
      <c r="A32" s="7313"/>
      <c r="B32" s="7319"/>
      <c r="C32" s="641" t="str" cm="1">
        <f t="array" aca="1" ref="C32" ca="1">INDIRECT("'※ B2B 세부데이터'!"&amp;C$1&amp;$X32, TRUE)</f>
        <v>유선</v>
      </c>
      <c r="D32" s="641"/>
      <c r="E32" s="2582" cm="1">
        <f t="array" aca="1" ref="E32" ca="1">INDIRECT("'※ B2B 세부데이터'!"&amp;E$1&amp;$X32, TRUE)</f>
        <v>2094</v>
      </c>
      <c r="F32" s="2583" cm="1">
        <f t="array" aca="1" ref="F32" ca="1">INDIRECT("'※ B2B 세부데이터'!"&amp;F$1&amp;$X32, TRUE)</f>
        <v>2566</v>
      </c>
      <c r="G32" s="2584" cm="1">
        <f t="array" aca="1" ref="G32" ca="1">INDIRECT("'※ B2B 세부데이터'!"&amp;G$1&amp;$X32, TRUE)</f>
        <v>81</v>
      </c>
      <c r="H32" s="2585" cm="1">
        <f t="array" aca="1" ref="H32" ca="1">INDIRECT("'※ B2B 세부데이터'!"&amp;H$1&amp;$X32, TRUE)</f>
        <v>190</v>
      </c>
      <c r="I32" s="2585" cm="1">
        <f t="array" aca="1" ref="I32" ca="1">INDIRECT("'※ B2B 세부데이터'!"&amp;I$1&amp;$X32, TRUE)</f>
        <v>36</v>
      </c>
      <c r="J32" s="2585" cm="1">
        <f t="array" aca="1" ref="J32" ca="1">INDIRECT("'※ B2B 세부데이터'!"&amp;J$1&amp;$X32, TRUE)</f>
        <v>196</v>
      </c>
      <c r="K32" s="2585" cm="1">
        <f t="array" aca="1" ref="K32" ca="1">INDIRECT("'※ B2B 세부데이터'!"&amp;K$1&amp;$X32, TRUE)</f>
        <v>101</v>
      </c>
      <c r="L32" s="6371" cm="1">
        <f t="array" aca="1" ref="L32" ca="1">INDIRECT("'※ B2B 세부데이터'!"&amp;L$1&amp;$X32, TRUE)</f>
        <v>242</v>
      </c>
      <c r="M32" s="2583" cm="1">
        <f t="array" aca="1" ref="M32" ca="1">INDIRECT("'※ B2B 세부데이터'!"&amp;M$1&amp;$X32, TRUE)</f>
        <v>895</v>
      </c>
      <c r="N32" s="6364" cm="1">
        <f t="array" aca="1" ref="N32" ca="1">INDIRECT("'※ B2B 세부데이터'!"&amp;N$1&amp;$X32, TRUE)</f>
        <v>334</v>
      </c>
      <c r="O32" s="2585" cm="1">
        <f t="array" aca="1" ref="O32" ca="1">INDIRECT("'※ B2B 세부데이터'!"&amp;O$1&amp;$X32, TRUE)</f>
        <v>561</v>
      </c>
      <c r="P32" s="2586" cm="1">
        <f t="array" aca="1" ref="P32" ca="1">INDIRECT("'※ B2B 세부데이터'!"&amp;P$1&amp;$X32, TRUE)</f>
        <v>895</v>
      </c>
      <c r="Q32" s="2587" cm="1">
        <f t="array" aca="1" ref="Q32" ca="1">INDIRECT("'※ B2B 세부데이터'!"&amp;Q$1&amp;$X32, TRUE)</f>
        <v>447.5</v>
      </c>
      <c r="R32" s="2588" cm="1">
        <f t="array" aca="1" ref="R32" ca="1">INDIRECT("'※ B2B 세부데이터'!"&amp;R$1&amp;$X32, TRUE)</f>
        <v>895</v>
      </c>
      <c r="S32" s="2589" cm="1">
        <f t="array" aca="1" ref="S32" ca="1">INDIRECT("'※ B2B 세부데이터'!"&amp;S$1&amp;$X32, TRUE)</f>
        <v>447.5</v>
      </c>
      <c r="T32" s="2798" cm="1">
        <f t="array" aca="1" ref="T32" ca="1">INDIRECT("'※ B2B 세부데이터'!"&amp;T$1&amp;$X32, TRUE)</f>
        <v>227</v>
      </c>
      <c r="U32" s="2798" cm="1">
        <f t="array" aca="1" ref="U32" ca="1">INDIRECT("'※ B2B 세부데이터'!"&amp;U$1&amp;$X32, TRUE)</f>
        <v>371</v>
      </c>
      <c r="V32" s="2590" cm="1">
        <f t="array" aca="1" ref="V32" ca="1">INDIRECT("'※ B2B 세부데이터'!"&amp;V$1&amp;$X32, TRUE)</f>
        <v>624</v>
      </c>
      <c r="W32" s="2591" cm="1">
        <f t="array" aca="1" ref="W32" ca="1">INDIRECT("'※ B2B 세부데이터'!"&amp;W$1&amp;$X32, TRUE)</f>
        <v>233.66666666666666</v>
      </c>
      <c r="X32" s="2527">
        <f>ROW('※ B2B 세부데이터'!J31)</f>
        <v>31</v>
      </c>
    </row>
    <row r="33" spans="1:24" ht="15.45" thickBot="1" x14ac:dyDescent="0.6">
      <c r="A33" s="7314"/>
      <c r="B33" s="7321"/>
      <c r="C33" s="2602" t="str" cm="1">
        <f t="array" aca="1" ref="C33" ca="1">INDIRECT("'※ B2B 세부데이터'!"&amp;C$1&amp;$X33, TRUE)</f>
        <v>전략상품</v>
      </c>
      <c r="D33" s="2602"/>
      <c r="E33" s="2603" cm="1">
        <f t="array" aca="1" ref="E33" ca="1">INDIRECT("'※ B2B 세부데이터'!"&amp;E$1&amp;$X33, TRUE)</f>
        <v>123</v>
      </c>
      <c r="F33" s="2604" cm="1">
        <f t="array" aca="1" ref="F33" ca="1">INDIRECT("'※ B2B 세부데이터'!"&amp;F$1&amp;$X33, TRUE)</f>
        <v>65</v>
      </c>
      <c r="G33" s="2605" cm="1">
        <f t="array" aca="1" ref="G33" ca="1">INDIRECT("'※ B2B 세부데이터'!"&amp;G$1&amp;$X33, TRUE)</f>
        <v>4</v>
      </c>
      <c r="H33" s="2606" cm="1">
        <f t="array" aca="1" ref="H33" ca="1">INDIRECT("'※ B2B 세부데이터'!"&amp;H$1&amp;$X33, TRUE)</f>
        <v>0</v>
      </c>
      <c r="I33" s="2606" cm="1">
        <f t="array" aca="1" ref="I33" ca="1">INDIRECT("'※ B2B 세부데이터'!"&amp;I$1&amp;$X33, TRUE)</f>
        <v>24</v>
      </c>
      <c r="J33" s="2606" cm="1">
        <f t="array" aca="1" ref="J33" ca="1">INDIRECT("'※ B2B 세부데이터'!"&amp;J$1&amp;$X33, TRUE)</f>
        <v>16</v>
      </c>
      <c r="K33" s="2606" cm="1">
        <f t="array" aca="1" ref="K33" ca="1">INDIRECT("'※ B2B 세부데이터'!"&amp;K$1&amp;$X33, TRUE)</f>
        <v>21</v>
      </c>
      <c r="L33" s="6373" cm="1">
        <f t="array" aca="1" ref="L33" ca="1">INDIRECT("'※ B2B 세부데이터'!"&amp;L$1&amp;$X33, TRUE)</f>
        <v>0</v>
      </c>
      <c r="M33" s="2604" cm="1">
        <f t="array" aca="1" ref="M33" ca="1">INDIRECT("'※ B2B 세부데이터'!"&amp;M$1&amp;$X33, TRUE)</f>
        <v>0</v>
      </c>
      <c r="N33" s="6366" cm="1">
        <f t="array" aca="1" ref="N33" ca="1">INDIRECT("'※ B2B 세부데이터'!"&amp;N$1&amp;$X33, TRUE)</f>
        <v>0</v>
      </c>
      <c r="O33" s="2606" cm="1">
        <f t="array" aca="1" ref="O33" ca="1">INDIRECT("'※ B2B 세부데이터'!"&amp;O$1&amp;$X33, TRUE)</f>
        <v>0</v>
      </c>
      <c r="P33" s="2607" cm="1">
        <f t="array" aca="1" ref="P33" ca="1">INDIRECT("'※ B2B 세부데이터'!"&amp;P$1&amp;$X33, TRUE)</f>
        <v>0</v>
      </c>
      <c r="Q33" s="2608" cm="1">
        <f t="array" aca="1" ref="Q33" ca="1">INDIRECT("'※ B2B 세부데이터'!"&amp;Q$1&amp;$X33, TRUE)</f>
        <v>0</v>
      </c>
      <c r="R33" s="2609" cm="1">
        <f t="array" aca="1" ref="R33" ca="1">INDIRECT("'※ B2B 세부데이터'!"&amp;R$1&amp;$X33, TRUE)</f>
        <v>0</v>
      </c>
      <c r="S33" s="6398" cm="1">
        <f t="array" aca="1" ref="S33" ca="1">INDIRECT("'※ B2B 세부데이터'!"&amp;S$1&amp;$X33, TRUE)</f>
        <v>0</v>
      </c>
      <c r="T33" s="6395" cm="1">
        <f t="array" aca="1" ref="T33" ca="1">INDIRECT("'※ B2B 세부데이터'!"&amp;T$1&amp;$X33, TRUE)</f>
        <v>0</v>
      </c>
      <c r="U33" s="6395" cm="1">
        <f t="array" aca="1" ref="U33" ca="1">INDIRECT("'※ B2B 세부데이터'!"&amp;U$1&amp;$X33, TRUE)</f>
        <v>0</v>
      </c>
      <c r="V33" s="2610" cm="1">
        <f t="array" aca="1" ref="V33" ca="1">INDIRECT("'※ B2B 세부데이터'!"&amp;V$1&amp;$X33, TRUE)</f>
        <v>-4</v>
      </c>
      <c r="W33" s="2611" cm="1">
        <f t="array" aca="1" ref="W33" ca="1">INDIRECT("'※ B2B 세부데이터'!"&amp;W$1&amp;$X33, TRUE)</f>
        <v>-9.2857142857142865</v>
      </c>
      <c r="X33" s="2527">
        <f>ROW('※ B2B 세부데이터'!J32)</f>
        <v>32</v>
      </c>
    </row>
    <row r="34" spans="1:24" ht="15.45" thickBot="1" x14ac:dyDescent="0.6">
      <c r="E34" s="2612"/>
      <c r="G34" s="556"/>
      <c r="H34" s="2613"/>
      <c r="I34" s="2614"/>
      <c r="J34" s="2614"/>
      <c r="K34" s="2613"/>
      <c r="L34" s="2613"/>
      <c r="N34" s="2613"/>
      <c r="O34" s="2613"/>
      <c r="P34" s="556"/>
      <c r="Q34" s="556"/>
      <c r="X34" s="2527">
        <f>ROW('※ B2B 세부데이터'!J33)</f>
        <v>33</v>
      </c>
    </row>
    <row r="35" spans="1:24" ht="16.75" thickBot="1" x14ac:dyDescent="0.6">
      <c r="A35" s="7310" t="s">
        <v>124</v>
      </c>
      <c r="B35" s="7311"/>
      <c r="C35" s="7311"/>
      <c r="D35" s="7311"/>
      <c r="E35" s="6242" t="s">
        <v>823</v>
      </c>
      <c r="F35" s="1153" t="s">
        <v>1123</v>
      </c>
      <c r="G35" s="2615" t="str" cm="1">
        <f t="array" aca="1" ref="G35" ca="1">INDIRECT("'※ B2B 세부데이터'!"&amp;G$1&amp;$X6, TRUE)</f>
        <v>'25.1월</v>
      </c>
      <c r="H35" s="2616" t="str" cm="1">
        <f t="array" aca="1" ref="H35" ca="1">INDIRECT("'※ B2B 세부데이터'!"&amp;H$1&amp;$X6, TRUE)</f>
        <v>'25.2월</v>
      </c>
      <c r="I35" s="2617" t="str" cm="1">
        <f t="array" aca="1" ref="I35" ca="1">INDIRECT("'※ B2B 세부데이터'!"&amp;I$1&amp;$X6, TRUE)</f>
        <v>'25.3월</v>
      </c>
      <c r="J35" s="2617" t="str" cm="1">
        <f t="array" aca="1" ref="J35" ca="1">INDIRECT("'※ B2B 세부데이터'!"&amp;J$1&amp;$X6, TRUE)</f>
        <v>'25.4월</v>
      </c>
      <c r="K35" s="2616" t="str" cm="1">
        <f t="array" aca="1" ref="K35" ca="1">INDIRECT("'※ B2B 세부데이터'!"&amp;K$1&amp;$X6, TRUE)</f>
        <v>'25.5월</v>
      </c>
      <c r="L35" s="2616" t="str" cm="1">
        <f t="array" aca="1" ref="L35" ca="1">INDIRECT("'※ B2B 세부데이터'!"&amp;L$1&amp;$X6, TRUE)</f>
        <v>'25.6월</v>
      </c>
      <c r="M35" s="6358" t="s">
        <v>1206</v>
      </c>
      <c r="N35" s="2616" t="str" cm="1">
        <f t="array" aca="1" ref="N35" ca="1">INDIRECT("'※ B2B 세부데이터'!"&amp;N$1&amp;$X6, TRUE)</f>
        <v>'26.1월</v>
      </c>
      <c r="O35" s="2616" t="str" cm="1">
        <f t="array" aca="1" ref="O35" ca="1">INDIRECT("'※ B2B 세부데이터'!"&amp;O$1&amp;$X6, TRUE)</f>
        <v>'26.2월</v>
      </c>
      <c r="P35" s="2618" t="s">
        <v>722</v>
      </c>
      <c r="Q35" s="2619" t="s">
        <v>756</v>
      </c>
      <c r="X35" s="2527">
        <f>ROW('※ B2B 세부데이터'!J34)</f>
        <v>34</v>
      </c>
    </row>
    <row r="36" spans="1:24" x14ac:dyDescent="0.55000000000000004">
      <c r="A36" s="7293" t="s">
        <v>763</v>
      </c>
      <c r="B36" s="7296" t="s">
        <v>746</v>
      </c>
      <c r="C36" s="7299" t="s">
        <v>757</v>
      </c>
      <c r="D36" s="2620" t="s">
        <v>758</v>
      </c>
      <c r="E36" s="2621" cm="1">
        <f t="array" aca="1" ref="E36" ca="1">INDIRECT("'※ B2B 세부데이터'!"&amp;E$1&amp;$X36, TRUE)</f>
        <v>206181</v>
      </c>
      <c r="F36" s="2622" cm="1">
        <f t="array" aca="1" ref="F36" ca="1">INDIRECT("'※ B2B 세부데이터'!"&amp;F$1&amp;$X36, TRUE)</f>
        <v>207314</v>
      </c>
      <c r="G36" s="2623" cm="1">
        <f t="array" aca="1" ref="G36" ca="1">INDIRECT("'※ B2B 세부데이터'!"&amp;G$1&amp;$X36, TRUE)</f>
        <v>205703</v>
      </c>
      <c r="H36" s="2624" cm="1">
        <f t="array" aca="1" ref="H36" ca="1">INDIRECT("'※ B2B 세부데이터'!"&amp;H$1&amp;$X36, TRUE)</f>
        <v>207462</v>
      </c>
      <c r="I36" s="2625" cm="1">
        <f t="array" aca="1" ref="I36" ca="1">INDIRECT("'※ B2B 세부데이터'!"&amp;I$1&amp;$X36, TRUE)</f>
        <v>208858</v>
      </c>
      <c r="J36" s="2625" cm="1">
        <f t="array" aca="1" ref="J36" ca="1">INDIRECT("'※ B2B 세부데이터'!"&amp;J$1&amp;$X36, TRUE)</f>
        <v>208833</v>
      </c>
      <c r="K36" s="2624" cm="1">
        <f t="array" aca="1" ref="K36" ca="1">INDIRECT("'※ B2B 세부데이터'!"&amp;K$1&amp;$X36, TRUE)</f>
        <v>209196</v>
      </c>
      <c r="L36" s="2624" cm="1">
        <f t="array" aca="1" ref="L36" ca="1">INDIRECT("'※ B2B 세부데이터'!"&amp;L$1&amp;$X36, TRUE)</f>
        <v>212535</v>
      </c>
      <c r="M36" s="2622" cm="1">
        <f t="array" aca="1" ref="M36" ca="1">INDIRECT("'※ B2B 세부데이터'!"&amp;M$1&amp;$X36, TRUE)</f>
        <v>207147</v>
      </c>
      <c r="N36" s="2624" cm="1">
        <f t="array" aca="1" ref="N36" ca="1">INDIRECT("'※ B2B 세부데이터'!"&amp;N$1&amp;$X36, TRUE)</f>
        <v>207147</v>
      </c>
      <c r="O36" s="2624" cm="1">
        <f t="array" aca="1" ref="O36" ca="1">INDIRECT("'※ B2B 세부데이터'!"&amp;O$1&amp;$X36, TRUE)</f>
        <v>212531</v>
      </c>
      <c r="P36" s="2626" cm="1">
        <f t="array" aca="1" ref="P36" ca="1">INDIRECT("'※ B2B 세부데이터'!"&amp;P$1&amp;$X36, TRUE)</f>
        <v>207147</v>
      </c>
      <c r="Q36" s="2627" cm="1">
        <f t="array" aca="1" ref="Q36" ca="1">INDIRECT("'※ B2B 세부데이터'!"&amp;Q$1&amp;$X36, TRUE)</f>
        <v>209839</v>
      </c>
      <c r="X36" s="2527">
        <f>ROW('※ B2B 세부데이터'!J35)</f>
        <v>35</v>
      </c>
    </row>
    <row r="37" spans="1:24" ht="15.45" thickBot="1" x14ac:dyDescent="0.6">
      <c r="A37" s="7294"/>
      <c r="B37" s="7297"/>
      <c r="C37" s="7300"/>
      <c r="D37" s="2628" t="s">
        <v>759</v>
      </c>
      <c r="E37" s="2629" cm="1">
        <f t="array" aca="1" ref="E37" ca="1">INDIRECT("'※ B2B 세부데이터'!"&amp;E$1&amp;$X37, TRUE)</f>
        <v>356314</v>
      </c>
      <c r="F37" s="2630" cm="1">
        <f t="array" aca="1" ref="F37" ca="1">INDIRECT("'※ B2B 세부데이터'!"&amp;F$1&amp;$X37, TRUE)</f>
        <v>352183</v>
      </c>
      <c r="G37" s="2631" cm="1">
        <f t="array" aca="1" ref="G37" ca="1">INDIRECT("'※ B2B 세부데이터'!"&amp;G$1&amp;$X37, TRUE)</f>
        <v>358494</v>
      </c>
      <c r="H37" s="2632" cm="1">
        <f t="array" aca="1" ref="H37" ca="1">INDIRECT("'※ B2B 세부데이터'!"&amp;H$1&amp;$X37, TRUE)</f>
        <v>354156</v>
      </c>
      <c r="I37" s="2633" cm="1">
        <f t="array" aca="1" ref="I37" ca="1">INDIRECT("'※ B2B 세부데이터'!"&amp;I$1&amp;$X37, TRUE)</f>
        <v>348871</v>
      </c>
      <c r="J37" s="2633" cm="1">
        <f t="array" aca="1" ref="J37" ca="1">INDIRECT("'※ B2B 세부데이터'!"&amp;J$1&amp;$X37, TRUE)</f>
        <v>353902</v>
      </c>
      <c r="K37" s="2632" cm="1">
        <f t="array" aca="1" ref="K37" ca="1">INDIRECT("'※ B2B 세부데이터'!"&amp;K$1&amp;$X37, TRUE)</f>
        <v>355492</v>
      </c>
      <c r="L37" s="2632" cm="1">
        <f t="array" aca="1" ref="L37" ca="1">INDIRECT("'※ B2B 세부데이터'!"&amp;L$1&amp;$X37, TRUE)</f>
        <v>351132</v>
      </c>
      <c r="M37" s="2630" cm="1">
        <f t="array" aca="1" ref="M37" ca="1">INDIRECT("'※ B2B 세부데이터'!"&amp;M$1&amp;$X37, TRUE)</f>
        <v>354057</v>
      </c>
      <c r="N37" s="2632" cm="1">
        <f t="array" aca="1" ref="N37" ca="1">INDIRECT("'※ B2B 세부데이터'!"&amp;N$1&amp;$X37, TRUE)</f>
        <v>354057</v>
      </c>
      <c r="O37" s="2632" cm="1">
        <f t="array" aca="1" ref="O37" ca="1">INDIRECT("'※ B2B 세부데이터'!"&amp;O$1&amp;$X37, TRUE)</f>
        <v>354114</v>
      </c>
      <c r="P37" s="2634" cm="1">
        <f t="array" aca="1" ref="P37" ca="1">INDIRECT("'※ B2B 세부데이터'!"&amp;P$1&amp;$X37, TRUE)</f>
        <v>354057</v>
      </c>
      <c r="Q37" s="2635" cm="1">
        <f t="array" aca="1" ref="Q37" ca="1">INDIRECT("'※ B2B 세부데이터'!"&amp;Q$1&amp;$X37, TRUE)</f>
        <v>354085.5</v>
      </c>
      <c r="X37" s="2527">
        <f>ROW('※ B2B 세부데이터'!J36)</f>
        <v>36</v>
      </c>
    </row>
    <row r="38" spans="1:24" x14ac:dyDescent="0.55000000000000004">
      <c r="A38" s="7294"/>
      <c r="B38" s="7297"/>
      <c r="C38" s="7300" t="s">
        <v>760</v>
      </c>
      <c r="D38" s="2636" t="s">
        <v>758</v>
      </c>
      <c r="E38" s="2629" cm="1">
        <f t="array" aca="1" ref="E38" ca="1">INDIRECT("'※ B2B 세부데이터'!"&amp;E$1&amp;$X38, TRUE)</f>
        <v>197514</v>
      </c>
      <c r="F38" s="2630" cm="1">
        <f t="array" aca="1" ref="F38" ca="1">INDIRECT("'※ B2B 세부데이터'!"&amp;F$1&amp;$X38, TRUE)</f>
        <v>200371</v>
      </c>
      <c r="G38" s="2631" cm="1">
        <f t="array" aca="1" ref="G38" ca="1">INDIRECT("'※ B2B 세부데이터'!"&amp;G$1&amp;$X38, TRUE)</f>
        <v>197571</v>
      </c>
      <c r="H38" s="2632" cm="1">
        <f t="array" aca="1" ref="H38" ca="1">INDIRECT("'※ B2B 세부데이터'!"&amp;H$1&amp;$X38, TRUE)</f>
        <v>199293</v>
      </c>
      <c r="I38" s="2633" cm="1">
        <f t="array" aca="1" ref="I38" ca="1">INDIRECT("'※ B2B 세부데이터'!"&amp;I$1&amp;$X38, TRUE)</f>
        <v>200674</v>
      </c>
      <c r="J38" s="2633" cm="1">
        <f t="array" aca="1" ref="J38" ca="1">INDIRECT("'※ B2B 세부데이터'!"&amp;J$1&amp;$X38, TRUE)</f>
        <v>200378</v>
      </c>
      <c r="K38" s="2632" cm="1">
        <f t="array" aca="1" ref="K38" ca="1">INDIRECT("'※ B2B 세부데이터'!"&amp;K$1&amp;$X38, TRUE)</f>
        <v>200507</v>
      </c>
      <c r="L38" s="2632" cm="1">
        <f t="array" aca="1" ref="L38" ca="1">INDIRECT("'※ B2B 세부데이터'!"&amp;L$1&amp;$X38, TRUE)</f>
        <v>203558</v>
      </c>
      <c r="M38" s="2630" cm="1">
        <f t="array" aca="1" ref="M38" ca="1">INDIRECT("'※ B2B 세부데이터'!"&amp;M$1&amp;$X38, TRUE)</f>
        <v>200866</v>
      </c>
      <c r="N38" s="2632" cm="1">
        <f t="array" aca="1" ref="N38" ca="1">INDIRECT("'※ B2B 세부데이터'!"&amp;N$1&amp;$X38, TRUE)</f>
        <v>200866</v>
      </c>
      <c r="O38" s="2632" cm="1">
        <f t="array" aca="1" ref="O38" ca="1">INDIRECT("'※ B2B 세부데이터'!"&amp;O$1&amp;$X38, TRUE)</f>
        <v>209164</v>
      </c>
      <c r="P38" s="2634" cm="1">
        <f t="array" aca="1" ref="P38" ca="1">INDIRECT("'※ B2B 세부데이터'!"&amp;P$1&amp;$X38, TRUE)</f>
        <v>200866</v>
      </c>
      <c r="Q38" s="2635" cm="1">
        <f t="array" aca="1" ref="Q38" ca="1">INDIRECT("'※ B2B 세부데이터'!"&amp;Q$1&amp;$X38, TRUE)</f>
        <v>205015</v>
      </c>
      <c r="X38" s="2527">
        <f>ROW('※ B2B 세부데이터'!J37)</f>
        <v>37</v>
      </c>
    </row>
    <row r="39" spans="1:24" ht="15.45" thickBot="1" x14ac:dyDescent="0.6">
      <c r="A39" s="7294"/>
      <c r="B39" s="7298"/>
      <c r="C39" s="7301"/>
      <c r="D39" s="2628" t="s">
        <v>759</v>
      </c>
      <c r="E39" s="2637" cm="1">
        <f t="array" aca="1" ref="E39" ca="1">INDIRECT("'※ B2B 세부데이터'!"&amp;E$1&amp;$X39, TRUE)</f>
        <v>315428</v>
      </c>
      <c r="F39" s="2638" cm="1">
        <f t="array" aca="1" ref="F39" ca="1">INDIRECT("'※ B2B 세부데이터'!"&amp;F$1&amp;$X39, TRUE)</f>
        <v>341625</v>
      </c>
      <c r="G39" s="2639" cm="1">
        <f t="array" aca="1" ref="G39" ca="1">INDIRECT("'※ B2B 세부데이터'!"&amp;G$1&amp;$X39, TRUE)</f>
        <v>314324</v>
      </c>
      <c r="H39" s="2640" cm="1">
        <f t="array" aca="1" ref="H39" ca="1">INDIRECT("'※ B2B 세부데이터'!"&amp;H$1&amp;$X39, TRUE)</f>
        <v>311050</v>
      </c>
      <c r="I39" s="2641" cm="1">
        <f t="array" aca="1" ref="I39" ca="1">INDIRECT("'※ B2B 세부데이터'!"&amp;I$1&amp;$X39, TRUE)</f>
        <v>310010</v>
      </c>
      <c r="J39" s="2641" cm="1">
        <f t="array" aca="1" ref="J39" ca="1">INDIRECT("'※ B2B 세부데이터'!"&amp;J$1&amp;$X39, TRUE)</f>
        <v>314302</v>
      </c>
      <c r="K39" s="2640" cm="1">
        <f t="array" aca="1" ref="K39" ca="1">INDIRECT("'※ B2B 세부데이터'!"&amp;K$1&amp;$X39, TRUE)</f>
        <v>316758</v>
      </c>
      <c r="L39" s="2640" cm="1">
        <f t="array" aca="1" ref="L39" ca="1">INDIRECT("'※ B2B 세부데이터'!"&amp;L$1&amp;$X39, TRUE)</f>
        <v>313997</v>
      </c>
      <c r="M39" s="2638" cm="1">
        <f t="array" aca="1" ref="M39" ca="1">INDIRECT("'※ B2B 세부데이터'!"&amp;M$1&amp;$X39, TRUE)</f>
        <v>311714</v>
      </c>
      <c r="N39" s="2640" cm="1">
        <f t="array" aca="1" ref="N39" ca="1">INDIRECT("'※ B2B 세부데이터'!"&amp;N$1&amp;$X39, TRUE)</f>
        <v>311714</v>
      </c>
      <c r="O39" s="2640" cm="1">
        <f t="array" aca="1" ref="O39" ca="1">INDIRECT("'※ B2B 세부데이터'!"&amp;O$1&amp;$X39, TRUE)</f>
        <v>409119</v>
      </c>
      <c r="P39" s="2642" cm="1">
        <f t="array" aca="1" ref="P39" ca="1">INDIRECT("'※ B2B 세부데이터'!"&amp;P$1&amp;$X39, TRUE)</f>
        <v>311714</v>
      </c>
      <c r="Q39" s="2643" cm="1">
        <f t="array" aca="1" ref="Q39" ca="1">INDIRECT("'※ B2B 세부데이터'!"&amp;Q$1&amp;$X39, TRUE)</f>
        <v>360416.5</v>
      </c>
      <c r="X39" s="2527">
        <f>ROW('※ B2B 세부데이터'!J38)</f>
        <v>38</v>
      </c>
    </row>
    <row r="40" spans="1:24" x14ac:dyDescent="0.55000000000000004">
      <c r="A40" s="7294"/>
      <c r="B40" s="7302" t="s">
        <v>754</v>
      </c>
      <c r="C40" s="7304" t="s">
        <v>761</v>
      </c>
      <c r="D40" s="2644" t="s">
        <v>100</v>
      </c>
      <c r="E40" s="2645" cm="1">
        <f t="array" aca="1" ref="E40" ca="1">INDIRECT("'※ B2B 세부데이터'!"&amp;E$1&amp;$X40, TRUE)</f>
        <v>66232</v>
      </c>
      <c r="F40" s="2646" cm="1">
        <f t="array" aca="1" ref="F40" ca="1">INDIRECT("'※ B2B 세부데이터'!"&amp;F$1&amp;$X40, TRUE)</f>
        <v>72195</v>
      </c>
      <c r="G40" s="2647" cm="1">
        <f t="array" aca="1" ref="G40" ca="1">INDIRECT("'※ B2B 세부데이터'!"&amp;G$1&amp;$X40, TRUE)</f>
        <v>66118</v>
      </c>
      <c r="H40" s="2613" cm="1">
        <f t="array" aca="1" ref="H40" ca="1">INDIRECT("'※ B2B 세부데이터'!"&amp;H$1&amp;$X40, TRUE)</f>
        <v>68614</v>
      </c>
      <c r="I40" s="2614" cm="1">
        <f t="array" aca="1" ref="I40" ca="1">INDIRECT("'※ B2B 세부데이터'!"&amp;I$1&amp;$X40, TRUE)</f>
        <v>69318</v>
      </c>
      <c r="J40" s="2614" cm="1">
        <f t="array" aca="1" ref="J40" ca="1">INDIRECT("'※ B2B 세부데이터'!"&amp;J$1&amp;$X40, TRUE)</f>
        <v>69735</v>
      </c>
      <c r="K40" s="2613" cm="1">
        <f t="array" aca="1" ref="K40" ca="1">INDIRECT("'※ B2B 세부데이터'!"&amp;K$1&amp;$X40, TRUE)</f>
        <v>70460</v>
      </c>
      <c r="L40" s="2613" cm="1">
        <f t="array" aca="1" ref="L40" ca="1">INDIRECT("'※ B2B 세부데이터'!"&amp;L$1&amp;$X40, TRUE)</f>
        <v>74477</v>
      </c>
      <c r="M40" s="2646" cm="1">
        <f t="array" aca="1" ref="M40" ca="1">INDIRECT("'※ B2B 세부데이터'!"&amp;M$1&amp;$X40, TRUE)</f>
        <v>72750</v>
      </c>
      <c r="N40" s="2613" cm="1">
        <f t="array" aca="1" ref="N40" ca="1">INDIRECT("'※ B2B 세부데이터'!"&amp;N$1&amp;$X40, TRUE)</f>
        <v>72750</v>
      </c>
      <c r="O40" s="2613" cm="1">
        <f t="array" aca="1" ref="O40" ca="1">INDIRECT("'※ B2B 세부데이터'!"&amp;O$1&amp;$X40, TRUE)</f>
        <v>77381</v>
      </c>
      <c r="P40" s="2586" cm="1">
        <f t="array" aca="1" ref="P40" ca="1">INDIRECT("'※ B2B 세부데이터'!"&amp;P$1&amp;$X40, TRUE)</f>
        <v>72750</v>
      </c>
      <c r="Q40" s="2648" cm="1">
        <f t="array" aca="1" ref="Q40" ca="1">INDIRECT("'※ B2B 세부데이터'!"&amp;Q$1&amp;$X40, TRUE)</f>
        <v>75065.5</v>
      </c>
      <c r="X40" s="2527">
        <f>ROW('※ B2B 세부데이터'!J39)</f>
        <v>39</v>
      </c>
    </row>
    <row r="41" spans="1:24" x14ac:dyDescent="0.55000000000000004">
      <c r="A41" s="7294"/>
      <c r="B41" s="7302"/>
      <c r="C41" s="7304"/>
      <c r="D41" s="2644" t="s">
        <v>52</v>
      </c>
      <c r="E41" s="2645" cm="1">
        <f t="array" aca="1" ref="E41" ca="1">INDIRECT("'※ B2B 세부데이터'!"&amp;E$1&amp;$X41, TRUE)</f>
        <v>307864</v>
      </c>
      <c r="F41" s="2646" cm="1">
        <f t="array" aca="1" ref="F41" ca="1">INDIRECT("'※ B2B 세부데이터'!"&amp;F$1&amp;$X41, TRUE)</f>
        <v>313281</v>
      </c>
      <c r="G41" s="2647" cm="1">
        <f t="array" aca="1" ref="G41" ca="1">INDIRECT("'※ B2B 세부데이터'!"&amp;G$1&amp;$X41, TRUE)</f>
        <v>309485</v>
      </c>
      <c r="H41" s="2613" cm="1">
        <f t="array" aca="1" ref="H41" ca="1">INDIRECT("'※ B2B 세부데이터'!"&amp;H$1&amp;$X41, TRUE)</f>
        <v>306858</v>
      </c>
      <c r="I41" s="2614" cm="1">
        <f t="array" aca="1" ref="I41" ca="1">INDIRECT("'※ B2B 세부데이터'!"&amp;I$1&amp;$X41, TRUE)</f>
        <v>302111</v>
      </c>
      <c r="J41" s="2614" cm="1">
        <f t="array" aca="1" ref="J41" ca="1">INDIRECT("'※ B2B 세부데이터'!"&amp;J$1&amp;$X41, TRUE)</f>
        <v>307843</v>
      </c>
      <c r="K41" s="2613" cm="1">
        <f t="array" aca="1" ref="K41" ca="1">INDIRECT("'※ B2B 세부데이터'!"&amp;K$1&amp;$X41, TRUE)</f>
        <v>310848</v>
      </c>
      <c r="L41" s="2613" cm="1">
        <f t="array" aca="1" ref="L41" ca="1">INDIRECT("'※ B2B 세부데이터'!"&amp;L$1&amp;$X41, TRUE)</f>
        <v>307172</v>
      </c>
      <c r="M41" s="2646" cm="1">
        <f t="array" aca="1" ref="M41" ca="1">INDIRECT("'※ B2B 세부데이터'!"&amp;M$1&amp;$X41, TRUE)</f>
        <v>315436</v>
      </c>
      <c r="N41" s="2613" cm="1">
        <f t="array" aca="1" ref="N41" ca="1">INDIRECT("'※ B2B 세부데이터'!"&amp;N$1&amp;$X41, TRUE)</f>
        <v>315436</v>
      </c>
      <c r="O41" s="2613" cm="1">
        <f t="array" aca="1" ref="O41" ca="1">INDIRECT("'※ B2B 세부데이터'!"&amp;O$1&amp;$X41, TRUE)</f>
        <v>315678</v>
      </c>
      <c r="P41" s="2586" cm="1">
        <f t="array" aca="1" ref="P41" ca="1">INDIRECT("'※ B2B 세부데이터'!"&amp;P$1&amp;$X41, TRUE)</f>
        <v>315436</v>
      </c>
      <c r="Q41" s="2648" cm="1">
        <f t="array" aca="1" ref="Q41" ca="1">INDIRECT("'※ B2B 세부데이터'!"&amp;Q$1&amp;$X41, TRUE)</f>
        <v>315557</v>
      </c>
      <c r="X41" s="2527">
        <f>ROW('※ B2B 세부데이터'!J40)</f>
        <v>40</v>
      </c>
    </row>
    <row r="42" spans="1:24" x14ac:dyDescent="0.55000000000000004">
      <c r="A42" s="7294"/>
      <c r="B42" s="7302"/>
      <c r="C42" s="7304" t="s">
        <v>760</v>
      </c>
      <c r="D42" s="2644" t="s">
        <v>758</v>
      </c>
      <c r="E42" s="2645" cm="1">
        <f t="array" aca="1" ref="E42" ca="1">INDIRECT("'※ B2B 세부데이터'!"&amp;E$1&amp;$X42, TRUE)</f>
        <v>60502</v>
      </c>
      <c r="F42" s="2646" cm="1">
        <f t="array" aca="1" ref="F42" ca="1">INDIRECT("'※ B2B 세부데이터'!"&amp;F$1&amp;$X42, TRUE)</f>
        <v>68941</v>
      </c>
      <c r="G42" s="2647" cm="1">
        <f t="array" aca="1" ref="G42" ca="1">INDIRECT("'※ B2B 세부데이터'!"&amp;G$1&amp;$X42, TRUE)</f>
        <v>60871</v>
      </c>
      <c r="H42" s="2613" cm="1">
        <f t="array" aca="1" ref="H42" ca="1">INDIRECT("'※ B2B 세부데이터'!"&amp;H$1&amp;$X42, TRUE)</f>
        <v>63516</v>
      </c>
      <c r="I42" s="2614" cm="1">
        <f t="array" aca="1" ref="I42" ca="1">INDIRECT("'※ B2B 세부데이터'!"&amp;I$1&amp;$X42, TRUE)</f>
        <v>64308</v>
      </c>
      <c r="J42" s="2614" cm="1">
        <f t="array" aca="1" ref="J42" ca="1">INDIRECT("'※ B2B 세부데이터'!"&amp;J$1&amp;$X42, TRUE)</f>
        <v>64757</v>
      </c>
      <c r="K42" s="2613" cm="1">
        <f t="array" aca="1" ref="K42" ca="1">INDIRECT("'※ B2B 세부데이터'!"&amp;K$1&amp;$X42, TRUE)</f>
        <v>65371</v>
      </c>
      <c r="L42" s="2613" cm="1">
        <f t="array" aca="1" ref="L42" ca="1">INDIRECT("'※ B2B 세부데이터'!"&amp;L$1&amp;$X42, TRUE)</f>
        <v>69044</v>
      </c>
      <c r="M42" s="2646" cm="1">
        <f t="array" aca="1" ref="M42" ca="1">INDIRECT("'※ B2B 세부데이터'!"&amp;M$1&amp;$X42, TRUE)</f>
        <v>69642</v>
      </c>
      <c r="N42" s="2613" cm="1">
        <f t="array" aca="1" ref="N42" ca="1">INDIRECT("'※ B2B 세부데이터'!"&amp;N$1&amp;$X42, TRUE)</f>
        <v>69642</v>
      </c>
      <c r="O42" s="2613" cm="1">
        <f t="array" aca="1" ref="O42" ca="1">INDIRECT("'※ B2B 세부데이터'!"&amp;O$1&amp;$X42, TRUE)</f>
        <v>74014</v>
      </c>
      <c r="P42" s="2586" cm="1">
        <f t="array" aca="1" ref="P42" ca="1">INDIRECT("'※ B2B 세부데이터'!"&amp;P$1&amp;$X42, TRUE)</f>
        <v>69642</v>
      </c>
      <c r="Q42" s="2648" cm="1">
        <f t="array" aca="1" ref="Q42" ca="1">INDIRECT("'※ B2B 세부데이터'!"&amp;Q$1&amp;$X42, TRUE)</f>
        <v>71828</v>
      </c>
      <c r="X42" s="2527">
        <f>ROW('※ B2B 세부데이터'!J41)</f>
        <v>41</v>
      </c>
    </row>
    <row r="43" spans="1:24" ht="15.45" thickBot="1" x14ac:dyDescent="0.6">
      <c r="A43" s="7294"/>
      <c r="B43" s="7303"/>
      <c r="C43" s="7305"/>
      <c r="D43" s="2649" t="s">
        <v>759</v>
      </c>
      <c r="E43" s="2650" cm="1">
        <f t="array" aca="1" ref="E43" ca="1">INDIRECT("'※ B2B 세부데이터'!"&amp;E$1&amp;$X43, TRUE)</f>
        <v>270003</v>
      </c>
      <c r="F43" s="2651" cm="1">
        <f t="array" aca="1" ref="F43" ca="1">INDIRECT("'※ B2B 세부데이터'!"&amp;F$1&amp;$X43, TRUE)</f>
        <v>308002</v>
      </c>
      <c r="G43" s="2652" cm="1">
        <f t="array" aca="1" ref="G43" ca="1">INDIRECT("'※ B2B 세부데이터'!"&amp;G$1&amp;$X43, TRUE)</f>
        <v>269319</v>
      </c>
      <c r="H43" s="2653" cm="1">
        <f t="array" aca="1" ref="H43" ca="1">INDIRECT("'※ B2B 세부데이터'!"&amp;H$1&amp;$X43, TRUE)</f>
        <v>266647</v>
      </c>
      <c r="I43" s="2654" cm="1">
        <f t="array" aca="1" ref="I43" ca="1">INDIRECT("'※ B2B 세부데이터'!"&amp;I$1&amp;$X43, TRUE)</f>
        <v>265902</v>
      </c>
      <c r="J43" s="2654" cm="1">
        <f t="array" aca="1" ref="J43" ca="1">INDIRECT("'※ B2B 세부데이터'!"&amp;J$1&amp;$X43, TRUE)</f>
        <v>270627</v>
      </c>
      <c r="K43" s="2653" cm="1">
        <f t="array" aca="1" ref="K43" ca="1">INDIRECT("'※ B2B 세부데이터'!"&amp;K$1&amp;$X43, TRUE)</f>
        <v>275369</v>
      </c>
      <c r="L43" s="2653" cm="1">
        <f t="array" aca="1" ref="L43" ca="1">INDIRECT("'※ B2B 세부데이터'!"&amp;L$1&amp;$X43, TRUE)</f>
        <v>273476</v>
      </c>
      <c r="M43" s="2651" cm="1">
        <f t="array" aca="1" ref="M43" ca="1">INDIRECT("'※ B2B 세부데이터'!"&amp;M$1&amp;$X43, TRUE)</f>
        <v>278248</v>
      </c>
      <c r="N43" s="2653" cm="1">
        <f t="array" aca="1" ref="N43" ca="1">INDIRECT("'※ B2B 세부데이터'!"&amp;N$1&amp;$X43, TRUE)</f>
        <v>278248</v>
      </c>
      <c r="O43" s="2653" cm="1">
        <f t="array" aca="1" ref="O43" ca="1">INDIRECT("'※ B2B 세부데이터'!"&amp;O$1&amp;$X43, TRUE)</f>
        <v>277445</v>
      </c>
      <c r="P43" s="2655" cm="1">
        <f t="array" aca="1" ref="P43" ca="1">INDIRECT("'※ B2B 세부데이터'!"&amp;P$1&amp;$X43, TRUE)</f>
        <v>278248</v>
      </c>
      <c r="Q43" s="2656" cm="1">
        <f t="array" aca="1" ref="Q43" ca="1">INDIRECT("'※ B2B 세부데이터'!"&amp;Q$1&amp;$X43, TRUE)</f>
        <v>277846.5</v>
      </c>
      <c r="X43" s="2527">
        <f>ROW('※ B2B 세부데이터'!J42)</f>
        <v>42</v>
      </c>
    </row>
    <row r="44" spans="1:24" x14ac:dyDescent="0.55000000000000004">
      <c r="A44" s="7294"/>
      <c r="B44" s="7302" t="s">
        <v>755</v>
      </c>
      <c r="C44" s="7304" t="s">
        <v>757</v>
      </c>
      <c r="D44" s="2644" t="s">
        <v>758</v>
      </c>
      <c r="E44" s="2645" cm="1">
        <f t="array" aca="1" ref="E44" ca="1">INDIRECT("'※ B2B 세부데이터'!"&amp;E$1&amp;$X44, TRUE)</f>
        <v>139949</v>
      </c>
      <c r="F44" s="2646" cm="1">
        <f t="array" aca="1" ref="F44" ca="1">INDIRECT("'※ B2B 세부데이터'!"&amp;F$1&amp;$X44, TRUE)</f>
        <v>135119</v>
      </c>
      <c r="G44" s="2647" cm="1">
        <f t="array" aca="1" ref="G44" ca="1">INDIRECT("'※ B2B 세부데이터'!"&amp;G$1&amp;$X44, TRUE)</f>
        <v>139585</v>
      </c>
      <c r="H44" s="2613" cm="1">
        <f t="array" aca="1" ref="H44" ca="1">INDIRECT("'※ B2B 세부데이터'!"&amp;H$1&amp;$X44, TRUE)</f>
        <v>138848</v>
      </c>
      <c r="I44" s="2614" cm="1">
        <f t="array" aca="1" ref="I44" ca="1">INDIRECT("'※ B2B 세부데이터'!"&amp;I$1&amp;$X44, TRUE)</f>
        <v>139540</v>
      </c>
      <c r="J44" s="2614" cm="1">
        <f t="array" aca="1" ref="J44" ca="1">INDIRECT("'※ B2B 세부데이터'!"&amp;J$1&amp;$X44, TRUE)</f>
        <v>139098</v>
      </c>
      <c r="K44" s="2613" cm="1">
        <f t="array" aca="1" ref="K44" ca="1">INDIRECT("'※ B2B 세부데이터'!"&amp;K$1&amp;$X44, TRUE)</f>
        <v>138736</v>
      </c>
      <c r="L44" s="2613" cm="1">
        <f t="array" aca="1" ref="L44" ca="1">INDIRECT("'※ B2B 세부데이터'!"&amp;L$1&amp;$X44, TRUE)</f>
        <v>138058</v>
      </c>
      <c r="M44" s="2646" cm="1">
        <f t="array" aca="1" ref="M44" ca="1">INDIRECT("'※ B2B 세부데이터'!"&amp;M$1&amp;$X44, TRUE)</f>
        <v>134397</v>
      </c>
      <c r="N44" s="2613" cm="1">
        <f t="array" aca="1" ref="N44" ca="1">INDIRECT("'※ B2B 세부데이터'!"&amp;N$1&amp;$X44, TRUE)</f>
        <v>134397</v>
      </c>
      <c r="O44" s="2613" cm="1">
        <f t="array" aca="1" ref="O44" ca="1">INDIRECT("'※ B2B 세부데이터'!"&amp;O$1&amp;$X44, TRUE)</f>
        <v>135150</v>
      </c>
      <c r="P44" s="2586" cm="1">
        <f t="array" aca="1" ref="P44" ca="1">INDIRECT("'※ B2B 세부데이터'!"&amp;P$1&amp;$X44, TRUE)</f>
        <v>134397</v>
      </c>
      <c r="Q44" s="2648" cm="1">
        <f t="array" aca="1" ref="Q44" ca="1">INDIRECT("'※ B2B 세부데이터'!"&amp;Q$1&amp;$X44, TRUE)</f>
        <v>134773.5</v>
      </c>
      <c r="X44" s="2527">
        <f>ROW('※ B2B 세부데이터'!J43)</f>
        <v>43</v>
      </c>
    </row>
    <row r="45" spans="1:24" x14ac:dyDescent="0.55000000000000004">
      <c r="A45" s="7294"/>
      <c r="B45" s="7306"/>
      <c r="C45" s="7308"/>
      <c r="D45" s="2657" t="s">
        <v>759</v>
      </c>
      <c r="E45" s="2658" cm="1">
        <f t="array" aca="1" ref="E45" ca="1">INDIRECT("'※ B2B 세부데이터'!"&amp;E$1&amp;$X45, TRUE)</f>
        <v>48450</v>
      </c>
      <c r="F45" s="2659" cm="1">
        <f t="array" aca="1" ref="F45" ca="1">INDIRECT("'※ B2B 세부데이터'!"&amp;F$1&amp;$X45, TRUE)</f>
        <v>38902</v>
      </c>
      <c r="G45" s="2660" cm="1">
        <f t="array" aca="1" ref="G45" ca="1">INDIRECT("'※ B2B 세부데이터'!"&amp;G$1&amp;$X45, TRUE)</f>
        <v>49009</v>
      </c>
      <c r="H45" s="2661" cm="1">
        <f t="array" aca="1" ref="H45" ca="1">INDIRECT("'※ B2B 세부데이터'!"&amp;H$1&amp;$X45, TRUE)</f>
        <v>47298</v>
      </c>
      <c r="I45" s="2662" cm="1">
        <f t="array" aca="1" ref="I45" ca="1">INDIRECT("'※ B2B 세부데이터'!"&amp;I$1&amp;$X45, TRUE)</f>
        <v>46760</v>
      </c>
      <c r="J45" s="2662" cm="1">
        <f t="array" aca="1" ref="J45" ca="1">INDIRECT("'※ B2B 세부데이터'!"&amp;J$1&amp;$X45, TRUE)</f>
        <v>46059</v>
      </c>
      <c r="K45" s="2661" cm="1">
        <f t="array" aca="1" ref="K45" ca="1">INDIRECT("'※ B2B 세부데이터'!"&amp;K$1&amp;$X45, TRUE)</f>
        <v>44644</v>
      </c>
      <c r="L45" s="2661" cm="1">
        <f t="array" aca="1" ref="L45" ca="1">INDIRECT("'※ B2B 세부데이터'!"&amp;L$1&amp;$X45, TRUE)</f>
        <v>43960</v>
      </c>
      <c r="M45" s="2659" cm="1">
        <f t="array" aca="1" ref="M45" ca="1">INDIRECT("'※ B2B 세부데이터'!"&amp;M$1&amp;$X45, TRUE)</f>
        <v>38621</v>
      </c>
      <c r="N45" s="2661" cm="1">
        <f t="array" aca="1" ref="N45" ca="1">INDIRECT("'※ B2B 세부데이터'!"&amp;N$1&amp;$X45, TRUE)</f>
        <v>38621</v>
      </c>
      <c r="O45" s="2661" cm="1">
        <f t="array" aca="1" ref="O45" ca="1">INDIRECT("'※ B2B 세부데이터'!"&amp;O$1&amp;$X45, TRUE)</f>
        <v>38436</v>
      </c>
      <c r="P45" s="2663" cm="1">
        <f t="array" aca="1" ref="P45" ca="1">INDIRECT("'※ B2B 세부데이터'!"&amp;P$1&amp;$X45, TRUE)</f>
        <v>38621</v>
      </c>
      <c r="Q45" s="2664" cm="1">
        <f t="array" aca="1" ref="Q45" ca="1">INDIRECT("'※ B2B 세부데이터'!"&amp;Q$1&amp;$X45, TRUE)</f>
        <v>38528.5</v>
      </c>
      <c r="R45" s="1149"/>
      <c r="S45" s="1149"/>
      <c r="T45" s="1149"/>
      <c r="U45" s="1149"/>
      <c r="V45" s="1149"/>
      <c r="X45" s="2527">
        <f>ROW('※ B2B 세부데이터'!J44)</f>
        <v>44</v>
      </c>
    </row>
    <row r="46" spans="1:24" x14ac:dyDescent="0.55000000000000004">
      <c r="A46" s="7294"/>
      <c r="B46" s="7306"/>
      <c r="C46" s="7308" t="s">
        <v>760</v>
      </c>
      <c r="D46" s="2657" t="s">
        <v>758</v>
      </c>
      <c r="E46" s="2658" cm="1">
        <f t="array" aca="1" ref="E46" ca="1">INDIRECT("'※ B2B 세부데이터'!"&amp;E$1&amp;$X46, TRUE)</f>
        <v>137012</v>
      </c>
      <c r="F46" s="2659" cm="1">
        <f t="array" aca="1" ref="F46" ca="1">INDIRECT("'※ B2B 세부데이터'!"&amp;F$1&amp;$X46, TRUE)</f>
        <v>131430</v>
      </c>
      <c r="G46" s="2660" cm="1">
        <f t="array" aca="1" ref="G46" ca="1">INDIRECT("'※ B2B 세부데이터'!"&amp;G$1&amp;$X46, TRUE)</f>
        <v>136700</v>
      </c>
      <c r="H46" s="2661" cm="1">
        <f t="array" aca="1" ref="H46" ca="1">INDIRECT("'※ B2B 세부데이터'!"&amp;H$1&amp;$X46, TRUE)</f>
        <v>135777</v>
      </c>
      <c r="I46" s="2662" cm="1">
        <f t="array" aca="1" ref="I46" ca="1">INDIRECT("'※ B2B 세부데이터'!"&amp;I$1&amp;$X46, TRUE)</f>
        <v>136366</v>
      </c>
      <c r="J46" s="2662" cm="1">
        <f t="array" aca="1" ref="J46" ca="1">INDIRECT("'※ B2B 세부데이터'!"&amp;J$1&amp;$X46, TRUE)</f>
        <v>135621</v>
      </c>
      <c r="K46" s="2661" cm="1">
        <f t="array" aca="1" ref="K46" ca="1">INDIRECT("'※ B2B 세부데이터'!"&amp;K$1&amp;$X46, TRUE)</f>
        <v>135136</v>
      </c>
      <c r="L46" s="2661" cm="1">
        <f t="array" aca="1" ref="L46" ca="1">INDIRECT("'※ B2B 세부데이터'!"&amp;L$1&amp;$X46, TRUE)</f>
        <v>134514</v>
      </c>
      <c r="M46" s="2659" cm="1">
        <f t="array" aca="1" ref="M46" ca="1">INDIRECT("'※ B2B 세부데이터'!"&amp;M$1&amp;$X46, TRUE)</f>
        <v>131224</v>
      </c>
      <c r="N46" s="2661" cm="1">
        <f t="array" aca="1" ref="N46" ca="1">INDIRECT("'※ B2B 세부데이터'!"&amp;N$1&amp;$X46, TRUE)</f>
        <v>131224</v>
      </c>
      <c r="O46" s="2661" cm="1">
        <f t="array" aca="1" ref="O46" ca="1">INDIRECT("'※ B2B 세부데이터'!"&amp;O$1&amp;$X46, TRUE)</f>
        <v>135150</v>
      </c>
      <c r="P46" s="2663" cm="1">
        <f t="array" aca="1" ref="P46" ca="1">INDIRECT("'※ B2B 세부데이터'!"&amp;P$1&amp;$X46, TRUE)</f>
        <v>131224</v>
      </c>
      <c r="Q46" s="2664" cm="1">
        <f t="array" aca="1" ref="Q46" ca="1">INDIRECT("'※ B2B 세부데이터'!"&amp;Q$1&amp;$X46, TRUE)</f>
        <v>133187</v>
      </c>
      <c r="R46" s="1149"/>
      <c r="S46" s="1149"/>
      <c r="T46" s="1149"/>
      <c r="U46" s="1149"/>
      <c r="V46" s="1149"/>
      <c r="X46" s="2527">
        <f>ROW('※ B2B 세부데이터'!J45)</f>
        <v>45</v>
      </c>
    </row>
    <row r="47" spans="1:24" ht="15.45" thickBot="1" x14ac:dyDescent="0.6">
      <c r="A47" s="7295"/>
      <c r="B47" s="7307"/>
      <c r="C47" s="7309"/>
      <c r="D47" s="2665" t="s">
        <v>759</v>
      </c>
      <c r="E47" s="2666" cm="1">
        <f t="array" aca="1" ref="E47" ca="1">INDIRECT("'※ B2B 세부데이터'!"&amp;E$1&amp;$X47, TRUE)</f>
        <v>45425</v>
      </c>
      <c r="F47" s="2667" cm="1">
        <f t="array" aca="1" ref="F47" ca="1">INDIRECT("'※ B2B 세부데이터'!"&amp;F$1&amp;$X47, TRUE)</f>
        <v>33623</v>
      </c>
      <c r="G47" s="2668" cm="1">
        <f t="array" aca="1" ref="G47" ca="1">INDIRECT("'※ B2B 세부데이터'!"&amp;G$1&amp;$X47, TRUE)</f>
        <v>45005</v>
      </c>
      <c r="H47" s="2669" cm="1">
        <f t="array" aca="1" ref="H47" ca="1">INDIRECT("'※ B2B 세부데이터'!"&amp;H$1&amp;$X47, TRUE)</f>
        <v>44403</v>
      </c>
      <c r="I47" s="2669" cm="1">
        <f t="array" aca="1" ref="I47" ca="1">INDIRECT("'※ B2B 세부데이터'!"&amp;I$1&amp;$X47, TRUE)</f>
        <v>44108</v>
      </c>
      <c r="J47" s="2669" cm="1">
        <f t="array" aca="1" ref="J47" ca="1">INDIRECT("'※ B2B 세부데이터'!"&amp;J$1&amp;$X47, TRUE)</f>
        <v>43675</v>
      </c>
      <c r="K47" s="2670" cm="1">
        <f t="array" aca="1" ref="K47" ca="1">INDIRECT("'※ B2B 세부데이터'!"&amp;K$1&amp;$X47, TRUE)</f>
        <v>41389</v>
      </c>
      <c r="L47" s="2670" cm="1">
        <f t="array" aca="1" ref="L47" ca="1">INDIRECT("'※ B2B 세부데이터'!"&amp;L$1&amp;$X47, TRUE)</f>
        <v>40521</v>
      </c>
      <c r="M47" s="2667" cm="1">
        <f t="array" aca="1" ref="M47" ca="1">INDIRECT("'※ B2B 세부데이터'!"&amp;M$1&amp;$X47, TRUE)</f>
        <v>33466</v>
      </c>
      <c r="N47" s="2670" cm="1">
        <f t="array" aca="1" ref="N47" ca="1">INDIRECT("'※ B2B 세부데이터'!"&amp;N$1&amp;$X47, TRUE)</f>
        <v>33466</v>
      </c>
      <c r="O47" s="2670" cm="1">
        <f t="array" aca="1" ref="O47" ca="1">INDIRECT("'※ B2B 세부데이터'!"&amp;O$1&amp;$X47, TRUE)</f>
        <v>131674</v>
      </c>
      <c r="P47" s="2671" cm="1">
        <f t="array" aca="1" ref="P47" ca="1">INDIRECT("'※ B2B 세부데이터'!"&amp;P$1&amp;$X47, TRUE)</f>
        <v>33466</v>
      </c>
      <c r="Q47" s="2672" cm="1">
        <f t="array" aca="1" ref="Q47" ca="1">INDIRECT("'※ B2B 세부데이터'!"&amp;Q$1&amp;$X47, TRUE)</f>
        <v>82570</v>
      </c>
      <c r="R47" s="1149"/>
      <c r="S47" s="1149"/>
      <c r="T47" s="1149"/>
      <c r="U47" s="1149"/>
      <c r="V47" s="1149"/>
      <c r="X47" s="2527">
        <f>ROW('※ B2B 세부데이터'!J46)</f>
        <v>46</v>
      </c>
    </row>
    <row r="48" spans="1:24" ht="25" customHeight="1" x14ac:dyDescent="0.55000000000000004">
      <c r="B48" s="1149"/>
      <c r="C48" s="2673" t="s">
        <v>762</v>
      </c>
      <c r="D48" s="2673"/>
      <c r="E48" s="2673"/>
      <c r="F48" s="1149"/>
      <c r="G48" s="1149"/>
      <c r="H48" s="2674"/>
      <c r="I48" s="2675"/>
      <c r="J48" s="2676"/>
      <c r="K48" s="2674"/>
      <c r="L48" s="2674"/>
      <c r="M48" s="1149"/>
      <c r="N48" s="2674"/>
      <c r="O48" s="2674"/>
      <c r="P48" s="1149"/>
      <c r="Q48" s="1149"/>
      <c r="R48" s="1149"/>
      <c r="S48" s="1149"/>
      <c r="T48" s="1149"/>
      <c r="U48" s="1149"/>
      <c r="V48" s="1149"/>
      <c r="X48" s="2527">
        <f>ROW('※ B2B 세부데이터'!J47)</f>
        <v>47</v>
      </c>
    </row>
    <row r="49" spans="2:22" x14ac:dyDescent="0.55000000000000004">
      <c r="B49" s="1149"/>
      <c r="C49" s="2673"/>
      <c r="D49" s="2673"/>
      <c r="E49" s="2673"/>
      <c r="F49" s="1149"/>
      <c r="G49" s="1149"/>
      <c r="H49" s="2674"/>
      <c r="I49" s="2675"/>
      <c r="J49" s="2676"/>
      <c r="K49" s="2674"/>
      <c r="L49" s="2674"/>
      <c r="M49" s="1149"/>
      <c r="N49" s="2674"/>
      <c r="O49" s="2674"/>
      <c r="P49" s="1149"/>
      <c r="Q49" s="1149"/>
      <c r="R49" s="1149"/>
      <c r="S49" s="1149"/>
      <c r="T49" s="1149"/>
      <c r="U49" s="1149"/>
      <c r="V49" s="1149"/>
    </row>
    <row r="50" spans="2:22" x14ac:dyDescent="0.55000000000000004">
      <c r="B50" s="1149"/>
      <c r="C50" s="2673"/>
      <c r="D50" s="2673"/>
      <c r="E50" s="2673"/>
      <c r="F50" s="1149"/>
      <c r="G50" s="1149"/>
      <c r="H50" s="1149"/>
      <c r="I50" s="2675"/>
      <c r="J50" s="2676"/>
      <c r="K50" s="2674"/>
      <c r="L50" s="2674"/>
      <c r="M50" s="1149"/>
      <c r="N50" s="2674"/>
      <c r="O50" s="2674"/>
      <c r="P50" s="1149"/>
      <c r="Q50" s="1149"/>
      <c r="R50" s="1149"/>
      <c r="S50" s="1149"/>
      <c r="T50" s="1149"/>
      <c r="U50" s="1149"/>
      <c r="V50" s="1149"/>
    </row>
    <row r="51" spans="2:22" x14ac:dyDescent="0.55000000000000004">
      <c r="B51" s="1149"/>
      <c r="C51" s="2673"/>
      <c r="D51" s="2673"/>
      <c r="E51" s="2673"/>
      <c r="F51" s="1149"/>
      <c r="G51" s="1149"/>
      <c r="H51" s="1149"/>
      <c r="I51" s="2675"/>
      <c r="J51" s="2676"/>
      <c r="K51" s="2674"/>
      <c r="L51" s="2674"/>
      <c r="M51" s="1149"/>
      <c r="N51" s="2674"/>
      <c r="O51" s="2674"/>
      <c r="P51" s="1149"/>
      <c r="Q51" s="1149"/>
      <c r="R51" s="1149"/>
      <c r="S51" s="1149"/>
      <c r="T51" s="1149"/>
      <c r="U51" s="1149"/>
      <c r="V51" s="1149"/>
    </row>
    <row r="52" spans="2:22" x14ac:dyDescent="0.55000000000000004">
      <c r="B52" s="1149"/>
      <c r="C52" s="2673"/>
      <c r="D52" s="2673"/>
      <c r="E52" s="2673"/>
      <c r="F52" s="1149"/>
      <c r="G52" s="1149"/>
      <c r="H52" s="1149"/>
      <c r="I52" s="2675"/>
      <c r="J52" s="2676"/>
      <c r="K52" s="2674"/>
      <c r="L52" s="2674"/>
      <c r="M52" s="1149"/>
      <c r="N52" s="2674"/>
      <c r="O52" s="2674"/>
      <c r="P52" s="1149"/>
      <c r="Q52" s="1149"/>
      <c r="R52" s="1149"/>
      <c r="S52" s="1149"/>
      <c r="T52" s="1149"/>
      <c r="U52" s="1149"/>
      <c r="V52" s="1149"/>
    </row>
    <row r="53" spans="2:22" x14ac:dyDescent="0.55000000000000004">
      <c r="B53" s="1149"/>
      <c r="C53" s="2673"/>
      <c r="D53" s="2673"/>
      <c r="E53" s="2673"/>
      <c r="F53" s="1149"/>
      <c r="G53" s="1149"/>
      <c r="H53" s="1149"/>
      <c r="I53" s="2675"/>
      <c r="J53" s="2676"/>
      <c r="K53" s="2674"/>
      <c r="L53" s="2674"/>
      <c r="M53" s="1149"/>
      <c r="N53" s="2674"/>
      <c r="O53" s="2674"/>
      <c r="P53" s="1149"/>
      <c r="Q53" s="1149"/>
      <c r="R53" s="1149"/>
      <c r="S53" s="1149"/>
      <c r="T53" s="1149"/>
      <c r="U53" s="1149"/>
      <c r="V53" s="1149"/>
    </row>
    <row r="54" spans="2:22" x14ac:dyDescent="0.55000000000000004">
      <c r="B54" s="1149"/>
      <c r="C54" s="2673"/>
      <c r="D54" s="2673"/>
      <c r="E54" s="2673"/>
      <c r="F54" s="1149"/>
      <c r="G54" s="1149"/>
      <c r="H54" s="1149"/>
      <c r="I54" s="2675"/>
      <c r="J54" s="2676"/>
      <c r="K54" s="2674"/>
      <c r="L54" s="2674"/>
      <c r="M54" s="1149"/>
      <c r="N54" s="2674"/>
      <c r="O54" s="2674"/>
      <c r="P54" s="1149"/>
      <c r="Q54" s="1149"/>
      <c r="R54" s="1149"/>
      <c r="S54" s="1149"/>
      <c r="T54" s="1149"/>
      <c r="U54" s="1149"/>
      <c r="V54" s="1149"/>
    </row>
    <row r="55" spans="2:22" x14ac:dyDescent="0.55000000000000004">
      <c r="B55" s="1149"/>
      <c r="C55" s="2673"/>
      <c r="D55" s="2673"/>
      <c r="E55" s="2673"/>
      <c r="F55" s="1149"/>
      <c r="G55" s="1149"/>
      <c r="H55" s="1149"/>
      <c r="I55" s="2675"/>
      <c r="J55" s="2676"/>
      <c r="K55" s="2674"/>
      <c r="L55" s="2674"/>
      <c r="M55" s="1149"/>
      <c r="N55" s="2674"/>
      <c r="O55" s="2674"/>
      <c r="P55" s="1149"/>
      <c r="Q55" s="1149"/>
      <c r="R55" s="1149"/>
      <c r="S55" s="1149"/>
      <c r="T55" s="1149"/>
      <c r="U55" s="1149"/>
      <c r="V55" s="1149"/>
    </row>
    <row r="56" spans="2:22" x14ac:dyDescent="0.55000000000000004">
      <c r="B56" s="1149"/>
      <c r="C56" s="2673"/>
      <c r="D56" s="2673"/>
      <c r="E56" s="2673"/>
      <c r="F56" s="1149"/>
      <c r="G56" s="1149"/>
      <c r="H56" s="1149"/>
      <c r="I56" s="2675"/>
      <c r="J56" s="2676"/>
      <c r="K56" s="2674"/>
      <c r="L56" s="2674"/>
      <c r="M56" s="1149"/>
      <c r="N56" s="2674"/>
      <c r="O56" s="2674"/>
      <c r="P56" s="1149"/>
      <c r="Q56" s="1149"/>
      <c r="R56" s="1149"/>
      <c r="S56" s="1149"/>
      <c r="T56" s="1149"/>
      <c r="U56" s="1149"/>
      <c r="V56" s="1149"/>
    </row>
    <row r="57" spans="2:22" x14ac:dyDescent="0.55000000000000004">
      <c r="B57" s="1149"/>
      <c r="C57" s="2673"/>
      <c r="D57" s="2673"/>
      <c r="E57" s="2673"/>
      <c r="F57" s="1149"/>
      <c r="G57" s="1149"/>
      <c r="H57" s="1149"/>
      <c r="I57" s="2675"/>
      <c r="J57" s="2676"/>
      <c r="K57" s="2674"/>
      <c r="L57" s="2674"/>
      <c r="M57" s="1149"/>
      <c r="N57" s="2674"/>
      <c r="O57" s="2674"/>
      <c r="P57" s="1149"/>
      <c r="Q57" s="1149"/>
      <c r="R57" s="1149"/>
      <c r="S57" s="1149"/>
      <c r="T57" s="1149"/>
      <c r="U57" s="1149"/>
      <c r="V57" s="1149"/>
    </row>
    <row r="58" spans="2:22" x14ac:dyDescent="0.55000000000000004">
      <c r="B58" s="1149"/>
      <c r="C58" s="2673"/>
      <c r="D58" s="2673"/>
      <c r="E58" s="2673"/>
      <c r="F58" s="1149"/>
      <c r="G58" s="1149"/>
      <c r="H58" s="1149"/>
      <c r="I58" s="2675"/>
      <c r="J58" s="2676"/>
      <c r="K58" s="2674"/>
      <c r="L58" s="2674"/>
      <c r="M58" s="1149"/>
      <c r="N58" s="2674"/>
      <c r="O58" s="2674"/>
      <c r="P58" s="1149"/>
      <c r="Q58" s="1149"/>
      <c r="R58" s="1149"/>
      <c r="S58" s="1149"/>
      <c r="T58" s="1149"/>
      <c r="U58" s="1149"/>
      <c r="V58" s="1149"/>
    </row>
    <row r="59" spans="2:22" x14ac:dyDescent="0.55000000000000004">
      <c r="B59" s="1149"/>
      <c r="C59" s="2673"/>
      <c r="D59" s="2673"/>
      <c r="E59" s="2673"/>
      <c r="F59" s="1149"/>
      <c r="G59" s="1149"/>
      <c r="H59" s="1149"/>
      <c r="I59" s="2675"/>
      <c r="J59" s="2676"/>
      <c r="K59" s="2674"/>
      <c r="L59" s="2674"/>
      <c r="M59" s="1149"/>
      <c r="N59" s="2674"/>
      <c r="O59" s="2674"/>
      <c r="P59" s="1149"/>
      <c r="Q59" s="1149"/>
      <c r="R59" s="1149"/>
      <c r="S59" s="1149"/>
      <c r="T59" s="1149"/>
      <c r="U59" s="1149"/>
      <c r="V59" s="1149"/>
    </row>
    <row r="60" spans="2:22" x14ac:dyDescent="0.55000000000000004">
      <c r="B60" s="1149"/>
      <c r="C60" s="2673"/>
      <c r="D60" s="2673"/>
      <c r="E60" s="2673"/>
      <c r="F60" s="1149"/>
      <c r="G60" s="1149"/>
      <c r="H60" s="1149"/>
      <c r="I60" s="2675"/>
      <c r="J60" s="2676"/>
      <c r="K60" s="2674"/>
      <c r="L60" s="2674"/>
      <c r="M60" s="1149"/>
      <c r="N60" s="2674"/>
      <c r="O60" s="2674"/>
      <c r="P60" s="1149"/>
      <c r="Q60" s="1149"/>
      <c r="R60" s="1149"/>
      <c r="S60" s="1149"/>
      <c r="T60" s="1149"/>
      <c r="U60" s="1149"/>
      <c r="V60" s="1149"/>
    </row>
    <row r="62" spans="2:22" x14ac:dyDescent="0.55000000000000004">
      <c r="B62" s="1149"/>
      <c r="C62" s="2673"/>
      <c r="D62" s="2673"/>
      <c r="E62" s="2673"/>
      <c r="F62" s="1149"/>
      <c r="G62" s="1149"/>
      <c r="H62" s="1149"/>
      <c r="I62" s="2675"/>
      <c r="J62" s="2676"/>
      <c r="K62" s="2674"/>
      <c r="L62" s="2674"/>
      <c r="M62" s="1149"/>
      <c r="N62" s="2674"/>
      <c r="O62" s="2674"/>
      <c r="P62" s="1149"/>
      <c r="Q62" s="1149"/>
      <c r="R62" s="1149"/>
      <c r="S62" s="1149"/>
      <c r="T62" s="1149"/>
      <c r="U62" s="1149"/>
      <c r="V62" s="1149"/>
    </row>
    <row r="63" spans="2:22" x14ac:dyDescent="0.55000000000000004">
      <c r="B63" s="1149"/>
      <c r="C63" s="2673"/>
      <c r="D63" s="2673"/>
      <c r="E63" s="2673"/>
      <c r="F63" s="1149"/>
      <c r="G63" s="1149"/>
      <c r="H63" s="1149"/>
      <c r="I63" s="2675"/>
      <c r="J63" s="2676"/>
      <c r="K63" s="2674"/>
      <c r="L63" s="2674"/>
      <c r="M63" s="1149"/>
      <c r="N63" s="2674"/>
      <c r="O63" s="2674"/>
      <c r="P63" s="1149"/>
      <c r="Q63" s="1149"/>
      <c r="R63" s="1149"/>
      <c r="S63" s="1149"/>
      <c r="T63" s="1149"/>
      <c r="U63" s="1149"/>
      <c r="V63" s="1149"/>
    </row>
    <row r="64" spans="2:22" x14ac:dyDescent="0.55000000000000004">
      <c r="B64" s="1149"/>
      <c r="C64" s="2673"/>
      <c r="D64" s="2673"/>
      <c r="E64" s="2673"/>
      <c r="F64" s="1149"/>
      <c r="G64" s="1149"/>
      <c r="H64" s="1149"/>
      <c r="I64" s="2675"/>
      <c r="J64" s="2676"/>
      <c r="K64" s="2674"/>
      <c r="L64" s="2674"/>
      <c r="M64" s="1149"/>
      <c r="N64" s="2674"/>
      <c r="O64" s="2674"/>
      <c r="P64" s="1149"/>
      <c r="Q64" s="1149"/>
      <c r="R64" s="1149"/>
      <c r="S64" s="1149"/>
      <c r="T64" s="1149"/>
      <c r="U64" s="1149"/>
      <c r="V64" s="1149"/>
    </row>
    <row r="65" spans="2:22" x14ac:dyDescent="0.55000000000000004">
      <c r="B65" s="1149"/>
      <c r="C65" s="2673"/>
      <c r="D65" s="2673"/>
      <c r="E65" s="2673"/>
      <c r="F65" s="1149"/>
      <c r="G65" s="1149"/>
      <c r="H65" s="1149"/>
      <c r="I65" s="2675"/>
      <c r="J65" s="2676"/>
      <c r="K65" s="2674"/>
      <c r="L65" s="2674"/>
      <c r="M65" s="1149"/>
      <c r="N65" s="2674"/>
      <c r="O65" s="2674"/>
      <c r="P65" s="1149"/>
      <c r="Q65" s="1149"/>
      <c r="R65" s="1149"/>
      <c r="S65" s="1149"/>
      <c r="T65" s="1149"/>
      <c r="U65" s="1149"/>
      <c r="V65" s="1149"/>
    </row>
    <row r="66" spans="2:22" x14ac:dyDescent="0.55000000000000004">
      <c r="B66" s="1149"/>
      <c r="C66" s="2673"/>
      <c r="D66" s="2673"/>
      <c r="E66" s="2673"/>
      <c r="F66" s="1149"/>
      <c r="G66" s="1149"/>
      <c r="H66" s="1149"/>
      <c r="I66" s="2675"/>
      <c r="J66" s="2676"/>
      <c r="K66" s="2674"/>
      <c r="L66" s="2674"/>
      <c r="M66" s="1149"/>
      <c r="N66" s="2674"/>
      <c r="O66" s="2674"/>
      <c r="P66" s="1149"/>
      <c r="Q66" s="1149"/>
      <c r="R66" s="1149"/>
      <c r="S66" s="1149"/>
      <c r="T66" s="1149"/>
      <c r="U66" s="1149"/>
      <c r="V66" s="1149"/>
    </row>
    <row r="67" spans="2:22" x14ac:dyDescent="0.55000000000000004">
      <c r="B67" s="1149"/>
      <c r="C67" s="2673"/>
      <c r="D67" s="2673"/>
      <c r="E67" s="2673"/>
      <c r="F67" s="1149"/>
      <c r="G67" s="1149"/>
      <c r="H67" s="1149"/>
      <c r="I67" s="2675"/>
      <c r="J67" s="2676"/>
      <c r="K67" s="2674"/>
      <c r="L67" s="2674"/>
      <c r="M67" s="1149"/>
      <c r="N67" s="2674"/>
      <c r="O67" s="2674"/>
      <c r="P67" s="1149"/>
      <c r="Q67" s="1149"/>
      <c r="R67" s="1149"/>
      <c r="S67" s="1149"/>
      <c r="T67" s="1149"/>
      <c r="U67" s="1149"/>
      <c r="V67" s="1149"/>
    </row>
    <row r="68" spans="2:22" x14ac:dyDescent="0.55000000000000004">
      <c r="B68" s="1149"/>
      <c r="C68" s="2673"/>
      <c r="D68" s="2673"/>
      <c r="E68" s="2673"/>
      <c r="F68" s="1149"/>
      <c r="G68" s="1149"/>
      <c r="H68" s="1149"/>
      <c r="I68" s="2675"/>
      <c r="J68" s="2676"/>
      <c r="K68" s="2674"/>
      <c r="L68" s="2674"/>
      <c r="M68" s="1149"/>
      <c r="N68" s="2674"/>
      <c r="O68" s="2674"/>
      <c r="P68" s="1149"/>
      <c r="Q68" s="1149"/>
      <c r="R68" s="1149"/>
      <c r="S68" s="1149"/>
      <c r="T68" s="1149"/>
      <c r="U68" s="1149"/>
      <c r="V68" s="1149"/>
    </row>
    <row r="69" spans="2:22" x14ac:dyDescent="0.55000000000000004">
      <c r="B69" s="1149"/>
      <c r="C69" s="2673"/>
      <c r="D69" s="2673"/>
      <c r="E69" s="2673"/>
      <c r="F69" s="1149"/>
      <c r="G69" s="1149"/>
      <c r="H69" s="1149"/>
      <c r="I69" s="2675"/>
      <c r="J69" s="2676"/>
      <c r="K69" s="2674"/>
      <c r="L69" s="2674"/>
      <c r="M69" s="1149"/>
      <c r="N69" s="2674"/>
      <c r="O69" s="2674"/>
      <c r="P69" s="1149"/>
      <c r="Q69" s="1149"/>
      <c r="R69" s="1149"/>
      <c r="S69" s="1149"/>
      <c r="T69" s="1149"/>
      <c r="U69" s="1149"/>
      <c r="V69" s="1149"/>
    </row>
    <row r="70" spans="2:22" x14ac:dyDescent="0.55000000000000004">
      <c r="B70" s="1149"/>
      <c r="C70" s="2673"/>
      <c r="D70" s="2673"/>
      <c r="E70" s="2673"/>
      <c r="F70" s="1149"/>
      <c r="G70" s="1149"/>
      <c r="H70" s="1149"/>
      <c r="I70" s="2675"/>
      <c r="J70" s="2676"/>
      <c r="K70" s="2674"/>
      <c r="L70" s="2674"/>
      <c r="M70" s="1149"/>
      <c r="N70" s="2674"/>
      <c r="O70" s="2674"/>
      <c r="P70" s="1149"/>
      <c r="Q70" s="1149"/>
      <c r="R70" s="1149"/>
      <c r="S70" s="1149"/>
      <c r="T70" s="1149"/>
      <c r="U70" s="1149"/>
      <c r="V70" s="1149"/>
    </row>
    <row r="71" spans="2:22" x14ac:dyDescent="0.55000000000000004">
      <c r="B71" s="1149"/>
      <c r="C71" s="2673"/>
      <c r="D71" s="2673"/>
      <c r="E71" s="2673"/>
      <c r="F71" s="1149"/>
      <c r="G71" s="1149"/>
      <c r="H71" s="1149"/>
      <c r="I71" s="2675"/>
      <c r="J71" s="2676"/>
      <c r="K71" s="2674"/>
      <c r="L71" s="2674"/>
      <c r="M71" s="1149"/>
      <c r="N71" s="2674"/>
      <c r="O71" s="2674"/>
      <c r="P71" s="1149"/>
      <c r="Q71" s="1149"/>
      <c r="R71" s="1149"/>
      <c r="S71" s="1149"/>
      <c r="T71" s="1149"/>
      <c r="U71" s="1149"/>
      <c r="V71" s="1149"/>
    </row>
    <row r="72" spans="2:22" x14ac:dyDescent="0.55000000000000004">
      <c r="B72" s="1149"/>
      <c r="C72" s="2673"/>
      <c r="D72" s="2673"/>
      <c r="E72" s="2673"/>
      <c r="F72" s="1149"/>
      <c r="G72" s="1149"/>
      <c r="H72" s="1149"/>
      <c r="I72" s="2675"/>
      <c r="J72" s="2676"/>
      <c r="K72" s="2674"/>
      <c r="L72" s="2674"/>
      <c r="M72" s="1149"/>
      <c r="N72" s="2674"/>
      <c r="O72" s="2674"/>
      <c r="P72" s="1149"/>
      <c r="Q72" s="1149"/>
      <c r="R72" s="1149"/>
      <c r="S72" s="1149"/>
      <c r="T72" s="1149"/>
      <c r="U72" s="1149"/>
      <c r="V72" s="1149"/>
    </row>
    <row r="73" spans="2:22" x14ac:dyDescent="0.55000000000000004">
      <c r="B73" s="1149"/>
      <c r="C73" s="2673"/>
      <c r="D73" s="2673"/>
      <c r="E73" s="2673"/>
      <c r="F73" s="1149"/>
      <c r="G73" s="1149"/>
      <c r="H73" s="1149"/>
      <c r="I73" s="2675"/>
      <c r="J73" s="2676"/>
      <c r="K73" s="2674"/>
      <c r="L73" s="2674"/>
      <c r="M73" s="1149"/>
      <c r="N73" s="2674"/>
      <c r="O73" s="2674"/>
      <c r="P73" s="1149"/>
      <c r="Q73" s="1149"/>
      <c r="R73" s="1149"/>
      <c r="S73" s="1149"/>
      <c r="T73" s="1149"/>
      <c r="U73" s="1149"/>
      <c r="V73" s="1149"/>
    </row>
    <row r="74" spans="2:22" x14ac:dyDescent="0.55000000000000004">
      <c r="B74" s="1149"/>
      <c r="C74" s="2673"/>
      <c r="D74" s="2673"/>
      <c r="E74" s="2673"/>
      <c r="F74" s="1149"/>
      <c r="G74" s="1149"/>
      <c r="H74" s="1149"/>
      <c r="I74" s="2675"/>
      <c r="J74" s="2676"/>
      <c r="K74" s="2674"/>
      <c r="L74" s="2674"/>
      <c r="M74" s="1149"/>
      <c r="N74" s="2674"/>
      <c r="O74" s="2674"/>
      <c r="P74" s="1149"/>
      <c r="Q74" s="1149"/>
      <c r="R74" s="1149"/>
      <c r="S74" s="1149"/>
      <c r="T74" s="1149"/>
      <c r="U74" s="1149"/>
      <c r="V74" s="1149"/>
    </row>
    <row r="75" spans="2:22" x14ac:dyDescent="0.55000000000000004">
      <c r="B75" s="1149"/>
      <c r="C75" s="2673"/>
      <c r="D75" s="2673"/>
      <c r="E75" s="2673"/>
      <c r="F75" s="1149"/>
      <c r="G75" s="1149"/>
      <c r="H75" s="1149"/>
      <c r="I75" s="2675"/>
      <c r="J75" s="2676"/>
      <c r="K75" s="2674"/>
      <c r="L75" s="2674"/>
      <c r="M75" s="1149"/>
      <c r="N75" s="2674"/>
      <c r="O75" s="2674"/>
      <c r="P75" s="1149"/>
      <c r="Q75" s="1149"/>
      <c r="R75" s="1149"/>
      <c r="S75" s="1149"/>
      <c r="T75" s="1149"/>
      <c r="U75" s="1149"/>
      <c r="V75" s="1149"/>
    </row>
    <row r="76" spans="2:22" x14ac:dyDescent="0.55000000000000004">
      <c r="B76" s="1149"/>
      <c r="C76" s="2673"/>
      <c r="D76" s="2673"/>
      <c r="E76" s="2673"/>
      <c r="F76" s="1149"/>
      <c r="G76" s="1149"/>
      <c r="H76" s="1149"/>
      <c r="I76" s="2675"/>
      <c r="J76" s="2676"/>
      <c r="K76" s="2674"/>
      <c r="L76" s="2674"/>
      <c r="M76" s="1149"/>
      <c r="N76" s="2674"/>
      <c r="O76" s="2674"/>
      <c r="P76" s="1149"/>
      <c r="Q76" s="1149"/>
      <c r="R76" s="1149"/>
      <c r="S76" s="1149"/>
      <c r="T76" s="1149"/>
      <c r="U76" s="1149"/>
      <c r="V76" s="1149"/>
    </row>
    <row r="77" spans="2:22" x14ac:dyDescent="0.55000000000000004">
      <c r="B77" s="1149"/>
      <c r="C77" s="2673"/>
      <c r="D77" s="2673"/>
      <c r="E77" s="2673"/>
      <c r="F77" s="1149"/>
      <c r="G77" s="1149"/>
      <c r="H77" s="1149"/>
      <c r="I77" s="2675"/>
      <c r="J77" s="2676"/>
      <c r="K77" s="2674"/>
      <c r="L77" s="2674"/>
      <c r="M77" s="1149"/>
      <c r="N77" s="2674"/>
      <c r="O77" s="2674"/>
      <c r="P77" s="1149"/>
      <c r="Q77" s="1149"/>
      <c r="R77" s="1149"/>
      <c r="S77" s="1149"/>
      <c r="T77" s="1149"/>
      <c r="U77" s="1149"/>
      <c r="V77" s="1149"/>
    </row>
    <row r="78" spans="2:22" x14ac:dyDescent="0.55000000000000004">
      <c r="B78" s="1149"/>
      <c r="C78" s="2673"/>
      <c r="D78" s="2673"/>
      <c r="E78" s="2673"/>
      <c r="F78" s="1149"/>
      <c r="G78" s="1149"/>
      <c r="H78" s="1149"/>
      <c r="I78" s="2675"/>
      <c r="J78" s="2676"/>
      <c r="K78" s="2674"/>
      <c r="L78" s="2674"/>
      <c r="M78" s="1149"/>
      <c r="N78" s="2674"/>
      <c r="O78" s="2674"/>
      <c r="P78" s="1149"/>
      <c r="Q78" s="1149"/>
      <c r="R78" s="1149"/>
      <c r="S78" s="1149"/>
      <c r="T78" s="1149"/>
      <c r="U78" s="1149"/>
      <c r="V78" s="1149"/>
    </row>
    <row r="79" spans="2:22" x14ac:dyDescent="0.55000000000000004">
      <c r="B79" s="1149"/>
      <c r="C79" s="2673"/>
      <c r="D79" s="2673"/>
      <c r="E79" s="2673"/>
      <c r="F79" s="1149"/>
      <c r="G79" s="1149"/>
      <c r="H79" s="1149"/>
      <c r="I79" s="2675"/>
      <c r="J79" s="2676"/>
      <c r="K79" s="2674"/>
      <c r="L79" s="2674"/>
      <c r="M79" s="1149"/>
      <c r="N79" s="2674"/>
      <c r="O79" s="2674"/>
      <c r="P79" s="1149"/>
      <c r="Q79" s="1149"/>
      <c r="R79" s="1149"/>
      <c r="S79" s="1149"/>
      <c r="T79" s="1149"/>
      <c r="U79" s="1149"/>
      <c r="V79" s="1149"/>
    </row>
    <row r="80" spans="2:22" x14ac:dyDescent="0.55000000000000004">
      <c r="B80" s="1149"/>
      <c r="C80" s="2673"/>
      <c r="D80" s="2673"/>
      <c r="E80" s="2673"/>
      <c r="F80" s="1149"/>
      <c r="G80" s="1149"/>
      <c r="H80" s="1149"/>
      <c r="I80" s="2675"/>
      <c r="J80" s="2676"/>
      <c r="K80" s="2674"/>
      <c r="L80" s="2674"/>
      <c r="M80" s="1149"/>
      <c r="N80" s="2674"/>
      <c r="O80" s="2674"/>
      <c r="P80" s="1149"/>
      <c r="Q80" s="1149"/>
      <c r="R80" s="1149"/>
      <c r="S80" s="1149"/>
      <c r="T80" s="1149"/>
      <c r="U80" s="1149"/>
      <c r="V80" s="1149"/>
    </row>
    <row r="81" spans="2:22" x14ac:dyDescent="0.55000000000000004">
      <c r="B81" s="1149"/>
      <c r="C81" s="2673"/>
      <c r="D81" s="2673"/>
      <c r="E81" s="2673"/>
      <c r="F81" s="1149"/>
      <c r="G81" s="1149"/>
      <c r="H81" s="1149"/>
      <c r="I81" s="2675"/>
      <c r="J81" s="2676"/>
      <c r="K81" s="2674"/>
      <c r="L81" s="2674"/>
      <c r="M81" s="1149"/>
      <c r="N81" s="2674"/>
      <c r="O81" s="2674"/>
      <c r="P81" s="1149"/>
      <c r="Q81" s="1149"/>
      <c r="R81" s="1149"/>
      <c r="S81" s="1149"/>
      <c r="T81" s="1149"/>
      <c r="U81" s="1149"/>
      <c r="V81" s="1149"/>
    </row>
    <row r="82" spans="2:22" x14ac:dyDescent="0.55000000000000004">
      <c r="B82" s="1149"/>
      <c r="C82" s="2673"/>
      <c r="D82" s="2673"/>
      <c r="E82" s="2673"/>
      <c r="F82" s="1149"/>
      <c r="G82" s="1149"/>
      <c r="H82" s="1149"/>
      <c r="I82" s="2675"/>
      <c r="J82" s="2676"/>
      <c r="K82" s="2674"/>
      <c r="L82" s="2674"/>
      <c r="M82" s="1149"/>
      <c r="N82" s="2674"/>
      <c r="O82" s="2674"/>
      <c r="P82" s="1149"/>
      <c r="Q82" s="1149"/>
      <c r="R82" s="1149"/>
      <c r="S82" s="1149"/>
      <c r="T82" s="1149"/>
      <c r="U82" s="1149"/>
      <c r="V82" s="1149"/>
    </row>
    <row r="83" spans="2:22" x14ac:dyDescent="0.55000000000000004">
      <c r="B83" s="1149"/>
      <c r="C83" s="2673"/>
      <c r="D83" s="2673"/>
      <c r="E83" s="2673"/>
      <c r="F83" s="1149"/>
      <c r="G83" s="1149"/>
      <c r="H83" s="1149"/>
      <c r="I83" s="2675"/>
      <c r="J83" s="2676"/>
      <c r="K83" s="2674"/>
      <c r="L83" s="2674"/>
      <c r="M83" s="1149"/>
      <c r="N83" s="2674"/>
      <c r="O83" s="2674"/>
      <c r="P83" s="1149"/>
      <c r="Q83" s="1149"/>
      <c r="R83" s="1149"/>
      <c r="S83" s="1149"/>
      <c r="T83" s="1149"/>
      <c r="U83" s="1149"/>
      <c r="V83" s="1149"/>
    </row>
    <row r="84" spans="2:22" x14ac:dyDescent="0.55000000000000004">
      <c r="B84" s="1149"/>
      <c r="C84" s="2673"/>
      <c r="D84" s="2673"/>
      <c r="E84" s="2673"/>
      <c r="F84" s="1149"/>
      <c r="G84" s="1149"/>
      <c r="H84" s="1149"/>
      <c r="I84" s="2675"/>
      <c r="J84" s="2676"/>
      <c r="K84" s="2674"/>
      <c r="L84" s="2674"/>
      <c r="M84" s="1149"/>
      <c r="N84" s="2674"/>
      <c r="O84" s="2674"/>
      <c r="P84" s="1149"/>
      <c r="Q84" s="1149"/>
      <c r="R84" s="1149"/>
      <c r="S84" s="1149"/>
      <c r="T84" s="1149"/>
      <c r="U84" s="1149"/>
      <c r="V84" s="1149"/>
    </row>
    <row r="85" spans="2:22" x14ac:dyDescent="0.55000000000000004">
      <c r="B85" s="1149"/>
      <c r="C85" s="2673"/>
      <c r="D85" s="2673"/>
      <c r="E85" s="2673"/>
      <c r="F85" s="1149"/>
      <c r="G85" s="1149"/>
      <c r="H85" s="1149"/>
      <c r="I85" s="2675"/>
      <c r="J85" s="2676"/>
      <c r="K85" s="2674"/>
      <c r="L85" s="2674"/>
      <c r="M85" s="1149"/>
      <c r="N85" s="2674"/>
      <c r="O85" s="2674"/>
      <c r="P85" s="1149"/>
      <c r="Q85" s="1149"/>
      <c r="R85" s="1149"/>
      <c r="S85" s="1149"/>
      <c r="T85" s="1149"/>
      <c r="U85" s="1149"/>
      <c r="V85" s="1149"/>
    </row>
    <row r="86" spans="2:22" x14ac:dyDescent="0.55000000000000004">
      <c r="B86" s="1149"/>
      <c r="C86" s="2673"/>
      <c r="D86" s="2673"/>
      <c r="E86" s="2673"/>
      <c r="F86" s="1149"/>
      <c r="G86" s="1149"/>
      <c r="H86" s="1149"/>
      <c r="I86" s="2675"/>
      <c r="J86" s="2676"/>
      <c r="K86" s="2674"/>
      <c r="L86" s="2674"/>
      <c r="M86" s="1149"/>
      <c r="N86" s="2674"/>
      <c r="O86" s="2674"/>
      <c r="P86" s="1149"/>
      <c r="Q86" s="1149"/>
      <c r="R86" s="1149"/>
      <c r="S86" s="1149"/>
      <c r="T86" s="1149"/>
      <c r="U86" s="1149"/>
      <c r="V86" s="1149"/>
    </row>
    <row r="87" spans="2:22" x14ac:dyDescent="0.55000000000000004">
      <c r="B87" s="1149"/>
      <c r="C87" s="2673"/>
      <c r="D87" s="2673"/>
      <c r="E87" s="2673"/>
      <c r="F87" s="1149"/>
      <c r="G87" s="1149"/>
      <c r="H87" s="1149"/>
      <c r="I87" s="2675"/>
      <c r="J87" s="2676"/>
      <c r="K87" s="2674"/>
      <c r="L87" s="2674"/>
      <c r="M87" s="1149"/>
      <c r="N87" s="2674"/>
      <c r="O87" s="2674"/>
      <c r="P87" s="1149"/>
      <c r="Q87" s="1149"/>
      <c r="R87" s="1149"/>
      <c r="S87" s="1149"/>
      <c r="T87" s="1149"/>
      <c r="U87" s="1149"/>
      <c r="V87" s="1149"/>
    </row>
    <row r="88" spans="2:22" x14ac:dyDescent="0.55000000000000004">
      <c r="B88" s="1149"/>
      <c r="C88" s="2673"/>
      <c r="D88" s="2673"/>
      <c r="E88" s="2673"/>
      <c r="F88" s="1149"/>
      <c r="G88" s="1149"/>
      <c r="H88" s="1149"/>
      <c r="I88" s="2675"/>
      <c r="J88" s="2676"/>
      <c r="K88" s="2674"/>
      <c r="L88" s="2674"/>
      <c r="M88" s="1149"/>
      <c r="N88" s="2674"/>
      <c r="O88" s="2674"/>
      <c r="P88" s="1149"/>
      <c r="Q88" s="1149"/>
      <c r="R88" s="1149"/>
      <c r="S88" s="1149"/>
      <c r="T88" s="1149"/>
      <c r="U88" s="1149"/>
      <c r="V88" s="1149"/>
    </row>
    <row r="89" spans="2:22" x14ac:dyDescent="0.55000000000000004">
      <c r="B89" s="1149"/>
      <c r="C89" s="2673"/>
      <c r="D89" s="2673"/>
      <c r="E89" s="2673"/>
      <c r="F89" s="1149"/>
      <c r="G89" s="1149"/>
      <c r="H89" s="1149"/>
      <c r="I89" s="2675"/>
      <c r="J89" s="2676"/>
      <c r="K89" s="2674"/>
      <c r="L89" s="2674"/>
      <c r="M89" s="1149"/>
      <c r="N89" s="2674"/>
      <c r="O89" s="2674"/>
      <c r="P89" s="1149"/>
      <c r="Q89" s="1149"/>
      <c r="R89" s="1149"/>
      <c r="S89" s="1149"/>
      <c r="T89" s="1149"/>
      <c r="U89" s="1149"/>
      <c r="V89" s="1149"/>
    </row>
    <row r="90" spans="2:22" x14ac:dyDescent="0.55000000000000004">
      <c r="B90" s="1149"/>
      <c r="C90" s="2673"/>
      <c r="D90" s="2673"/>
      <c r="E90" s="2673"/>
      <c r="F90" s="1149"/>
      <c r="G90" s="1149"/>
      <c r="H90" s="1149"/>
      <c r="I90" s="2675"/>
      <c r="J90" s="2676"/>
      <c r="K90" s="2674"/>
      <c r="L90" s="2674"/>
      <c r="M90" s="1149"/>
      <c r="N90" s="2674"/>
      <c r="O90" s="2674"/>
      <c r="P90" s="1149"/>
      <c r="Q90" s="1149"/>
      <c r="R90" s="1149"/>
      <c r="S90" s="1149"/>
      <c r="T90" s="1149"/>
      <c r="U90" s="1149"/>
      <c r="V90" s="1149"/>
    </row>
    <row r="91" spans="2:22" x14ac:dyDescent="0.55000000000000004">
      <c r="B91" s="1149"/>
      <c r="C91" s="2673"/>
      <c r="D91" s="2673"/>
      <c r="E91" s="2673"/>
      <c r="F91" s="1149"/>
      <c r="G91" s="1149"/>
      <c r="H91" s="1149"/>
      <c r="I91" s="2675"/>
      <c r="J91" s="2676"/>
      <c r="K91" s="2674"/>
      <c r="L91" s="2674"/>
      <c r="M91" s="1149"/>
      <c r="N91" s="2674"/>
      <c r="O91" s="2674"/>
      <c r="P91" s="1149"/>
      <c r="Q91" s="1149"/>
      <c r="R91" s="1149"/>
      <c r="S91" s="1149"/>
      <c r="T91" s="1149"/>
      <c r="U91" s="1149"/>
      <c r="V91" s="1149"/>
    </row>
    <row r="92" spans="2:22" x14ac:dyDescent="0.55000000000000004">
      <c r="B92" s="1149"/>
      <c r="C92" s="2673"/>
      <c r="D92" s="2673"/>
      <c r="E92" s="2673"/>
      <c r="F92" s="1149"/>
      <c r="G92" s="1149"/>
      <c r="H92" s="1149"/>
      <c r="I92" s="2675"/>
      <c r="J92" s="2676"/>
      <c r="K92" s="2674"/>
      <c r="L92" s="2674"/>
      <c r="M92" s="1149"/>
      <c r="N92" s="2674"/>
      <c r="O92" s="2674"/>
      <c r="P92" s="1149"/>
      <c r="Q92" s="1149"/>
      <c r="R92" s="1149"/>
      <c r="S92" s="1149"/>
      <c r="T92" s="1149"/>
      <c r="U92" s="1149"/>
      <c r="V92" s="1149"/>
    </row>
    <row r="93" spans="2:22" x14ac:dyDescent="0.55000000000000004">
      <c r="B93" s="1149"/>
      <c r="C93" s="2673"/>
      <c r="D93" s="2673"/>
      <c r="E93" s="2673"/>
      <c r="F93" s="1149"/>
      <c r="G93" s="1149"/>
      <c r="H93" s="1149"/>
      <c r="I93" s="2675"/>
      <c r="J93" s="2676"/>
      <c r="K93" s="2674"/>
      <c r="L93" s="2674"/>
      <c r="M93" s="1149"/>
      <c r="N93" s="2674"/>
      <c r="O93" s="2674"/>
      <c r="P93" s="1149"/>
      <c r="Q93" s="1149"/>
      <c r="R93" s="1149"/>
      <c r="S93" s="1149"/>
      <c r="T93" s="1149"/>
      <c r="U93" s="1149"/>
      <c r="V93" s="1149"/>
    </row>
    <row r="94" spans="2:22" x14ac:dyDescent="0.55000000000000004">
      <c r="B94" s="1149"/>
      <c r="C94" s="2673"/>
      <c r="D94" s="2673"/>
      <c r="E94" s="2673"/>
      <c r="F94" s="1149"/>
      <c r="G94" s="1149"/>
      <c r="H94" s="1149"/>
      <c r="I94" s="2675"/>
      <c r="J94" s="2676"/>
      <c r="K94" s="2674"/>
      <c r="L94" s="2674"/>
      <c r="M94" s="1149"/>
      <c r="N94" s="2674"/>
      <c r="O94" s="2674"/>
      <c r="P94" s="1149"/>
      <c r="Q94" s="1149"/>
      <c r="R94" s="1149"/>
      <c r="S94" s="1149"/>
      <c r="T94" s="1149"/>
      <c r="U94" s="1149"/>
      <c r="V94" s="1149"/>
    </row>
    <row r="95" spans="2:22" x14ac:dyDescent="0.55000000000000004">
      <c r="B95" s="1149"/>
      <c r="C95" s="2673"/>
      <c r="D95" s="2673"/>
      <c r="E95" s="2673"/>
      <c r="F95" s="1149"/>
      <c r="G95" s="1149"/>
      <c r="H95" s="1149"/>
      <c r="I95" s="2675"/>
      <c r="J95" s="2676"/>
      <c r="K95" s="2674"/>
      <c r="L95" s="2674"/>
      <c r="M95" s="1149"/>
      <c r="N95" s="2674"/>
      <c r="O95" s="2674"/>
      <c r="P95" s="1149"/>
      <c r="Q95" s="1149"/>
      <c r="R95" s="1149"/>
      <c r="S95" s="1149"/>
      <c r="T95" s="1149"/>
      <c r="U95" s="1149"/>
      <c r="V95" s="1149"/>
    </row>
    <row r="96" spans="2:22" x14ac:dyDescent="0.55000000000000004">
      <c r="B96" s="1149"/>
      <c r="C96" s="2673"/>
      <c r="D96" s="2673"/>
      <c r="E96" s="2673"/>
      <c r="F96" s="1149"/>
      <c r="G96" s="1149"/>
      <c r="H96" s="1149"/>
      <c r="I96" s="2675"/>
      <c r="J96" s="2676"/>
      <c r="K96" s="2674"/>
      <c r="L96" s="2674"/>
      <c r="M96" s="1149"/>
      <c r="N96" s="2674"/>
      <c r="O96" s="2674"/>
      <c r="P96" s="1149"/>
      <c r="Q96" s="1149"/>
      <c r="R96" s="1149"/>
      <c r="S96" s="1149"/>
      <c r="T96" s="1149"/>
      <c r="U96" s="1149"/>
      <c r="V96" s="1149"/>
    </row>
    <row r="97" spans="2:22" x14ac:dyDescent="0.55000000000000004">
      <c r="B97" s="1149"/>
      <c r="C97" s="2673"/>
      <c r="D97" s="2673"/>
      <c r="E97" s="2673"/>
      <c r="F97" s="1149"/>
      <c r="G97" s="1149"/>
      <c r="H97" s="1149"/>
      <c r="I97" s="2675"/>
      <c r="J97" s="2676"/>
      <c r="K97" s="2674"/>
      <c r="L97" s="2674"/>
      <c r="M97" s="1149"/>
      <c r="N97" s="2674"/>
      <c r="O97" s="2674"/>
      <c r="P97" s="1149"/>
      <c r="Q97" s="1149"/>
      <c r="R97" s="1149"/>
      <c r="S97" s="1149"/>
      <c r="T97" s="1149"/>
      <c r="U97" s="1149"/>
      <c r="V97" s="1149"/>
    </row>
    <row r="98" spans="2:22" x14ac:dyDescent="0.55000000000000004">
      <c r="B98" s="1149"/>
      <c r="C98" s="2673"/>
      <c r="D98" s="2673"/>
      <c r="E98" s="2673"/>
      <c r="F98" s="1149"/>
      <c r="G98" s="1149"/>
      <c r="H98" s="1149"/>
      <c r="I98" s="2675"/>
      <c r="J98" s="2676"/>
      <c r="K98" s="2674"/>
      <c r="L98" s="2674"/>
      <c r="M98" s="1149"/>
      <c r="N98" s="2674"/>
      <c r="O98" s="2674"/>
      <c r="P98" s="1149"/>
      <c r="Q98" s="1149"/>
      <c r="R98" s="1149"/>
      <c r="S98" s="1149"/>
      <c r="T98" s="1149"/>
      <c r="U98" s="1149"/>
      <c r="V98" s="1149"/>
    </row>
    <row r="99" spans="2:22" x14ac:dyDescent="0.55000000000000004">
      <c r="B99" s="1149"/>
      <c r="C99" s="2673"/>
      <c r="D99" s="2673"/>
      <c r="E99" s="2673"/>
      <c r="F99" s="1149"/>
      <c r="G99" s="1149"/>
      <c r="H99" s="1149"/>
      <c r="I99" s="2675"/>
      <c r="J99" s="2676"/>
      <c r="K99" s="2674"/>
      <c r="L99" s="2674"/>
      <c r="M99" s="1149"/>
      <c r="N99" s="2674"/>
      <c r="O99" s="2674"/>
      <c r="P99" s="1149"/>
      <c r="Q99" s="1149"/>
      <c r="R99" s="1149"/>
      <c r="S99" s="1149"/>
      <c r="T99" s="1149"/>
      <c r="U99" s="1149"/>
      <c r="V99" s="1149"/>
    </row>
    <row r="100" spans="2:22" x14ac:dyDescent="0.55000000000000004">
      <c r="B100" s="1149"/>
      <c r="C100" s="2673"/>
      <c r="D100" s="2673"/>
      <c r="E100" s="2673"/>
      <c r="F100" s="1149"/>
      <c r="G100" s="1149"/>
      <c r="H100" s="1149"/>
      <c r="I100" s="2675"/>
      <c r="J100" s="2676"/>
      <c r="K100" s="2674"/>
      <c r="L100" s="2674"/>
      <c r="M100" s="1149"/>
      <c r="N100" s="2674"/>
      <c r="O100" s="2674"/>
      <c r="P100" s="1149"/>
      <c r="Q100" s="1149"/>
      <c r="R100" s="1149"/>
      <c r="S100" s="1149"/>
      <c r="T100" s="1149"/>
      <c r="U100" s="1149"/>
      <c r="V100" s="1149"/>
    </row>
    <row r="101" spans="2:22" x14ac:dyDescent="0.55000000000000004">
      <c r="B101" s="1149"/>
      <c r="C101" s="2673"/>
      <c r="D101" s="2673"/>
      <c r="E101" s="2673"/>
      <c r="F101" s="1149"/>
      <c r="G101" s="1149"/>
      <c r="H101" s="1149"/>
      <c r="I101" s="2675"/>
      <c r="J101" s="2676"/>
      <c r="K101" s="2674"/>
      <c r="L101" s="2674"/>
      <c r="M101" s="1149"/>
      <c r="N101" s="2674"/>
      <c r="O101" s="2674"/>
      <c r="P101" s="1149"/>
      <c r="Q101" s="1149"/>
      <c r="R101" s="1149"/>
      <c r="S101" s="1149"/>
      <c r="T101" s="1149"/>
      <c r="U101" s="1149"/>
      <c r="V101" s="1149"/>
    </row>
    <row r="102" spans="2:22" x14ac:dyDescent="0.55000000000000004">
      <c r="B102" s="1149"/>
      <c r="C102" s="2673"/>
      <c r="D102" s="2673"/>
      <c r="E102" s="2673"/>
      <c r="F102" s="1149"/>
      <c r="G102" s="1149"/>
      <c r="H102" s="1149"/>
      <c r="I102" s="2675"/>
      <c r="J102" s="2676"/>
      <c r="K102" s="2674"/>
      <c r="L102" s="2674"/>
      <c r="M102" s="1149"/>
      <c r="N102" s="2674"/>
      <c r="O102" s="2674"/>
      <c r="P102" s="1149"/>
      <c r="Q102" s="1149"/>
      <c r="R102" s="1149"/>
      <c r="S102" s="1149"/>
      <c r="T102" s="1149"/>
      <c r="U102" s="1149"/>
      <c r="V102" s="1149"/>
    </row>
    <row r="103" spans="2:22" x14ac:dyDescent="0.55000000000000004">
      <c r="B103" s="1149"/>
      <c r="C103" s="2673"/>
      <c r="D103" s="2673"/>
      <c r="E103" s="2673"/>
      <c r="F103" s="1149"/>
      <c r="G103" s="1149"/>
      <c r="H103" s="1149"/>
      <c r="I103" s="2675"/>
      <c r="J103" s="2676"/>
      <c r="K103" s="2674"/>
      <c r="L103" s="2674"/>
      <c r="M103" s="1149"/>
      <c r="N103" s="2674"/>
      <c r="O103" s="2674"/>
      <c r="P103" s="1149"/>
      <c r="Q103" s="1149"/>
      <c r="R103" s="1149"/>
      <c r="S103" s="1149"/>
      <c r="T103" s="1149"/>
      <c r="U103" s="1149"/>
      <c r="V103" s="1149"/>
    </row>
    <row r="104" spans="2:22" x14ac:dyDescent="0.55000000000000004">
      <c r="B104" s="1149"/>
      <c r="C104" s="2673"/>
      <c r="D104" s="2673"/>
      <c r="E104" s="2673"/>
      <c r="F104" s="1149"/>
      <c r="G104" s="1149"/>
      <c r="H104" s="1149"/>
      <c r="I104" s="2675"/>
      <c r="J104" s="2676"/>
      <c r="K104" s="2674"/>
      <c r="L104" s="2674"/>
      <c r="M104" s="1149"/>
      <c r="N104" s="2674"/>
      <c r="O104" s="2674"/>
      <c r="P104" s="1149"/>
      <c r="Q104" s="1149"/>
      <c r="R104" s="1149"/>
      <c r="S104" s="1149"/>
      <c r="T104" s="1149"/>
      <c r="U104" s="1149"/>
      <c r="V104" s="1149"/>
    </row>
    <row r="105" spans="2:22" x14ac:dyDescent="0.55000000000000004">
      <c r="B105" s="1149"/>
      <c r="C105" s="2673"/>
      <c r="D105" s="2673"/>
      <c r="E105" s="2673"/>
      <c r="F105" s="1149"/>
      <c r="G105" s="1149"/>
      <c r="H105" s="1149"/>
      <c r="I105" s="2675"/>
      <c r="J105" s="2676"/>
      <c r="K105" s="2674"/>
      <c r="L105" s="2674"/>
      <c r="M105" s="1149"/>
      <c r="N105" s="2674"/>
      <c r="O105" s="2674"/>
      <c r="P105" s="1149"/>
      <c r="Q105" s="1149"/>
      <c r="R105" s="1149"/>
      <c r="S105" s="1149"/>
      <c r="T105" s="1149"/>
      <c r="U105" s="1149"/>
      <c r="V105" s="1149"/>
    </row>
    <row r="106" spans="2:22" x14ac:dyDescent="0.55000000000000004">
      <c r="B106" s="1149"/>
      <c r="C106" s="2673"/>
      <c r="D106" s="2673"/>
      <c r="E106" s="2673"/>
      <c r="F106" s="1149"/>
      <c r="G106" s="1149"/>
      <c r="H106" s="1149"/>
      <c r="I106" s="2675"/>
      <c r="J106" s="2676"/>
      <c r="K106" s="2674"/>
      <c r="L106" s="2674"/>
      <c r="M106" s="1149"/>
      <c r="N106" s="2674"/>
      <c r="O106" s="2674"/>
      <c r="P106" s="1149"/>
      <c r="Q106" s="1149"/>
      <c r="R106" s="1149"/>
      <c r="S106" s="1149"/>
      <c r="T106" s="1149"/>
      <c r="U106" s="1149"/>
      <c r="V106" s="1149"/>
    </row>
    <row r="107" spans="2:22" x14ac:dyDescent="0.55000000000000004">
      <c r="B107" s="1149"/>
      <c r="C107" s="2673"/>
      <c r="D107" s="2673"/>
      <c r="E107" s="2673"/>
      <c r="F107" s="1149"/>
      <c r="G107" s="1149"/>
      <c r="H107" s="1149"/>
      <c r="I107" s="2675"/>
      <c r="J107" s="2676"/>
      <c r="K107" s="2674"/>
      <c r="L107" s="2674"/>
      <c r="M107" s="1149"/>
      <c r="N107" s="2674"/>
      <c r="O107" s="2674"/>
      <c r="P107" s="1149"/>
      <c r="Q107" s="1149"/>
      <c r="R107" s="1149"/>
      <c r="S107" s="1149"/>
      <c r="T107" s="1149"/>
      <c r="U107" s="1149"/>
      <c r="V107" s="1149"/>
    </row>
    <row r="108" spans="2:22" x14ac:dyDescent="0.55000000000000004">
      <c r="B108" s="1149"/>
      <c r="C108" s="2673"/>
      <c r="D108" s="2673"/>
      <c r="E108" s="2673"/>
      <c r="F108" s="1149"/>
      <c r="G108" s="1149"/>
      <c r="H108" s="1149"/>
      <c r="I108" s="2675"/>
      <c r="J108" s="2676"/>
      <c r="K108" s="2674"/>
      <c r="L108" s="2674"/>
      <c r="M108" s="1149"/>
      <c r="N108" s="2674"/>
      <c r="O108" s="2674"/>
      <c r="P108" s="1149"/>
      <c r="Q108" s="1149"/>
      <c r="R108" s="1149"/>
      <c r="S108" s="1149"/>
      <c r="T108" s="1149"/>
      <c r="U108" s="1149"/>
      <c r="V108" s="1149"/>
    </row>
    <row r="109" spans="2:22" x14ac:dyDescent="0.55000000000000004">
      <c r="B109" s="1149"/>
      <c r="C109" s="2673"/>
      <c r="D109" s="2673"/>
      <c r="E109" s="2673"/>
      <c r="F109" s="1149"/>
      <c r="G109" s="1149"/>
      <c r="H109" s="1149"/>
      <c r="I109" s="2675"/>
      <c r="J109" s="2676"/>
      <c r="K109" s="2674"/>
      <c r="L109" s="2674"/>
      <c r="M109" s="1149"/>
      <c r="N109" s="2674"/>
      <c r="O109" s="2674"/>
      <c r="P109" s="1149"/>
      <c r="Q109" s="1149"/>
      <c r="R109" s="1149"/>
      <c r="S109" s="1149"/>
      <c r="T109" s="1149"/>
      <c r="U109" s="1149"/>
      <c r="V109" s="1149"/>
    </row>
    <row r="110" spans="2:22" x14ac:dyDescent="0.55000000000000004">
      <c r="B110" s="1149"/>
      <c r="C110" s="2673"/>
      <c r="D110" s="2673"/>
      <c r="E110" s="2673"/>
      <c r="F110" s="1149"/>
      <c r="G110" s="1149"/>
      <c r="H110" s="1149"/>
      <c r="I110" s="2675"/>
      <c r="J110" s="2676"/>
      <c r="K110" s="2674"/>
      <c r="L110" s="2674"/>
      <c r="M110" s="1149"/>
      <c r="N110" s="2674"/>
      <c r="O110" s="2674"/>
      <c r="P110" s="1149"/>
      <c r="Q110" s="1149"/>
      <c r="R110" s="1149"/>
      <c r="S110" s="1149"/>
      <c r="T110" s="1149"/>
      <c r="U110" s="1149"/>
      <c r="V110" s="1149"/>
    </row>
    <row r="111" spans="2:22" x14ac:dyDescent="0.55000000000000004">
      <c r="B111" s="1149"/>
      <c r="C111" s="2673"/>
      <c r="D111" s="2673"/>
      <c r="E111" s="2673"/>
      <c r="F111" s="1149"/>
      <c r="G111" s="1149"/>
      <c r="H111" s="1149"/>
      <c r="I111" s="2675"/>
      <c r="J111" s="2676"/>
      <c r="K111" s="2674"/>
      <c r="L111" s="2674"/>
      <c r="M111" s="1149"/>
      <c r="N111" s="2674"/>
      <c r="O111" s="2674"/>
      <c r="P111" s="1149"/>
      <c r="Q111" s="1149"/>
      <c r="R111" s="1149"/>
      <c r="S111" s="1149"/>
      <c r="T111" s="1149"/>
      <c r="U111" s="1149"/>
      <c r="V111" s="1149"/>
    </row>
    <row r="112" spans="2:22" x14ac:dyDescent="0.55000000000000004">
      <c r="B112" s="1149"/>
      <c r="C112" s="2673"/>
      <c r="D112" s="2673"/>
      <c r="E112" s="2673"/>
      <c r="F112" s="1149"/>
      <c r="G112" s="1149"/>
      <c r="H112" s="1149"/>
      <c r="I112" s="2675"/>
      <c r="J112" s="2676"/>
      <c r="K112" s="2674"/>
      <c r="L112" s="2674"/>
      <c r="M112" s="1149"/>
      <c r="N112" s="2674"/>
      <c r="O112" s="2674"/>
      <c r="P112" s="1149"/>
      <c r="Q112" s="1149"/>
      <c r="R112" s="1149"/>
      <c r="S112" s="1149"/>
      <c r="T112" s="1149"/>
      <c r="U112" s="1149"/>
      <c r="V112" s="1149"/>
    </row>
    <row r="113" spans="2:22" x14ac:dyDescent="0.55000000000000004">
      <c r="B113" s="1149"/>
      <c r="C113" s="2673"/>
      <c r="D113" s="2673"/>
      <c r="E113" s="2673"/>
      <c r="F113" s="1149"/>
      <c r="G113" s="1149"/>
      <c r="H113" s="1149"/>
      <c r="I113" s="2675"/>
      <c r="J113" s="2676"/>
      <c r="K113" s="2674"/>
      <c r="L113" s="2674"/>
      <c r="M113" s="1149"/>
      <c r="N113" s="2674"/>
      <c r="O113" s="2674"/>
      <c r="P113" s="1149"/>
      <c r="Q113" s="1149"/>
      <c r="R113" s="1149"/>
      <c r="S113" s="1149"/>
      <c r="T113" s="1149"/>
      <c r="U113" s="1149"/>
      <c r="V113" s="1149"/>
    </row>
    <row r="114" spans="2:22" x14ac:dyDescent="0.55000000000000004">
      <c r="B114" s="1149"/>
      <c r="C114" s="2673"/>
      <c r="D114" s="2673"/>
      <c r="E114" s="2673"/>
      <c r="F114" s="1149"/>
      <c r="G114" s="1149"/>
      <c r="H114" s="1149"/>
      <c r="I114" s="2675"/>
      <c r="J114" s="2676"/>
      <c r="K114" s="2674"/>
      <c r="L114" s="2674"/>
      <c r="M114" s="1149"/>
      <c r="N114" s="2674"/>
      <c r="O114" s="2674"/>
      <c r="P114" s="1149"/>
      <c r="Q114" s="1149"/>
      <c r="R114" s="1149"/>
      <c r="S114" s="1149"/>
      <c r="T114" s="1149"/>
      <c r="U114" s="1149"/>
      <c r="V114" s="1149"/>
    </row>
    <row r="115" spans="2:22" x14ac:dyDescent="0.55000000000000004">
      <c r="B115" s="1149"/>
      <c r="C115" s="2673"/>
      <c r="D115" s="2673"/>
      <c r="E115" s="2673"/>
      <c r="F115" s="1149"/>
      <c r="G115" s="1149"/>
      <c r="H115" s="1149"/>
      <c r="I115" s="2675"/>
      <c r="J115" s="2676"/>
      <c r="K115" s="2674"/>
      <c r="L115" s="2674"/>
      <c r="M115" s="1149"/>
      <c r="N115" s="2674"/>
      <c r="O115" s="2674"/>
      <c r="P115" s="1149"/>
      <c r="Q115" s="1149"/>
      <c r="R115" s="1149"/>
      <c r="S115" s="1149"/>
      <c r="T115" s="1149"/>
      <c r="U115" s="1149"/>
      <c r="V115" s="1149"/>
    </row>
    <row r="116" spans="2:22" x14ac:dyDescent="0.55000000000000004">
      <c r="B116" s="1149"/>
      <c r="C116" s="2673"/>
      <c r="D116" s="2673"/>
      <c r="E116" s="2673"/>
      <c r="F116" s="1149"/>
      <c r="G116" s="1149"/>
      <c r="H116" s="1149"/>
      <c r="I116" s="2675"/>
      <c r="J116" s="2676"/>
      <c r="K116" s="2674"/>
      <c r="L116" s="2674"/>
      <c r="M116" s="1149"/>
      <c r="N116" s="2674"/>
      <c r="O116" s="2674"/>
      <c r="P116" s="1149"/>
      <c r="Q116" s="1149"/>
      <c r="R116" s="1149"/>
      <c r="S116" s="1149"/>
      <c r="T116" s="1149"/>
      <c r="U116" s="1149"/>
      <c r="V116" s="1149"/>
    </row>
  </sheetData>
  <mergeCells count="20">
    <mergeCell ref="B25:B33"/>
    <mergeCell ref="A6:D6"/>
    <mergeCell ref="G5:L5"/>
    <mergeCell ref="N5:Q5"/>
    <mergeCell ref="A3:W3"/>
    <mergeCell ref="A36:A47"/>
    <mergeCell ref="B36:B39"/>
    <mergeCell ref="C36:C37"/>
    <mergeCell ref="C38:C39"/>
    <mergeCell ref="B40:B43"/>
    <mergeCell ref="C40:C41"/>
    <mergeCell ref="C42:C43"/>
    <mergeCell ref="B44:B47"/>
    <mergeCell ref="C44:C45"/>
    <mergeCell ref="C46:C47"/>
    <mergeCell ref="A35:D35"/>
    <mergeCell ref="R5:W5"/>
    <mergeCell ref="A7:A33"/>
    <mergeCell ref="B7:B15"/>
    <mergeCell ref="B16:B24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9" fitToHeight="0" orientation="landscape" r:id="rId1"/>
  <headerFooter scaleWithDoc="0">
    <oddFooter>&amp;R&amp;"-,기울임꼴"&amp;8&amp;P &amp; 페이지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E3CF-E8FC-4ABB-AF22-17FC3B0FE6C8}">
  <sheetPr codeName="Sheet13">
    <tabColor theme="9" tint="0.79998168889431442"/>
    <pageSetUpPr fitToPage="1"/>
  </sheetPr>
  <dimension ref="A1:BY56"/>
  <sheetViews>
    <sheetView topLeftCell="AE1" zoomScale="40" zoomScaleNormal="40" zoomScaleSheetLayoutView="70" workbookViewId="0">
      <selection activeCell="AW15" sqref="AW15"/>
    </sheetView>
  </sheetViews>
  <sheetFormatPr defaultColWidth="8.640625" defaultRowHeight="15" outlineLevelCol="1" x14ac:dyDescent="0.55000000000000004"/>
  <cols>
    <col min="1" max="1" width="12.85546875" style="555" bestFit="1" customWidth="1"/>
    <col min="2" max="2" width="13.640625" style="555" customWidth="1"/>
    <col min="3" max="3" width="17.2109375" style="4689" customWidth="1"/>
    <col min="4" max="4" width="10.140625" style="555" customWidth="1"/>
    <col min="5" max="16" width="8.640625" style="555" hidden="1" customWidth="1" outlineLevel="1"/>
    <col min="17" max="17" width="11.0703125" style="555" bestFit="1" customWidth="1" collapsed="1"/>
    <col min="18" max="18" width="10.85546875" style="555" bestFit="1" customWidth="1"/>
    <col min="19" max="30" width="8.640625" style="555" hidden="1" customWidth="1" outlineLevel="1"/>
    <col min="31" max="31" width="10.0703125" style="555" bestFit="1" customWidth="1" collapsed="1"/>
    <col min="32" max="32" width="11.0703125" style="555" bestFit="1" customWidth="1"/>
    <col min="33" max="33" width="12.85546875" style="555" customWidth="1" outlineLevel="1"/>
    <col min="34" max="39" width="13.0703125" style="555" customWidth="1" outlineLevel="1"/>
    <col min="40" max="40" width="13.35546875" style="555" customWidth="1" outlineLevel="1"/>
    <col min="41" max="41" width="13.0703125" style="555" customWidth="1" outlineLevel="1"/>
    <col min="42" max="42" width="12.85546875" style="555" customWidth="1" outlineLevel="1"/>
    <col min="43" max="43" width="12.35546875" style="555" customWidth="1" outlineLevel="1"/>
    <col min="44" max="44" width="12.5703125" style="555" customWidth="1" outlineLevel="1"/>
    <col min="45" max="45" width="10.35546875" style="555" bestFit="1" customWidth="1"/>
    <col min="46" max="46" width="11.35546875" style="555" bestFit="1" customWidth="1"/>
    <col min="47" max="47" width="12.85546875" style="555" bestFit="1" customWidth="1"/>
    <col min="48" max="53" width="13.0703125" style="555" bestFit="1" customWidth="1"/>
    <col min="54" max="54" width="13.35546875" style="555" bestFit="1" customWidth="1"/>
    <col min="55" max="55" width="13.0703125" style="555" bestFit="1" customWidth="1"/>
    <col min="56" max="56" width="12.85546875" style="555" bestFit="1" customWidth="1"/>
    <col min="57" max="57" width="12.35546875" style="555" bestFit="1" customWidth="1"/>
    <col min="58" max="58" width="12.5703125" style="555" bestFit="1" customWidth="1"/>
    <col min="59" max="59" width="8.7109375" style="555" bestFit="1" customWidth="1"/>
    <col min="60" max="60" width="9.5703125" style="555" bestFit="1" customWidth="1"/>
    <col min="61" max="61" width="12.92578125" style="555" customWidth="1"/>
    <col min="62" max="62" width="11.2109375" style="555" customWidth="1"/>
    <col min="63" max="64" width="13.140625" style="555" customWidth="1"/>
    <col min="65" max="65" width="8.640625" style="555"/>
    <col min="66" max="77" width="8.7109375" style="555" bestFit="1" customWidth="1"/>
    <col min="78" max="16384" width="8.640625" style="555"/>
  </cols>
  <sheetData>
    <row r="1" spans="1:77" x14ac:dyDescent="0.55000000000000004">
      <c r="A1" s="4516">
        <f>'0. 개요'!AE2</f>
        <v>46054</v>
      </c>
      <c r="B1" s="4393">
        <f>'※ 영기팀 작성_가입자'!B1</f>
        <v>11.000999999999999</v>
      </c>
    </row>
    <row r="3" spans="1:77" ht="27.45" thickBot="1" x14ac:dyDescent="0.6">
      <c r="A3" s="2678" t="s">
        <v>745</v>
      </c>
      <c r="B3" s="2678"/>
      <c r="E3" s="2527">
        <v>1.0009999999999999</v>
      </c>
      <c r="F3" s="2527">
        <v>2.0009999999999999</v>
      </c>
      <c r="G3" s="2527">
        <v>3.0009999999999999</v>
      </c>
      <c r="H3" s="2527">
        <v>4.0010000000000003</v>
      </c>
      <c r="I3" s="2527">
        <v>5.0010000000000003</v>
      </c>
      <c r="J3" s="2527">
        <v>6.0010000000000003</v>
      </c>
      <c r="K3" s="2527">
        <v>7.0010000000000003</v>
      </c>
      <c r="L3" s="2527">
        <v>8.0009999999999994</v>
      </c>
      <c r="M3" s="2527">
        <v>9.0009999999999994</v>
      </c>
      <c r="N3" s="2527">
        <v>10.000999999999999</v>
      </c>
      <c r="O3" s="2527">
        <v>11.000999999999999</v>
      </c>
      <c r="P3" s="2527">
        <v>12.000999999999999</v>
      </c>
      <c r="S3" s="2527">
        <v>1.0009999999999999</v>
      </c>
      <c r="T3" s="2527">
        <v>2.0009999999999999</v>
      </c>
      <c r="U3" s="2527">
        <v>3.0009999999999999</v>
      </c>
      <c r="V3" s="2527">
        <v>4.0010000000000003</v>
      </c>
      <c r="W3" s="2527">
        <v>5.0010000000000003</v>
      </c>
      <c r="X3" s="2527">
        <v>6.0010000000000003</v>
      </c>
      <c r="Y3" s="2527">
        <v>7.0010000000000003</v>
      </c>
      <c r="Z3" s="2527">
        <v>8.0009999999999994</v>
      </c>
      <c r="AA3" s="2527">
        <v>9.0009999999999994</v>
      </c>
      <c r="AB3" s="2527">
        <v>10.000999999999999</v>
      </c>
      <c r="AC3" s="2527">
        <v>11.000999999999999</v>
      </c>
      <c r="AD3" s="2527">
        <v>12.000999999999999</v>
      </c>
      <c r="AG3" s="4477">
        <v>45658</v>
      </c>
      <c r="AH3" s="4477">
        <v>45689</v>
      </c>
      <c r="AI3" s="4477">
        <v>45717</v>
      </c>
      <c r="AJ3" s="4477">
        <v>45748</v>
      </c>
      <c r="AK3" s="4477">
        <v>45778</v>
      </c>
      <c r="AL3" s="4477">
        <v>45809</v>
      </c>
      <c r="AM3" s="4477">
        <v>45839</v>
      </c>
      <c r="AN3" s="4477">
        <v>45870</v>
      </c>
      <c r="AO3" s="4477">
        <v>45901</v>
      </c>
      <c r="AP3" s="4477">
        <v>45931</v>
      </c>
      <c r="AQ3" s="4477">
        <v>45962</v>
      </c>
      <c r="AR3" s="4477">
        <v>45992</v>
      </c>
      <c r="AU3" s="4477">
        <v>46023</v>
      </c>
      <c r="AV3" s="4477">
        <v>46054</v>
      </c>
      <c r="AW3" s="4477">
        <v>46082</v>
      </c>
      <c r="AX3" s="4477">
        <v>46113</v>
      </c>
      <c r="AY3" s="4477">
        <v>46143</v>
      </c>
      <c r="AZ3" s="4477">
        <v>46174</v>
      </c>
      <c r="BA3" s="4477">
        <v>46204</v>
      </c>
      <c r="BB3" s="4477">
        <v>46235</v>
      </c>
      <c r="BC3" s="4477">
        <v>46266</v>
      </c>
      <c r="BD3" s="4477">
        <v>46296</v>
      </c>
      <c r="BE3" s="4477">
        <v>46327</v>
      </c>
      <c r="BF3" s="4477">
        <v>46357</v>
      </c>
      <c r="BP3" s="2527">
        <v>3.0009999999999999</v>
      </c>
      <c r="BQ3" s="2527">
        <v>4.0010000000000003</v>
      </c>
      <c r="BR3" s="2527">
        <v>5.0010000000000003</v>
      </c>
      <c r="BS3" s="2527">
        <v>6.0010000000000003</v>
      </c>
      <c r="BT3" s="2527">
        <v>7.0010000000000003</v>
      </c>
      <c r="BU3" s="2527">
        <v>8.0009999999999994</v>
      </c>
      <c r="BV3" s="2527">
        <v>9.0009999999999994</v>
      </c>
      <c r="BW3" s="2527">
        <v>10.000999999999999</v>
      </c>
      <c r="BX3" s="2527">
        <v>11.000999999999999</v>
      </c>
      <c r="BY3" s="2527">
        <v>12.000999999999999</v>
      </c>
    </row>
    <row r="4" spans="1:77" ht="27.45" thickBot="1" x14ac:dyDescent="0.6">
      <c r="A4" s="2530"/>
      <c r="B4" s="2530"/>
      <c r="C4" s="4756"/>
      <c r="D4" s="557"/>
      <c r="E4" s="3989" t="s">
        <v>719</v>
      </c>
      <c r="S4" s="3989" t="s">
        <v>963</v>
      </c>
      <c r="T4" s="2527">
        <v>2.0009999999999999</v>
      </c>
      <c r="U4" s="2527">
        <v>3.0009999999999999</v>
      </c>
      <c r="V4" s="2527">
        <v>4.0010000000000003</v>
      </c>
      <c r="W4" s="2527">
        <v>5.0010000000000003</v>
      </c>
      <c r="X4" s="2527">
        <v>6.0010000000000003</v>
      </c>
      <c r="Y4" s="2527">
        <v>7.0010000000000003</v>
      </c>
      <c r="Z4" s="2527">
        <v>8.0009999999999994</v>
      </c>
      <c r="AA4" s="2527">
        <v>9.0009999999999994</v>
      </c>
      <c r="AB4" s="2527">
        <v>10.000999999999999</v>
      </c>
      <c r="AC4" s="2527">
        <v>11.000999999999999</v>
      </c>
      <c r="AD4" s="2527">
        <v>12.000999999999999</v>
      </c>
      <c r="AG4" s="7339" t="s">
        <v>1</v>
      </c>
      <c r="AH4" s="7144"/>
      <c r="AI4" s="7144"/>
      <c r="AJ4" s="7144"/>
      <c r="AK4" s="7144"/>
      <c r="AL4" s="7144"/>
      <c r="AM4" s="7144"/>
      <c r="AN4" s="7144"/>
      <c r="AO4" s="7144"/>
      <c r="AP4" s="7144"/>
      <c r="AQ4" s="7144"/>
      <c r="AR4" s="7144"/>
      <c r="AS4" s="7144"/>
      <c r="AT4" s="7144"/>
      <c r="AU4" s="7144"/>
      <c r="AV4" s="7144"/>
      <c r="AW4" s="7144"/>
      <c r="AX4" s="7144"/>
      <c r="AY4" s="7144"/>
      <c r="AZ4" s="7144"/>
      <c r="BA4" s="7144"/>
      <c r="BB4" s="7144"/>
      <c r="BC4" s="7144"/>
      <c r="BD4" s="7144"/>
      <c r="BE4" s="7144"/>
      <c r="BF4" s="7144"/>
      <c r="BG4" s="7144"/>
      <c r="BH4" s="7144"/>
      <c r="BI4" s="3713"/>
      <c r="BJ4" s="3713"/>
      <c r="BK4" s="7072"/>
      <c r="BL4" s="7073"/>
      <c r="BN4" s="3989" t="s">
        <v>1085</v>
      </c>
    </row>
    <row r="5" spans="1:77" ht="16.75" thickBot="1" x14ac:dyDescent="0.6">
      <c r="A5" s="4757"/>
      <c r="B5" s="4758"/>
      <c r="C5" s="4759"/>
      <c r="D5" s="4760"/>
      <c r="E5" s="4761" t="s">
        <v>490</v>
      </c>
      <c r="F5" s="4762" t="s">
        <v>352</v>
      </c>
      <c r="G5" s="4762" t="s">
        <v>353</v>
      </c>
      <c r="H5" s="4762" t="s">
        <v>354</v>
      </c>
      <c r="I5" s="4762" t="s">
        <v>355</v>
      </c>
      <c r="J5" s="4762" t="s">
        <v>356</v>
      </c>
      <c r="K5" s="4762" t="s">
        <v>357</v>
      </c>
      <c r="L5" s="4762" t="s">
        <v>358</v>
      </c>
      <c r="M5" s="4762" t="s">
        <v>359</v>
      </c>
      <c r="N5" s="4762" t="s">
        <v>360</v>
      </c>
      <c r="O5" s="4762" t="s">
        <v>361</v>
      </c>
      <c r="P5" s="4762" t="s">
        <v>362</v>
      </c>
      <c r="Q5" s="4763" t="s">
        <v>393</v>
      </c>
      <c r="R5" s="4764" t="s">
        <v>350</v>
      </c>
      <c r="S5" s="4765" t="s">
        <v>502</v>
      </c>
      <c r="T5" s="4766" t="s">
        <v>3</v>
      </c>
      <c r="U5" s="4766" t="s">
        <v>503</v>
      </c>
      <c r="V5" s="4766" t="s">
        <v>341</v>
      </c>
      <c r="W5" s="4766" t="s">
        <v>342</v>
      </c>
      <c r="X5" s="4766" t="s">
        <v>343</v>
      </c>
      <c r="Y5" s="4766" t="s">
        <v>344</v>
      </c>
      <c r="Z5" s="4766" t="s">
        <v>345</v>
      </c>
      <c r="AA5" s="4766" t="s">
        <v>346</v>
      </c>
      <c r="AB5" s="4766" t="s">
        <v>347</v>
      </c>
      <c r="AC5" s="4766" t="s">
        <v>348</v>
      </c>
      <c r="AD5" s="4766" t="s">
        <v>349</v>
      </c>
      <c r="AE5" s="4763" t="s">
        <v>394</v>
      </c>
      <c r="AF5" s="4763" t="s">
        <v>350</v>
      </c>
      <c r="AG5" s="4685" t="s">
        <v>941</v>
      </c>
      <c r="AH5" s="1155" t="s">
        <v>942</v>
      </c>
      <c r="AI5" s="1155" t="s">
        <v>944</v>
      </c>
      <c r="AJ5" s="1155" t="s">
        <v>945</v>
      </c>
      <c r="AK5" s="1155" t="s">
        <v>946</v>
      </c>
      <c r="AL5" s="1155" t="s">
        <v>947</v>
      </c>
      <c r="AM5" s="1155" t="s">
        <v>948</v>
      </c>
      <c r="AN5" s="1155" t="s">
        <v>949</v>
      </c>
      <c r="AO5" s="1155" t="s">
        <v>950</v>
      </c>
      <c r="AP5" s="1155" t="s">
        <v>951</v>
      </c>
      <c r="AQ5" s="1155" t="s">
        <v>952</v>
      </c>
      <c r="AR5" s="1155" t="s">
        <v>953</v>
      </c>
      <c r="AS5" s="1155" t="s">
        <v>956</v>
      </c>
      <c r="AT5" s="1155" t="s">
        <v>350</v>
      </c>
      <c r="AU5" s="4685" t="s">
        <v>1122</v>
      </c>
      <c r="AV5" s="1155" t="s">
        <v>1072</v>
      </c>
      <c r="AW5" s="1155" t="s">
        <v>1073</v>
      </c>
      <c r="AX5" s="1155" t="s">
        <v>1074</v>
      </c>
      <c r="AY5" s="1155" t="s">
        <v>1075</v>
      </c>
      <c r="AZ5" s="1155" t="s">
        <v>1076</v>
      </c>
      <c r="BA5" s="1155" t="s">
        <v>1077</v>
      </c>
      <c r="BB5" s="1155" t="s">
        <v>1078</v>
      </c>
      <c r="BC5" s="1155" t="s">
        <v>1079</v>
      </c>
      <c r="BD5" s="1155" t="s">
        <v>1080</v>
      </c>
      <c r="BE5" s="1155" t="s">
        <v>1081</v>
      </c>
      <c r="BF5" s="1155" t="s">
        <v>1082</v>
      </c>
      <c r="BG5" s="1155" t="s">
        <v>44</v>
      </c>
      <c r="BH5" s="1155" t="s">
        <v>350</v>
      </c>
      <c r="BI5" s="2535" t="s">
        <v>722</v>
      </c>
      <c r="BJ5" s="6379" t="s">
        <v>443</v>
      </c>
      <c r="BK5" s="1157" t="s">
        <v>569</v>
      </c>
      <c r="BL5" s="2538" t="s">
        <v>1007</v>
      </c>
      <c r="BN5" s="4684" t="s">
        <v>1071</v>
      </c>
      <c r="BO5" s="4684" t="s">
        <v>1072</v>
      </c>
      <c r="BP5" s="4684" t="s">
        <v>1073</v>
      </c>
      <c r="BQ5" s="4684" t="s">
        <v>1074</v>
      </c>
      <c r="BR5" s="4684" t="s">
        <v>1075</v>
      </c>
      <c r="BS5" s="4684" t="s">
        <v>1076</v>
      </c>
      <c r="BT5" s="4684" t="s">
        <v>1077</v>
      </c>
      <c r="BU5" s="4684" t="s">
        <v>1078</v>
      </c>
      <c r="BV5" s="4684" t="s">
        <v>1079</v>
      </c>
      <c r="BW5" s="4684" t="s">
        <v>1080</v>
      </c>
      <c r="BX5" s="4684" t="s">
        <v>1081</v>
      </c>
      <c r="BY5" s="4684" t="s">
        <v>1082</v>
      </c>
    </row>
    <row r="6" spans="1:77" x14ac:dyDescent="0.55000000000000004">
      <c r="A6" s="7340" t="s">
        <v>453</v>
      </c>
      <c r="B6" s="7344" t="s">
        <v>746</v>
      </c>
      <c r="C6" s="4767" t="s">
        <v>962</v>
      </c>
      <c r="D6" s="2877"/>
      <c r="E6" s="3041">
        <v>4603</v>
      </c>
      <c r="F6" s="3041">
        <v>5783</v>
      </c>
      <c r="G6" s="3041">
        <v>5139</v>
      </c>
      <c r="H6" s="3041">
        <v>3822</v>
      </c>
      <c r="I6" s="3041">
        <v>4905</v>
      </c>
      <c r="J6" s="3041">
        <v>4498</v>
      </c>
      <c r="K6" s="3041">
        <v>3639</v>
      </c>
      <c r="L6" s="3041">
        <v>3650</v>
      </c>
      <c r="M6" s="3041">
        <v>5821</v>
      </c>
      <c r="N6" s="3041">
        <v>7269</v>
      </c>
      <c r="O6" s="3041">
        <v>2708</v>
      </c>
      <c r="P6" s="3041">
        <v>2254</v>
      </c>
      <c r="Q6" s="3041">
        <f t="shared" ref="Q6:Q32" si="0">SUM(E6:P6)</f>
        <v>54091</v>
      </c>
      <c r="R6" s="4768">
        <f>AVERAGE(E6:P6)</f>
        <v>4507.583333333333</v>
      </c>
      <c r="S6" s="3042">
        <v>3260</v>
      </c>
      <c r="T6" s="3041">
        <v>2214</v>
      </c>
      <c r="U6" s="3041">
        <v>1632</v>
      </c>
      <c r="V6" s="3041">
        <v>2415</v>
      </c>
      <c r="W6" s="3041">
        <v>1540</v>
      </c>
      <c r="X6" s="3041">
        <v>2365</v>
      </c>
      <c r="Y6" s="3041">
        <v>2882</v>
      </c>
      <c r="Z6" s="3041">
        <v>2958</v>
      </c>
      <c r="AA6" s="3041">
        <v>3119</v>
      </c>
      <c r="AB6" s="3041">
        <v>6253</v>
      </c>
      <c r="AC6" s="3041">
        <v>2707</v>
      </c>
      <c r="AD6" s="3041">
        <v>1834</v>
      </c>
      <c r="AE6" s="3041">
        <f>SUM(S6:AD6)</f>
        <v>33179</v>
      </c>
      <c r="AF6" s="4768">
        <f>AVERAGE(S6:AD6)</f>
        <v>2764.9166666666665</v>
      </c>
      <c r="AG6" s="4769">
        <v>1913</v>
      </c>
      <c r="AH6" s="4770">
        <v>2778</v>
      </c>
      <c r="AI6" s="4770">
        <v>3485</v>
      </c>
      <c r="AJ6" s="4770">
        <v>2478</v>
      </c>
      <c r="AK6" s="4770">
        <f t="shared" ref="AK6:AK14" si="1">AK15+AK24</f>
        <v>2591</v>
      </c>
      <c r="AL6" s="4770">
        <v>1942</v>
      </c>
      <c r="AM6" s="4770">
        <v>4860</v>
      </c>
      <c r="AN6" s="4770">
        <v>1543</v>
      </c>
      <c r="AO6" s="4770">
        <v>2494</v>
      </c>
      <c r="AP6" s="4770">
        <v>5265</v>
      </c>
      <c r="AQ6" s="4770">
        <v>5004</v>
      </c>
      <c r="AR6" s="4770">
        <v>3470</v>
      </c>
      <c r="AS6" s="3041">
        <f>SUM(AG6:AR6)</f>
        <v>37823</v>
      </c>
      <c r="AT6" s="4768">
        <f>AVERAGE(AG6:AR6)</f>
        <v>3151.9166666666665</v>
      </c>
      <c r="AU6" s="4769">
        <v>3919</v>
      </c>
      <c r="AV6" s="4770">
        <f>AV15+AV24</f>
        <v>2925</v>
      </c>
      <c r="AW6" s="4770"/>
      <c r="AX6" s="4770"/>
      <c r="AY6" s="4770"/>
      <c r="AZ6" s="4770"/>
      <c r="BA6" s="4770"/>
      <c r="BB6" s="4770"/>
      <c r="BC6" s="4770"/>
      <c r="BD6" s="4770"/>
      <c r="BE6" s="4770"/>
      <c r="BF6" s="4770"/>
      <c r="BG6" s="3041">
        <f>SUM(AU6:BF6)</f>
        <v>6844</v>
      </c>
      <c r="BH6" s="4768">
        <f>AVERAGE(AU6:BF6)</f>
        <v>3422</v>
      </c>
      <c r="BI6" s="4771">
        <f t="shared" ref="BI6:BI32" si="2">IFERROR(
  _xlfn.XLOOKUP($A$1,$3:$3,6:6)
 -_xlfn.XLOOKUP(EDATE($A$1,-1),$3:$3,6:6),"")</f>
        <v>-994</v>
      </c>
      <c r="BJ6" s="6380">
        <f t="shared" ref="BJ6:BJ32" si="3">IFERROR(_xlfn.XLOOKUP($A$1,$3:$3,6:6)-_xlfn.XLOOKUP(EDATE($A$1,-12),$3:$3,6:6),"")</f>
        <v>147</v>
      </c>
      <c r="BK6" s="6374">
        <f>IFERROR(
  SUM(
    _xlfn.XLOOKUP(DATE(YEAR($A$1),1,1),$3:$3,6:6):
    _xlfn.XLOOKUP($A$1,$3:$3,6:6)
  )
 -SUM(
    _xlfn.XLOOKUP(DATE(YEAR($A$1)-1,1,1),$3:$3,6:6):
    _xlfn.XLOOKUP(EDATE($A$1,-12),$3:$3,6:6)
  ),"")</f>
        <v>2153</v>
      </c>
      <c r="BL6" s="2550">
        <f>BH6-AT6</f>
        <v>270.08333333333348</v>
      </c>
      <c r="BN6" s="4772"/>
      <c r="BO6" s="4772"/>
      <c r="BP6" s="4772"/>
      <c r="BQ6" s="4772"/>
      <c r="BR6" s="4772"/>
      <c r="BS6" s="4772"/>
      <c r="BT6" s="4772"/>
      <c r="BU6" s="4772"/>
      <c r="BV6" s="4772"/>
      <c r="BW6" s="4772"/>
      <c r="BX6" s="4772"/>
      <c r="BY6" s="4772"/>
    </row>
    <row r="7" spans="1:77" x14ac:dyDescent="0.55000000000000004">
      <c r="A7" s="7341"/>
      <c r="B7" s="7316"/>
      <c r="C7" s="907" t="s">
        <v>747</v>
      </c>
      <c r="D7" s="2961">
        <v>26350</v>
      </c>
      <c r="E7" s="3041">
        <v>2107</v>
      </c>
      <c r="F7" s="3041">
        <v>1714</v>
      </c>
      <c r="G7" s="3041">
        <v>1396</v>
      </c>
      <c r="H7" s="3041">
        <v>966</v>
      </c>
      <c r="I7" s="3041">
        <v>978</v>
      </c>
      <c r="J7" s="3041">
        <v>760</v>
      </c>
      <c r="K7" s="3041">
        <v>427</v>
      </c>
      <c r="L7" s="3041">
        <v>772</v>
      </c>
      <c r="M7" s="3041">
        <v>224</v>
      </c>
      <c r="N7" s="3041">
        <v>381</v>
      </c>
      <c r="O7" s="3041">
        <v>333</v>
      </c>
      <c r="P7" s="3041">
        <v>309</v>
      </c>
      <c r="Q7" s="3041">
        <f t="shared" si="0"/>
        <v>10367</v>
      </c>
      <c r="R7" s="4768">
        <f t="shared" ref="R7:R32" si="4">AVERAGE(E7:P7)</f>
        <v>863.91666666666663</v>
      </c>
      <c r="S7" s="3042">
        <v>1326</v>
      </c>
      <c r="T7" s="3041">
        <v>1052</v>
      </c>
      <c r="U7" s="3041">
        <v>481</v>
      </c>
      <c r="V7" s="3041">
        <v>276</v>
      </c>
      <c r="W7" s="3041">
        <v>389</v>
      </c>
      <c r="X7" s="3041">
        <v>579</v>
      </c>
      <c r="Y7" s="3041">
        <v>518</v>
      </c>
      <c r="Z7" s="3041">
        <v>1600</v>
      </c>
      <c r="AA7" s="3041">
        <v>633</v>
      </c>
      <c r="AB7" s="3041">
        <v>885</v>
      </c>
      <c r="AC7" s="3041">
        <v>511</v>
      </c>
      <c r="AD7" s="3041">
        <v>1073</v>
      </c>
      <c r="AE7" s="3041">
        <f t="shared" ref="AE7:AE32" si="5">SUM(S7:AD7)</f>
        <v>9323</v>
      </c>
      <c r="AF7" s="4768">
        <f t="shared" ref="AF7:AF32" si="6">AVERAGE(S7:AD7)</f>
        <v>776.91666666666663</v>
      </c>
      <c r="AG7" s="3042">
        <v>686</v>
      </c>
      <c r="AH7" s="3041">
        <v>559</v>
      </c>
      <c r="AI7" s="4773">
        <v>1600</v>
      </c>
      <c r="AJ7" s="3041">
        <v>1354</v>
      </c>
      <c r="AK7" s="4773">
        <f t="shared" si="1"/>
        <v>909</v>
      </c>
      <c r="AL7" s="4773">
        <v>664</v>
      </c>
      <c r="AM7" s="3041">
        <v>1501</v>
      </c>
      <c r="AN7" s="4773">
        <v>488</v>
      </c>
      <c r="AO7" s="3041">
        <v>749</v>
      </c>
      <c r="AP7" s="4773">
        <v>895</v>
      </c>
      <c r="AQ7" s="3041">
        <v>955</v>
      </c>
      <c r="AR7" s="3041">
        <v>512</v>
      </c>
      <c r="AS7" s="3041">
        <f t="shared" ref="AS7:AS32" si="7">SUM(AG7:AR7)</f>
        <v>10872</v>
      </c>
      <c r="AT7" s="4768">
        <f t="shared" ref="AT7:AT21" si="8">AVERAGE(AG7:AR7)</f>
        <v>906</v>
      </c>
      <c r="AU7" s="3042">
        <v>363</v>
      </c>
      <c r="AV7" s="4773">
        <v>389</v>
      </c>
      <c r="AW7" s="4773"/>
      <c r="AX7" s="3041"/>
      <c r="AY7" s="4773"/>
      <c r="AZ7" s="4773"/>
      <c r="BA7" s="3041"/>
      <c r="BB7" s="4773"/>
      <c r="BC7" s="3041"/>
      <c r="BD7" s="4773"/>
      <c r="BE7" s="3041"/>
      <c r="BF7" s="3041"/>
      <c r="BG7" s="3041">
        <f t="shared" ref="BG7:BG33" si="9">SUM(AU7:BF7)</f>
        <v>752</v>
      </c>
      <c r="BH7" s="4768">
        <f t="shared" ref="BH7:BH21" si="10">AVERAGE(AU7:BF7)</f>
        <v>376</v>
      </c>
      <c r="BI7" s="4771">
        <f t="shared" si="2"/>
        <v>26</v>
      </c>
      <c r="BJ7" s="6380">
        <f t="shared" si="3"/>
        <v>-170</v>
      </c>
      <c r="BK7" s="6374">
        <f>IFERROR(
  SUM(
    _xlfn.XLOOKUP(DATE(YEAR($A$1),1,1),$3:$3,7:7):
    _xlfn.XLOOKUP($A$1,$3:$3,7:7)
  )
 -SUM(
    _xlfn.XLOOKUP(DATE(YEAR($A$1)-1,1,1),$3:$3,7:7):
    _xlfn.XLOOKUP(EDATE($A$1,-12),$3:$3,7:7)
  ),"")</f>
        <v>-493</v>
      </c>
      <c r="BL7" s="912">
        <f t="shared" ref="BL7:BL32" si="11">BH7-AT7</f>
        <v>-530</v>
      </c>
      <c r="BN7" s="4772"/>
      <c r="BO7" s="4772"/>
      <c r="BP7" s="4772"/>
      <c r="BQ7" s="4772"/>
      <c r="BR7" s="4772"/>
      <c r="BS7" s="4772"/>
      <c r="BT7" s="4772"/>
      <c r="BU7" s="4772"/>
      <c r="BV7" s="4772"/>
      <c r="BW7" s="4772"/>
      <c r="BX7" s="4772"/>
      <c r="BY7" s="4772"/>
    </row>
    <row r="8" spans="1:77" x14ac:dyDescent="0.55000000000000004">
      <c r="A8" s="7341"/>
      <c r="B8" s="7316"/>
      <c r="C8" s="907" t="s">
        <v>748</v>
      </c>
      <c r="D8" s="2961">
        <v>49650</v>
      </c>
      <c r="E8" s="3041">
        <v>2496</v>
      </c>
      <c r="F8" s="3041">
        <v>4069</v>
      </c>
      <c r="G8" s="3041">
        <v>3743</v>
      </c>
      <c r="H8" s="3041">
        <v>2856</v>
      </c>
      <c r="I8" s="3041">
        <v>3927</v>
      </c>
      <c r="J8" s="3041">
        <v>3738</v>
      </c>
      <c r="K8" s="3041">
        <v>3212</v>
      </c>
      <c r="L8" s="3041">
        <v>2878</v>
      </c>
      <c r="M8" s="3041">
        <v>5597</v>
      </c>
      <c r="N8" s="3041">
        <v>6888</v>
      </c>
      <c r="O8" s="3041">
        <v>2375</v>
      </c>
      <c r="P8" s="3041">
        <v>1945</v>
      </c>
      <c r="Q8" s="3041">
        <f t="shared" si="0"/>
        <v>43724</v>
      </c>
      <c r="R8" s="4768">
        <f t="shared" si="4"/>
        <v>3643.6666666666665</v>
      </c>
      <c r="S8" s="3042">
        <v>1934</v>
      </c>
      <c r="T8" s="3041">
        <v>1162</v>
      </c>
      <c r="U8" s="3041">
        <v>1151</v>
      </c>
      <c r="V8" s="3041">
        <v>2139</v>
      </c>
      <c r="W8" s="3041">
        <v>1151</v>
      </c>
      <c r="X8" s="3041">
        <v>1786</v>
      </c>
      <c r="Y8" s="3041">
        <v>2364</v>
      </c>
      <c r="Z8" s="3041">
        <v>1358</v>
      </c>
      <c r="AA8" s="3041">
        <v>2486</v>
      </c>
      <c r="AB8" s="3041">
        <v>5368</v>
      </c>
      <c r="AC8" s="3041">
        <v>2196</v>
      </c>
      <c r="AD8" s="3041">
        <v>761</v>
      </c>
      <c r="AE8" s="3041">
        <f t="shared" si="5"/>
        <v>23856</v>
      </c>
      <c r="AF8" s="4768">
        <f t="shared" si="6"/>
        <v>1988</v>
      </c>
      <c r="AG8" s="3042">
        <v>1227</v>
      </c>
      <c r="AH8" s="3041">
        <v>2219</v>
      </c>
      <c r="AI8" s="4773">
        <v>1885</v>
      </c>
      <c r="AJ8" s="3041">
        <v>1124</v>
      </c>
      <c r="AK8" s="4773">
        <f t="shared" si="1"/>
        <v>1682</v>
      </c>
      <c r="AL8" s="4773">
        <v>1278</v>
      </c>
      <c r="AM8" s="3041">
        <v>3359</v>
      </c>
      <c r="AN8" s="4773">
        <v>1055</v>
      </c>
      <c r="AO8" s="3041">
        <v>1745</v>
      </c>
      <c r="AP8" s="4773">
        <v>4370</v>
      </c>
      <c r="AQ8" s="3041">
        <v>4049</v>
      </c>
      <c r="AR8" s="3041">
        <v>2958</v>
      </c>
      <c r="AS8" s="3041">
        <f t="shared" si="7"/>
        <v>26951</v>
      </c>
      <c r="AT8" s="4768">
        <f t="shared" si="8"/>
        <v>2245.9166666666665</v>
      </c>
      <c r="AU8" s="3042">
        <v>3556</v>
      </c>
      <c r="AV8" s="4773">
        <v>2536</v>
      </c>
      <c r="AW8" s="4773"/>
      <c r="AX8" s="3041"/>
      <c r="AY8" s="4773"/>
      <c r="AZ8" s="4773"/>
      <c r="BA8" s="3041"/>
      <c r="BB8" s="4773"/>
      <c r="BC8" s="3041"/>
      <c r="BD8" s="4773"/>
      <c r="BE8" s="3041"/>
      <c r="BF8" s="3041"/>
      <c r="BG8" s="3041">
        <f t="shared" si="9"/>
        <v>6092</v>
      </c>
      <c r="BH8" s="4768">
        <f t="shared" si="10"/>
        <v>3046</v>
      </c>
      <c r="BI8" s="4771">
        <f t="shared" si="2"/>
        <v>-1020</v>
      </c>
      <c r="BJ8" s="6380">
        <f t="shared" si="3"/>
        <v>317</v>
      </c>
      <c r="BK8" s="6374">
        <f>IFERROR(
  SUM(
    _xlfn.XLOOKUP(DATE(YEAR($A$1),1,1),$3:$3,8:8):
    _xlfn.XLOOKUP($A$1,$3:$3,8:8)
  )
 -SUM(
    _xlfn.XLOOKUP(DATE(YEAR($A$1)-1,1,1),$3:$3,8:8):
    _xlfn.XLOOKUP(EDATE($A$1,-12),$3:$3,8:8)
  ),"")</f>
        <v>2646</v>
      </c>
      <c r="BL8" s="912">
        <f t="shared" si="11"/>
        <v>800.08333333333348</v>
      </c>
      <c r="BN8" s="4772"/>
      <c r="BO8" s="4772"/>
      <c r="BP8" s="4772"/>
      <c r="BQ8" s="4772"/>
      <c r="BR8" s="4772"/>
      <c r="BS8" s="4772"/>
      <c r="BT8" s="4772"/>
      <c r="BU8" s="4772"/>
      <c r="BV8" s="4772"/>
      <c r="BW8" s="4772"/>
      <c r="BX8" s="4772"/>
      <c r="BY8" s="4772"/>
    </row>
    <row r="9" spans="1:77" x14ac:dyDescent="0.55000000000000004">
      <c r="A9" s="7341"/>
      <c r="B9" s="7316"/>
      <c r="C9" s="907" t="s">
        <v>749</v>
      </c>
      <c r="D9" s="2961">
        <v>24000</v>
      </c>
      <c r="E9" s="3041">
        <v>1439</v>
      </c>
      <c r="F9" s="3041">
        <v>1684</v>
      </c>
      <c r="G9" s="3041">
        <v>2443</v>
      </c>
      <c r="H9" s="3041">
        <v>3100</v>
      </c>
      <c r="I9" s="3041">
        <v>1829</v>
      </c>
      <c r="J9" s="3041">
        <v>3547</v>
      </c>
      <c r="K9" s="3041">
        <v>1094</v>
      </c>
      <c r="L9" s="3041">
        <v>2425</v>
      </c>
      <c r="M9" s="3041">
        <v>1164</v>
      </c>
      <c r="N9" s="3041">
        <v>1018</v>
      </c>
      <c r="O9" s="3041">
        <v>1353</v>
      </c>
      <c r="P9" s="3041">
        <v>328</v>
      </c>
      <c r="Q9" s="3041">
        <f t="shared" si="0"/>
        <v>21424</v>
      </c>
      <c r="R9" s="4768">
        <f t="shared" si="4"/>
        <v>1785.3333333333333</v>
      </c>
      <c r="S9" s="3042">
        <v>1348</v>
      </c>
      <c r="T9" s="3041">
        <v>2051</v>
      </c>
      <c r="U9" s="3041">
        <v>1887</v>
      </c>
      <c r="V9" s="3041">
        <v>2578</v>
      </c>
      <c r="W9" s="3041">
        <v>1785</v>
      </c>
      <c r="X9" s="3041">
        <v>1696</v>
      </c>
      <c r="Y9" s="3041">
        <v>2031</v>
      </c>
      <c r="Z9" s="3041">
        <v>2201</v>
      </c>
      <c r="AA9" s="3041">
        <v>942</v>
      </c>
      <c r="AB9" s="3041">
        <v>1192</v>
      </c>
      <c r="AC9" s="3041">
        <v>1910</v>
      </c>
      <c r="AD9" s="3041">
        <v>1223</v>
      </c>
      <c r="AE9" s="3041">
        <f t="shared" si="5"/>
        <v>20844</v>
      </c>
      <c r="AF9" s="4768">
        <f t="shared" si="6"/>
        <v>1737</v>
      </c>
      <c r="AG9" s="3042">
        <v>1770</v>
      </c>
      <c r="AH9" s="3041">
        <v>3927</v>
      </c>
      <c r="AI9" s="4773">
        <v>2097</v>
      </c>
      <c r="AJ9" s="3041">
        <v>2052</v>
      </c>
      <c r="AK9" s="4773">
        <f t="shared" si="1"/>
        <v>2379</v>
      </c>
      <c r="AL9" s="4773">
        <v>2328</v>
      </c>
      <c r="AM9" s="3041">
        <v>2097</v>
      </c>
      <c r="AN9" s="4773">
        <v>2318</v>
      </c>
      <c r="AO9" s="3041">
        <v>2038</v>
      </c>
      <c r="AP9" s="4773">
        <v>1226</v>
      </c>
      <c r="AQ9" s="3041">
        <v>1881</v>
      </c>
      <c r="AR9" s="3041">
        <v>2197</v>
      </c>
      <c r="AS9" s="3041">
        <f t="shared" si="7"/>
        <v>26310</v>
      </c>
      <c r="AT9" s="4768">
        <f t="shared" si="8"/>
        <v>2192.5</v>
      </c>
      <c r="AU9" s="3042">
        <v>2775</v>
      </c>
      <c r="AV9" s="4773">
        <v>7337</v>
      </c>
      <c r="AW9" s="4773"/>
      <c r="AX9" s="3041"/>
      <c r="AY9" s="4773"/>
      <c r="AZ9" s="4773"/>
      <c r="BA9" s="3041"/>
      <c r="BB9" s="4773"/>
      <c r="BC9" s="3041"/>
      <c r="BD9" s="4773"/>
      <c r="BE9" s="3041"/>
      <c r="BF9" s="3041"/>
      <c r="BG9" s="3041">
        <f t="shared" si="9"/>
        <v>10112</v>
      </c>
      <c r="BH9" s="4768">
        <f t="shared" si="10"/>
        <v>5056</v>
      </c>
      <c r="BI9" s="4771">
        <f t="shared" si="2"/>
        <v>4562</v>
      </c>
      <c r="BJ9" s="6380">
        <f t="shared" si="3"/>
        <v>3410</v>
      </c>
      <c r="BK9" s="6374">
        <f>IFERROR(
  SUM(
    _xlfn.XLOOKUP(DATE(YEAR($A$1),1,1),$3:$3,9:9):
    _xlfn.XLOOKUP($A$1,$3:$3,9:9)
  )
 -SUM(
    _xlfn.XLOOKUP(DATE(YEAR($A$1)-1,1,1),$3:$3,9:9):
    _xlfn.XLOOKUP(EDATE($A$1,-12),$3:$3,9:9)
  ),"")</f>
        <v>4415</v>
      </c>
      <c r="BL9" s="912">
        <f t="shared" si="11"/>
        <v>2863.5</v>
      </c>
      <c r="BN9" s="4772"/>
      <c r="BO9" s="4772"/>
      <c r="BP9" s="4772"/>
      <c r="BQ9" s="4772"/>
      <c r="BR9" s="4772"/>
      <c r="BS9" s="4772"/>
      <c r="BT9" s="4772"/>
      <c r="BU9" s="4772"/>
      <c r="BV9" s="4772"/>
      <c r="BW9" s="4772"/>
      <c r="BX9" s="4772"/>
      <c r="BY9" s="4772"/>
    </row>
    <row r="10" spans="1:77" x14ac:dyDescent="0.55000000000000004">
      <c r="A10" s="7341"/>
      <c r="B10" s="7316"/>
      <c r="C10" s="907" t="s">
        <v>750</v>
      </c>
      <c r="D10" s="2961">
        <v>108800</v>
      </c>
      <c r="E10" s="3041">
        <v>10932</v>
      </c>
      <c r="F10" s="3041">
        <v>5659</v>
      </c>
      <c r="G10" s="3041">
        <v>5073</v>
      </c>
      <c r="H10" s="3041">
        <v>10620</v>
      </c>
      <c r="I10" s="3041">
        <v>5758</v>
      </c>
      <c r="J10" s="3041">
        <v>9038</v>
      </c>
      <c r="K10" s="3041">
        <v>8318</v>
      </c>
      <c r="L10" s="3041">
        <v>10016</v>
      </c>
      <c r="M10" s="3041">
        <v>11650</v>
      </c>
      <c r="N10" s="3041">
        <v>7875</v>
      </c>
      <c r="O10" s="3041">
        <v>9913</v>
      </c>
      <c r="P10" s="3041">
        <v>8568</v>
      </c>
      <c r="Q10" s="3041">
        <f t="shared" si="0"/>
        <v>103420</v>
      </c>
      <c r="R10" s="4768">
        <f t="shared" si="4"/>
        <v>8618.3333333333339</v>
      </c>
      <c r="S10" s="3042">
        <v>10965</v>
      </c>
      <c r="T10" s="3041">
        <v>3910</v>
      </c>
      <c r="U10" s="3041">
        <v>5353</v>
      </c>
      <c r="V10" s="3041">
        <v>2833</v>
      </c>
      <c r="W10" s="3041">
        <v>5360</v>
      </c>
      <c r="X10" s="3041">
        <v>4278</v>
      </c>
      <c r="Y10" s="3041">
        <v>5173</v>
      </c>
      <c r="Z10" s="3041">
        <v>5225</v>
      </c>
      <c r="AA10" s="3041">
        <v>3683</v>
      </c>
      <c r="AB10" s="3041">
        <v>4845</v>
      </c>
      <c r="AC10" s="3041">
        <v>5666</v>
      </c>
      <c r="AD10" s="3041">
        <v>6492</v>
      </c>
      <c r="AE10" s="3041">
        <f t="shared" si="5"/>
        <v>63783</v>
      </c>
      <c r="AF10" s="4768">
        <f t="shared" si="6"/>
        <v>5315.25</v>
      </c>
      <c r="AG10" s="3042">
        <v>5549</v>
      </c>
      <c r="AH10" s="3041">
        <v>3086</v>
      </c>
      <c r="AI10" s="4773">
        <v>2922</v>
      </c>
      <c r="AJ10" s="3041">
        <v>11432</v>
      </c>
      <c r="AK10" s="4773">
        <f t="shared" si="1"/>
        <v>7692</v>
      </c>
      <c r="AL10" s="4773">
        <v>7756</v>
      </c>
      <c r="AM10" s="3041">
        <v>6991</v>
      </c>
      <c r="AN10" s="4773">
        <v>5540</v>
      </c>
      <c r="AO10" s="3041">
        <v>8871</v>
      </c>
      <c r="AP10" s="4773">
        <v>3125</v>
      </c>
      <c r="AQ10" s="3041">
        <v>4673</v>
      </c>
      <c r="AR10" s="3041">
        <v>5204</v>
      </c>
      <c r="AS10" s="3041">
        <f t="shared" si="7"/>
        <v>72841</v>
      </c>
      <c r="AT10" s="4768">
        <f t="shared" si="8"/>
        <v>6070.083333333333</v>
      </c>
      <c r="AU10" s="3042">
        <v>8993</v>
      </c>
      <c r="AV10" s="4773">
        <v>2957</v>
      </c>
      <c r="AW10" s="4773"/>
      <c r="AX10" s="3041"/>
      <c r="AY10" s="4773"/>
      <c r="AZ10" s="4773"/>
      <c r="BA10" s="3041"/>
      <c r="BB10" s="4773"/>
      <c r="BC10" s="3041"/>
      <c r="BD10" s="4773"/>
      <c r="BE10" s="3041"/>
      <c r="BF10" s="3041"/>
      <c r="BG10" s="3041">
        <f t="shared" si="9"/>
        <v>11950</v>
      </c>
      <c r="BH10" s="4768">
        <f t="shared" si="10"/>
        <v>5975</v>
      </c>
      <c r="BI10" s="4771">
        <f t="shared" si="2"/>
        <v>-6036</v>
      </c>
      <c r="BJ10" s="6380">
        <f t="shared" si="3"/>
        <v>-129</v>
      </c>
      <c r="BK10" s="6374">
        <f>IFERROR(
  SUM(
    _xlfn.XLOOKUP(DATE(YEAR($A$1),1,1),$3:$3,10:10):
    _xlfn.XLOOKUP($A$1,$3:$3,10:10)
  )
 -SUM(
    _xlfn.XLOOKUP(DATE(YEAR($A$1)-1,1,1),$3:$3,10:10):
    _xlfn.XLOOKUP(EDATE($A$1,-12),$3:$3,10:10)
  ),"")</f>
        <v>3315</v>
      </c>
      <c r="BL10" s="912">
        <f t="shared" si="11"/>
        <v>-95.08333333333303</v>
      </c>
      <c r="BN10" s="4772"/>
      <c r="BO10" s="4772"/>
      <c r="BP10" s="4772"/>
      <c r="BQ10" s="4772"/>
      <c r="BR10" s="4772"/>
      <c r="BS10" s="4772"/>
      <c r="BT10" s="4772"/>
      <c r="BU10" s="4772"/>
      <c r="BV10" s="4772"/>
      <c r="BW10" s="4772"/>
      <c r="BX10" s="4772"/>
      <c r="BY10" s="4772"/>
    </row>
    <row r="11" spans="1:77" x14ac:dyDescent="0.55000000000000004">
      <c r="A11" s="7341"/>
      <c r="B11" s="7316"/>
      <c r="C11" s="907" t="s">
        <v>751</v>
      </c>
      <c r="D11" s="2961">
        <v>7668.1</v>
      </c>
      <c r="E11" s="3041">
        <v>793</v>
      </c>
      <c r="F11" s="3041">
        <v>812</v>
      </c>
      <c r="G11" s="3041">
        <v>610</v>
      </c>
      <c r="H11" s="3041">
        <v>398</v>
      </c>
      <c r="I11" s="3041">
        <v>693</v>
      </c>
      <c r="J11" s="3041">
        <v>1064</v>
      </c>
      <c r="K11" s="3041">
        <v>512</v>
      </c>
      <c r="L11" s="3041">
        <v>607</v>
      </c>
      <c r="M11" s="3041">
        <v>381</v>
      </c>
      <c r="N11" s="3041">
        <v>470</v>
      </c>
      <c r="O11" s="3041">
        <v>344</v>
      </c>
      <c r="P11" s="3041">
        <v>287</v>
      </c>
      <c r="Q11" s="3041">
        <f t="shared" si="0"/>
        <v>6971</v>
      </c>
      <c r="R11" s="4768">
        <f t="shared" si="4"/>
        <v>580.91666666666663</v>
      </c>
      <c r="S11" s="3042">
        <v>307</v>
      </c>
      <c r="T11" s="3041">
        <v>275</v>
      </c>
      <c r="U11" s="3041">
        <v>430</v>
      </c>
      <c r="V11" s="3041">
        <v>365</v>
      </c>
      <c r="W11" s="3041">
        <v>304</v>
      </c>
      <c r="X11" s="3041">
        <v>597</v>
      </c>
      <c r="Y11" s="3041">
        <v>756</v>
      </c>
      <c r="Z11" s="3041">
        <v>538</v>
      </c>
      <c r="AA11" s="3041">
        <v>1119</v>
      </c>
      <c r="AB11" s="3041">
        <v>293</v>
      </c>
      <c r="AC11" s="3041">
        <v>496</v>
      </c>
      <c r="AD11" s="3041">
        <v>368</v>
      </c>
      <c r="AE11" s="3041">
        <f t="shared" si="5"/>
        <v>5848</v>
      </c>
      <c r="AF11" s="4768">
        <f t="shared" si="6"/>
        <v>487.33333333333331</v>
      </c>
      <c r="AG11" s="3042">
        <v>364</v>
      </c>
      <c r="AH11" s="3041">
        <v>368</v>
      </c>
      <c r="AI11" s="4773">
        <v>1229</v>
      </c>
      <c r="AJ11" s="3041">
        <v>276</v>
      </c>
      <c r="AK11" s="4773">
        <f t="shared" si="1"/>
        <v>770</v>
      </c>
      <c r="AL11" s="4773">
        <v>527</v>
      </c>
      <c r="AM11" s="3041">
        <v>2480</v>
      </c>
      <c r="AN11" s="4773">
        <v>417</v>
      </c>
      <c r="AO11" s="3041">
        <v>650</v>
      </c>
      <c r="AP11" s="4773">
        <v>511</v>
      </c>
      <c r="AQ11" s="3041">
        <v>3155</v>
      </c>
      <c r="AR11" s="3041">
        <v>2175</v>
      </c>
      <c r="AS11" s="3041">
        <f t="shared" si="7"/>
        <v>12922</v>
      </c>
      <c r="AT11" s="4768">
        <f t="shared" si="8"/>
        <v>1076.8333333333333</v>
      </c>
      <c r="AU11" s="3042">
        <v>1608</v>
      </c>
      <c r="AV11" s="4773">
        <v>752</v>
      </c>
      <c r="AW11" s="4773"/>
      <c r="AX11" s="3041"/>
      <c r="AY11" s="4773"/>
      <c r="AZ11" s="4773"/>
      <c r="BA11" s="3041"/>
      <c r="BB11" s="4773"/>
      <c r="BC11" s="3041"/>
      <c r="BD11" s="4773"/>
      <c r="BE11" s="3041"/>
      <c r="BF11" s="3041"/>
      <c r="BG11" s="3041">
        <f t="shared" si="9"/>
        <v>2360</v>
      </c>
      <c r="BH11" s="4768">
        <f t="shared" si="10"/>
        <v>1180</v>
      </c>
      <c r="BI11" s="4771">
        <f t="shared" si="2"/>
        <v>-856</v>
      </c>
      <c r="BJ11" s="6380">
        <f t="shared" si="3"/>
        <v>384</v>
      </c>
      <c r="BK11" s="6374">
        <f>IFERROR(
  SUM(
    _xlfn.XLOOKUP(DATE(YEAR($A$1),1,1),$3:$3,11:11):
    _xlfn.XLOOKUP($A$1,$3:$3,11:11)
  )
 -SUM(
    _xlfn.XLOOKUP(DATE(YEAR($A$1)-1,1,1),$3:$3,11:11):
    _xlfn.XLOOKUP(EDATE($A$1,-12),$3:$3,11:11)
  ),"")</f>
        <v>1628</v>
      </c>
      <c r="BL11" s="912">
        <f t="shared" si="11"/>
        <v>103.16666666666674</v>
      </c>
      <c r="BN11" s="4774"/>
      <c r="BO11" s="4774"/>
      <c r="BP11" s="4774"/>
      <c r="BQ11" s="4774"/>
      <c r="BR11" s="4774"/>
      <c r="BS11" s="4774"/>
      <c r="BT11" s="4774"/>
      <c r="BU11" s="4774"/>
      <c r="BV11" s="4774"/>
      <c r="BW11" s="4774"/>
      <c r="BX11" s="4774"/>
      <c r="BY11" s="4774"/>
    </row>
    <row r="12" spans="1:77" x14ac:dyDescent="0.55000000000000004">
      <c r="A12" s="7341"/>
      <c r="B12" s="7316"/>
      <c r="C12" s="907" t="s">
        <v>752</v>
      </c>
      <c r="D12" s="2961">
        <v>16131.500000000002</v>
      </c>
      <c r="E12" s="3041">
        <v>1991</v>
      </c>
      <c r="F12" s="3041">
        <v>1896</v>
      </c>
      <c r="G12" s="3041">
        <v>1892</v>
      </c>
      <c r="H12" s="3041">
        <v>2328</v>
      </c>
      <c r="I12" s="3041">
        <v>2000</v>
      </c>
      <c r="J12" s="3041">
        <v>4403</v>
      </c>
      <c r="K12" s="3041">
        <v>-253</v>
      </c>
      <c r="L12" s="3041">
        <v>1375</v>
      </c>
      <c r="M12" s="3041">
        <v>-1340</v>
      </c>
      <c r="N12" s="3041">
        <v>29</v>
      </c>
      <c r="O12" s="3041">
        <v>447</v>
      </c>
      <c r="P12" s="3041">
        <v>-103</v>
      </c>
      <c r="Q12" s="3041">
        <f t="shared" si="0"/>
        <v>14665</v>
      </c>
      <c r="R12" s="4768">
        <f t="shared" si="4"/>
        <v>1222.0833333333333</v>
      </c>
      <c r="S12" s="3042">
        <v>1560</v>
      </c>
      <c r="T12" s="3041">
        <v>1036</v>
      </c>
      <c r="U12" s="3041">
        <v>1247</v>
      </c>
      <c r="V12" s="3041">
        <v>1351</v>
      </c>
      <c r="W12" s="3041">
        <v>330</v>
      </c>
      <c r="X12" s="3041">
        <v>1906</v>
      </c>
      <c r="Y12" s="3041">
        <v>1994</v>
      </c>
      <c r="Z12" s="3041">
        <v>2385</v>
      </c>
      <c r="AA12" s="3041">
        <v>1459</v>
      </c>
      <c r="AB12" s="3041">
        <v>525</v>
      </c>
      <c r="AC12" s="3041">
        <v>1321</v>
      </c>
      <c r="AD12" s="3041">
        <v>753</v>
      </c>
      <c r="AE12" s="3041">
        <f t="shared" si="5"/>
        <v>15867</v>
      </c>
      <c r="AF12" s="4768">
        <f t="shared" si="6"/>
        <v>1322.25</v>
      </c>
      <c r="AG12" s="3042">
        <v>377</v>
      </c>
      <c r="AH12" s="3041">
        <v>216</v>
      </c>
      <c r="AI12" s="4773">
        <v>1511</v>
      </c>
      <c r="AJ12" s="3041">
        <v>719</v>
      </c>
      <c r="AK12" s="4773">
        <f t="shared" si="1"/>
        <v>709</v>
      </c>
      <c r="AL12" s="4773">
        <v>504</v>
      </c>
      <c r="AM12" s="3041">
        <v>2206</v>
      </c>
      <c r="AN12" s="4773">
        <v>-50</v>
      </c>
      <c r="AO12" s="3041">
        <v>890</v>
      </c>
      <c r="AP12" s="4773">
        <v>359</v>
      </c>
      <c r="AQ12" s="3041">
        <v>3977</v>
      </c>
      <c r="AR12" s="3041">
        <v>69</v>
      </c>
      <c r="AS12" s="3041">
        <f t="shared" si="7"/>
        <v>11487</v>
      </c>
      <c r="AT12" s="4768">
        <f t="shared" si="8"/>
        <v>957.25</v>
      </c>
      <c r="AU12" s="3042">
        <v>734</v>
      </c>
      <c r="AV12" s="4773">
        <v>5316</v>
      </c>
      <c r="AW12" s="4773"/>
      <c r="AX12" s="3041"/>
      <c r="AY12" s="4773"/>
      <c r="AZ12" s="4773"/>
      <c r="BA12" s="3041"/>
      <c r="BB12" s="4773"/>
      <c r="BC12" s="3041"/>
      <c r="BD12" s="4773"/>
      <c r="BE12" s="3041"/>
      <c r="BF12" s="3041"/>
      <c r="BG12" s="3041">
        <f t="shared" si="9"/>
        <v>6050</v>
      </c>
      <c r="BH12" s="4768">
        <f t="shared" si="10"/>
        <v>3025</v>
      </c>
      <c r="BI12" s="4771">
        <f t="shared" si="2"/>
        <v>4582</v>
      </c>
      <c r="BJ12" s="6380">
        <f t="shared" si="3"/>
        <v>5100</v>
      </c>
      <c r="BK12" s="6374">
        <f>IFERROR(
  SUM(
    _xlfn.XLOOKUP(DATE(YEAR($A$1),1,1),$3:$3,12:12):
    _xlfn.XLOOKUP($A$1,$3:$3,12:12)
  )
 -SUM(
    _xlfn.XLOOKUP(DATE(YEAR($A$1)-1,1,1),$3:$3,12:12):
    _xlfn.XLOOKUP(EDATE($A$1,-12),$3:$3,12:12)
  ),"")</f>
        <v>5457</v>
      </c>
      <c r="BL12" s="912">
        <f t="shared" si="11"/>
        <v>2067.75</v>
      </c>
      <c r="BN12" s="4774"/>
      <c r="BO12" s="4774"/>
      <c r="BP12" s="4774"/>
      <c r="BQ12" s="4774"/>
      <c r="BR12" s="4774"/>
      <c r="BS12" s="4774"/>
      <c r="BT12" s="4774"/>
      <c r="BU12" s="4774"/>
      <c r="BV12" s="4774"/>
      <c r="BW12" s="4774"/>
      <c r="BX12" s="4774"/>
      <c r="BY12" s="4774"/>
    </row>
    <row r="13" spans="1:77" x14ac:dyDescent="0.55000000000000004">
      <c r="A13" s="7341"/>
      <c r="B13" s="7316"/>
      <c r="C13" s="907" t="s">
        <v>101</v>
      </c>
      <c r="D13" s="2961">
        <v>8000</v>
      </c>
      <c r="E13" s="3041">
        <v>0</v>
      </c>
      <c r="F13" s="3041">
        <v>0</v>
      </c>
      <c r="G13" s="3041">
        <v>0</v>
      </c>
      <c r="H13" s="3041">
        <v>0</v>
      </c>
      <c r="I13" s="3041">
        <v>0</v>
      </c>
      <c r="J13" s="3041">
        <v>0</v>
      </c>
      <c r="K13" s="3041">
        <v>0</v>
      </c>
      <c r="L13" s="3041">
        <v>0</v>
      </c>
      <c r="M13" s="3041">
        <v>0</v>
      </c>
      <c r="N13" s="3041">
        <v>0</v>
      </c>
      <c r="O13" s="3041">
        <v>0</v>
      </c>
      <c r="P13" s="3041">
        <v>0</v>
      </c>
      <c r="Q13" s="3041">
        <f t="shared" si="0"/>
        <v>0</v>
      </c>
      <c r="R13" s="4768">
        <f t="shared" si="4"/>
        <v>0</v>
      </c>
      <c r="S13" s="3042">
        <v>0</v>
      </c>
      <c r="T13" s="3041">
        <v>1</v>
      </c>
      <c r="U13" s="3041">
        <v>20</v>
      </c>
      <c r="V13" s="3041">
        <v>275</v>
      </c>
      <c r="W13" s="3041">
        <v>97</v>
      </c>
      <c r="X13" s="3041">
        <v>1</v>
      </c>
      <c r="Y13" s="3041">
        <v>1250</v>
      </c>
      <c r="Z13" s="3041">
        <v>3</v>
      </c>
      <c r="AA13" s="3041">
        <v>352</v>
      </c>
      <c r="AB13" s="3041">
        <v>6</v>
      </c>
      <c r="AC13" s="3041">
        <v>89</v>
      </c>
      <c r="AD13" s="3041">
        <v>0</v>
      </c>
      <c r="AE13" s="3041">
        <f t="shared" si="5"/>
        <v>2094</v>
      </c>
      <c r="AF13" s="4768">
        <f t="shared" si="6"/>
        <v>174.5</v>
      </c>
      <c r="AG13" s="3042">
        <v>81</v>
      </c>
      <c r="AH13" s="3041">
        <v>190</v>
      </c>
      <c r="AI13" s="4773">
        <v>36</v>
      </c>
      <c r="AJ13" s="3041">
        <v>196</v>
      </c>
      <c r="AK13" s="4773">
        <f t="shared" si="1"/>
        <v>101</v>
      </c>
      <c r="AL13" s="4773">
        <v>242</v>
      </c>
      <c r="AM13" s="3041">
        <v>413</v>
      </c>
      <c r="AN13" s="4773">
        <v>166</v>
      </c>
      <c r="AO13" s="3041">
        <v>621</v>
      </c>
      <c r="AP13" s="4773">
        <v>172</v>
      </c>
      <c r="AQ13" s="3041">
        <v>116</v>
      </c>
      <c r="AR13" s="3041">
        <v>232</v>
      </c>
      <c r="AS13" s="3041">
        <f t="shared" si="7"/>
        <v>2566</v>
      </c>
      <c r="AT13" s="4768">
        <f t="shared" si="8"/>
        <v>213.83333333333334</v>
      </c>
      <c r="AU13" s="3042">
        <v>334</v>
      </c>
      <c r="AV13" s="4773">
        <v>561</v>
      </c>
      <c r="AW13" s="4773"/>
      <c r="AX13" s="3041"/>
      <c r="AY13" s="4773"/>
      <c r="AZ13" s="4773"/>
      <c r="BA13" s="3041"/>
      <c r="BB13" s="4773"/>
      <c r="BC13" s="3041"/>
      <c r="BD13" s="4773"/>
      <c r="BE13" s="3041"/>
      <c r="BF13" s="3041"/>
      <c r="BG13" s="3041">
        <f t="shared" si="9"/>
        <v>895</v>
      </c>
      <c r="BH13" s="4768">
        <f t="shared" si="10"/>
        <v>447.5</v>
      </c>
      <c r="BI13" s="4771">
        <f t="shared" si="2"/>
        <v>227</v>
      </c>
      <c r="BJ13" s="6380">
        <f t="shared" si="3"/>
        <v>371</v>
      </c>
      <c r="BK13" s="6374">
        <f>IFERROR(
  SUM(
    _xlfn.XLOOKUP(DATE(YEAR($A$1),1,1),$3:$3,13:13):
    _xlfn.XLOOKUP($A$1,$3:$3,13:13)
  )
 -SUM(
    _xlfn.XLOOKUP(DATE(YEAR($A$1)-1,1,1),$3:$3,13:13):
    _xlfn.XLOOKUP(EDATE($A$1,-12),$3:$3,13:13)
  ),"")</f>
        <v>624</v>
      </c>
      <c r="BL13" s="912">
        <f t="shared" si="11"/>
        <v>233.66666666666666</v>
      </c>
      <c r="BN13" s="4774"/>
      <c r="BO13" s="4774"/>
      <c r="BP13" s="4774"/>
      <c r="BQ13" s="4774"/>
      <c r="BR13" s="4774"/>
      <c r="BS13" s="4774"/>
      <c r="BT13" s="4774"/>
      <c r="BU13" s="4774"/>
      <c r="BV13" s="4774"/>
      <c r="BW13" s="4774"/>
      <c r="BX13" s="4774"/>
      <c r="BY13" s="4774"/>
    </row>
    <row r="14" spans="1:77" x14ac:dyDescent="0.55000000000000004">
      <c r="A14" s="7341"/>
      <c r="B14" s="7317"/>
      <c r="C14" s="4775" t="s">
        <v>753</v>
      </c>
      <c r="D14" s="4776">
        <v>0</v>
      </c>
      <c r="E14" s="3041">
        <v>0</v>
      </c>
      <c r="F14" s="3041">
        <v>0</v>
      </c>
      <c r="G14" s="3041">
        <v>0</v>
      </c>
      <c r="H14" s="3041">
        <v>0</v>
      </c>
      <c r="I14" s="3041">
        <v>43</v>
      </c>
      <c r="J14" s="3041">
        <v>15</v>
      </c>
      <c r="K14" s="3041">
        <v>38</v>
      </c>
      <c r="L14" s="3041">
        <v>1</v>
      </c>
      <c r="M14" s="3041">
        <v>38</v>
      </c>
      <c r="N14" s="3041">
        <v>0</v>
      </c>
      <c r="O14" s="3041">
        <v>63</v>
      </c>
      <c r="P14" s="3041">
        <v>0</v>
      </c>
      <c r="Q14" s="3041">
        <f t="shared" si="0"/>
        <v>198</v>
      </c>
      <c r="R14" s="4768">
        <f t="shared" si="4"/>
        <v>16.5</v>
      </c>
      <c r="S14" s="4777">
        <v>0</v>
      </c>
      <c r="T14" s="4778">
        <v>4</v>
      </c>
      <c r="U14" s="4778">
        <v>40</v>
      </c>
      <c r="V14" s="4778">
        <v>73</v>
      </c>
      <c r="W14" s="4778">
        <v>6</v>
      </c>
      <c r="X14" s="4778">
        <v>0</v>
      </c>
      <c r="Y14" s="4778">
        <v>0</v>
      </c>
      <c r="Z14" s="4778">
        <v>0</v>
      </c>
      <c r="AA14" s="4778">
        <v>0</v>
      </c>
      <c r="AB14" s="4778">
        <v>0</v>
      </c>
      <c r="AC14" s="4778">
        <v>0</v>
      </c>
      <c r="AD14" s="4778">
        <v>0</v>
      </c>
      <c r="AE14" s="3041">
        <f t="shared" si="5"/>
        <v>123</v>
      </c>
      <c r="AF14" s="4768">
        <f t="shared" si="6"/>
        <v>10.25</v>
      </c>
      <c r="AG14" s="4777">
        <v>4</v>
      </c>
      <c r="AH14" s="4778">
        <v>0</v>
      </c>
      <c r="AI14" s="4778">
        <v>24</v>
      </c>
      <c r="AJ14" s="4778">
        <v>16</v>
      </c>
      <c r="AK14" s="4778">
        <f t="shared" si="1"/>
        <v>21</v>
      </c>
      <c r="AL14" s="4778">
        <v>0</v>
      </c>
      <c r="AM14" s="4778">
        <v>0</v>
      </c>
      <c r="AN14" s="4778">
        <v>0</v>
      </c>
      <c r="AO14" s="4778">
        <v>0</v>
      </c>
      <c r="AP14" s="4778">
        <v>0</v>
      </c>
      <c r="AQ14" s="4778">
        <v>0</v>
      </c>
      <c r="AR14" s="4778">
        <v>0</v>
      </c>
      <c r="AS14" s="3041">
        <f t="shared" si="7"/>
        <v>65</v>
      </c>
      <c r="AT14" s="4768">
        <f t="shared" si="8"/>
        <v>5.416666666666667</v>
      </c>
      <c r="AU14" s="4777">
        <v>0</v>
      </c>
      <c r="AV14" s="4778">
        <v>0</v>
      </c>
      <c r="AW14" s="4778"/>
      <c r="AX14" s="4778"/>
      <c r="AY14" s="4778"/>
      <c r="AZ14" s="4778"/>
      <c r="BA14" s="4778"/>
      <c r="BB14" s="4778"/>
      <c r="BC14" s="4778"/>
      <c r="BD14" s="4778"/>
      <c r="BE14" s="4778"/>
      <c r="BF14" s="4778"/>
      <c r="BG14" s="3041">
        <f t="shared" si="9"/>
        <v>0</v>
      </c>
      <c r="BH14" s="4768">
        <f t="shared" si="10"/>
        <v>0</v>
      </c>
      <c r="BI14" s="4779">
        <f t="shared" si="2"/>
        <v>0</v>
      </c>
      <c r="BJ14" s="6381">
        <f t="shared" si="3"/>
        <v>0</v>
      </c>
      <c r="BK14" s="6375">
        <f>IFERROR(
  SUM(
    _xlfn.XLOOKUP(DATE(YEAR($A$1),1,1),$3:$3,14:14):
    _xlfn.XLOOKUP($A$1,$3:$3,14:14)
  )
 -SUM(
    _xlfn.XLOOKUP(DATE(YEAR($A$1)-1,1,1),$3:$3,14:14):
    _xlfn.XLOOKUP(EDATE($A$1,-12),$3:$3,14:14)
  ),"")</f>
        <v>-4</v>
      </c>
      <c r="BL14" s="2570">
        <f t="shared" si="11"/>
        <v>-5.416666666666667</v>
      </c>
      <c r="BN14" s="4774"/>
      <c r="BO14" s="4774"/>
      <c r="BP14" s="4774"/>
      <c r="BQ14" s="4774"/>
      <c r="BR14" s="4774"/>
      <c r="BS14" s="4774"/>
      <c r="BT14" s="4774"/>
      <c r="BU14" s="4774"/>
      <c r="BV14" s="4774"/>
      <c r="BW14" s="4774"/>
      <c r="BX14" s="4774"/>
      <c r="BY14" s="4774"/>
    </row>
    <row r="15" spans="1:77" x14ac:dyDescent="0.55000000000000004">
      <c r="A15" s="7341"/>
      <c r="B15" s="7318" t="s">
        <v>754</v>
      </c>
      <c r="C15" s="4780" t="s">
        <v>970</v>
      </c>
      <c r="D15" s="4781"/>
      <c r="E15" s="4781">
        <v>2264</v>
      </c>
      <c r="F15" s="4781">
        <v>1805</v>
      </c>
      <c r="G15" s="4781">
        <v>1468</v>
      </c>
      <c r="H15" s="4781">
        <v>1036</v>
      </c>
      <c r="I15" s="4781">
        <v>674</v>
      </c>
      <c r="J15" s="4781">
        <v>776</v>
      </c>
      <c r="K15" s="4781">
        <v>478</v>
      </c>
      <c r="L15" s="4781">
        <v>638</v>
      </c>
      <c r="M15" s="4781">
        <v>3796</v>
      </c>
      <c r="N15" s="4781">
        <v>4342</v>
      </c>
      <c r="O15" s="4781">
        <v>494</v>
      </c>
      <c r="P15" s="4781">
        <v>360</v>
      </c>
      <c r="Q15" s="4781">
        <f t="shared" si="0"/>
        <v>18131</v>
      </c>
      <c r="R15" s="4782">
        <f t="shared" si="4"/>
        <v>1510.9166666666667</v>
      </c>
      <c r="S15" s="4783">
        <v>1147</v>
      </c>
      <c r="T15" s="4781">
        <v>1094</v>
      </c>
      <c r="U15" s="4781">
        <v>548</v>
      </c>
      <c r="V15" s="4781">
        <v>1658</v>
      </c>
      <c r="W15" s="4781">
        <v>432</v>
      </c>
      <c r="X15" s="4781">
        <v>664</v>
      </c>
      <c r="Y15" s="4781">
        <v>998</v>
      </c>
      <c r="Z15" s="4781">
        <v>1818</v>
      </c>
      <c r="AA15" s="4781">
        <v>965</v>
      </c>
      <c r="AB15" s="4781">
        <v>4864</v>
      </c>
      <c r="AC15" s="4781">
        <v>1223</v>
      </c>
      <c r="AD15" s="4781">
        <v>650</v>
      </c>
      <c r="AE15" s="4781">
        <f t="shared" si="5"/>
        <v>16061</v>
      </c>
      <c r="AF15" s="4782">
        <f t="shared" si="6"/>
        <v>1338.4166666666667</v>
      </c>
      <c r="AG15" s="4784">
        <v>614</v>
      </c>
      <c r="AH15" s="4785">
        <v>1037</v>
      </c>
      <c r="AI15" s="4786">
        <v>2255</v>
      </c>
      <c r="AJ15" s="4787">
        <v>915</v>
      </c>
      <c r="AK15" s="4787">
        <v>781</v>
      </c>
      <c r="AL15" s="4787">
        <v>562</v>
      </c>
      <c r="AM15" s="4787">
        <v>984</v>
      </c>
      <c r="AN15" s="4787">
        <v>368</v>
      </c>
      <c r="AO15" s="4787">
        <v>776</v>
      </c>
      <c r="AP15" s="4787">
        <v>3416</v>
      </c>
      <c r="AQ15" s="4787">
        <v>3718</v>
      </c>
      <c r="AR15" s="4787">
        <v>605</v>
      </c>
      <c r="AS15" s="4781">
        <f t="shared" si="7"/>
        <v>16031</v>
      </c>
      <c r="AT15" s="4782">
        <f t="shared" si="8"/>
        <v>1335.9166666666667</v>
      </c>
      <c r="AU15" s="4784">
        <v>687</v>
      </c>
      <c r="AV15" s="4786">
        <v>315</v>
      </c>
      <c r="AW15" s="4786"/>
      <c r="AX15" s="4787"/>
      <c r="AY15" s="4787"/>
      <c r="AZ15" s="4787"/>
      <c r="BA15" s="4787"/>
      <c r="BB15" s="4787"/>
      <c r="BC15" s="4787"/>
      <c r="BD15" s="4787"/>
      <c r="BE15" s="4787"/>
      <c r="BF15" s="4787"/>
      <c r="BG15" s="4781">
        <f t="shared" si="9"/>
        <v>1002</v>
      </c>
      <c r="BH15" s="4782">
        <f t="shared" si="10"/>
        <v>501</v>
      </c>
      <c r="BI15" s="4788">
        <f t="shared" si="2"/>
        <v>-372</v>
      </c>
      <c r="BJ15" s="6382">
        <f t="shared" si="3"/>
        <v>-722</v>
      </c>
      <c r="BK15" s="6376">
        <f>IFERROR(
  SUM(
    _xlfn.XLOOKUP(DATE(YEAR($A$1),1,1),$3:$3,15:15):
    _xlfn.XLOOKUP($A$1,$3:$3,15:15)
  )
 -SUM(
    _xlfn.XLOOKUP(DATE(YEAR($A$1)-1,1,1),$3:$3,15:15):
    _xlfn.XLOOKUP(EDATE($A$1,-12),$3:$3,15:15)
  ),"")</f>
        <v>-649</v>
      </c>
      <c r="BL15" s="2581">
        <f t="shared" si="11"/>
        <v>-834.91666666666674</v>
      </c>
      <c r="BN15" s="4774"/>
      <c r="BO15" s="4774"/>
      <c r="BP15" s="4774"/>
      <c r="BQ15" s="4774"/>
      <c r="BR15" s="4774"/>
      <c r="BS15" s="4774"/>
      <c r="BT15" s="4774"/>
      <c r="BU15" s="4774"/>
      <c r="BV15" s="4774"/>
      <c r="BW15" s="4774"/>
      <c r="BX15" s="4774"/>
      <c r="BY15" s="4774"/>
    </row>
    <row r="16" spans="1:77" x14ac:dyDescent="0.55000000000000004">
      <c r="A16" s="7341"/>
      <c r="B16" s="7319"/>
      <c r="C16" s="2821" t="s">
        <v>747</v>
      </c>
      <c r="D16" s="3304">
        <v>12600</v>
      </c>
      <c r="E16" s="3304">
        <v>2001</v>
      </c>
      <c r="F16" s="3304">
        <v>1578</v>
      </c>
      <c r="G16" s="3304">
        <v>1303</v>
      </c>
      <c r="H16" s="3304">
        <v>868</v>
      </c>
      <c r="I16" s="3304">
        <v>548</v>
      </c>
      <c r="J16" s="3304">
        <v>657</v>
      </c>
      <c r="K16" s="3304">
        <v>359</v>
      </c>
      <c r="L16" s="3304">
        <v>308</v>
      </c>
      <c r="M16" s="3304">
        <v>133</v>
      </c>
      <c r="N16" s="3304">
        <v>296</v>
      </c>
      <c r="O16" s="3304">
        <v>223</v>
      </c>
      <c r="P16" s="3304">
        <v>121</v>
      </c>
      <c r="Q16" s="3304">
        <f t="shared" si="0"/>
        <v>8395</v>
      </c>
      <c r="R16" s="4634">
        <f t="shared" si="4"/>
        <v>699.58333333333337</v>
      </c>
      <c r="S16" s="4510">
        <v>520</v>
      </c>
      <c r="T16" s="3304">
        <v>911</v>
      </c>
      <c r="U16" s="3304">
        <v>403</v>
      </c>
      <c r="V16" s="3304">
        <v>208</v>
      </c>
      <c r="W16" s="3304">
        <v>216</v>
      </c>
      <c r="X16" s="3304">
        <v>475</v>
      </c>
      <c r="Y16" s="3304">
        <v>335</v>
      </c>
      <c r="Z16" s="3304">
        <v>1496</v>
      </c>
      <c r="AA16" s="3304">
        <v>416</v>
      </c>
      <c r="AB16" s="3304">
        <v>559</v>
      </c>
      <c r="AC16" s="3304">
        <v>439</v>
      </c>
      <c r="AD16" s="3304">
        <v>534</v>
      </c>
      <c r="AE16" s="3304">
        <f t="shared" si="5"/>
        <v>6512</v>
      </c>
      <c r="AF16" s="4634">
        <f t="shared" si="6"/>
        <v>542.66666666666663</v>
      </c>
      <c r="AG16" s="4789">
        <v>463</v>
      </c>
      <c r="AH16" s="4790">
        <v>459</v>
      </c>
      <c r="AI16" s="2796">
        <f>2255-792</f>
        <v>1463</v>
      </c>
      <c r="AJ16" s="2646">
        <v>702</v>
      </c>
      <c r="AK16" s="2612">
        <f>781-259</f>
        <v>522</v>
      </c>
      <c r="AL16" s="2612">
        <f>562-246</f>
        <v>316</v>
      </c>
      <c r="AM16" s="2646">
        <v>375</v>
      </c>
      <c r="AN16" s="2612">
        <f>368-152</f>
        <v>216</v>
      </c>
      <c r="AO16" s="2646">
        <v>530</v>
      </c>
      <c r="AP16" s="2612">
        <v>292</v>
      </c>
      <c r="AQ16" s="2646">
        <v>707</v>
      </c>
      <c r="AR16" s="2646">
        <v>359</v>
      </c>
      <c r="AS16" s="3304">
        <f t="shared" si="7"/>
        <v>6404</v>
      </c>
      <c r="AT16" s="4634">
        <f t="shared" si="8"/>
        <v>533.66666666666663</v>
      </c>
      <c r="AU16" s="4789">
        <f>687-517</f>
        <v>170</v>
      </c>
      <c r="AV16" s="2796">
        <v>193</v>
      </c>
      <c r="AW16" s="2796"/>
      <c r="AX16" s="2646"/>
      <c r="AY16" s="2612"/>
      <c r="AZ16" s="2612"/>
      <c r="BA16" s="2646"/>
      <c r="BB16" s="2612"/>
      <c r="BC16" s="2646"/>
      <c r="BD16" s="2612"/>
      <c r="BE16" s="2646"/>
      <c r="BF16" s="2646"/>
      <c r="BG16" s="3304">
        <f t="shared" si="9"/>
        <v>363</v>
      </c>
      <c r="BH16" s="4634">
        <f t="shared" si="10"/>
        <v>181.5</v>
      </c>
      <c r="BI16" s="4791">
        <f t="shared" si="2"/>
        <v>23</v>
      </c>
      <c r="BJ16" s="6383">
        <f t="shared" si="3"/>
        <v>-266</v>
      </c>
      <c r="BK16" s="2644">
        <f>IFERROR(
  SUM(
    _xlfn.XLOOKUP(DATE(YEAR($A$1),1,1),$3:$3,16:16):
    _xlfn.XLOOKUP($A$1,$3:$3,16:16)
  )
 -SUM(
    _xlfn.XLOOKUP(DATE(YEAR($A$1)-1,1,1),$3:$3,16:16):
    _xlfn.XLOOKUP(EDATE($A$1,-12),$3:$3,16:16)
  ),"")</f>
        <v>-559</v>
      </c>
      <c r="BL16" s="2591">
        <f t="shared" si="11"/>
        <v>-352.16666666666663</v>
      </c>
      <c r="BN16" s="4774"/>
      <c r="BO16" s="4774"/>
      <c r="BP16" s="4774"/>
      <c r="BQ16" s="4774"/>
      <c r="BR16" s="4774"/>
      <c r="BS16" s="4774"/>
      <c r="BT16" s="4774"/>
      <c r="BU16" s="4774"/>
      <c r="BV16" s="4774"/>
      <c r="BW16" s="4774"/>
      <c r="BX16" s="4774"/>
      <c r="BY16" s="4774"/>
    </row>
    <row r="17" spans="1:77" x14ac:dyDescent="0.55000000000000004">
      <c r="A17" s="7341"/>
      <c r="B17" s="7319"/>
      <c r="C17" s="2821" t="s">
        <v>748</v>
      </c>
      <c r="D17" s="3304">
        <v>8400</v>
      </c>
      <c r="E17" s="3304">
        <v>263</v>
      </c>
      <c r="F17" s="3304">
        <v>227</v>
      </c>
      <c r="G17" s="3304">
        <v>165</v>
      </c>
      <c r="H17" s="3304">
        <v>168</v>
      </c>
      <c r="I17" s="3304">
        <v>126</v>
      </c>
      <c r="J17" s="3304">
        <v>119</v>
      </c>
      <c r="K17" s="3304">
        <v>119</v>
      </c>
      <c r="L17" s="3304">
        <v>330</v>
      </c>
      <c r="M17" s="3304">
        <v>3663</v>
      </c>
      <c r="N17" s="3304">
        <v>4046</v>
      </c>
      <c r="O17" s="3304">
        <v>271</v>
      </c>
      <c r="P17" s="3304">
        <v>239</v>
      </c>
      <c r="Q17" s="3304">
        <f t="shared" si="0"/>
        <v>9736</v>
      </c>
      <c r="R17" s="4634">
        <f t="shared" si="4"/>
        <v>811.33333333333337</v>
      </c>
      <c r="S17" s="4510">
        <v>627</v>
      </c>
      <c r="T17" s="3304">
        <v>183</v>
      </c>
      <c r="U17" s="3304">
        <v>145</v>
      </c>
      <c r="V17" s="3304">
        <v>1450</v>
      </c>
      <c r="W17" s="3304">
        <v>216</v>
      </c>
      <c r="X17" s="3304">
        <v>189</v>
      </c>
      <c r="Y17" s="3304">
        <v>663</v>
      </c>
      <c r="Z17" s="3304">
        <v>322</v>
      </c>
      <c r="AA17" s="3304">
        <v>549</v>
      </c>
      <c r="AB17" s="3304">
        <v>4305</v>
      </c>
      <c r="AC17" s="3304">
        <v>784</v>
      </c>
      <c r="AD17" s="3304">
        <v>116</v>
      </c>
      <c r="AE17" s="3304">
        <f t="shared" si="5"/>
        <v>9549</v>
      </c>
      <c r="AF17" s="4634">
        <f t="shared" si="6"/>
        <v>795.75</v>
      </c>
      <c r="AG17" s="4789">
        <v>151</v>
      </c>
      <c r="AH17" s="4790">
        <v>578</v>
      </c>
      <c r="AI17" s="2796">
        <v>792</v>
      </c>
      <c r="AJ17" s="2646">
        <v>213</v>
      </c>
      <c r="AK17" s="2612">
        <v>259</v>
      </c>
      <c r="AL17" s="2612">
        <v>246</v>
      </c>
      <c r="AM17" s="2646">
        <v>609</v>
      </c>
      <c r="AN17" s="2612">
        <v>152</v>
      </c>
      <c r="AO17" s="2646">
        <v>246</v>
      </c>
      <c r="AP17" s="2612">
        <v>3124</v>
      </c>
      <c r="AQ17" s="2646">
        <v>3011</v>
      </c>
      <c r="AR17" s="2646">
        <v>246</v>
      </c>
      <c r="AS17" s="3304">
        <f t="shared" si="7"/>
        <v>9627</v>
      </c>
      <c r="AT17" s="4634">
        <f t="shared" si="8"/>
        <v>802.25</v>
      </c>
      <c r="AU17" s="4789">
        <v>517</v>
      </c>
      <c r="AV17" s="2796">
        <v>122</v>
      </c>
      <c r="AW17" s="2796"/>
      <c r="AX17" s="2646"/>
      <c r="AY17" s="2612"/>
      <c r="AZ17" s="2612"/>
      <c r="BA17" s="2646"/>
      <c r="BB17" s="2612"/>
      <c r="BC17" s="2646"/>
      <c r="BD17" s="2612"/>
      <c r="BE17" s="2646"/>
      <c r="BF17" s="2646"/>
      <c r="BG17" s="3304">
        <f t="shared" si="9"/>
        <v>639</v>
      </c>
      <c r="BH17" s="4634">
        <f t="shared" si="10"/>
        <v>319.5</v>
      </c>
      <c r="BI17" s="4791">
        <f t="shared" si="2"/>
        <v>-395</v>
      </c>
      <c r="BJ17" s="6383">
        <f t="shared" si="3"/>
        <v>-456</v>
      </c>
      <c r="BK17" s="2644">
        <f>IFERROR(
  SUM(
    _xlfn.XLOOKUP(DATE(YEAR($A$1),1,1),$3:$3,17:17):
    _xlfn.XLOOKUP($A$1,$3:$3,17:17)
  )
 -SUM(
    _xlfn.XLOOKUP(DATE(YEAR($A$1)-1,1,1),$3:$3,17:17):
    _xlfn.XLOOKUP(EDATE($A$1,-12),$3:$3,17:17)
  ),"")</f>
        <v>-90</v>
      </c>
      <c r="BL17" s="2591">
        <f t="shared" si="11"/>
        <v>-482.75</v>
      </c>
      <c r="BN17" s="4774"/>
      <c r="BO17" s="4774"/>
      <c r="BP17" s="4774"/>
      <c r="BQ17" s="4774"/>
      <c r="BR17" s="4774"/>
      <c r="BS17" s="4774"/>
      <c r="BT17" s="4774"/>
      <c r="BU17" s="4774"/>
      <c r="BV17" s="4774"/>
      <c r="BW17" s="4774"/>
      <c r="BX17" s="4774"/>
      <c r="BY17" s="4774"/>
    </row>
    <row r="18" spans="1:77" x14ac:dyDescent="0.55000000000000004">
      <c r="A18" s="7341"/>
      <c r="B18" s="7319"/>
      <c r="C18" s="2821" t="s">
        <v>749</v>
      </c>
      <c r="D18" s="3304">
        <v>9000</v>
      </c>
      <c r="E18" s="3304">
        <v>688</v>
      </c>
      <c r="F18" s="3304">
        <v>335</v>
      </c>
      <c r="G18" s="3304">
        <v>409</v>
      </c>
      <c r="H18" s="3304">
        <v>2179</v>
      </c>
      <c r="I18" s="3304">
        <v>881</v>
      </c>
      <c r="J18" s="3304">
        <v>741</v>
      </c>
      <c r="K18" s="3304">
        <v>554</v>
      </c>
      <c r="L18" s="3304">
        <v>223</v>
      </c>
      <c r="M18" s="3304">
        <v>261</v>
      </c>
      <c r="N18" s="3304">
        <v>138</v>
      </c>
      <c r="O18" s="3304">
        <v>125</v>
      </c>
      <c r="P18" s="3304">
        <v>128</v>
      </c>
      <c r="Q18" s="3304">
        <f t="shared" si="0"/>
        <v>6662</v>
      </c>
      <c r="R18" s="4634">
        <f t="shared" si="4"/>
        <v>555.16666666666663</v>
      </c>
      <c r="S18" s="4510">
        <v>754</v>
      </c>
      <c r="T18" s="3304">
        <v>246</v>
      </c>
      <c r="U18" s="3304">
        <v>660</v>
      </c>
      <c r="V18" s="3304">
        <v>635</v>
      </c>
      <c r="W18" s="3304">
        <v>105</v>
      </c>
      <c r="X18" s="3304">
        <v>305</v>
      </c>
      <c r="Y18" s="3304">
        <v>689</v>
      </c>
      <c r="Z18" s="3304">
        <v>657</v>
      </c>
      <c r="AA18" s="3304">
        <v>261</v>
      </c>
      <c r="AB18" s="3304">
        <v>335</v>
      </c>
      <c r="AC18" s="3304">
        <v>451</v>
      </c>
      <c r="AD18" s="3304">
        <v>315</v>
      </c>
      <c r="AE18" s="3304">
        <f t="shared" si="5"/>
        <v>5413</v>
      </c>
      <c r="AF18" s="4634">
        <f t="shared" si="6"/>
        <v>451.08333333333331</v>
      </c>
      <c r="AG18" s="4789">
        <v>533</v>
      </c>
      <c r="AH18" s="4790">
        <v>2378</v>
      </c>
      <c r="AI18" s="2796">
        <v>268</v>
      </c>
      <c r="AJ18" s="2646">
        <v>307</v>
      </c>
      <c r="AK18" s="2612">
        <v>913</v>
      </c>
      <c r="AL18" s="2612">
        <v>821</v>
      </c>
      <c r="AM18" s="2646">
        <v>548</v>
      </c>
      <c r="AN18" s="2612">
        <v>724</v>
      </c>
      <c r="AO18" s="2646">
        <v>726</v>
      </c>
      <c r="AP18" s="2612">
        <v>134</v>
      </c>
      <c r="AQ18" s="2646">
        <v>583</v>
      </c>
      <c r="AR18" s="2646">
        <v>964</v>
      </c>
      <c r="AS18" s="3304">
        <f t="shared" si="7"/>
        <v>8899</v>
      </c>
      <c r="AT18" s="4634">
        <f t="shared" si="8"/>
        <v>741.58333333333337</v>
      </c>
      <c r="AU18" s="4789">
        <v>1185</v>
      </c>
      <c r="AV18" s="2796">
        <v>5470</v>
      </c>
      <c r="AW18" s="2796"/>
      <c r="AX18" s="2646"/>
      <c r="AY18" s="2612"/>
      <c r="AZ18" s="2612"/>
      <c r="BA18" s="2646"/>
      <c r="BB18" s="2612"/>
      <c r="BC18" s="2646"/>
      <c r="BD18" s="2612"/>
      <c r="BE18" s="2646"/>
      <c r="BF18" s="2646"/>
      <c r="BG18" s="3304">
        <f t="shared" si="9"/>
        <v>6655</v>
      </c>
      <c r="BH18" s="4634">
        <f t="shared" si="10"/>
        <v>3327.5</v>
      </c>
      <c r="BI18" s="4791">
        <f t="shared" si="2"/>
        <v>4285</v>
      </c>
      <c r="BJ18" s="6383">
        <f t="shared" si="3"/>
        <v>3092</v>
      </c>
      <c r="BK18" s="2644">
        <f>IFERROR(
  SUM(
    _xlfn.XLOOKUP(DATE(YEAR($A$1),1,1),$3:$3,18:18):
    _xlfn.XLOOKUP($A$1,$3:$3,18:18)
  )
 -SUM(
    _xlfn.XLOOKUP(DATE(YEAR($A$1)-1,1,1),$3:$3,18:18):
    _xlfn.XLOOKUP(EDATE($A$1,-12),$3:$3,18:18)
  ),"")</f>
        <v>3744</v>
      </c>
      <c r="BL18" s="2591">
        <f t="shared" si="11"/>
        <v>2585.9166666666665</v>
      </c>
      <c r="BN18" s="4774"/>
      <c r="BO18" s="4774"/>
      <c r="BP18" s="4774"/>
      <c r="BQ18" s="4774"/>
      <c r="BR18" s="4774"/>
      <c r="BS18" s="4774"/>
      <c r="BT18" s="4774"/>
      <c r="BU18" s="4774"/>
      <c r="BV18" s="4774"/>
      <c r="BW18" s="4774"/>
      <c r="BX18" s="4774"/>
      <c r="BY18" s="4774"/>
    </row>
    <row r="19" spans="1:77" x14ac:dyDescent="0.55000000000000004">
      <c r="A19" s="7341"/>
      <c r="B19" s="7319"/>
      <c r="C19" s="2821" t="s">
        <v>750</v>
      </c>
      <c r="D19" s="3304">
        <v>107600</v>
      </c>
      <c r="E19" s="3304">
        <v>6882</v>
      </c>
      <c r="F19" s="3304">
        <v>4992</v>
      </c>
      <c r="G19" s="3304">
        <v>4487</v>
      </c>
      <c r="H19" s="3304">
        <v>6000</v>
      </c>
      <c r="I19" s="3304">
        <v>4825</v>
      </c>
      <c r="J19" s="3304">
        <v>5089</v>
      </c>
      <c r="K19" s="3304">
        <v>7181</v>
      </c>
      <c r="L19" s="3304">
        <v>8279</v>
      </c>
      <c r="M19" s="3304">
        <v>11207</v>
      </c>
      <c r="N19" s="3304">
        <v>7060</v>
      </c>
      <c r="O19" s="3304">
        <v>9262</v>
      </c>
      <c r="P19" s="3304">
        <v>6981</v>
      </c>
      <c r="Q19" s="3304">
        <f t="shared" si="0"/>
        <v>82245</v>
      </c>
      <c r="R19" s="4634">
        <f t="shared" si="4"/>
        <v>6853.75</v>
      </c>
      <c r="S19" s="4510">
        <v>10654</v>
      </c>
      <c r="T19" s="3304">
        <v>3442</v>
      </c>
      <c r="U19" s="3304">
        <v>4984</v>
      </c>
      <c r="V19" s="3304">
        <v>2695</v>
      </c>
      <c r="W19" s="3304">
        <v>5206</v>
      </c>
      <c r="X19" s="3304">
        <v>4159</v>
      </c>
      <c r="Y19" s="3304">
        <v>5070</v>
      </c>
      <c r="Z19" s="3304">
        <v>5133</v>
      </c>
      <c r="AA19" s="3304">
        <v>3579</v>
      </c>
      <c r="AB19" s="3304">
        <v>4764</v>
      </c>
      <c r="AC19" s="3304">
        <v>5588</v>
      </c>
      <c r="AD19" s="3304">
        <v>6468</v>
      </c>
      <c r="AE19" s="3304">
        <f t="shared" si="5"/>
        <v>61742</v>
      </c>
      <c r="AF19" s="4634">
        <f t="shared" si="6"/>
        <v>5145.166666666667</v>
      </c>
      <c r="AG19" s="4789">
        <v>5542</v>
      </c>
      <c r="AH19" s="4790">
        <v>3049</v>
      </c>
      <c r="AI19" s="2796">
        <v>2873</v>
      </c>
      <c r="AJ19" s="2646">
        <v>11396</v>
      </c>
      <c r="AK19" s="2612">
        <v>7691</v>
      </c>
      <c r="AL19" s="2612">
        <v>7715</v>
      </c>
      <c r="AM19" s="2646">
        <v>6956</v>
      </c>
      <c r="AN19" s="2612">
        <v>5524</v>
      </c>
      <c r="AO19" s="2646">
        <v>8862</v>
      </c>
      <c r="AP19" s="2612">
        <v>3090</v>
      </c>
      <c r="AQ19" s="2646">
        <v>4621</v>
      </c>
      <c r="AR19" s="2646">
        <v>5164</v>
      </c>
      <c r="AS19" s="3304">
        <f t="shared" si="7"/>
        <v>72483</v>
      </c>
      <c r="AT19" s="4634">
        <f t="shared" si="8"/>
        <v>6040.25</v>
      </c>
      <c r="AU19" s="4789">
        <v>8993</v>
      </c>
      <c r="AV19" s="2796">
        <v>2956</v>
      </c>
      <c r="AW19" s="2796"/>
      <c r="AX19" s="2646"/>
      <c r="AY19" s="2612"/>
      <c r="AZ19" s="2612"/>
      <c r="BA19" s="2646"/>
      <c r="BB19" s="2612"/>
      <c r="BC19" s="2646"/>
      <c r="BD19" s="2612"/>
      <c r="BE19" s="2646"/>
      <c r="BF19" s="2646"/>
      <c r="BG19" s="3304">
        <f t="shared" si="9"/>
        <v>11949</v>
      </c>
      <c r="BH19" s="4634">
        <f t="shared" si="10"/>
        <v>5974.5</v>
      </c>
      <c r="BI19" s="4791">
        <f t="shared" si="2"/>
        <v>-6037</v>
      </c>
      <c r="BJ19" s="6383">
        <f t="shared" si="3"/>
        <v>-93</v>
      </c>
      <c r="BK19" s="2644">
        <f>IFERROR(
  SUM(
    _xlfn.XLOOKUP(DATE(YEAR($A$1),1,1),$3:$3,19:19):
    _xlfn.XLOOKUP($A$1,$3:$3,19:19)
  )
 -SUM(
    _xlfn.XLOOKUP(DATE(YEAR($A$1)-1,1,1),$3:$3,19:19):
    _xlfn.XLOOKUP(EDATE($A$1,-12),$3:$3,19:19)
  ),"")</f>
        <v>3358</v>
      </c>
      <c r="BL19" s="2591">
        <f t="shared" si="11"/>
        <v>-65.75</v>
      </c>
      <c r="BN19" s="4774"/>
      <c r="BO19" s="4774"/>
      <c r="BP19" s="4774"/>
      <c r="BQ19" s="4774"/>
      <c r="BR19" s="4774"/>
      <c r="BS19" s="4774"/>
      <c r="BT19" s="4774"/>
      <c r="BU19" s="4774"/>
      <c r="BV19" s="4774"/>
      <c r="BW19" s="4774"/>
      <c r="BX19" s="4774"/>
      <c r="BY19" s="4774"/>
    </row>
    <row r="20" spans="1:77" x14ac:dyDescent="0.55000000000000004">
      <c r="A20" s="7341"/>
      <c r="B20" s="7319"/>
      <c r="C20" s="2821" t="s">
        <v>751</v>
      </c>
      <c r="D20" s="3304">
        <v>1210</v>
      </c>
      <c r="E20" s="3304">
        <v>219</v>
      </c>
      <c r="F20" s="3304">
        <v>117</v>
      </c>
      <c r="G20" s="3304">
        <v>79</v>
      </c>
      <c r="H20" s="3304">
        <v>88</v>
      </c>
      <c r="I20" s="3304">
        <v>59</v>
      </c>
      <c r="J20" s="3304">
        <v>62</v>
      </c>
      <c r="K20" s="3304">
        <v>57</v>
      </c>
      <c r="L20" s="3304">
        <v>74</v>
      </c>
      <c r="M20" s="3304">
        <v>67</v>
      </c>
      <c r="N20" s="3304">
        <v>96</v>
      </c>
      <c r="O20" s="3304">
        <v>68</v>
      </c>
      <c r="P20" s="3304">
        <v>114</v>
      </c>
      <c r="Q20" s="3304">
        <f t="shared" si="0"/>
        <v>1100</v>
      </c>
      <c r="R20" s="4634">
        <f t="shared" si="4"/>
        <v>91.666666666666671</v>
      </c>
      <c r="S20" s="4510">
        <v>118</v>
      </c>
      <c r="T20" s="3304">
        <v>36</v>
      </c>
      <c r="U20" s="3304">
        <v>69</v>
      </c>
      <c r="V20" s="3304">
        <v>62</v>
      </c>
      <c r="W20" s="3304">
        <v>53</v>
      </c>
      <c r="X20" s="3304">
        <v>129</v>
      </c>
      <c r="Y20" s="3304">
        <v>313</v>
      </c>
      <c r="Z20" s="3304">
        <v>235</v>
      </c>
      <c r="AA20" s="3304">
        <v>42</v>
      </c>
      <c r="AB20" s="3304">
        <v>104</v>
      </c>
      <c r="AC20" s="3304">
        <v>65</v>
      </c>
      <c r="AD20" s="3304">
        <v>56</v>
      </c>
      <c r="AE20" s="3304">
        <f t="shared" si="5"/>
        <v>1282</v>
      </c>
      <c r="AF20" s="4634">
        <f t="shared" si="6"/>
        <v>106.83333333333333</v>
      </c>
      <c r="AG20" s="4789">
        <v>76</v>
      </c>
      <c r="AH20" s="4790">
        <v>103</v>
      </c>
      <c r="AI20" s="2796">
        <v>708</v>
      </c>
      <c r="AJ20" s="2646">
        <v>75</v>
      </c>
      <c r="AK20" s="2612">
        <v>163</v>
      </c>
      <c r="AL20" s="2612">
        <v>163</v>
      </c>
      <c r="AM20" s="2646">
        <v>418</v>
      </c>
      <c r="AN20" s="2612">
        <v>68</v>
      </c>
      <c r="AO20" s="2646">
        <v>185</v>
      </c>
      <c r="AP20" s="2612">
        <v>305</v>
      </c>
      <c r="AQ20" s="2646">
        <v>2794</v>
      </c>
      <c r="AR20" s="2646">
        <v>69</v>
      </c>
      <c r="AS20" s="3304">
        <f t="shared" si="7"/>
        <v>5127</v>
      </c>
      <c r="AT20" s="4634">
        <f t="shared" si="8"/>
        <v>427.25</v>
      </c>
      <c r="AU20" s="4789">
        <v>273</v>
      </c>
      <c r="AV20" s="2796">
        <v>228</v>
      </c>
      <c r="AW20" s="2796"/>
      <c r="AX20" s="2646"/>
      <c r="AY20" s="2612"/>
      <c r="AZ20" s="2612"/>
      <c r="BA20" s="2646"/>
      <c r="BB20" s="2612"/>
      <c r="BC20" s="2646"/>
      <c r="BD20" s="2612"/>
      <c r="BE20" s="2646"/>
      <c r="BF20" s="2646"/>
      <c r="BG20" s="3304">
        <f t="shared" si="9"/>
        <v>501</v>
      </c>
      <c r="BH20" s="4634">
        <f t="shared" si="10"/>
        <v>250.5</v>
      </c>
      <c r="BI20" s="4791">
        <f t="shared" si="2"/>
        <v>-45</v>
      </c>
      <c r="BJ20" s="6383">
        <f t="shared" si="3"/>
        <v>125</v>
      </c>
      <c r="BK20" s="2644">
        <f>IFERROR(
  SUM(
    _xlfn.XLOOKUP(DATE(YEAR($A$1),1,1),$3:$3,20:20):
    _xlfn.XLOOKUP($A$1,$3:$3,20:20)
  )
 -SUM(
    _xlfn.XLOOKUP(DATE(YEAR($A$1)-1,1,1),$3:$3,20:20):
    _xlfn.XLOOKUP(EDATE($A$1,-12),$3:$3,20:20)
  ),"")</f>
        <v>322</v>
      </c>
      <c r="BL20" s="2591">
        <f t="shared" si="11"/>
        <v>-176.75</v>
      </c>
      <c r="BN20" s="4792"/>
      <c r="BO20" s="4793"/>
      <c r="BP20" s="4793"/>
      <c r="BQ20" s="4793"/>
      <c r="BR20" s="4793"/>
      <c r="BS20" s="4793"/>
      <c r="BT20" s="4793"/>
      <c r="BU20" s="4793"/>
      <c r="BV20" s="4793"/>
      <c r="BW20" s="4793"/>
      <c r="BX20" s="4793"/>
      <c r="BY20" s="4794"/>
    </row>
    <row r="21" spans="1:77" x14ac:dyDescent="0.55000000000000004">
      <c r="A21" s="7341"/>
      <c r="B21" s="7319"/>
      <c r="C21" s="2821" t="s">
        <v>752</v>
      </c>
      <c r="D21" s="3304">
        <v>6217.2000000000007</v>
      </c>
      <c r="E21" s="3304">
        <v>1397</v>
      </c>
      <c r="F21" s="3304">
        <v>922</v>
      </c>
      <c r="G21" s="3304">
        <v>332</v>
      </c>
      <c r="H21" s="3304">
        <v>2073</v>
      </c>
      <c r="I21" s="3304">
        <v>723</v>
      </c>
      <c r="J21" s="3304">
        <v>1107</v>
      </c>
      <c r="K21" s="3304">
        <v>-80</v>
      </c>
      <c r="L21" s="3304">
        <v>-819</v>
      </c>
      <c r="M21" s="3304">
        <v>280</v>
      </c>
      <c r="N21" s="3304">
        <v>-295</v>
      </c>
      <c r="O21" s="3304">
        <v>-138</v>
      </c>
      <c r="P21" s="3304">
        <v>150</v>
      </c>
      <c r="Q21" s="3304">
        <f t="shared" si="0"/>
        <v>5652</v>
      </c>
      <c r="R21" s="4634">
        <f t="shared" si="4"/>
        <v>471</v>
      </c>
      <c r="S21" s="4510">
        <v>1019</v>
      </c>
      <c r="T21" s="3304">
        <v>755</v>
      </c>
      <c r="U21" s="3304">
        <v>468</v>
      </c>
      <c r="V21" s="3304">
        <v>-11</v>
      </c>
      <c r="W21" s="3304">
        <v>148</v>
      </c>
      <c r="X21" s="3304">
        <v>716</v>
      </c>
      <c r="Y21" s="3304">
        <v>946</v>
      </c>
      <c r="Z21" s="3304">
        <v>1900</v>
      </c>
      <c r="AA21" s="3304">
        <v>462</v>
      </c>
      <c r="AB21" s="3304">
        <v>52</v>
      </c>
      <c r="AC21" s="3304">
        <v>623</v>
      </c>
      <c r="AD21" s="3304">
        <v>507</v>
      </c>
      <c r="AE21" s="3304">
        <f t="shared" si="5"/>
        <v>7585</v>
      </c>
      <c r="AF21" s="4634">
        <f t="shared" si="6"/>
        <v>632.08333333333337</v>
      </c>
      <c r="AG21" s="4789">
        <v>481</v>
      </c>
      <c r="AH21" s="4790">
        <v>419</v>
      </c>
      <c r="AI21" s="2796">
        <v>1364</v>
      </c>
      <c r="AJ21" s="2646">
        <v>635</v>
      </c>
      <c r="AK21" s="2612">
        <v>183</v>
      </c>
      <c r="AL21" s="2612">
        <v>389</v>
      </c>
      <c r="AM21" s="2646">
        <v>156</v>
      </c>
      <c r="AN21" s="2612">
        <v>196</v>
      </c>
      <c r="AO21" s="2646">
        <v>481</v>
      </c>
      <c r="AP21" s="2612">
        <v>371</v>
      </c>
      <c r="AQ21" s="2646">
        <v>3622</v>
      </c>
      <c r="AR21" s="2646">
        <v>-1463</v>
      </c>
      <c r="AS21" s="3304">
        <f t="shared" si="7"/>
        <v>6834</v>
      </c>
      <c r="AT21" s="4634">
        <f t="shared" si="8"/>
        <v>569.5</v>
      </c>
      <c r="AU21" s="4789">
        <v>740</v>
      </c>
      <c r="AV21" s="2796">
        <v>5277</v>
      </c>
      <c r="AW21" s="2796"/>
      <c r="AX21" s="2646"/>
      <c r="AY21" s="2612"/>
      <c r="AZ21" s="2612"/>
      <c r="BA21" s="2646"/>
      <c r="BB21" s="2612"/>
      <c r="BC21" s="2646"/>
      <c r="BD21" s="2612"/>
      <c r="BE21" s="2646"/>
      <c r="BF21" s="2646"/>
      <c r="BG21" s="3304">
        <f t="shared" si="9"/>
        <v>6017</v>
      </c>
      <c r="BH21" s="4634">
        <f t="shared" si="10"/>
        <v>3008.5</v>
      </c>
      <c r="BI21" s="4791">
        <f t="shared" si="2"/>
        <v>4537</v>
      </c>
      <c r="BJ21" s="6383">
        <f t="shared" si="3"/>
        <v>4858</v>
      </c>
      <c r="BK21" s="2644">
        <f>IFERROR(
  SUM(
    _xlfn.XLOOKUP(DATE(YEAR($A$1),1,1),$3:$3,21:21):
    _xlfn.XLOOKUP($A$1,$3:$3,21:21)
  )
 -SUM(
    _xlfn.XLOOKUP(DATE(YEAR($A$1)-1,1,1),$3:$3,21:21):
    _xlfn.XLOOKUP(EDATE($A$1,-12),$3:$3,21:21)
  ),"")</f>
        <v>5117</v>
      </c>
      <c r="BL21" s="2591">
        <f t="shared" si="11"/>
        <v>2439</v>
      </c>
      <c r="BN21" s="4792"/>
      <c r="BO21" s="4793"/>
      <c r="BP21" s="4793"/>
      <c r="BQ21" s="4793"/>
      <c r="BR21" s="4793"/>
      <c r="BS21" s="4793"/>
      <c r="BT21" s="4793"/>
      <c r="BU21" s="4793"/>
      <c r="BV21" s="4793"/>
      <c r="BW21" s="4793"/>
      <c r="BX21" s="4793"/>
      <c r="BY21" s="4794"/>
    </row>
    <row r="22" spans="1:77" x14ac:dyDescent="0.55000000000000004">
      <c r="A22" s="7341"/>
      <c r="B22" s="7319"/>
      <c r="C22" s="2821" t="s">
        <v>101</v>
      </c>
      <c r="D22" s="3304">
        <v>0</v>
      </c>
      <c r="E22" s="3304"/>
      <c r="F22" s="3304"/>
      <c r="G22" s="3304"/>
      <c r="H22" s="3304"/>
      <c r="I22" s="3304"/>
      <c r="J22" s="3304"/>
      <c r="K22" s="3304"/>
      <c r="L22" s="3304"/>
      <c r="M22" s="3304"/>
      <c r="N22" s="3304"/>
      <c r="O22" s="3304"/>
      <c r="P22" s="3304"/>
      <c r="Q22" s="3304">
        <f t="shared" si="0"/>
        <v>0</v>
      </c>
      <c r="R22" s="4634"/>
      <c r="S22" s="4510"/>
      <c r="T22" s="3304"/>
      <c r="U22" s="3304"/>
      <c r="V22" s="3304"/>
      <c r="W22" s="3304"/>
      <c r="X22" s="3304"/>
      <c r="Y22" s="3304"/>
      <c r="Z22" s="3304"/>
      <c r="AA22" s="3304"/>
      <c r="AB22" s="3304"/>
      <c r="AC22" s="3304"/>
      <c r="AD22" s="3304"/>
      <c r="AE22" s="3304">
        <f t="shared" si="5"/>
        <v>0</v>
      </c>
      <c r="AF22" s="4634"/>
      <c r="AG22" s="4789"/>
      <c r="AH22" s="4790"/>
      <c r="AI22" s="2796"/>
      <c r="AJ22" s="2646"/>
      <c r="AK22" s="2612"/>
      <c r="AL22" s="2612"/>
      <c r="AM22" s="2646"/>
      <c r="AN22" s="2612"/>
      <c r="AO22" s="2646"/>
      <c r="AP22" s="2612"/>
      <c r="AQ22" s="2646"/>
      <c r="AR22" s="2646"/>
      <c r="AS22" s="3304">
        <f t="shared" si="7"/>
        <v>0</v>
      </c>
      <c r="AT22" s="4634"/>
      <c r="AU22" s="4789">
        <v>0</v>
      </c>
      <c r="AV22" s="2796"/>
      <c r="AW22" s="2796"/>
      <c r="AX22" s="2646"/>
      <c r="AY22" s="2612"/>
      <c r="AZ22" s="2612"/>
      <c r="BA22" s="2646"/>
      <c r="BB22" s="2612"/>
      <c r="BC22" s="2646"/>
      <c r="BD22" s="2612"/>
      <c r="BE22" s="2646"/>
      <c r="BF22" s="2646"/>
      <c r="BG22" s="3304">
        <f t="shared" si="9"/>
        <v>0</v>
      </c>
      <c r="BH22" s="4634"/>
      <c r="BI22" s="4791">
        <f t="shared" si="2"/>
        <v>0</v>
      </c>
      <c r="BJ22" s="6383">
        <f t="shared" si="3"/>
        <v>0</v>
      </c>
      <c r="BK22" s="2644">
        <f>IFERROR(
  SUM(
    _xlfn.XLOOKUP(DATE(YEAR($A$1),1,1),$3:$3,22:22):
    _xlfn.XLOOKUP($A$1,$3:$3,22:22)
  )
 -SUM(
    _xlfn.XLOOKUP(DATE(YEAR($A$1)-1,1,1),$3:$3,22:22):
    _xlfn.XLOOKUP(EDATE($A$1,-12),$3:$3,22:22)
  ),"")</f>
        <v>0</v>
      </c>
      <c r="BL22" s="2591">
        <f t="shared" si="11"/>
        <v>0</v>
      </c>
      <c r="BN22" s="4792"/>
      <c r="BO22" s="4793"/>
      <c r="BP22" s="4793"/>
      <c r="BQ22" s="4793"/>
      <c r="BR22" s="4793"/>
      <c r="BS22" s="4793"/>
      <c r="BT22" s="4793"/>
      <c r="BU22" s="4793"/>
      <c r="BV22" s="4793"/>
      <c r="BW22" s="4793"/>
      <c r="BX22" s="4793"/>
      <c r="BY22" s="4794"/>
    </row>
    <row r="23" spans="1:77" ht="15.45" thickBot="1" x14ac:dyDescent="0.6">
      <c r="A23" s="7341"/>
      <c r="B23" s="7320"/>
      <c r="C23" s="4795" t="s">
        <v>753</v>
      </c>
      <c r="D23" s="4796">
        <v>0</v>
      </c>
      <c r="E23" s="4796"/>
      <c r="F23" s="4796"/>
      <c r="G23" s="4796"/>
      <c r="H23" s="4796"/>
      <c r="I23" s="4796"/>
      <c r="J23" s="4796"/>
      <c r="K23" s="4796"/>
      <c r="L23" s="4796"/>
      <c r="M23" s="4796"/>
      <c r="N23" s="4796"/>
      <c r="O23" s="4796"/>
      <c r="P23" s="4796"/>
      <c r="Q23" s="4796">
        <f t="shared" si="0"/>
        <v>0</v>
      </c>
      <c r="R23" s="4797"/>
      <c r="S23" s="4798"/>
      <c r="T23" s="4796"/>
      <c r="U23" s="4796"/>
      <c r="V23" s="4796"/>
      <c r="W23" s="4796"/>
      <c r="X23" s="4796"/>
      <c r="Y23" s="4796"/>
      <c r="Z23" s="4796"/>
      <c r="AA23" s="4796"/>
      <c r="AB23" s="4796"/>
      <c r="AC23" s="4796"/>
      <c r="AD23" s="4796"/>
      <c r="AE23" s="4796">
        <f t="shared" si="5"/>
        <v>0</v>
      </c>
      <c r="AF23" s="4797"/>
      <c r="AG23" s="4799"/>
      <c r="AH23" s="4800"/>
      <c r="AI23" s="4801"/>
      <c r="AJ23" s="4802"/>
      <c r="AK23" s="4802"/>
      <c r="AL23" s="4802"/>
      <c r="AM23" s="4802"/>
      <c r="AN23" s="4802"/>
      <c r="AO23" s="4802"/>
      <c r="AP23" s="4802"/>
      <c r="AQ23" s="4802"/>
      <c r="AR23" s="4802"/>
      <c r="AS23" s="4796">
        <f t="shared" si="7"/>
        <v>0</v>
      </c>
      <c r="AT23" s="4797"/>
      <c r="AU23" s="4799">
        <v>0</v>
      </c>
      <c r="AV23" s="4801"/>
      <c r="AW23" s="4801"/>
      <c r="AX23" s="4802"/>
      <c r="AY23" s="4802"/>
      <c r="AZ23" s="4802"/>
      <c r="BA23" s="4802"/>
      <c r="BB23" s="4802"/>
      <c r="BC23" s="4802"/>
      <c r="BD23" s="4802"/>
      <c r="BE23" s="4802"/>
      <c r="BF23" s="4802"/>
      <c r="BG23" s="4796">
        <f t="shared" si="9"/>
        <v>0</v>
      </c>
      <c r="BH23" s="4797"/>
      <c r="BI23" s="4803">
        <f t="shared" si="2"/>
        <v>0</v>
      </c>
      <c r="BJ23" s="6384">
        <f t="shared" si="3"/>
        <v>0</v>
      </c>
      <c r="BK23" s="6377">
        <f>IFERROR(
  SUM(
    _xlfn.XLOOKUP(DATE(YEAR($A$1),1,1),$3:$3,23:23):
    _xlfn.XLOOKUP($A$1,$3:$3,23:23)
  )
 -SUM(
    _xlfn.XLOOKUP(DATE(YEAR($A$1)-1,1,1),$3:$3,23:23):
    _xlfn.XLOOKUP(EDATE($A$1,-12),$3:$3,23:23)
  ),"")</f>
        <v>0</v>
      </c>
      <c r="BL23" s="2601">
        <f t="shared" si="11"/>
        <v>0</v>
      </c>
      <c r="BN23" s="4804"/>
      <c r="BO23" s="4805"/>
      <c r="BP23" s="4805"/>
      <c r="BQ23" s="4805"/>
      <c r="BR23" s="4805"/>
      <c r="BS23" s="4805"/>
      <c r="BT23" s="4805"/>
      <c r="BU23" s="4805"/>
      <c r="BV23" s="4805"/>
      <c r="BW23" s="4805"/>
      <c r="BX23" s="4805"/>
      <c r="BY23" s="4806"/>
    </row>
    <row r="24" spans="1:77" x14ac:dyDescent="0.55000000000000004">
      <c r="A24" s="7341"/>
      <c r="B24" s="7318" t="s">
        <v>755</v>
      </c>
      <c r="C24" s="2821" t="s">
        <v>970</v>
      </c>
      <c r="D24" s="3304"/>
      <c r="E24" s="2796">
        <v>2339</v>
      </c>
      <c r="F24" s="2796">
        <v>3978</v>
      </c>
      <c r="G24" s="2796">
        <v>3671</v>
      </c>
      <c r="H24" s="2796">
        <v>2786</v>
      </c>
      <c r="I24" s="2796">
        <v>4231</v>
      </c>
      <c r="J24" s="2796">
        <v>3722</v>
      </c>
      <c r="K24" s="2796">
        <v>3161</v>
      </c>
      <c r="L24" s="2796">
        <v>3012</v>
      </c>
      <c r="M24" s="2796">
        <v>2025</v>
      </c>
      <c r="N24" s="2796">
        <v>2927</v>
      </c>
      <c r="O24" s="2796">
        <v>2214</v>
      </c>
      <c r="P24" s="2796">
        <v>1894</v>
      </c>
      <c r="Q24" s="2646">
        <f t="shared" si="0"/>
        <v>35960</v>
      </c>
      <c r="R24" s="4807">
        <f t="shared" si="4"/>
        <v>2996.6666666666665</v>
      </c>
      <c r="S24" s="2645">
        <v>2113</v>
      </c>
      <c r="T24" s="2646">
        <v>1120</v>
      </c>
      <c r="U24" s="2646">
        <v>1084</v>
      </c>
      <c r="V24" s="2646">
        <v>757</v>
      </c>
      <c r="W24" s="2646">
        <v>1108</v>
      </c>
      <c r="X24" s="2646">
        <v>1701</v>
      </c>
      <c r="Y24" s="2646">
        <v>1884</v>
      </c>
      <c r="Z24" s="2646">
        <v>1140</v>
      </c>
      <c r="AA24" s="2646">
        <v>2154</v>
      </c>
      <c r="AB24" s="2646">
        <v>1389</v>
      </c>
      <c r="AC24" s="2646">
        <v>1484</v>
      </c>
      <c r="AD24" s="2646">
        <v>1184</v>
      </c>
      <c r="AE24" s="2646">
        <f t="shared" si="5"/>
        <v>17118</v>
      </c>
      <c r="AF24" s="4807">
        <f t="shared" si="6"/>
        <v>1426.5</v>
      </c>
      <c r="AG24" s="2645">
        <v>1299</v>
      </c>
      <c r="AH24" s="2646">
        <v>1741</v>
      </c>
      <c r="AI24" s="2612">
        <v>1230</v>
      </c>
      <c r="AJ24" s="2646">
        <v>1563</v>
      </c>
      <c r="AK24" s="2612">
        <v>1810</v>
      </c>
      <c r="AL24" s="2612">
        <v>1380</v>
      </c>
      <c r="AM24" s="2646">
        <v>3876</v>
      </c>
      <c r="AN24" s="2612">
        <v>1175</v>
      </c>
      <c r="AO24" s="2646">
        <v>1718</v>
      </c>
      <c r="AP24" s="2612">
        <v>1849</v>
      </c>
      <c r="AQ24" s="2646">
        <v>1286</v>
      </c>
      <c r="AR24" s="2646">
        <v>2865</v>
      </c>
      <c r="AS24" s="2646">
        <f t="shared" si="7"/>
        <v>21792</v>
      </c>
      <c r="AT24" s="4807">
        <f t="shared" ref="AT24:AT32" si="12">AVERAGE(AG24:AR24)</f>
        <v>1816</v>
      </c>
      <c r="AU24" s="2645">
        <v>3232</v>
      </c>
      <c r="AV24" s="2612">
        <v>2610</v>
      </c>
      <c r="AW24" s="2612"/>
      <c r="AX24" s="2646"/>
      <c r="AY24" s="2612"/>
      <c r="AZ24" s="2612"/>
      <c r="BA24" s="2646"/>
      <c r="BB24" s="2612"/>
      <c r="BC24" s="2646"/>
      <c r="BD24" s="2612"/>
      <c r="BE24" s="2646"/>
      <c r="BF24" s="2646"/>
      <c r="BG24" s="2646">
        <f t="shared" si="9"/>
        <v>5842</v>
      </c>
      <c r="BH24" s="4807">
        <f t="shared" ref="BH24:BH32" si="13">AVERAGE(AU24:BF24)</f>
        <v>2921</v>
      </c>
      <c r="BI24" s="4791">
        <f t="shared" si="2"/>
        <v>-622</v>
      </c>
      <c r="BJ24" s="6383">
        <f t="shared" si="3"/>
        <v>869</v>
      </c>
      <c r="BK24" s="2644">
        <f>IFERROR(
  SUM(
    _xlfn.XLOOKUP(DATE(YEAR($A$1),1,1),$3:$3,24:24):
    _xlfn.XLOOKUP($A$1,$3:$3,24:24)
  )
 -SUM(
    _xlfn.XLOOKUP(DATE(YEAR($A$1)-1,1,1),$3:$3,24:24):
    _xlfn.XLOOKUP(EDATE($A$1,-12),$3:$3,24:24)
  ),"")</f>
        <v>2802</v>
      </c>
      <c r="BL24" s="2591">
        <f t="shared" si="11"/>
        <v>1105</v>
      </c>
      <c r="BN24" s="4808"/>
      <c r="BO24" s="4809"/>
      <c r="BP24" s="4809"/>
      <c r="BQ24" s="4809"/>
      <c r="BR24" s="4809"/>
      <c r="BS24" s="4809"/>
      <c r="BT24" s="4809"/>
      <c r="BU24" s="4809"/>
      <c r="BV24" s="4809"/>
      <c r="BW24" s="4809"/>
      <c r="BX24" s="4809"/>
      <c r="BY24" s="4810"/>
    </row>
    <row r="25" spans="1:77" x14ac:dyDescent="0.55000000000000004">
      <c r="A25" s="7341"/>
      <c r="B25" s="7319"/>
      <c r="C25" s="2821" t="s">
        <v>747</v>
      </c>
      <c r="D25" s="3304">
        <v>13750</v>
      </c>
      <c r="E25" s="2796">
        <v>106</v>
      </c>
      <c r="F25" s="2796">
        <v>136</v>
      </c>
      <c r="G25" s="2796">
        <v>93</v>
      </c>
      <c r="H25" s="2796">
        <v>98</v>
      </c>
      <c r="I25" s="2796">
        <v>430</v>
      </c>
      <c r="J25" s="2796">
        <v>103</v>
      </c>
      <c r="K25" s="2796">
        <v>68</v>
      </c>
      <c r="L25" s="2796">
        <v>464</v>
      </c>
      <c r="M25" s="2796">
        <v>91</v>
      </c>
      <c r="N25" s="2796">
        <v>85</v>
      </c>
      <c r="O25" s="2796">
        <v>110</v>
      </c>
      <c r="P25" s="2796">
        <v>188</v>
      </c>
      <c r="Q25" s="2646">
        <f t="shared" si="0"/>
        <v>1972</v>
      </c>
      <c r="R25" s="4807">
        <f t="shared" si="4"/>
        <v>164.33333333333334</v>
      </c>
      <c r="S25" s="2645">
        <v>806</v>
      </c>
      <c r="T25" s="2646">
        <v>141</v>
      </c>
      <c r="U25" s="2646">
        <v>78</v>
      </c>
      <c r="V25" s="2646">
        <v>68</v>
      </c>
      <c r="W25" s="2646">
        <v>173</v>
      </c>
      <c r="X25" s="2646">
        <v>104</v>
      </c>
      <c r="Y25" s="2646">
        <v>183</v>
      </c>
      <c r="Z25" s="2646">
        <v>104</v>
      </c>
      <c r="AA25" s="2646">
        <v>217</v>
      </c>
      <c r="AB25" s="2646">
        <v>326</v>
      </c>
      <c r="AC25" s="2646">
        <v>72</v>
      </c>
      <c r="AD25" s="2646">
        <v>539</v>
      </c>
      <c r="AE25" s="2646">
        <f t="shared" si="5"/>
        <v>2811</v>
      </c>
      <c r="AF25" s="4807">
        <f t="shared" si="6"/>
        <v>234.25</v>
      </c>
      <c r="AG25" s="2645">
        <v>223</v>
      </c>
      <c r="AH25" s="2646">
        <v>100</v>
      </c>
      <c r="AI25" s="2612">
        <f>1230-1093</f>
        <v>137</v>
      </c>
      <c r="AJ25" s="2646">
        <v>652</v>
      </c>
      <c r="AK25" s="2612">
        <f>1810-1423</f>
        <v>387</v>
      </c>
      <c r="AL25" s="2612">
        <f>1380-1032</f>
        <v>348</v>
      </c>
      <c r="AM25" s="2646">
        <v>1126</v>
      </c>
      <c r="AN25" s="2612">
        <f>1175-903</f>
        <v>272</v>
      </c>
      <c r="AO25" s="2646">
        <v>219</v>
      </c>
      <c r="AP25" s="2612">
        <v>603</v>
      </c>
      <c r="AQ25" s="2646">
        <v>248</v>
      </c>
      <c r="AR25" s="2646">
        <v>153</v>
      </c>
      <c r="AS25" s="2646">
        <f t="shared" si="7"/>
        <v>4468</v>
      </c>
      <c r="AT25" s="4807">
        <f t="shared" si="12"/>
        <v>372.33333333333331</v>
      </c>
      <c r="AU25" s="2645">
        <f>3232-3039</f>
        <v>193</v>
      </c>
      <c r="AV25" s="2612">
        <v>196</v>
      </c>
      <c r="AW25" s="2612"/>
      <c r="AX25" s="2646"/>
      <c r="AY25" s="2612"/>
      <c r="AZ25" s="2612"/>
      <c r="BA25" s="2646"/>
      <c r="BB25" s="2612"/>
      <c r="BC25" s="2646"/>
      <c r="BD25" s="2612"/>
      <c r="BE25" s="2646"/>
      <c r="BF25" s="2646"/>
      <c r="BG25" s="2646">
        <f t="shared" si="9"/>
        <v>389</v>
      </c>
      <c r="BH25" s="4807">
        <f t="shared" si="13"/>
        <v>194.5</v>
      </c>
      <c r="BI25" s="4791">
        <f t="shared" si="2"/>
        <v>3</v>
      </c>
      <c r="BJ25" s="6383">
        <f t="shared" si="3"/>
        <v>96</v>
      </c>
      <c r="BK25" s="2644">
        <f>IFERROR(
  SUM(
    _xlfn.XLOOKUP(DATE(YEAR($A$1),1,1),$3:$3,25:25):
    _xlfn.XLOOKUP($A$1,$3:$3,25:25)
  )
 -SUM(
    _xlfn.XLOOKUP(DATE(YEAR($A$1)-1,1,1),$3:$3,25:25):
    _xlfn.XLOOKUP(EDATE($A$1,-12),$3:$3,25:25)
  ),"")</f>
        <v>66</v>
      </c>
      <c r="BL25" s="2591">
        <f t="shared" si="11"/>
        <v>-177.83333333333331</v>
      </c>
      <c r="BN25" s="4808"/>
      <c r="BO25" s="4809"/>
      <c r="BP25" s="4809"/>
      <c r="BQ25" s="4809"/>
      <c r="BR25" s="4809"/>
      <c r="BS25" s="4809"/>
      <c r="BT25" s="4809"/>
      <c r="BU25" s="4809"/>
      <c r="BV25" s="4809"/>
      <c r="BW25" s="4809"/>
      <c r="BX25" s="4809"/>
      <c r="BY25" s="4810"/>
    </row>
    <row r="26" spans="1:77" x14ac:dyDescent="0.55000000000000004">
      <c r="A26" s="7341"/>
      <c r="B26" s="7319"/>
      <c r="C26" s="2821" t="s">
        <v>748</v>
      </c>
      <c r="D26" s="3304">
        <v>41250</v>
      </c>
      <c r="E26" s="2796">
        <v>2233</v>
      </c>
      <c r="F26" s="2796">
        <v>3842</v>
      </c>
      <c r="G26" s="2796">
        <v>3578</v>
      </c>
      <c r="H26" s="2796">
        <v>2688</v>
      </c>
      <c r="I26" s="2796">
        <v>3801</v>
      </c>
      <c r="J26" s="2796">
        <v>3619</v>
      </c>
      <c r="K26" s="2796">
        <v>3093</v>
      </c>
      <c r="L26" s="2796">
        <v>2548</v>
      </c>
      <c r="M26" s="2796">
        <v>1934</v>
      </c>
      <c r="N26" s="2796">
        <v>2842</v>
      </c>
      <c r="O26" s="2796">
        <v>2104</v>
      </c>
      <c r="P26" s="2796">
        <v>1706</v>
      </c>
      <c r="Q26" s="2646">
        <f t="shared" si="0"/>
        <v>33988</v>
      </c>
      <c r="R26" s="4807">
        <f t="shared" si="4"/>
        <v>2832.3333333333335</v>
      </c>
      <c r="S26" s="2645">
        <v>1307</v>
      </c>
      <c r="T26" s="2646">
        <v>979</v>
      </c>
      <c r="U26" s="2646">
        <v>1006</v>
      </c>
      <c r="V26" s="2646">
        <v>689</v>
      </c>
      <c r="W26" s="2646">
        <v>935</v>
      </c>
      <c r="X26" s="2646">
        <v>1597</v>
      </c>
      <c r="Y26" s="2646">
        <v>1701</v>
      </c>
      <c r="Z26" s="2646">
        <v>1036</v>
      </c>
      <c r="AA26" s="2646">
        <v>1937</v>
      </c>
      <c r="AB26" s="2646">
        <v>1063</v>
      </c>
      <c r="AC26" s="2646">
        <v>1412</v>
      </c>
      <c r="AD26" s="2646">
        <v>645</v>
      </c>
      <c r="AE26" s="2646">
        <f t="shared" si="5"/>
        <v>14307</v>
      </c>
      <c r="AF26" s="4807">
        <f t="shared" si="6"/>
        <v>1192.25</v>
      </c>
      <c r="AG26" s="2645">
        <v>1076</v>
      </c>
      <c r="AH26" s="2646">
        <v>1641</v>
      </c>
      <c r="AI26" s="2612">
        <v>1093</v>
      </c>
      <c r="AJ26" s="2646">
        <v>911</v>
      </c>
      <c r="AK26" s="2612">
        <v>1423</v>
      </c>
      <c r="AL26" s="2612">
        <v>1032</v>
      </c>
      <c r="AM26" s="2646">
        <v>2750</v>
      </c>
      <c r="AN26" s="2612">
        <v>903</v>
      </c>
      <c r="AO26" s="2646">
        <v>1499</v>
      </c>
      <c r="AP26" s="2612">
        <v>1246</v>
      </c>
      <c r="AQ26" s="2646">
        <v>1038</v>
      </c>
      <c r="AR26" s="2646">
        <v>2712</v>
      </c>
      <c r="AS26" s="2646">
        <f t="shared" si="7"/>
        <v>17324</v>
      </c>
      <c r="AT26" s="4807">
        <f t="shared" si="12"/>
        <v>1443.6666666666667</v>
      </c>
      <c r="AU26" s="2645">
        <v>3039</v>
      </c>
      <c r="AV26" s="2612">
        <v>2414</v>
      </c>
      <c r="AW26" s="2612"/>
      <c r="AX26" s="2646"/>
      <c r="AY26" s="2612"/>
      <c r="AZ26" s="2612"/>
      <c r="BA26" s="2646"/>
      <c r="BB26" s="2612"/>
      <c r="BC26" s="2646"/>
      <c r="BD26" s="2612"/>
      <c r="BE26" s="2646"/>
      <c r="BF26" s="2646"/>
      <c r="BG26" s="2646">
        <f t="shared" si="9"/>
        <v>5453</v>
      </c>
      <c r="BH26" s="4807">
        <f t="shared" si="13"/>
        <v>2726.5</v>
      </c>
      <c r="BI26" s="4791">
        <f t="shared" si="2"/>
        <v>-625</v>
      </c>
      <c r="BJ26" s="6383">
        <f t="shared" si="3"/>
        <v>773</v>
      </c>
      <c r="BK26" s="2644">
        <f>IFERROR(
  SUM(
    _xlfn.XLOOKUP(DATE(YEAR($A$1),1,1),$3:$3,26:26):
    _xlfn.XLOOKUP($A$1,$3:$3,26:26)
  )
 -SUM(
    _xlfn.XLOOKUP(DATE(YEAR($A$1)-1,1,1),$3:$3,26:26):
    _xlfn.XLOOKUP(EDATE($A$1,-12),$3:$3,26:26)
  ),"")</f>
        <v>2736</v>
      </c>
      <c r="BL26" s="2591">
        <f t="shared" si="11"/>
        <v>1282.8333333333333</v>
      </c>
      <c r="BN26" s="4808"/>
      <c r="BO26" s="4809"/>
      <c r="BP26" s="4809"/>
      <c r="BQ26" s="4809"/>
      <c r="BR26" s="4809"/>
      <c r="BS26" s="4809"/>
      <c r="BT26" s="4809"/>
      <c r="BU26" s="4809"/>
      <c r="BV26" s="4809"/>
      <c r="BW26" s="4809"/>
      <c r="BX26" s="4809"/>
      <c r="BY26" s="4810"/>
    </row>
    <row r="27" spans="1:77" x14ac:dyDescent="0.55000000000000004">
      <c r="A27" s="7341"/>
      <c r="B27" s="7319"/>
      <c r="C27" s="2821" t="s">
        <v>749</v>
      </c>
      <c r="D27" s="3304">
        <v>15000</v>
      </c>
      <c r="E27" s="2796">
        <v>751</v>
      </c>
      <c r="F27" s="2796">
        <v>1349</v>
      </c>
      <c r="G27" s="2796">
        <v>2034</v>
      </c>
      <c r="H27" s="2796">
        <v>921</v>
      </c>
      <c r="I27" s="2796">
        <v>948</v>
      </c>
      <c r="J27" s="2796">
        <v>2806</v>
      </c>
      <c r="K27" s="2796">
        <v>540</v>
      </c>
      <c r="L27" s="2796">
        <v>2202</v>
      </c>
      <c r="M27" s="2796">
        <v>903</v>
      </c>
      <c r="N27" s="2796">
        <v>880</v>
      </c>
      <c r="O27" s="2796">
        <v>1228</v>
      </c>
      <c r="P27" s="2796">
        <v>200</v>
      </c>
      <c r="Q27" s="2646">
        <f t="shared" si="0"/>
        <v>14762</v>
      </c>
      <c r="R27" s="4807">
        <f t="shared" si="4"/>
        <v>1230.1666666666667</v>
      </c>
      <c r="S27" s="2645">
        <v>594</v>
      </c>
      <c r="T27" s="2646">
        <v>1805</v>
      </c>
      <c r="U27" s="2646">
        <v>1227</v>
      </c>
      <c r="V27" s="2646">
        <v>1943</v>
      </c>
      <c r="W27" s="2646">
        <v>1680</v>
      </c>
      <c r="X27" s="2646">
        <v>1391</v>
      </c>
      <c r="Y27" s="2646">
        <v>1342</v>
      </c>
      <c r="Z27" s="2646">
        <v>1544</v>
      </c>
      <c r="AA27" s="2646">
        <v>681</v>
      </c>
      <c r="AB27" s="2646">
        <v>857</v>
      </c>
      <c r="AC27" s="2646">
        <v>1459</v>
      </c>
      <c r="AD27" s="2646">
        <v>908</v>
      </c>
      <c r="AE27" s="2646">
        <f t="shared" si="5"/>
        <v>15431</v>
      </c>
      <c r="AF27" s="4807">
        <f t="shared" si="6"/>
        <v>1285.9166666666667</v>
      </c>
      <c r="AG27" s="2645">
        <v>1237</v>
      </c>
      <c r="AH27" s="2646">
        <v>1549</v>
      </c>
      <c r="AI27" s="2612">
        <v>1829</v>
      </c>
      <c r="AJ27" s="2646">
        <v>1745</v>
      </c>
      <c r="AK27" s="2612">
        <v>1466</v>
      </c>
      <c r="AL27" s="2612">
        <v>1507</v>
      </c>
      <c r="AM27" s="2646">
        <v>1549</v>
      </c>
      <c r="AN27" s="2612">
        <v>1594</v>
      </c>
      <c r="AO27" s="2646">
        <v>1312</v>
      </c>
      <c r="AP27" s="2612">
        <v>1092</v>
      </c>
      <c r="AQ27" s="2646">
        <v>1298</v>
      </c>
      <c r="AR27" s="2646">
        <v>1233</v>
      </c>
      <c r="AS27" s="2646">
        <f t="shared" si="7"/>
        <v>17411</v>
      </c>
      <c r="AT27" s="4807">
        <f t="shared" si="12"/>
        <v>1450.9166666666667</v>
      </c>
      <c r="AU27" s="2645">
        <v>1590</v>
      </c>
      <c r="AV27" s="2612">
        <v>1867</v>
      </c>
      <c r="AW27" s="2612"/>
      <c r="AX27" s="2646"/>
      <c r="AY27" s="2612"/>
      <c r="AZ27" s="2612"/>
      <c r="BA27" s="2646"/>
      <c r="BB27" s="2612"/>
      <c r="BC27" s="2646"/>
      <c r="BD27" s="2612"/>
      <c r="BE27" s="2646"/>
      <c r="BF27" s="2646"/>
      <c r="BG27" s="2646">
        <f t="shared" si="9"/>
        <v>3457</v>
      </c>
      <c r="BH27" s="4807">
        <f t="shared" si="13"/>
        <v>1728.5</v>
      </c>
      <c r="BI27" s="4791">
        <f t="shared" si="2"/>
        <v>277</v>
      </c>
      <c r="BJ27" s="6383">
        <f t="shared" si="3"/>
        <v>318</v>
      </c>
      <c r="BK27" s="2644">
        <f>IFERROR(
  SUM(
    _xlfn.XLOOKUP(DATE(YEAR($A$1),1,1),$3:$3,27:27):
    _xlfn.XLOOKUP($A$1,$3:$3,27:27)
  )
 -SUM(
    _xlfn.XLOOKUP(DATE(YEAR($A$1)-1,1,1),$3:$3,27:27):
    _xlfn.XLOOKUP(EDATE($A$1,-12),$3:$3,27:27)
  ),"")</f>
        <v>671</v>
      </c>
      <c r="BL27" s="2591">
        <f t="shared" si="11"/>
        <v>277.58333333333326</v>
      </c>
      <c r="BN27" s="4808"/>
      <c r="BO27" s="4809"/>
      <c r="BP27" s="4809"/>
      <c r="BQ27" s="4809"/>
      <c r="BR27" s="4809"/>
      <c r="BS27" s="4809"/>
      <c r="BT27" s="4809"/>
      <c r="BU27" s="4809"/>
      <c r="BV27" s="4809"/>
      <c r="BW27" s="4809"/>
      <c r="BX27" s="4809"/>
      <c r="BY27" s="4810"/>
    </row>
    <row r="28" spans="1:77" x14ac:dyDescent="0.55000000000000004">
      <c r="A28" s="7341"/>
      <c r="B28" s="7319"/>
      <c r="C28" s="2821" t="s">
        <v>750</v>
      </c>
      <c r="D28" s="3304">
        <v>1200</v>
      </c>
      <c r="E28" s="2796">
        <v>4050</v>
      </c>
      <c r="F28" s="2796">
        <v>667</v>
      </c>
      <c r="G28" s="2796">
        <v>586</v>
      </c>
      <c r="H28" s="2796">
        <v>4620</v>
      </c>
      <c r="I28" s="2796">
        <v>933</v>
      </c>
      <c r="J28" s="2796">
        <v>3949</v>
      </c>
      <c r="K28" s="2796">
        <v>1137</v>
      </c>
      <c r="L28" s="2796">
        <v>1737</v>
      </c>
      <c r="M28" s="2796">
        <v>443</v>
      </c>
      <c r="N28" s="2796">
        <v>815</v>
      </c>
      <c r="O28" s="2796">
        <v>651</v>
      </c>
      <c r="P28" s="2796">
        <v>1587</v>
      </c>
      <c r="Q28" s="2646">
        <f t="shared" si="0"/>
        <v>21175</v>
      </c>
      <c r="R28" s="4807">
        <f t="shared" si="4"/>
        <v>1764.5833333333333</v>
      </c>
      <c r="S28" s="2645">
        <v>311</v>
      </c>
      <c r="T28" s="2646">
        <v>468</v>
      </c>
      <c r="U28" s="2646">
        <v>369</v>
      </c>
      <c r="V28" s="2646">
        <v>138</v>
      </c>
      <c r="W28" s="2646">
        <v>154</v>
      </c>
      <c r="X28" s="2646">
        <v>119</v>
      </c>
      <c r="Y28" s="2646">
        <v>103</v>
      </c>
      <c r="Z28" s="2646">
        <v>92</v>
      </c>
      <c r="AA28" s="2646">
        <v>104</v>
      </c>
      <c r="AB28" s="2646">
        <v>81</v>
      </c>
      <c r="AC28" s="2646">
        <v>78</v>
      </c>
      <c r="AD28" s="2646">
        <v>24</v>
      </c>
      <c r="AE28" s="2646">
        <f t="shared" si="5"/>
        <v>2041</v>
      </c>
      <c r="AF28" s="4807">
        <f t="shared" si="6"/>
        <v>170.08333333333334</v>
      </c>
      <c r="AG28" s="2645">
        <v>7</v>
      </c>
      <c r="AH28" s="2646">
        <v>37</v>
      </c>
      <c r="AI28" s="2612">
        <v>49</v>
      </c>
      <c r="AJ28" s="2646">
        <v>36</v>
      </c>
      <c r="AK28" s="2612">
        <v>1</v>
      </c>
      <c r="AL28" s="2612">
        <v>41</v>
      </c>
      <c r="AM28" s="2646">
        <v>35</v>
      </c>
      <c r="AN28" s="2612">
        <v>16</v>
      </c>
      <c r="AO28" s="2646">
        <v>9</v>
      </c>
      <c r="AP28" s="2612">
        <v>35</v>
      </c>
      <c r="AQ28" s="2646">
        <v>52</v>
      </c>
      <c r="AR28" s="2646">
        <v>40</v>
      </c>
      <c r="AS28" s="2646">
        <f t="shared" si="7"/>
        <v>358</v>
      </c>
      <c r="AT28" s="4807">
        <f t="shared" si="12"/>
        <v>29.833333333333332</v>
      </c>
      <c r="AU28" s="2645">
        <v>0</v>
      </c>
      <c r="AV28" s="2612">
        <v>1</v>
      </c>
      <c r="AW28" s="2612"/>
      <c r="AX28" s="2646"/>
      <c r="AY28" s="2612"/>
      <c r="AZ28" s="2612"/>
      <c r="BA28" s="2646"/>
      <c r="BB28" s="2612"/>
      <c r="BC28" s="2646"/>
      <c r="BD28" s="2612"/>
      <c r="BE28" s="2646"/>
      <c r="BF28" s="2646"/>
      <c r="BG28" s="2646">
        <f t="shared" si="9"/>
        <v>1</v>
      </c>
      <c r="BH28" s="4807">
        <f t="shared" si="13"/>
        <v>0.5</v>
      </c>
      <c r="BI28" s="4791">
        <f t="shared" si="2"/>
        <v>1</v>
      </c>
      <c r="BJ28" s="6383">
        <f t="shared" si="3"/>
        <v>-36</v>
      </c>
      <c r="BK28" s="2644">
        <f>IFERROR(
  SUM(
    _xlfn.XLOOKUP(DATE(YEAR($A$1),1,1),$3:$3,28:28):
    _xlfn.XLOOKUP($A$1,$3:$3,28:28)
  )
 -SUM(
    _xlfn.XLOOKUP(DATE(YEAR($A$1)-1,1,1),$3:$3,28:28):
    _xlfn.XLOOKUP(EDATE($A$1,-12),$3:$3,28:28)
  ),"")</f>
        <v>-43</v>
      </c>
      <c r="BL28" s="2591">
        <f t="shared" si="11"/>
        <v>-29.333333333333332</v>
      </c>
      <c r="BN28" s="4808"/>
      <c r="BO28" s="4809"/>
      <c r="BP28" s="4809"/>
      <c r="BQ28" s="4809"/>
      <c r="BR28" s="4809"/>
      <c r="BS28" s="4809"/>
      <c r="BT28" s="4809"/>
      <c r="BU28" s="4809"/>
      <c r="BV28" s="4809"/>
      <c r="BW28" s="4809"/>
      <c r="BX28" s="4809"/>
      <c r="BY28" s="4810"/>
    </row>
    <row r="29" spans="1:77" x14ac:dyDescent="0.55000000000000004">
      <c r="A29" s="7341"/>
      <c r="B29" s="7319"/>
      <c r="C29" s="2821" t="s">
        <v>751</v>
      </c>
      <c r="D29" s="3304">
        <v>6458.1</v>
      </c>
      <c r="E29" s="2796">
        <v>574</v>
      </c>
      <c r="F29" s="2796">
        <v>695</v>
      </c>
      <c r="G29" s="2796">
        <v>531</v>
      </c>
      <c r="H29" s="2796">
        <v>310</v>
      </c>
      <c r="I29" s="2796">
        <v>634</v>
      </c>
      <c r="J29" s="2796">
        <v>1002</v>
      </c>
      <c r="K29" s="2796">
        <v>455</v>
      </c>
      <c r="L29" s="2796">
        <v>533</v>
      </c>
      <c r="M29" s="2796">
        <v>314</v>
      </c>
      <c r="N29" s="2796">
        <v>374</v>
      </c>
      <c r="O29" s="2796">
        <v>276</v>
      </c>
      <c r="P29" s="2796">
        <v>173</v>
      </c>
      <c r="Q29" s="2646">
        <f t="shared" si="0"/>
        <v>5871</v>
      </c>
      <c r="R29" s="4807">
        <f t="shared" si="4"/>
        <v>489.25</v>
      </c>
      <c r="S29" s="2645">
        <v>189</v>
      </c>
      <c r="T29" s="2646">
        <v>239</v>
      </c>
      <c r="U29" s="2646">
        <v>361</v>
      </c>
      <c r="V29" s="2646">
        <v>303</v>
      </c>
      <c r="W29" s="2646">
        <v>251</v>
      </c>
      <c r="X29" s="2646">
        <v>468</v>
      </c>
      <c r="Y29" s="2646">
        <v>443</v>
      </c>
      <c r="Z29" s="2646">
        <v>303</v>
      </c>
      <c r="AA29" s="2646">
        <v>1077</v>
      </c>
      <c r="AB29" s="2646">
        <v>189</v>
      </c>
      <c r="AC29" s="2646">
        <v>431</v>
      </c>
      <c r="AD29" s="2646">
        <v>312</v>
      </c>
      <c r="AE29" s="2646">
        <f t="shared" si="5"/>
        <v>4566</v>
      </c>
      <c r="AF29" s="4807">
        <f t="shared" si="6"/>
        <v>380.5</v>
      </c>
      <c r="AG29" s="2645">
        <v>288</v>
      </c>
      <c r="AH29" s="2646">
        <v>265</v>
      </c>
      <c r="AI29" s="2612">
        <v>521</v>
      </c>
      <c r="AJ29" s="2646">
        <v>201</v>
      </c>
      <c r="AK29" s="2612">
        <v>607</v>
      </c>
      <c r="AL29" s="2612">
        <v>364</v>
      </c>
      <c r="AM29" s="2646">
        <v>2062</v>
      </c>
      <c r="AN29" s="2612">
        <v>349</v>
      </c>
      <c r="AO29" s="2646">
        <v>465</v>
      </c>
      <c r="AP29" s="2612">
        <v>206</v>
      </c>
      <c r="AQ29" s="2646">
        <v>361</v>
      </c>
      <c r="AR29" s="2646">
        <v>2106</v>
      </c>
      <c r="AS29" s="2646">
        <f t="shared" si="7"/>
        <v>7795</v>
      </c>
      <c r="AT29" s="4807">
        <f t="shared" si="12"/>
        <v>649.58333333333337</v>
      </c>
      <c r="AU29" s="2645">
        <v>1335</v>
      </c>
      <c r="AV29" s="2612">
        <v>524</v>
      </c>
      <c r="AW29" s="2612"/>
      <c r="AX29" s="2646"/>
      <c r="AY29" s="2612"/>
      <c r="AZ29" s="2612"/>
      <c r="BA29" s="2646"/>
      <c r="BB29" s="2612"/>
      <c r="BC29" s="2646"/>
      <c r="BD29" s="2612"/>
      <c r="BE29" s="2646"/>
      <c r="BF29" s="2646"/>
      <c r="BG29" s="2646">
        <f t="shared" si="9"/>
        <v>1859</v>
      </c>
      <c r="BH29" s="4807">
        <f t="shared" si="13"/>
        <v>929.5</v>
      </c>
      <c r="BI29" s="4791">
        <f t="shared" si="2"/>
        <v>-811</v>
      </c>
      <c r="BJ29" s="6383">
        <f t="shared" si="3"/>
        <v>259</v>
      </c>
      <c r="BK29" s="2644">
        <f>IFERROR(
  SUM(
    _xlfn.XLOOKUP(DATE(YEAR($A$1),1,1),$3:$3,29:29):
    _xlfn.XLOOKUP($A$1,$3:$3,29:29)
  )
 -SUM(
    _xlfn.XLOOKUP(DATE(YEAR($A$1)-1,1,1),$3:$3,29:29):
    _xlfn.XLOOKUP(EDATE($A$1,-12),$3:$3,29:29)
  ),"")</f>
        <v>1306</v>
      </c>
      <c r="BL29" s="2591">
        <f t="shared" si="11"/>
        <v>279.91666666666663</v>
      </c>
      <c r="BN29" s="4792"/>
      <c r="BO29" s="4793"/>
      <c r="BP29" s="4793"/>
      <c r="BQ29" s="4793"/>
      <c r="BR29" s="4793"/>
      <c r="BS29" s="4793"/>
      <c r="BT29" s="4793"/>
      <c r="BU29" s="4793"/>
      <c r="BV29" s="4793"/>
      <c r="BW29" s="4793"/>
      <c r="BX29" s="4793"/>
      <c r="BY29" s="4794"/>
    </row>
    <row r="30" spans="1:77" x14ac:dyDescent="0.55000000000000004">
      <c r="A30" s="7341"/>
      <c r="B30" s="7319"/>
      <c r="C30" s="2821" t="s">
        <v>752</v>
      </c>
      <c r="D30" s="3304">
        <v>9914.3000000000011</v>
      </c>
      <c r="E30" s="2796">
        <v>594</v>
      </c>
      <c r="F30" s="2796">
        <v>974</v>
      </c>
      <c r="G30" s="2796">
        <v>1560</v>
      </c>
      <c r="H30" s="2796">
        <v>255</v>
      </c>
      <c r="I30" s="2796">
        <v>1277</v>
      </c>
      <c r="J30" s="2796">
        <v>3296</v>
      </c>
      <c r="K30" s="2796">
        <v>-173</v>
      </c>
      <c r="L30" s="2796">
        <v>2194</v>
      </c>
      <c r="M30" s="2796">
        <v>-1620</v>
      </c>
      <c r="N30" s="2796">
        <v>324</v>
      </c>
      <c r="O30" s="2796">
        <v>585</v>
      </c>
      <c r="P30" s="2796">
        <v>-253</v>
      </c>
      <c r="Q30" s="2646">
        <f t="shared" si="0"/>
        <v>9013</v>
      </c>
      <c r="R30" s="4807">
        <f t="shared" si="4"/>
        <v>751.08333333333337</v>
      </c>
      <c r="S30" s="2645">
        <v>541</v>
      </c>
      <c r="T30" s="2646">
        <v>281</v>
      </c>
      <c r="U30" s="2646">
        <v>779</v>
      </c>
      <c r="V30" s="2646">
        <v>1362</v>
      </c>
      <c r="W30" s="2646">
        <v>182</v>
      </c>
      <c r="X30" s="2646">
        <v>1190</v>
      </c>
      <c r="Y30" s="2646">
        <v>1048</v>
      </c>
      <c r="Z30" s="2646">
        <v>485</v>
      </c>
      <c r="AA30" s="2646">
        <v>997</v>
      </c>
      <c r="AB30" s="2646">
        <v>473</v>
      </c>
      <c r="AC30" s="2646">
        <v>698</v>
      </c>
      <c r="AD30" s="2646">
        <v>246</v>
      </c>
      <c r="AE30" s="2646">
        <f t="shared" si="5"/>
        <v>8282</v>
      </c>
      <c r="AF30" s="4807">
        <f t="shared" si="6"/>
        <v>690.16666666666663</v>
      </c>
      <c r="AG30" s="2645">
        <v>-104</v>
      </c>
      <c r="AH30" s="2646">
        <v>-203</v>
      </c>
      <c r="AI30" s="2612">
        <v>147</v>
      </c>
      <c r="AJ30" s="2646">
        <v>84</v>
      </c>
      <c r="AK30" s="2612">
        <v>526</v>
      </c>
      <c r="AL30" s="2612">
        <v>115</v>
      </c>
      <c r="AM30" s="2646">
        <v>2050</v>
      </c>
      <c r="AN30" s="2612">
        <v>-246</v>
      </c>
      <c r="AO30" s="2646">
        <v>409</v>
      </c>
      <c r="AP30" s="2612">
        <v>-12</v>
      </c>
      <c r="AQ30" s="2646">
        <v>355</v>
      </c>
      <c r="AR30" s="2646">
        <v>1532</v>
      </c>
      <c r="AS30" s="2646">
        <f t="shared" si="7"/>
        <v>4653</v>
      </c>
      <c r="AT30" s="4807">
        <f t="shared" si="12"/>
        <v>387.75</v>
      </c>
      <c r="AU30" s="2645">
        <v>-6</v>
      </c>
      <c r="AV30" s="2612">
        <v>39</v>
      </c>
      <c r="AW30" s="2612"/>
      <c r="AX30" s="2646"/>
      <c r="AY30" s="2612"/>
      <c r="AZ30" s="2612"/>
      <c r="BA30" s="2646"/>
      <c r="BB30" s="2612"/>
      <c r="BC30" s="2646"/>
      <c r="BD30" s="2612"/>
      <c r="BE30" s="2646"/>
      <c r="BF30" s="2646"/>
      <c r="BG30" s="2646">
        <f t="shared" si="9"/>
        <v>33</v>
      </c>
      <c r="BH30" s="4807">
        <f>AVERAGE(AU30:BF30)</f>
        <v>16.5</v>
      </c>
      <c r="BI30" s="4791">
        <f t="shared" si="2"/>
        <v>45</v>
      </c>
      <c r="BJ30" s="6383">
        <f t="shared" si="3"/>
        <v>242</v>
      </c>
      <c r="BK30" s="2644">
        <f>IFERROR(
  SUM(
    _xlfn.XLOOKUP(DATE(YEAR($A$1),1,1),$3:$3,30:30):
    _xlfn.XLOOKUP($A$1,$3:$3,30:30)
  )
 -SUM(
    _xlfn.XLOOKUP(DATE(YEAR($A$1)-1,1,1),$3:$3,30:30):
    _xlfn.XLOOKUP(EDATE($A$1,-12),$3:$3,30:30)
  ),"")</f>
        <v>340</v>
      </c>
      <c r="BL30" s="2591">
        <f t="shared" si="11"/>
        <v>-371.25</v>
      </c>
      <c r="BN30" s="4792"/>
      <c r="BO30" s="4793"/>
      <c r="BP30" s="4793"/>
      <c r="BQ30" s="4793"/>
      <c r="BR30" s="4793"/>
      <c r="BS30" s="4793"/>
      <c r="BT30" s="4793"/>
      <c r="BU30" s="4793"/>
      <c r="BV30" s="4793"/>
      <c r="BW30" s="4793"/>
      <c r="BX30" s="4793"/>
      <c r="BY30" s="4794"/>
    </row>
    <row r="31" spans="1:77" x14ac:dyDescent="0.55000000000000004">
      <c r="A31" s="7341"/>
      <c r="B31" s="7319"/>
      <c r="C31" s="2821" t="s">
        <v>101</v>
      </c>
      <c r="D31" s="3304">
        <v>8000</v>
      </c>
      <c r="E31" s="2796">
        <v>0</v>
      </c>
      <c r="F31" s="2796">
        <v>0</v>
      </c>
      <c r="G31" s="2796">
        <v>0</v>
      </c>
      <c r="H31" s="2796">
        <v>0</v>
      </c>
      <c r="I31" s="2796">
        <v>0</v>
      </c>
      <c r="J31" s="2796">
        <v>0</v>
      </c>
      <c r="K31" s="2796">
        <v>0</v>
      </c>
      <c r="L31" s="2796">
        <v>0</v>
      </c>
      <c r="M31" s="2796">
        <v>0</v>
      </c>
      <c r="N31" s="2796">
        <v>0</v>
      </c>
      <c r="O31" s="2796">
        <v>0</v>
      </c>
      <c r="P31" s="2796">
        <v>0</v>
      </c>
      <c r="Q31" s="2646">
        <f t="shared" si="0"/>
        <v>0</v>
      </c>
      <c r="R31" s="4807">
        <f t="shared" si="4"/>
        <v>0</v>
      </c>
      <c r="S31" s="2645"/>
      <c r="T31" s="2646">
        <v>1</v>
      </c>
      <c r="U31" s="2646">
        <v>20</v>
      </c>
      <c r="V31" s="2646">
        <v>275</v>
      </c>
      <c r="W31" s="2646">
        <v>97</v>
      </c>
      <c r="X31" s="2646">
        <v>1</v>
      </c>
      <c r="Y31" s="2646">
        <v>1250</v>
      </c>
      <c r="Z31" s="2646">
        <v>3</v>
      </c>
      <c r="AA31" s="2646">
        <v>352</v>
      </c>
      <c r="AB31" s="2646">
        <v>6</v>
      </c>
      <c r="AC31" s="2646">
        <v>89</v>
      </c>
      <c r="AD31" s="2646">
        <v>0</v>
      </c>
      <c r="AE31" s="2646">
        <f t="shared" si="5"/>
        <v>2094</v>
      </c>
      <c r="AF31" s="4807">
        <f t="shared" si="6"/>
        <v>190.36363636363637</v>
      </c>
      <c r="AG31" s="2645">
        <v>81</v>
      </c>
      <c r="AH31" s="2646">
        <v>190</v>
      </c>
      <c r="AI31" s="2612">
        <v>36</v>
      </c>
      <c r="AJ31" s="2646">
        <v>196</v>
      </c>
      <c r="AK31" s="2612">
        <v>101</v>
      </c>
      <c r="AL31" s="2612">
        <v>242</v>
      </c>
      <c r="AM31" s="2646">
        <v>413</v>
      </c>
      <c r="AN31" s="2612">
        <v>166</v>
      </c>
      <c r="AO31" s="2646">
        <v>621</v>
      </c>
      <c r="AP31" s="2612">
        <v>172</v>
      </c>
      <c r="AQ31" s="2646">
        <v>116</v>
      </c>
      <c r="AR31" s="2646">
        <v>232</v>
      </c>
      <c r="AS31" s="2646">
        <f t="shared" si="7"/>
        <v>2566</v>
      </c>
      <c r="AT31" s="4807">
        <f t="shared" si="12"/>
        <v>213.83333333333334</v>
      </c>
      <c r="AU31" s="2645">
        <v>334</v>
      </c>
      <c r="AV31" s="2612">
        <v>561</v>
      </c>
      <c r="AW31" s="2612"/>
      <c r="AX31" s="2646"/>
      <c r="AY31" s="2612"/>
      <c r="AZ31" s="2612"/>
      <c r="BA31" s="2646"/>
      <c r="BB31" s="2612"/>
      <c r="BC31" s="2646"/>
      <c r="BD31" s="2612"/>
      <c r="BE31" s="2646"/>
      <c r="BF31" s="2646"/>
      <c r="BG31" s="2646">
        <f t="shared" si="9"/>
        <v>895</v>
      </c>
      <c r="BH31" s="4807">
        <f t="shared" si="13"/>
        <v>447.5</v>
      </c>
      <c r="BI31" s="4791">
        <f t="shared" si="2"/>
        <v>227</v>
      </c>
      <c r="BJ31" s="6383">
        <f t="shared" si="3"/>
        <v>371</v>
      </c>
      <c r="BK31" s="2644">
        <f>IFERROR(
  SUM(
    _xlfn.XLOOKUP(DATE(YEAR($A$1),1,1),$3:$3,31:31):
    _xlfn.XLOOKUP($A$1,$3:$3,31:31)
  )
 -SUM(
    _xlfn.XLOOKUP(DATE(YEAR($A$1)-1,1,1),$3:$3,31:31):
    _xlfn.XLOOKUP(EDATE($A$1,-12),$3:$3,31:31)
  ),"")</f>
        <v>624</v>
      </c>
      <c r="BL31" s="2591">
        <f t="shared" si="11"/>
        <v>233.66666666666666</v>
      </c>
      <c r="BN31" s="4792"/>
      <c r="BO31" s="4793"/>
      <c r="BP31" s="4793"/>
      <c r="BQ31" s="4793"/>
      <c r="BR31" s="4793"/>
      <c r="BS31" s="4793"/>
      <c r="BT31" s="4793"/>
      <c r="BU31" s="4793"/>
      <c r="BV31" s="4793"/>
      <c r="BW31" s="4793"/>
      <c r="BX31" s="4793"/>
      <c r="BY31" s="4794"/>
    </row>
    <row r="32" spans="1:77" ht="15.45" thickBot="1" x14ac:dyDescent="0.6">
      <c r="A32" s="7342"/>
      <c r="B32" s="7345"/>
      <c r="C32" s="4811" t="s">
        <v>753</v>
      </c>
      <c r="D32" s="4812">
        <v>0</v>
      </c>
      <c r="E32" s="4813">
        <v>0</v>
      </c>
      <c r="F32" s="4813">
        <v>0</v>
      </c>
      <c r="G32" s="4813">
        <v>0</v>
      </c>
      <c r="H32" s="4813">
        <v>0</v>
      </c>
      <c r="I32" s="4813">
        <v>43</v>
      </c>
      <c r="J32" s="4813">
        <v>15</v>
      </c>
      <c r="K32" s="4813">
        <v>38</v>
      </c>
      <c r="L32" s="4813">
        <v>1</v>
      </c>
      <c r="M32" s="4813">
        <v>38</v>
      </c>
      <c r="N32" s="4813">
        <v>0</v>
      </c>
      <c r="O32" s="4813">
        <v>63</v>
      </c>
      <c r="P32" s="4813">
        <v>0</v>
      </c>
      <c r="Q32" s="4814">
        <f t="shared" si="0"/>
        <v>198</v>
      </c>
      <c r="R32" s="4815">
        <f t="shared" si="4"/>
        <v>16.5</v>
      </c>
      <c r="S32" s="4816">
        <v>0</v>
      </c>
      <c r="T32" s="4814">
        <v>4</v>
      </c>
      <c r="U32" s="4814">
        <v>40</v>
      </c>
      <c r="V32" s="4814">
        <v>73</v>
      </c>
      <c r="W32" s="4814">
        <v>6</v>
      </c>
      <c r="X32" s="4814">
        <v>0</v>
      </c>
      <c r="Y32" s="4814">
        <v>0</v>
      </c>
      <c r="Z32" s="4814">
        <v>0</v>
      </c>
      <c r="AA32" s="4814">
        <v>0</v>
      </c>
      <c r="AB32" s="4814">
        <v>0</v>
      </c>
      <c r="AC32" s="4814">
        <v>0</v>
      </c>
      <c r="AD32" s="4814">
        <v>0</v>
      </c>
      <c r="AE32" s="4814">
        <f t="shared" si="5"/>
        <v>123</v>
      </c>
      <c r="AF32" s="4815">
        <f t="shared" si="6"/>
        <v>10.25</v>
      </c>
      <c r="AG32" s="4816">
        <v>4</v>
      </c>
      <c r="AH32" s="4814">
        <v>0</v>
      </c>
      <c r="AI32" s="4814">
        <v>24</v>
      </c>
      <c r="AJ32" s="4814">
        <v>16</v>
      </c>
      <c r="AK32" s="4814">
        <v>21</v>
      </c>
      <c r="AL32" s="4814">
        <v>0</v>
      </c>
      <c r="AM32" s="4814">
        <v>0</v>
      </c>
      <c r="AN32" s="4814"/>
      <c r="AO32" s="4814"/>
      <c r="AP32" s="4814"/>
      <c r="AQ32" s="4814"/>
      <c r="AR32" s="4814"/>
      <c r="AS32" s="4814">
        <f t="shared" si="7"/>
        <v>65</v>
      </c>
      <c r="AT32" s="4815">
        <f t="shared" si="12"/>
        <v>9.2857142857142865</v>
      </c>
      <c r="AU32" s="4816">
        <v>0</v>
      </c>
      <c r="AV32" s="4814">
        <v>0</v>
      </c>
      <c r="AW32" s="4814"/>
      <c r="AX32" s="4814"/>
      <c r="AY32" s="4814"/>
      <c r="AZ32" s="4814"/>
      <c r="BA32" s="4814"/>
      <c r="BB32" s="4814"/>
      <c r="BC32" s="4814"/>
      <c r="BD32" s="4814"/>
      <c r="BE32" s="4814"/>
      <c r="BF32" s="4814"/>
      <c r="BG32" s="4814">
        <f t="shared" si="9"/>
        <v>0</v>
      </c>
      <c r="BH32" s="4815">
        <f t="shared" si="13"/>
        <v>0</v>
      </c>
      <c r="BI32" s="4817">
        <f t="shared" si="2"/>
        <v>0</v>
      </c>
      <c r="BJ32" s="6385">
        <f t="shared" si="3"/>
        <v>0</v>
      </c>
      <c r="BK32" s="6378">
        <f>IFERROR(
  SUM(
    _xlfn.XLOOKUP(DATE(YEAR($A$1),1,1),$3:$3,32:32):
    _xlfn.XLOOKUP($A$1,$3:$3,32:32)
  )
 -SUM(
    _xlfn.XLOOKUP(DATE(YEAR($A$1)-1,1,1),$3:$3,32:32):
    _xlfn.XLOOKUP(EDATE($A$1,-12),$3:$3,32:32)
  ),"")</f>
        <v>-4</v>
      </c>
      <c r="BL32" s="2611">
        <f t="shared" si="11"/>
        <v>-9.2857142857142865</v>
      </c>
      <c r="BN32" s="4804"/>
      <c r="BO32" s="4805"/>
      <c r="BP32" s="4805"/>
      <c r="BQ32" s="4805"/>
      <c r="BR32" s="4805"/>
      <c r="BS32" s="4805"/>
      <c r="BT32" s="4805"/>
      <c r="BU32" s="4805"/>
      <c r="BV32" s="4805"/>
      <c r="BW32" s="4805"/>
      <c r="BX32" s="4805"/>
      <c r="BY32" s="4806"/>
    </row>
    <row r="33" spans="1:77" ht="15.45" thickBot="1" x14ac:dyDescent="0.6">
      <c r="Q33" s="2813"/>
      <c r="R33" s="2813"/>
      <c r="S33" s="556"/>
      <c r="T33" s="556"/>
      <c r="U33" s="556"/>
      <c r="V33" s="556"/>
      <c r="W33" s="556"/>
      <c r="X33" s="556"/>
      <c r="Y33" s="556"/>
      <c r="Z33" s="556"/>
      <c r="AA33" s="556"/>
      <c r="AB33" s="556"/>
      <c r="AC33" s="556"/>
      <c r="AD33" s="556"/>
      <c r="AE33" s="556"/>
      <c r="AF33" s="556"/>
      <c r="AG33" s="2821"/>
      <c r="AH33" s="556"/>
      <c r="AJ33" s="556"/>
      <c r="AM33" s="556"/>
      <c r="AO33" s="556"/>
      <c r="AQ33" s="556"/>
      <c r="AR33" s="556"/>
      <c r="AS33" s="556"/>
      <c r="AT33" s="556"/>
      <c r="AU33" s="6239"/>
      <c r="AX33" s="556"/>
      <c r="BA33" s="556"/>
      <c r="BC33" s="556"/>
      <c r="BE33" s="556"/>
      <c r="BF33" s="556"/>
      <c r="BG33" s="556">
        <f t="shared" si="9"/>
        <v>0</v>
      </c>
      <c r="BH33" s="556"/>
      <c r="BI33" s="4818"/>
      <c r="BJ33" s="4818"/>
    </row>
    <row r="34" spans="1:77" ht="16.75" thickBot="1" x14ac:dyDescent="0.6">
      <c r="A34" s="4818"/>
      <c r="B34" s="4818"/>
      <c r="C34" s="4819"/>
      <c r="D34" s="4820"/>
      <c r="E34" s="4821" t="s">
        <v>490</v>
      </c>
      <c r="F34" s="4690" t="s">
        <v>352</v>
      </c>
      <c r="G34" s="4690" t="s">
        <v>353</v>
      </c>
      <c r="H34" s="4690" t="s">
        <v>354</v>
      </c>
      <c r="I34" s="4690" t="s">
        <v>355</v>
      </c>
      <c r="J34" s="4690" t="s">
        <v>356</v>
      </c>
      <c r="K34" s="4690" t="s">
        <v>357</v>
      </c>
      <c r="L34" s="4690" t="s">
        <v>358</v>
      </c>
      <c r="M34" s="4690" t="s">
        <v>359</v>
      </c>
      <c r="N34" s="4690" t="s">
        <v>360</v>
      </c>
      <c r="O34" s="4690" t="s">
        <v>361</v>
      </c>
      <c r="P34" s="4690" t="s">
        <v>362</v>
      </c>
      <c r="Q34" s="5978" t="s">
        <v>393</v>
      </c>
      <c r="R34" s="5993" t="s">
        <v>350</v>
      </c>
      <c r="S34" s="5992" t="s">
        <v>502</v>
      </c>
      <c r="T34" s="4822" t="s">
        <v>3</v>
      </c>
      <c r="U34" s="4822" t="s">
        <v>503</v>
      </c>
      <c r="V34" s="4822" t="s">
        <v>341</v>
      </c>
      <c r="W34" s="4822" t="s">
        <v>342</v>
      </c>
      <c r="X34" s="4822" t="s">
        <v>343</v>
      </c>
      <c r="Y34" s="4822" t="s">
        <v>344</v>
      </c>
      <c r="Z34" s="4822" t="s">
        <v>345</v>
      </c>
      <c r="AA34" s="4822" t="s">
        <v>346</v>
      </c>
      <c r="AB34" s="4822" t="s">
        <v>347</v>
      </c>
      <c r="AC34" s="4822" t="s">
        <v>348</v>
      </c>
      <c r="AD34" s="4822" t="s">
        <v>349</v>
      </c>
      <c r="AE34" s="4822" t="s">
        <v>394</v>
      </c>
      <c r="AF34" s="5999" t="s">
        <v>350</v>
      </c>
      <c r="AG34" s="5992" t="s">
        <v>940</v>
      </c>
      <c r="AH34" s="4822" t="s">
        <v>942</v>
      </c>
      <c r="AI34" s="4822" t="s">
        <v>944</v>
      </c>
      <c r="AJ34" s="4822" t="s">
        <v>945</v>
      </c>
      <c r="AK34" s="4822" t="s">
        <v>946</v>
      </c>
      <c r="AL34" s="4822" t="s">
        <v>947</v>
      </c>
      <c r="AM34" s="4822" t="s">
        <v>948</v>
      </c>
      <c r="AN34" s="4822" t="s">
        <v>949</v>
      </c>
      <c r="AO34" s="4822" t="s">
        <v>950</v>
      </c>
      <c r="AP34" s="4822" t="s">
        <v>951</v>
      </c>
      <c r="AQ34" s="4822" t="s">
        <v>952</v>
      </c>
      <c r="AR34" s="4822" t="s">
        <v>953</v>
      </c>
      <c r="AS34" s="4822" t="s">
        <v>956</v>
      </c>
      <c r="AT34" s="4822" t="s">
        <v>350</v>
      </c>
      <c r="AU34" s="5979" t="s">
        <v>1122</v>
      </c>
      <c r="AV34" s="4822" t="s">
        <v>1072</v>
      </c>
      <c r="AW34" s="4822" t="s">
        <v>1073</v>
      </c>
      <c r="AX34" s="4822" t="s">
        <v>1074</v>
      </c>
      <c r="AY34" s="4822" t="s">
        <v>1075</v>
      </c>
      <c r="AZ34" s="4822" t="s">
        <v>1076</v>
      </c>
      <c r="BA34" s="4822" t="s">
        <v>1077</v>
      </c>
      <c r="BB34" s="4822" t="s">
        <v>1078</v>
      </c>
      <c r="BC34" s="4822" t="s">
        <v>1079</v>
      </c>
      <c r="BD34" s="4822" t="s">
        <v>1080</v>
      </c>
      <c r="BE34" s="4822" t="s">
        <v>1081</v>
      </c>
      <c r="BF34" s="4822" t="s">
        <v>1082</v>
      </c>
      <c r="BG34" s="4822" t="s">
        <v>1165</v>
      </c>
      <c r="BH34" s="4822" t="s">
        <v>350</v>
      </c>
      <c r="BI34" s="4824" t="s">
        <v>722</v>
      </c>
      <c r="BJ34" s="6386" t="s">
        <v>756</v>
      </c>
      <c r="BN34" s="4825"/>
      <c r="BO34" s="4825"/>
      <c r="BP34" s="4825"/>
      <c r="BQ34" s="4825"/>
      <c r="BR34" s="4825"/>
      <c r="BS34" s="4825"/>
      <c r="BT34" s="4825"/>
      <c r="BU34" s="4825"/>
      <c r="BV34" s="4825"/>
      <c r="BW34" s="4825"/>
      <c r="BX34" s="4825"/>
      <c r="BY34" s="4825"/>
    </row>
    <row r="35" spans="1:77" x14ac:dyDescent="0.55000000000000004">
      <c r="A35" s="7297" t="s">
        <v>763</v>
      </c>
      <c r="B35" s="7297" t="s">
        <v>746</v>
      </c>
      <c r="C35" s="7337" t="s">
        <v>757</v>
      </c>
      <c r="D35" s="2636" t="s">
        <v>758</v>
      </c>
      <c r="E35" s="2636">
        <v>195948</v>
      </c>
      <c r="F35" s="2636">
        <v>197531</v>
      </c>
      <c r="G35" s="2636">
        <v>199620</v>
      </c>
      <c r="H35" s="2636">
        <v>200258</v>
      </c>
      <c r="I35" s="2636">
        <v>202597</v>
      </c>
      <c r="J35" s="2636">
        <v>207684</v>
      </c>
      <c r="K35" s="2636">
        <v>207674</v>
      </c>
      <c r="L35" s="2636">
        <v>208894</v>
      </c>
      <c r="M35" s="2636">
        <v>207656</v>
      </c>
      <c r="N35" s="2636">
        <v>208388</v>
      </c>
      <c r="O35" s="2636">
        <v>208470</v>
      </c>
      <c r="P35" s="2636">
        <v>208459</v>
      </c>
      <c r="Q35" s="2636">
        <f>P35</f>
        <v>208459</v>
      </c>
      <c r="R35" s="5994">
        <f t="shared" ref="R35:R46" si="14">AVERAGE(E35:P35)</f>
        <v>204431.58333333334</v>
      </c>
      <c r="S35" s="2630">
        <v>208555</v>
      </c>
      <c r="T35" s="2630">
        <v>208695</v>
      </c>
      <c r="U35" s="2630">
        <v>211904</v>
      </c>
      <c r="V35" s="2630">
        <v>208937</v>
      </c>
      <c r="W35" s="2630">
        <v>207650</v>
      </c>
      <c r="X35" s="2630">
        <v>208899</v>
      </c>
      <c r="Y35" s="2630">
        <v>210100</v>
      </c>
      <c r="Z35" s="2630">
        <v>211765</v>
      </c>
      <c r="AA35" s="2630">
        <v>212032</v>
      </c>
      <c r="AB35" s="2630">
        <v>210277</v>
      </c>
      <c r="AC35" s="2630">
        <v>206568</v>
      </c>
      <c r="AD35" s="2630">
        <v>206181</v>
      </c>
      <c r="AE35" s="2630">
        <f>AD35</f>
        <v>206181</v>
      </c>
      <c r="AF35" s="5994">
        <f t="shared" ref="AF35:AF46" si="15">AVERAGE(S35:AD35)</f>
        <v>209296.91666666666</v>
      </c>
      <c r="AG35" s="2630">
        <v>205703</v>
      </c>
      <c r="AH35" s="2630">
        <v>207462</v>
      </c>
      <c r="AI35" s="4826">
        <f>AI39+AI43</f>
        <v>208858</v>
      </c>
      <c r="AJ35" s="2630">
        <v>208833</v>
      </c>
      <c r="AK35" s="4826">
        <f>AK39+AK43</f>
        <v>209196</v>
      </c>
      <c r="AL35" s="4826">
        <v>212535</v>
      </c>
      <c r="AM35" s="2630">
        <v>213809</v>
      </c>
      <c r="AN35" s="4826">
        <v>210781</v>
      </c>
      <c r="AO35" s="2630">
        <v>210088</v>
      </c>
      <c r="AP35" s="4826">
        <v>208108</v>
      </c>
      <c r="AQ35" s="2630">
        <v>208510</v>
      </c>
      <c r="AR35" s="2630">
        <v>207314</v>
      </c>
      <c r="AS35" s="2630">
        <f>AR35</f>
        <v>207314</v>
      </c>
      <c r="AT35" s="2636">
        <f t="shared" ref="AT35:AT46" si="16">AVERAGE(AG35:AR35)</f>
        <v>209266.41666666666</v>
      </c>
      <c r="AU35" s="3014">
        <v>207147</v>
      </c>
      <c r="AV35" s="4826">
        <v>212531</v>
      </c>
      <c r="AW35" s="4826"/>
      <c r="AX35" s="2630"/>
      <c r="AY35" s="4826"/>
      <c r="AZ35" s="4826"/>
      <c r="BA35" s="2630"/>
      <c r="BB35" s="4826"/>
      <c r="BC35" s="2630"/>
      <c r="BD35" s="4826"/>
      <c r="BE35" s="2630"/>
      <c r="BF35" s="2630"/>
      <c r="BG35" s="2630">
        <f>AU35</f>
        <v>207147</v>
      </c>
      <c r="BH35" s="2636">
        <f>AVERAGE(AU35:BF35)</f>
        <v>209839</v>
      </c>
      <c r="BI35" s="4827">
        <f t="shared" ref="BI35:BI46" si="17">IFERROR(
  _xlfn.XLOOKUP($A$1,$3:$3,35:35)
 -_xlfn.XLOOKUP(EDATE($A$1,-1),$3:$3,35:35),"")</f>
        <v>5384</v>
      </c>
      <c r="BJ35" s="6387">
        <f t="shared" ref="BJ35:BJ46" si="18">IFERROR(
  _xlfn.XLOOKUP($A$1,$3:$3,35:35)-AR35,"")</f>
        <v>5217</v>
      </c>
      <c r="BN35" s="2612"/>
      <c r="BO35" s="2612"/>
      <c r="BP35" s="2612"/>
      <c r="BQ35" s="2612"/>
      <c r="BR35" s="2612"/>
      <c r="BS35" s="2612"/>
      <c r="BT35" s="2612"/>
      <c r="BU35" s="2612"/>
      <c r="BV35" s="2612"/>
      <c r="BW35" s="2612"/>
      <c r="BX35" s="2612"/>
      <c r="BY35" s="2612"/>
    </row>
    <row r="36" spans="1:77" x14ac:dyDescent="0.55000000000000004">
      <c r="A36" s="7297"/>
      <c r="B36" s="7297"/>
      <c r="C36" s="7337"/>
      <c r="D36" s="2636" t="s">
        <v>759</v>
      </c>
      <c r="E36" s="2636">
        <v>411876</v>
      </c>
      <c r="F36" s="2636">
        <v>406172</v>
      </c>
      <c r="G36" s="2636">
        <v>394966</v>
      </c>
      <c r="H36" s="2636">
        <v>397471</v>
      </c>
      <c r="I36" s="2636">
        <v>397780</v>
      </c>
      <c r="J36" s="2636">
        <v>398545</v>
      </c>
      <c r="K36" s="2636">
        <v>400986</v>
      </c>
      <c r="L36" s="2636">
        <v>404550</v>
      </c>
      <c r="M36" s="2636">
        <v>410132</v>
      </c>
      <c r="N36" s="2636">
        <v>413864</v>
      </c>
      <c r="O36" s="2636">
        <v>419133</v>
      </c>
      <c r="P36" s="2636">
        <v>422904</v>
      </c>
      <c r="Q36" s="2636">
        <f t="shared" ref="Q36:Q46" si="19">P36</f>
        <v>422904</v>
      </c>
      <c r="R36" s="5994">
        <f t="shared" si="14"/>
        <v>406531.58333333331</v>
      </c>
      <c r="S36" s="2630">
        <v>423790</v>
      </c>
      <c r="T36" s="2630">
        <v>407221</v>
      </c>
      <c r="U36" s="2630">
        <v>407097</v>
      </c>
      <c r="V36" s="2630">
        <v>387138</v>
      </c>
      <c r="W36" s="2630">
        <v>374845</v>
      </c>
      <c r="X36" s="2630">
        <v>374952</v>
      </c>
      <c r="Y36" s="2630">
        <v>370571</v>
      </c>
      <c r="Z36" s="2630">
        <v>362880</v>
      </c>
      <c r="AA36" s="2630">
        <v>360824</v>
      </c>
      <c r="AB36" s="2630">
        <v>360009</v>
      </c>
      <c r="AC36" s="2630">
        <v>354826</v>
      </c>
      <c r="AD36" s="2630">
        <v>356314</v>
      </c>
      <c r="AE36" s="2630">
        <f t="shared" ref="AE36:AE46" si="20">AD36</f>
        <v>356314</v>
      </c>
      <c r="AF36" s="5994">
        <f t="shared" si="15"/>
        <v>378372.25</v>
      </c>
      <c r="AG36" s="2630">
        <v>358494</v>
      </c>
      <c r="AH36" s="2630">
        <v>354156</v>
      </c>
      <c r="AI36" s="4826">
        <f t="shared" ref="AI36:AI38" si="21">AI40+AI44</f>
        <v>348871</v>
      </c>
      <c r="AJ36" s="2630">
        <v>353902</v>
      </c>
      <c r="AK36" s="4826">
        <f t="shared" ref="AK36:AK38" si="22">AK40+AK44</f>
        <v>355492</v>
      </c>
      <c r="AL36" s="4826">
        <v>351132</v>
      </c>
      <c r="AM36" s="2630">
        <v>351707</v>
      </c>
      <c r="AN36" s="4826">
        <v>350124</v>
      </c>
      <c r="AO36" s="2630">
        <v>354929</v>
      </c>
      <c r="AP36" s="4826">
        <v>351714</v>
      </c>
      <c r="AQ36" s="2630">
        <v>351854</v>
      </c>
      <c r="AR36" s="2630">
        <v>352183</v>
      </c>
      <c r="AS36" s="2630">
        <f t="shared" ref="AS36:AS46" si="23">AR36</f>
        <v>352183</v>
      </c>
      <c r="AT36" s="2636">
        <f t="shared" si="16"/>
        <v>352879.83333333331</v>
      </c>
      <c r="AU36" s="3014">
        <v>354057</v>
      </c>
      <c r="AV36" s="4826">
        <v>354114</v>
      </c>
      <c r="AW36" s="4826"/>
      <c r="AX36" s="2630"/>
      <c r="AY36" s="4826"/>
      <c r="AZ36" s="4826"/>
      <c r="BA36" s="2630"/>
      <c r="BB36" s="4826"/>
      <c r="BC36" s="2630"/>
      <c r="BD36" s="4826"/>
      <c r="BE36" s="2630"/>
      <c r="BF36" s="2630"/>
      <c r="BG36" s="2630">
        <f t="shared" ref="BG36:BG46" si="24">AU36</f>
        <v>354057</v>
      </c>
      <c r="BH36" s="2636">
        <f t="shared" ref="BH36:BH46" si="25">AVERAGE(AU36:BF36)</f>
        <v>354085.5</v>
      </c>
      <c r="BI36" s="4827">
        <f t="shared" si="17"/>
        <v>57</v>
      </c>
      <c r="BJ36" s="6387">
        <f t="shared" si="18"/>
        <v>1931</v>
      </c>
      <c r="BN36" s="2612"/>
      <c r="BO36" s="2612"/>
      <c r="BP36" s="2612"/>
      <c r="BQ36" s="2612"/>
      <c r="BR36" s="2612"/>
      <c r="BS36" s="2612"/>
      <c r="BT36" s="2612"/>
      <c r="BU36" s="2612"/>
      <c r="BV36" s="2612"/>
      <c r="BW36" s="2612"/>
      <c r="BX36" s="2612"/>
      <c r="BY36" s="2612"/>
    </row>
    <row r="37" spans="1:77" x14ac:dyDescent="0.55000000000000004">
      <c r="A37" s="7297"/>
      <c r="B37" s="7297"/>
      <c r="C37" s="7337" t="s">
        <v>760</v>
      </c>
      <c r="D37" s="2636" t="s">
        <v>758</v>
      </c>
      <c r="E37" s="2636">
        <v>186240</v>
      </c>
      <c r="F37" s="2636">
        <v>188277</v>
      </c>
      <c r="G37" s="2636">
        <v>191487</v>
      </c>
      <c r="H37" s="2636">
        <v>192210</v>
      </c>
      <c r="I37" s="2636">
        <v>194982</v>
      </c>
      <c r="J37" s="2636">
        <v>200121</v>
      </c>
      <c r="K37" s="2636">
        <v>200732</v>
      </c>
      <c r="L37" s="2636">
        <v>201820</v>
      </c>
      <c r="M37" s="2636">
        <v>200799</v>
      </c>
      <c r="N37" s="2636">
        <v>201619</v>
      </c>
      <c r="O37" s="2636">
        <v>198413</v>
      </c>
      <c r="P37" s="2636">
        <v>193239</v>
      </c>
      <c r="Q37" s="2636">
        <f t="shared" si="19"/>
        <v>193239</v>
      </c>
      <c r="R37" s="5994">
        <f t="shared" si="14"/>
        <v>195828.25</v>
      </c>
      <c r="S37" s="2630">
        <v>192733</v>
      </c>
      <c r="T37" s="2630">
        <v>194304</v>
      </c>
      <c r="U37" s="2630">
        <v>197471</v>
      </c>
      <c r="V37" s="2630">
        <v>195186</v>
      </c>
      <c r="W37" s="2630">
        <v>193283</v>
      </c>
      <c r="X37" s="2630">
        <v>195773</v>
      </c>
      <c r="Y37" s="2630">
        <v>195746</v>
      </c>
      <c r="Z37" s="2630">
        <v>196850</v>
      </c>
      <c r="AA37" s="2630">
        <v>196262</v>
      </c>
      <c r="AB37" s="2630">
        <v>196653</v>
      </c>
      <c r="AC37" s="2630">
        <v>197356</v>
      </c>
      <c r="AD37" s="2630">
        <v>197514</v>
      </c>
      <c r="AE37" s="2630">
        <f t="shared" si="20"/>
        <v>197514</v>
      </c>
      <c r="AF37" s="5994">
        <f t="shared" si="15"/>
        <v>195760.91666666666</v>
      </c>
      <c r="AG37" s="2630">
        <v>197571</v>
      </c>
      <c r="AH37" s="2630">
        <v>199293</v>
      </c>
      <c r="AI37" s="4826">
        <f t="shared" si="21"/>
        <v>200674</v>
      </c>
      <c r="AJ37" s="2630">
        <v>200378</v>
      </c>
      <c r="AK37" s="4826">
        <f t="shared" si="22"/>
        <v>200507</v>
      </c>
      <c r="AL37" s="4826">
        <v>203558</v>
      </c>
      <c r="AM37" s="2630">
        <v>200019</v>
      </c>
      <c r="AN37" s="4826">
        <v>203204</v>
      </c>
      <c r="AO37" s="2630">
        <v>201682</v>
      </c>
      <c r="AP37" s="4826">
        <v>201375</v>
      </c>
      <c r="AQ37" s="2630">
        <v>201722</v>
      </c>
      <c r="AR37" s="2630">
        <v>200371</v>
      </c>
      <c r="AS37" s="2630">
        <f t="shared" si="23"/>
        <v>200371</v>
      </c>
      <c r="AT37" s="2636">
        <f t="shared" si="16"/>
        <v>200862.83333333334</v>
      </c>
      <c r="AU37" s="3014">
        <v>200866</v>
      </c>
      <c r="AV37" s="4826">
        <v>209164</v>
      </c>
      <c r="AW37" s="4826"/>
      <c r="AX37" s="2630"/>
      <c r="AY37" s="4826"/>
      <c r="AZ37" s="4826"/>
      <c r="BA37" s="2630"/>
      <c r="BB37" s="4826"/>
      <c r="BC37" s="2630"/>
      <c r="BD37" s="4826"/>
      <c r="BE37" s="2630"/>
      <c r="BF37" s="2630"/>
      <c r="BG37" s="2630">
        <f t="shared" si="24"/>
        <v>200866</v>
      </c>
      <c r="BH37" s="2636">
        <f t="shared" si="25"/>
        <v>205015</v>
      </c>
      <c r="BI37" s="4827">
        <f t="shared" si="17"/>
        <v>8298</v>
      </c>
      <c r="BJ37" s="6387">
        <f t="shared" si="18"/>
        <v>8793</v>
      </c>
      <c r="BN37" s="2612"/>
      <c r="BO37" s="2612"/>
      <c r="BP37" s="2612"/>
      <c r="BQ37" s="2612"/>
      <c r="BR37" s="2612"/>
      <c r="BS37" s="2612"/>
      <c r="BT37" s="2612"/>
      <c r="BU37" s="2612"/>
      <c r="BV37" s="2612"/>
      <c r="BW37" s="2612"/>
      <c r="BX37" s="2612"/>
      <c r="BY37" s="2612"/>
    </row>
    <row r="38" spans="1:77" ht="15.45" thickBot="1" x14ac:dyDescent="0.6">
      <c r="A38" s="7297"/>
      <c r="B38" s="7298"/>
      <c r="C38" s="7338"/>
      <c r="D38" s="2628" t="s">
        <v>759</v>
      </c>
      <c r="E38" s="2628">
        <v>358324</v>
      </c>
      <c r="F38" s="2628">
        <v>360809</v>
      </c>
      <c r="G38" s="2628">
        <v>347622</v>
      </c>
      <c r="H38" s="2628">
        <v>350768</v>
      </c>
      <c r="I38" s="2628">
        <v>343192</v>
      </c>
      <c r="J38" s="2628">
        <v>345289</v>
      </c>
      <c r="K38" s="2628">
        <v>346878</v>
      </c>
      <c r="L38" s="2628">
        <v>347693</v>
      </c>
      <c r="M38" s="2628">
        <v>348848</v>
      </c>
      <c r="N38" s="2628">
        <v>352418</v>
      </c>
      <c r="O38" s="2628">
        <v>355857</v>
      </c>
      <c r="P38" s="2628">
        <v>356674</v>
      </c>
      <c r="Q38" s="2628">
        <f t="shared" si="19"/>
        <v>356674</v>
      </c>
      <c r="R38" s="5995">
        <f t="shared" si="14"/>
        <v>351197.66666666669</v>
      </c>
      <c r="S38" s="2638">
        <v>359184</v>
      </c>
      <c r="T38" s="2638">
        <v>359922</v>
      </c>
      <c r="U38" s="2638">
        <v>358624</v>
      </c>
      <c r="V38" s="2638">
        <v>342152</v>
      </c>
      <c r="W38" s="2638">
        <v>332522</v>
      </c>
      <c r="X38" s="2638">
        <v>330645</v>
      </c>
      <c r="Y38" s="2638">
        <v>327295</v>
      </c>
      <c r="Z38" s="2638">
        <v>324213</v>
      </c>
      <c r="AA38" s="2638">
        <v>319359</v>
      </c>
      <c r="AB38" s="2638">
        <v>318030</v>
      </c>
      <c r="AC38" s="2638">
        <v>310261</v>
      </c>
      <c r="AD38" s="2638">
        <v>315428</v>
      </c>
      <c r="AE38" s="2638">
        <f t="shared" si="20"/>
        <v>315428</v>
      </c>
      <c r="AF38" s="5995">
        <f t="shared" si="15"/>
        <v>333136.25</v>
      </c>
      <c r="AG38" s="2638">
        <v>314324</v>
      </c>
      <c r="AH38" s="2638">
        <v>311050</v>
      </c>
      <c r="AI38" s="2638">
        <f t="shared" si="21"/>
        <v>310010</v>
      </c>
      <c r="AJ38" s="2638">
        <v>314302</v>
      </c>
      <c r="AK38" s="2638">
        <f t="shared" si="22"/>
        <v>316758</v>
      </c>
      <c r="AL38" s="2638">
        <v>313997</v>
      </c>
      <c r="AM38" s="2638">
        <v>317108</v>
      </c>
      <c r="AN38" s="2638">
        <v>313948</v>
      </c>
      <c r="AO38" s="2638">
        <v>314437</v>
      </c>
      <c r="AP38" s="2638">
        <v>314827</v>
      </c>
      <c r="AQ38" s="2638">
        <v>311362</v>
      </c>
      <c r="AR38" s="2638">
        <v>341625</v>
      </c>
      <c r="AS38" s="2638">
        <f t="shared" si="23"/>
        <v>341625</v>
      </c>
      <c r="AT38" s="2628">
        <f t="shared" si="16"/>
        <v>316145.66666666669</v>
      </c>
      <c r="AU38" s="4828">
        <v>311714</v>
      </c>
      <c r="AV38" s="2638">
        <v>409119</v>
      </c>
      <c r="AW38" s="2638"/>
      <c r="AX38" s="2638"/>
      <c r="AY38" s="2638"/>
      <c r="AZ38" s="2638"/>
      <c r="BA38" s="2638"/>
      <c r="BB38" s="2638"/>
      <c r="BC38" s="2638"/>
      <c r="BD38" s="2638"/>
      <c r="BE38" s="2638"/>
      <c r="BF38" s="2638"/>
      <c r="BG38" s="2638">
        <f t="shared" si="24"/>
        <v>311714</v>
      </c>
      <c r="BH38" s="2628">
        <f t="shared" si="25"/>
        <v>360416.5</v>
      </c>
      <c r="BI38" s="4829">
        <f t="shared" si="17"/>
        <v>97405</v>
      </c>
      <c r="BJ38" s="6388">
        <f t="shared" si="18"/>
        <v>67494</v>
      </c>
      <c r="BN38" s="2612"/>
      <c r="BO38" s="2612"/>
      <c r="BP38" s="2612"/>
      <c r="BQ38" s="2612"/>
      <c r="BR38" s="2612"/>
      <c r="BS38" s="2612"/>
      <c r="BT38" s="2612"/>
      <c r="BU38" s="2612"/>
      <c r="BV38" s="2612"/>
      <c r="BW38" s="2612"/>
      <c r="BX38" s="2612"/>
      <c r="BY38" s="2612"/>
    </row>
    <row r="39" spans="1:77" x14ac:dyDescent="0.55000000000000004">
      <c r="A39" s="7297"/>
      <c r="B39" s="7302" t="s">
        <v>754</v>
      </c>
      <c r="C39" s="7333" t="s">
        <v>761</v>
      </c>
      <c r="D39" s="2644" t="s">
        <v>100</v>
      </c>
      <c r="E39" s="2644">
        <v>67855</v>
      </c>
      <c r="F39" s="2644">
        <v>67749</v>
      </c>
      <c r="G39" s="2644">
        <v>67024</v>
      </c>
      <c r="H39" s="2644">
        <v>66651</v>
      </c>
      <c r="I39" s="2644">
        <v>66353</v>
      </c>
      <c r="J39" s="2644">
        <v>67199</v>
      </c>
      <c r="K39" s="2644">
        <v>66809</v>
      </c>
      <c r="L39" s="2644">
        <v>65858</v>
      </c>
      <c r="M39" s="2644">
        <v>66008</v>
      </c>
      <c r="N39" s="2644">
        <v>65674</v>
      </c>
      <c r="O39" s="2644">
        <v>65326</v>
      </c>
      <c r="P39" s="2644">
        <v>65198</v>
      </c>
      <c r="Q39" s="2644">
        <f t="shared" si="19"/>
        <v>65198</v>
      </c>
      <c r="R39" s="5996">
        <f t="shared" si="14"/>
        <v>66475.333333333328</v>
      </c>
      <c r="S39" s="2646">
        <v>66265</v>
      </c>
      <c r="T39" s="2646">
        <v>66935</v>
      </c>
      <c r="U39" s="2646">
        <v>69517</v>
      </c>
      <c r="V39" s="2646">
        <v>67155</v>
      </c>
      <c r="W39" s="2646">
        <v>67122</v>
      </c>
      <c r="X39" s="2646">
        <v>67687</v>
      </c>
      <c r="Y39" s="2646">
        <v>68599</v>
      </c>
      <c r="Z39" s="2646">
        <v>70283</v>
      </c>
      <c r="AA39" s="2646">
        <v>70598</v>
      </c>
      <c r="AB39" s="2646">
        <v>69504</v>
      </c>
      <c r="AC39" s="2646">
        <v>66049</v>
      </c>
      <c r="AD39" s="2646">
        <v>66232</v>
      </c>
      <c r="AE39" s="2646">
        <f t="shared" si="20"/>
        <v>66232</v>
      </c>
      <c r="AF39" s="5996">
        <f t="shared" si="15"/>
        <v>67995.5</v>
      </c>
      <c r="AG39" s="2646">
        <v>66118</v>
      </c>
      <c r="AH39" s="2646">
        <v>68614</v>
      </c>
      <c r="AI39" s="2612">
        <v>69318</v>
      </c>
      <c r="AJ39" s="2646">
        <v>69735</v>
      </c>
      <c r="AK39" s="2612">
        <v>70460</v>
      </c>
      <c r="AL39" s="2612">
        <v>74477</v>
      </c>
      <c r="AM39" s="2646">
        <v>74324</v>
      </c>
      <c r="AN39" s="2612">
        <v>73533</v>
      </c>
      <c r="AO39" s="2646">
        <v>73726</v>
      </c>
      <c r="AP39" s="2612">
        <v>72553</v>
      </c>
      <c r="AQ39" s="2646">
        <v>73743</v>
      </c>
      <c r="AR39" s="2646">
        <v>72195</v>
      </c>
      <c r="AS39" s="2646">
        <f t="shared" si="23"/>
        <v>72195</v>
      </c>
      <c r="AT39" s="2644">
        <f t="shared" si="16"/>
        <v>71566.333333333328</v>
      </c>
      <c r="AU39" s="4830">
        <v>72750</v>
      </c>
      <c r="AV39" s="2612">
        <v>77381</v>
      </c>
      <c r="AW39" s="2612"/>
      <c r="AX39" s="2646"/>
      <c r="AY39" s="2612"/>
      <c r="AZ39" s="2612"/>
      <c r="BA39" s="2646"/>
      <c r="BB39" s="2612"/>
      <c r="BC39" s="2646"/>
      <c r="BD39" s="2612"/>
      <c r="BE39" s="2646"/>
      <c r="BF39" s="2646"/>
      <c r="BG39" s="2646">
        <f t="shared" si="24"/>
        <v>72750</v>
      </c>
      <c r="BH39" s="2644">
        <f t="shared" si="25"/>
        <v>75065.5</v>
      </c>
      <c r="BI39" s="4791">
        <f t="shared" si="17"/>
        <v>4631</v>
      </c>
      <c r="BJ39" s="6383">
        <f t="shared" si="18"/>
        <v>5186</v>
      </c>
      <c r="BN39" s="2796"/>
      <c r="BO39" s="2796"/>
      <c r="BP39" s="2796"/>
      <c r="BQ39" s="2796"/>
      <c r="BR39" s="2796"/>
      <c r="BS39" s="2796"/>
      <c r="BT39" s="2796"/>
      <c r="BU39" s="2796"/>
      <c r="BV39" s="2796"/>
      <c r="BW39" s="2796"/>
      <c r="BX39" s="2796"/>
      <c r="BY39" s="2796"/>
    </row>
    <row r="40" spans="1:77" x14ac:dyDescent="0.55000000000000004">
      <c r="A40" s="7297"/>
      <c r="B40" s="7302"/>
      <c r="C40" s="7333"/>
      <c r="D40" s="2644" t="s">
        <v>52</v>
      </c>
      <c r="E40" s="2644">
        <v>324827</v>
      </c>
      <c r="F40" s="2644">
        <v>320178</v>
      </c>
      <c r="G40" s="2644">
        <v>310642</v>
      </c>
      <c r="H40" s="2644">
        <v>309810</v>
      </c>
      <c r="I40" s="2644">
        <v>310822</v>
      </c>
      <c r="J40" s="2644">
        <v>309807</v>
      </c>
      <c r="K40" s="2644">
        <v>313204</v>
      </c>
      <c r="L40" s="2644">
        <v>316633</v>
      </c>
      <c r="M40" s="2644">
        <v>324202</v>
      </c>
      <c r="N40" s="2644">
        <v>328658</v>
      </c>
      <c r="O40" s="2644">
        <v>334911</v>
      </c>
      <c r="P40" s="2644">
        <v>338662</v>
      </c>
      <c r="Q40" s="2644">
        <f t="shared" si="19"/>
        <v>338662</v>
      </c>
      <c r="R40" s="5996">
        <f t="shared" si="14"/>
        <v>320196.33333333331</v>
      </c>
      <c r="S40" s="2646">
        <v>340450</v>
      </c>
      <c r="T40" s="2646">
        <v>324475</v>
      </c>
      <c r="U40" s="2646">
        <v>324450</v>
      </c>
      <c r="V40" s="2646">
        <v>314876</v>
      </c>
      <c r="W40" s="2646">
        <v>313714</v>
      </c>
      <c r="X40" s="2646">
        <v>315333</v>
      </c>
      <c r="Y40" s="2646">
        <v>312438</v>
      </c>
      <c r="Z40" s="2646">
        <v>306471</v>
      </c>
      <c r="AA40" s="2646">
        <v>305984</v>
      </c>
      <c r="AB40" s="2646">
        <v>307406</v>
      </c>
      <c r="AC40" s="2646">
        <v>304807</v>
      </c>
      <c r="AD40" s="2646">
        <v>307864</v>
      </c>
      <c r="AE40" s="2646">
        <f t="shared" si="20"/>
        <v>307864</v>
      </c>
      <c r="AF40" s="5996">
        <f t="shared" si="15"/>
        <v>314855.66666666669</v>
      </c>
      <c r="AG40" s="2646">
        <v>309485</v>
      </c>
      <c r="AH40" s="2646">
        <v>306858</v>
      </c>
      <c r="AI40" s="2612">
        <v>302111</v>
      </c>
      <c r="AJ40" s="2646">
        <v>307843</v>
      </c>
      <c r="AK40" s="2612">
        <v>310848</v>
      </c>
      <c r="AL40" s="2612">
        <v>307172</v>
      </c>
      <c r="AM40" s="2646">
        <v>308139</v>
      </c>
      <c r="AN40" s="2612">
        <v>309299</v>
      </c>
      <c r="AO40" s="2646">
        <v>314651</v>
      </c>
      <c r="AP40" s="2612">
        <v>311837</v>
      </c>
      <c r="AQ40" s="2646">
        <v>312430</v>
      </c>
      <c r="AR40" s="2646">
        <v>313281</v>
      </c>
      <c r="AS40" s="2646">
        <f t="shared" si="23"/>
        <v>313281</v>
      </c>
      <c r="AT40" s="2644">
        <f t="shared" si="16"/>
        <v>309496.16666666669</v>
      </c>
      <c r="AU40" s="4830">
        <v>315436</v>
      </c>
      <c r="AV40" s="2612">
        <v>315678</v>
      </c>
      <c r="AW40" s="2612"/>
      <c r="AX40" s="2646"/>
      <c r="AY40" s="2612"/>
      <c r="AZ40" s="2612"/>
      <c r="BA40" s="2646"/>
      <c r="BB40" s="2612"/>
      <c r="BC40" s="2646"/>
      <c r="BD40" s="2612"/>
      <c r="BE40" s="2646"/>
      <c r="BF40" s="2646"/>
      <c r="BG40" s="2646">
        <f t="shared" si="24"/>
        <v>315436</v>
      </c>
      <c r="BH40" s="2644">
        <f t="shared" si="25"/>
        <v>315557</v>
      </c>
      <c r="BI40" s="4791">
        <f t="shared" si="17"/>
        <v>242</v>
      </c>
      <c r="BJ40" s="6383">
        <f t="shared" si="18"/>
        <v>2397</v>
      </c>
      <c r="BN40" s="2796"/>
      <c r="BO40" s="2796"/>
      <c r="BP40" s="2796"/>
      <c r="BQ40" s="2796"/>
      <c r="BR40" s="2796"/>
      <c r="BS40" s="2796"/>
      <c r="BT40" s="2796"/>
      <c r="BU40" s="2796"/>
      <c r="BV40" s="2796"/>
      <c r="BW40" s="2796"/>
      <c r="BX40" s="2796"/>
      <c r="BY40" s="2796"/>
    </row>
    <row r="41" spans="1:77" x14ac:dyDescent="0.55000000000000004">
      <c r="A41" s="7297"/>
      <c r="B41" s="7302"/>
      <c r="C41" s="7333" t="s">
        <v>760</v>
      </c>
      <c r="D41" s="2644" t="s">
        <v>758</v>
      </c>
      <c r="E41" s="2644">
        <v>63759</v>
      </c>
      <c r="F41" s="2644">
        <v>64195</v>
      </c>
      <c r="G41" s="2644">
        <v>64382</v>
      </c>
      <c r="H41" s="2644">
        <v>64277</v>
      </c>
      <c r="I41" s="2644">
        <v>64079</v>
      </c>
      <c r="J41" s="2644">
        <v>65000</v>
      </c>
      <c r="K41" s="2644">
        <v>64663</v>
      </c>
      <c r="L41" s="2644">
        <v>63812</v>
      </c>
      <c r="M41" s="2644">
        <v>64008</v>
      </c>
      <c r="N41" s="2644">
        <v>63654</v>
      </c>
      <c r="O41" s="2644">
        <v>59917</v>
      </c>
      <c r="P41" s="2644">
        <v>54665</v>
      </c>
      <c r="Q41" s="2644">
        <f t="shared" si="19"/>
        <v>54665</v>
      </c>
      <c r="R41" s="5996">
        <f t="shared" si="14"/>
        <v>63034.25</v>
      </c>
      <c r="S41" s="2646">
        <v>55391</v>
      </c>
      <c r="T41" s="2646">
        <v>56225</v>
      </c>
      <c r="U41" s="2646">
        <v>58328</v>
      </c>
      <c r="V41" s="2646">
        <v>56202</v>
      </c>
      <c r="W41" s="2646">
        <v>55739</v>
      </c>
      <c r="X41" s="2646">
        <v>56288</v>
      </c>
      <c r="Y41" s="2646">
        <v>56927</v>
      </c>
      <c r="Z41" s="2646">
        <v>58152</v>
      </c>
      <c r="AA41" s="2646">
        <v>57583</v>
      </c>
      <c r="AB41" s="2646">
        <v>58800</v>
      </c>
      <c r="AC41" s="2646">
        <v>60017</v>
      </c>
      <c r="AD41" s="2646">
        <v>60502</v>
      </c>
      <c r="AE41" s="2646">
        <f t="shared" si="20"/>
        <v>60502</v>
      </c>
      <c r="AF41" s="5996">
        <f t="shared" si="15"/>
        <v>57512.833333333336</v>
      </c>
      <c r="AG41" s="2646">
        <v>60871</v>
      </c>
      <c r="AH41" s="2646">
        <v>63516</v>
      </c>
      <c r="AI41" s="2612">
        <v>64308</v>
      </c>
      <c r="AJ41" s="2646">
        <v>64757</v>
      </c>
      <c r="AK41" s="2612">
        <v>65371</v>
      </c>
      <c r="AL41" s="2612">
        <v>69044</v>
      </c>
      <c r="AM41" s="2646">
        <v>69373</v>
      </c>
      <c r="AN41" s="2612">
        <v>69532</v>
      </c>
      <c r="AO41" s="2646">
        <v>69253</v>
      </c>
      <c r="AP41" s="2612">
        <v>69095</v>
      </c>
      <c r="AQ41" s="2646">
        <v>70512</v>
      </c>
      <c r="AR41" s="2646">
        <v>68941</v>
      </c>
      <c r="AS41" s="2646">
        <f t="shared" si="23"/>
        <v>68941</v>
      </c>
      <c r="AT41" s="2644">
        <f t="shared" si="16"/>
        <v>67047.75</v>
      </c>
      <c r="AU41" s="4830">
        <v>69642</v>
      </c>
      <c r="AV41" s="2612">
        <v>74014</v>
      </c>
      <c r="AW41" s="2612"/>
      <c r="AX41" s="2646"/>
      <c r="AY41" s="2612"/>
      <c r="AZ41" s="2612"/>
      <c r="BA41" s="2646"/>
      <c r="BB41" s="2612"/>
      <c r="BC41" s="2646"/>
      <c r="BD41" s="2612"/>
      <c r="BE41" s="2646"/>
      <c r="BF41" s="2646"/>
      <c r="BG41" s="2646">
        <f t="shared" si="24"/>
        <v>69642</v>
      </c>
      <c r="BH41" s="2644">
        <f t="shared" si="25"/>
        <v>71828</v>
      </c>
      <c r="BI41" s="4791">
        <f t="shared" si="17"/>
        <v>4372</v>
      </c>
      <c r="BJ41" s="6383">
        <f t="shared" si="18"/>
        <v>5073</v>
      </c>
      <c r="BN41" s="2796"/>
      <c r="BO41" s="2796"/>
      <c r="BP41" s="2796"/>
      <c r="BQ41" s="2796"/>
      <c r="BR41" s="2796"/>
      <c r="BS41" s="2796"/>
      <c r="BT41" s="2796"/>
      <c r="BU41" s="2796"/>
      <c r="BV41" s="2796"/>
      <c r="BW41" s="2796"/>
      <c r="BX41" s="2796"/>
      <c r="BY41" s="2796"/>
    </row>
    <row r="42" spans="1:77" ht="15.45" thickBot="1" x14ac:dyDescent="0.6">
      <c r="A42" s="7297"/>
      <c r="B42" s="7303"/>
      <c r="C42" s="7334"/>
      <c r="D42" s="2649" t="s">
        <v>759</v>
      </c>
      <c r="E42" s="2649">
        <v>286905</v>
      </c>
      <c r="F42" s="2649">
        <v>290036</v>
      </c>
      <c r="G42" s="2649">
        <v>277553</v>
      </c>
      <c r="H42" s="2649">
        <v>277437</v>
      </c>
      <c r="I42" s="2649">
        <v>270413</v>
      </c>
      <c r="J42" s="2649">
        <v>269986</v>
      </c>
      <c r="K42" s="2649">
        <v>272283</v>
      </c>
      <c r="L42" s="2649">
        <v>272754</v>
      </c>
      <c r="M42" s="2649">
        <v>275371</v>
      </c>
      <c r="N42" s="2649">
        <v>279361</v>
      </c>
      <c r="O42" s="2649">
        <v>284713</v>
      </c>
      <c r="P42" s="2649">
        <v>286160</v>
      </c>
      <c r="Q42" s="2649">
        <f t="shared" si="19"/>
        <v>286160</v>
      </c>
      <c r="R42" s="5997">
        <f t="shared" si="14"/>
        <v>278581</v>
      </c>
      <c r="S42" s="2651">
        <v>291062</v>
      </c>
      <c r="T42" s="2651">
        <v>290761</v>
      </c>
      <c r="U42" s="2651">
        <v>288670</v>
      </c>
      <c r="V42" s="2651">
        <v>281495</v>
      </c>
      <c r="W42" s="2651">
        <v>282466</v>
      </c>
      <c r="X42" s="2651">
        <v>281082</v>
      </c>
      <c r="Y42" s="2651">
        <v>278139</v>
      </c>
      <c r="Z42" s="2651">
        <v>275640</v>
      </c>
      <c r="AA42" s="2651">
        <v>271676</v>
      </c>
      <c r="AB42" s="2651">
        <v>270831</v>
      </c>
      <c r="AC42" s="2651">
        <v>264537</v>
      </c>
      <c r="AD42" s="2651">
        <v>270003</v>
      </c>
      <c r="AE42" s="2651">
        <f t="shared" si="20"/>
        <v>270003</v>
      </c>
      <c r="AF42" s="5997">
        <f t="shared" si="15"/>
        <v>278863.5</v>
      </c>
      <c r="AG42" s="2651">
        <v>269319</v>
      </c>
      <c r="AH42" s="2651">
        <v>266647</v>
      </c>
      <c r="AI42" s="2651">
        <v>265902</v>
      </c>
      <c r="AJ42" s="2651">
        <v>270627</v>
      </c>
      <c r="AK42" s="2651">
        <v>275369</v>
      </c>
      <c r="AL42" s="2651">
        <v>273476</v>
      </c>
      <c r="AM42" s="2651">
        <v>277421</v>
      </c>
      <c r="AN42" s="2651">
        <v>277121</v>
      </c>
      <c r="AO42" s="2651">
        <v>278745</v>
      </c>
      <c r="AP42" s="2651">
        <v>279157</v>
      </c>
      <c r="AQ42" s="2651">
        <v>277187</v>
      </c>
      <c r="AR42" s="2651">
        <v>308002</v>
      </c>
      <c r="AS42" s="2651">
        <f t="shared" si="23"/>
        <v>308002</v>
      </c>
      <c r="AT42" s="2649">
        <f t="shared" si="16"/>
        <v>276581.08333333331</v>
      </c>
      <c r="AU42" s="4831">
        <v>278248</v>
      </c>
      <c r="AV42" s="2651">
        <v>277445</v>
      </c>
      <c r="AW42" s="2651"/>
      <c r="AX42" s="2651"/>
      <c r="AY42" s="2651"/>
      <c r="AZ42" s="2651"/>
      <c r="BA42" s="2651"/>
      <c r="BB42" s="2651"/>
      <c r="BC42" s="2651"/>
      <c r="BD42" s="2651"/>
      <c r="BE42" s="2651"/>
      <c r="BF42" s="2651"/>
      <c r="BG42" s="2651">
        <f t="shared" si="24"/>
        <v>278248</v>
      </c>
      <c r="BH42" s="2649">
        <f t="shared" si="25"/>
        <v>277846.5</v>
      </c>
      <c r="BI42" s="4832">
        <f t="shared" si="17"/>
        <v>-803</v>
      </c>
      <c r="BJ42" s="6389">
        <f t="shared" si="18"/>
        <v>-30557</v>
      </c>
      <c r="BN42" s="2796"/>
      <c r="BO42" s="2796"/>
      <c r="BP42" s="2796"/>
      <c r="BQ42" s="2796"/>
      <c r="BR42" s="2796"/>
      <c r="BS42" s="2796"/>
      <c r="BT42" s="2796"/>
      <c r="BU42" s="2796"/>
      <c r="BV42" s="2796"/>
      <c r="BW42" s="2796"/>
      <c r="BX42" s="2796"/>
      <c r="BY42" s="2796"/>
    </row>
    <row r="43" spans="1:77" x14ac:dyDescent="0.55000000000000004">
      <c r="A43" s="7297"/>
      <c r="B43" s="7302" t="s">
        <v>755</v>
      </c>
      <c r="C43" s="7333" t="s">
        <v>757</v>
      </c>
      <c r="D43" s="2644" t="s">
        <v>758</v>
      </c>
      <c r="E43" s="2644">
        <v>128093</v>
      </c>
      <c r="F43" s="2644">
        <v>129782</v>
      </c>
      <c r="G43" s="2644">
        <v>132596</v>
      </c>
      <c r="H43" s="2644">
        <v>133607</v>
      </c>
      <c r="I43" s="2644">
        <v>136244</v>
      </c>
      <c r="J43" s="2644">
        <v>140485</v>
      </c>
      <c r="K43" s="2644">
        <v>140865</v>
      </c>
      <c r="L43" s="2644">
        <v>143036</v>
      </c>
      <c r="M43" s="2644">
        <v>141648</v>
      </c>
      <c r="N43" s="2644">
        <v>142714</v>
      </c>
      <c r="O43" s="2644">
        <v>143144</v>
      </c>
      <c r="P43" s="2644">
        <v>143261</v>
      </c>
      <c r="Q43" s="2644">
        <f t="shared" si="19"/>
        <v>143261</v>
      </c>
      <c r="R43" s="5996">
        <f t="shared" si="14"/>
        <v>137956.25</v>
      </c>
      <c r="S43" s="2646">
        <v>142290</v>
      </c>
      <c r="T43" s="2646">
        <v>141760</v>
      </c>
      <c r="U43" s="2646">
        <v>142387</v>
      </c>
      <c r="V43" s="2646">
        <v>141782</v>
      </c>
      <c r="W43" s="2646">
        <v>140528</v>
      </c>
      <c r="X43" s="2646">
        <v>141212</v>
      </c>
      <c r="Y43" s="2646">
        <v>141501</v>
      </c>
      <c r="Z43" s="2646">
        <v>141482</v>
      </c>
      <c r="AA43" s="2646">
        <v>141434</v>
      </c>
      <c r="AB43" s="2646">
        <v>140773</v>
      </c>
      <c r="AC43" s="2646">
        <v>140519</v>
      </c>
      <c r="AD43" s="2646">
        <v>139949</v>
      </c>
      <c r="AE43" s="2646">
        <f t="shared" si="20"/>
        <v>139949</v>
      </c>
      <c r="AF43" s="5996">
        <f t="shared" si="15"/>
        <v>141301.41666666666</v>
      </c>
      <c r="AG43" s="2646">
        <v>139585</v>
      </c>
      <c r="AH43" s="2646">
        <v>138848</v>
      </c>
      <c r="AI43" s="2612">
        <v>139540</v>
      </c>
      <c r="AJ43" s="2646">
        <v>139098</v>
      </c>
      <c r="AK43" s="2612">
        <v>138736</v>
      </c>
      <c r="AL43" s="2612">
        <v>138058</v>
      </c>
      <c r="AM43" s="2646">
        <v>139485</v>
      </c>
      <c r="AN43" s="2612">
        <v>137248</v>
      </c>
      <c r="AO43" s="2646">
        <v>136362</v>
      </c>
      <c r="AP43" s="2612">
        <v>135555</v>
      </c>
      <c r="AQ43" s="2646">
        <v>134767</v>
      </c>
      <c r="AR43" s="2646">
        <v>135119</v>
      </c>
      <c r="AS43" s="2646">
        <f t="shared" si="23"/>
        <v>135119</v>
      </c>
      <c r="AT43" s="2644">
        <f t="shared" si="16"/>
        <v>137700.08333333334</v>
      </c>
      <c r="AU43" s="4830">
        <v>134397</v>
      </c>
      <c r="AV43" s="2612">
        <v>135150</v>
      </c>
      <c r="AW43" s="2612"/>
      <c r="AX43" s="2646"/>
      <c r="AY43" s="2612"/>
      <c r="AZ43" s="2612"/>
      <c r="BA43" s="2646"/>
      <c r="BB43" s="2612"/>
      <c r="BC43" s="2646"/>
      <c r="BD43" s="2612"/>
      <c r="BE43" s="2646"/>
      <c r="BF43" s="2646"/>
      <c r="BG43" s="2646">
        <f t="shared" si="24"/>
        <v>134397</v>
      </c>
      <c r="BH43" s="2644">
        <f t="shared" si="25"/>
        <v>134773.5</v>
      </c>
      <c r="BI43" s="4791">
        <f t="shared" si="17"/>
        <v>753</v>
      </c>
      <c r="BJ43" s="6383">
        <f t="shared" si="18"/>
        <v>31</v>
      </c>
      <c r="BN43" s="2796"/>
      <c r="BO43" s="2796"/>
      <c r="BP43" s="2796"/>
      <c r="BQ43" s="2796"/>
      <c r="BR43" s="2796"/>
      <c r="BS43" s="2796"/>
      <c r="BT43" s="2796"/>
      <c r="BU43" s="2796"/>
      <c r="BV43" s="2796"/>
      <c r="BW43" s="2796"/>
      <c r="BX43" s="2796"/>
      <c r="BY43" s="2796"/>
    </row>
    <row r="44" spans="1:77" x14ac:dyDescent="0.55000000000000004">
      <c r="A44" s="7297"/>
      <c r="B44" s="7302"/>
      <c r="C44" s="7333"/>
      <c r="D44" s="2644" t="s">
        <v>759</v>
      </c>
      <c r="E44" s="2644">
        <v>87049</v>
      </c>
      <c r="F44" s="2644">
        <v>85994</v>
      </c>
      <c r="G44" s="2644">
        <v>84324</v>
      </c>
      <c r="H44" s="2644">
        <v>87661</v>
      </c>
      <c r="I44" s="2644">
        <v>86958</v>
      </c>
      <c r="J44" s="2644">
        <v>88738</v>
      </c>
      <c r="K44" s="2644">
        <v>87782</v>
      </c>
      <c r="L44" s="2644">
        <v>87917</v>
      </c>
      <c r="M44" s="2644">
        <v>85930</v>
      </c>
      <c r="N44" s="2644">
        <v>85206</v>
      </c>
      <c r="O44" s="2644">
        <v>84222</v>
      </c>
      <c r="P44" s="2644">
        <v>84242</v>
      </c>
      <c r="Q44" s="2644">
        <f t="shared" si="19"/>
        <v>84242</v>
      </c>
      <c r="R44" s="5996">
        <f t="shared" si="14"/>
        <v>86335.25</v>
      </c>
      <c r="S44" s="2646">
        <v>83340</v>
      </c>
      <c r="T44" s="2646">
        <v>82746</v>
      </c>
      <c r="U44" s="2646">
        <v>82647</v>
      </c>
      <c r="V44" s="2646">
        <v>72262</v>
      </c>
      <c r="W44" s="2646">
        <v>61131</v>
      </c>
      <c r="X44" s="2646">
        <v>59619</v>
      </c>
      <c r="Y44" s="2646">
        <v>58133</v>
      </c>
      <c r="Z44" s="2646">
        <v>56409</v>
      </c>
      <c r="AA44" s="2646">
        <v>54840</v>
      </c>
      <c r="AB44" s="2646">
        <v>52603</v>
      </c>
      <c r="AC44" s="2646">
        <v>50019</v>
      </c>
      <c r="AD44" s="2646">
        <v>48450</v>
      </c>
      <c r="AE44" s="2646">
        <f t="shared" si="20"/>
        <v>48450</v>
      </c>
      <c r="AF44" s="5996">
        <f t="shared" si="15"/>
        <v>63516.583333333336</v>
      </c>
      <c r="AG44" s="2646">
        <v>49009</v>
      </c>
      <c r="AH44" s="2646">
        <v>47298</v>
      </c>
      <c r="AI44" s="2612">
        <v>46760</v>
      </c>
      <c r="AJ44" s="2646">
        <v>46059</v>
      </c>
      <c r="AK44" s="2612">
        <v>44644</v>
      </c>
      <c r="AL44" s="2612">
        <v>43960</v>
      </c>
      <c r="AM44" s="2646">
        <v>43568</v>
      </c>
      <c r="AN44" s="2612">
        <v>40825</v>
      </c>
      <c r="AO44" s="2646">
        <v>40278</v>
      </c>
      <c r="AP44" s="2612">
        <v>39877</v>
      </c>
      <c r="AQ44" s="2646">
        <v>39424</v>
      </c>
      <c r="AR44" s="2646">
        <v>38902</v>
      </c>
      <c r="AS44" s="2646">
        <f t="shared" si="23"/>
        <v>38902</v>
      </c>
      <c r="AT44" s="2644">
        <f t="shared" si="16"/>
        <v>43383.666666666664</v>
      </c>
      <c r="AU44" s="4830">
        <v>38621</v>
      </c>
      <c r="AV44" s="2612">
        <v>38436</v>
      </c>
      <c r="AW44" s="2612"/>
      <c r="AX44" s="2646"/>
      <c r="AY44" s="2612"/>
      <c r="AZ44" s="2612"/>
      <c r="BA44" s="2646"/>
      <c r="BB44" s="2612"/>
      <c r="BC44" s="2646"/>
      <c r="BD44" s="2612"/>
      <c r="BE44" s="2646"/>
      <c r="BF44" s="2646"/>
      <c r="BG44" s="2646">
        <f t="shared" si="24"/>
        <v>38621</v>
      </c>
      <c r="BH44" s="2644">
        <f t="shared" si="25"/>
        <v>38528.5</v>
      </c>
      <c r="BI44" s="4791">
        <f t="shared" si="17"/>
        <v>-185</v>
      </c>
      <c r="BJ44" s="6383">
        <f t="shared" si="18"/>
        <v>-466</v>
      </c>
      <c r="BN44" s="2796"/>
      <c r="BO44" s="2796"/>
      <c r="BP44" s="2796"/>
      <c r="BQ44" s="2796"/>
      <c r="BR44" s="2796"/>
      <c r="BS44" s="2796"/>
      <c r="BT44" s="2796"/>
      <c r="BU44" s="2796"/>
      <c r="BV44" s="2796"/>
      <c r="BW44" s="2796"/>
      <c r="BX44" s="2796"/>
      <c r="BY44" s="2796"/>
    </row>
    <row r="45" spans="1:77" x14ac:dyDescent="0.55000000000000004">
      <c r="A45" s="7297"/>
      <c r="B45" s="7302"/>
      <c r="C45" s="7333" t="s">
        <v>760</v>
      </c>
      <c r="D45" s="2644" t="s">
        <v>758</v>
      </c>
      <c r="E45" s="2644">
        <v>122481</v>
      </c>
      <c r="F45" s="2644">
        <v>124082</v>
      </c>
      <c r="G45" s="2644">
        <v>127105</v>
      </c>
      <c r="H45" s="2644">
        <v>127933</v>
      </c>
      <c r="I45" s="2644">
        <v>130903</v>
      </c>
      <c r="J45" s="2644">
        <v>135121</v>
      </c>
      <c r="K45" s="2644">
        <v>136069</v>
      </c>
      <c r="L45" s="2644">
        <v>138008</v>
      </c>
      <c r="M45" s="2644">
        <v>136791</v>
      </c>
      <c r="N45" s="2644">
        <v>137965</v>
      </c>
      <c r="O45" s="2644">
        <v>138496</v>
      </c>
      <c r="P45" s="2644">
        <v>138574</v>
      </c>
      <c r="Q45" s="2644">
        <f t="shared" si="19"/>
        <v>138574</v>
      </c>
      <c r="R45" s="5996">
        <f t="shared" si="14"/>
        <v>132794</v>
      </c>
      <c r="S45" s="2646">
        <v>137342</v>
      </c>
      <c r="T45" s="2646">
        <v>138079</v>
      </c>
      <c r="U45" s="2646">
        <v>139143</v>
      </c>
      <c r="V45" s="2646">
        <v>138984</v>
      </c>
      <c r="W45" s="2646">
        <v>137544</v>
      </c>
      <c r="X45" s="2646">
        <v>139485</v>
      </c>
      <c r="Y45" s="2646">
        <v>138819</v>
      </c>
      <c r="Z45" s="2646">
        <v>138698</v>
      </c>
      <c r="AA45" s="2646">
        <v>138679</v>
      </c>
      <c r="AB45" s="2646">
        <v>137853</v>
      </c>
      <c r="AC45" s="2646">
        <v>137339</v>
      </c>
      <c r="AD45" s="2646">
        <v>137012</v>
      </c>
      <c r="AE45" s="2646">
        <f t="shared" si="20"/>
        <v>137012</v>
      </c>
      <c r="AF45" s="5996">
        <f t="shared" si="15"/>
        <v>138248.08333333334</v>
      </c>
      <c r="AG45" s="2646">
        <v>136700</v>
      </c>
      <c r="AH45" s="2646">
        <v>135777</v>
      </c>
      <c r="AI45" s="2612">
        <v>136366</v>
      </c>
      <c r="AJ45" s="2646">
        <v>135621</v>
      </c>
      <c r="AK45" s="2612">
        <v>135136</v>
      </c>
      <c r="AL45" s="2612">
        <v>134514</v>
      </c>
      <c r="AM45" s="2646">
        <v>130646</v>
      </c>
      <c r="AN45" s="2612">
        <v>133672</v>
      </c>
      <c r="AO45" s="2646">
        <v>132429</v>
      </c>
      <c r="AP45" s="2612">
        <v>132280</v>
      </c>
      <c r="AQ45" s="2646">
        <v>131210</v>
      </c>
      <c r="AR45" s="2646">
        <v>131430</v>
      </c>
      <c r="AS45" s="2646">
        <f t="shared" si="23"/>
        <v>131430</v>
      </c>
      <c r="AT45" s="2644">
        <f t="shared" si="16"/>
        <v>133815.08333333334</v>
      </c>
      <c r="AU45" s="4830">
        <v>131224</v>
      </c>
      <c r="AV45" s="2612">
        <v>135150</v>
      </c>
      <c r="AW45" s="2612"/>
      <c r="AX45" s="2646"/>
      <c r="AY45" s="2612"/>
      <c r="AZ45" s="2612"/>
      <c r="BA45" s="2646"/>
      <c r="BB45" s="2612"/>
      <c r="BC45" s="2646"/>
      <c r="BD45" s="2612"/>
      <c r="BE45" s="2646"/>
      <c r="BF45" s="2646"/>
      <c r="BG45" s="2646">
        <f t="shared" si="24"/>
        <v>131224</v>
      </c>
      <c r="BH45" s="2644">
        <f t="shared" si="25"/>
        <v>133187</v>
      </c>
      <c r="BI45" s="4791">
        <f t="shared" si="17"/>
        <v>3926</v>
      </c>
      <c r="BJ45" s="6383">
        <f t="shared" si="18"/>
        <v>3720</v>
      </c>
      <c r="BN45" s="2796"/>
      <c r="BO45" s="2796"/>
      <c r="BP45" s="2796"/>
      <c r="BQ45" s="2796"/>
      <c r="BR45" s="2796"/>
      <c r="BS45" s="2796"/>
      <c r="BT45" s="2796"/>
      <c r="BU45" s="2796"/>
      <c r="BV45" s="2796"/>
      <c r="BW45" s="2796"/>
      <c r="BX45" s="2796"/>
      <c r="BY45" s="2796"/>
    </row>
    <row r="46" spans="1:77" ht="15.45" thickBot="1" x14ac:dyDescent="0.6">
      <c r="A46" s="7343"/>
      <c r="B46" s="7336"/>
      <c r="C46" s="7335"/>
      <c r="D46" s="4833" t="s">
        <v>759</v>
      </c>
      <c r="E46" s="4833">
        <v>71419</v>
      </c>
      <c r="F46" s="4833">
        <v>70773</v>
      </c>
      <c r="G46" s="4833">
        <v>70069</v>
      </c>
      <c r="H46" s="4833">
        <v>73331</v>
      </c>
      <c r="I46" s="4833">
        <v>72779</v>
      </c>
      <c r="J46" s="4833">
        <v>75303</v>
      </c>
      <c r="K46" s="4833">
        <v>74595</v>
      </c>
      <c r="L46" s="4833">
        <v>74939</v>
      </c>
      <c r="M46" s="4833">
        <v>73477</v>
      </c>
      <c r="N46" s="4833">
        <v>73057</v>
      </c>
      <c r="O46" s="4833">
        <v>71144</v>
      </c>
      <c r="P46" s="4833">
        <v>70514</v>
      </c>
      <c r="Q46" s="4833">
        <f t="shared" si="19"/>
        <v>70514</v>
      </c>
      <c r="R46" s="5998">
        <f t="shared" si="14"/>
        <v>72616.666666666672</v>
      </c>
      <c r="S46" s="4814">
        <v>68122</v>
      </c>
      <c r="T46" s="4814">
        <v>69161</v>
      </c>
      <c r="U46" s="4814">
        <v>69954</v>
      </c>
      <c r="V46" s="4814">
        <v>60657</v>
      </c>
      <c r="W46" s="4814">
        <v>50056</v>
      </c>
      <c r="X46" s="4814">
        <v>49563</v>
      </c>
      <c r="Y46" s="4814">
        <v>49156</v>
      </c>
      <c r="Z46" s="4814">
        <v>48573</v>
      </c>
      <c r="AA46" s="4814">
        <v>47683</v>
      </c>
      <c r="AB46" s="4814">
        <v>47199</v>
      </c>
      <c r="AC46" s="4814">
        <v>45724</v>
      </c>
      <c r="AD46" s="4814">
        <v>45425</v>
      </c>
      <c r="AE46" s="4814">
        <f t="shared" si="20"/>
        <v>45425</v>
      </c>
      <c r="AF46" s="5998">
        <f t="shared" si="15"/>
        <v>54272.75</v>
      </c>
      <c r="AG46" s="4814">
        <v>45005</v>
      </c>
      <c r="AH46" s="4814">
        <v>44403</v>
      </c>
      <c r="AI46" s="4814">
        <v>44108</v>
      </c>
      <c r="AJ46" s="4814">
        <v>43675</v>
      </c>
      <c r="AK46" s="4814">
        <v>41389</v>
      </c>
      <c r="AL46" s="4814">
        <v>40521</v>
      </c>
      <c r="AM46" s="4814">
        <v>39687</v>
      </c>
      <c r="AN46" s="4814">
        <v>36827</v>
      </c>
      <c r="AO46" s="4814">
        <v>35692</v>
      </c>
      <c r="AP46" s="4814">
        <v>35670</v>
      </c>
      <c r="AQ46" s="4814">
        <v>34175</v>
      </c>
      <c r="AR46" s="4814">
        <v>33623</v>
      </c>
      <c r="AS46" s="4814">
        <f t="shared" si="23"/>
        <v>33623</v>
      </c>
      <c r="AT46" s="4833">
        <f t="shared" si="16"/>
        <v>39564.583333333336</v>
      </c>
      <c r="AU46" s="4834">
        <v>33466</v>
      </c>
      <c r="AV46" s="4814">
        <v>131674</v>
      </c>
      <c r="AW46" s="4814"/>
      <c r="AX46" s="4814"/>
      <c r="AY46" s="4814"/>
      <c r="AZ46" s="4814"/>
      <c r="BA46" s="4814"/>
      <c r="BB46" s="4814"/>
      <c r="BC46" s="4814"/>
      <c r="BD46" s="4814"/>
      <c r="BE46" s="4814"/>
      <c r="BF46" s="4814"/>
      <c r="BG46" s="4814">
        <f t="shared" si="24"/>
        <v>33466</v>
      </c>
      <c r="BH46" s="4833">
        <f t="shared" si="25"/>
        <v>82570</v>
      </c>
      <c r="BI46" s="4832">
        <f t="shared" si="17"/>
        <v>98208</v>
      </c>
      <c r="BJ46" s="6389">
        <f t="shared" si="18"/>
        <v>98051</v>
      </c>
      <c r="BN46" s="2796"/>
      <c r="BO46" s="2796"/>
      <c r="BP46" s="2796"/>
      <c r="BQ46" s="2796"/>
      <c r="BR46" s="2796"/>
      <c r="BS46" s="2796"/>
      <c r="BT46" s="2796"/>
      <c r="BU46" s="2796"/>
      <c r="BV46" s="2796"/>
      <c r="BW46" s="2796"/>
      <c r="BX46" s="2796"/>
      <c r="BY46" s="2796"/>
    </row>
    <row r="47" spans="1:77" x14ac:dyDescent="0.55000000000000004">
      <c r="C47" s="4689" t="s">
        <v>762</v>
      </c>
    </row>
    <row r="48" spans="1:77" ht="15.45" thickBot="1" x14ac:dyDescent="0.6">
      <c r="A48" s="556"/>
      <c r="B48" s="556"/>
      <c r="C48" s="2821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6"/>
      <c r="P48" s="556"/>
      <c r="Q48" s="556"/>
      <c r="R48" s="556"/>
      <c r="S48" s="556"/>
      <c r="T48" s="556"/>
      <c r="U48" s="556"/>
      <c r="V48" s="556"/>
      <c r="W48" s="556"/>
      <c r="X48" s="556"/>
      <c r="Y48" s="556"/>
      <c r="Z48" s="556"/>
      <c r="AA48" s="556"/>
      <c r="AB48" s="556"/>
      <c r="AC48" s="556"/>
      <c r="AD48" s="556"/>
      <c r="AE48" s="556"/>
      <c r="AF48" s="556"/>
      <c r="AG48" s="556"/>
      <c r="AH48" s="556"/>
      <c r="AI48" s="556"/>
      <c r="AJ48" s="556"/>
      <c r="AK48" s="556"/>
      <c r="AL48" s="556"/>
      <c r="AM48" s="556"/>
      <c r="AN48" s="556"/>
      <c r="AO48" s="556"/>
      <c r="AP48" s="556"/>
      <c r="AQ48" s="556"/>
      <c r="AR48" s="556"/>
      <c r="AS48" s="556"/>
      <c r="AT48" s="556"/>
      <c r="AW48" s="556"/>
      <c r="AX48" s="556"/>
      <c r="AY48" s="556"/>
      <c r="AZ48" s="556"/>
      <c r="BA48" s="556"/>
      <c r="BB48" s="556"/>
      <c r="BC48" s="556"/>
      <c r="BD48" s="556"/>
      <c r="BE48" s="556"/>
      <c r="BF48" s="556"/>
      <c r="BG48" s="556"/>
      <c r="BH48" s="556"/>
    </row>
    <row r="49" spans="1:77" ht="16.75" thickBot="1" x14ac:dyDescent="0.6">
      <c r="A49" s="5974"/>
      <c r="B49" s="5974"/>
      <c r="C49" s="5983"/>
      <c r="D49" s="5984"/>
      <c r="E49" s="5985" t="s">
        <v>490</v>
      </c>
      <c r="F49" s="5986" t="s">
        <v>352</v>
      </c>
      <c r="G49" s="5986" t="s">
        <v>353</v>
      </c>
      <c r="H49" s="5986" t="s">
        <v>354</v>
      </c>
      <c r="I49" s="5986" t="s">
        <v>355</v>
      </c>
      <c r="J49" s="5986" t="s">
        <v>356</v>
      </c>
      <c r="K49" s="5986" t="s">
        <v>357</v>
      </c>
      <c r="L49" s="5986" t="s">
        <v>358</v>
      </c>
      <c r="M49" s="5986" t="s">
        <v>359</v>
      </c>
      <c r="N49" s="5986" t="s">
        <v>360</v>
      </c>
      <c r="O49" s="5986" t="s">
        <v>361</v>
      </c>
      <c r="P49" s="5986" t="s">
        <v>362</v>
      </c>
      <c r="Q49" s="5987" t="s">
        <v>393</v>
      </c>
      <c r="R49" s="5989" t="s">
        <v>350</v>
      </c>
      <c r="S49" s="5988" t="s">
        <v>502</v>
      </c>
      <c r="T49" s="5986" t="s">
        <v>3</v>
      </c>
      <c r="U49" s="5986" t="s">
        <v>503</v>
      </c>
      <c r="V49" s="5986" t="s">
        <v>341</v>
      </c>
      <c r="W49" s="5986" t="s">
        <v>342</v>
      </c>
      <c r="X49" s="5986" t="s">
        <v>343</v>
      </c>
      <c r="Y49" s="5986" t="s">
        <v>344</v>
      </c>
      <c r="Z49" s="5986" t="s">
        <v>345</v>
      </c>
      <c r="AA49" s="5986" t="s">
        <v>346</v>
      </c>
      <c r="AB49" s="5986" t="s">
        <v>347</v>
      </c>
      <c r="AC49" s="5986" t="s">
        <v>348</v>
      </c>
      <c r="AD49" s="5986" t="s">
        <v>349</v>
      </c>
      <c r="AE49" s="5986" t="s">
        <v>394</v>
      </c>
      <c r="AF49" s="5991" t="s">
        <v>350</v>
      </c>
      <c r="AG49" s="5988" t="s">
        <v>940</v>
      </c>
      <c r="AH49" s="5986" t="s">
        <v>942</v>
      </c>
      <c r="AI49" s="5986" t="s">
        <v>944</v>
      </c>
      <c r="AJ49" s="5986" t="s">
        <v>945</v>
      </c>
      <c r="AK49" s="5986" t="s">
        <v>946</v>
      </c>
      <c r="AL49" s="5986" t="s">
        <v>947</v>
      </c>
      <c r="AM49" s="5986" t="s">
        <v>948</v>
      </c>
      <c r="AN49" s="5986" t="s">
        <v>949</v>
      </c>
      <c r="AO49" s="5986" t="s">
        <v>950</v>
      </c>
      <c r="AP49" s="5986" t="s">
        <v>951</v>
      </c>
      <c r="AQ49" s="5986" t="s">
        <v>952</v>
      </c>
      <c r="AR49" s="5986" t="s">
        <v>953</v>
      </c>
      <c r="AS49" s="5986" t="s">
        <v>956</v>
      </c>
      <c r="AT49" s="5991" t="s">
        <v>350</v>
      </c>
      <c r="AU49" s="5988" t="s">
        <v>1122</v>
      </c>
      <c r="AV49" s="5986" t="s">
        <v>1072</v>
      </c>
      <c r="AW49" s="5986" t="s">
        <v>1073</v>
      </c>
      <c r="AX49" s="5986" t="s">
        <v>1074</v>
      </c>
      <c r="AY49" s="5986" t="s">
        <v>1075</v>
      </c>
      <c r="AZ49" s="5986" t="s">
        <v>1076</v>
      </c>
      <c r="BA49" s="5986" t="s">
        <v>1077</v>
      </c>
      <c r="BB49" s="5986" t="s">
        <v>1078</v>
      </c>
      <c r="BC49" s="5986" t="s">
        <v>1079</v>
      </c>
      <c r="BD49" s="5986" t="s">
        <v>1080</v>
      </c>
      <c r="BE49" s="5986" t="s">
        <v>1081</v>
      </c>
      <c r="BF49" s="5986" t="s">
        <v>1082</v>
      </c>
      <c r="BG49" s="5986" t="s">
        <v>1165</v>
      </c>
      <c r="BH49" s="5986" t="s">
        <v>350</v>
      </c>
      <c r="BN49" s="4825"/>
      <c r="BO49" s="4825"/>
      <c r="BP49" s="4825"/>
      <c r="BQ49" s="4825"/>
      <c r="BR49" s="4825"/>
      <c r="BS49" s="4825"/>
      <c r="BT49" s="4825"/>
      <c r="BU49" s="4825"/>
      <c r="BV49" s="4825"/>
      <c r="BW49" s="4825"/>
      <c r="BX49" s="4825"/>
      <c r="BY49" s="4825"/>
    </row>
    <row r="50" spans="1:77" ht="21.55" customHeight="1" x14ac:dyDescent="0.55000000000000004">
      <c r="A50" s="7328" t="s">
        <v>1183</v>
      </c>
      <c r="B50" s="7331" t="s">
        <v>1180</v>
      </c>
      <c r="C50" s="5982" t="s">
        <v>1181</v>
      </c>
      <c r="D50" s="5982"/>
      <c r="E50" s="5982"/>
      <c r="F50" s="5982"/>
      <c r="G50" s="5982"/>
      <c r="H50" s="5982"/>
      <c r="I50" s="5982"/>
      <c r="J50" s="5982"/>
      <c r="K50" s="5982"/>
      <c r="L50" s="5982"/>
      <c r="M50" s="5982"/>
      <c r="N50" s="5982"/>
      <c r="O50" s="5982"/>
      <c r="P50" s="5982"/>
      <c r="Q50" s="5982"/>
      <c r="R50" s="5990"/>
      <c r="S50" s="5982"/>
      <c r="T50" s="5982"/>
      <c r="U50" s="5982"/>
      <c r="V50" s="5982"/>
      <c r="W50" s="5982"/>
      <c r="X50" s="5982"/>
      <c r="Y50" s="5982"/>
      <c r="Z50" s="5982"/>
      <c r="AA50" s="5982"/>
      <c r="AB50" s="5982"/>
      <c r="AC50" s="5982"/>
      <c r="AD50" s="5982"/>
      <c r="AE50" s="5982"/>
      <c r="AF50" s="5990"/>
      <c r="AG50" s="5982"/>
      <c r="AH50" s="5982"/>
      <c r="AI50" s="5982"/>
      <c r="AJ50" s="5982"/>
      <c r="AK50" s="5982"/>
      <c r="AL50" s="5982"/>
      <c r="AM50" s="5982"/>
      <c r="AN50" s="5982"/>
      <c r="AO50" s="5982"/>
      <c r="AP50" s="5982"/>
      <c r="AQ50" s="5982"/>
      <c r="AR50" s="5982"/>
      <c r="AS50" s="5462">
        <f>SUM(AG50:AR50)</f>
        <v>0</v>
      </c>
      <c r="AT50" s="5990" t="e">
        <f>AVERAGE(AG50:AR50)</f>
        <v>#DIV/0!</v>
      </c>
      <c r="AU50" s="6354">
        <f>SUM(AU51:AU53)</f>
        <v>1519</v>
      </c>
      <c r="AV50" s="6354">
        <f>SUM(AV51:AV53)</f>
        <v>561</v>
      </c>
      <c r="AW50" s="6354">
        <f t="shared" ref="AW50:BF50" si="26">SUM(AW51:AW53)</f>
        <v>0</v>
      </c>
      <c r="AX50" s="6354">
        <f t="shared" si="26"/>
        <v>0</v>
      </c>
      <c r="AY50" s="6354">
        <f t="shared" si="26"/>
        <v>0</v>
      </c>
      <c r="AZ50" s="6354">
        <f t="shared" si="26"/>
        <v>0</v>
      </c>
      <c r="BA50" s="6354">
        <f t="shared" si="26"/>
        <v>0</v>
      </c>
      <c r="BB50" s="6354">
        <f t="shared" si="26"/>
        <v>0</v>
      </c>
      <c r="BC50" s="6354">
        <f t="shared" si="26"/>
        <v>0</v>
      </c>
      <c r="BD50" s="6354">
        <f t="shared" si="26"/>
        <v>0</v>
      </c>
      <c r="BE50" s="6354">
        <f t="shared" si="26"/>
        <v>0</v>
      </c>
      <c r="BF50" s="6354">
        <f t="shared" si="26"/>
        <v>0</v>
      </c>
      <c r="BG50" s="5462">
        <f>SUM(AU50:BF50)</f>
        <v>2080</v>
      </c>
      <c r="BH50" s="5982">
        <f>AVERAGE(AU50:BF50)</f>
        <v>173.33333333333334</v>
      </c>
    </row>
    <row r="51" spans="1:77" ht="21.55" customHeight="1" x14ac:dyDescent="0.55000000000000004">
      <c r="A51" s="7329"/>
      <c r="B51" s="7331"/>
      <c r="C51" s="2821" t="s">
        <v>962</v>
      </c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972"/>
      <c r="S51" s="556"/>
      <c r="T51" s="556"/>
      <c r="U51" s="556"/>
      <c r="V51" s="556"/>
      <c r="W51" s="556"/>
      <c r="X51" s="556"/>
      <c r="Y51" s="556"/>
      <c r="Z51" s="556"/>
      <c r="AA51" s="556"/>
      <c r="AB51" s="556"/>
      <c r="AC51" s="556"/>
      <c r="AD51" s="556"/>
      <c r="AE51" s="556"/>
      <c r="AF51" s="5972"/>
      <c r="AG51" s="556"/>
      <c r="AH51" s="556"/>
      <c r="AI51" s="556"/>
      <c r="AJ51" s="556"/>
      <c r="AK51" s="556"/>
      <c r="AL51" s="556"/>
      <c r="AM51" s="556"/>
      <c r="AN51" s="556"/>
      <c r="AO51" s="556"/>
      <c r="AP51" s="556"/>
      <c r="AQ51" s="556"/>
      <c r="AR51" s="556"/>
      <c r="AS51" s="3304">
        <f t="shared" ref="AS51:AS56" si="27">SUM(AG51:AR51)</f>
        <v>0</v>
      </c>
      <c r="AT51" s="5972" t="e">
        <f t="shared" ref="AT51:AT56" si="28">AVERAGE(AG51:AR51)</f>
        <v>#DIV/0!</v>
      </c>
      <c r="AU51" s="2612">
        <v>1185</v>
      </c>
      <c r="AV51" s="2612"/>
      <c r="AW51" s="556"/>
      <c r="AX51" s="556"/>
      <c r="AY51" s="556"/>
      <c r="AZ51" s="556"/>
      <c r="BA51" s="556"/>
      <c r="BB51" s="556"/>
      <c r="BC51" s="556"/>
      <c r="BD51" s="556"/>
      <c r="BE51" s="556"/>
      <c r="BF51" s="556"/>
      <c r="BG51" s="3304">
        <f t="shared" ref="BG51:BG56" si="29">SUM(AU51:BF51)</f>
        <v>1185</v>
      </c>
      <c r="BH51" s="556">
        <f t="shared" ref="BH51:BH56" si="30">AVERAGE(AU51:BF51)</f>
        <v>1185</v>
      </c>
    </row>
    <row r="52" spans="1:77" ht="21.55" customHeight="1" x14ac:dyDescent="0.55000000000000004">
      <c r="A52" s="7329"/>
      <c r="B52" s="7331"/>
      <c r="C52" s="2821" t="s">
        <v>1182</v>
      </c>
      <c r="D52" s="556"/>
      <c r="E52" s="556"/>
      <c r="F52" s="556"/>
      <c r="G52" s="556"/>
      <c r="H52" s="556"/>
      <c r="I52" s="556"/>
      <c r="J52" s="556"/>
      <c r="K52" s="556"/>
      <c r="L52" s="556"/>
      <c r="M52" s="556"/>
      <c r="N52" s="556"/>
      <c r="O52" s="556"/>
      <c r="P52" s="556"/>
      <c r="Q52" s="556"/>
      <c r="R52" s="5972"/>
      <c r="S52" s="556"/>
      <c r="T52" s="556"/>
      <c r="U52" s="556"/>
      <c r="V52" s="556"/>
      <c r="W52" s="556"/>
      <c r="X52" s="556"/>
      <c r="Y52" s="556"/>
      <c r="Z52" s="556"/>
      <c r="AA52" s="556"/>
      <c r="AB52" s="556"/>
      <c r="AC52" s="556"/>
      <c r="AD52" s="556"/>
      <c r="AE52" s="556"/>
      <c r="AF52" s="5972"/>
      <c r="AG52" s="556"/>
      <c r="AH52" s="556"/>
      <c r="AI52" s="556"/>
      <c r="AJ52" s="556"/>
      <c r="AK52" s="556"/>
      <c r="AL52" s="556"/>
      <c r="AM52" s="556"/>
      <c r="AN52" s="556"/>
      <c r="AO52" s="556"/>
      <c r="AP52" s="556"/>
      <c r="AQ52" s="556"/>
      <c r="AR52" s="556"/>
      <c r="AS52" s="3304">
        <f t="shared" si="27"/>
        <v>0</v>
      </c>
      <c r="AT52" s="5972" t="e">
        <f t="shared" si="28"/>
        <v>#DIV/0!</v>
      </c>
      <c r="AU52" s="2612">
        <v>334</v>
      </c>
      <c r="AV52" s="2612">
        <v>561</v>
      </c>
      <c r="AW52" s="556"/>
      <c r="AX52" s="556"/>
      <c r="AY52" s="556"/>
      <c r="AZ52" s="556"/>
      <c r="BA52" s="556"/>
      <c r="BB52" s="556"/>
      <c r="BC52" s="556"/>
      <c r="BD52" s="556"/>
      <c r="BE52" s="556"/>
      <c r="BF52" s="556"/>
      <c r="BG52" s="3304">
        <f t="shared" si="29"/>
        <v>895</v>
      </c>
      <c r="BH52" s="556">
        <f t="shared" si="30"/>
        <v>447.5</v>
      </c>
    </row>
    <row r="53" spans="1:77" ht="21.55" customHeight="1" thickBot="1" x14ac:dyDescent="0.6">
      <c r="A53" s="7329"/>
      <c r="B53" s="7332"/>
      <c r="C53" s="5973" t="s">
        <v>66</v>
      </c>
      <c r="D53" s="5974"/>
      <c r="E53" s="5974"/>
      <c r="F53" s="5974"/>
      <c r="G53" s="5974"/>
      <c r="H53" s="5974"/>
      <c r="I53" s="5974"/>
      <c r="J53" s="5974"/>
      <c r="K53" s="5974"/>
      <c r="L53" s="5974"/>
      <c r="M53" s="5974"/>
      <c r="N53" s="5974"/>
      <c r="O53" s="5974"/>
      <c r="P53" s="5974"/>
      <c r="Q53" s="5974"/>
      <c r="R53" s="5975"/>
      <c r="S53" s="5974"/>
      <c r="T53" s="5974"/>
      <c r="U53" s="5974"/>
      <c r="V53" s="5974"/>
      <c r="W53" s="5974"/>
      <c r="X53" s="5974"/>
      <c r="Y53" s="5974"/>
      <c r="Z53" s="5974"/>
      <c r="AA53" s="5974"/>
      <c r="AB53" s="5974"/>
      <c r="AC53" s="5974"/>
      <c r="AD53" s="5974"/>
      <c r="AE53" s="5974"/>
      <c r="AF53" s="5975"/>
      <c r="AG53" s="5974"/>
      <c r="AH53" s="5974"/>
      <c r="AI53" s="5974"/>
      <c r="AJ53" s="5974"/>
      <c r="AK53" s="5974"/>
      <c r="AL53" s="5974"/>
      <c r="AM53" s="5974"/>
      <c r="AN53" s="5974"/>
      <c r="AO53" s="5974"/>
      <c r="AP53" s="5974"/>
      <c r="AQ53" s="5974"/>
      <c r="AR53" s="5974"/>
      <c r="AS53" s="5980">
        <f t="shared" si="27"/>
        <v>0</v>
      </c>
      <c r="AT53" s="5975" t="e">
        <f t="shared" si="28"/>
        <v>#DIV/0!</v>
      </c>
      <c r="AU53" s="6355"/>
      <c r="AV53" s="6355"/>
      <c r="AW53" s="5974"/>
      <c r="AX53" s="5974"/>
      <c r="AY53" s="5974"/>
      <c r="AZ53" s="5974"/>
      <c r="BA53" s="5974"/>
      <c r="BB53" s="5974"/>
      <c r="BC53" s="5974"/>
      <c r="BD53" s="5974"/>
      <c r="BE53" s="5974"/>
      <c r="BF53" s="5974"/>
      <c r="BG53" s="5980">
        <f t="shared" si="29"/>
        <v>0</v>
      </c>
      <c r="BH53" s="5974" t="e">
        <f t="shared" si="30"/>
        <v>#DIV/0!</v>
      </c>
    </row>
    <row r="54" spans="1:77" x14ac:dyDescent="0.55000000000000004">
      <c r="A54" s="7329"/>
      <c r="B54" s="7330" t="s">
        <v>1184</v>
      </c>
      <c r="C54" s="5971" t="s">
        <v>1181</v>
      </c>
      <c r="D54" s="5976"/>
      <c r="E54" s="5976"/>
      <c r="F54" s="5976"/>
      <c r="G54" s="5976"/>
      <c r="H54" s="5976"/>
      <c r="I54" s="5976"/>
      <c r="J54" s="5976"/>
      <c r="K54" s="5976"/>
      <c r="L54" s="5976"/>
      <c r="M54" s="5976"/>
      <c r="N54" s="5976"/>
      <c r="O54" s="5976"/>
      <c r="P54" s="5976"/>
      <c r="Q54" s="5976"/>
      <c r="R54" s="5977"/>
      <c r="S54" s="5976"/>
      <c r="T54" s="5976"/>
      <c r="U54" s="5976"/>
      <c r="V54" s="5976"/>
      <c r="W54" s="5976"/>
      <c r="X54" s="5976"/>
      <c r="Y54" s="5976"/>
      <c r="Z54" s="5976"/>
      <c r="AA54" s="5976"/>
      <c r="AB54" s="5976"/>
      <c r="AC54" s="5976"/>
      <c r="AD54" s="5976"/>
      <c r="AE54" s="5976"/>
      <c r="AF54" s="5977"/>
      <c r="AG54" s="5976"/>
      <c r="AH54" s="5976"/>
      <c r="AI54" s="5976"/>
      <c r="AJ54" s="5976"/>
      <c r="AK54" s="5976"/>
      <c r="AL54" s="5976"/>
      <c r="AM54" s="5976"/>
      <c r="AN54" s="5976"/>
      <c r="AO54" s="5976"/>
      <c r="AP54" s="5976"/>
      <c r="AQ54" s="5976"/>
      <c r="AR54" s="5976"/>
      <c r="AS54" s="5981">
        <f t="shared" si="27"/>
        <v>0</v>
      </c>
      <c r="AT54" s="5977" t="e">
        <f t="shared" si="28"/>
        <v>#DIV/0!</v>
      </c>
      <c r="AU54" s="6356">
        <f>SUM(AU55:AU56)</f>
        <v>1133</v>
      </c>
      <c r="AV54" s="6356">
        <f t="shared" ref="AV54:BF54" si="31">SUM(AV55:AV56)</f>
        <v>188</v>
      </c>
      <c r="AW54" s="6356">
        <f t="shared" si="31"/>
        <v>0</v>
      </c>
      <c r="AX54" s="6356">
        <f t="shared" si="31"/>
        <v>0</v>
      </c>
      <c r="AY54" s="6356">
        <f t="shared" si="31"/>
        <v>0</v>
      </c>
      <c r="AZ54" s="6356">
        <f t="shared" si="31"/>
        <v>0</v>
      </c>
      <c r="BA54" s="6356">
        <f t="shared" si="31"/>
        <v>0</v>
      </c>
      <c r="BB54" s="6356">
        <f t="shared" si="31"/>
        <v>0</v>
      </c>
      <c r="BC54" s="6356">
        <f t="shared" si="31"/>
        <v>0</v>
      </c>
      <c r="BD54" s="6356">
        <f t="shared" si="31"/>
        <v>0</v>
      </c>
      <c r="BE54" s="6356">
        <f t="shared" si="31"/>
        <v>0</v>
      </c>
      <c r="BF54" s="6356">
        <f t="shared" si="31"/>
        <v>0</v>
      </c>
      <c r="BG54" s="5981">
        <f t="shared" si="29"/>
        <v>1321</v>
      </c>
      <c r="BH54" s="5976">
        <f t="shared" si="30"/>
        <v>110.08333333333333</v>
      </c>
    </row>
    <row r="55" spans="1:77" x14ac:dyDescent="0.55000000000000004">
      <c r="A55" s="7329"/>
      <c r="B55" s="7331"/>
      <c r="C55" s="2821" t="s">
        <v>1185</v>
      </c>
      <c r="D55" s="556"/>
      <c r="E55" s="556"/>
      <c r="F55" s="556"/>
      <c r="G55" s="556"/>
      <c r="H55" s="556"/>
      <c r="I55" s="556"/>
      <c r="J55" s="556"/>
      <c r="K55" s="556"/>
      <c r="L55" s="556"/>
      <c r="M55" s="556"/>
      <c r="N55" s="556"/>
      <c r="O55" s="556"/>
      <c r="P55" s="556"/>
      <c r="Q55" s="556"/>
      <c r="R55" s="5972"/>
      <c r="S55" s="556"/>
      <c r="T55" s="556"/>
      <c r="U55" s="556"/>
      <c r="V55" s="556"/>
      <c r="W55" s="556"/>
      <c r="X55" s="556"/>
      <c r="Y55" s="556"/>
      <c r="Z55" s="556"/>
      <c r="AA55" s="556"/>
      <c r="AB55" s="556"/>
      <c r="AC55" s="556"/>
      <c r="AD55" s="556"/>
      <c r="AE55" s="556"/>
      <c r="AF55" s="5972"/>
      <c r="AG55" s="556"/>
      <c r="AH55" s="556"/>
      <c r="AI55" s="556"/>
      <c r="AJ55" s="556"/>
      <c r="AK55" s="556"/>
      <c r="AL55" s="556"/>
      <c r="AM55" s="556"/>
      <c r="AN55" s="556"/>
      <c r="AO55" s="556"/>
      <c r="AP55" s="556"/>
      <c r="AQ55" s="556"/>
      <c r="AR55" s="556"/>
      <c r="AS55" s="3304">
        <f t="shared" si="27"/>
        <v>0</v>
      </c>
      <c r="AT55" s="5972" t="e">
        <f t="shared" si="28"/>
        <v>#DIV/0!</v>
      </c>
      <c r="AU55" s="2612"/>
      <c r="AV55" s="2612"/>
      <c r="AW55" s="556"/>
      <c r="AX55" s="556"/>
      <c r="AY55" s="556"/>
      <c r="AZ55" s="556"/>
      <c r="BA55" s="556"/>
      <c r="BB55" s="556"/>
      <c r="BC55" s="556"/>
      <c r="BD55" s="556"/>
      <c r="BE55" s="556"/>
      <c r="BF55" s="556"/>
      <c r="BG55" s="3304">
        <f t="shared" si="29"/>
        <v>0</v>
      </c>
      <c r="BH55" s="556" t="e">
        <f t="shared" si="30"/>
        <v>#DIV/0!</v>
      </c>
    </row>
    <row r="56" spans="1:77" ht="15.45" thickBot="1" x14ac:dyDescent="0.6">
      <c r="A56" s="7329"/>
      <c r="B56" s="7332"/>
      <c r="C56" s="5973" t="s">
        <v>1186</v>
      </c>
      <c r="D56" s="5974"/>
      <c r="E56" s="5974"/>
      <c r="F56" s="5974"/>
      <c r="G56" s="5974"/>
      <c r="H56" s="5974"/>
      <c r="I56" s="5974"/>
      <c r="J56" s="5974"/>
      <c r="K56" s="5974"/>
      <c r="L56" s="5974"/>
      <c r="M56" s="5974"/>
      <c r="N56" s="5974"/>
      <c r="O56" s="5974"/>
      <c r="P56" s="5974"/>
      <c r="Q56" s="5974"/>
      <c r="R56" s="5975"/>
      <c r="S56" s="5974"/>
      <c r="T56" s="5974"/>
      <c r="U56" s="5974"/>
      <c r="V56" s="5974"/>
      <c r="W56" s="5974"/>
      <c r="X56" s="5974"/>
      <c r="Y56" s="5974"/>
      <c r="Z56" s="5974"/>
      <c r="AA56" s="5974"/>
      <c r="AB56" s="5974"/>
      <c r="AC56" s="5974"/>
      <c r="AD56" s="5974"/>
      <c r="AE56" s="5974"/>
      <c r="AF56" s="5975"/>
      <c r="AG56" s="5974"/>
      <c r="AH56" s="5974"/>
      <c r="AI56" s="5974"/>
      <c r="AJ56" s="5974"/>
      <c r="AK56" s="5974"/>
      <c r="AL56" s="5974"/>
      <c r="AM56" s="5974"/>
      <c r="AN56" s="5974"/>
      <c r="AO56" s="5974"/>
      <c r="AP56" s="5974"/>
      <c r="AQ56" s="5974"/>
      <c r="AR56" s="5974"/>
      <c r="AS56" s="5980">
        <f t="shared" si="27"/>
        <v>0</v>
      </c>
      <c r="AT56" s="5975" t="e">
        <f t="shared" si="28"/>
        <v>#DIV/0!</v>
      </c>
      <c r="AU56" s="6355">
        <v>1133</v>
      </c>
      <c r="AV56" s="6355">
        <v>188</v>
      </c>
      <c r="AW56" s="5974"/>
      <c r="AX56" s="5974"/>
      <c r="AY56" s="5974"/>
      <c r="AZ56" s="5974"/>
      <c r="BA56" s="5974"/>
      <c r="BB56" s="5974"/>
      <c r="BC56" s="5974"/>
      <c r="BD56" s="5974"/>
      <c r="BE56" s="5974"/>
      <c r="BF56" s="5974"/>
      <c r="BG56" s="5980">
        <f t="shared" si="29"/>
        <v>1321</v>
      </c>
      <c r="BH56" s="5974">
        <f t="shared" si="30"/>
        <v>660.5</v>
      </c>
    </row>
  </sheetData>
  <mergeCells count="19">
    <mergeCell ref="A6:A32"/>
    <mergeCell ref="B35:B38"/>
    <mergeCell ref="A35:A46"/>
    <mergeCell ref="B6:B14"/>
    <mergeCell ref="B24:B32"/>
    <mergeCell ref="B15:B23"/>
    <mergeCell ref="BK4:BL4"/>
    <mergeCell ref="C35:C36"/>
    <mergeCell ref="C37:C38"/>
    <mergeCell ref="AG4:BH4"/>
    <mergeCell ref="B39:B42"/>
    <mergeCell ref="A50:A56"/>
    <mergeCell ref="B54:B56"/>
    <mergeCell ref="B50:B53"/>
    <mergeCell ref="C39:C40"/>
    <mergeCell ref="C41:C42"/>
    <mergeCell ref="C43:C44"/>
    <mergeCell ref="C45:C46"/>
    <mergeCell ref="B43:B46"/>
  </mergeCells>
  <phoneticPr fontId="1" type="noConversion"/>
  <printOptions horizontalCentered="1"/>
  <pageMargins left="0.11811023622047245" right="0.11811023622047245" top="0.75" bottom="0.16" header="0.31496062992125984" footer="0.12"/>
  <pageSetup paperSize="9" scale="2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A5C9-BF6B-4D97-83BB-42EA729A4B01}">
  <sheetPr codeName="Sheet11">
    <tabColor theme="9" tint="0.79998168889431442"/>
  </sheetPr>
  <dimension ref="A1:BO81"/>
  <sheetViews>
    <sheetView showGridLines="0" zoomScale="40" zoomScaleNormal="40" workbookViewId="0">
      <pane xSplit="3" topLeftCell="D1" activePane="topRight" state="frozen"/>
      <selection activeCell="C499" sqref="C499"/>
      <selection pane="topRight" activeCell="BZ28" sqref="A28:BZ37"/>
    </sheetView>
  </sheetViews>
  <sheetFormatPr defaultColWidth="9.140625" defaultRowHeight="15" outlineLevelCol="1" x14ac:dyDescent="0.55000000000000004"/>
  <cols>
    <col min="1" max="1" width="15.2109375" style="559" customWidth="1"/>
    <col min="2" max="2" width="15.85546875" style="559" bestFit="1" customWidth="1"/>
    <col min="3" max="3" width="15.35546875" style="559" bestFit="1" customWidth="1"/>
    <col min="4" max="15" width="8.640625" style="559" hidden="1" customWidth="1" outlineLevel="1"/>
    <col min="16" max="16" width="9.35546875" style="559" customWidth="1" collapsed="1"/>
    <col min="17" max="17" width="9.85546875" style="559" customWidth="1"/>
    <col min="18" max="18" width="4" style="559" customWidth="1"/>
    <col min="19" max="30" width="8.640625" style="559" hidden="1" customWidth="1" outlineLevel="1"/>
    <col min="31" max="31" width="9.140625" style="559" collapsed="1"/>
    <col min="32" max="32" width="9.140625" style="559"/>
    <col min="33" max="33" width="4" style="559" customWidth="1"/>
    <col min="34" max="45" width="8.640625" style="559" hidden="1" customWidth="1" outlineLevel="1"/>
    <col min="46" max="46" width="9.140625" style="559" collapsed="1"/>
    <col min="47" max="47" width="9.140625" style="559"/>
    <col min="48" max="48" width="4" style="559" customWidth="1"/>
    <col min="49" max="60" width="8.640625" style="559" customWidth="1" outlineLevel="1"/>
    <col min="61" max="63" width="9.140625" style="559"/>
    <col min="64" max="64" width="12.7109375" style="559" customWidth="1"/>
    <col min="65" max="65" width="15.5" style="559" customWidth="1"/>
    <col min="66" max="66" width="23" style="559" customWidth="1"/>
    <col min="67" max="67" width="12.140625" style="559" customWidth="1"/>
    <col min="68" max="16384" width="9.140625" style="559"/>
  </cols>
  <sheetData>
    <row r="1" spans="1:67" x14ac:dyDescent="0.55000000000000004">
      <c r="A1" s="4516">
        <f>'0. 개요'!AE2</f>
        <v>46054</v>
      </c>
      <c r="B1" s="4393">
        <f>'※ 영기팀 작성_가입자'!B1</f>
        <v>11.000999999999999</v>
      </c>
      <c r="BN1" s="4530" t="s">
        <v>452</v>
      </c>
    </row>
    <row r="2" spans="1:67" x14ac:dyDescent="0.55000000000000004">
      <c r="D2" s="3692">
        <v>1.0009999999999999</v>
      </c>
      <c r="E2" s="3692">
        <v>2.0009999999999999</v>
      </c>
      <c r="F2" s="3692">
        <v>3.0009999999999999</v>
      </c>
      <c r="G2" s="3692">
        <v>4.0010000000000003</v>
      </c>
      <c r="H2" s="3692">
        <v>5.0010000000000003</v>
      </c>
      <c r="I2" s="3692">
        <v>6.0010000000000003</v>
      </c>
      <c r="J2" s="3692">
        <v>7.0010000000000003</v>
      </c>
      <c r="K2" s="3692">
        <v>8.0009999999999994</v>
      </c>
      <c r="L2" s="3692">
        <v>9.0009999999999994</v>
      </c>
      <c r="M2" s="3692">
        <v>10.000999999999999</v>
      </c>
      <c r="N2" s="3692">
        <v>11.000999999999999</v>
      </c>
      <c r="O2" s="3692">
        <v>12.000999999999999</v>
      </c>
      <c r="S2" s="3692">
        <v>1.0009999999999999</v>
      </c>
      <c r="T2" s="3692">
        <v>2.0009999999999999</v>
      </c>
      <c r="U2" s="3692">
        <v>3.0009999999999999</v>
      </c>
      <c r="V2" s="3692">
        <v>4.0010000000000003</v>
      </c>
      <c r="W2" s="3692">
        <v>5.0010000000000003</v>
      </c>
      <c r="X2" s="3692">
        <v>6.0010000000000003</v>
      </c>
      <c r="Y2" s="3692">
        <v>7.0010000000000003</v>
      </c>
      <c r="Z2" s="3692">
        <v>8.0009999999999994</v>
      </c>
      <c r="AA2" s="3692">
        <v>9.0009999999999994</v>
      </c>
      <c r="AB2" s="3692">
        <v>10.000999999999999</v>
      </c>
      <c r="AC2" s="3692">
        <v>11.000999999999999</v>
      </c>
      <c r="AD2" s="3692">
        <v>12.000999999999999</v>
      </c>
      <c r="AH2" s="4477">
        <v>45658</v>
      </c>
      <c r="AI2" s="4477">
        <v>45689</v>
      </c>
      <c r="AJ2" s="4477">
        <v>45717</v>
      </c>
      <c r="AK2" s="4477">
        <v>45748</v>
      </c>
      <c r="AL2" s="4477">
        <v>45778</v>
      </c>
      <c r="AM2" s="4477">
        <v>45809</v>
      </c>
      <c r="AN2" s="4477">
        <v>45839</v>
      </c>
      <c r="AO2" s="4477">
        <v>45870</v>
      </c>
      <c r="AP2" s="4477">
        <v>45901</v>
      </c>
      <c r="AQ2" s="4477">
        <v>45931</v>
      </c>
      <c r="AR2" s="4477">
        <v>45962</v>
      </c>
      <c r="AS2" s="4477">
        <v>45992</v>
      </c>
      <c r="AW2" s="4477">
        <v>46023</v>
      </c>
      <c r="AX2" s="4477">
        <v>46054</v>
      </c>
      <c r="AY2" s="4477">
        <v>46082</v>
      </c>
      <c r="AZ2" s="4477">
        <v>46113</v>
      </c>
      <c r="BA2" s="4477">
        <v>46143</v>
      </c>
      <c r="BB2" s="4477">
        <v>46174</v>
      </c>
      <c r="BC2" s="4477">
        <v>46204</v>
      </c>
      <c r="BD2" s="4477">
        <v>46235</v>
      </c>
      <c r="BE2" s="4477">
        <v>46266</v>
      </c>
      <c r="BF2" s="4477">
        <v>46296</v>
      </c>
      <c r="BG2" s="4477">
        <v>46327</v>
      </c>
      <c r="BH2" s="4477">
        <v>46357</v>
      </c>
      <c r="BN2" s="4531" t="s">
        <v>679</v>
      </c>
    </row>
    <row r="3" spans="1:67" ht="16.75" thickBot="1" x14ac:dyDescent="0.6">
      <c r="B3" s="567"/>
      <c r="C3" s="4532" t="s">
        <v>602</v>
      </c>
      <c r="D3" s="6012" t="s">
        <v>553</v>
      </c>
      <c r="E3" s="6012" t="s">
        <v>574</v>
      </c>
      <c r="F3" s="6012" t="s">
        <v>555</v>
      </c>
      <c r="G3" s="6012" t="s">
        <v>556</v>
      </c>
      <c r="H3" s="6012" t="s">
        <v>557</v>
      </c>
      <c r="I3" s="6012" t="s">
        <v>558</v>
      </c>
      <c r="J3" s="6012" t="s">
        <v>559</v>
      </c>
      <c r="K3" s="6012" t="s">
        <v>560</v>
      </c>
      <c r="L3" s="6012" t="s">
        <v>561</v>
      </c>
      <c r="M3" s="6012" t="s">
        <v>562</v>
      </c>
      <c r="N3" s="6012" t="s">
        <v>563</v>
      </c>
      <c r="O3" s="6012" t="s">
        <v>564</v>
      </c>
      <c r="P3" s="4755" t="s">
        <v>393</v>
      </c>
      <c r="Q3" s="4755" t="s">
        <v>350</v>
      </c>
      <c r="R3" s="581"/>
      <c r="S3" s="4533" t="s">
        <v>2</v>
      </c>
      <c r="T3" s="4533" t="s">
        <v>608</v>
      </c>
      <c r="U3" s="4533" t="s">
        <v>503</v>
      </c>
      <c r="V3" s="4533" t="s">
        <v>341</v>
      </c>
      <c r="W3" s="4533" t="s">
        <v>342</v>
      </c>
      <c r="X3" s="4533" t="s">
        <v>343</v>
      </c>
      <c r="Y3" s="4533" t="s">
        <v>344</v>
      </c>
      <c r="Z3" s="4533" t="s">
        <v>345</v>
      </c>
      <c r="AA3" s="4533" t="s">
        <v>346</v>
      </c>
      <c r="AB3" s="4533" t="s">
        <v>347</v>
      </c>
      <c r="AC3" s="4533" t="s">
        <v>348</v>
      </c>
      <c r="AD3" s="4533" t="s">
        <v>349</v>
      </c>
      <c r="AE3" s="4755" t="s">
        <v>609</v>
      </c>
      <c r="AF3" s="4755" t="s">
        <v>610</v>
      </c>
      <c r="AG3" s="581"/>
      <c r="AH3" s="4534" t="s">
        <v>940</v>
      </c>
      <c r="AI3" s="4533" t="s">
        <v>942</v>
      </c>
      <c r="AJ3" s="4533" t="s">
        <v>944</v>
      </c>
      <c r="AK3" s="4533" t="s">
        <v>945</v>
      </c>
      <c r="AL3" s="4533" t="s">
        <v>946</v>
      </c>
      <c r="AM3" s="4533" t="s">
        <v>947</v>
      </c>
      <c r="AN3" s="4533" t="s">
        <v>948</v>
      </c>
      <c r="AO3" s="4533" t="s">
        <v>949</v>
      </c>
      <c r="AP3" s="4533" t="s">
        <v>950</v>
      </c>
      <c r="AQ3" s="4533" t="s">
        <v>951</v>
      </c>
      <c r="AR3" s="4533" t="s">
        <v>952</v>
      </c>
      <c r="AS3" s="4533" t="s">
        <v>953</v>
      </c>
      <c r="AT3" s="4755" t="s">
        <v>968</v>
      </c>
      <c r="AU3" s="4755" t="s">
        <v>610</v>
      </c>
      <c r="AV3" s="581"/>
      <c r="AW3" s="558" t="s">
        <v>1122</v>
      </c>
      <c r="AX3" s="4704" t="s">
        <v>1072</v>
      </c>
      <c r="AY3" s="558" t="s">
        <v>1073</v>
      </c>
      <c r="AZ3" s="558" t="s">
        <v>1074</v>
      </c>
      <c r="BA3" s="558" t="s">
        <v>1075</v>
      </c>
      <c r="BB3" s="558" t="s">
        <v>1076</v>
      </c>
      <c r="BC3" s="558" t="s">
        <v>1077</v>
      </c>
      <c r="BD3" s="558" t="s">
        <v>1078</v>
      </c>
      <c r="BE3" s="558" t="s">
        <v>1079</v>
      </c>
      <c r="BF3" s="558" t="s">
        <v>1080</v>
      </c>
      <c r="BG3" s="558" t="s">
        <v>1081</v>
      </c>
      <c r="BH3" s="558" t="s">
        <v>1082</v>
      </c>
      <c r="BI3" s="4755" t="s">
        <v>1133</v>
      </c>
      <c r="BJ3" s="4755" t="s">
        <v>610</v>
      </c>
      <c r="BL3" s="4481" t="s">
        <v>444</v>
      </c>
      <c r="BM3" s="4481" t="s">
        <v>445</v>
      </c>
      <c r="BN3" s="2856" t="s">
        <v>450</v>
      </c>
      <c r="BO3" s="4481" t="s">
        <v>130</v>
      </c>
    </row>
    <row r="4" spans="1:67" ht="15.45" thickTop="1" x14ac:dyDescent="0.55000000000000004">
      <c r="A4" s="6123" t="s">
        <v>82</v>
      </c>
      <c r="B4" s="6014" t="s">
        <v>1187</v>
      </c>
      <c r="C4" s="6015"/>
      <c r="D4" s="6016">
        <v>120</v>
      </c>
      <c r="E4" s="6016">
        <v>125</v>
      </c>
      <c r="F4" s="6016">
        <v>136</v>
      </c>
      <c r="G4" s="6016">
        <v>134</v>
      </c>
      <c r="H4" s="6016">
        <v>141</v>
      </c>
      <c r="I4" s="6016">
        <v>142</v>
      </c>
      <c r="J4" s="6016">
        <v>142</v>
      </c>
      <c r="K4" s="6016">
        <v>141</v>
      </c>
      <c r="L4" s="6016">
        <v>144</v>
      </c>
      <c r="M4" s="6016">
        <v>138</v>
      </c>
      <c r="N4" s="6016">
        <v>134</v>
      </c>
      <c r="O4" s="6016">
        <v>125</v>
      </c>
      <c r="P4" s="6017">
        <v>125</v>
      </c>
      <c r="Q4" s="6017">
        <v>135.16666666666666</v>
      </c>
      <c r="R4" s="4454"/>
      <c r="S4" s="6018">
        <v>119</v>
      </c>
      <c r="T4" s="6019">
        <v>94</v>
      </c>
      <c r="U4" s="6019">
        <v>91</v>
      </c>
      <c r="V4" s="6019">
        <v>100</v>
      </c>
      <c r="W4" s="6019">
        <v>107</v>
      </c>
      <c r="X4" s="6019">
        <v>109</v>
      </c>
      <c r="Y4" s="6019">
        <v>113</v>
      </c>
      <c r="Z4" s="6019">
        <v>111</v>
      </c>
      <c r="AA4" s="6019">
        <v>114</v>
      </c>
      <c r="AB4" s="6019">
        <v>115</v>
      </c>
      <c r="AC4" s="6019">
        <v>120</v>
      </c>
      <c r="AD4" s="6019">
        <v>123</v>
      </c>
      <c r="AE4" s="6017">
        <v>123</v>
      </c>
      <c r="AF4" s="6017">
        <v>109.66666666666667</v>
      </c>
      <c r="AG4" s="4454"/>
      <c r="AH4" s="6018">
        <v>130</v>
      </c>
      <c r="AI4" s="6019">
        <v>128</v>
      </c>
      <c r="AJ4" s="6019">
        <v>139</v>
      </c>
      <c r="AK4" s="6019">
        <v>138</v>
      </c>
      <c r="AL4" s="6019">
        <v>134</v>
      </c>
      <c r="AM4" s="6019">
        <v>129</v>
      </c>
      <c r="AN4" s="6019">
        <v>111</v>
      </c>
      <c r="AO4" s="6019">
        <v>108</v>
      </c>
      <c r="AP4" s="6019">
        <v>107</v>
      </c>
      <c r="AQ4" s="6019">
        <v>102</v>
      </c>
      <c r="AR4" s="6019">
        <v>102</v>
      </c>
      <c r="AS4" s="6019">
        <v>68</v>
      </c>
      <c r="AT4" s="6017">
        <v>68</v>
      </c>
      <c r="AU4" s="6017">
        <v>116.33333333333333</v>
      </c>
      <c r="AV4" s="6006"/>
      <c r="AW4" s="6122">
        <f>SUM(AW13,AW11,AW9,AW7,AW5)</f>
        <v>60</v>
      </c>
      <c r="AX4" s="6253">
        <v>58</v>
      </c>
      <c r="AY4" s="6013"/>
      <c r="AZ4" s="6013"/>
      <c r="BA4" s="6013"/>
      <c r="BB4" s="6013"/>
      <c r="BC4" s="6013"/>
      <c r="BD4" s="6013"/>
      <c r="BE4" s="6013"/>
      <c r="BF4" s="6013"/>
      <c r="BG4" s="6013"/>
      <c r="BH4" s="6013"/>
      <c r="BI4" s="6017">
        <f>BJ4</f>
        <v>59</v>
      </c>
      <c r="BJ4" s="6017">
        <f>AVERAGE(AW4:BH4)</f>
        <v>59</v>
      </c>
      <c r="BL4" s="5620">
        <f t="shared" ref="BL4:BL35" si="0">IFERROR(_xlfn.XLOOKUP($A$1,$2:$2,4:4)-_xlfn.XLOOKUP(EDATE($A$1,-12),$2:$2,4:4),"")</f>
        <v>-70</v>
      </c>
      <c r="BM4" s="5620">
        <f t="shared" ref="BM4" si="1">BJ4-AU4</f>
        <v>-57.333333333333329</v>
      </c>
      <c r="BN4" s="5941">
        <f>IFERROR(
  SUM(
    _xlfn.XLOOKUP(DATE(YEAR($A$1),1,1),$2:$2,4:4):
    _xlfn.XLOOKUP($A$1,$2:$2,4:4)
  )
 -SUM(
    _xlfn.XLOOKUP(DATE(YEAR($A$1)-1,1,1),$2:$2,4:4):
    _xlfn.XLOOKUP(EDATE($A$1,-12),$2:$2,4:4)
  ),"")</f>
        <v>-140</v>
      </c>
      <c r="BO4" s="5620">
        <f t="shared" ref="BO4:BO35" si="2">IFERROR(
  _xlfn.XLOOKUP($A$1,$2:$2,4:4)
 -_xlfn.XLOOKUP(EDATE($A$1,-1),$2:$2,4:4),"")</f>
        <v>-2</v>
      </c>
    </row>
    <row r="5" spans="1:67" x14ac:dyDescent="0.55000000000000004">
      <c r="A5" s="7274" t="s">
        <v>67</v>
      </c>
      <c r="B5" s="626" t="s">
        <v>1187</v>
      </c>
      <c r="C5" s="6020"/>
      <c r="D5" s="6021">
        <v>20</v>
      </c>
      <c r="E5" s="6022">
        <v>23</v>
      </c>
      <c r="F5" s="6022">
        <v>25</v>
      </c>
      <c r="G5" s="6022">
        <v>26</v>
      </c>
      <c r="H5" s="6022">
        <v>27</v>
      </c>
      <c r="I5" s="6022">
        <v>27</v>
      </c>
      <c r="J5" s="6022">
        <v>27</v>
      </c>
      <c r="K5" s="6022">
        <v>26</v>
      </c>
      <c r="L5" s="6022">
        <v>27</v>
      </c>
      <c r="M5" s="6022">
        <v>24</v>
      </c>
      <c r="N5" s="6022">
        <v>21</v>
      </c>
      <c r="O5" s="6023">
        <v>18</v>
      </c>
      <c r="P5" s="6024">
        <v>18</v>
      </c>
      <c r="Q5" s="6024">
        <v>24.25</v>
      </c>
      <c r="R5" s="6025"/>
      <c r="S5" s="6026">
        <v>18</v>
      </c>
      <c r="T5" s="6027">
        <v>18</v>
      </c>
      <c r="U5" s="6027">
        <v>17</v>
      </c>
      <c r="V5" s="6027">
        <v>17</v>
      </c>
      <c r="W5" s="6027">
        <v>16</v>
      </c>
      <c r="X5" s="6027">
        <v>17</v>
      </c>
      <c r="Y5" s="6027">
        <v>17</v>
      </c>
      <c r="Z5" s="6027">
        <v>18</v>
      </c>
      <c r="AA5" s="6027">
        <v>18</v>
      </c>
      <c r="AB5" s="6027">
        <v>18</v>
      </c>
      <c r="AC5" s="6027">
        <v>21</v>
      </c>
      <c r="AD5" s="6028">
        <v>23</v>
      </c>
      <c r="AE5" s="6024">
        <v>23</v>
      </c>
      <c r="AF5" s="6024">
        <v>18.166666666666668</v>
      </c>
      <c r="AG5" s="6025"/>
      <c r="AH5" s="6026">
        <v>22</v>
      </c>
      <c r="AI5" s="6027">
        <v>22</v>
      </c>
      <c r="AJ5" s="6027">
        <v>27</v>
      </c>
      <c r="AK5" s="6027">
        <v>28</v>
      </c>
      <c r="AL5" s="6027">
        <v>27</v>
      </c>
      <c r="AM5" s="6027">
        <v>27</v>
      </c>
      <c r="AN5" s="6027">
        <v>23</v>
      </c>
      <c r="AO5" s="6027">
        <v>23</v>
      </c>
      <c r="AP5" s="6027">
        <v>23</v>
      </c>
      <c r="AQ5" s="6027">
        <v>22</v>
      </c>
      <c r="AR5" s="6027">
        <v>22</v>
      </c>
      <c r="AS5" s="6028">
        <v>16</v>
      </c>
      <c r="AT5" s="6024">
        <v>16</v>
      </c>
      <c r="AU5" s="6024">
        <v>23.5</v>
      </c>
      <c r="AV5" s="6025"/>
      <c r="AW5" s="6029">
        <v>14</v>
      </c>
      <c r="AX5" s="6027">
        <v>14</v>
      </c>
      <c r="AY5" s="6027"/>
      <c r="AZ5" s="6027"/>
      <c r="BA5" s="6027"/>
      <c r="BB5" s="6027"/>
      <c r="BC5" s="6027"/>
      <c r="BD5" s="6027"/>
      <c r="BE5" s="6027"/>
      <c r="BF5" s="6027"/>
      <c r="BG5" s="6027"/>
      <c r="BH5" s="6028"/>
      <c r="BI5" s="6024">
        <f t="shared" ref="BI5:BI14" si="3">BJ5</f>
        <v>14</v>
      </c>
      <c r="BJ5" s="6030">
        <f>AVERAGE(AW5:BH5)</f>
        <v>14</v>
      </c>
      <c r="BL5" s="5620">
        <f t="shared" si="0"/>
        <v>-8</v>
      </c>
      <c r="BM5" s="5620">
        <f t="shared" ref="BM5:BM13" si="4">BJ5-AU5</f>
        <v>-9.5</v>
      </c>
      <c r="BN5" s="5941">
        <f>IFERROR(
  SUM(
    _xlfn.XLOOKUP(DATE(YEAR($A$1),1,1),$2:$2,5:5):
    _xlfn.XLOOKUP($A$1,$2:$2,5:5)
  )
 -SUM(
    _xlfn.XLOOKUP(DATE(YEAR($A$1)-1,1,1),$2:$2,5:5):
    _xlfn.XLOOKUP(EDATE($A$1,-12),$2:$2,5:5)
  ),"")</f>
        <v>-16</v>
      </c>
      <c r="BO5" s="5620">
        <f t="shared" si="2"/>
        <v>0</v>
      </c>
    </row>
    <row r="6" spans="1:67" x14ac:dyDescent="0.55000000000000004">
      <c r="A6" s="7274"/>
      <c r="B6" s="556" t="s">
        <v>1188</v>
      </c>
      <c r="C6" s="6031" t="s">
        <v>1189</v>
      </c>
      <c r="D6" s="6032">
        <v>36.540000000000006</v>
      </c>
      <c r="E6" s="6032">
        <v>55.38000000000001</v>
      </c>
      <c r="F6" s="6032">
        <v>49.8</v>
      </c>
      <c r="G6" s="6032">
        <v>35.739999999999995</v>
      </c>
      <c r="H6" s="6032">
        <v>45.64</v>
      </c>
      <c r="I6" s="6032">
        <v>48.779999999999994</v>
      </c>
      <c r="J6" s="6032">
        <v>50.48</v>
      </c>
      <c r="K6" s="6032">
        <v>69.14</v>
      </c>
      <c r="L6" s="6032">
        <v>37.519999999999996</v>
      </c>
      <c r="M6" s="6032">
        <v>49.9</v>
      </c>
      <c r="N6" s="6032">
        <v>48.54999999999999</v>
      </c>
      <c r="O6" s="6032">
        <v>35.733333333333334</v>
      </c>
      <c r="P6" s="6033">
        <v>35.733333333333334</v>
      </c>
      <c r="Q6" s="6033">
        <v>46.933611111111105</v>
      </c>
      <c r="R6" s="6025"/>
      <c r="S6" s="6034">
        <v>46.216666666666669</v>
      </c>
      <c r="T6" s="6025">
        <v>40.1</v>
      </c>
      <c r="U6" s="6025">
        <v>38.833333333333336</v>
      </c>
      <c r="V6" s="6025">
        <v>54.11999999999999</v>
      </c>
      <c r="W6" s="6025">
        <v>46</v>
      </c>
      <c r="X6" s="6025">
        <v>63.94</v>
      </c>
      <c r="Y6" s="6025">
        <v>60.2</v>
      </c>
      <c r="Z6" s="6025">
        <v>61.724999999999994</v>
      </c>
      <c r="AA6" s="6025">
        <v>59.3</v>
      </c>
      <c r="AB6" s="6025">
        <v>61.3</v>
      </c>
      <c r="AC6" s="6025">
        <v>45.9</v>
      </c>
      <c r="AD6" s="6025">
        <v>35.4</v>
      </c>
      <c r="AE6" s="6033">
        <v>35.4</v>
      </c>
      <c r="AF6" s="6033">
        <v>51.08625</v>
      </c>
      <c r="AG6" s="6025"/>
      <c r="AH6" s="6034">
        <v>46.5</v>
      </c>
      <c r="AI6" s="6025">
        <v>52.7</v>
      </c>
      <c r="AJ6" s="6025">
        <v>85.2</v>
      </c>
      <c r="AK6" s="6025">
        <v>66.45</v>
      </c>
      <c r="AL6" s="6025">
        <v>80.400000000000006</v>
      </c>
      <c r="AM6" s="6025">
        <v>67</v>
      </c>
      <c r="AN6" s="6025">
        <v>77.8</v>
      </c>
      <c r="AO6" s="6025">
        <v>70.400000000000006</v>
      </c>
      <c r="AP6" s="6025">
        <v>66.599999999999994</v>
      </c>
      <c r="AQ6" s="6025">
        <v>60.2</v>
      </c>
      <c r="AR6" s="6025">
        <v>39.5</v>
      </c>
      <c r="AS6" s="6025">
        <v>29.4</v>
      </c>
      <c r="AT6" s="6033">
        <v>29.4</v>
      </c>
      <c r="AU6" s="6033">
        <v>61.845833333333339</v>
      </c>
      <c r="AV6" s="6025"/>
      <c r="AW6" s="6035">
        <v>38.1</v>
      </c>
      <c r="AX6" s="6025">
        <v>34.700000000000003</v>
      </c>
      <c r="AY6" s="6025"/>
      <c r="AZ6" s="6025"/>
      <c r="BA6" s="6025"/>
      <c r="BB6" s="6025"/>
      <c r="BC6" s="6025"/>
      <c r="BD6" s="6025"/>
      <c r="BE6" s="6025"/>
      <c r="BF6" s="6025"/>
      <c r="BG6" s="6025"/>
      <c r="BH6" s="6025"/>
      <c r="BI6" s="6033">
        <f t="shared" si="3"/>
        <v>36.400000000000006</v>
      </c>
      <c r="BJ6" s="6036">
        <f t="shared" ref="BJ6:BJ14" si="5">AVERAGE(AW6:BH6)</f>
        <v>36.400000000000006</v>
      </c>
      <c r="BL6" s="5620">
        <f t="shared" si="0"/>
        <v>-18</v>
      </c>
      <c r="BM6" s="5620">
        <f t="shared" si="4"/>
        <v>-25.445833333333333</v>
      </c>
      <c r="BN6" s="5941">
        <f>IFERROR(
  SUM(
    _xlfn.XLOOKUP(DATE(YEAR($A$1),1,1),$2:$2,6:6):
    _xlfn.XLOOKUP($A$1,$2:$2,6:6)
  )
 -SUM(
    _xlfn.XLOOKUP(DATE(YEAR($A$1)-1,1,1),$2:$2,6:6):
    _xlfn.XLOOKUP(EDATE($A$1,-12),$2:$2,6:6)
  ),"")</f>
        <v>-26.399999999999991</v>
      </c>
      <c r="BO6" s="5620">
        <f t="shared" si="2"/>
        <v>-3.3999999999999986</v>
      </c>
    </row>
    <row r="7" spans="1:67" x14ac:dyDescent="0.55000000000000004">
      <c r="A7" s="7357" t="s">
        <v>68</v>
      </c>
      <c r="B7" s="6037" t="s">
        <v>1187</v>
      </c>
      <c r="C7" s="6038"/>
      <c r="D7" s="6039">
        <v>19</v>
      </c>
      <c r="E7" s="6039">
        <v>19</v>
      </c>
      <c r="F7" s="6039">
        <v>22</v>
      </c>
      <c r="G7" s="6039">
        <v>20</v>
      </c>
      <c r="H7" s="6039">
        <v>20</v>
      </c>
      <c r="I7" s="6039">
        <v>21</v>
      </c>
      <c r="J7" s="6039">
        <v>21</v>
      </c>
      <c r="K7" s="6039">
        <v>21</v>
      </c>
      <c r="L7" s="6039">
        <v>22</v>
      </c>
      <c r="M7" s="6039">
        <v>22</v>
      </c>
      <c r="N7" s="6039">
        <v>21</v>
      </c>
      <c r="O7" s="6039">
        <v>19</v>
      </c>
      <c r="P7" s="6040">
        <v>19</v>
      </c>
      <c r="Q7" s="6040">
        <v>20.583333333333332</v>
      </c>
      <c r="R7" s="6025"/>
      <c r="S7" s="6041">
        <v>18</v>
      </c>
      <c r="T7" s="6042">
        <v>13</v>
      </c>
      <c r="U7" s="6042">
        <v>12</v>
      </c>
      <c r="V7" s="6042">
        <v>14</v>
      </c>
      <c r="W7" s="6042">
        <v>14</v>
      </c>
      <c r="X7" s="6042">
        <v>14</v>
      </c>
      <c r="Y7" s="6042">
        <v>15</v>
      </c>
      <c r="Z7" s="6042">
        <v>14</v>
      </c>
      <c r="AA7" s="6042">
        <v>14</v>
      </c>
      <c r="AB7" s="6042">
        <v>15</v>
      </c>
      <c r="AC7" s="6042">
        <v>16</v>
      </c>
      <c r="AD7" s="6042">
        <v>15</v>
      </c>
      <c r="AE7" s="6040">
        <v>15</v>
      </c>
      <c r="AF7" s="6040">
        <v>14.5</v>
      </c>
      <c r="AG7" s="6025"/>
      <c r="AH7" s="6041">
        <v>16</v>
      </c>
      <c r="AI7" s="6042">
        <v>15</v>
      </c>
      <c r="AJ7" s="6042">
        <v>17</v>
      </c>
      <c r="AK7" s="6042">
        <v>16</v>
      </c>
      <c r="AL7" s="6042">
        <v>15</v>
      </c>
      <c r="AM7" s="6042">
        <v>15</v>
      </c>
      <c r="AN7" s="6042">
        <v>14</v>
      </c>
      <c r="AO7" s="6042">
        <v>12</v>
      </c>
      <c r="AP7" s="6042">
        <v>12</v>
      </c>
      <c r="AQ7" s="6042">
        <v>12</v>
      </c>
      <c r="AR7" s="6042">
        <v>12</v>
      </c>
      <c r="AS7" s="6042">
        <v>9</v>
      </c>
      <c r="AT7" s="6040">
        <v>9</v>
      </c>
      <c r="AU7" s="6040">
        <v>13.75</v>
      </c>
      <c r="AV7" s="6025"/>
      <c r="AW7" s="6043">
        <v>7</v>
      </c>
      <c r="AX7" s="6042">
        <v>7</v>
      </c>
      <c r="AY7" s="6042"/>
      <c r="AZ7" s="6042"/>
      <c r="BA7" s="6042"/>
      <c r="BB7" s="6042"/>
      <c r="BC7" s="6042"/>
      <c r="BD7" s="6042"/>
      <c r="BE7" s="6042"/>
      <c r="BF7" s="6042"/>
      <c r="BG7" s="6042"/>
      <c r="BH7" s="6042"/>
      <c r="BI7" s="6040">
        <f t="shared" si="3"/>
        <v>7</v>
      </c>
      <c r="BJ7" s="6044">
        <f t="shared" si="5"/>
        <v>7</v>
      </c>
      <c r="BL7" s="5620">
        <f t="shared" si="0"/>
        <v>-8</v>
      </c>
      <c r="BM7" s="5620">
        <f t="shared" si="4"/>
        <v>-6.75</v>
      </c>
      <c r="BN7" s="5941">
        <f>IFERROR(
  SUM(
    _xlfn.XLOOKUP(DATE(YEAR($A$1),1,1),$2:$2,7:7):
    _xlfn.XLOOKUP($A$1,$2:$2,7:7)
  )
 -SUM(
    _xlfn.XLOOKUP(DATE(YEAR($A$1)-1,1,1),$2:$2,7:7):
    _xlfn.XLOOKUP(EDATE($A$1,-12),$2:$2,7:7)
  ),"")</f>
        <v>-17</v>
      </c>
      <c r="BO7" s="5620">
        <f t="shared" si="2"/>
        <v>0</v>
      </c>
    </row>
    <row r="8" spans="1:67" x14ac:dyDescent="0.55000000000000004">
      <c r="A8" s="7274"/>
      <c r="B8" s="556" t="s">
        <v>1188</v>
      </c>
      <c r="C8" s="6031" t="s">
        <v>1189</v>
      </c>
      <c r="D8" s="6032">
        <v>22.54</v>
      </c>
      <c r="E8" s="6032">
        <v>32.299999999999997</v>
      </c>
      <c r="F8" s="6032">
        <v>35.88000000000001</v>
      </c>
      <c r="G8" s="6032">
        <v>22.86</v>
      </c>
      <c r="H8" s="6032">
        <v>50.800000000000004</v>
      </c>
      <c r="I8" s="6032">
        <v>36.875</v>
      </c>
      <c r="J8" s="6032">
        <v>25.324999999999999</v>
      </c>
      <c r="K8" s="6032">
        <v>38.375000000000007</v>
      </c>
      <c r="L8" s="6032">
        <v>24.849999999999998</v>
      </c>
      <c r="M8" s="6032">
        <v>32.024999999999999</v>
      </c>
      <c r="N8" s="6032">
        <v>42.28</v>
      </c>
      <c r="O8" s="6032">
        <v>39.839999999999996</v>
      </c>
      <c r="P8" s="6033">
        <v>39.839999999999996</v>
      </c>
      <c r="Q8" s="6033">
        <v>33.662500000000001</v>
      </c>
      <c r="R8" s="6025"/>
      <c r="S8" s="6034">
        <v>56.54</v>
      </c>
      <c r="T8" s="6025">
        <v>29.7</v>
      </c>
      <c r="U8" s="6025">
        <v>51.75</v>
      </c>
      <c r="V8" s="6025">
        <v>44.825000000000003</v>
      </c>
      <c r="W8" s="6025">
        <v>47.2</v>
      </c>
      <c r="X8" s="6025">
        <v>70.650000000000006</v>
      </c>
      <c r="Y8" s="6025">
        <v>70</v>
      </c>
      <c r="Z8" s="6025">
        <v>54.524999999999999</v>
      </c>
      <c r="AA8" s="6025">
        <v>67.8</v>
      </c>
      <c r="AB8" s="6025">
        <v>42.7</v>
      </c>
      <c r="AC8" s="6025">
        <v>39.700000000000003</v>
      </c>
      <c r="AD8" s="6025">
        <v>20.6</v>
      </c>
      <c r="AE8" s="6033">
        <v>20.6</v>
      </c>
      <c r="AF8" s="6033">
        <v>49.665833333333332</v>
      </c>
      <c r="AG8" s="6025"/>
      <c r="AH8" s="6034">
        <v>43.9</v>
      </c>
      <c r="AI8" s="6025">
        <v>60.4</v>
      </c>
      <c r="AJ8" s="6025">
        <v>59.5</v>
      </c>
      <c r="AK8" s="6025">
        <v>68.599999999999994</v>
      </c>
      <c r="AL8" s="6025">
        <v>61.1</v>
      </c>
      <c r="AM8" s="6025">
        <v>70.7</v>
      </c>
      <c r="AN8" s="6025">
        <v>73.400000000000006</v>
      </c>
      <c r="AO8" s="6025">
        <v>41.3</v>
      </c>
      <c r="AP8" s="6025">
        <v>91.8</v>
      </c>
      <c r="AQ8" s="6025">
        <v>63.1</v>
      </c>
      <c r="AR8" s="6025">
        <v>43.9</v>
      </c>
      <c r="AS8" s="6025">
        <v>41.2</v>
      </c>
      <c r="AT8" s="6033">
        <v>41.2</v>
      </c>
      <c r="AU8" s="6033">
        <v>59.908333333333339</v>
      </c>
      <c r="AV8" s="6025"/>
      <c r="AW8" s="6035">
        <v>35.5</v>
      </c>
      <c r="AX8" s="6025">
        <v>37.5</v>
      </c>
      <c r="AY8" s="6025"/>
      <c r="AZ8" s="6025"/>
      <c r="BA8" s="6025"/>
      <c r="BB8" s="6025"/>
      <c r="BC8" s="6025"/>
      <c r="BD8" s="6025"/>
      <c r="BE8" s="6025"/>
      <c r="BF8" s="6025"/>
      <c r="BG8" s="6025"/>
      <c r="BH8" s="6025"/>
      <c r="BI8" s="6033">
        <f t="shared" si="3"/>
        <v>36.5</v>
      </c>
      <c r="BJ8" s="6036">
        <f t="shared" si="5"/>
        <v>36.5</v>
      </c>
      <c r="BL8" s="5620">
        <f t="shared" si="0"/>
        <v>-22.9</v>
      </c>
      <c r="BM8" s="5620">
        <f t="shared" si="4"/>
        <v>-23.408333333333339</v>
      </c>
      <c r="BN8" s="5941">
        <f>IFERROR(
  SUM(
    _xlfn.XLOOKUP(DATE(YEAR($A$1),1,1),$2:$2,8:8):
    _xlfn.XLOOKUP($A$1,$2:$2,8:8)
  )
 -SUM(
    _xlfn.XLOOKUP(DATE(YEAR($A$1)-1,1,1),$2:$2,8:8):
    _xlfn.XLOOKUP(EDATE($A$1,-12),$2:$2,8:8)
  ),"")</f>
        <v>-31.299999999999997</v>
      </c>
      <c r="BO8" s="5620">
        <f t="shared" si="2"/>
        <v>2</v>
      </c>
    </row>
    <row r="9" spans="1:67" x14ac:dyDescent="0.55000000000000004">
      <c r="A9" s="7357" t="s">
        <v>69</v>
      </c>
      <c r="B9" s="6037" t="s">
        <v>1187</v>
      </c>
      <c r="C9" s="6038"/>
      <c r="D9" s="6039">
        <v>21</v>
      </c>
      <c r="E9" s="6039">
        <v>21</v>
      </c>
      <c r="F9" s="6039">
        <v>22</v>
      </c>
      <c r="G9" s="6039">
        <v>22</v>
      </c>
      <c r="H9" s="6039">
        <v>26</v>
      </c>
      <c r="I9" s="6039">
        <v>25</v>
      </c>
      <c r="J9" s="6039">
        <v>26</v>
      </c>
      <c r="K9" s="6039">
        <v>25</v>
      </c>
      <c r="L9" s="6039">
        <v>25</v>
      </c>
      <c r="M9" s="6039">
        <v>24</v>
      </c>
      <c r="N9" s="6039">
        <v>26</v>
      </c>
      <c r="O9" s="6039">
        <v>26</v>
      </c>
      <c r="P9" s="6040">
        <v>26</v>
      </c>
      <c r="Q9" s="6040">
        <v>24.083333333333332</v>
      </c>
      <c r="R9" s="6025"/>
      <c r="S9" s="6041">
        <v>25</v>
      </c>
      <c r="T9" s="6042">
        <v>17</v>
      </c>
      <c r="U9" s="6042">
        <v>17</v>
      </c>
      <c r="V9" s="6042">
        <v>17</v>
      </c>
      <c r="W9" s="6042">
        <v>18</v>
      </c>
      <c r="X9" s="6042">
        <v>18</v>
      </c>
      <c r="Y9" s="6042">
        <v>21</v>
      </c>
      <c r="Z9" s="6042">
        <v>21</v>
      </c>
      <c r="AA9" s="6042">
        <v>21</v>
      </c>
      <c r="AB9" s="6042">
        <v>20</v>
      </c>
      <c r="AC9" s="6042">
        <v>21</v>
      </c>
      <c r="AD9" s="6042">
        <v>21</v>
      </c>
      <c r="AE9" s="6040">
        <v>21</v>
      </c>
      <c r="AF9" s="6040">
        <v>19.75</v>
      </c>
      <c r="AG9" s="6025"/>
      <c r="AH9" s="6041">
        <v>22</v>
      </c>
      <c r="AI9" s="6042">
        <v>23</v>
      </c>
      <c r="AJ9" s="6042">
        <v>23</v>
      </c>
      <c r="AK9" s="6042">
        <v>20</v>
      </c>
      <c r="AL9" s="6042">
        <v>20</v>
      </c>
      <c r="AM9" s="6042">
        <v>20</v>
      </c>
      <c r="AN9" s="6042">
        <v>19</v>
      </c>
      <c r="AO9" s="6042">
        <v>19</v>
      </c>
      <c r="AP9" s="6042">
        <v>17</v>
      </c>
      <c r="AQ9" s="6042">
        <v>16</v>
      </c>
      <c r="AR9" s="6042">
        <v>16</v>
      </c>
      <c r="AS9" s="6042">
        <v>11</v>
      </c>
      <c r="AT9" s="6040">
        <v>11</v>
      </c>
      <c r="AU9" s="6040">
        <v>18.833333333333332</v>
      </c>
      <c r="AV9" s="6025"/>
      <c r="AW9" s="6043">
        <v>9</v>
      </c>
      <c r="AX9" s="6042">
        <v>8</v>
      </c>
      <c r="AY9" s="6042"/>
      <c r="AZ9" s="6042"/>
      <c r="BA9" s="6042"/>
      <c r="BB9" s="6042"/>
      <c r="BC9" s="6042"/>
      <c r="BD9" s="6042"/>
      <c r="BE9" s="6042"/>
      <c r="BF9" s="6042"/>
      <c r="BG9" s="6042"/>
      <c r="BH9" s="6042"/>
      <c r="BI9" s="6040">
        <f t="shared" si="3"/>
        <v>8.5</v>
      </c>
      <c r="BJ9" s="6044">
        <f t="shared" si="5"/>
        <v>8.5</v>
      </c>
      <c r="BL9" s="5620">
        <f t="shared" si="0"/>
        <v>-15</v>
      </c>
      <c r="BM9" s="5620">
        <f t="shared" si="4"/>
        <v>-10.333333333333332</v>
      </c>
      <c r="BN9" s="5941">
        <f>IFERROR(
  SUM(
    _xlfn.XLOOKUP(DATE(YEAR($A$1),1,1),$2:$2,9:9):
    _xlfn.XLOOKUP($A$1,$2:$2,9:9)
  )
 -SUM(
    _xlfn.XLOOKUP(DATE(YEAR($A$1)-1,1,1),$2:$2,9:9):
    _xlfn.XLOOKUP(EDATE($A$1,-12),$2:$2,9:9)
  ),"")</f>
        <v>-28</v>
      </c>
      <c r="BO9" s="5620">
        <f t="shared" si="2"/>
        <v>-1</v>
      </c>
    </row>
    <row r="10" spans="1:67" x14ac:dyDescent="0.55000000000000004">
      <c r="A10" s="7274"/>
      <c r="B10" s="556" t="s">
        <v>1188</v>
      </c>
      <c r="C10" s="6031" t="s">
        <v>1189</v>
      </c>
      <c r="D10" s="6032">
        <v>13.7</v>
      </c>
      <c r="E10" s="6032">
        <v>57.4</v>
      </c>
      <c r="F10" s="6032">
        <v>63.8</v>
      </c>
      <c r="G10" s="6032">
        <v>18.2</v>
      </c>
      <c r="H10" s="6032">
        <v>22.9</v>
      </c>
      <c r="I10" s="6032">
        <v>13.399999999999999</v>
      </c>
      <c r="J10" s="6032">
        <v>19.899999999999999</v>
      </c>
      <c r="K10" s="6032">
        <v>27</v>
      </c>
      <c r="L10" s="6032">
        <v>16</v>
      </c>
      <c r="M10" s="6032">
        <v>10.199999999999999</v>
      </c>
      <c r="N10" s="6032">
        <v>9.5</v>
      </c>
      <c r="O10" s="6032">
        <v>5.7</v>
      </c>
      <c r="P10" s="6033">
        <v>5.7</v>
      </c>
      <c r="Q10" s="6033">
        <v>23.141666666666666</v>
      </c>
      <c r="R10" s="6025"/>
      <c r="S10" s="6034">
        <v>20.200000000000003</v>
      </c>
      <c r="T10" s="6025">
        <v>20.5</v>
      </c>
      <c r="U10" s="6025">
        <v>38.5</v>
      </c>
      <c r="V10" s="6025">
        <v>0</v>
      </c>
      <c r="W10" s="6025">
        <v>0</v>
      </c>
      <c r="X10" s="6025">
        <v>0</v>
      </c>
      <c r="Y10" s="6025">
        <v>46.1</v>
      </c>
      <c r="Z10" s="6025">
        <v>72.933333333333337</v>
      </c>
      <c r="AA10" s="6025">
        <v>104.6</v>
      </c>
      <c r="AB10" s="6025">
        <v>42.1</v>
      </c>
      <c r="AC10" s="6025">
        <v>19.2</v>
      </c>
      <c r="AD10" s="6025">
        <v>21.3</v>
      </c>
      <c r="AE10" s="6033">
        <v>0</v>
      </c>
      <c r="AF10" s="6033">
        <v>32.119444444444447</v>
      </c>
      <c r="AG10" s="6025"/>
      <c r="AH10" s="6034">
        <v>0</v>
      </c>
      <c r="AI10" s="6025">
        <v>0</v>
      </c>
      <c r="AJ10" s="6025">
        <v>0</v>
      </c>
      <c r="AK10" s="6025">
        <v>34.93333333333333</v>
      </c>
      <c r="AL10" s="6025">
        <v>42</v>
      </c>
      <c r="AM10" s="6025">
        <v>48.2</v>
      </c>
      <c r="AN10" s="6025">
        <v>53</v>
      </c>
      <c r="AO10" s="6025">
        <v>44</v>
      </c>
      <c r="AP10" s="6025">
        <v>43.3</v>
      </c>
      <c r="AQ10" s="6025">
        <v>31.9</v>
      </c>
      <c r="AR10" s="6025">
        <v>61.9</v>
      </c>
      <c r="AS10" s="6025">
        <v>59.6</v>
      </c>
      <c r="AT10" s="6033">
        <v>59.6</v>
      </c>
      <c r="AU10" s="6033">
        <v>34.902777777777779</v>
      </c>
      <c r="AV10" s="6025"/>
      <c r="AW10" s="6035">
        <v>47.4</v>
      </c>
      <c r="AX10" s="6025">
        <v>36.6</v>
      </c>
      <c r="AY10" s="6025"/>
      <c r="AZ10" s="6025"/>
      <c r="BA10" s="6025"/>
      <c r="BB10" s="6025"/>
      <c r="BC10" s="6025"/>
      <c r="BD10" s="6025"/>
      <c r="BE10" s="6025"/>
      <c r="BF10" s="6025"/>
      <c r="BG10" s="6025"/>
      <c r="BH10" s="6025"/>
      <c r="BI10" s="6033">
        <f t="shared" si="3"/>
        <v>42</v>
      </c>
      <c r="BJ10" s="6036">
        <f t="shared" si="5"/>
        <v>42</v>
      </c>
      <c r="BL10" s="5620">
        <f t="shared" si="0"/>
        <v>36.6</v>
      </c>
      <c r="BM10" s="5620">
        <f t="shared" si="4"/>
        <v>7.0972222222222214</v>
      </c>
      <c r="BN10" s="5941">
        <f>IFERROR(
  SUM(
    _xlfn.XLOOKUP(DATE(YEAR($A$1),1,1),$2:$2,10:10):
    _xlfn.XLOOKUP($A$1,$2:$2,10:10)
  )
 -SUM(
    _xlfn.XLOOKUP(DATE(YEAR($A$1)-1,1,1),$2:$2,10:10):
    _xlfn.XLOOKUP(EDATE($A$1,-12),$2:$2,10:10)
  ),"")</f>
        <v>84</v>
      </c>
      <c r="BO10" s="5620">
        <f t="shared" si="2"/>
        <v>-10.799999999999997</v>
      </c>
    </row>
    <row r="11" spans="1:67" x14ac:dyDescent="0.55000000000000004">
      <c r="A11" s="7357" t="s">
        <v>163</v>
      </c>
      <c r="B11" s="6037" t="s">
        <v>1187</v>
      </c>
      <c r="C11" s="6038"/>
      <c r="D11" s="6039">
        <v>31</v>
      </c>
      <c r="E11" s="6039">
        <v>33</v>
      </c>
      <c r="F11" s="6039">
        <v>39</v>
      </c>
      <c r="G11" s="6039">
        <v>38</v>
      </c>
      <c r="H11" s="6039">
        <v>39</v>
      </c>
      <c r="I11" s="6039">
        <v>38</v>
      </c>
      <c r="J11" s="6039">
        <v>38</v>
      </c>
      <c r="K11" s="6039">
        <v>39</v>
      </c>
      <c r="L11" s="6039">
        <v>40</v>
      </c>
      <c r="M11" s="6039">
        <v>39</v>
      </c>
      <c r="N11" s="6039">
        <v>39</v>
      </c>
      <c r="O11" s="6039">
        <v>36</v>
      </c>
      <c r="P11" s="6040">
        <v>36</v>
      </c>
      <c r="Q11" s="6040">
        <v>37.416666666666664</v>
      </c>
      <c r="R11" s="6025"/>
      <c r="S11" s="6041">
        <v>33</v>
      </c>
      <c r="T11" s="6042">
        <v>23</v>
      </c>
      <c r="U11" s="6042">
        <v>23</v>
      </c>
      <c r="V11" s="6042">
        <v>26</v>
      </c>
      <c r="W11" s="6042">
        <v>28</v>
      </c>
      <c r="X11" s="6042">
        <v>27</v>
      </c>
      <c r="Y11" s="6042">
        <v>27</v>
      </c>
      <c r="Z11" s="6042">
        <v>26</v>
      </c>
      <c r="AA11" s="6042">
        <v>26</v>
      </c>
      <c r="AB11" s="6042">
        <v>27</v>
      </c>
      <c r="AC11" s="6042">
        <v>28</v>
      </c>
      <c r="AD11" s="6042">
        <v>29</v>
      </c>
      <c r="AE11" s="6040">
        <v>29</v>
      </c>
      <c r="AF11" s="6040">
        <v>26.916666666666668</v>
      </c>
      <c r="AG11" s="6025"/>
      <c r="AH11" s="6041">
        <v>29</v>
      </c>
      <c r="AI11" s="6042">
        <v>29</v>
      </c>
      <c r="AJ11" s="6042">
        <v>29</v>
      </c>
      <c r="AK11" s="6042">
        <v>30</v>
      </c>
      <c r="AL11" s="6042">
        <v>29</v>
      </c>
      <c r="AM11" s="6042">
        <v>29</v>
      </c>
      <c r="AN11" s="6042">
        <v>27</v>
      </c>
      <c r="AO11" s="6042">
        <v>26</v>
      </c>
      <c r="AP11" s="6042">
        <v>26</v>
      </c>
      <c r="AQ11" s="6042">
        <v>25</v>
      </c>
      <c r="AR11" s="6042">
        <v>25</v>
      </c>
      <c r="AS11" s="6042">
        <v>15</v>
      </c>
      <c r="AT11" s="6040">
        <v>15</v>
      </c>
      <c r="AU11" s="6040">
        <v>26.583333333333332</v>
      </c>
      <c r="AV11" s="6025"/>
      <c r="AW11" s="6043">
        <v>14</v>
      </c>
      <c r="AX11" s="6042">
        <v>14</v>
      </c>
      <c r="AY11" s="6042"/>
      <c r="AZ11" s="6042"/>
      <c r="BA11" s="6042"/>
      <c r="BB11" s="6042"/>
      <c r="BC11" s="6042"/>
      <c r="BD11" s="6042"/>
      <c r="BE11" s="6042"/>
      <c r="BF11" s="6042"/>
      <c r="BG11" s="6042"/>
      <c r="BH11" s="6042"/>
      <c r="BI11" s="6040">
        <f t="shared" si="3"/>
        <v>14</v>
      </c>
      <c r="BJ11" s="6044">
        <f t="shared" si="5"/>
        <v>14</v>
      </c>
      <c r="BL11" s="5620">
        <f t="shared" si="0"/>
        <v>-15</v>
      </c>
      <c r="BM11" s="5620">
        <f t="shared" si="4"/>
        <v>-12.583333333333332</v>
      </c>
      <c r="BN11" s="5941">
        <f>IFERROR(
  SUM(
    _xlfn.XLOOKUP(DATE(YEAR($A$1),1,1),$2:$2,11:11):
    _xlfn.XLOOKUP($A$1,$2:$2,11:11)
  )
 -SUM(
    _xlfn.XLOOKUP(DATE(YEAR($A$1)-1,1,1),$2:$2,11:11):
    _xlfn.XLOOKUP(EDATE($A$1,-12),$2:$2,11:11)
  ),"")</f>
        <v>-30</v>
      </c>
      <c r="BO11" s="5620">
        <f t="shared" si="2"/>
        <v>0</v>
      </c>
    </row>
    <row r="12" spans="1:67" x14ac:dyDescent="0.55000000000000004">
      <c r="A12" s="7274"/>
      <c r="B12" s="556" t="s">
        <v>1188</v>
      </c>
      <c r="C12" s="6031" t="s">
        <v>1189</v>
      </c>
      <c r="D12" s="6032">
        <v>49.275000000000006</v>
      </c>
      <c r="E12" s="6032">
        <v>54.350000000000009</v>
      </c>
      <c r="F12" s="6032">
        <v>50.475000000000001</v>
      </c>
      <c r="G12" s="6032">
        <v>42.024999999999999</v>
      </c>
      <c r="H12" s="6032">
        <v>58.949999999999996</v>
      </c>
      <c r="I12" s="6032">
        <v>45.375</v>
      </c>
      <c r="J12" s="6032">
        <v>69.799999999999983</v>
      </c>
      <c r="K12" s="6032">
        <v>74.849999999999994</v>
      </c>
      <c r="L12" s="6032">
        <v>55.725000000000001</v>
      </c>
      <c r="M12" s="6032">
        <v>43.174999999999997</v>
      </c>
      <c r="N12" s="6032">
        <v>46.271428571428579</v>
      </c>
      <c r="O12" s="6032">
        <v>46.857142857142854</v>
      </c>
      <c r="P12" s="6033">
        <v>46.857142857142854</v>
      </c>
      <c r="Q12" s="6033">
        <v>53.094047619047622</v>
      </c>
      <c r="R12" s="6025"/>
      <c r="S12" s="6034">
        <v>46.95000000000001</v>
      </c>
      <c r="T12" s="6025">
        <v>34.249999999999993</v>
      </c>
      <c r="U12" s="6025">
        <v>46.550000000000004</v>
      </c>
      <c r="V12" s="6025">
        <v>60.4</v>
      </c>
      <c r="W12" s="6025">
        <v>47.5</v>
      </c>
      <c r="X12" s="6025">
        <v>68.566666666666663</v>
      </c>
      <c r="Y12" s="6025">
        <v>63</v>
      </c>
      <c r="Z12" s="6025">
        <v>57.649999999999991</v>
      </c>
      <c r="AA12" s="6025">
        <v>48.8</v>
      </c>
      <c r="AB12" s="6025">
        <v>62.8</v>
      </c>
      <c r="AC12" s="6025">
        <v>27.7</v>
      </c>
      <c r="AD12" s="6025">
        <v>29.4</v>
      </c>
      <c r="AE12" s="6033">
        <v>29.4</v>
      </c>
      <c r="AF12" s="6033">
        <v>49.463888888888896</v>
      </c>
      <c r="AG12" s="6025"/>
      <c r="AH12" s="6034">
        <v>102</v>
      </c>
      <c r="AI12" s="6025">
        <v>98.4</v>
      </c>
      <c r="AJ12" s="6025">
        <v>89.7</v>
      </c>
      <c r="AK12" s="6025">
        <v>49.800000000000004</v>
      </c>
      <c r="AL12" s="6025">
        <v>72.099999999999994</v>
      </c>
      <c r="AM12" s="6025">
        <v>45.4</v>
      </c>
      <c r="AN12" s="6025">
        <v>94.2</v>
      </c>
      <c r="AO12" s="6025">
        <v>52.7</v>
      </c>
      <c r="AP12" s="6025">
        <v>73.7</v>
      </c>
      <c r="AQ12" s="6025">
        <v>50.7</v>
      </c>
      <c r="AR12" s="6025">
        <v>32.4</v>
      </c>
      <c r="AS12" s="6025">
        <v>27.5</v>
      </c>
      <c r="AT12" s="6033">
        <v>27.5</v>
      </c>
      <c r="AU12" s="6033">
        <v>65.716666666666683</v>
      </c>
      <c r="AV12" s="6025"/>
      <c r="AW12" s="6035">
        <v>32.5</v>
      </c>
      <c r="AX12" s="6025">
        <v>26.8</v>
      </c>
      <c r="AY12" s="6025"/>
      <c r="AZ12" s="6025"/>
      <c r="BA12" s="6025"/>
      <c r="BB12" s="6025"/>
      <c r="BC12" s="6025"/>
      <c r="BD12" s="6025"/>
      <c r="BE12" s="6025"/>
      <c r="BF12" s="6025"/>
      <c r="BG12" s="6025"/>
      <c r="BH12" s="6025"/>
      <c r="BI12" s="6033">
        <f t="shared" si="3"/>
        <v>29.65</v>
      </c>
      <c r="BJ12" s="6036">
        <f t="shared" si="5"/>
        <v>29.65</v>
      </c>
      <c r="BL12" s="5620">
        <f t="shared" si="0"/>
        <v>-71.600000000000009</v>
      </c>
      <c r="BM12" s="5620">
        <f t="shared" si="4"/>
        <v>-36.066666666666684</v>
      </c>
      <c r="BN12" s="5941">
        <f>IFERROR(
  SUM(
    _xlfn.XLOOKUP(DATE(YEAR($A$1),1,1),$2:$2,12:12):
    _xlfn.XLOOKUP($A$1,$2:$2,12:12)
  )
 -SUM(
    _xlfn.XLOOKUP(DATE(YEAR($A$1)-1,1,1),$2:$2,12:12):
    _xlfn.XLOOKUP(EDATE($A$1,-12),$2:$2,12:12)
  ),"")</f>
        <v>-141.10000000000002</v>
      </c>
      <c r="BO12" s="5620">
        <f t="shared" si="2"/>
        <v>-5.6999999999999993</v>
      </c>
    </row>
    <row r="13" spans="1:67" x14ac:dyDescent="0.55000000000000004">
      <c r="A13" s="7357" t="s">
        <v>164</v>
      </c>
      <c r="B13" s="6037" t="s">
        <v>1187</v>
      </c>
      <c r="C13" s="6038"/>
      <c r="D13" s="6039">
        <v>29</v>
      </c>
      <c r="E13" s="6039">
        <v>29</v>
      </c>
      <c r="F13" s="6039">
        <v>28</v>
      </c>
      <c r="G13" s="6039">
        <v>28</v>
      </c>
      <c r="H13" s="6039">
        <v>29</v>
      </c>
      <c r="I13" s="6039">
        <v>31</v>
      </c>
      <c r="J13" s="6039">
        <v>30</v>
      </c>
      <c r="K13" s="6039">
        <v>30</v>
      </c>
      <c r="L13" s="6039">
        <v>30</v>
      </c>
      <c r="M13" s="6039">
        <v>29</v>
      </c>
      <c r="N13" s="6039">
        <v>27</v>
      </c>
      <c r="O13" s="6039">
        <v>26</v>
      </c>
      <c r="P13" s="6040">
        <v>26</v>
      </c>
      <c r="Q13" s="6040">
        <v>28.833333333333332</v>
      </c>
      <c r="R13" s="6025"/>
      <c r="S13" s="6041">
        <v>25</v>
      </c>
      <c r="T13" s="6042">
        <v>23</v>
      </c>
      <c r="U13" s="6042">
        <v>22</v>
      </c>
      <c r="V13" s="6042">
        <v>26</v>
      </c>
      <c r="W13" s="6042">
        <v>31</v>
      </c>
      <c r="X13" s="6042">
        <v>33</v>
      </c>
      <c r="Y13" s="6042">
        <v>32</v>
      </c>
      <c r="Z13" s="6042">
        <v>32</v>
      </c>
      <c r="AA13" s="6042">
        <v>35</v>
      </c>
      <c r="AB13" s="6042">
        <v>35</v>
      </c>
      <c r="AC13" s="6042">
        <v>34</v>
      </c>
      <c r="AD13" s="6042">
        <v>35</v>
      </c>
      <c r="AE13" s="6040">
        <v>35</v>
      </c>
      <c r="AF13" s="6040">
        <v>30.25</v>
      </c>
      <c r="AG13" s="6025"/>
      <c r="AH13" s="6041">
        <v>41</v>
      </c>
      <c r="AI13" s="6042">
        <v>39</v>
      </c>
      <c r="AJ13" s="6042">
        <v>43</v>
      </c>
      <c r="AK13" s="6042">
        <v>44</v>
      </c>
      <c r="AL13" s="6042">
        <v>43</v>
      </c>
      <c r="AM13" s="6042">
        <v>38</v>
      </c>
      <c r="AN13" s="6042">
        <v>28</v>
      </c>
      <c r="AO13" s="6042">
        <v>28</v>
      </c>
      <c r="AP13" s="6042">
        <v>29</v>
      </c>
      <c r="AQ13" s="6042">
        <v>27</v>
      </c>
      <c r="AR13" s="6042">
        <v>27</v>
      </c>
      <c r="AS13" s="6042">
        <v>17</v>
      </c>
      <c r="AT13" s="6040">
        <v>17</v>
      </c>
      <c r="AU13" s="6040">
        <v>33.666666666666664</v>
      </c>
      <c r="AV13" s="6025"/>
      <c r="AW13" s="6043">
        <v>16</v>
      </c>
      <c r="AX13" s="6042">
        <v>15</v>
      </c>
      <c r="AY13" s="6042"/>
      <c r="AZ13" s="6042"/>
      <c r="BA13" s="6042"/>
      <c r="BB13" s="6042"/>
      <c r="BC13" s="6042"/>
      <c r="BD13" s="6042"/>
      <c r="BE13" s="6042"/>
      <c r="BF13" s="6042"/>
      <c r="BG13" s="6042"/>
      <c r="BH13" s="6042"/>
      <c r="BI13" s="6040">
        <f t="shared" si="3"/>
        <v>15.5</v>
      </c>
      <c r="BJ13" s="6044">
        <f t="shared" si="5"/>
        <v>15.5</v>
      </c>
      <c r="BL13" s="5620">
        <f t="shared" si="0"/>
        <v>-24</v>
      </c>
      <c r="BM13" s="5620">
        <f t="shared" si="4"/>
        <v>-18.166666666666664</v>
      </c>
      <c r="BN13" s="5941">
        <f>IFERROR(
  SUM(
    _xlfn.XLOOKUP(DATE(YEAR($A$1),1,1),$2:$2,13:13):
    _xlfn.XLOOKUP($A$1,$2:$2,13:13)
  )
 -SUM(
    _xlfn.XLOOKUP(DATE(YEAR($A$1)-1,1,1),$2:$2,13:13):
    _xlfn.XLOOKUP(EDATE($A$1,-12),$2:$2,13:13)
  ),"")</f>
        <v>-49</v>
      </c>
      <c r="BO13" s="5620">
        <f t="shared" si="2"/>
        <v>-1</v>
      </c>
    </row>
    <row r="14" spans="1:67" ht="15.45" thickBot="1" x14ac:dyDescent="0.6">
      <c r="A14" s="7289"/>
      <c r="B14" s="6045" t="s">
        <v>1188</v>
      </c>
      <c r="C14" s="6046" t="s">
        <v>1189</v>
      </c>
      <c r="D14" s="6047">
        <v>48.58</v>
      </c>
      <c r="E14" s="6047">
        <v>46.120000000000005</v>
      </c>
      <c r="F14" s="6047">
        <v>35.5</v>
      </c>
      <c r="G14" s="6047">
        <v>39.76</v>
      </c>
      <c r="H14" s="6047">
        <v>39.160000000000004</v>
      </c>
      <c r="I14" s="6047">
        <v>48.18</v>
      </c>
      <c r="J14" s="6047">
        <v>36.64</v>
      </c>
      <c r="K14" s="6047">
        <v>29</v>
      </c>
      <c r="L14" s="6047">
        <v>26.4</v>
      </c>
      <c r="M14" s="6047">
        <v>26.860000000000003</v>
      </c>
      <c r="N14" s="6047">
        <v>46.35</v>
      </c>
      <c r="O14" s="6047">
        <v>44.524999999999999</v>
      </c>
      <c r="P14" s="6048">
        <v>44.524999999999999</v>
      </c>
      <c r="Q14" s="6048">
        <v>38.922916666666659</v>
      </c>
      <c r="R14" s="6025"/>
      <c r="S14" s="6034">
        <v>39.275000000000006</v>
      </c>
      <c r="T14" s="6025">
        <v>43.525000000000006</v>
      </c>
      <c r="U14" s="6025">
        <v>42.075000000000003</v>
      </c>
      <c r="V14" s="6025">
        <v>40.700000000000003</v>
      </c>
      <c r="W14" s="6025">
        <v>60.6</v>
      </c>
      <c r="X14" s="6025">
        <v>68.974999999999994</v>
      </c>
      <c r="Y14" s="6025">
        <v>59.1</v>
      </c>
      <c r="Z14" s="6025">
        <v>43.63</v>
      </c>
      <c r="AA14" s="6025">
        <v>52.5</v>
      </c>
      <c r="AB14" s="6025">
        <v>35.5</v>
      </c>
      <c r="AC14" s="6025">
        <v>20.100000000000001</v>
      </c>
      <c r="AD14" s="6025">
        <v>36.5</v>
      </c>
      <c r="AE14" s="6048">
        <v>36.5</v>
      </c>
      <c r="AF14" s="6048">
        <v>45.206666666666671</v>
      </c>
      <c r="AG14" s="6025"/>
      <c r="AH14" s="6034">
        <v>46.3</v>
      </c>
      <c r="AI14" s="6025">
        <v>52.8</v>
      </c>
      <c r="AJ14" s="6025">
        <v>108.2</v>
      </c>
      <c r="AK14" s="6025">
        <v>49.271428571428565</v>
      </c>
      <c r="AL14" s="6025">
        <v>41.2</v>
      </c>
      <c r="AM14" s="6025">
        <v>44.8</v>
      </c>
      <c r="AN14" s="6025">
        <v>93.2</v>
      </c>
      <c r="AO14" s="6025">
        <v>57</v>
      </c>
      <c r="AP14" s="6025">
        <v>73.5</v>
      </c>
      <c r="AQ14" s="6025">
        <v>44.2</v>
      </c>
      <c r="AR14" s="6025">
        <v>38.299999999999997</v>
      </c>
      <c r="AS14" s="6025">
        <v>38.299999999999997</v>
      </c>
      <c r="AT14" s="6048">
        <v>38.299999999999997</v>
      </c>
      <c r="AU14" s="6048">
        <v>57.255952380952372</v>
      </c>
      <c r="AV14" s="6025"/>
      <c r="AW14" s="6049">
        <v>51.2</v>
      </c>
      <c r="AX14" s="6050">
        <v>41.6</v>
      </c>
      <c r="AY14" s="6050"/>
      <c r="AZ14" s="6050"/>
      <c r="BA14" s="6050"/>
      <c r="BB14" s="6050"/>
      <c r="BC14" s="6050"/>
      <c r="BD14" s="6050"/>
      <c r="BE14" s="6050"/>
      <c r="BF14" s="6050"/>
      <c r="BG14" s="6050"/>
      <c r="BH14" s="6050"/>
      <c r="BI14" s="6048">
        <f t="shared" si="3"/>
        <v>46.400000000000006</v>
      </c>
      <c r="BJ14" s="6051">
        <f t="shared" si="5"/>
        <v>46.400000000000006</v>
      </c>
      <c r="BL14" s="5620">
        <f t="shared" si="0"/>
        <v>-11.199999999999996</v>
      </c>
      <c r="BM14" s="5620">
        <f t="shared" ref="BM14:BM52" si="6">BJ14-AU14</f>
        <v>-10.855952380952367</v>
      </c>
      <c r="BN14" s="5941">
        <f>IFERROR(
  SUM(
    _xlfn.XLOOKUP(DATE(YEAR($A$1),1,1),$2:$2,14:14):
    _xlfn.XLOOKUP($A$1,$2:$2,14:14)
  )
 -SUM(
    _xlfn.XLOOKUP(DATE(YEAR($A$1)-1,1,1),$2:$2,14:14):
    _xlfn.XLOOKUP(EDATE($A$1,-12),$2:$2,14:14)
  ),"")</f>
        <v>-6.2999999999999829</v>
      </c>
      <c r="BO14" s="5620">
        <f t="shared" si="2"/>
        <v>-9.6000000000000014</v>
      </c>
    </row>
    <row r="15" spans="1:67" ht="15.45" thickBot="1" x14ac:dyDescent="0.6">
      <c r="A15" s="594"/>
      <c r="B15" s="594"/>
      <c r="C15" s="594"/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581"/>
      <c r="O15" s="581"/>
      <c r="P15" s="6052"/>
      <c r="Q15" s="6052"/>
      <c r="R15" s="6053"/>
      <c r="S15" s="4454"/>
      <c r="T15" s="6053"/>
      <c r="U15" s="6053"/>
      <c r="V15" s="6053"/>
      <c r="W15" s="6053"/>
      <c r="X15" s="6053"/>
      <c r="Y15" s="6053"/>
      <c r="Z15" s="6053"/>
      <c r="AA15" s="6053"/>
      <c r="AB15" s="6053"/>
      <c r="AC15" s="6053"/>
      <c r="AD15" s="6053"/>
      <c r="AE15" s="4454"/>
      <c r="AF15" s="4454"/>
      <c r="AG15" s="6053"/>
      <c r="AH15" s="4454"/>
      <c r="AI15" s="6053"/>
      <c r="AJ15" s="6053"/>
      <c r="AK15" s="6053"/>
      <c r="AL15" s="6053"/>
      <c r="AM15" s="6053"/>
      <c r="AN15" s="6053"/>
      <c r="AO15" s="6053"/>
      <c r="AP15" s="6053"/>
      <c r="AQ15" s="6053"/>
      <c r="AR15" s="6053"/>
      <c r="AS15" s="6053"/>
      <c r="AT15" s="4454"/>
      <c r="AU15" s="4454"/>
      <c r="AV15" s="6053"/>
      <c r="AW15" s="4454"/>
      <c r="AX15" s="6053"/>
      <c r="AY15" s="6053"/>
      <c r="AZ15" s="6053"/>
      <c r="BA15" s="6053"/>
      <c r="BB15" s="6053"/>
      <c r="BC15" s="6053"/>
      <c r="BD15" s="6053"/>
      <c r="BE15" s="6053"/>
      <c r="BF15" s="6053"/>
      <c r="BG15" s="6053"/>
      <c r="BH15" s="6053"/>
      <c r="BI15" s="4454"/>
      <c r="BJ15" s="4454"/>
      <c r="BL15" s="5620">
        <f t="shared" si="0"/>
        <v>0</v>
      </c>
      <c r="BM15" s="5620">
        <f t="shared" si="6"/>
        <v>0</v>
      </c>
      <c r="BN15" s="5941">
        <f>IFERROR(
  SUM(
    _xlfn.XLOOKUP(DATE(YEAR($A$1),1,1),$2:$2,15:15):
    _xlfn.XLOOKUP($A$1,$2:$2,15:15)
  )
 -SUM(
    _xlfn.XLOOKUP(DATE(YEAR($A$1)-1,1,1),$2:$2,15:15):
    _xlfn.XLOOKUP(EDATE($A$1,-12),$2:$2,15:15)
  ),"")</f>
        <v>0</v>
      </c>
      <c r="BO15" s="5620">
        <f t="shared" si="2"/>
        <v>0</v>
      </c>
    </row>
    <row r="16" spans="1:67" x14ac:dyDescent="0.55000000000000004">
      <c r="A16" s="7350" t="s">
        <v>92</v>
      </c>
      <c r="B16" s="6054" t="s">
        <v>962</v>
      </c>
      <c r="C16" s="6055"/>
      <c r="D16" s="6056">
        <v>727</v>
      </c>
      <c r="E16" s="6057">
        <v>1370</v>
      </c>
      <c r="F16" s="6057">
        <v>588</v>
      </c>
      <c r="G16" s="6057">
        <v>636</v>
      </c>
      <c r="H16" s="6057">
        <v>779</v>
      </c>
      <c r="I16" s="6057">
        <v>442</v>
      </c>
      <c r="J16" s="6057">
        <v>390</v>
      </c>
      <c r="K16" s="6057">
        <v>639</v>
      </c>
      <c r="L16" s="6057">
        <v>238</v>
      </c>
      <c r="M16" s="6057">
        <v>545</v>
      </c>
      <c r="N16" s="6057">
        <v>249</v>
      </c>
      <c r="O16" s="6058">
        <v>167</v>
      </c>
      <c r="P16" s="6059">
        <f>SUM(D16:O16)</f>
        <v>6770</v>
      </c>
      <c r="Q16" s="6059">
        <f>AVERAGE(D16:O16)</f>
        <v>564.16666666666663</v>
      </c>
      <c r="R16" s="6053"/>
      <c r="S16" s="6060">
        <v>318</v>
      </c>
      <c r="T16" s="6061">
        <v>183</v>
      </c>
      <c r="U16" s="6061">
        <v>261</v>
      </c>
      <c r="V16" s="6061">
        <v>242</v>
      </c>
      <c r="W16" s="6061">
        <v>330</v>
      </c>
      <c r="X16" s="6061">
        <v>206</v>
      </c>
      <c r="Y16" s="6061">
        <v>690</v>
      </c>
      <c r="Z16" s="6061">
        <v>217</v>
      </c>
      <c r="AA16" s="6061">
        <v>261</v>
      </c>
      <c r="AB16" s="6061">
        <v>226</v>
      </c>
      <c r="AC16" s="6061">
        <v>147</v>
      </c>
      <c r="AD16" s="6062">
        <v>111</v>
      </c>
      <c r="AE16" s="6059">
        <f t="shared" ref="AE16:AE52" si="7">SUM(S16:AD16)</f>
        <v>3192</v>
      </c>
      <c r="AF16" s="6059">
        <f>AVERAGE(S16:X16)</f>
        <v>256.66666666666669</v>
      </c>
      <c r="AG16" s="6053"/>
      <c r="AH16" s="6060">
        <v>154</v>
      </c>
      <c r="AI16" s="6061">
        <v>399</v>
      </c>
      <c r="AJ16" s="6061">
        <v>169</v>
      </c>
      <c r="AK16" s="6061">
        <v>287</v>
      </c>
      <c r="AL16" s="6061">
        <v>431</v>
      </c>
      <c r="AM16" s="6061">
        <v>191</v>
      </c>
      <c r="AN16" s="6061">
        <v>638</v>
      </c>
      <c r="AO16" s="6061">
        <v>196</v>
      </c>
      <c r="AP16" s="6061">
        <v>309</v>
      </c>
      <c r="AQ16" s="6061">
        <v>259</v>
      </c>
      <c r="AR16" s="6061">
        <v>194</v>
      </c>
      <c r="AS16" s="6062">
        <v>103</v>
      </c>
      <c r="AT16" s="6059">
        <f>SUM(AH16:AS16)</f>
        <v>3330</v>
      </c>
      <c r="AU16" s="6059">
        <f t="shared" ref="AU16:AU52" si="8">AVERAGE(AH16:AS16)</f>
        <v>277.5</v>
      </c>
      <c r="AV16" s="6053"/>
      <c r="AW16" s="6060">
        <v>267</v>
      </c>
      <c r="AX16" s="6061">
        <v>147</v>
      </c>
      <c r="AY16" s="6061"/>
      <c r="AZ16" s="6061"/>
      <c r="BA16" s="6061"/>
      <c r="BB16" s="6061"/>
      <c r="BC16" s="6061"/>
      <c r="BD16" s="6061"/>
      <c r="BE16" s="6061"/>
      <c r="BF16" s="6061"/>
      <c r="BG16" s="6061"/>
      <c r="BH16" s="6062"/>
      <c r="BI16" s="6059">
        <f>SUM(AW16:BH16)</f>
        <v>414</v>
      </c>
      <c r="BJ16" s="6059">
        <f>AVERAGE(AW16:BH16)</f>
        <v>207</v>
      </c>
      <c r="BK16" s="2340">
        <f>AU16/AVERAGE(S16:AA16)</f>
        <v>0.92226735598227472</v>
      </c>
      <c r="BL16" s="5620">
        <f t="shared" si="0"/>
        <v>-252</v>
      </c>
      <c r="BM16" s="5620">
        <f t="shared" si="6"/>
        <v>-70.5</v>
      </c>
      <c r="BN16" s="5941">
        <f>IFERROR(
  SUM(
    _xlfn.XLOOKUP(DATE(YEAR($A$1),1,1),$2:$2,16:16):
    _xlfn.XLOOKUP($A$1,$2:$2,16:16)
  )
 -SUM(
    _xlfn.XLOOKUP(DATE(YEAR($A$1)-1,1,1),$2:$2,16:16):
    _xlfn.XLOOKUP(EDATE($A$1,-12),$2:$2,16:16)
  ),"")</f>
        <v>-139</v>
      </c>
      <c r="BO16" s="5620">
        <f t="shared" si="2"/>
        <v>-120</v>
      </c>
    </row>
    <row r="17" spans="1:67" x14ac:dyDescent="0.55000000000000004">
      <c r="A17" s="7264"/>
      <c r="B17" s="886" t="s">
        <v>723</v>
      </c>
      <c r="C17" s="2690"/>
      <c r="D17" s="898">
        <v>561</v>
      </c>
      <c r="E17" s="898">
        <v>1124</v>
      </c>
      <c r="F17" s="898">
        <v>570</v>
      </c>
      <c r="G17" s="898">
        <v>499</v>
      </c>
      <c r="H17" s="898">
        <v>589</v>
      </c>
      <c r="I17" s="898">
        <v>256</v>
      </c>
      <c r="J17" s="898">
        <v>220</v>
      </c>
      <c r="K17" s="898">
        <v>501</v>
      </c>
      <c r="L17" s="898">
        <v>131</v>
      </c>
      <c r="M17" s="898">
        <v>403</v>
      </c>
      <c r="N17" s="898">
        <v>136</v>
      </c>
      <c r="O17" s="898">
        <v>68</v>
      </c>
      <c r="P17" s="6063">
        <v>5058</v>
      </c>
      <c r="Q17" s="6063">
        <v>421.5</v>
      </c>
      <c r="R17" s="6053"/>
      <c r="S17" s="6064">
        <v>115</v>
      </c>
      <c r="T17" s="4454">
        <v>139</v>
      </c>
      <c r="U17" s="4454">
        <v>209</v>
      </c>
      <c r="V17" s="4454">
        <v>181</v>
      </c>
      <c r="W17" s="4454">
        <v>274</v>
      </c>
      <c r="X17" s="4454">
        <v>170</v>
      </c>
      <c r="Y17" s="4454">
        <v>649</v>
      </c>
      <c r="Z17" s="4454">
        <v>171</v>
      </c>
      <c r="AA17" s="4454">
        <v>211</v>
      </c>
      <c r="AB17" s="4454">
        <v>171</v>
      </c>
      <c r="AC17" s="4454">
        <v>126</v>
      </c>
      <c r="AD17" s="4454">
        <v>92</v>
      </c>
      <c r="AE17" s="6063">
        <v>2508</v>
      </c>
      <c r="AF17" s="6063">
        <v>181.33333333333334</v>
      </c>
      <c r="AG17" s="6053"/>
      <c r="AH17" s="6064">
        <v>111</v>
      </c>
      <c r="AI17" s="4454">
        <v>343</v>
      </c>
      <c r="AJ17" s="6053">
        <v>117</v>
      </c>
      <c r="AK17" s="4454">
        <v>122</v>
      </c>
      <c r="AL17" s="4454">
        <v>172</v>
      </c>
      <c r="AM17" s="6053">
        <v>123</v>
      </c>
      <c r="AN17" s="4454">
        <v>276</v>
      </c>
      <c r="AO17" s="6053">
        <v>99</v>
      </c>
      <c r="AP17" s="4454">
        <v>200</v>
      </c>
      <c r="AQ17" s="4454">
        <v>186</v>
      </c>
      <c r="AR17" s="4454">
        <v>131</v>
      </c>
      <c r="AS17" s="4454">
        <v>74</v>
      </c>
      <c r="AT17" s="6063">
        <f t="shared" ref="AT17:AT52" si="9">SUM(AH17:AS17)</f>
        <v>1954</v>
      </c>
      <c r="AU17" s="6063">
        <f t="shared" si="8"/>
        <v>162.83333333333334</v>
      </c>
      <c r="AV17" s="6053"/>
      <c r="AW17" s="6064">
        <v>202</v>
      </c>
      <c r="AX17" s="4454">
        <v>74</v>
      </c>
      <c r="AY17" s="6053"/>
      <c r="AZ17" s="4454"/>
      <c r="BA17" s="4454"/>
      <c r="BB17" s="6053"/>
      <c r="BC17" s="4454"/>
      <c r="BD17" s="6053"/>
      <c r="BE17" s="4454"/>
      <c r="BF17" s="4454"/>
      <c r="BG17" s="4454"/>
      <c r="BH17" s="4454"/>
      <c r="BI17" s="6063">
        <f t="shared" ref="BI17:BI26" si="10">SUM(AW17:BH17)</f>
        <v>276</v>
      </c>
      <c r="BJ17" s="6063">
        <f>AVERAGE(AW17:BH17)</f>
        <v>138</v>
      </c>
      <c r="BL17" s="5620">
        <f t="shared" si="0"/>
        <v>-269</v>
      </c>
      <c r="BM17" s="5620">
        <f t="shared" si="6"/>
        <v>-24.833333333333343</v>
      </c>
      <c r="BN17" s="5941">
        <f>IFERROR(
  SUM(
    _xlfn.XLOOKUP(DATE(YEAR($A$1),1,1),$2:$2,17:17):
    _xlfn.XLOOKUP($A$1,$2:$2,17:17)
  )
 -SUM(
    _xlfn.XLOOKUP(DATE(YEAR($A$1)-1,1,1),$2:$2,17:17):
    _xlfn.XLOOKUP(EDATE($A$1,-12),$2:$2,17:17)
  ),"")</f>
        <v>-178</v>
      </c>
      <c r="BO17" s="5620">
        <f t="shared" si="2"/>
        <v>-128</v>
      </c>
    </row>
    <row r="18" spans="1:67" x14ac:dyDescent="0.55000000000000004">
      <c r="A18" s="7264"/>
      <c r="B18" s="886" t="s">
        <v>157</v>
      </c>
      <c r="C18" s="2690"/>
      <c r="D18" s="581">
        <v>504</v>
      </c>
      <c r="E18" s="581">
        <v>648</v>
      </c>
      <c r="F18" s="581">
        <v>734</v>
      </c>
      <c r="G18" s="581">
        <v>726</v>
      </c>
      <c r="H18" s="581">
        <v>831</v>
      </c>
      <c r="I18" s="581">
        <v>801</v>
      </c>
      <c r="J18" s="581">
        <v>715</v>
      </c>
      <c r="K18" s="581">
        <v>688</v>
      </c>
      <c r="L18" s="581">
        <v>679</v>
      </c>
      <c r="M18" s="581">
        <v>643</v>
      </c>
      <c r="N18" s="581">
        <v>747</v>
      </c>
      <c r="O18" s="581">
        <v>703</v>
      </c>
      <c r="P18" s="6063">
        <f>SUM(D18:O18)</f>
        <v>8419</v>
      </c>
      <c r="Q18" s="6063">
        <f t="shared" ref="Q18:Q52" si="11">AVERAGE(D18:O18)</f>
        <v>701.58333333333337</v>
      </c>
      <c r="R18" s="6053"/>
      <c r="S18" s="6064">
        <v>774</v>
      </c>
      <c r="T18" s="6053">
        <v>624</v>
      </c>
      <c r="U18" s="6053">
        <v>731</v>
      </c>
      <c r="V18" s="6053">
        <v>672</v>
      </c>
      <c r="W18" s="6053">
        <v>727</v>
      </c>
      <c r="X18" s="6053">
        <v>945</v>
      </c>
      <c r="Y18" s="6053">
        <v>851</v>
      </c>
      <c r="Z18" s="6053">
        <v>711</v>
      </c>
      <c r="AA18" s="6053">
        <v>892</v>
      </c>
      <c r="AB18" s="6053">
        <v>808</v>
      </c>
      <c r="AC18" s="6053">
        <v>582</v>
      </c>
      <c r="AD18" s="6053">
        <v>533</v>
      </c>
      <c r="AE18" s="6063">
        <f t="shared" si="7"/>
        <v>8850</v>
      </c>
      <c r="AF18" s="6063">
        <f t="shared" ref="AF18:AF26" si="12">AVERAGE(S18:X18)</f>
        <v>745.5</v>
      </c>
      <c r="AG18" s="6053"/>
      <c r="AH18" s="6064">
        <v>551</v>
      </c>
      <c r="AI18" s="6053">
        <v>529</v>
      </c>
      <c r="AJ18" s="6053">
        <v>775</v>
      </c>
      <c r="AK18" s="6053">
        <v>791</v>
      </c>
      <c r="AL18" s="6053">
        <v>958</v>
      </c>
      <c r="AM18" s="6053">
        <v>807</v>
      </c>
      <c r="AN18" s="6053">
        <v>1071</v>
      </c>
      <c r="AO18" s="6053">
        <v>830</v>
      </c>
      <c r="AP18" s="6053">
        <v>887</v>
      </c>
      <c r="AQ18" s="6053">
        <v>578</v>
      </c>
      <c r="AR18" s="6053">
        <v>487</v>
      </c>
      <c r="AS18" s="6053">
        <v>381</v>
      </c>
      <c r="AT18" s="6063">
        <f t="shared" si="9"/>
        <v>8645</v>
      </c>
      <c r="AU18" s="6063">
        <f t="shared" si="8"/>
        <v>720.41666666666663</v>
      </c>
      <c r="AV18" s="6053"/>
      <c r="AW18" s="6064">
        <v>408</v>
      </c>
      <c r="AX18" s="6053">
        <v>414</v>
      </c>
      <c r="AY18" s="6053"/>
      <c r="AZ18" s="6053"/>
      <c r="BA18" s="6053"/>
      <c r="BB18" s="6053"/>
      <c r="BC18" s="6053"/>
      <c r="BD18" s="6053"/>
      <c r="BE18" s="6053"/>
      <c r="BF18" s="6053"/>
      <c r="BG18" s="6053"/>
      <c r="BH18" s="6053"/>
      <c r="BI18" s="6063">
        <f t="shared" si="10"/>
        <v>822</v>
      </c>
      <c r="BJ18" s="6063">
        <f t="shared" ref="BJ18:BJ26" si="13">AVERAGE(AW18:BH18)</f>
        <v>411</v>
      </c>
      <c r="BK18" s="2340">
        <f>AU18/AVERAGE(S18:AA18)</f>
        <v>0.93601126028583803</v>
      </c>
      <c r="BL18" s="5620">
        <f t="shared" si="0"/>
        <v>-115</v>
      </c>
      <c r="BM18" s="5620">
        <f t="shared" si="6"/>
        <v>-309.41666666666663</v>
      </c>
      <c r="BN18" s="5941">
        <f>IFERROR(
  SUM(
    _xlfn.XLOOKUP(DATE(YEAR($A$1),1,1),$2:$2,18:18):
    _xlfn.XLOOKUP($A$1,$2:$2,18:18)
  )
 -SUM(
    _xlfn.XLOOKUP(DATE(YEAR($A$1)-1,1,1),$2:$2,18:18):
    _xlfn.XLOOKUP(EDATE($A$1,-12),$2:$2,18:18)
  ),"")</f>
        <v>-258</v>
      </c>
      <c r="BO18" s="5620">
        <f t="shared" si="2"/>
        <v>6</v>
      </c>
    </row>
    <row r="19" spans="1:67" x14ac:dyDescent="0.55000000000000004">
      <c r="A19" s="7264"/>
      <c r="B19" s="886" t="s">
        <v>158</v>
      </c>
      <c r="C19" s="2690"/>
      <c r="D19" s="581">
        <f>SUM(D20:D21)</f>
        <v>546</v>
      </c>
      <c r="E19" s="581">
        <f t="shared" ref="E19:O19" si="14">SUM(E20:E21)</f>
        <v>786</v>
      </c>
      <c r="F19" s="581">
        <f t="shared" si="14"/>
        <v>876</v>
      </c>
      <c r="G19" s="581">
        <f t="shared" si="14"/>
        <v>897</v>
      </c>
      <c r="H19" s="581">
        <f t="shared" si="14"/>
        <v>1358</v>
      </c>
      <c r="I19" s="581">
        <f t="shared" si="14"/>
        <v>1186</v>
      </c>
      <c r="J19" s="581">
        <f t="shared" si="14"/>
        <v>840</v>
      </c>
      <c r="K19" s="581">
        <f t="shared" si="14"/>
        <v>1020</v>
      </c>
      <c r="L19" s="581">
        <f t="shared" si="14"/>
        <v>789</v>
      </c>
      <c r="M19" s="898">
        <f t="shared" si="14"/>
        <v>580</v>
      </c>
      <c r="N19" s="581">
        <f t="shared" si="14"/>
        <v>685</v>
      </c>
      <c r="O19" s="581">
        <f t="shared" si="14"/>
        <v>771</v>
      </c>
      <c r="P19" s="6063">
        <f t="shared" ref="P19:P25" si="15">SUM(D19:O19)</f>
        <v>10334</v>
      </c>
      <c r="Q19" s="6063">
        <f t="shared" si="11"/>
        <v>861.16666666666663</v>
      </c>
      <c r="R19" s="6053"/>
      <c r="S19" s="6064">
        <f>SUM(S20:S21)</f>
        <v>609</v>
      </c>
      <c r="T19" s="6053">
        <f t="shared" ref="T19:AB19" si="16">SUM(T20:T21)</f>
        <v>499</v>
      </c>
      <c r="U19" s="6053">
        <f t="shared" si="16"/>
        <v>572</v>
      </c>
      <c r="V19" s="6053">
        <f t="shared" si="16"/>
        <v>741</v>
      </c>
      <c r="W19" s="6053">
        <f t="shared" si="16"/>
        <v>865</v>
      </c>
      <c r="X19" s="6053">
        <f t="shared" si="16"/>
        <v>1247</v>
      </c>
      <c r="Y19" s="6053">
        <f t="shared" si="16"/>
        <v>1115</v>
      </c>
      <c r="Z19" s="6053">
        <f t="shared" si="16"/>
        <v>1100</v>
      </c>
      <c r="AA19" s="6053">
        <f t="shared" si="16"/>
        <v>1082</v>
      </c>
      <c r="AB19" s="6053">
        <f t="shared" si="16"/>
        <v>877</v>
      </c>
      <c r="AC19" s="6053">
        <v>588</v>
      </c>
      <c r="AD19" s="6053">
        <v>664</v>
      </c>
      <c r="AE19" s="6063">
        <f t="shared" si="7"/>
        <v>9959</v>
      </c>
      <c r="AF19" s="6063">
        <f t="shared" si="12"/>
        <v>755.5</v>
      </c>
      <c r="AG19" s="6053"/>
      <c r="AH19" s="6064">
        <v>592</v>
      </c>
      <c r="AI19" s="6053">
        <v>662</v>
      </c>
      <c r="AJ19" s="6053">
        <v>750</v>
      </c>
      <c r="AK19" s="6053">
        <v>845</v>
      </c>
      <c r="AL19" s="6053">
        <v>731</v>
      </c>
      <c r="AM19" s="6053">
        <v>987</v>
      </c>
      <c r="AN19" s="6053">
        <v>1307</v>
      </c>
      <c r="AO19" s="6053">
        <v>1446</v>
      </c>
      <c r="AP19" s="6053">
        <v>1370</v>
      </c>
      <c r="AQ19" s="6053">
        <v>1339</v>
      </c>
      <c r="AR19" s="6053">
        <v>826</v>
      </c>
      <c r="AS19" s="6053">
        <v>505</v>
      </c>
      <c r="AT19" s="6063">
        <f t="shared" si="9"/>
        <v>11360</v>
      </c>
      <c r="AU19" s="6063">
        <f t="shared" si="8"/>
        <v>946.66666666666663</v>
      </c>
      <c r="AV19" s="6053"/>
      <c r="AW19" s="6064">
        <v>769</v>
      </c>
      <c r="AX19" s="6053">
        <v>969</v>
      </c>
      <c r="AY19" s="6053"/>
      <c r="AZ19" s="6053"/>
      <c r="BA19" s="6053"/>
      <c r="BB19" s="6053"/>
      <c r="BC19" s="6053"/>
      <c r="BD19" s="6053"/>
      <c r="BE19" s="6053"/>
      <c r="BF19" s="6053"/>
      <c r="BG19" s="6053"/>
      <c r="BH19" s="6053"/>
      <c r="BI19" s="6063">
        <f t="shared" si="10"/>
        <v>1738</v>
      </c>
      <c r="BJ19" s="6063">
        <f t="shared" si="13"/>
        <v>869</v>
      </c>
      <c r="BL19" s="5620">
        <f t="shared" si="0"/>
        <v>307</v>
      </c>
      <c r="BM19" s="5620">
        <f t="shared" si="6"/>
        <v>-77.666666666666629</v>
      </c>
      <c r="BN19" s="5941">
        <f>IFERROR(
  SUM(
    _xlfn.XLOOKUP(DATE(YEAR($A$1),1,1),$2:$2,19:19):
    _xlfn.XLOOKUP($A$1,$2:$2,19:19)
  )
 -SUM(
    _xlfn.XLOOKUP(DATE(YEAR($A$1)-1,1,1),$2:$2,19:19):
    _xlfn.XLOOKUP(EDATE($A$1,-12),$2:$2,19:19)
  ),"")</f>
        <v>484</v>
      </c>
      <c r="BO19" s="5620">
        <f t="shared" si="2"/>
        <v>200</v>
      </c>
    </row>
    <row r="20" spans="1:67" x14ac:dyDescent="0.55000000000000004">
      <c r="A20" s="7264"/>
      <c r="B20" s="886"/>
      <c r="C20" s="2695" t="s">
        <v>1175</v>
      </c>
      <c r="D20" s="581">
        <v>282</v>
      </c>
      <c r="E20" s="581">
        <v>335</v>
      </c>
      <c r="F20" s="581">
        <v>376</v>
      </c>
      <c r="G20" s="581">
        <v>408</v>
      </c>
      <c r="H20" s="581">
        <v>464</v>
      </c>
      <c r="I20" s="581">
        <v>393</v>
      </c>
      <c r="J20" s="581">
        <v>300</v>
      </c>
      <c r="K20" s="581">
        <v>285</v>
      </c>
      <c r="L20" s="581">
        <v>301</v>
      </c>
      <c r="M20" s="581">
        <v>288</v>
      </c>
      <c r="N20" s="581">
        <v>287</v>
      </c>
      <c r="O20" s="581">
        <v>0</v>
      </c>
      <c r="P20" s="6065">
        <f t="shared" si="15"/>
        <v>3719</v>
      </c>
      <c r="Q20" s="6065">
        <f t="shared" si="11"/>
        <v>309.91666666666669</v>
      </c>
      <c r="R20" s="6053"/>
      <c r="S20" s="6064">
        <v>243</v>
      </c>
      <c r="T20" s="6053">
        <v>248</v>
      </c>
      <c r="U20" s="6053">
        <v>272</v>
      </c>
      <c r="V20" s="6053">
        <v>230</v>
      </c>
      <c r="W20" s="6053">
        <v>292</v>
      </c>
      <c r="X20" s="6053">
        <v>453</v>
      </c>
      <c r="Y20" s="6053">
        <v>422</v>
      </c>
      <c r="Z20" s="6053">
        <v>754</v>
      </c>
      <c r="AA20" s="6053">
        <v>489</v>
      </c>
      <c r="AB20" s="6053">
        <v>460</v>
      </c>
      <c r="AC20" s="6053">
        <v>383</v>
      </c>
      <c r="AD20" s="6053">
        <v>265</v>
      </c>
      <c r="AE20" s="6065">
        <f t="shared" si="7"/>
        <v>4511</v>
      </c>
      <c r="AF20" s="6065">
        <f t="shared" si="12"/>
        <v>289.66666666666669</v>
      </c>
      <c r="AG20" s="6053"/>
      <c r="AH20" s="6064">
        <v>276</v>
      </c>
      <c r="AI20" s="6053">
        <v>282</v>
      </c>
      <c r="AJ20" s="6053">
        <v>347</v>
      </c>
      <c r="AK20" s="6053">
        <v>403</v>
      </c>
      <c r="AL20" s="6053">
        <v>527</v>
      </c>
      <c r="AM20" s="6053">
        <v>356</v>
      </c>
      <c r="AN20" s="6053">
        <v>648</v>
      </c>
      <c r="AO20" s="6053">
        <v>349</v>
      </c>
      <c r="AP20" s="6053">
        <v>373</v>
      </c>
      <c r="AQ20" s="6053">
        <v>191</v>
      </c>
      <c r="AR20" s="6053">
        <v>161</v>
      </c>
      <c r="AS20" s="6053">
        <v>128</v>
      </c>
      <c r="AT20" s="6065">
        <f t="shared" si="9"/>
        <v>4041</v>
      </c>
      <c r="AU20" s="6065">
        <f t="shared" si="8"/>
        <v>336.75</v>
      </c>
      <c r="AV20" s="6053"/>
      <c r="AW20" s="6064">
        <v>133</v>
      </c>
      <c r="AX20" s="6053">
        <v>129</v>
      </c>
      <c r="AY20" s="6053"/>
      <c r="AZ20" s="6053"/>
      <c r="BA20" s="6053"/>
      <c r="BB20" s="6053"/>
      <c r="BC20" s="6053"/>
      <c r="BD20" s="6053"/>
      <c r="BE20" s="6053"/>
      <c r="BF20" s="6053"/>
      <c r="BG20" s="6053"/>
      <c r="BH20" s="6053"/>
      <c r="BI20" s="6065">
        <f t="shared" si="10"/>
        <v>262</v>
      </c>
      <c r="BJ20" s="6065">
        <f t="shared" si="13"/>
        <v>131</v>
      </c>
      <c r="BL20" s="5620">
        <f t="shared" si="0"/>
        <v>-153</v>
      </c>
      <c r="BM20" s="5620">
        <f t="shared" si="6"/>
        <v>-205.75</v>
      </c>
      <c r="BN20" s="5941">
        <f>IFERROR(
  SUM(
    _xlfn.XLOOKUP(DATE(YEAR($A$1),1,1),$2:$2,20:20):
    _xlfn.XLOOKUP($A$1,$2:$2,20:20)
  )
 -SUM(
    _xlfn.XLOOKUP(DATE(YEAR($A$1)-1,1,1),$2:$2,20:20):
    _xlfn.XLOOKUP(EDATE($A$1,-12),$2:$2,20:20)
  ),"")</f>
        <v>-296</v>
      </c>
      <c r="BO20" s="5620">
        <f t="shared" si="2"/>
        <v>-4</v>
      </c>
    </row>
    <row r="21" spans="1:67" x14ac:dyDescent="0.55000000000000004">
      <c r="A21" s="7264"/>
      <c r="B21" s="886"/>
      <c r="C21" s="2695" t="s">
        <v>517</v>
      </c>
      <c r="D21" s="581">
        <v>264</v>
      </c>
      <c r="E21" s="581">
        <v>451</v>
      </c>
      <c r="F21" s="581">
        <v>500</v>
      </c>
      <c r="G21" s="581">
        <v>489</v>
      </c>
      <c r="H21" s="581">
        <v>894</v>
      </c>
      <c r="I21" s="581">
        <v>793</v>
      </c>
      <c r="J21" s="581">
        <v>540</v>
      </c>
      <c r="K21" s="581">
        <v>735</v>
      </c>
      <c r="L21" s="581">
        <v>488</v>
      </c>
      <c r="M21" s="581">
        <v>292</v>
      </c>
      <c r="N21" s="581">
        <v>398</v>
      </c>
      <c r="O21" s="581">
        <v>771</v>
      </c>
      <c r="P21" s="6065">
        <f t="shared" si="15"/>
        <v>6615</v>
      </c>
      <c r="Q21" s="6065">
        <f t="shared" si="11"/>
        <v>551.25</v>
      </c>
      <c r="R21" s="6053"/>
      <c r="S21" s="6064">
        <v>366</v>
      </c>
      <c r="T21" s="6053">
        <v>251</v>
      </c>
      <c r="U21" s="6053">
        <v>300</v>
      </c>
      <c r="V21" s="6053">
        <v>511</v>
      </c>
      <c r="W21" s="6053">
        <v>573</v>
      </c>
      <c r="X21" s="6053">
        <v>794</v>
      </c>
      <c r="Y21" s="6053">
        <v>693</v>
      </c>
      <c r="Z21" s="6053">
        <v>346</v>
      </c>
      <c r="AA21" s="6053">
        <v>593</v>
      </c>
      <c r="AB21" s="6053">
        <v>417</v>
      </c>
      <c r="AC21" s="6053">
        <v>205</v>
      </c>
      <c r="AD21" s="6053">
        <v>399</v>
      </c>
      <c r="AE21" s="6065">
        <f t="shared" si="7"/>
        <v>5448</v>
      </c>
      <c r="AF21" s="6065">
        <f t="shared" si="12"/>
        <v>465.83333333333331</v>
      </c>
      <c r="AG21" s="6053"/>
      <c r="AH21" s="6064">
        <v>316</v>
      </c>
      <c r="AI21" s="6053">
        <v>380</v>
      </c>
      <c r="AJ21" s="6053">
        <v>403</v>
      </c>
      <c r="AK21" s="6053">
        <v>442</v>
      </c>
      <c r="AL21" s="6053">
        <v>204</v>
      </c>
      <c r="AM21" s="6053">
        <v>631</v>
      </c>
      <c r="AN21" s="6053">
        <v>659</v>
      </c>
      <c r="AO21" s="6053">
        <v>1097</v>
      </c>
      <c r="AP21" s="6053">
        <v>997</v>
      </c>
      <c r="AQ21" s="6053">
        <v>1148</v>
      </c>
      <c r="AR21" s="6053">
        <v>665</v>
      </c>
      <c r="AS21" s="6053">
        <v>377</v>
      </c>
      <c r="AT21" s="6065">
        <f t="shared" si="9"/>
        <v>7319</v>
      </c>
      <c r="AU21" s="6065">
        <f t="shared" si="8"/>
        <v>609.91666666666663</v>
      </c>
      <c r="AV21" s="6053"/>
      <c r="AW21" s="6064">
        <v>636</v>
      </c>
      <c r="AX21" s="6053">
        <v>840</v>
      </c>
      <c r="AY21" s="6053"/>
      <c r="AZ21" s="6053"/>
      <c r="BA21" s="6053"/>
      <c r="BB21" s="6053"/>
      <c r="BC21" s="6053"/>
      <c r="BD21" s="6053"/>
      <c r="BE21" s="6053"/>
      <c r="BF21" s="6053"/>
      <c r="BG21" s="6053"/>
      <c r="BH21" s="6053"/>
      <c r="BI21" s="6065">
        <f t="shared" si="10"/>
        <v>1476</v>
      </c>
      <c r="BJ21" s="6065">
        <f t="shared" si="13"/>
        <v>738</v>
      </c>
      <c r="BL21" s="5620">
        <f t="shared" si="0"/>
        <v>460</v>
      </c>
      <c r="BM21" s="5620">
        <f t="shared" si="6"/>
        <v>128.08333333333337</v>
      </c>
      <c r="BN21" s="5941">
        <f>IFERROR(
  SUM(
    _xlfn.XLOOKUP(DATE(YEAR($A$1),1,1),$2:$2,21:21):
    _xlfn.XLOOKUP($A$1,$2:$2,21:21)
  )
 -SUM(
    _xlfn.XLOOKUP(DATE(YEAR($A$1)-1,1,1),$2:$2,21:21):
    _xlfn.XLOOKUP(EDATE($A$1,-12),$2:$2,21:21)
  ),"")</f>
        <v>780</v>
      </c>
      <c r="BO21" s="5620">
        <f t="shared" si="2"/>
        <v>204</v>
      </c>
    </row>
    <row r="22" spans="1:67" x14ac:dyDescent="0.55000000000000004">
      <c r="A22" s="7264"/>
      <c r="B22" s="2696" t="s">
        <v>159</v>
      </c>
      <c r="C22" s="2697"/>
      <c r="D22" s="6066"/>
      <c r="E22" s="6067"/>
      <c r="F22" s="6067"/>
      <c r="G22" s="6067"/>
      <c r="H22" s="6067"/>
      <c r="I22" s="6067"/>
      <c r="J22" s="6067"/>
      <c r="K22" s="6067"/>
      <c r="L22" s="6067"/>
      <c r="M22" s="6067"/>
      <c r="N22" s="6067"/>
      <c r="O22" s="6068"/>
      <c r="P22" s="6069">
        <f t="shared" si="15"/>
        <v>0</v>
      </c>
      <c r="Q22" s="6069"/>
      <c r="R22" s="6053"/>
      <c r="S22" s="6070">
        <v>37</v>
      </c>
      <c r="T22" s="6071">
        <v>57</v>
      </c>
      <c r="U22" s="6071">
        <v>120</v>
      </c>
      <c r="V22" s="6071">
        <v>111</v>
      </c>
      <c r="W22" s="6071">
        <v>111</v>
      </c>
      <c r="X22" s="6071">
        <v>116</v>
      </c>
      <c r="Y22" s="6071">
        <v>170</v>
      </c>
      <c r="Z22" s="6071">
        <v>92</v>
      </c>
      <c r="AA22" s="6071">
        <v>51</v>
      </c>
      <c r="AB22" s="6071">
        <v>52</v>
      </c>
      <c r="AC22" s="6071">
        <v>39</v>
      </c>
      <c r="AD22" s="6072">
        <v>29</v>
      </c>
      <c r="AE22" s="6069">
        <f t="shared" si="7"/>
        <v>985</v>
      </c>
      <c r="AF22" s="6069">
        <f t="shared" si="12"/>
        <v>92</v>
      </c>
      <c r="AG22" s="6053"/>
      <c r="AH22" s="6070">
        <v>28</v>
      </c>
      <c r="AI22" s="6071">
        <v>93</v>
      </c>
      <c r="AJ22" s="6071">
        <v>84</v>
      </c>
      <c r="AK22" s="6071">
        <v>87</v>
      </c>
      <c r="AL22" s="6071">
        <v>147</v>
      </c>
      <c r="AM22" s="6071">
        <v>83</v>
      </c>
      <c r="AN22" s="6071">
        <v>261</v>
      </c>
      <c r="AO22" s="6071">
        <v>80</v>
      </c>
      <c r="AP22" s="6071">
        <v>94</v>
      </c>
      <c r="AQ22" s="6071">
        <v>101</v>
      </c>
      <c r="AR22" s="6071">
        <v>65</v>
      </c>
      <c r="AS22" s="6072">
        <v>24</v>
      </c>
      <c r="AT22" s="6069">
        <f t="shared" si="9"/>
        <v>1147</v>
      </c>
      <c r="AU22" s="6069">
        <f t="shared" si="8"/>
        <v>95.583333333333329</v>
      </c>
      <c r="AV22" s="6053"/>
      <c r="AW22" s="6070">
        <v>61</v>
      </c>
      <c r="AX22" s="6071">
        <v>39</v>
      </c>
      <c r="AY22" s="6071"/>
      <c r="AZ22" s="6071"/>
      <c r="BA22" s="6071"/>
      <c r="BB22" s="6071"/>
      <c r="BC22" s="6071"/>
      <c r="BD22" s="6071"/>
      <c r="BE22" s="6071"/>
      <c r="BF22" s="6071"/>
      <c r="BG22" s="6071"/>
      <c r="BH22" s="6072"/>
      <c r="BI22" s="6069">
        <f t="shared" si="10"/>
        <v>100</v>
      </c>
      <c r="BJ22" s="6069">
        <f t="shared" si="13"/>
        <v>50</v>
      </c>
      <c r="BL22" s="5620">
        <f t="shared" si="0"/>
        <v>-54</v>
      </c>
      <c r="BM22" s="5620">
        <f t="shared" si="6"/>
        <v>-45.583333333333329</v>
      </c>
      <c r="BN22" s="5941">
        <f>IFERROR(
  SUM(
    _xlfn.XLOOKUP(DATE(YEAR($A$1),1,1),$2:$2,22:22):
    _xlfn.XLOOKUP($A$1,$2:$2,22:22)
  )
 -SUM(
    _xlfn.XLOOKUP(DATE(YEAR($A$1)-1,1,1),$2:$2,22:22):
    _xlfn.XLOOKUP(EDATE($A$1,-12),$2:$2,22:22)
  ),"")</f>
        <v>-21</v>
      </c>
      <c r="BO22" s="5620">
        <f t="shared" si="2"/>
        <v>-22</v>
      </c>
    </row>
    <row r="23" spans="1:67" x14ac:dyDescent="0.55000000000000004">
      <c r="A23" s="7264"/>
      <c r="B23" s="886" t="s">
        <v>878</v>
      </c>
      <c r="C23" s="2690"/>
      <c r="D23" s="581">
        <v>0</v>
      </c>
      <c r="E23" s="581">
        <v>0</v>
      </c>
      <c r="F23" s="581">
        <v>5</v>
      </c>
      <c r="G23" s="581">
        <v>2</v>
      </c>
      <c r="H23" s="581">
        <v>10</v>
      </c>
      <c r="I23" s="581">
        <v>15</v>
      </c>
      <c r="J23" s="581">
        <v>17</v>
      </c>
      <c r="K23" s="581">
        <v>19</v>
      </c>
      <c r="L23" s="581">
        <v>10</v>
      </c>
      <c r="M23" s="581">
        <v>6</v>
      </c>
      <c r="N23" s="581">
        <v>16</v>
      </c>
      <c r="O23" s="581">
        <v>11</v>
      </c>
      <c r="P23" s="6063">
        <f t="shared" si="15"/>
        <v>111</v>
      </c>
      <c r="Q23" s="6063">
        <f t="shared" si="11"/>
        <v>9.25</v>
      </c>
      <c r="R23" s="6053"/>
      <c r="S23" s="6064">
        <v>10</v>
      </c>
      <c r="T23" s="6053">
        <v>15</v>
      </c>
      <c r="U23" s="6053">
        <v>20</v>
      </c>
      <c r="V23" s="6053">
        <v>39</v>
      </c>
      <c r="W23" s="6053">
        <v>47</v>
      </c>
      <c r="X23" s="6053">
        <v>57</v>
      </c>
      <c r="Y23" s="6053">
        <v>51</v>
      </c>
      <c r="Z23" s="6053">
        <v>57</v>
      </c>
      <c r="AA23" s="6053">
        <v>33</v>
      </c>
      <c r="AB23" s="6053">
        <v>71</v>
      </c>
      <c r="AC23" s="6053">
        <v>49</v>
      </c>
      <c r="AD23" s="6053">
        <v>35</v>
      </c>
      <c r="AE23" s="6063">
        <f t="shared" si="7"/>
        <v>484</v>
      </c>
      <c r="AF23" s="6063">
        <f t="shared" si="12"/>
        <v>31.333333333333332</v>
      </c>
      <c r="AG23" s="6053"/>
      <c r="AH23" s="6064">
        <v>21</v>
      </c>
      <c r="AI23" s="6053">
        <v>41</v>
      </c>
      <c r="AJ23" s="6053">
        <v>49</v>
      </c>
      <c r="AK23" s="6053">
        <v>84</v>
      </c>
      <c r="AL23" s="6053">
        <v>70</v>
      </c>
      <c r="AM23" s="6053">
        <v>56</v>
      </c>
      <c r="AN23" s="6053">
        <v>50</v>
      </c>
      <c r="AO23" s="6053">
        <v>49</v>
      </c>
      <c r="AP23" s="6053">
        <v>77</v>
      </c>
      <c r="AQ23" s="6053">
        <v>51</v>
      </c>
      <c r="AR23" s="6053">
        <v>41</v>
      </c>
      <c r="AS23" s="6053">
        <v>34</v>
      </c>
      <c r="AT23" s="6063">
        <f t="shared" si="9"/>
        <v>623</v>
      </c>
      <c r="AU23" s="6063">
        <f t="shared" si="8"/>
        <v>51.916666666666664</v>
      </c>
      <c r="AV23" s="6053"/>
      <c r="AW23" s="6064">
        <v>29</v>
      </c>
      <c r="AX23" s="6053">
        <v>43</v>
      </c>
      <c r="AY23" s="6053"/>
      <c r="AZ23" s="6053"/>
      <c r="BA23" s="6053"/>
      <c r="BB23" s="6053"/>
      <c r="BC23" s="6053"/>
      <c r="BD23" s="6053"/>
      <c r="BE23" s="6053"/>
      <c r="BF23" s="6053"/>
      <c r="BG23" s="6053"/>
      <c r="BH23" s="6053"/>
      <c r="BI23" s="6063">
        <f t="shared" si="10"/>
        <v>72</v>
      </c>
      <c r="BJ23" s="6063">
        <f t="shared" si="13"/>
        <v>36</v>
      </c>
      <c r="BL23" s="5620">
        <f t="shared" si="0"/>
        <v>2</v>
      </c>
      <c r="BM23" s="5620">
        <f t="shared" si="6"/>
        <v>-15.916666666666664</v>
      </c>
      <c r="BN23" s="5941">
        <f>IFERROR(
  SUM(
    _xlfn.XLOOKUP(DATE(YEAR($A$1),1,1),$2:$2,23:23):
    _xlfn.XLOOKUP($A$1,$2:$2,23:23)
  )
 -SUM(
    _xlfn.XLOOKUP(DATE(YEAR($A$1)-1,1,1),$2:$2,23:23):
    _xlfn.XLOOKUP(EDATE($A$1,-12),$2:$2,23:23)
  ),"")</f>
        <v>10</v>
      </c>
      <c r="BO23" s="5620">
        <f t="shared" si="2"/>
        <v>14</v>
      </c>
    </row>
    <row r="24" spans="1:67" x14ac:dyDescent="0.55000000000000004">
      <c r="A24" s="7264"/>
      <c r="B24" s="886"/>
      <c r="C24" s="2695" t="s">
        <v>518</v>
      </c>
      <c r="D24" s="581">
        <v>0</v>
      </c>
      <c r="E24" s="581">
        <v>0</v>
      </c>
      <c r="F24" s="581">
        <v>86</v>
      </c>
      <c r="G24" s="581">
        <v>25</v>
      </c>
      <c r="H24" s="581">
        <v>126</v>
      </c>
      <c r="I24" s="581">
        <v>267</v>
      </c>
      <c r="J24" s="581">
        <v>337</v>
      </c>
      <c r="K24" s="581">
        <v>325</v>
      </c>
      <c r="L24" s="581">
        <v>173</v>
      </c>
      <c r="M24" s="581">
        <v>111</v>
      </c>
      <c r="N24" s="581">
        <v>287</v>
      </c>
      <c r="O24" s="581">
        <v>151</v>
      </c>
      <c r="P24" s="6065">
        <f t="shared" si="15"/>
        <v>1888</v>
      </c>
      <c r="Q24" s="6065">
        <f t="shared" si="11"/>
        <v>157.33333333333334</v>
      </c>
      <c r="R24" s="6053"/>
      <c r="S24" s="6064">
        <v>115</v>
      </c>
      <c r="T24" s="6053">
        <v>225</v>
      </c>
      <c r="U24" s="6053">
        <v>335</v>
      </c>
      <c r="V24" s="6053">
        <v>603</v>
      </c>
      <c r="W24" s="6053">
        <v>613</v>
      </c>
      <c r="X24" s="6053">
        <v>876</v>
      </c>
      <c r="Y24" s="6053">
        <v>662</v>
      </c>
      <c r="Z24" s="6053">
        <v>815</v>
      </c>
      <c r="AA24" s="6053">
        <v>534</v>
      </c>
      <c r="AB24" s="6053">
        <v>1051</v>
      </c>
      <c r="AC24" s="6053">
        <v>718</v>
      </c>
      <c r="AD24" s="6053">
        <v>455</v>
      </c>
      <c r="AE24" s="6065">
        <f t="shared" si="7"/>
        <v>7002</v>
      </c>
      <c r="AF24" s="6065">
        <f t="shared" si="12"/>
        <v>461.16666666666669</v>
      </c>
      <c r="AG24" s="6053"/>
      <c r="AH24" s="6064">
        <v>313</v>
      </c>
      <c r="AI24" s="6053">
        <v>669</v>
      </c>
      <c r="AJ24" s="6053">
        <v>803</v>
      </c>
      <c r="AK24" s="6053">
        <v>1178</v>
      </c>
      <c r="AL24" s="6053">
        <v>1081</v>
      </c>
      <c r="AM24" s="6053">
        <v>883</v>
      </c>
      <c r="AN24" s="6053">
        <v>768</v>
      </c>
      <c r="AO24" s="6053">
        <v>661</v>
      </c>
      <c r="AP24" s="6053">
        <v>1263</v>
      </c>
      <c r="AQ24" s="6053">
        <v>748</v>
      </c>
      <c r="AR24" s="6053">
        <v>591</v>
      </c>
      <c r="AS24" s="6053">
        <v>543</v>
      </c>
      <c r="AT24" s="6065">
        <f t="shared" si="9"/>
        <v>9501</v>
      </c>
      <c r="AU24" s="6065">
        <f t="shared" si="8"/>
        <v>791.75</v>
      </c>
      <c r="AV24" s="6053"/>
      <c r="AW24" s="6064">
        <v>482</v>
      </c>
      <c r="AX24" s="6053">
        <v>512</v>
      </c>
      <c r="AY24" s="6053"/>
      <c r="AZ24" s="6053"/>
      <c r="BA24" s="6053"/>
      <c r="BB24" s="6053"/>
      <c r="BC24" s="6053"/>
      <c r="BD24" s="6053"/>
      <c r="BE24" s="6053"/>
      <c r="BF24" s="6053"/>
      <c r="BG24" s="6053"/>
      <c r="BH24" s="6053"/>
      <c r="BI24" s="6065">
        <f t="shared" si="10"/>
        <v>994</v>
      </c>
      <c r="BJ24" s="6065">
        <f t="shared" si="13"/>
        <v>497</v>
      </c>
      <c r="BK24" s="2340">
        <f>AU24/AVERAGE(S24:AA24)</f>
        <v>1.4913666806195061</v>
      </c>
      <c r="BL24" s="5620">
        <f t="shared" si="0"/>
        <v>-157</v>
      </c>
      <c r="BM24" s="5620">
        <f t="shared" si="6"/>
        <v>-294.75</v>
      </c>
      <c r="BN24" s="5941">
        <f>IFERROR(
  SUM(
    _xlfn.XLOOKUP(DATE(YEAR($A$1),1,1),$2:$2,24:24):
    _xlfn.XLOOKUP($A$1,$2:$2,24:24)
  )
 -SUM(
    _xlfn.XLOOKUP(DATE(YEAR($A$1)-1,1,1),$2:$2,24:24):
    _xlfn.XLOOKUP(EDATE($A$1,-12),$2:$2,24:24)
  ),"")</f>
        <v>12</v>
      </c>
      <c r="BO24" s="5620">
        <f t="shared" si="2"/>
        <v>30</v>
      </c>
    </row>
    <row r="25" spans="1:67" x14ac:dyDescent="0.55000000000000004">
      <c r="A25" s="7264"/>
      <c r="B25" s="886" t="s">
        <v>160</v>
      </c>
      <c r="C25" s="2690"/>
      <c r="D25" s="6073">
        <v>1</v>
      </c>
      <c r="E25" s="898">
        <v>0</v>
      </c>
      <c r="F25" s="898">
        <v>0</v>
      </c>
      <c r="G25" s="898">
        <v>2</v>
      </c>
      <c r="H25" s="898">
        <v>4</v>
      </c>
      <c r="I25" s="898">
        <v>0</v>
      </c>
      <c r="J25" s="898">
        <v>1</v>
      </c>
      <c r="K25" s="898">
        <v>0</v>
      </c>
      <c r="L25" s="898">
        <v>3</v>
      </c>
      <c r="M25" s="898">
        <v>1</v>
      </c>
      <c r="N25" s="898">
        <v>3</v>
      </c>
      <c r="O25" s="6074">
        <v>0</v>
      </c>
      <c r="P25" s="6063">
        <f t="shared" si="15"/>
        <v>15</v>
      </c>
      <c r="Q25" s="6063">
        <f t="shared" si="11"/>
        <v>1.25</v>
      </c>
      <c r="R25" s="6053"/>
      <c r="S25" s="6064">
        <v>0</v>
      </c>
      <c r="T25" s="4454">
        <v>0</v>
      </c>
      <c r="U25" s="4454">
        <v>1</v>
      </c>
      <c r="V25" s="4454">
        <v>6</v>
      </c>
      <c r="W25" s="4454">
        <v>2</v>
      </c>
      <c r="X25" s="4454">
        <v>12</v>
      </c>
      <c r="Y25" s="4454">
        <v>8</v>
      </c>
      <c r="Z25" s="4454">
        <v>13</v>
      </c>
      <c r="AA25" s="4454">
        <v>21</v>
      </c>
      <c r="AB25" s="6053">
        <v>0</v>
      </c>
      <c r="AC25" s="4454">
        <v>1</v>
      </c>
      <c r="AD25" s="6075">
        <v>0</v>
      </c>
      <c r="AE25" s="6063">
        <f t="shared" si="7"/>
        <v>64</v>
      </c>
      <c r="AF25" s="6063">
        <f t="shared" si="12"/>
        <v>3.5</v>
      </c>
      <c r="AG25" s="6053"/>
      <c r="AH25" s="6064">
        <v>1</v>
      </c>
      <c r="AI25" s="4454">
        <v>2</v>
      </c>
      <c r="AJ25" s="6053">
        <v>8</v>
      </c>
      <c r="AK25" s="4454">
        <v>3</v>
      </c>
      <c r="AL25" s="4454">
        <v>15</v>
      </c>
      <c r="AM25" s="6053">
        <v>0</v>
      </c>
      <c r="AN25" s="4454">
        <v>1</v>
      </c>
      <c r="AO25" s="6053">
        <v>3</v>
      </c>
      <c r="AP25" s="4454">
        <v>3</v>
      </c>
      <c r="AQ25" s="6053">
        <v>0</v>
      </c>
      <c r="AR25" s="4454">
        <v>2</v>
      </c>
      <c r="AS25" s="6075">
        <v>0</v>
      </c>
      <c r="AT25" s="6063">
        <f t="shared" si="9"/>
        <v>38</v>
      </c>
      <c r="AU25" s="6063">
        <f t="shared" si="8"/>
        <v>3.1666666666666665</v>
      </c>
      <c r="AV25" s="6053"/>
      <c r="AW25" s="6064">
        <v>2</v>
      </c>
      <c r="AX25" s="4454">
        <v>1</v>
      </c>
      <c r="AY25" s="6053"/>
      <c r="AZ25" s="4454"/>
      <c r="BA25" s="4454"/>
      <c r="BB25" s="6053"/>
      <c r="BC25" s="4454"/>
      <c r="BD25" s="6053"/>
      <c r="BE25" s="4454"/>
      <c r="BF25" s="6053"/>
      <c r="BG25" s="4454"/>
      <c r="BH25" s="6075"/>
      <c r="BI25" s="6063">
        <f t="shared" si="10"/>
        <v>3</v>
      </c>
      <c r="BJ25" s="6063">
        <f t="shared" si="13"/>
        <v>1.5</v>
      </c>
      <c r="BL25" s="5620">
        <f t="shared" si="0"/>
        <v>-1</v>
      </c>
      <c r="BM25" s="5620">
        <f t="shared" si="6"/>
        <v>-1.6666666666666665</v>
      </c>
      <c r="BN25" s="5941">
        <f>IFERROR(
  SUM(
    _xlfn.XLOOKUP(DATE(YEAR($A$1),1,1),$2:$2,25:25):
    _xlfn.XLOOKUP($A$1,$2:$2,25:25)
  )
 -SUM(
    _xlfn.XLOOKUP(DATE(YEAR($A$1)-1,1,1),$2:$2,25:25):
    _xlfn.XLOOKUP(EDATE($A$1,-12),$2:$2,25:25)
  ),"")</f>
        <v>0</v>
      </c>
      <c r="BO25" s="5620">
        <f t="shared" si="2"/>
        <v>-1</v>
      </c>
    </row>
    <row r="26" spans="1:67" x14ac:dyDescent="0.55000000000000004">
      <c r="A26" s="7265"/>
      <c r="B26" s="2706" t="s">
        <v>161</v>
      </c>
      <c r="C26" s="2707"/>
      <c r="D26" s="6076"/>
      <c r="E26" s="6077"/>
      <c r="F26" s="6077"/>
      <c r="G26" s="6077"/>
      <c r="H26" s="6077"/>
      <c r="I26" s="6077"/>
      <c r="J26" s="6077"/>
      <c r="K26" s="6077"/>
      <c r="L26" s="6077"/>
      <c r="M26" s="6077"/>
      <c r="N26" s="6077"/>
      <c r="O26" s="6078"/>
      <c r="P26" s="6079">
        <f t="shared" ref="P26:P52" si="17">SUM(D26:O26)</f>
        <v>0</v>
      </c>
      <c r="Q26" s="6079"/>
      <c r="R26" s="6053"/>
      <c r="S26" s="6080">
        <v>319</v>
      </c>
      <c r="T26" s="6081">
        <v>279</v>
      </c>
      <c r="U26" s="6081">
        <v>342</v>
      </c>
      <c r="V26" s="6081">
        <v>352</v>
      </c>
      <c r="W26" s="6081">
        <v>429</v>
      </c>
      <c r="X26" s="6081">
        <v>282</v>
      </c>
      <c r="Y26" s="6081">
        <v>265</v>
      </c>
      <c r="Z26" s="6081">
        <v>269</v>
      </c>
      <c r="AA26" s="6081">
        <v>230</v>
      </c>
      <c r="AB26" s="6081">
        <v>222</v>
      </c>
      <c r="AC26" s="6081">
        <v>195</v>
      </c>
      <c r="AD26" s="6082">
        <v>283</v>
      </c>
      <c r="AE26" s="6079">
        <f t="shared" si="7"/>
        <v>3467</v>
      </c>
      <c r="AF26" s="6079">
        <f t="shared" si="12"/>
        <v>333.83333333333331</v>
      </c>
      <c r="AG26" s="6053"/>
      <c r="AH26" s="6080">
        <v>145</v>
      </c>
      <c r="AI26" s="6081">
        <v>538</v>
      </c>
      <c r="AJ26" s="6081">
        <v>1274</v>
      </c>
      <c r="AK26" s="6081">
        <v>1344</v>
      </c>
      <c r="AL26" s="6081">
        <v>1234</v>
      </c>
      <c r="AM26" s="6081">
        <v>1278</v>
      </c>
      <c r="AN26" s="6081">
        <v>1983</v>
      </c>
      <c r="AO26" s="6081">
        <v>1534</v>
      </c>
      <c r="AP26" s="6081">
        <v>2433</v>
      </c>
      <c r="AQ26" s="6081">
        <v>1995</v>
      </c>
      <c r="AR26" s="6081">
        <v>1903</v>
      </c>
      <c r="AS26" s="6082">
        <v>1379</v>
      </c>
      <c r="AT26" s="6079">
        <f t="shared" si="9"/>
        <v>17040</v>
      </c>
      <c r="AU26" s="6079">
        <f t="shared" si="8"/>
        <v>1420</v>
      </c>
      <c r="AV26" s="6053"/>
      <c r="AW26" s="6080">
        <v>1424</v>
      </c>
      <c r="AX26" s="6081">
        <v>1382</v>
      </c>
      <c r="AY26" s="6081"/>
      <c r="AZ26" s="6081"/>
      <c r="BA26" s="6081"/>
      <c r="BB26" s="6081"/>
      <c r="BC26" s="6081"/>
      <c r="BD26" s="6081"/>
      <c r="BE26" s="6081"/>
      <c r="BF26" s="6081"/>
      <c r="BG26" s="6081"/>
      <c r="BH26" s="6082"/>
      <c r="BI26" s="6079">
        <f t="shared" si="10"/>
        <v>2806</v>
      </c>
      <c r="BJ26" s="6079">
        <f t="shared" si="13"/>
        <v>1403</v>
      </c>
      <c r="BL26" s="5620">
        <f t="shared" si="0"/>
        <v>844</v>
      </c>
      <c r="BM26" s="5620">
        <f t="shared" si="6"/>
        <v>-17</v>
      </c>
      <c r="BN26" s="5941">
        <f>IFERROR(
  SUM(
    _xlfn.XLOOKUP(DATE(YEAR($A$1),1,1),$2:$2,26:26):
    _xlfn.XLOOKUP($A$1,$2:$2,26:26)
  )
 -SUM(
    _xlfn.XLOOKUP(DATE(YEAR($A$1)-1,1,1),$2:$2,26:26):
    _xlfn.XLOOKUP(EDATE($A$1,-12),$2:$2,26:26)
  ),"")</f>
        <v>2123</v>
      </c>
      <c r="BO26" s="5620">
        <f t="shared" si="2"/>
        <v>-42</v>
      </c>
    </row>
    <row r="27" spans="1:67" x14ac:dyDescent="0.55000000000000004">
      <c r="A27" s="2715"/>
      <c r="B27" s="886"/>
      <c r="C27" s="2690"/>
      <c r="D27" s="581"/>
      <c r="E27" s="581"/>
      <c r="F27" s="581"/>
      <c r="G27" s="581"/>
      <c r="H27" s="581"/>
      <c r="I27" s="581"/>
      <c r="J27" s="581"/>
      <c r="K27" s="581"/>
      <c r="L27" s="581"/>
      <c r="M27" s="581"/>
      <c r="N27" s="581"/>
      <c r="O27" s="581"/>
      <c r="P27" s="6083"/>
      <c r="Q27" s="6083"/>
      <c r="R27" s="6053"/>
      <c r="S27" s="4454"/>
      <c r="T27" s="6053"/>
      <c r="U27" s="6053"/>
      <c r="V27" s="6053"/>
      <c r="W27" s="6053"/>
      <c r="X27" s="6053"/>
      <c r="Y27" s="6053"/>
      <c r="Z27" s="6053"/>
      <c r="AA27" s="6053"/>
      <c r="AB27" s="6053"/>
      <c r="AC27" s="6053"/>
      <c r="AD27" s="6053"/>
      <c r="AE27" s="6084"/>
      <c r="AF27" s="6084"/>
      <c r="AG27" s="6053"/>
      <c r="AH27" s="4454"/>
      <c r="AI27" s="6053"/>
      <c r="AJ27" s="6053"/>
      <c r="AK27" s="6053"/>
      <c r="AL27" s="6053"/>
      <c r="AM27" s="6053"/>
      <c r="AN27" s="6053"/>
      <c r="AO27" s="6053"/>
      <c r="AP27" s="6053"/>
      <c r="AQ27" s="6053"/>
      <c r="AR27" s="6053"/>
      <c r="AS27" s="6053"/>
      <c r="AT27" s="6084"/>
      <c r="AU27" s="6084"/>
      <c r="AV27" s="6053"/>
      <c r="AW27" s="6053"/>
      <c r="AX27" s="6053"/>
      <c r="AY27" s="6053"/>
      <c r="AZ27" s="6053"/>
      <c r="BA27" s="6053"/>
      <c r="BB27" s="6053"/>
      <c r="BC27" s="6053"/>
      <c r="BD27" s="6053"/>
      <c r="BE27" s="6053"/>
      <c r="BF27" s="6053"/>
      <c r="BG27" s="6053"/>
      <c r="BH27" s="6053"/>
      <c r="BI27" s="6084"/>
      <c r="BJ27" s="6084"/>
      <c r="BL27" s="5620">
        <f t="shared" si="0"/>
        <v>0</v>
      </c>
      <c r="BM27" s="5620">
        <f t="shared" si="6"/>
        <v>0</v>
      </c>
      <c r="BN27" s="5941">
        <f>IFERROR(
  SUM(
    _xlfn.XLOOKUP(DATE(YEAR($A$1),1,1),$2:$2,27:27):
    _xlfn.XLOOKUP($A$1,$2:$2,27:27)
  )
 -SUM(
    _xlfn.XLOOKUP(DATE(YEAR($A$1)-1,1,1),$2:$2,27:27):
    _xlfn.XLOOKUP(EDATE($A$1,-12),$2:$2,27:27)
  ),"")</f>
        <v>0</v>
      </c>
      <c r="BO27" s="5620">
        <f t="shared" si="2"/>
        <v>0</v>
      </c>
    </row>
    <row r="28" spans="1:67" x14ac:dyDescent="0.55000000000000004">
      <c r="A28" s="7351" t="s">
        <v>977</v>
      </c>
      <c r="B28" s="2733" t="s">
        <v>67</v>
      </c>
      <c r="C28" s="2734"/>
      <c r="D28" s="6085">
        <v>41</v>
      </c>
      <c r="E28" s="6086">
        <v>216</v>
      </c>
      <c r="F28" s="6086">
        <v>72</v>
      </c>
      <c r="G28" s="6086">
        <v>61</v>
      </c>
      <c r="H28" s="6086">
        <v>76</v>
      </c>
      <c r="I28" s="6086">
        <v>59</v>
      </c>
      <c r="J28" s="6086">
        <v>62</v>
      </c>
      <c r="K28" s="6086">
        <v>89</v>
      </c>
      <c r="L28" s="6086">
        <v>40</v>
      </c>
      <c r="M28" s="6086">
        <v>68</v>
      </c>
      <c r="N28" s="6086">
        <v>49</v>
      </c>
      <c r="O28" s="6087">
        <v>39</v>
      </c>
      <c r="P28" s="6088">
        <f>SUM(D28:O28)</f>
        <v>872</v>
      </c>
      <c r="Q28" s="6088">
        <f>AVERAGE(D28:O28)</f>
        <v>72.666666666666671</v>
      </c>
      <c r="R28" s="6053"/>
      <c r="S28" s="6089">
        <v>92</v>
      </c>
      <c r="T28" s="6090">
        <v>54</v>
      </c>
      <c r="U28" s="6090">
        <v>59</v>
      </c>
      <c r="V28" s="6090">
        <v>71</v>
      </c>
      <c r="W28" s="6090">
        <v>67</v>
      </c>
      <c r="X28" s="6090">
        <v>41</v>
      </c>
      <c r="Y28" s="6090">
        <v>130</v>
      </c>
      <c r="Z28" s="6090">
        <v>40</v>
      </c>
      <c r="AA28" s="6090">
        <v>57</v>
      </c>
      <c r="AB28" s="6090">
        <v>41</v>
      </c>
      <c r="AC28" s="6090">
        <v>37</v>
      </c>
      <c r="AD28" s="6091">
        <v>25</v>
      </c>
      <c r="AE28" s="6088">
        <f>SUM(S28:AD28)</f>
        <v>714</v>
      </c>
      <c r="AF28" s="6088">
        <f t="shared" ref="AF28:AF33" si="18">AVERAGE(S28:AD28)</f>
        <v>59.5</v>
      </c>
      <c r="AG28" s="6053"/>
      <c r="AH28" s="6089">
        <v>35</v>
      </c>
      <c r="AI28" s="6090">
        <v>99</v>
      </c>
      <c r="AJ28" s="6090">
        <v>31</v>
      </c>
      <c r="AK28" s="6090">
        <v>83</v>
      </c>
      <c r="AL28" s="6090">
        <v>106</v>
      </c>
      <c r="AM28" s="6090">
        <v>50</v>
      </c>
      <c r="AN28" s="6090">
        <v>114</v>
      </c>
      <c r="AO28" s="6090">
        <v>46</v>
      </c>
      <c r="AP28" s="6090">
        <v>70</v>
      </c>
      <c r="AQ28" s="6090">
        <v>71</v>
      </c>
      <c r="AR28" s="6090">
        <v>36</v>
      </c>
      <c r="AS28" s="6091">
        <v>24</v>
      </c>
      <c r="AT28" s="6088">
        <f t="shared" si="9"/>
        <v>765</v>
      </c>
      <c r="AU28" s="6088">
        <f t="shared" si="8"/>
        <v>63.75</v>
      </c>
      <c r="AV28" s="6053"/>
      <c r="AW28" s="6089">
        <v>76</v>
      </c>
      <c r="AX28" s="6090">
        <v>52</v>
      </c>
      <c r="AY28" s="6090"/>
      <c r="AZ28" s="6090"/>
      <c r="BA28" s="6090"/>
      <c r="BB28" s="6090"/>
      <c r="BC28" s="6090"/>
      <c r="BD28" s="6090"/>
      <c r="BE28" s="6090"/>
      <c r="BF28" s="6090"/>
      <c r="BG28" s="6090"/>
      <c r="BH28" s="6091"/>
      <c r="BI28" s="6088">
        <f>SUM(AW28:BH28)</f>
        <v>128</v>
      </c>
      <c r="BJ28" s="6088">
        <f>AVERAGE(AW28:BH28)</f>
        <v>64</v>
      </c>
      <c r="BL28" s="5620">
        <f t="shared" si="0"/>
        <v>-47</v>
      </c>
      <c r="BM28" s="5620">
        <f t="shared" si="6"/>
        <v>0.25</v>
      </c>
      <c r="BN28" s="5941">
        <f>IFERROR(
  SUM(
    _xlfn.XLOOKUP(DATE(YEAR($A$1),1,1),$2:$2,28:28):
    _xlfn.XLOOKUP($A$1,$2:$2,28:28)
  )
 -SUM(
    _xlfn.XLOOKUP(DATE(YEAR($A$1)-1,1,1),$2:$2,28:28):
    _xlfn.XLOOKUP(EDATE($A$1,-12),$2:$2,28:28)
  ),"")</f>
        <v>-6</v>
      </c>
      <c r="BO28" s="5620">
        <f t="shared" si="2"/>
        <v>-24</v>
      </c>
    </row>
    <row r="29" spans="1:67" x14ac:dyDescent="0.55000000000000004">
      <c r="A29" s="7352"/>
      <c r="B29" s="886" t="s">
        <v>68</v>
      </c>
      <c r="C29" s="2690"/>
      <c r="D29" s="581">
        <v>99</v>
      </c>
      <c r="E29" s="581">
        <v>168</v>
      </c>
      <c r="F29" s="581">
        <v>68</v>
      </c>
      <c r="G29" s="581">
        <v>71</v>
      </c>
      <c r="H29" s="581">
        <v>110</v>
      </c>
      <c r="I29" s="581">
        <v>72</v>
      </c>
      <c r="J29" s="581">
        <v>67</v>
      </c>
      <c r="K29" s="581">
        <v>70</v>
      </c>
      <c r="L29" s="581">
        <v>30</v>
      </c>
      <c r="M29" s="581">
        <v>90</v>
      </c>
      <c r="N29" s="581">
        <v>64</v>
      </c>
      <c r="O29" s="581">
        <v>31</v>
      </c>
      <c r="P29" s="6063">
        <f>SUM(D29:O29)</f>
        <v>940</v>
      </c>
      <c r="Q29" s="6063">
        <f>AVERAGE(D29:O29)</f>
        <v>78.333333333333329</v>
      </c>
      <c r="R29" s="6053"/>
      <c r="S29" s="6064">
        <v>85</v>
      </c>
      <c r="T29" s="6053">
        <v>18</v>
      </c>
      <c r="U29" s="6053">
        <v>42</v>
      </c>
      <c r="V29" s="6053">
        <v>23</v>
      </c>
      <c r="W29" s="6053">
        <v>46</v>
      </c>
      <c r="X29" s="6053">
        <v>43</v>
      </c>
      <c r="Y29" s="6053">
        <v>110</v>
      </c>
      <c r="Z29" s="6053">
        <v>30</v>
      </c>
      <c r="AA29" s="6053">
        <v>37</v>
      </c>
      <c r="AB29" s="6053">
        <v>30</v>
      </c>
      <c r="AC29" s="6053">
        <v>17</v>
      </c>
      <c r="AD29" s="6053">
        <v>9</v>
      </c>
      <c r="AE29" s="6063">
        <f>SUM(S29:AD29)</f>
        <v>490</v>
      </c>
      <c r="AF29" s="6063">
        <f t="shared" si="18"/>
        <v>40.833333333333336</v>
      </c>
      <c r="AG29" s="6053"/>
      <c r="AH29" s="6064">
        <v>7</v>
      </c>
      <c r="AI29" s="6053">
        <v>47</v>
      </c>
      <c r="AJ29" s="6053">
        <v>17</v>
      </c>
      <c r="AK29" s="6053">
        <v>23</v>
      </c>
      <c r="AL29" s="6053">
        <v>63</v>
      </c>
      <c r="AM29" s="6053">
        <v>14</v>
      </c>
      <c r="AN29" s="6053">
        <v>54</v>
      </c>
      <c r="AO29" s="6053">
        <v>16</v>
      </c>
      <c r="AP29" s="6053">
        <v>18</v>
      </c>
      <c r="AQ29" s="6053">
        <v>25</v>
      </c>
      <c r="AR29" s="6053">
        <v>12</v>
      </c>
      <c r="AS29" s="6053">
        <v>10</v>
      </c>
      <c r="AT29" s="6063">
        <f t="shared" si="9"/>
        <v>306</v>
      </c>
      <c r="AU29" s="6063">
        <f t="shared" si="8"/>
        <v>25.5</v>
      </c>
      <c r="AV29" s="6053"/>
      <c r="AW29" s="6064">
        <v>17</v>
      </c>
      <c r="AX29" s="6053">
        <v>11</v>
      </c>
      <c r="AY29" s="6053"/>
      <c r="AZ29" s="6053"/>
      <c r="BA29" s="6053"/>
      <c r="BB29" s="6053"/>
      <c r="BC29" s="6053"/>
      <c r="BD29" s="6053"/>
      <c r="BE29" s="6053"/>
      <c r="BF29" s="6053"/>
      <c r="BG29" s="6053"/>
      <c r="BH29" s="6053"/>
      <c r="BI29" s="6063">
        <f>SUM(AW29:BH29)</f>
        <v>28</v>
      </c>
      <c r="BJ29" s="6063">
        <f t="shared" ref="BJ29:BJ52" si="19">AVERAGE(AW29:BH29)</f>
        <v>14</v>
      </c>
      <c r="BL29" s="5620">
        <f t="shared" si="0"/>
        <v>-36</v>
      </c>
      <c r="BM29" s="5620">
        <f t="shared" si="6"/>
        <v>-11.5</v>
      </c>
      <c r="BN29" s="5941">
        <f>IFERROR(
  SUM(
    _xlfn.XLOOKUP(DATE(YEAR($A$1),1,1),$2:$2,29:29):
    _xlfn.XLOOKUP($A$1,$2:$2,29:29)
  )
 -SUM(
    _xlfn.XLOOKUP(DATE(YEAR($A$1)-1,1,1),$2:$2,29:29):
    _xlfn.XLOOKUP(EDATE($A$1,-12),$2:$2,29:29)
  ),"")</f>
        <v>-26</v>
      </c>
      <c r="BO29" s="5620">
        <f t="shared" si="2"/>
        <v>-6</v>
      </c>
    </row>
    <row r="30" spans="1:67" x14ac:dyDescent="0.55000000000000004">
      <c r="A30" s="7352"/>
      <c r="B30" s="886" t="s">
        <v>69</v>
      </c>
      <c r="C30" s="2690"/>
      <c r="D30" s="581">
        <v>139</v>
      </c>
      <c r="E30" s="581">
        <v>233</v>
      </c>
      <c r="F30" s="581">
        <v>131</v>
      </c>
      <c r="G30" s="581">
        <v>154</v>
      </c>
      <c r="H30" s="581">
        <v>222</v>
      </c>
      <c r="I30" s="581">
        <v>111</v>
      </c>
      <c r="J30" s="581">
        <v>75</v>
      </c>
      <c r="K30" s="581">
        <v>85</v>
      </c>
      <c r="L30" s="581">
        <v>48</v>
      </c>
      <c r="M30" s="581">
        <v>77</v>
      </c>
      <c r="N30" s="581">
        <v>36</v>
      </c>
      <c r="O30" s="581">
        <v>23</v>
      </c>
      <c r="P30" s="6063">
        <f>SUM(D30:O30)</f>
        <v>1334</v>
      </c>
      <c r="Q30" s="6063">
        <f>AVERAGE(D30:O30)</f>
        <v>111.16666666666667</v>
      </c>
      <c r="R30" s="6053"/>
      <c r="S30" s="6064">
        <v>23</v>
      </c>
      <c r="T30" s="6053">
        <v>28</v>
      </c>
      <c r="U30" s="6053">
        <v>26</v>
      </c>
      <c r="V30" s="6053">
        <v>24</v>
      </c>
      <c r="W30" s="6053">
        <v>35</v>
      </c>
      <c r="X30" s="6053">
        <v>20</v>
      </c>
      <c r="Y30" s="6053">
        <v>133</v>
      </c>
      <c r="Z30" s="6053">
        <v>28</v>
      </c>
      <c r="AA30" s="6053">
        <v>26</v>
      </c>
      <c r="AB30" s="6053">
        <v>20</v>
      </c>
      <c r="AC30" s="6053">
        <v>12</v>
      </c>
      <c r="AD30" s="6053">
        <v>18</v>
      </c>
      <c r="AE30" s="6063">
        <f>SUM(S30:AD30)</f>
        <v>393</v>
      </c>
      <c r="AF30" s="6063">
        <f t="shared" si="18"/>
        <v>32.75</v>
      </c>
      <c r="AG30" s="6053"/>
      <c r="AH30" s="6064">
        <v>22</v>
      </c>
      <c r="AI30" s="6053">
        <v>39</v>
      </c>
      <c r="AJ30" s="6053">
        <v>15</v>
      </c>
      <c r="AK30" s="6053">
        <v>62</v>
      </c>
      <c r="AL30" s="6053">
        <v>63</v>
      </c>
      <c r="AM30" s="6053">
        <v>26</v>
      </c>
      <c r="AN30" s="6053">
        <v>86</v>
      </c>
      <c r="AO30" s="6053">
        <v>28</v>
      </c>
      <c r="AP30" s="6053">
        <v>51</v>
      </c>
      <c r="AQ30" s="6053">
        <v>37</v>
      </c>
      <c r="AR30" s="6053">
        <v>18</v>
      </c>
      <c r="AS30" s="6053">
        <v>26</v>
      </c>
      <c r="AT30" s="6063">
        <f t="shared" si="9"/>
        <v>473</v>
      </c>
      <c r="AU30" s="6063">
        <f t="shared" si="8"/>
        <v>39.416666666666664</v>
      </c>
      <c r="AV30" s="6053"/>
      <c r="AW30" s="6064">
        <v>41</v>
      </c>
      <c r="AX30" s="6053">
        <v>8</v>
      </c>
      <c r="AY30" s="6053"/>
      <c r="AZ30" s="6053"/>
      <c r="BA30" s="6053"/>
      <c r="BB30" s="6053"/>
      <c r="BC30" s="6053"/>
      <c r="BD30" s="6053"/>
      <c r="BE30" s="6053"/>
      <c r="BF30" s="6053"/>
      <c r="BG30" s="6053"/>
      <c r="BH30" s="6053"/>
      <c r="BI30" s="6063">
        <f>SUM(AW30:BH30)</f>
        <v>49</v>
      </c>
      <c r="BJ30" s="6063">
        <f t="shared" si="19"/>
        <v>24.5</v>
      </c>
      <c r="BL30" s="5620">
        <f t="shared" si="0"/>
        <v>-31</v>
      </c>
      <c r="BM30" s="5620">
        <f t="shared" si="6"/>
        <v>-14.916666666666664</v>
      </c>
      <c r="BN30" s="5941">
        <f>IFERROR(
  SUM(
    _xlfn.XLOOKUP(DATE(YEAR($A$1),1,1),$2:$2,30:30):
    _xlfn.XLOOKUP($A$1,$2:$2,30:30)
  )
 -SUM(
    _xlfn.XLOOKUP(DATE(YEAR($A$1)-1,1,1),$2:$2,30:30):
    _xlfn.XLOOKUP(EDATE($A$1,-12),$2:$2,30:30)
  ),"")</f>
        <v>-12</v>
      </c>
      <c r="BO30" s="5620">
        <f t="shared" si="2"/>
        <v>-33</v>
      </c>
    </row>
    <row r="31" spans="1:67" x14ac:dyDescent="0.55000000000000004">
      <c r="A31" s="7352"/>
      <c r="B31" s="886" t="s">
        <v>163</v>
      </c>
      <c r="C31" s="2690"/>
      <c r="D31" s="581">
        <v>231</v>
      </c>
      <c r="E31" s="581">
        <v>387</v>
      </c>
      <c r="F31" s="581">
        <v>155</v>
      </c>
      <c r="G31" s="581">
        <v>196</v>
      </c>
      <c r="H31" s="581">
        <v>232</v>
      </c>
      <c r="I31" s="581">
        <v>125</v>
      </c>
      <c r="J31" s="581">
        <v>97</v>
      </c>
      <c r="K31" s="581">
        <v>287</v>
      </c>
      <c r="L31" s="581">
        <v>65</v>
      </c>
      <c r="M31" s="581">
        <v>189</v>
      </c>
      <c r="N31" s="581">
        <v>48</v>
      </c>
      <c r="O31" s="581">
        <v>40</v>
      </c>
      <c r="P31" s="6063">
        <f>SUM(D31:O31)</f>
        <v>2052</v>
      </c>
      <c r="Q31" s="6063">
        <f>AVERAGE(D31:O31)</f>
        <v>171</v>
      </c>
      <c r="R31" s="6053"/>
      <c r="S31" s="6064">
        <v>67</v>
      </c>
      <c r="T31" s="6053">
        <v>53</v>
      </c>
      <c r="U31" s="6053">
        <v>86</v>
      </c>
      <c r="V31" s="6053">
        <v>82</v>
      </c>
      <c r="W31" s="6053">
        <v>109</v>
      </c>
      <c r="X31" s="6053">
        <v>62</v>
      </c>
      <c r="Y31" s="6053">
        <v>165</v>
      </c>
      <c r="Z31" s="6053">
        <v>70</v>
      </c>
      <c r="AA31" s="6053">
        <v>75</v>
      </c>
      <c r="AB31" s="6053">
        <v>80</v>
      </c>
      <c r="AC31" s="6053">
        <v>47</v>
      </c>
      <c r="AD31" s="6053">
        <v>38</v>
      </c>
      <c r="AE31" s="6063">
        <f>SUM(S31:AD31)</f>
        <v>934</v>
      </c>
      <c r="AF31" s="6063">
        <f t="shared" si="18"/>
        <v>77.833333333333329</v>
      </c>
      <c r="AG31" s="6053"/>
      <c r="AH31" s="6064">
        <v>49</v>
      </c>
      <c r="AI31" s="6053">
        <v>118</v>
      </c>
      <c r="AJ31" s="6053">
        <v>66</v>
      </c>
      <c r="AK31" s="6053">
        <v>51</v>
      </c>
      <c r="AL31" s="6053">
        <v>77</v>
      </c>
      <c r="AM31" s="6053">
        <v>46</v>
      </c>
      <c r="AN31" s="6053">
        <v>131</v>
      </c>
      <c r="AO31" s="6053">
        <v>43</v>
      </c>
      <c r="AP31" s="6053">
        <v>67</v>
      </c>
      <c r="AQ31" s="6053">
        <v>62</v>
      </c>
      <c r="AR31" s="6053">
        <v>69</v>
      </c>
      <c r="AS31" s="6053">
        <v>15</v>
      </c>
      <c r="AT31" s="6063">
        <f t="shared" si="9"/>
        <v>794</v>
      </c>
      <c r="AU31" s="6063">
        <f t="shared" si="8"/>
        <v>66.166666666666671</v>
      </c>
      <c r="AV31" s="6053"/>
      <c r="AW31" s="6064">
        <v>50</v>
      </c>
      <c r="AX31" s="6053">
        <v>18</v>
      </c>
      <c r="AY31" s="6053"/>
      <c r="AZ31" s="6053"/>
      <c r="BA31" s="6053"/>
      <c r="BB31" s="6053"/>
      <c r="BC31" s="6053"/>
      <c r="BD31" s="6053"/>
      <c r="BE31" s="6053"/>
      <c r="BF31" s="6053"/>
      <c r="BG31" s="6053"/>
      <c r="BH31" s="6053"/>
      <c r="BI31" s="6063">
        <f>SUM(AW31:BH31)</f>
        <v>68</v>
      </c>
      <c r="BJ31" s="6063">
        <f t="shared" si="19"/>
        <v>34</v>
      </c>
      <c r="BL31" s="5620">
        <f t="shared" si="0"/>
        <v>-100</v>
      </c>
      <c r="BM31" s="5620">
        <f t="shared" si="6"/>
        <v>-32.166666666666671</v>
      </c>
      <c r="BN31" s="5941">
        <f>IFERROR(
  SUM(
    _xlfn.XLOOKUP(DATE(YEAR($A$1),1,1),$2:$2,31:31):
    _xlfn.XLOOKUP($A$1,$2:$2,31:31)
  )
 -SUM(
    _xlfn.XLOOKUP(DATE(YEAR($A$1)-1,1,1),$2:$2,31:31):
    _xlfn.XLOOKUP(EDATE($A$1,-12),$2:$2,31:31)
  ),"")</f>
        <v>-99</v>
      </c>
      <c r="BO31" s="5620">
        <f t="shared" si="2"/>
        <v>-32</v>
      </c>
    </row>
    <row r="32" spans="1:67" x14ac:dyDescent="0.55000000000000004">
      <c r="A32" s="7352"/>
      <c r="B32" s="886" t="s">
        <v>164</v>
      </c>
      <c r="C32" s="2690"/>
      <c r="D32" s="581">
        <v>217</v>
      </c>
      <c r="E32" s="581">
        <v>366</v>
      </c>
      <c r="F32" s="581">
        <v>162</v>
      </c>
      <c r="G32" s="581">
        <v>154</v>
      </c>
      <c r="H32" s="581">
        <v>139</v>
      </c>
      <c r="I32" s="581">
        <v>75</v>
      </c>
      <c r="J32" s="581">
        <v>89</v>
      </c>
      <c r="K32" s="581">
        <v>108</v>
      </c>
      <c r="L32" s="581">
        <v>55</v>
      </c>
      <c r="M32" s="581">
        <v>121</v>
      </c>
      <c r="N32" s="581">
        <v>52</v>
      </c>
      <c r="O32" s="581">
        <v>34</v>
      </c>
      <c r="P32" s="6063">
        <f>SUM(D32:O32)</f>
        <v>1572</v>
      </c>
      <c r="Q32" s="6063">
        <f>AVERAGE(D32:O32)</f>
        <v>131</v>
      </c>
      <c r="R32" s="6053"/>
      <c r="S32" s="6064">
        <v>51</v>
      </c>
      <c r="T32" s="6053">
        <v>30</v>
      </c>
      <c r="U32" s="6053">
        <v>48</v>
      </c>
      <c r="V32" s="6053">
        <v>42</v>
      </c>
      <c r="W32" s="6053">
        <v>73</v>
      </c>
      <c r="X32" s="6053">
        <v>40</v>
      </c>
      <c r="Y32" s="6053">
        <v>152</v>
      </c>
      <c r="Z32" s="6053">
        <v>49</v>
      </c>
      <c r="AA32" s="6053">
        <v>66</v>
      </c>
      <c r="AB32" s="6053">
        <v>55</v>
      </c>
      <c r="AC32" s="6053">
        <v>34</v>
      </c>
      <c r="AD32" s="6053">
        <v>21</v>
      </c>
      <c r="AE32" s="6063">
        <f>SUM(S32:AD32)</f>
        <v>661</v>
      </c>
      <c r="AF32" s="6063">
        <f t="shared" si="18"/>
        <v>55.083333333333336</v>
      </c>
      <c r="AG32" s="6053"/>
      <c r="AH32" s="6064">
        <v>41</v>
      </c>
      <c r="AI32" s="6053">
        <v>96</v>
      </c>
      <c r="AJ32" s="6053">
        <v>40</v>
      </c>
      <c r="AK32" s="6053">
        <v>68</v>
      </c>
      <c r="AL32" s="6053">
        <v>122</v>
      </c>
      <c r="AM32" s="6053">
        <v>55</v>
      </c>
      <c r="AN32" s="6053">
        <v>252.5</v>
      </c>
      <c r="AO32" s="6053">
        <v>63</v>
      </c>
      <c r="AP32" s="6053">
        <v>102.5</v>
      </c>
      <c r="AQ32" s="6053">
        <v>64</v>
      </c>
      <c r="AR32" s="6053">
        <v>59</v>
      </c>
      <c r="AS32" s="6053">
        <v>28</v>
      </c>
      <c r="AT32" s="6063">
        <f t="shared" si="9"/>
        <v>991</v>
      </c>
      <c r="AU32" s="6063">
        <f t="shared" si="8"/>
        <v>82.583333333333329</v>
      </c>
      <c r="AV32" s="6053"/>
      <c r="AW32" s="6064">
        <v>83</v>
      </c>
      <c r="AX32" s="6053">
        <v>58</v>
      </c>
      <c r="AY32" s="6053"/>
      <c r="AZ32" s="6053"/>
      <c r="BA32" s="6053"/>
      <c r="BB32" s="6053"/>
      <c r="BC32" s="6053"/>
      <c r="BD32" s="6053"/>
      <c r="BE32" s="6053"/>
      <c r="BF32" s="6053"/>
      <c r="BG32" s="6053"/>
      <c r="BH32" s="6053"/>
      <c r="BI32" s="6063">
        <f>SUM(AW32:BH32)</f>
        <v>141</v>
      </c>
      <c r="BJ32" s="6063">
        <f t="shared" si="19"/>
        <v>70.5</v>
      </c>
      <c r="BL32" s="5620">
        <f t="shared" si="0"/>
        <v>-38</v>
      </c>
      <c r="BM32" s="5620">
        <f t="shared" si="6"/>
        <v>-12.083333333333329</v>
      </c>
      <c r="BN32" s="5941">
        <f>IFERROR(
  SUM(
    _xlfn.XLOOKUP(DATE(YEAR($A$1),1,1),$2:$2,32:32):
    _xlfn.XLOOKUP($A$1,$2:$2,32:32)
  )
 -SUM(
    _xlfn.XLOOKUP(DATE(YEAR($A$1)-1,1,1),$2:$2,32:32):
    _xlfn.XLOOKUP(EDATE($A$1,-12),$2:$2,32:32)
  ),"")</f>
        <v>4</v>
      </c>
      <c r="BO32" s="5620">
        <f t="shared" si="2"/>
        <v>-25</v>
      </c>
    </row>
    <row r="33" spans="1:67" x14ac:dyDescent="0.55000000000000004">
      <c r="A33" s="7351" t="s">
        <v>991</v>
      </c>
      <c r="B33" s="2733" t="s">
        <v>67</v>
      </c>
      <c r="C33" s="2734"/>
      <c r="D33" s="6085">
        <v>32</v>
      </c>
      <c r="E33" s="6086">
        <v>209</v>
      </c>
      <c r="F33" s="6086">
        <v>54</v>
      </c>
      <c r="G33" s="6086">
        <v>52</v>
      </c>
      <c r="H33" s="6086">
        <v>51</v>
      </c>
      <c r="I33" s="6086">
        <v>30</v>
      </c>
      <c r="J33" s="6086">
        <v>30</v>
      </c>
      <c r="K33" s="6086">
        <v>70</v>
      </c>
      <c r="L33" s="6086">
        <v>28</v>
      </c>
      <c r="M33" s="6086">
        <v>60</v>
      </c>
      <c r="N33" s="6086">
        <v>40</v>
      </c>
      <c r="O33" s="6087">
        <v>22</v>
      </c>
      <c r="P33" s="6088">
        <f t="shared" si="17"/>
        <v>678</v>
      </c>
      <c r="Q33" s="6088">
        <f t="shared" si="11"/>
        <v>56.5</v>
      </c>
      <c r="R33" s="6053"/>
      <c r="S33" s="6089">
        <v>29</v>
      </c>
      <c r="T33" s="6090">
        <v>37</v>
      </c>
      <c r="U33" s="6090">
        <v>53</v>
      </c>
      <c r="V33" s="6090">
        <v>51</v>
      </c>
      <c r="W33" s="6090">
        <v>61</v>
      </c>
      <c r="X33" s="6090">
        <v>31</v>
      </c>
      <c r="Y33" s="6090">
        <v>122</v>
      </c>
      <c r="Z33" s="6090">
        <v>33</v>
      </c>
      <c r="AA33" s="6090">
        <v>52</v>
      </c>
      <c r="AB33" s="6090">
        <v>31</v>
      </c>
      <c r="AC33" s="6090">
        <v>32</v>
      </c>
      <c r="AD33" s="6091">
        <v>21</v>
      </c>
      <c r="AE33" s="6088">
        <f t="shared" si="7"/>
        <v>553</v>
      </c>
      <c r="AF33" s="6088">
        <f t="shared" si="18"/>
        <v>46.083333333333336</v>
      </c>
      <c r="AG33" s="6053"/>
      <c r="AH33" s="6089">
        <v>29</v>
      </c>
      <c r="AI33" s="6090">
        <v>89</v>
      </c>
      <c r="AJ33" s="6090">
        <v>24</v>
      </c>
      <c r="AK33" s="6090">
        <v>34</v>
      </c>
      <c r="AL33" s="6090">
        <v>50</v>
      </c>
      <c r="AM33" s="6090">
        <v>41</v>
      </c>
      <c r="AN33" s="6090">
        <v>66</v>
      </c>
      <c r="AO33" s="6090">
        <v>27</v>
      </c>
      <c r="AP33" s="6090">
        <v>42</v>
      </c>
      <c r="AQ33" s="6090">
        <v>64</v>
      </c>
      <c r="AR33" s="6090">
        <v>20</v>
      </c>
      <c r="AS33" s="6091">
        <v>18</v>
      </c>
      <c r="AT33" s="6088">
        <f t="shared" si="9"/>
        <v>504</v>
      </c>
      <c r="AU33" s="6088">
        <f t="shared" si="8"/>
        <v>42</v>
      </c>
      <c r="AV33" s="6053"/>
      <c r="AW33" s="6089">
        <v>76</v>
      </c>
      <c r="AX33" s="6090">
        <v>36</v>
      </c>
      <c r="AY33" s="6090"/>
      <c r="AZ33" s="6090"/>
      <c r="BA33" s="6090"/>
      <c r="BB33" s="6090"/>
      <c r="BC33" s="6090"/>
      <c r="BD33" s="6090"/>
      <c r="BE33" s="6090"/>
      <c r="BF33" s="6090"/>
      <c r="BG33" s="6090"/>
      <c r="BH33" s="6091"/>
      <c r="BI33" s="6088">
        <f t="shared" ref="BI33:BI52" si="20">SUM(AW33:BH33)</f>
        <v>112</v>
      </c>
      <c r="BJ33" s="6088">
        <f t="shared" si="19"/>
        <v>56</v>
      </c>
      <c r="BL33" s="5620">
        <f t="shared" si="0"/>
        <v>-53</v>
      </c>
      <c r="BM33" s="5620">
        <f t="shared" si="6"/>
        <v>14</v>
      </c>
      <c r="BN33" s="5941">
        <f>IFERROR(
  SUM(
    _xlfn.XLOOKUP(DATE(YEAR($A$1),1,1),$2:$2,33:33):
    _xlfn.XLOOKUP($A$1,$2:$2,33:33)
  )
 -SUM(
    _xlfn.XLOOKUP(DATE(YEAR($A$1)-1,1,1),$2:$2,33:33):
    _xlfn.XLOOKUP(EDATE($A$1,-12),$2:$2,33:33)
  ),"")</f>
        <v>-6</v>
      </c>
      <c r="BO33" s="5620">
        <f t="shared" si="2"/>
        <v>-40</v>
      </c>
    </row>
    <row r="34" spans="1:67" x14ac:dyDescent="0.55000000000000004">
      <c r="A34" s="7352"/>
      <c r="B34" s="886" t="s">
        <v>68</v>
      </c>
      <c r="C34" s="2690"/>
      <c r="D34" s="581">
        <v>74</v>
      </c>
      <c r="E34" s="581">
        <v>130</v>
      </c>
      <c r="F34" s="581">
        <v>68</v>
      </c>
      <c r="G34" s="581">
        <v>54</v>
      </c>
      <c r="H34" s="581">
        <v>79</v>
      </c>
      <c r="I34" s="581">
        <v>45</v>
      </c>
      <c r="J34" s="581">
        <v>31</v>
      </c>
      <c r="K34" s="581">
        <v>50</v>
      </c>
      <c r="L34" s="581">
        <v>19</v>
      </c>
      <c r="M34" s="581">
        <v>56</v>
      </c>
      <c r="N34" s="581">
        <v>34</v>
      </c>
      <c r="O34" s="581">
        <v>13</v>
      </c>
      <c r="P34" s="6063">
        <f t="shared" si="17"/>
        <v>653</v>
      </c>
      <c r="Q34" s="6063">
        <f t="shared" si="11"/>
        <v>54.416666666666664</v>
      </c>
      <c r="R34" s="6053"/>
      <c r="S34" s="6064">
        <v>20</v>
      </c>
      <c r="T34" s="6053">
        <v>15</v>
      </c>
      <c r="U34" s="6053">
        <v>34</v>
      </c>
      <c r="V34" s="6053">
        <v>18</v>
      </c>
      <c r="W34" s="6053">
        <v>38</v>
      </c>
      <c r="X34" s="6053">
        <v>36</v>
      </c>
      <c r="Y34" s="6053">
        <v>95</v>
      </c>
      <c r="Z34" s="6053">
        <v>23</v>
      </c>
      <c r="AA34" s="6053">
        <v>22</v>
      </c>
      <c r="AB34" s="6053">
        <v>18</v>
      </c>
      <c r="AC34" s="6053">
        <v>14</v>
      </c>
      <c r="AD34" s="6053">
        <v>8</v>
      </c>
      <c r="AE34" s="6063">
        <f t="shared" si="7"/>
        <v>341</v>
      </c>
      <c r="AF34" s="6063">
        <f t="shared" ref="AF34:AF52" si="21">AVERAGE(S34:AD34)</f>
        <v>28.416666666666668</v>
      </c>
      <c r="AG34" s="6053"/>
      <c r="AH34" s="6064">
        <v>2</v>
      </c>
      <c r="AI34" s="6053">
        <v>38</v>
      </c>
      <c r="AJ34" s="6053">
        <v>14</v>
      </c>
      <c r="AK34" s="6053">
        <v>12</v>
      </c>
      <c r="AL34" s="6053">
        <v>15</v>
      </c>
      <c r="AM34" s="6053">
        <v>9</v>
      </c>
      <c r="AN34" s="6053">
        <v>29</v>
      </c>
      <c r="AO34" s="6053">
        <v>9</v>
      </c>
      <c r="AP34" s="6053">
        <v>16</v>
      </c>
      <c r="AQ34" s="6053">
        <v>17</v>
      </c>
      <c r="AR34" s="6053">
        <v>5</v>
      </c>
      <c r="AS34" s="6053">
        <v>8</v>
      </c>
      <c r="AT34" s="6063">
        <f t="shared" si="9"/>
        <v>174</v>
      </c>
      <c r="AU34" s="6063">
        <f t="shared" si="8"/>
        <v>14.5</v>
      </c>
      <c r="AV34" s="6053"/>
      <c r="AW34" s="6064">
        <v>11</v>
      </c>
      <c r="AX34" s="6053">
        <v>5</v>
      </c>
      <c r="AY34" s="6053"/>
      <c r="AZ34" s="6053"/>
      <c r="BA34" s="6053"/>
      <c r="BB34" s="6053"/>
      <c r="BC34" s="6053"/>
      <c r="BD34" s="6053"/>
      <c r="BE34" s="6053"/>
      <c r="BF34" s="6053"/>
      <c r="BG34" s="6053"/>
      <c r="BH34" s="6053"/>
      <c r="BI34" s="6063">
        <f t="shared" si="20"/>
        <v>16</v>
      </c>
      <c r="BJ34" s="6063">
        <f t="shared" si="19"/>
        <v>8</v>
      </c>
      <c r="BL34" s="5620">
        <f t="shared" si="0"/>
        <v>-33</v>
      </c>
      <c r="BM34" s="5620">
        <f t="shared" si="6"/>
        <v>-6.5</v>
      </c>
      <c r="BN34" s="5941">
        <f>IFERROR(
  SUM(
    _xlfn.XLOOKUP(DATE(YEAR($A$1),1,1),$2:$2,34:34):
    _xlfn.XLOOKUP($A$1,$2:$2,34:34)
  )
 -SUM(
    _xlfn.XLOOKUP(DATE(YEAR($A$1)-1,1,1),$2:$2,34:34):
    _xlfn.XLOOKUP(EDATE($A$1,-12),$2:$2,34:34)
  ),"")</f>
        <v>-24</v>
      </c>
      <c r="BO34" s="5620">
        <f t="shared" si="2"/>
        <v>-6</v>
      </c>
    </row>
    <row r="35" spans="1:67" x14ac:dyDescent="0.55000000000000004">
      <c r="A35" s="7352"/>
      <c r="B35" s="886" t="s">
        <v>69</v>
      </c>
      <c r="C35" s="2690"/>
      <c r="D35" s="581">
        <v>108</v>
      </c>
      <c r="E35" s="581">
        <v>196</v>
      </c>
      <c r="F35" s="581">
        <v>131</v>
      </c>
      <c r="G35" s="581">
        <v>123</v>
      </c>
      <c r="H35" s="581">
        <v>180</v>
      </c>
      <c r="I35" s="581">
        <v>71</v>
      </c>
      <c r="J35" s="581">
        <v>45</v>
      </c>
      <c r="K35" s="581">
        <v>72</v>
      </c>
      <c r="L35" s="581">
        <v>25</v>
      </c>
      <c r="M35" s="581">
        <v>42</v>
      </c>
      <c r="N35" s="581">
        <v>17</v>
      </c>
      <c r="O35" s="581">
        <v>6</v>
      </c>
      <c r="P35" s="6063">
        <f t="shared" si="17"/>
        <v>1016</v>
      </c>
      <c r="Q35" s="6063">
        <f t="shared" si="11"/>
        <v>84.666666666666671</v>
      </c>
      <c r="R35" s="6053"/>
      <c r="S35" s="6064">
        <v>10</v>
      </c>
      <c r="T35" s="6053">
        <v>27</v>
      </c>
      <c r="U35" s="6053">
        <v>22</v>
      </c>
      <c r="V35" s="6053">
        <v>20</v>
      </c>
      <c r="W35" s="6053">
        <v>30</v>
      </c>
      <c r="X35" s="6053">
        <v>18</v>
      </c>
      <c r="Y35" s="6053">
        <v>119</v>
      </c>
      <c r="Z35" s="6053">
        <v>18</v>
      </c>
      <c r="AA35" s="6053">
        <v>20</v>
      </c>
      <c r="AB35" s="6053">
        <v>13</v>
      </c>
      <c r="AC35" s="6053">
        <v>7</v>
      </c>
      <c r="AD35" s="6053">
        <v>12</v>
      </c>
      <c r="AE35" s="6063">
        <f t="shared" si="7"/>
        <v>316</v>
      </c>
      <c r="AF35" s="6063">
        <f t="shared" si="21"/>
        <v>26.333333333333332</v>
      </c>
      <c r="AG35" s="6053"/>
      <c r="AH35" s="6064">
        <v>14</v>
      </c>
      <c r="AI35" s="6053">
        <v>30</v>
      </c>
      <c r="AJ35" s="6053">
        <v>9</v>
      </c>
      <c r="AK35" s="6053">
        <v>15</v>
      </c>
      <c r="AL35" s="6053">
        <v>26</v>
      </c>
      <c r="AM35" s="6053">
        <v>20</v>
      </c>
      <c r="AN35" s="6053">
        <v>50</v>
      </c>
      <c r="AO35" s="6053">
        <v>13</v>
      </c>
      <c r="AP35" s="6053">
        <v>30</v>
      </c>
      <c r="AQ35" s="6053">
        <v>19</v>
      </c>
      <c r="AR35" s="6053">
        <v>9</v>
      </c>
      <c r="AS35" s="6053">
        <v>16</v>
      </c>
      <c r="AT35" s="6063">
        <f t="shared" si="9"/>
        <v>251</v>
      </c>
      <c r="AU35" s="6063">
        <f t="shared" si="8"/>
        <v>20.916666666666668</v>
      </c>
      <c r="AV35" s="6053"/>
      <c r="AW35" s="6064">
        <v>28</v>
      </c>
      <c r="AX35" s="6053">
        <v>3</v>
      </c>
      <c r="AY35" s="6053"/>
      <c r="AZ35" s="6053"/>
      <c r="BA35" s="6053"/>
      <c r="BB35" s="6053"/>
      <c r="BC35" s="6053"/>
      <c r="BD35" s="6053"/>
      <c r="BE35" s="6053"/>
      <c r="BF35" s="6053"/>
      <c r="BG35" s="6053"/>
      <c r="BH35" s="6053"/>
      <c r="BI35" s="6063">
        <f t="shared" si="20"/>
        <v>31</v>
      </c>
      <c r="BJ35" s="6063">
        <f t="shared" si="19"/>
        <v>15.5</v>
      </c>
      <c r="BL35" s="5620">
        <f t="shared" si="0"/>
        <v>-27</v>
      </c>
      <c r="BM35" s="5620">
        <f t="shared" si="6"/>
        <v>-5.4166666666666679</v>
      </c>
      <c r="BN35" s="5941">
        <f>IFERROR(
  SUM(
    _xlfn.XLOOKUP(DATE(YEAR($A$1),1,1),$2:$2,35:35):
    _xlfn.XLOOKUP($A$1,$2:$2,35:35)
  )
 -SUM(
    _xlfn.XLOOKUP(DATE(YEAR($A$1)-1,1,1),$2:$2,35:35):
    _xlfn.XLOOKUP(EDATE($A$1,-12),$2:$2,35:35)
  ),"")</f>
        <v>-13</v>
      </c>
      <c r="BO35" s="5620">
        <f t="shared" si="2"/>
        <v>-25</v>
      </c>
    </row>
    <row r="36" spans="1:67" x14ac:dyDescent="0.55000000000000004">
      <c r="A36" s="7352"/>
      <c r="B36" s="886" t="s">
        <v>163</v>
      </c>
      <c r="C36" s="2690"/>
      <c r="D36" s="581">
        <v>196</v>
      </c>
      <c r="E36" s="581">
        <v>334</v>
      </c>
      <c r="F36" s="581">
        <v>155</v>
      </c>
      <c r="G36" s="581">
        <v>154</v>
      </c>
      <c r="H36" s="581">
        <v>182</v>
      </c>
      <c r="I36" s="581">
        <v>85</v>
      </c>
      <c r="J36" s="581">
        <v>63</v>
      </c>
      <c r="K36" s="581">
        <v>243</v>
      </c>
      <c r="L36" s="581">
        <v>36</v>
      </c>
      <c r="M36" s="581">
        <v>164</v>
      </c>
      <c r="N36" s="581">
        <v>27</v>
      </c>
      <c r="O36" s="581">
        <v>16</v>
      </c>
      <c r="P36" s="6063">
        <f t="shared" si="17"/>
        <v>1655</v>
      </c>
      <c r="Q36" s="6063">
        <f t="shared" si="11"/>
        <v>137.91666666666666</v>
      </c>
      <c r="R36" s="6053"/>
      <c r="S36" s="6064">
        <v>38</v>
      </c>
      <c r="T36" s="6053">
        <v>43</v>
      </c>
      <c r="U36" s="6053">
        <v>64</v>
      </c>
      <c r="V36" s="6053">
        <v>59</v>
      </c>
      <c r="W36" s="6053">
        <v>88</v>
      </c>
      <c r="X36" s="6053">
        <v>52</v>
      </c>
      <c r="Y36" s="6053">
        <v>176</v>
      </c>
      <c r="Z36" s="6053">
        <v>56</v>
      </c>
      <c r="AA36" s="6053">
        <v>65</v>
      </c>
      <c r="AB36" s="6053">
        <v>68</v>
      </c>
      <c r="AC36" s="6053">
        <v>43</v>
      </c>
      <c r="AD36" s="6053">
        <v>33</v>
      </c>
      <c r="AE36" s="6063">
        <f t="shared" si="7"/>
        <v>785</v>
      </c>
      <c r="AF36" s="6063">
        <f t="shared" si="21"/>
        <v>65.416666666666671</v>
      </c>
      <c r="AG36" s="6053"/>
      <c r="AH36" s="6064">
        <v>40</v>
      </c>
      <c r="AI36" s="6053">
        <v>109</v>
      </c>
      <c r="AJ36" s="6053">
        <v>53</v>
      </c>
      <c r="AK36" s="6053">
        <v>30</v>
      </c>
      <c r="AL36" s="6053">
        <v>45</v>
      </c>
      <c r="AM36" s="6053">
        <v>24</v>
      </c>
      <c r="AN36" s="6053">
        <v>65</v>
      </c>
      <c r="AO36" s="6053">
        <v>21</v>
      </c>
      <c r="AP36" s="6053">
        <v>46</v>
      </c>
      <c r="AQ36" s="6053">
        <v>54</v>
      </c>
      <c r="AR36" s="6053">
        <v>66</v>
      </c>
      <c r="AS36" s="6053">
        <v>13</v>
      </c>
      <c r="AT36" s="6063">
        <f t="shared" si="9"/>
        <v>566</v>
      </c>
      <c r="AU36" s="6063">
        <f t="shared" si="8"/>
        <v>47.166666666666664</v>
      </c>
      <c r="AV36" s="6053"/>
      <c r="AW36" s="6064">
        <v>34</v>
      </c>
      <c r="AX36" s="6053">
        <v>10</v>
      </c>
      <c r="AY36" s="6053"/>
      <c r="AZ36" s="6053"/>
      <c r="BA36" s="6053"/>
      <c r="BB36" s="6053"/>
      <c r="BC36" s="6053"/>
      <c r="BD36" s="6053"/>
      <c r="BE36" s="6053"/>
      <c r="BF36" s="6053"/>
      <c r="BG36" s="6053"/>
      <c r="BH36" s="6053"/>
      <c r="BI36" s="6063">
        <f t="shared" si="20"/>
        <v>44</v>
      </c>
      <c r="BJ36" s="6063">
        <f t="shared" si="19"/>
        <v>22</v>
      </c>
      <c r="BL36" s="5620">
        <f t="shared" ref="BL36:BL52" si="22">IFERROR(_xlfn.XLOOKUP($A$1,$2:$2,36:36)-_xlfn.XLOOKUP(EDATE($A$1,-12),$2:$2,36:36),"")</f>
        <v>-99</v>
      </c>
      <c r="BM36" s="5620">
        <f t="shared" si="6"/>
        <v>-25.166666666666664</v>
      </c>
      <c r="BN36" s="5941">
        <f>IFERROR(
  SUM(
    _xlfn.XLOOKUP(DATE(YEAR($A$1),1,1),$2:$2,36:36):
    _xlfn.XLOOKUP($A$1,$2:$2,36:36)
  )
 -SUM(
    _xlfn.XLOOKUP(DATE(YEAR($A$1)-1,1,1),$2:$2,36:36):
    _xlfn.XLOOKUP(EDATE($A$1,-12),$2:$2,36:36)
  ),"")</f>
        <v>-105</v>
      </c>
      <c r="BO36" s="5620">
        <f t="shared" ref="BO36:BO52" si="23">IFERROR(
  _xlfn.XLOOKUP($A$1,$2:$2,36:36)
 -_xlfn.XLOOKUP(EDATE($A$1,-1),$2:$2,36:36),"")</f>
        <v>-24</v>
      </c>
    </row>
    <row r="37" spans="1:67" x14ac:dyDescent="0.55000000000000004">
      <c r="A37" s="7352"/>
      <c r="B37" s="886" t="s">
        <v>164</v>
      </c>
      <c r="C37" s="2690"/>
      <c r="D37" s="581">
        <v>151</v>
      </c>
      <c r="E37" s="581">
        <v>255</v>
      </c>
      <c r="F37" s="581">
        <v>162</v>
      </c>
      <c r="G37" s="581">
        <v>116</v>
      </c>
      <c r="H37" s="581">
        <v>97</v>
      </c>
      <c r="I37" s="581">
        <v>25</v>
      </c>
      <c r="J37" s="581">
        <v>51</v>
      </c>
      <c r="K37" s="581">
        <v>66</v>
      </c>
      <c r="L37" s="581">
        <v>23</v>
      </c>
      <c r="M37" s="581">
        <v>81</v>
      </c>
      <c r="N37" s="581">
        <v>18</v>
      </c>
      <c r="O37" s="581">
        <v>11</v>
      </c>
      <c r="P37" s="6063">
        <f t="shared" si="17"/>
        <v>1056</v>
      </c>
      <c r="Q37" s="6063">
        <f t="shared" si="11"/>
        <v>88</v>
      </c>
      <c r="R37" s="6053"/>
      <c r="S37" s="6064">
        <v>18</v>
      </c>
      <c r="T37" s="6053">
        <v>17</v>
      </c>
      <c r="U37" s="6053">
        <v>36</v>
      </c>
      <c r="V37" s="6053">
        <v>33</v>
      </c>
      <c r="W37" s="6053">
        <v>57</v>
      </c>
      <c r="X37" s="6053">
        <v>33</v>
      </c>
      <c r="Y37" s="6053">
        <v>137</v>
      </c>
      <c r="Z37" s="6053">
        <v>41</v>
      </c>
      <c r="AA37" s="6053">
        <v>52</v>
      </c>
      <c r="AB37" s="6053">
        <v>41</v>
      </c>
      <c r="AC37" s="6053">
        <v>30</v>
      </c>
      <c r="AD37" s="6053">
        <v>18</v>
      </c>
      <c r="AE37" s="6063">
        <f t="shared" si="7"/>
        <v>513</v>
      </c>
      <c r="AF37" s="6063">
        <f t="shared" si="21"/>
        <v>42.75</v>
      </c>
      <c r="AG37" s="6053"/>
      <c r="AH37" s="6064">
        <v>26</v>
      </c>
      <c r="AI37" s="6053">
        <v>77</v>
      </c>
      <c r="AJ37" s="6053">
        <v>17</v>
      </c>
      <c r="AK37" s="6053">
        <v>31</v>
      </c>
      <c r="AL37" s="6053">
        <v>36</v>
      </c>
      <c r="AM37" s="6053">
        <v>29</v>
      </c>
      <c r="AN37" s="6053">
        <v>65.5</v>
      </c>
      <c r="AO37" s="6053">
        <v>29</v>
      </c>
      <c r="AP37" s="6053">
        <v>65.5</v>
      </c>
      <c r="AQ37" s="6053">
        <v>32</v>
      </c>
      <c r="AR37" s="6053">
        <v>31</v>
      </c>
      <c r="AS37" s="6053">
        <v>19</v>
      </c>
      <c r="AT37" s="6063">
        <f t="shared" si="9"/>
        <v>458</v>
      </c>
      <c r="AU37" s="6063">
        <f t="shared" si="8"/>
        <v>38.166666666666664</v>
      </c>
      <c r="AV37" s="6053"/>
      <c r="AW37" s="6064">
        <v>53</v>
      </c>
      <c r="AX37" s="6053">
        <v>20</v>
      </c>
      <c r="AY37" s="6053"/>
      <c r="AZ37" s="6053"/>
      <c r="BA37" s="6053"/>
      <c r="BB37" s="6053"/>
      <c r="BC37" s="6053"/>
      <c r="BD37" s="6053"/>
      <c r="BE37" s="6053"/>
      <c r="BF37" s="6053"/>
      <c r="BG37" s="6053"/>
      <c r="BH37" s="6053"/>
      <c r="BI37" s="6063">
        <f t="shared" si="20"/>
        <v>73</v>
      </c>
      <c r="BJ37" s="6063">
        <f t="shared" si="19"/>
        <v>36.5</v>
      </c>
      <c r="BL37" s="5620">
        <f t="shared" si="22"/>
        <v>-57</v>
      </c>
      <c r="BM37" s="5620">
        <f t="shared" si="6"/>
        <v>-1.6666666666666643</v>
      </c>
      <c r="BN37" s="5941">
        <f>IFERROR(
  SUM(
    _xlfn.XLOOKUP(DATE(YEAR($A$1),1,1),$2:$2,37:37):
    _xlfn.XLOOKUP($A$1,$2:$2,37:37)
  )
 -SUM(
    _xlfn.XLOOKUP(DATE(YEAR($A$1)-1,1,1),$2:$2,37:37):
    _xlfn.XLOOKUP(EDATE($A$1,-12),$2:$2,37:37)
  ),"")</f>
        <v>-30</v>
      </c>
      <c r="BO37" s="5620">
        <f t="shared" si="23"/>
        <v>-33</v>
      </c>
    </row>
    <row r="38" spans="1:67" x14ac:dyDescent="0.55000000000000004">
      <c r="A38" s="7353" t="s">
        <v>165</v>
      </c>
      <c r="B38" s="2741" t="s">
        <v>67</v>
      </c>
      <c r="C38" s="2742"/>
      <c r="D38" s="6092">
        <v>80</v>
      </c>
      <c r="E38" s="6007">
        <v>111</v>
      </c>
      <c r="F38" s="6007">
        <v>141</v>
      </c>
      <c r="G38" s="6007">
        <v>162</v>
      </c>
      <c r="H38" s="6007">
        <v>165</v>
      </c>
      <c r="I38" s="6007">
        <v>153</v>
      </c>
      <c r="J38" s="6007">
        <v>144</v>
      </c>
      <c r="K38" s="6007">
        <v>123</v>
      </c>
      <c r="L38" s="6007">
        <v>119</v>
      </c>
      <c r="M38" s="6007">
        <v>121</v>
      </c>
      <c r="N38" s="6007">
        <v>143</v>
      </c>
      <c r="O38" s="6093">
        <v>125</v>
      </c>
      <c r="P38" s="6094">
        <f t="shared" si="17"/>
        <v>1587</v>
      </c>
      <c r="Q38" s="6094">
        <f t="shared" si="11"/>
        <v>132.25</v>
      </c>
      <c r="R38" s="6053"/>
      <c r="S38" s="6095">
        <v>127</v>
      </c>
      <c r="T38" s="6096">
        <v>125</v>
      </c>
      <c r="U38" s="6096">
        <v>140</v>
      </c>
      <c r="V38" s="6096">
        <v>136</v>
      </c>
      <c r="W38" s="6096">
        <v>124</v>
      </c>
      <c r="X38" s="6096">
        <v>145</v>
      </c>
      <c r="Y38" s="6096">
        <v>123</v>
      </c>
      <c r="Z38" s="6096">
        <v>180</v>
      </c>
      <c r="AA38" s="6096">
        <v>128</v>
      </c>
      <c r="AB38" s="6096">
        <v>131</v>
      </c>
      <c r="AC38" s="6096">
        <v>113</v>
      </c>
      <c r="AD38" s="6097">
        <v>127</v>
      </c>
      <c r="AE38" s="6094">
        <f t="shared" si="7"/>
        <v>1599</v>
      </c>
      <c r="AF38" s="6094">
        <f t="shared" si="21"/>
        <v>133.25</v>
      </c>
      <c r="AG38" s="6053"/>
      <c r="AH38" s="6095">
        <v>87</v>
      </c>
      <c r="AI38" s="6096">
        <v>97</v>
      </c>
      <c r="AJ38" s="6096">
        <v>130</v>
      </c>
      <c r="AK38" s="6096">
        <v>148</v>
      </c>
      <c r="AL38" s="6096">
        <v>236</v>
      </c>
      <c r="AM38" s="6096">
        <v>164</v>
      </c>
      <c r="AN38" s="6096">
        <v>186</v>
      </c>
      <c r="AO38" s="6096">
        <v>206</v>
      </c>
      <c r="AP38" s="6096">
        <v>179</v>
      </c>
      <c r="AQ38" s="6096">
        <v>173</v>
      </c>
      <c r="AR38" s="6096">
        <v>116</v>
      </c>
      <c r="AS38" s="6097">
        <v>82</v>
      </c>
      <c r="AT38" s="6094">
        <f t="shared" si="9"/>
        <v>1804</v>
      </c>
      <c r="AU38" s="6094">
        <f t="shared" si="8"/>
        <v>150.33333333333334</v>
      </c>
      <c r="AV38" s="6053"/>
      <c r="AW38" s="6095">
        <v>86</v>
      </c>
      <c r="AX38" s="6096">
        <v>97</v>
      </c>
      <c r="AY38" s="6096"/>
      <c r="AZ38" s="6096"/>
      <c r="BA38" s="6096"/>
      <c r="BB38" s="6096"/>
      <c r="BC38" s="6096"/>
      <c r="BD38" s="6096"/>
      <c r="BE38" s="6096"/>
      <c r="BF38" s="6096"/>
      <c r="BG38" s="6096"/>
      <c r="BH38" s="6097"/>
      <c r="BI38" s="6094">
        <f t="shared" si="20"/>
        <v>183</v>
      </c>
      <c r="BJ38" s="6094">
        <f t="shared" si="19"/>
        <v>91.5</v>
      </c>
      <c r="BL38" s="5620">
        <f t="shared" si="22"/>
        <v>0</v>
      </c>
      <c r="BM38" s="5620">
        <f t="shared" si="6"/>
        <v>-58.833333333333343</v>
      </c>
      <c r="BN38" s="5941">
        <f>IFERROR(
  SUM(
    _xlfn.XLOOKUP(DATE(YEAR($A$1),1,1),$2:$2,38:38):
    _xlfn.XLOOKUP($A$1,$2:$2,38:38)
  )
 -SUM(
    _xlfn.XLOOKUP(DATE(YEAR($A$1)-1,1,1),$2:$2,38:38):
    _xlfn.XLOOKUP(EDATE($A$1,-12),$2:$2,38:38)
  ),"")</f>
        <v>-1</v>
      </c>
      <c r="BO38" s="5620">
        <f t="shared" si="23"/>
        <v>11</v>
      </c>
    </row>
    <row r="39" spans="1:67" x14ac:dyDescent="0.55000000000000004">
      <c r="A39" s="7354"/>
      <c r="B39" s="803" t="s">
        <v>68</v>
      </c>
      <c r="C39" s="2725"/>
      <c r="D39" s="6098">
        <v>115</v>
      </c>
      <c r="E39" s="6099">
        <v>149</v>
      </c>
      <c r="F39" s="6099">
        <v>160</v>
      </c>
      <c r="G39" s="6099">
        <v>115</v>
      </c>
      <c r="H39" s="6099">
        <v>178</v>
      </c>
      <c r="I39" s="6099">
        <v>113</v>
      </c>
      <c r="J39" s="6099">
        <v>110</v>
      </c>
      <c r="K39" s="6099">
        <v>137</v>
      </c>
      <c r="L39" s="6099">
        <v>141</v>
      </c>
      <c r="M39" s="6099">
        <v>133</v>
      </c>
      <c r="N39" s="6099">
        <v>135</v>
      </c>
      <c r="O39" s="6100">
        <v>117</v>
      </c>
      <c r="P39" s="6101">
        <f t="shared" si="17"/>
        <v>1603</v>
      </c>
      <c r="Q39" s="6101">
        <f t="shared" si="11"/>
        <v>133.58333333333334</v>
      </c>
      <c r="R39" s="6053"/>
      <c r="S39" s="6102">
        <v>252</v>
      </c>
      <c r="T39" s="6103">
        <v>104</v>
      </c>
      <c r="U39" s="6103">
        <v>127</v>
      </c>
      <c r="V39" s="6103">
        <v>109</v>
      </c>
      <c r="W39" s="6103">
        <v>88</v>
      </c>
      <c r="X39" s="6103">
        <v>120</v>
      </c>
      <c r="Y39" s="6103">
        <v>104</v>
      </c>
      <c r="Z39" s="6103">
        <v>82</v>
      </c>
      <c r="AA39" s="6103">
        <v>146</v>
      </c>
      <c r="AB39" s="6104">
        <v>128</v>
      </c>
      <c r="AC39" s="6103">
        <v>103</v>
      </c>
      <c r="AD39" s="6105">
        <v>86</v>
      </c>
      <c r="AE39" s="6101">
        <f t="shared" si="7"/>
        <v>1449</v>
      </c>
      <c r="AF39" s="6101">
        <f t="shared" si="21"/>
        <v>120.75</v>
      </c>
      <c r="AG39" s="6053"/>
      <c r="AH39" s="6102">
        <v>67</v>
      </c>
      <c r="AI39" s="6103">
        <v>88</v>
      </c>
      <c r="AJ39" s="6104">
        <v>90</v>
      </c>
      <c r="AK39" s="6103">
        <v>90</v>
      </c>
      <c r="AL39" s="6103">
        <v>196</v>
      </c>
      <c r="AM39" s="6104">
        <v>65</v>
      </c>
      <c r="AN39" s="6103">
        <v>101</v>
      </c>
      <c r="AO39" s="6104">
        <v>71</v>
      </c>
      <c r="AP39" s="6103">
        <v>103</v>
      </c>
      <c r="AQ39" s="6104">
        <v>96</v>
      </c>
      <c r="AR39" s="6103">
        <v>85</v>
      </c>
      <c r="AS39" s="6105">
        <v>55</v>
      </c>
      <c r="AT39" s="6101">
        <f t="shared" si="9"/>
        <v>1107</v>
      </c>
      <c r="AU39" s="6101">
        <f t="shared" si="8"/>
        <v>92.25</v>
      </c>
      <c r="AV39" s="6053"/>
      <c r="AW39" s="6102">
        <v>46</v>
      </c>
      <c r="AX39" s="6103">
        <v>58</v>
      </c>
      <c r="AY39" s="6104"/>
      <c r="AZ39" s="6103"/>
      <c r="BA39" s="6103"/>
      <c r="BB39" s="6104"/>
      <c r="BC39" s="6103"/>
      <c r="BD39" s="6104"/>
      <c r="BE39" s="6103"/>
      <c r="BF39" s="6104"/>
      <c r="BG39" s="6103"/>
      <c r="BH39" s="6105"/>
      <c r="BI39" s="6101">
        <f t="shared" si="20"/>
        <v>104</v>
      </c>
      <c r="BJ39" s="6101">
        <f t="shared" si="19"/>
        <v>52</v>
      </c>
      <c r="BL39" s="5620">
        <f t="shared" si="22"/>
        <v>-30</v>
      </c>
      <c r="BM39" s="5620">
        <f t="shared" si="6"/>
        <v>-40.25</v>
      </c>
      <c r="BN39" s="5941">
        <f>IFERROR(
  SUM(
    _xlfn.XLOOKUP(DATE(YEAR($A$1),1,1),$2:$2,39:39):
    _xlfn.XLOOKUP($A$1,$2:$2,39:39)
  )
 -SUM(
    _xlfn.XLOOKUP(DATE(YEAR($A$1)-1,1,1),$2:$2,39:39):
    _xlfn.XLOOKUP(EDATE($A$1,-12),$2:$2,39:39)
  ),"")</f>
        <v>-51</v>
      </c>
      <c r="BO39" s="5620">
        <f t="shared" si="23"/>
        <v>12</v>
      </c>
    </row>
    <row r="40" spans="1:67" x14ac:dyDescent="0.55000000000000004">
      <c r="A40" s="7354"/>
      <c r="B40" s="803" t="s">
        <v>69</v>
      </c>
      <c r="C40" s="2725"/>
      <c r="D40" s="6098">
        <v>64</v>
      </c>
      <c r="E40" s="6099">
        <v>100</v>
      </c>
      <c r="F40" s="6099">
        <v>105</v>
      </c>
      <c r="G40" s="6099">
        <v>132</v>
      </c>
      <c r="H40" s="6099">
        <v>117</v>
      </c>
      <c r="I40" s="6099">
        <v>122</v>
      </c>
      <c r="J40" s="6099">
        <v>114</v>
      </c>
      <c r="K40" s="6099">
        <v>116</v>
      </c>
      <c r="L40" s="6099">
        <v>89</v>
      </c>
      <c r="M40" s="6099">
        <v>103</v>
      </c>
      <c r="N40" s="6099">
        <v>140</v>
      </c>
      <c r="O40" s="6100">
        <v>153</v>
      </c>
      <c r="P40" s="6101">
        <f t="shared" si="17"/>
        <v>1355</v>
      </c>
      <c r="Q40" s="6101">
        <f t="shared" si="11"/>
        <v>112.91666666666667</v>
      </c>
      <c r="R40" s="6053"/>
      <c r="S40" s="6102">
        <v>109</v>
      </c>
      <c r="T40" s="6103">
        <v>95</v>
      </c>
      <c r="U40" s="6103">
        <v>103</v>
      </c>
      <c r="V40" s="6103">
        <v>103</v>
      </c>
      <c r="W40" s="6103">
        <v>110</v>
      </c>
      <c r="X40" s="6103">
        <v>115</v>
      </c>
      <c r="Y40" s="6103">
        <v>141</v>
      </c>
      <c r="Z40" s="6103">
        <v>134</v>
      </c>
      <c r="AA40" s="6103">
        <v>111</v>
      </c>
      <c r="AB40" s="6104">
        <v>204</v>
      </c>
      <c r="AC40" s="6103">
        <v>96</v>
      </c>
      <c r="AD40" s="6105">
        <v>80</v>
      </c>
      <c r="AE40" s="6101">
        <f t="shared" si="7"/>
        <v>1401</v>
      </c>
      <c r="AF40" s="6101">
        <f t="shared" si="21"/>
        <v>116.75</v>
      </c>
      <c r="AG40" s="6053"/>
      <c r="AH40" s="6102">
        <v>167</v>
      </c>
      <c r="AI40" s="6103">
        <v>94</v>
      </c>
      <c r="AJ40" s="6104">
        <v>116</v>
      </c>
      <c r="AK40" s="6103">
        <v>110</v>
      </c>
      <c r="AL40" s="6103">
        <v>140</v>
      </c>
      <c r="AM40" s="6104">
        <v>104</v>
      </c>
      <c r="AN40" s="6103">
        <v>130</v>
      </c>
      <c r="AO40" s="6104">
        <v>126</v>
      </c>
      <c r="AP40" s="6103">
        <v>120</v>
      </c>
      <c r="AQ40" s="6104">
        <v>56</v>
      </c>
      <c r="AR40" s="6103">
        <v>95</v>
      </c>
      <c r="AS40" s="6105">
        <v>67</v>
      </c>
      <c r="AT40" s="6101">
        <f t="shared" si="9"/>
        <v>1325</v>
      </c>
      <c r="AU40" s="6101">
        <f t="shared" si="8"/>
        <v>110.41666666666667</v>
      </c>
      <c r="AV40" s="6053"/>
      <c r="AW40" s="6102">
        <v>66</v>
      </c>
      <c r="AX40" s="6103">
        <v>52</v>
      </c>
      <c r="AY40" s="6104"/>
      <c r="AZ40" s="6103"/>
      <c r="BA40" s="6103"/>
      <c r="BB40" s="6104"/>
      <c r="BC40" s="6103"/>
      <c r="BD40" s="6104"/>
      <c r="BE40" s="6103"/>
      <c r="BF40" s="6104"/>
      <c r="BG40" s="6103"/>
      <c r="BH40" s="6105"/>
      <c r="BI40" s="6101">
        <f t="shared" si="20"/>
        <v>118</v>
      </c>
      <c r="BJ40" s="6101">
        <f t="shared" si="19"/>
        <v>59</v>
      </c>
      <c r="BL40" s="5620">
        <f t="shared" si="22"/>
        <v>-42</v>
      </c>
      <c r="BM40" s="5620">
        <f t="shared" si="6"/>
        <v>-51.416666666666671</v>
      </c>
      <c r="BN40" s="5941">
        <f>IFERROR(
  SUM(
    _xlfn.XLOOKUP(DATE(YEAR($A$1),1,1),$2:$2,40:40):
    _xlfn.XLOOKUP($A$1,$2:$2,40:40)
  )
 -SUM(
    _xlfn.XLOOKUP(DATE(YEAR($A$1)-1,1,1),$2:$2,40:40):
    _xlfn.XLOOKUP(EDATE($A$1,-12),$2:$2,40:40)
  ),"")</f>
        <v>-143</v>
      </c>
      <c r="BO40" s="5620">
        <f t="shared" si="23"/>
        <v>-14</v>
      </c>
    </row>
    <row r="41" spans="1:67" x14ac:dyDescent="0.55000000000000004">
      <c r="A41" s="7354"/>
      <c r="B41" s="803" t="s">
        <v>163</v>
      </c>
      <c r="C41" s="2725"/>
      <c r="D41" s="6098">
        <v>104</v>
      </c>
      <c r="E41" s="6099">
        <v>124</v>
      </c>
      <c r="F41" s="6099">
        <v>152</v>
      </c>
      <c r="G41" s="6099">
        <v>155</v>
      </c>
      <c r="H41" s="6099">
        <v>182</v>
      </c>
      <c r="I41" s="6099">
        <v>176</v>
      </c>
      <c r="J41" s="6099">
        <v>160</v>
      </c>
      <c r="K41" s="6099">
        <v>159</v>
      </c>
      <c r="L41" s="6099">
        <v>198</v>
      </c>
      <c r="M41" s="6099">
        <v>138</v>
      </c>
      <c r="N41" s="6099">
        <v>155</v>
      </c>
      <c r="O41" s="6100">
        <v>155</v>
      </c>
      <c r="P41" s="6101">
        <f t="shared" si="17"/>
        <v>1858</v>
      </c>
      <c r="Q41" s="6101">
        <f t="shared" si="11"/>
        <v>154.83333333333334</v>
      </c>
      <c r="R41" s="6053"/>
      <c r="S41" s="6102">
        <v>143</v>
      </c>
      <c r="T41" s="6103">
        <v>130</v>
      </c>
      <c r="U41" s="6103">
        <v>175</v>
      </c>
      <c r="V41" s="6103">
        <v>178</v>
      </c>
      <c r="W41" s="6103">
        <v>199</v>
      </c>
      <c r="X41" s="6103">
        <v>193</v>
      </c>
      <c r="Y41" s="6103">
        <v>183</v>
      </c>
      <c r="Z41" s="6103">
        <v>138</v>
      </c>
      <c r="AA41" s="6103">
        <v>156</v>
      </c>
      <c r="AB41" s="6104">
        <v>169</v>
      </c>
      <c r="AC41" s="6103">
        <v>98</v>
      </c>
      <c r="AD41" s="6105">
        <v>105</v>
      </c>
      <c r="AE41" s="6101">
        <f t="shared" si="7"/>
        <v>1867</v>
      </c>
      <c r="AF41" s="6101">
        <f t="shared" si="21"/>
        <v>155.58333333333334</v>
      </c>
      <c r="AG41" s="6053"/>
      <c r="AH41" s="6102">
        <v>125</v>
      </c>
      <c r="AI41" s="6103">
        <v>102</v>
      </c>
      <c r="AJ41" s="6104">
        <v>167</v>
      </c>
      <c r="AK41" s="6103">
        <v>303</v>
      </c>
      <c r="AL41" s="6103">
        <v>257</v>
      </c>
      <c r="AM41" s="6104">
        <v>179</v>
      </c>
      <c r="AN41" s="6103">
        <v>417</v>
      </c>
      <c r="AO41" s="6104">
        <v>228</v>
      </c>
      <c r="AP41" s="6103">
        <v>235</v>
      </c>
      <c r="AQ41" s="6104">
        <v>111</v>
      </c>
      <c r="AR41" s="6103">
        <v>72</v>
      </c>
      <c r="AS41" s="6105">
        <v>74</v>
      </c>
      <c r="AT41" s="6101">
        <f t="shared" si="9"/>
        <v>2270</v>
      </c>
      <c r="AU41" s="6101">
        <f t="shared" si="8"/>
        <v>189.16666666666666</v>
      </c>
      <c r="AV41" s="6053"/>
      <c r="AW41" s="6102">
        <v>89</v>
      </c>
      <c r="AX41" s="6103">
        <v>92</v>
      </c>
      <c r="AY41" s="6104"/>
      <c r="AZ41" s="6103"/>
      <c r="BA41" s="6103"/>
      <c r="BB41" s="6104"/>
      <c r="BC41" s="6103"/>
      <c r="BD41" s="6104"/>
      <c r="BE41" s="6103"/>
      <c r="BF41" s="6104"/>
      <c r="BG41" s="6103"/>
      <c r="BH41" s="6105"/>
      <c r="BI41" s="6101">
        <f t="shared" si="20"/>
        <v>181</v>
      </c>
      <c r="BJ41" s="6101">
        <f t="shared" si="19"/>
        <v>90.5</v>
      </c>
      <c r="BL41" s="5620">
        <f t="shared" si="22"/>
        <v>-10</v>
      </c>
      <c r="BM41" s="5620">
        <f t="shared" si="6"/>
        <v>-98.666666666666657</v>
      </c>
      <c r="BN41" s="5941">
        <f>IFERROR(
  SUM(
    _xlfn.XLOOKUP(DATE(YEAR($A$1),1,1),$2:$2,41:41):
    _xlfn.XLOOKUP($A$1,$2:$2,41:41)
  )
 -SUM(
    _xlfn.XLOOKUP(DATE(YEAR($A$1)-1,1,1),$2:$2,41:41):
    _xlfn.XLOOKUP(EDATE($A$1,-12),$2:$2,41:41)
  ),"")</f>
        <v>-46</v>
      </c>
      <c r="BO41" s="5620">
        <f t="shared" si="23"/>
        <v>3</v>
      </c>
    </row>
    <row r="42" spans="1:67" x14ac:dyDescent="0.55000000000000004">
      <c r="A42" s="7355"/>
      <c r="B42" s="2750" t="s">
        <v>164</v>
      </c>
      <c r="C42" s="2751"/>
      <c r="D42" s="6106">
        <v>141</v>
      </c>
      <c r="E42" s="6107">
        <v>164</v>
      </c>
      <c r="F42" s="6107">
        <v>176</v>
      </c>
      <c r="G42" s="6107">
        <v>162</v>
      </c>
      <c r="H42" s="6107">
        <v>189</v>
      </c>
      <c r="I42" s="6107">
        <v>237</v>
      </c>
      <c r="J42" s="6107">
        <v>187</v>
      </c>
      <c r="K42" s="6107">
        <v>153</v>
      </c>
      <c r="L42" s="6107">
        <v>132</v>
      </c>
      <c r="M42" s="6107">
        <v>148</v>
      </c>
      <c r="N42" s="6107">
        <v>174</v>
      </c>
      <c r="O42" s="6108">
        <v>153</v>
      </c>
      <c r="P42" s="6109">
        <f t="shared" si="17"/>
        <v>2016</v>
      </c>
      <c r="Q42" s="6109">
        <f t="shared" si="11"/>
        <v>168</v>
      </c>
      <c r="R42" s="6053"/>
      <c r="S42" s="6110">
        <v>143</v>
      </c>
      <c r="T42" s="6111">
        <v>170</v>
      </c>
      <c r="U42" s="6111">
        <v>186</v>
      </c>
      <c r="V42" s="6111">
        <v>146</v>
      </c>
      <c r="W42" s="6111">
        <v>206</v>
      </c>
      <c r="X42" s="6111">
        <v>372</v>
      </c>
      <c r="Y42" s="6111">
        <v>300</v>
      </c>
      <c r="Z42" s="6111">
        <v>177</v>
      </c>
      <c r="AA42" s="6111">
        <v>351</v>
      </c>
      <c r="AB42" s="6111">
        <v>176</v>
      </c>
      <c r="AC42" s="6111">
        <v>172</v>
      </c>
      <c r="AD42" s="6112">
        <v>155</v>
      </c>
      <c r="AE42" s="6109">
        <f t="shared" si="7"/>
        <v>2554</v>
      </c>
      <c r="AF42" s="6109">
        <f t="shared" si="21"/>
        <v>212.83333333333334</v>
      </c>
      <c r="AG42" s="6053"/>
      <c r="AH42" s="6110">
        <v>105</v>
      </c>
      <c r="AI42" s="6111">
        <v>148</v>
      </c>
      <c r="AJ42" s="6111">
        <v>272</v>
      </c>
      <c r="AK42" s="6111">
        <v>140</v>
      </c>
      <c r="AL42" s="6111">
        <v>129</v>
      </c>
      <c r="AM42" s="6111">
        <v>295</v>
      </c>
      <c r="AN42" s="6111">
        <v>237</v>
      </c>
      <c r="AO42" s="6111">
        <v>199</v>
      </c>
      <c r="AP42" s="6111">
        <v>250</v>
      </c>
      <c r="AQ42" s="6111">
        <v>142</v>
      </c>
      <c r="AR42" s="6111">
        <v>119</v>
      </c>
      <c r="AS42" s="6112">
        <v>103</v>
      </c>
      <c r="AT42" s="6109">
        <f t="shared" si="9"/>
        <v>2139</v>
      </c>
      <c r="AU42" s="6109">
        <f t="shared" si="8"/>
        <v>178.25</v>
      </c>
      <c r="AV42" s="6053"/>
      <c r="AW42" s="6110">
        <v>121</v>
      </c>
      <c r="AX42" s="6111">
        <v>115</v>
      </c>
      <c r="AY42" s="6111"/>
      <c r="AZ42" s="6111"/>
      <c r="BA42" s="6111"/>
      <c r="BB42" s="6111"/>
      <c r="BC42" s="6111"/>
      <c r="BD42" s="6111"/>
      <c r="BE42" s="6111"/>
      <c r="BF42" s="6111"/>
      <c r="BG42" s="6111"/>
      <c r="BH42" s="6112"/>
      <c r="BI42" s="6109">
        <f t="shared" si="20"/>
        <v>236</v>
      </c>
      <c r="BJ42" s="6109">
        <f t="shared" si="19"/>
        <v>118</v>
      </c>
      <c r="BL42" s="5620">
        <f t="shared" si="22"/>
        <v>-33</v>
      </c>
      <c r="BM42" s="5620">
        <f t="shared" si="6"/>
        <v>-60.25</v>
      </c>
      <c r="BN42" s="5941">
        <f>IFERROR(
  SUM(
    _xlfn.XLOOKUP(DATE(YEAR($A$1),1,1),$2:$2,42:42):
    _xlfn.XLOOKUP($A$1,$2:$2,42:42)
  )
 -SUM(
    _xlfn.XLOOKUP(DATE(YEAR($A$1)-1,1,1),$2:$2,42:42):
    _xlfn.XLOOKUP(EDATE($A$1,-12),$2:$2,42:42)
  ),"")</f>
        <v>-17</v>
      </c>
      <c r="BO42" s="5620">
        <f t="shared" si="23"/>
        <v>-6</v>
      </c>
    </row>
    <row r="43" spans="1:67" x14ac:dyDescent="0.55000000000000004">
      <c r="A43" s="7352" t="s">
        <v>166</v>
      </c>
      <c r="B43" s="886" t="s">
        <v>67</v>
      </c>
      <c r="C43" s="2690"/>
      <c r="D43" s="581">
        <v>100</v>
      </c>
      <c r="E43" s="581">
        <v>111</v>
      </c>
      <c r="F43" s="581">
        <v>136</v>
      </c>
      <c r="G43" s="581">
        <v>134</v>
      </c>
      <c r="H43" s="581">
        <v>204</v>
      </c>
      <c r="I43" s="581">
        <v>318</v>
      </c>
      <c r="J43" s="581">
        <v>210</v>
      </c>
      <c r="K43" s="581">
        <v>229</v>
      </c>
      <c r="L43" s="581">
        <v>105</v>
      </c>
      <c r="M43" s="581">
        <v>92</v>
      </c>
      <c r="N43" s="581">
        <v>115</v>
      </c>
      <c r="O43" s="581">
        <v>164</v>
      </c>
      <c r="P43" s="6063">
        <f t="shared" si="17"/>
        <v>1918</v>
      </c>
      <c r="Q43" s="6063">
        <f t="shared" si="11"/>
        <v>159.83333333333334</v>
      </c>
      <c r="R43" s="6053"/>
      <c r="S43" s="6064">
        <v>121</v>
      </c>
      <c r="T43" s="6053">
        <v>101</v>
      </c>
      <c r="U43" s="6053">
        <v>140</v>
      </c>
      <c r="V43" s="6053">
        <v>194</v>
      </c>
      <c r="W43" s="6053">
        <v>93</v>
      </c>
      <c r="X43" s="6053">
        <v>306</v>
      </c>
      <c r="Y43" s="6113">
        <v>144</v>
      </c>
      <c r="Z43" s="6053">
        <v>200</v>
      </c>
      <c r="AA43" s="6053">
        <v>166</v>
      </c>
      <c r="AB43" s="6053">
        <v>128</v>
      </c>
      <c r="AC43" s="6053">
        <v>92</v>
      </c>
      <c r="AD43" s="6053">
        <v>97</v>
      </c>
      <c r="AE43" s="6063">
        <f t="shared" si="7"/>
        <v>1782</v>
      </c>
      <c r="AF43" s="6063">
        <f t="shared" si="21"/>
        <v>148.5</v>
      </c>
      <c r="AG43" s="6053"/>
      <c r="AH43" s="6064">
        <v>107</v>
      </c>
      <c r="AI43" s="6053">
        <v>145</v>
      </c>
      <c r="AJ43" s="6053">
        <v>108</v>
      </c>
      <c r="AK43" s="6053">
        <v>160</v>
      </c>
      <c r="AL43" s="6053">
        <v>176</v>
      </c>
      <c r="AM43" s="6053">
        <v>150</v>
      </c>
      <c r="AN43" s="6113">
        <v>358</v>
      </c>
      <c r="AO43" s="6053">
        <v>513</v>
      </c>
      <c r="AP43" s="6053">
        <v>275</v>
      </c>
      <c r="AQ43" s="6053">
        <v>505</v>
      </c>
      <c r="AR43" s="6053">
        <v>148</v>
      </c>
      <c r="AS43" s="6053">
        <v>66</v>
      </c>
      <c r="AT43" s="6063">
        <f t="shared" si="9"/>
        <v>2711</v>
      </c>
      <c r="AU43" s="6063">
        <f t="shared" si="8"/>
        <v>225.91666666666666</v>
      </c>
      <c r="AV43" s="6053"/>
      <c r="AW43" s="6064">
        <v>70</v>
      </c>
      <c r="AX43" s="6053">
        <v>140</v>
      </c>
      <c r="AY43" s="6053"/>
      <c r="AZ43" s="6053"/>
      <c r="BA43" s="6053"/>
      <c r="BB43" s="6053"/>
      <c r="BC43" s="6113"/>
      <c r="BD43" s="6053"/>
      <c r="BE43" s="6053"/>
      <c r="BF43" s="6053"/>
      <c r="BG43" s="6053"/>
      <c r="BH43" s="6053"/>
      <c r="BI43" s="6063">
        <f t="shared" si="20"/>
        <v>210</v>
      </c>
      <c r="BJ43" s="6063">
        <f t="shared" si="19"/>
        <v>105</v>
      </c>
      <c r="BL43" s="5620">
        <f t="shared" si="22"/>
        <v>-5</v>
      </c>
      <c r="BM43" s="5620">
        <f t="shared" si="6"/>
        <v>-120.91666666666666</v>
      </c>
      <c r="BN43" s="5941">
        <f>IFERROR(
  SUM(
    _xlfn.XLOOKUP(DATE(YEAR($A$1),1,1),$2:$2,43:43):
    _xlfn.XLOOKUP($A$1,$2:$2,43:43)
  )
 -SUM(
    _xlfn.XLOOKUP(DATE(YEAR($A$1)-1,1,1),$2:$2,43:43):
    _xlfn.XLOOKUP(EDATE($A$1,-12),$2:$2,43:43)
  ),"")</f>
        <v>-42</v>
      </c>
      <c r="BO43" s="5620">
        <f t="shared" si="23"/>
        <v>70</v>
      </c>
    </row>
    <row r="44" spans="1:67" x14ac:dyDescent="0.55000000000000004">
      <c r="A44" s="7352"/>
      <c r="B44" s="886" t="s">
        <v>68</v>
      </c>
      <c r="C44" s="2690"/>
      <c r="D44" s="581">
        <v>77</v>
      </c>
      <c r="E44" s="581">
        <v>160</v>
      </c>
      <c r="F44" s="581">
        <v>109</v>
      </c>
      <c r="G44" s="581">
        <v>247</v>
      </c>
      <c r="H44" s="581">
        <v>391</v>
      </c>
      <c r="I44" s="581">
        <v>142</v>
      </c>
      <c r="J44" s="581">
        <v>130</v>
      </c>
      <c r="K44" s="581">
        <v>173</v>
      </c>
      <c r="L44" s="581">
        <v>207</v>
      </c>
      <c r="M44" s="581">
        <v>86</v>
      </c>
      <c r="N44" s="581">
        <v>55</v>
      </c>
      <c r="O44" s="581">
        <v>80</v>
      </c>
      <c r="P44" s="6063">
        <f t="shared" si="17"/>
        <v>1857</v>
      </c>
      <c r="Q44" s="6063">
        <f t="shared" si="11"/>
        <v>154.75</v>
      </c>
      <c r="R44" s="6053"/>
      <c r="S44" s="6064">
        <v>39</v>
      </c>
      <c r="T44" s="6053">
        <v>45</v>
      </c>
      <c r="U44" s="6053">
        <v>107</v>
      </c>
      <c r="V44" s="6053">
        <v>82</v>
      </c>
      <c r="W44" s="6053">
        <v>124</v>
      </c>
      <c r="X44" s="6053">
        <v>190</v>
      </c>
      <c r="Y44" s="6113">
        <v>73</v>
      </c>
      <c r="Z44" s="6053">
        <v>104</v>
      </c>
      <c r="AA44" s="6053">
        <v>135</v>
      </c>
      <c r="AB44" s="6053">
        <v>178</v>
      </c>
      <c r="AC44" s="6053">
        <v>69</v>
      </c>
      <c r="AD44" s="6053">
        <v>58</v>
      </c>
      <c r="AE44" s="6063">
        <f t="shared" si="7"/>
        <v>1204</v>
      </c>
      <c r="AF44" s="6063">
        <f t="shared" si="21"/>
        <v>100.33333333333333</v>
      </c>
      <c r="AG44" s="6053"/>
      <c r="AH44" s="6064">
        <v>24</v>
      </c>
      <c r="AI44" s="6053">
        <v>50</v>
      </c>
      <c r="AJ44" s="6053">
        <v>46</v>
      </c>
      <c r="AK44" s="6053">
        <v>50</v>
      </c>
      <c r="AL44" s="6053">
        <v>78</v>
      </c>
      <c r="AM44" s="6053">
        <v>19</v>
      </c>
      <c r="AN44" s="6113">
        <v>108</v>
      </c>
      <c r="AO44" s="6053">
        <v>65</v>
      </c>
      <c r="AP44" s="6053">
        <v>118</v>
      </c>
      <c r="AQ44" s="6053">
        <v>135</v>
      </c>
      <c r="AR44" s="6053">
        <v>104</v>
      </c>
      <c r="AS44" s="6053">
        <v>91</v>
      </c>
      <c r="AT44" s="6063">
        <f t="shared" si="9"/>
        <v>888</v>
      </c>
      <c r="AU44" s="6063">
        <f t="shared" si="8"/>
        <v>74</v>
      </c>
      <c r="AV44" s="6053"/>
      <c r="AW44" s="6064">
        <v>85</v>
      </c>
      <c r="AX44" s="6053">
        <v>126</v>
      </c>
      <c r="AY44" s="6053"/>
      <c r="AZ44" s="6053"/>
      <c r="BA44" s="6053"/>
      <c r="BB44" s="6053"/>
      <c r="BC44" s="6113"/>
      <c r="BD44" s="6053"/>
      <c r="BE44" s="6053"/>
      <c r="BF44" s="6053"/>
      <c r="BG44" s="6053"/>
      <c r="BH44" s="6053"/>
      <c r="BI44" s="6063">
        <f t="shared" si="20"/>
        <v>211</v>
      </c>
      <c r="BJ44" s="6063">
        <f t="shared" si="19"/>
        <v>105.5</v>
      </c>
      <c r="BL44" s="5620">
        <f t="shared" si="22"/>
        <v>76</v>
      </c>
      <c r="BM44" s="5620">
        <f t="shared" si="6"/>
        <v>31.5</v>
      </c>
      <c r="BN44" s="5941">
        <f>IFERROR(
  SUM(
    _xlfn.XLOOKUP(DATE(YEAR($A$1),1,1),$2:$2,44:44):
    _xlfn.XLOOKUP($A$1,$2:$2,44:44)
  )
 -SUM(
    _xlfn.XLOOKUP(DATE(YEAR($A$1)-1,1,1),$2:$2,44:44):
    _xlfn.XLOOKUP(EDATE($A$1,-12),$2:$2,44:44)
  ),"")</f>
        <v>137</v>
      </c>
      <c r="BO44" s="5620">
        <f t="shared" si="23"/>
        <v>41</v>
      </c>
    </row>
    <row r="45" spans="1:67" x14ac:dyDescent="0.55000000000000004">
      <c r="A45" s="7352"/>
      <c r="B45" s="886" t="s">
        <v>69</v>
      </c>
      <c r="C45" s="2690"/>
      <c r="D45" s="581">
        <v>142</v>
      </c>
      <c r="E45" s="581">
        <v>206</v>
      </c>
      <c r="F45" s="581">
        <v>187</v>
      </c>
      <c r="G45" s="581">
        <v>223</v>
      </c>
      <c r="H45" s="581">
        <v>349</v>
      </c>
      <c r="I45" s="581">
        <v>216</v>
      </c>
      <c r="J45" s="581">
        <v>207</v>
      </c>
      <c r="K45" s="581">
        <v>320</v>
      </c>
      <c r="L45" s="581">
        <v>104</v>
      </c>
      <c r="M45" s="581">
        <v>176</v>
      </c>
      <c r="N45" s="581">
        <v>91</v>
      </c>
      <c r="O45" s="581">
        <v>207</v>
      </c>
      <c r="P45" s="6063">
        <f t="shared" si="17"/>
        <v>2428</v>
      </c>
      <c r="Q45" s="6063">
        <f t="shared" si="11"/>
        <v>202.33333333333334</v>
      </c>
      <c r="R45" s="6053"/>
      <c r="S45" s="6064">
        <v>116</v>
      </c>
      <c r="T45" s="6053">
        <v>123</v>
      </c>
      <c r="U45" s="6053">
        <v>61</v>
      </c>
      <c r="V45" s="6053">
        <v>145</v>
      </c>
      <c r="W45" s="6053">
        <v>180</v>
      </c>
      <c r="X45" s="6053">
        <v>216</v>
      </c>
      <c r="Y45" s="6113">
        <v>326</v>
      </c>
      <c r="Z45" s="6053">
        <v>252</v>
      </c>
      <c r="AA45" s="6053">
        <v>144</v>
      </c>
      <c r="AB45" s="6053">
        <v>192</v>
      </c>
      <c r="AC45" s="6053">
        <v>57</v>
      </c>
      <c r="AD45" s="6053">
        <v>84</v>
      </c>
      <c r="AE45" s="6063">
        <f t="shared" si="7"/>
        <v>1896</v>
      </c>
      <c r="AF45" s="6063">
        <f t="shared" si="21"/>
        <v>158</v>
      </c>
      <c r="AG45" s="6053"/>
      <c r="AH45" s="6064">
        <v>147</v>
      </c>
      <c r="AI45" s="6053">
        <v>61</v>
      </c>
      <c r="AJ45" s="6053">
        <v>133</v>
      </c>
      <c r="AK45" s="6053">
        <v>87</v>
      </c>
      <c r="AL45" s="6053">
        <v>136</v>
      </c>
      <c r="AM45" s="6053">
        <v>123</v>
      </c>
      <c r="AN45" s="6113">
        <v>99</v>
      </c>
      <c r="AO45" s="6053">
        <v>194</v>
      </c>
      <c r="AP45" s="6053">
        <v>137</v>
      </c>
      <c r="AQ45" s="6053">
        <v>33</v>
      </c>
      <c r="AR45" s="6053">
        <v>138</v>
      </c>
      <c r="AS45" s="6053">
        <v>134</v>
      </c>
      <c r="AT45" s="6063">
        <f t="shared" si="9"/>
        <v>1422</v>
      </c>
      <c r="AU45" s="6063">
        <f t="shared" si="8"/>
        <v>118.5</v>
      </c>
      <c r="AV45" s="6053"/>
      <c r="AW45" s="6064">
        <v>130</v>
      </c>
      <c r="AX45" s="6053">
        <v>222</v>
      </c>
      <c r="AY45" s="6053"/>
      <c r="AZ45" s="6053"/>
      <c r="BA45" s="6053"/>
      <c r="BB45" s="6053"/>
      <c r="BC45" s="6113"/>
      <c r="BD45" s="6053"/>
      <c r="BE45" s="6053"/>
      <c r="BF45" s="6053"/>
      <c r="BG45" s="6053"/>
      <c r="BH45" s="6053"/>
      <c r="BI45" s="6063">
        <f t="shared" si="20"/>
        <v>352</v>
      </c>
      <c r="BJ45" s="6063">
        <f t="shared" si="19"/>
        <v>176</v>
      </c>
      <c r="BL45" s="5620">
        <f t="shared" si="22"/>
        <v>161</v>
      </c>
      <c r="BM45" s="5620">
        <f t="shared" si="6"/>
        <v>57.5</v>
      </c>
      <c r="BN45" s="5941">
        <f>IFERROR(
  SUM(
    _xlfn.XLOOKUP(DATE(YEAR($A$1),1,1),$2:$2,45:45):
    _xlfn.XLOOKUP($A$1,$2:$2,45:45)
  )
 -SUM(
    _xlfn.XLOOKUP(DATE(YEAR($A$1)-1,1,1),$2:$2,45:45):
    _xlfn.XLOOKUP(EDATE($A$1,-12),$2:$2,45:45)
  ),"")</f>
        <v>144</v>
      </c>
      <c r="BO45" s="5620">
        <f t="shared" si="23"/>
        <v>92</v>
      </c>
    </row>
    <row r="46" spans="1:67" x14ac:dyDescent="0.55000000000000004">
      <c r="A46" s="7352"/>
      <c r="B46" s="886" t="s">
        <v>163</v>
      </c>
      <c r="C46" s="2690"/>
      <c r="D46" s="581">
        <v>98</v>
      </c>
      <c r="E46" s="581">
        <v>149</v>
      </c>
      <c r="F46" s="581">
        <v>168</v>
      </c>
      <c r="G46" s="581">
        <v>141</v>
      </c>
      <c r="H46" s="581">
        <v>188</v>
      </c>
      <c r="I46" s="581">
        <v>280</v>
      </c>
      <c r="J46" s="581">
        <v>124</v>
      </c>
      <c r="K46" s="581">
        <v>134</v>
      </c>
      <c r="L46" s="581">
        <v>259</v>
      </c>
      <c r="M46" s="581">
        <v>95</v>
      </c>
      <c r="N46" s="581">
        <v>120</v>
      </c>
      <c r="O46" s="581">
        <v>126</v>
      </c>
      <c r="P46" s="6063">
        <f t="shared" si="17"/>
        <v>1882</v>
      </c>
      <c r="Q46" s="6063">
        <f t="shared" si="11"/>
        <v>156.83333333333334</v>
      </c>
      <c r="R46" s="6053"/>
      <c r="S46" s="6064">
        <v>145</v>
      </c>
      <c r="T46" s="6053">
        <v>68</v>
      </c>
      <c r="U46" s="6053">
        <v>167</v>
      </c>
      <c r="V46" s="6053">
        <v>192</v>
      </c>
      <c r="W46" s="6053">
        <v>170</v>
      </c>
      <c r="X46" s="6053">
        <v>259</v>
      </c>
      <c r="Y46" s="6113">
        <v>224</v>
      </c>
      <c r="Z46" s="6053">
        <v>217</v>
      </c>
      <c r="AA46" s="6053">
        <v>181</v>
      </c>
      <c r="AB46" s="6053">
        <v>205</v>
      </c>
      <c r="AC46" s="6053">
        <v>111</v>
      </c>
      <c r="AD46" s="6053">
        <v>98</v>
      </c>
      <c r="AE46" s="6063">
        <f t="shared" si="7"/>
        <v>2037</v>
      </c>
      <c r="AF46" s="6063">
        <f t="shared" si="21"/>
        <v>169.75</v>
      </c>
      <c r="AG46" s="6053"/>
      <c r="AH46" s="6064">
        <v>92</v>
      </c>
      <c r="AI46" s="6053">
        <v>231</v>
      </c>
      <c r="AJ46" s="6053">
        <v>217</v>
      </c>
      <c r="AK46" s="6053">
        <v>405</v>
      </c>
      <c r="AL46" s="6053">
        <v>247</v>
      </c>
      <c r="AM46" s="6053">
        <v>197</v>
      </c>
      <c r="AN46" s="6113">
        <v>390</v>
      </c>
      <c r="AO46" s="6053">
        <v>332</v>
      </c>
      <c r="AP46" s="6053">
        <v>473</v>
      </c>
      <c r="AQ46" s="6053">
        <v>308</v>
      </c>
      <c r="AR46" s="6053">
        <v>111</v>
      </c>
      <c r="AS46" s="6053">
        <v>78</v>
      </c>
      <c r="AT46" s="6063">
        <f t="shared" si="9"/>
        <v>3081</v>
      </c>
      <c r="AU46" s="6063">
        <f t="shared" si="8"/>
        <v>256.75</v>
      </c>
      <c r="AV46" s="6053"/>
      <c r="AW46" s="6064">
        <v>110</v>
      </c>
      <c r="AX46" s="6053">
        <v>73</v>
      </c>
      <c r="AY46" s="6053"/>
      <c r="AZ46" s="6053"/>
      <c r="BA46" s="6053"/>
      <c r="BB46" s="6053"/>
      <c r="BC46" s="6113"/>
      <c r="BD46" s="6053"/>
      <c r="BE46" s="6053"/>
      <c r="BF46" s="6053"/>
      <c r="BG46" s="6053"/>
      <c r="BH46" s="6053"/>
      <c r="BI46" s="6063">
        <f t="shared" si="20"/>
        <v>183</v>
      </c>
      <c r="BJ46" s="6063">
        <f t="shared" si="19"/>
        <v>91.5</v>
      </c>
      <c r="BL46" s="5620">
        <f t="shared" si="22"/>
        <v>-158</v>
      </c>
      <c r="BM46" s="5620">
        <f t="shared" si="6"/>
        <v>-165.25</v>
      </c>
      <c r="BN46" s="5941">
        <f>IFERROR(
  SUM(
    _xlfn.XLOOKUP(DATE(YEAR($A$1),1,1),$2:$2,46:46):
    _xlfn.XLOOKUP($A$1,$2:$2,46:46)
  )
 -SUM(
    _xlfn.XLOOKUP(DATE(YEAR($A$1)-1,1,1),$2:$2,46:46):
    _xlfn.XLOOKUP(EDATE($A$1,-12),$2:$2,46:46)
  ),"")</f>
        <v>-140</v>
      </c>
      <c r="BO46" s="5620">
        <f t="shared" si="23"/>
        <v>-37</v>
      </c>
    </row>
    <row r="47" spans="1:67" x14ac:dyDescent="0.55000000000000004">
      <c r="A47" s="7352"/>
      <c r="B47" s="886" t="s">
        <v>164</v>
      </c>
      <c r="C47" s="2690"/>
      <c r="D47" s="581">
        <v>129</v>
      </c>
      <c r="E47" s="581">
        <v>160</v>
      </c>
      <c r="F47" s="581">
        <v>276</v>
      </c>
      <c r="G47" s="581">
        <v>152</v>
      </c>
      <c r="H47" s="581">
        <v>226</v>
      </c>
      <c r="I47" s="581">
        <v>230</v>
      </c>
      <c r="J47" s="581">
        <v>169</v>
      </c>
      <c r="K47" s="581">
        <v>164</v>
      </c>
      <c r="L47" s="581">
        <v>114</v>
      </c>
      <c r="M47" s="581">
        <v>131</v>
      </c>
      <c r="N47" s="581">
        <v>304</v>
      </c>
      <c r="O47" s="581">
        <v>194</v>
      </c>
      <c r="P47" s="6063">
        <f t="shared" si="17"/>
        <v>2249</v>
      </c>
      <c r="Q47" s="6063">
        <f t="shared" si="11"/>
        <v>187.41666666666666</v>
      </c>
      <c r="R47" s="6053"/>
      <c r="S47" s="6064">
        <v>189</v>
      </c>
      <c r="T47" s="6053">
        <v>162</v>
      </c>
      <c r="U47" s="6053">
        <v>97</v>
      </c>
      <c r="V47" s="6053">
        <v>128</v>
      </c>
      <c r="W47" s="6053">
        <v>298</v>
      </c>
      <c r="X47" s="6053">
        <v>276</v>
      </c>
      <c r="Y47" s="6113">
        <v>348</v>
      </c>
      <c r="Z47" s="6053">
        <v>327</v>
      </c>
      <c r="AA47" s="6053">
        <v>456</v>
      </c>
      <c r="AB47" s="6053">
        <v>174</v>
      </c>
      <c r="AC47" s="6053">
        <v>259</v>
      </c>
      <c r="AD47" s="6053">
        <v>327</v>
      </c>
      <c r="AE47" s="6063">
        <f t="shared" si="7"/>
        <v>3041</v>
      </c>
      <c r="AF47" s="6063">
        <f t="shared" si="21"/>
        <v>253.41666666666666</v>
      </c>
      <c r="AG47" s="6053"/>
      <c r="AH47" s="6064">
        <v>222</v>
      </c>
      <c r="AI47" s="6053">
        <v>175</v>
      </c>
      <c r="AJ47" s="6053">
        <v>246</v>
      </c>
      <c r="AK47" s="6053">
        <v>143</v>
      </c>
      <c r="AL47" s="6053">
        <v>94</v>
      </c>
      <c r="AM47" s="6053">
        <v>498</v>
      </c>
      <c r="AN47" s="6113">
        <v>351.5</v>
      </c>
      <c r="AO47" s="6053">
        <v>342</v>
      </c>
      <c r="AP47" s="6053">
        <v>367</v>
      </c>
      <c r="AQ47" s="6053">
        <v>358</v>
      </c>
      <c r="AR47" s="6053">
        <v>325</v>
      </c>
      <c r="AS47" s="6053">
        <v>136</v>
      </c>
      <c r="AT47" s="6063">
        <f t="shared" si="9"/>
        <v>3257.5</v>
      </c>
      <c r="AU47" s="6063">
        <f t="shared" si="8"/>
        <v>271.45833333333331</v>
      </c>
      <c r="AV47" s="6053"/>
      <c r="AW47" s="6064">
        <v>374</v>
      </c>
      <c r="AX47" s="6053">
        <v>408</v>
      </c>
      <c r="AY47" s="6053"/>
      <c r="AZ47" s="6053"/>
      <c r="BA47" s="6053"/>
      <c r="BB47" s="6053"/>
      <c r="BC47" s="6113"/>
      <c r="BD47" s="6053"/>
      <c r="BE47" s="6053"/>
      <c r="BF47" s="6053"/>
      <c r="BG47" s="6053"/>
      <c r="BH47" s="6053"/>
      <c r="BI47" s="6063">
        <f t="shared" si="20"/>
        <v>782</v>
      </c>
      <c r="BJ47" s="6063">
        <f t="shared" si="19"/>
        <v>391</v>
      </c>
      <c r="BL47" s="5620">
        <f t="shared" si="22"/>
        <v>233</v>
      </c>
      <c r="BM47" s="5620">
        <f t="shared" si="6"/>
        <v>119.54166666666669</v>
      </c>
      <c r="BN47" s="5941">
        <f>IFERROR(
  SUM(
    _xlfn.XLOOKUP(DATE(YEAR($A$1),1,1),$2:$2,47:47):
    _xlfn.XLOOKUP($A$1,$2:$2,47:47)
  )
 -SUM(
    _xlfn.XLOOKUP(DATE(YEAR($A$1)-1,1,1),$2:$2,47:47):
    _xlfn.XLOOKUP(EDATE($A$1,-12),$2:$2,47:47)
  ),"")</f>
        <v>385</v>
      </c>
      <c r="BO47" s="5620">
        <f t="shared" si="23"/>
        <v>34</v>
      </c>
    </row>
    <row r="48" spans="1:67" x14ac:dyDescent="0.55000000000000004">
      <c r="A48" s="7352"/>
      <c r="B48" s="803" t="s">
        <v>168</v>
      </c>
      <c r="C48" s="2725" t="s">
        <v>67</v>
      </c>
      <c r="D48" s="6114">
        <v>63</v>
      </c>
      <c r="E48" s="6114">
        <v>71</v>
      </c>
      <c r="F48" s="6114">
        <v>62</v>
      </c>
      <c r="G48" s="6114">
        <v>41</v>
      </c>
      <c r="H48" s="6114">
        <v>121</v>
      </c>
      <c r="I48" s="6114">
        <v>268</v>
      </c>
      <c r="J48" s="6114">
        <v>153</v>
      </c>
      <c r="K48" s="6114">
        <v>179</v>
      </c>
      <c r="L48" s="6114">
        <v>49</v>
      </c>
      <c r="M48" s="6114">
        <v>54</v>
      </c>
      <c r="N48" s="6114">
        <v>60</v>
      </c>
      <c r="O48" s="6114">
        <v>164</v>
      </c>
      <c r="P48" s="6101">
        <f t="shared" si="17"/>
        <v>1285</v>
      </c>
      <c r="Q48" s="6101">
        <f t="shared" si="11"/>
        <v>107.08333333333333</v>
      </c>
      <c r="R48" s="6053"/>
      <c r="S48" s="6102">
        <v>71</v>
      </c>
      <c r="T48" s="6104">
        <v>53</v>
      </c>
      <c r="U48" s="6104">
        <v>98</v>
      </c>
      <c r="V48" s="6104">
        <v>143</v>
      </c>
      <c r="W48" s="6104">
        <v>34</v>
      </c>
      <c r="X48" s="6104">
        <v>252</v>
      </c>
      <c r="Y48" s="6104">
        <v>85</v>
      </c>
      <c r="Z48" s="6104">
        <v>32</v>
      </c>
      <c r="AA48" s="6104">
        <v>99</v>
      </c>
      <c r="AB48" s="6104">
        <v>58</v>
      </c>
      <c r="AC48" s="6104">
        <v>11</v>
      </c>
      <c r="AD48" s="6104">
        <v>40</v>
      </c>
      <c r="AE48" s="6101">
        <f t="shared" si="7"/>
        <v>976</v>
      </c>
      <c r="AF48" s="6101">
        <f t="shared" si="21"/>
        <v>81.333333333333329</v>
      </c>
      <c r="AG48" s="6053"/>
      <c r="AH48" s="6102">
        <v>63</v>
      </c>
      <c r="AI48" s="6104">
        <v>79</v>
      </c>
      <c r="AJ48" s="6104">
        <v>59</v>
      </c>
      <c r="AK48" s="6104">
        <v>105</v>
      </c>
      <c r="AL48" s="6104">
        <v>80</v>
      </c>
      <c r="AM48" s="6104">
        <v>95</v>
      </c>
      <c r="AN48" s="6104">
        <v>281</v>
      </c>
      <c r="AO48" s="6104">
        <v>466</v>
      </c>
      <c r="AP48" s="6104">
        <v>225</v>
      </c>
      <c r="AQ48" s="6104">
        <v>443</v>
      </c>
      <c r="AR48" s="6104">
        <v>103</v>
      </c>
      <c r="AS48" s="6104">
        <v>27</v>
      </c>
      <c r="AT48" s="6101">
        <f t="shared" si="9"/>
        <v>2026</v>
      </c>
      <c r="AU48" s="6101">
        <f t="shared" si="8"/>
        <v>168.83333333333334</v>
      </c>
      <c r="AV48" s="6053"/>
      <c r="AW48" s="6102">
        <v>48</v>
      </c>
      <c r="AX48" s="6104">
        <v>109</v>
      </c>
      <c r="AY48" s="6104"/>
      <c r="AZ48" s="6104"/>
      <c r="BA48" s="6104"/>
      <c r="BB48" s="6104"/>
      <c r="BC48" s="6104"/>
      <c r="BD48" s="6104"/>
      <c r="BE48" s="6104"/>
      <c r="BF48" s="6104"/>
      <c r="BG48" s="6104"/>
      <c r="BH48" s="6104"/>
      <c r="BI48" s="6101">
        <f t="shared" si="20"/>
        <v>157</v>
      </c>
      <c r="BJ48" s="6101">
        <f t="shared" si="19"/>
        <v>78.5</v>
      </c>
      <c r="BL48" s="5620">
        <f t="shared" si="22"/>
        <v>30</v>
      </c>
      <c r="BM48" s="5620">
        <f t="shared" si="6"/>
        <v>-90.333333333333343</v>
      </c>
      <c r="BN48" s="5941">
        <f>IFERROR(
  SUM(
    _xlfn.XLOOKUP(DATE(YEAR($A$1),1,1),$2:$2,48:48):
    _xlfn.XLOOKUP($A$1,$2:$2,48:48)
  )
 -SUM(
    _xlfn.XLOOKUP(DATE(YEAR($A$1)-1,1,1),$2:$2,48:48):
    _xlfn.XLOOKUP(EDATE($A$1,-12),$2:$2,48:48)
  ),"")</f>
        <v>15</v>
      </c>
      <c r="BO48" s="5620">
        <f t="shared" si="23"/>
        <v>61</v>
      </c>
    </row>
    <row r="49" spans="1:67" x14ac:dyDescent="0.55000000000000004">
      <c r="A49" s="7352"/>
      <c r="B49" s="803"/>
      <c r="C49" s="2725" t="s">
        <v>68</v>
      </c>
      <c r="D49" s="6114">
        <v>16</v>
      </c>
      <c r="E49" s="6114">
        <v>102</v>
      </c>
      <c r="F49" s="6114">
        <v>37</v>
      </c>
      <c r="G49" s="6114">
        <v>162</v>
      </c>
      <c r="H49" s="6114">
        <v>286</v>
      </c>
      <c r="I49" s="6114">
        <v>94</v>
      </c>
      <c r="J49" s="6114">
        <v>99</v>
      </c>
      <c r="K49" s="6114">
        <v>125</v>
      </c>
      <c r="L49" s="6114">
        <v>166</v>
      </c>
      <c r="M49" s="6114">
        <v>36</v>
      </c>
      <c r="N49" s="6114">
        <v>13</v>
      </c>
      <c r="O49" s="6114">
        <v>80</v>
      </c>
      <c r="P49" s="6101">
        <f t="shared" si="17"/>
        <v>1216</v>
      </c>
      <c r="Q49" s="6101">
        <f t="shared" si="11"/>
        <v>101.33333333333333</v>
      </c>
      <c r="R49" s="6053"/>
      <c r="S49" s="6102">
        <v>16</v>
      </c>
      <c r="T49" s="6104">
        <v>16</v>
      </c>
      <c r="U49" s="6104">
        <v>81</v>
      </c>
      <c r="V49" s="6104">
        <v>59</v>
      </c>
      <c r="W49" s="6104">
        <v>96</v>
      </c>
      <c r="X49" s="6104">
        <v>150</v>
      </c>
      <c r="Y49" s="6104">
        <v>28</v>
      </c>
      <c r="Z49" s="6104">
        <v>13</v>
      </c>
      <c r="AA49" s="6104">
        <v>64</v>
      </c>
      <c r="AB49" s="6104">
        <v>117</v>
      </c>
      <c r="AC49" s="6104">
        <v>16</v>
      </c>
      <c r="AD49" s="6104">
        <v>20</v>
      </c>
      <c r="AE49" s="6101">
        <f t="shared" si="7"/>
        <v>676</v>
      </c>
      <c r="AF49" s="6101">
        <f t="shared" si="21"/>
        <v>56.333333333333336</v>
      </c>
      <c r="AG49" s="6053"/>
      <c r="AH49" s="6102">
        <v>4</v>
      </c>
      <c r="AI49" s="6104">
        <v>8</v>
      </c>
      <c r="AJ49" s="6104">
        <v>12</v>
      </c>
      <c r="AK49" s="6104">
        <v>18</v>
      </c>
      <c r="AL49" s="6104">
        <v>23</v>
      </c>
      <c r="AM49" s="6104">
        <v>1</v>
      </c>
      <c r="AN49" s="6104">
        <v>85</v>
      </c>
      <c r="AO49" s="6104">
        <v>48</v>
      </c>
      <c r="AP49" s="6104">
        <v>96</v>
      </c>
      <c r="AQ49" s="6104">
        <v>120</v>
      </c>
      <c r="AR49" s="6104">
        <v>87</v>
      </c>
      <c r="AS49" s="6104">
        <v>82</v>
      </c>
      <c r="AT49" s="6101">
        <f t="shared" si="9"/>
        <v>584</v>
      </c>
      <c r="AU49" s="6101">
        <f t="shared" si="8"/>
        <v>48.666666666666664</v>
      </c>
      <c r="AV49" s="6053"/>
      <c r="AW49" s="6102">
        <v>80</v>
      </c>
      <c r="AX49" s="6104">
        <v>117</v>
      </c>
      <c r="AY49" s="6104"/>
      <c r="AZ49" s="6104"/>
      <c r="BA49" s="6104"/>
      <c r="BB49" s="6104"/>
      <c r="BC49" s="6104"/>
      <c r="BD49" s="6104"/>
      <c r="BE49" s="6104"/>
      <c r="BF49" s="6104"/>
      <c r="BG49" s="6104"/>
      <c r="BH49" s="6104"/>
      <c r="BI49" s="6101">
        <f t="shared" si="20"/>
        <v>197</v>
      </c>
      <c r="BJ49" s="6101">
        <f t="shared" si="19"/>
        <v>98.5</v>
      </c>
      <c r="BL49" s="5620">
        <f t="shared" si="22"/>
        <v>109</v>
      </c>
      <c r="BM49" s="5620">
        <f t="shared" si="6"/>
        <v>49.833333333333336</v>
      </c>
      <c r="BN49" s="5941">
        <f>IFERROR(
  SUM(
    _xlfn.XLOOKUP(DATE(YEAR($A$1),1,1),$2:$2,49:49):
    _xlfn.XLOOKUP($A$1,$2:$2,49:49)
  )
 -SUM(
    _xlfn.XLOOKUP(DATE(YEAR($A$1)-1,1,1),$2:$2,49:49):
    _xlfn.XLOOKUP(EDATE($A$1,-12),$2:$2,49:49)
  ),"")</f>
        <v>185</v>
      </c>
      <c r="BO49" s="5620">
        <f t="shared" si="23"/>
        <v>37</v>
      </c>
    </row>
    <row r="50" spans="1:67" x14ac:dyDescent="0.55000000000000004">
      <c r="A50" s="7352"/>
      <c r="B50" s="803"/>
      <c r="C50" s="2725" t="s">
        <v>69</v>
      </c>
      <c r="D50" s="6114">
        <v>113</v>
      </c>
      <c r="E50" s="6114">
        <v>150</v>
      </c>
      <c r="F50" s="6114">
        <v>158</v>
      </c>
      <c r="G50" s="6114">
        <v>174</v>
      </c>
      <c r="H50" s="6114">
        <v>307</v>
      </c>
      <c r="I50" s="6114">
        <v>173</v>
      </c>
      <c r="J50" s="6114">
        <v>176</v>
      </c>
      <c r="K50" s="6114">
        <v>296</v>
      </c>
      <c r="L50" s="6114">
        <v>74</v>
      </c>
      <c r="M50" s="6114">
        <v>139</v>
      </c>
      <c r="N50" s="6114">
        <v>51</v>
      </c>
      <c r="O50" s="6114">
        <v>207</v>
      </c>
      <c r="P50" s="6101">
        <f t="shared" si="17"/>
        <v>2018</v>
      </c>
      <c r="Q50" s="6101">
        <f t="shared" si="11"/>
        <v>168.16666666666666</v>
      </c>
      <c r="R50" s="6053"/>
      <c r="S50" s="6102">
        <v>84</v>
      </c>
      <c r="T50" s="6104">
        <v>103</v>
      </c>
      <c r="U50" s="6104">
        <v>27</v>
      </c>
      <c r="V50" s="6104">
        <v>124</v>
      </c>
      <c r="W50" s="6104">
        <v>140</v>
      </c>
      <c r="X50" s="6104">
        <v>187</v>
      </c>
      <c r="Y50" s="6104">
        <v>267</v>
      </c>
      <c r="Z50" s="6104">
        <v>157</v>
      </c>
      <c r="AA50" s="6104">
        <v>106</v>
      </c>
      <c r="AB50" s="6104">
        <v>107</v>
      </c>
      <c r="AC50" s="6104">
        <v>13</v>
      </c>
      <c r="AD50" s="6104">
        <v>44</v>
      </c>
      <c r="AE50" s="6101">
        <f t="shared" si="7"/>
        <v>1359</v>
      </c>
      <c r="AF50" s="6101">
        <f t="shared" si="21"/>
        <v>113.25</v>
      </c>
      <c r="AG50" s="6053"/>
      <c r="AH50" s="6102">
        <v>71</v>
      </c>
      <c r="AI50" s="6104">
        <v>8</v>
      </c>
      <c r="AJ50" s="6104">
        <v>96</v>
      </c>
      <c r="AK50" s="6104">
        <v>51</v>
      </c>
      <c r="AL50" s="6104">
        <v>70</v>
      </c>
      <c r="AM50" s="6104">
        <v>88</v>
      </c>
      <c r="AN50" s="6104">
        <v>59</v>
      </c>
      <c r="AO50" s="6104">
        <v>158</v>
      </c>
      <c r="AP50" s="6104">
        <v>100</v>
      </c>
      <c r="AQ50" s="6104">
        <v>16</v>
      </c>
      <c r="AR50" s="6104">
        <v>123</v>
      </c>
      <c r="AS50" s="6104">
        <v>123</v>
      </c>
      <c r="AT50" s="6101">
        <f t="shared" si="9"/>
        <v>963</v>
      </c>
      <c r="AU50" s="6101">
        <f t="shared" si="8"/>
        <v>80.25</v>
      </c>
      <c r="AV50" s="6053"/>
      <c r="AW50" s="6102">
        <v>115</v>
      </c>
      <c r="AX50" s="6104">
        <v>214</v>
      </c>
      <c r="AY50" s="6104"/>
      <c r="AZ50" s="6104"/>
      <c r="BA50" s="6104"/>
      <c r="BB50" s="6104"/>
      <c r="BC50" s="6104"/>
      <c r="BD50" s="6104"/>
      <c r="BE50" s="6104"/>
      <c r="BF50" s="6104"/>
      <c r="BG50" s="6104"/>
      <c r="BH50" s="6104"/>
      <c r="BI50" s="6101">
        <f t="shared" si="20"/>
        <v>329</v>
      </c>
      <c r="BJ50" s="6101">
        <f t="shared" si="19"/>
        <v>164.5</v>
      </c>
      <c r="BL50" s="5620">
        <f t="shared" si="22"/>
        <v>206</v>
      </c>
      <c r="BM50" s="5620">
        <f t="shared" si="6"/>
        <v>84.25</v>
      </c>
      <c r="BN50" s="5941">
        <f>IFERROR(
  SUM(
    _xlfn.XLOOKUP(DATE(YEAR($A$1),1,1),$2:$2,50:50):
    _xlfn.XLOOKUP($A$1,$2:$2,50:50)
  )
 -SUM(
    _xlfn.XLOOKUP(DATE(YEAR($A$1)-1,1,1),$2:$2,50:50):
    _xlfn.XLOOKUP(EDATE($A$1,-12),$2:$2,50:50)
  ),"")</f>
        <v>250</v>
      </c>
      <c r="BO50" s="5620">
        <f t="shared" si="23"/>
        <v>99</v>
      </c>
    </row>
    <row r="51" spans="1:67" x14ac:dyDescent="0.55000000000000004">
      <c r="A51" s="7352"/>
      <c r="B51" s="803"/>
      <c r="C51" s="2725" t="s">
        <v>163</v>
      </c>
      <c r="D51" s="6114">
        <v>30</v>
      </c>
      <c r="E51" s="6114">
        <v>62</v>
      </c>
      <c r="F51" s="6114">
        <v>58</v>
      </c>
      <c r="G51" s="6114">
        <v>50</v>
      </c>
      <c r="H51" s="6114">
        <v>53</v>
      </c>
      <c r="I51" s="6114">
        <v>176</v>
      </c>
      <c r="J51" s="6114">
        <v>55</v>
      </c>
      <c r="K51" s="6114">
        <v>58</v>
      </c>
      <c r="L51" s="6114">
        <v>167</v>
      </c>
      <c r="M51" s="6114">
        <v>20</v>
      </c>
      <c r="N51" s="6114">
        <v>34</v>
      </c>
      <c r="O51" s="6114">
        <v>126</v>
      </c>
      <c r="P51" s="6101">
        <f t="shared" si="17"/>
        <v>889</v>
      </c>
      <c r="Q51" s="6101">
        <f t="shared" si="11"/>
        <v>74.083333333333329</v>
      </c>
      <c r="R51" s="6053"/>
      <c r="S51" s="6102">
        <v>68</v>
      </c>
      <c r="T51" s="6104">
        <v>11</v>
      </c>
      <c r="U51" s="6104">
        <v>72</v>
      </c>
      <c r="V51" s="6104">
        <v>114</v>
      </c>
      <c r="W51" s="6104">
        <v>88</v>
      </c>
      <c r="X51" s="6104">
        <v>147</v>
      </c>
      <c r="Y51" s="6104">
        <v>122</v>
      </c>
      <c r="Z51" s="6104">
        <v>9</v>
      </c>
      <c r="AA51" s="6104">
        <v>71</v>
      </c>
      <c r="AB51" s="6104">
        <v>70</v>
      </c>
      <c r="AC51" s="6104">
        <v>14</v>
      </c>
      <c r="AD51" s="6104">
        <v>37</v>
      </c>
      <c r="AE51" s="6101">
        <f t="shared" si="7"/>
        <v>823</v>
      </c>
      <c r="AF51" s="6101">
        <f t="shared" si="21"/>
        <v>68.583333333333329</v>
      </c>
      <c r="AG51" s="6053"/>
      <c r="AH51" s="6102">
        <v>8</v>
      </c>
      <c r="AI51" s="6104">
        <v>183</v>
      </c>
      <c r="AJ51" s="6104">
        <v>117</v>
      </c>
      <c r="AK51" s="6104">
        <v>192</v>
      </c>
      <c r="AL51" s="6104">
        <v>18</v>
      </c>
      <c r="AM51" s="6104">
        <v>98</v>
      </c>
      <c r="AN51" s="6104">
        <v>28</v>
      </c>
      <c r="AO51" s="6104">
        <v>178</v>
      </c>
      <c r="AP51" s="6104">
        <v>315</v>
      </c>
      <c r="AQ51" s="6104">
        <v>273</v>
      </c>
      <c r="AR51" s="6104">
        <v>72</v>
      </c>
      <c r="AS51" s="6104">
        <v>47</v>
      </c>
      <c r="AT51" s="6101">
        <f t="shared" si="9"/>
        <v>1529</v>
      </c>
      <c r="AU51" s="6101">
        <f t="shared" si="8"/>
        <v>127.41666666666667</v>
      </c>
      <c r="AV51" s="6053"/>
      <c r="AW51" s="6102">
        <v>51</v>
      </c>
      <c r="AX51" s="6104">
        <v>32</v>
      </c>
      <c r="AY51" s="6104"/>
      <c r="AZ51" s="6104"/>
      <c r="BA51" s="6104"/>
      <c r="BB51" s="6104"/>
      <c r="BC51" s="6104"/>
      <c r="BD51" s="6104"/>
      <c r="BE51" s="6104"/>
      <c r="BF51" s="6104"/>
      <c r="BG51" s="6104"/>
      <c r="BH51" s="6104"/>
      <c r="BI51" s="6101">
        <f t="shared" si="20"/>
        <v>83</v>
      </c>
      <c r="BJ51" s="6101">
        <f t="shared" si="19"/>
        <v>41.5</v>
      </c>
      <c r="BL51" s="5620">
        <f t="shared" si="22"/>
        <v>-151</v>
      </c>
      <c r="BM51" s="5620">
        <f t="shared" si="6"/>
        <v>-85.916666666666671</v>
      </c>
      <c r="BN51" s="5941">
        <f>IFERROR(
  SUM(
    _xlfn.XLOOKUP(DATE(YEAR($A$1),1,1),$2:$2,51:51):
    _xlfn.XLOOKUP($A$1,$2:$2,51:51)
  )
 -SUM(
    _xlfn.XLOOKUP(DATE(YEAR($A$1)-1,1,1),$2:$2,51:51):
    _xlfn.XLOOKUP(EDATE($A$1,-12),$2:$2,51:51)
  ),"")</f>
        <v>-108</v>
      </c>
      <c r="BO51" s="5620">
        <f t="shared" si="23"/>
        <v>-19</v>
      </c>
    </row>
    <row r="52" spans="1:67" ht="15.45" thickBot="1" x14ac:dyDescent="0.6">
      <c r="A52" s="7356"/>
      <c r="B52" s="2759"/>
      <c r="C52" s="2760" t="s">
        <v>164</v>
      </c>
      <c r="D52" s="6115">
        <v>42</v>
      </c>
      <c r="E52" s="6116">
        <v>66</v>
      </c>
      <c r="F52" s="6116">
        <v>185</v>
      </c>
      <c r="G52" s="6116">
        <v>62</v>
      </c>
      <c r="H52" s="6116">
        <v>127</v>
      </c>
      <c r="I52" s="6116">
        <v>82</v>
      </c>
      <c r="J52" s="6116">
        <v>57</v>
      </c>
      <c r="K52" s="6116">
        <v>77</v>
      </c>
      <c r="L52" s="6116">
        <v>32</v>
      </c>
      <c r="M52" s="6116">
        <v>43</v>
      </c>
      <c r="N52" s="6116">
        <v>240</v>
      </c>
      <c r="O52" s="6117">
        <v>194</v>
      </c>
      <c r="P52" s="6118">
        <f t="shared" si="17"/>
        <v>1207</v>
      </c>
      <c r="Q52" s="6118">
        <f t="shared" si="11"/>
        <v>100.58333333333333</v>
      </c>
      <c r="R52" s="6053"/>
      <c r="S52" s="6119">
        <v>127</v>
      </c>
      <c r="T52" s="6120">
        <v>68</v>
      </c>
      <c r="U52" s="6120">
        <v>22</v>
      </c>
      <c r="V52" s="6120">
        <v>71</v>
      </c>
      <c r="W52" s="6120">
        <v>215</v>
      </c>
      <c r="X52" s="6120">
        <v>58</v>
      </c>
      <c r="Y52" s="6120">
        <v>191</v>
      </c>
      <c r="Z52" s="6120">
        <v>135</v>
      </c>
      <c r="AA52" s="6120">
        <v>253</v>
      </c>
      <c r="AB52" s="6120">
        <v>65</v>
      </c>
      <c r="AC52" s="6120">
        <v>151</v>
      </c>
      <c r="AD52" s="6121">
        <v>258</v>
      </c>
      <c r="AE52" s="6118">
        <f t="shared" si="7"/>
        <v>1614</v>
      </c>
      <c r="AF52" s="6118">
        <f t="shared" si="21"/>
        <v>134.5</v>
      </c>
      <c r="AG52" s="6053"/>
      <c r="AH52" s="6119">
        <v>170</v>
      </c>
      <c r="AI52" s="6120">
        <v>102</v>
      </c>
      <c r="AJ52" s="6120">
        <v>119</v>
      </c>
      <c r="AK52" s="6120">
        <v>76</v>
      </c>
      <c r="AL52" s="6120">
        <v>13</v>
      </c>
      <c r="AM52" s="6120">
        <v>349</v>
      </c>
      <c r="AN52" s="6120">
        <v>206</v>
      </c>
      <c r="AO52" s="6120">
        <v>247</v>
      </c>
      <c r="AP52" s="6120">
        <v>261</v>
      </c>
      <c r="AQ52" s="6120">
        <v>296</v>
      </c>
      <c r="AR52" s="6120">
        <v>280</v>
      </c>
      <c r="AS52" s="6121">
        <v>98</v>
      </c>
      <c r="AT52" s="6118">
        <f t="shared" si="9"/>
        <v>2217</v>
      </c>
      <c r="AU52" s="6118">
        <f t="shared" si="8"/>
        <v>184.75</v>
      </c>
      <c r="AV52" s="6053"/>
      <c r="AW52" s="6119">
        <v>342</v>
      </c>
      <c r="AX52" s="6120">
        <v>368</v>
      </c>
      <c r="AY52" s="6120"/>
      <c r="AZ52" s="6120"/>
      <c r="BA52" s="6120"/>
      <c r="BB52" s="6120"/>
      <c r="BC52" s="6120"/>
      <c r="BD52" s="6120"/>
      <c r="BE52" s="6120"/>
      <c r="BF52" s="6120"/>
      <c r="BG52" s="6120"/>
      <c r="BH52" s="6121"/>
      <c r="BI52" s="6118">
        <f t="shared" si="20"/>
        <v>710</v>
      </c>
      <c r="BJ52" s="6118">
        <f t="shared" si="19"/>
        <v>355</v>
      </c>
      <c r="BL52" s="5620">
        <f t="shared" si="22"/>
        <v>266</v>
      </c>
      <c r="BM52" s="5620">
        <f t="shared" si="6"/>
        <v>170.25</v>
      </c>
      <c r="BN52" s="5941">
        <f>IFERROR(
  SUM(
    _xlfn.XLOOKUP(DATE(YEAR($A$1),1,1),$2:$2,52:52):
    _xlfn.XLOOKUP($A$1,$2:$2,52:52)
  )
 -SUM(
    _xlfn.XLOOKUP(DATE(YEAR($A$1)-1,1,1),$2:$2,52:52):
    _xlfn.XLOOKUP(EDATE($A$1,-12),$2:$2,52:52)
  ),"")</f>
        <v>438</v>
      </c>
      <c r="BO52" s="5620">
        <f t="shared" si="23"/>
        <v>26</v>
      </c>
    </row>
    <row r="53" spans="1:67" ht="15.45" thickBot="1" x14ac:dyDescent="0.6">
      <c r="BN53" s="4564"/>
    </row>
    <row r="54" spans="1:67" x14ac:dyDescent="0.55000000000000004">
      <c r="A54" s="7346" t="s">
        <v>379</v>
      </c>
      <c r="B54" s="5131" t="s">
        <v>1178</v>
      </c>
      <c r="C54" s="5132"/>
      <c r="D54" s="6008">
        <f>IFERROR(D16/D4,"")</f>
        <v>6.0583333333333336</v>
      </c>
      <c r="E54" s="6008">
        <f t="shared" ref="E54:O54" si="24">IFERROR(E16/E4,"")</f>
        <v>10.96</v>
      </c>
      <c r="F54" s="6008">
        <f t="shared" si="24"/>
        <v>4.3235294117647056</v>
      </c>
      <c r="G54" s="6008">
        <f t="shared" si="24"/>
        <v>4.7462686567164178</v>
      </c>
      <c r="H54" s="6008">
        <f t="shared" si="24"/>
        <v>5.5248226950354606</v>
      </c>
      <c r="I54" s="6008">
        <f t="shared" si="24"/>
        <v>3.112676056338028</v>
      </c>
      <c r="J54" s="6008">
        <f t="shared" si="24"/>
        <v>2.7464788732394365</v>
      </c>
      <c r="K54" s="6008">
        <f t="shared" si="24"/>
        <v>4.5319148936170217</v>
      </c>
      <c r="L54" s="6008">
        <f t="shared" si="24"/>
        <v>1.6527777777777777</v>
      </c>
      <c r="M54" s="6008">
        <f t="shared" si="24"/>
        <v>3.9492753623188408</v>
      </c>
      <c r="N54" s="6008">
        <f t="shared" si="24"/>
        <v>1.8582089552238805</v>
      </c>
      <c r="O54" s="6008">
        <f t="shared" si="24"/>
        <v>1.3360000000000001</v>
      </c>
      <c r="P54" s="6008">
        <f>Q54</f>
        <v>4.2333571679470756</v>
      </c>
      <c r="Q54" s="6008">
        <f t="shared" ref="Q54:Q65" si="25">AVERAGE(D54:O54)</f>
        <v>4.2333571679470756</v>
      </c>
      <c r="R54" s="594"/>
      <c r="S54" s="6008">
        <f>IFERROR(S16/S4,"")</f>
        <v>2.672268907563025</v>
      </c>
      <c r="T54" s="6008">
        <f t="shared" ref="T54:AD54" si="26">IFERROR(T16/T4,"")</f>
        <v>1.946808510638298</v>
      </c>
      <c r="U54" s="6008">
        <f t="shared" si="26"/>
        <v>2.8681318681318682</v>
      </c>
      <c r="V54" s="6008">
        <f t="shared" si="26"/>
        <v>2.42</v>
      </c>
      <c r="W54" s="6008">
        <f t="shared" si="26"/>
        <v>3.0841121495327104</v>
      </c>
      <c r="X54" s="6008">
        <f t="shared" si="26"/>
        <v>1.8899082568807339</v>
      </c>
      <c r="Y54" s="6008">
        <f t="shared" si="26"/>
        <v>6.1061946902654869</v>
      </c>
      <c r="Z54" s="6008">
        <f t="shared" si="26"/>
        <v>1.954954954954955</v>
      </c>
      <c r="AA54" s="6008">
        <f t="shared" si="26"/>
        <v>2.2894736842105261</v>
      </c>
      <c r="AB54" s="6008">
        <f t="shared" si="26"/>
        <v>1.9652173913043478</v>
      </c>
      <c r="AC54" s="6008">
        <f t="shared" si="26"/>
        <v>1.2250000000000001</v>
      </c>
      <c r="AD54" s="6008">
        <f t="shared" si="26"/>
        <v>0.90243902439024393</v>
      </c>
      <c r="AE54" s="6008">
        <f>AF54</f>
        <v>2.443709119822683</v>
      </c>
      <c r="AF54" s="6008">
        <f t="shared" ref="AF54:AF65" si="27">AVERAGE(S54:AD54)</f>
        <v>2.443709119822683</v>
      </c>
      <c r="AG54" s="594"/>
      <c r="AH54" s="6008">
        <f>IFERROR(AH16/AH4,"")</f>
        <v>1.1846153846153846</v>
      </c>
      <c r="AI54" s="6008">
        <f t="shared" ref="AI54:AS54" si="28">IFERROR(AI16/AI4,"")</f>
        <v>3.1171875</v>
      </c>
      <c r="AJ54" s="6008">
        <f t="shared" si="28"/>
        <v>1.2158273381294964</v>
      </c>
      <c r="AK54" s="6008">
        <f t="shared" si="28"/>
        <v>2.0797101449275361</v>
      </c>
      <c r="AL54" s="6008">
        <f t="shared" si="28"/>
        <v>3.216417910447761</v>
      </c>
      <c r="AM54" s="6008">
        <f t="shared" si="28"/>
        <v>1.4806201550387597</v>
      </c>
      <c r="AN54" s="6008">
        <f t="shared" si="28"/>
        <v>5.7477477477477477</v>
      </c>
      <c r="AO54" s="6008">
        <f t="shared" si="28"/>
        <v>1.8148148148148149</v>
      </c>
      <c r="AP54" s="6008">
        <f t="shared" si="28"/>
        <v>2.8878504672897196</v>
      </c>
      <c r="AQ54" s="6008">
        <f t="shared" si="28"/>
        <v>2.5392156862745097</v>
      </c>
      <c r="AR54" s="6008">
        <f t="shared" si="28"/>
        <v>1.9019607843137254</v>
      </c>
      <c r="AS54" s="6008">
        <f t="shared" si="28"/>
        <v>1.5147058823529411</v>
      </c>
      <c r="AT54" s="6008">
        <f>AU54</f>
        <v>2.3917228179960333</v>
      </c>
      <c r="AU54" s="6008">
        <f t="shared" ref="AU54:AU59" si="29">AVERAGE(AH54:AS54)</f>
        <v>2.3917228179960333</v>
      </c>
      <c r="AV54" s="594"/>
      <c r="AW54" s="6008">
        <f>IFERROR(AW16/AW4,"")</f>
        <v>4.45</v>
      </c>
      <c r="AX54" s="6008">
        <f>IFERROR(AX16/AX4,"")</f>
        <v>2.5344827586206895</v>
      </c>
      <c r="AY54" s="6008" t="str">
        <f t="shared" ref="AY54:BH54" si="30">IFERROR(AY16/AY4,"")</f>
        <v/>
      </c>
      <c r="AZ54" s="6008" t="str">
        <f t="shared" si="30"/>
        <v/>
      </c>
      <c r="BA54" s="6008" t="str">
        <f t="shared" si="30"/>
        <v/>
      </c>
      <c r="BB54" s="6008" t="str">
        <f t="shared" si="30"/>
        <v/>
      </c>
      <c r="BC54" s="6008" t="str">
        <f t="shared" si="30"/>
        <v/>
      </c>
      <c r="BD54" s="6008" t="str">
        <f t="shared" si="30"/>
        <v/>
      </c>
      <c r="BE54" s="6008" t="str">
        <f t="shared" si="30"/>
        <v/>
      </c>
      <c r="BF54" s="6008" t="str">
        <f t="shared" si="30"/>
        <v/>
      </c>
      <c r="BG54" s="6008" t="str">
        <f t="shared" si="30"/>
        <v/>
      </c>
      <c r="BH54" s="6008" t="str">
        <f t="shared" si="30"/>
        <v/>
      </c>
      <c r="BI54" s="6233">
        <f>BJ54</f>
        <v>3.4922413793103448</v>
      </c>
      <c r="BJ54" s="6233">
        <f t="shared" ref="BJ54:BJ59" si="31">AVERAGE(AW54:BH54)</f>
        <v>3.4922413793103448</v>
      </c>
      <c r="BL54" s="5620">
        <f t="shared" ref="BL54:BL65" si="32">IFERROR(_xlfn.XLOOKUP($A$1,$2:$2,54:54)-_xlfn.XLOOKUP(EDATE($A$1,-12),$2:$2,54:54),"")</f>
        <v>-0.5827047413793105</v>
      </c>
      <c r="BM54" s="5620">
        <f t="shared" ref="BM54:BM65" si="33">BJ54-AU54</f>
        <v>1.1005185613143116</v>
      </c>
      <c r="BN54" s="5941">
        <f>IFERROR(
  SUM(
    _xlfn.XLOOKUP(DATE(YEAR($A$1),1,1),$2:$2,54:54):
    _xlfn.XLOOKUP($A$1,$2:$2,54:54)
  )
 -SUM(
    _xlfn.XLOOKUP(DATE(YEAR($A$1)-1,1,1),$2:$2,54:54):
    _xlfn.XLOOKUP(EDATE($A$1,-12),$2:$2,54:54)
  ),"")</f>
        <v>2.6826798740053048</v>
      </c>
      <c r="BO54" s="5620">
        <f t="shared" ref="BO54:BO65" si="34">IFERROR(
  _xlfn.XLOOKUP($A$1,$2:$2,54:54)
 -_xlfn.XLOOKUP(EDATE($A$1,-1),$2:$2,54:54),"")</f>
        <v>-1.9155172413793107</v>
      </c>
    </row>
    <row r="55" spans="1:67" x14ac:dyDescent="0.55000000000000004">
      <c r="A55" s="7347"/>
      <c r="B55" s="6126" t="s">
        <v>206</v>
      </c>
      <c r="C55" s="6000"/>
      <c r="D55" s="6009">
        <f>IFERROR(D28/D5,"")</f>
        <v>2.0499999999999998</v>
      </c>
      <c r="E55" s="6009">
        <f t="shared" ref="E55:O55" si="35">IFERROR(E28/E5,"")</f>
        <v>9.3913043478260878</v>
      </c>
      <c r="F55" s="6009">
        <f t="shared" si="35"/>
        <v>2.88</v>
      </c>
      <c r="G55" s="6009">
        <f t="shared" si="35"/>
        <v>2.3461538461538463</v>
      </c>
      <c r="H55" s="6009">
        <f t="shared" si="35"/>
        <v>2.8148148148148149</v>
      </c>
      <c r="I55" s="6009">
        <f t="shared" si="35"/>
        <v>2.1851851851851851</v>
      </c>
      <c r="J55" s="6009">
        <f t="shared" si="35"/>
        <v>2.2962962962962963</v>
      </c>
      <c r="K55" s="6009">
        <f t="shared" si="35"/>
        <v>3.4230769230769229</v>
      </c>
      <c r="L55" s="6009">
        <f t="shared" si="35"/>
        <v>1.4814814814814814</v>
      </c>
      <c r="M55" s="6009">
        <f t="shared" si="35"/>
        <v>2.8333333333333335</v>
      </c>
      <c r="N55" s="6009">
        <f t="shared" si="35"/>
        <v>2.3333333333333335</v>
      </c>
      <c r="O55" s="6009">
        <f t="shared" si="35"/>
        <v>2.1666666666666665</v>
      </c>
      <c r="P55" s="6009">
        <f t="shared" ref="P55:P65" si="36">Q55</f>
        <v>3.0168038523473304</v>
      </c>
      <c r="Q55" s="6009">
        <f t="shared" si="25"/>
        <v>3.0168038523473304</v>
      </c>
      <c r="R55" s="556"/>
      <c r="S55" s="6009">
        <f>IFERROR(S28/S5,"")</f>
        <v>5.1111111111111107</v>
      </c>
      <c r="T55" s="6009">
        <f t="shared" ref="T55:AD55" si="37">IFERROR(T28/T5,"")</f>
        <v>3</v>
      </c>
      <c r="U55" s="6009">
        <f t="shared" si="37"/>
        <v>3.4705882352941178</v>
      </c>
      <c r="V55" s="6009">
        <f t="shared" si="37"/>
        <v>4.1764705882352944</v>
      </c>
      <c r="W55" s="6009">
        <f t="shared" si="37"/>
        <v>4.1875</v>
      </c>
      <c r="X55" s="6009">
        <f t="shared" si="37"/>
        <v>2.4117647058823528</v>
      </c>
      <c r="Y55" s="6009">
        <f t="shared" si="37"/>
        <v>7.6470588235294121</v>
      </c>
      <c r="Z55" s="6009">
        <f t="shared" si="37"/>
        <v>2.2222222222222223</v>
      </c>
      <c r="AA55" s="6009">
        <f t="shared" si="37"/>
        <v>3.1666666666666665</v>
      </c>
      <c r="AB55" s="6009">
        <f t="shared" si="37"/>
        <v>2.2777777777777777</v>
      </c>
      <c r="AC55" s="6009">
        <f t="shared" si="37"/>
        <v>1.7619047619047619</v>
      </c>
      <c r="AD55" s="6009">
        <f t="shared" si="37"/>
        <v>1.0869565217391304</v>
      </c>
      <c r="AE55" s="6009">
        <f t="shared" ref="AE55:AE65" si="38">AF55</f>
        <v>3.3766684511969038</v>
      </c>
      <c r="AF55" s="6009">
        <f t="shared" si="27"/>
        <v>3.3766684511969038</v>
      </c>
      <c r="AG55" s="556"/>
      <c r="AH55" s="6009">
        <f>IFERROR(AH28/AH5,"")</f>
        <v>1.5909090909090908</v>
      </c>
      <c r="AI55" s="6009">
        <f t="shared" ref="AI55:AS55" si="39">IFERROR(AI28/AI5,"")</f>
        <v>4.5</v>
      </c>
      <c r="AJ55" s="6009">
        <f t="shared" si="39"/>
        <v>1.1481481481481481</v>
      </c>
      <c r="AK55" s="6009">
        <f t="shared" si="39"/>
        <v>2.9642857142857144</v>
      </c>
      <c r="AL55" s="6009">
        <f t="shared" si="39"/>
        <v>3.925925925925926</v>
      </c>
      <c r="AM55" s="6009">
        <f t="shared" si="39"/>
        <v>1.8518518518518519</v>
      </c>
      <c r="AN55" s="6009">
        <f t="shared" si="39"/>
        <v>4.9565217391304346</v>
      </c>
      <c r="AO55" s="6009">
        <f t="shared" si="39"/>
        <v>2</v>
      </c>
      <c r="AP55" s="6009">
        <f t="shared" si="39"/>
        <v>3.0434782608695654</v>
      </c>
      <c r="AQ55" s="6009">
        <f t="shared" si="39"/>
        <v>3.2272727272727271</v>
      </c>
      <c r="AR55" s="6009">
        <f t="shared" si="39"/>
        <v>1.6363636363636365</v>
      </c>
      <c r="AS55" s="6009">
        <f t="shared" si="39"/>
        <v>1.5</v>
      </c>
      <c r="AT55" s="6009">
        <f t="shared" ref="AT55:AT65" si="40">AU55</f>
        <v>2.6953964245630915</v>
      </c>
      <c r="AU55" s="6009">
        <f t="shared" si="29"/>
        <v>2.6953964245630915</v>
      </c>
      <c r="AV55" s="556"/>
      <c r="AW55" s="6009">
        <f>IFERROR(AW28/AW5,"")</f>
        <v>5.4285714285714288</v>
      </c>
      <c r="AX55" s="6009">
        <f>IFERROR(AX28/AX5,"")</f>
        <v>3.7142857142857144</v>
      </c>
      <c r="AY55" s="6009" t="str">
        <f t="shared" ref="AY55:BH55" si="41">IFERROR(AY28/AY5,"")</f>
        <v/>
      </c>
      <c r="AZ55" s="6009" t="str">
        <f t="shared" si="41"/>
        <v/>
      </c>
      <c r="BA55" s="6009" t="str">
        <f t="shared" si="41"/>
        <v/>
      </c>
      <c r="BB55" s="6009" t="str">
        <f t="shared" si="41"/>
        <v/>
      </c>
      <c r="BC55" s="6009" t="str">
        <f t="shared" si="41"/>
        <v/>
      </c>
      <c r="BD55" s="6009" t="str">
        <f t="shared" si="41"/>
        <v/>
      </c>
      <c r="BE55" s="6009" t="str">
        <f t="shared" si="41"/>
        <v/>
      </c>
      <c r="BF55" s="6009" t="str">
        <f t="shared" si="41"/>
        <v/>
      </c>
      <c r="BG55" s="6009" t="str">
        <f t="shared" si="41"/>
        <v/>
      </c>
      <c r="BH55" s="6009" t="str">
        <f t="shared" si="41"/>
        <v/>
      </c>
      <c r="BI55" s="6234">
        <f t="shared" ref="BI55:BI64" si="42">BJ55</f>
        <v>4.5714285714285712</v>
      </c>
      <c r="BJ55" s="6234">
        <f t="shared" si="31"/>
        <v>4.5714285714285712</v>
      </c>
      <c r="BL55" s="5620">
        <f t="shared" si="32"/>
        <v>-0.78571428571428559</v>
      </c>
      <c r="BM55" s="5620">
        <f t="shared" si="33"/>
        <v>1.8760321468654797</v>
      </c>
      <c r="BN55" s="5941">
        <f>IFERROR(
  SUM(
    _xlfn.XLOOKUP(DATE(YEAR($A$1),1,1),$2:$2,55:55):
    _xlfn.XLOOKUP($A$1,$2:$2,55:55)
  )
 -SUM(
    _xlfn.XLOOKUP(DATE(YEAR($A$1)-1,1,1),$2:$2,55:55):
    _xlfn.XLOOKUP(EDATE($A$1,-12),$2:$2,55:55)
  ),"")</f>
        <v>3.0519480519480515</v>
      </c>
      <c r="BO55" s="5620">
        <f t="shared" si="34"/>
        <v>-1.7142857142857144</v>
      </c>
    </row>
    <row r="56" spans="1:67" x14ac:dyDescent="0.55000000000000004">
      <c r="A56" s="7347"/>
      <c r="B56" s="6127" t="s">
        <v>207</v>
      </c>
      <c r="C56" s="556"/>
      <c r="D56" s="3753">
        <f t="shared" ref="D56:O56" si="43">IFERROR(D29/D6,"")</f>
        <v>2.7093596059113296</v>
      </c>
      <c r="E56" s="3753">
        <f t="shared" si="43"/>
        <v>3.0335861321776809</v>
      </c>
      <c r="F56" s="3753">
        <f t="shared" si="43"/>
        <v>1.3654618473895583</v>
      </c>
      <c r="G56" s="3753">
        <f t="shared" si="43"/>
        <v>1.9865696698377171</v>
      </c>
      <c r="H56" s="3753">
        <f t="shared" si="43"/>
        <v>2.4101665205959684</v>
      </c>
      <c r="I56" s="3753">
        <f t="shared" si="43"/>
        <v>1.4760147601476017</v>
      </c>
      <c r="J56" s="3753">
        <f t="shared" si="43"/>
        <v>1.3272583201267829</v>
      </c>
      <c r="K56" s="3753">
        <f t="shared" si="43"/>
        <v>1.0124385305177901</v>
      </c>
      <c r="L56" s="3753">
        <f t="shared" si="43"/>
        <v>0.79957356076759067</v>
      </c>
      <c r="M56" s="3753">
        <f t="shared" si="43"/>
        <v>1.8036072144288577</v>
      </c>
      <c r="N56" s="3753">
        <f t="shared" si="43"/>
        <v>1.3182286302780641</v>
      </c>
      <c r="O56" s="3753">
        <f t="shared" si="43"/>
        <v>0.8675373134328358</v>
      </c>
      <c r="P56" s="3755">
        <f t="shared" si="36"/>
        <v>1.6758168421343151</v>
      </c>
      <c r="Q56" s="3755">
        <f t="shared" si="25"/>
        <v>1.6758168421343151</v>
      </c>
      <c r="R56" s="556"/>
      <c r="S56" s="3753">
        <f t="shared" ref="S56:AD56" si="44">IFERROR(S29/S6,"")</f>
        <v>1.8391633609808871</v>
      </c>
      <c r="T56" s="3753">
        <f t="shared" si="44"/>
        <v>0.44887780548628425</v>
      </c>
      <c r="U56" s="3753">
        <f t="shared" si="44"/>
        <v>1.0815450643776823</v>
      </c>
      <c r="V56" s="3753">
        <f t="shared" si="44"/>
        <v>0.42498152254249821</v>
      </c>
      <c r="W56" s="3753">
        <f t="shared" si="44"/>
        <v>1</v>
      </c>
      <c r="X56" s="3753">
        <f t="shared" si="44"/>
        <v>0.67250547388176418</v>
      </c>
      <c r="Y56" s="3753">
        <f t="shared" si="44"/>
        <v>1.8272425249169435</v>
      </c>
      <c r="Z56" s="3753">
        <f t="shared" si="44"/>
        <v>0.4860267314702309</v>
      </c>
      <c r="AA56" s="3753">
        <f t="shared" si="44"/>
        <v>0.62394603709949414</v>
      </c>
      <c r="AB56" s="3753">
        <f t="shared" si="44"/>
        <v>0.48939641109298532</v>
      </c>
      <c r="AC56" s="3753">
        <f t="shared" si="44"/>
        <v>0.37037037037037041</v>
      </c>
      <c r="AD56" s="3753">
        <f t="shared" si="44"/>
        <v>0.25423728813559321</v>
      </c>
      <c r="AE56" s="3755">
        <f t="shared" si="38"/>
        <v>0.79319104919622774</v>
      </c>
      <c r="AF56" s="3755">
        <f t="shared" si="27"/>
        <v>0.79319104919622774</v>
      </c>
      <c r="AG56" s="556"/>
      <c r="AH56" s="3753">
        <f t="shared" ref="AH56:AS56" si="45">IFERROR(AH29/AH6,"")</f>
        <v>0.15053763440860216</v>
      </c>
      <c r="AI56" s="3753">
        <f t="shared" si="45"/>
        <v>0.89184060721062619</v>
      </c>
      <c r="AJ56" s="3753">
        <f t="shared" si="45"/>
        <v>0.19953051643192488</v>
      </c>
      <c r="AK56" s="3753">
        <f t="shared" si="45"/>
        <v>0.34612490594431899</v>
      </c>
      <c r="AL56" s="3753">
        <f t="shared" si="45"/>
        <v>0.78358208955223874</v>
      </c>
      <c r="AM56" s="3753">
        <f t="shared" si="45"/>
        <v>0.20895522388059701</v>
      </c>
      <c r="AN56" s="3753">
        <f t="shared" si="45"/>
        <v>0.6940874035989717</v>
      </c>
      <c r="AO56" s="3753">
        <f t="shared" si="45"/>
        <v>0.22727272727272727</v>
      </c>
      <c r="AP56" s="3753">
        <f t="shared" si="45"/>
        <v>0.27027027027027029</v>
      </c>
      <c r="AQ56" s="3753">
        <f t="shared" si="45"/>
        <v>0.41528239202657807</v>
      </c>
      <c r="AR56" s="3753">
        <f t="shared" si="45"/>
        <v>0.30379746835443039</v>
      </c>
      <c r="AS56" s="3753">
        <f t="shared" si="45"/>
        <v>0.3401360544217687</v>
      </c>
      <c r="AT56" s="3755">
        <f t="shared" si="40"/>
        <v>0.40261810778108781</v>
      </c>
      <c r="AU56" s="3755">
        <f t="shared" si="29"/>
        <v>0.40261810778108781</v>
      </c>
      <c r="AV56" s="556"/>
      <c r="AW56" s="3753">
        <f t="shared" ref="AW56:BH59" si="46">IFERROR(AW29/AW6,"")</f>
        <v>0.44619422572178474</v>
      </c>
      <c r="AX56" s="3753">
        <f t="shared" ref="AX56" si="47">IFERROR(AX29/AX6,"")</f>
        <v>0.31700288184438036</v>
      </c>
      <c r="AY56" s="3753" t="str">
        <f t="shared" si="46"/>
        <v/>
      </c>
      <c r="AZ56" s="3753" t="str">
        <f t="shared" si="46"/>
        <v/>
      </c>
      <c r="BA56" s="3753" t="str">
        <f t="shared" si="46"/>
        <v/>
      </c>
      <c r="BB56" s="3753" t="str">
        <f t="shared" si="46"/>
        <v/>
      </c>
      <c r="BC56" s="3753" t="str">
        <f t="shared" si="46"/>
        <v/>
      </c>
      <c r="BD56" s="3753" t="str">
        <f t="shared" si="46"/>
        <v/>
      </c>
      <c r="BE56" s="3753" t="str">
        <f t="shared" si="46"/>
        <v/>
      </c>
      <c r="BF56" s="3753" t="str">
        <f t="shared" si="46"/>
        <v/>
      </c>
      <c r="BG56" s="3753" t="str">
        <f t="shared" si="46"/>
        <v/>
      </c>
      <c r="BH56" s="3753" t="str">
        <f t="shared" si="46"/>
        <v/>
      </c>
      <c r="BI56" s="4271">
        <f t="shared" si="42"/>
        <v>0.38159855378308255</v>
      </c>
      <c r="BJ56" s="4271">
        <f t="shared" si="31"/>
        <v>0.38159855378308255</v>
      </c>
      <c r="BL56" s="5620">
        <f t="shared" si="32"/>
        <v>-0.57483772536624578</v>
      </c>
      <c r="BM56" s="5620">
        <f t="shared" si="33"/>
        <v>-2.1019553998005258E-2</v>
      </c>
      <c r="BN56" s="5941">
        <f>IFERROR(
  SUM(
    _xlfn.XLOOKUP(DATE(YEAR($A$1),1,1),$2:$2,56:56):
    _xlfn.XLOOKUP($A$1,$2:$2,56:56)
  )
 -SUM(
    _xlfn.XLOOKUP(DATE(YEAR($A$1)-1,1,1),$2:$2,56:56):
    _xlfn.XLOOKUP(EDATE($A$1,-12),$2:$2,56:56)
  ),"")</f>
        <v>-0.27918113405306333</v>
      </c>
      <c r="BO56" s="5620">
        <f t="shared" si="34"/>
        <v>-0.12919134387740439</v>
      </c>
    </row>
    <row r="57" spans="1:67" x14ac:dyDescent="0.55000000000000004">
      <c r="A57" s="7347"/>
      <c r="B57" s="6127" t="s">
        <v>208</v>
      </c>
      <c r="C57" s="556"/>
      <c r="D57" s="3753">
        <f t="shared" ref="D57:O57" si="48">IFERROR(D30/D7,"")</f>
        <v>7.3157894736842106</v>
      </c>
      <c r="E57" s="3753">
        <f t="shared" si="48"/>
        <v>12.263157894736842</v>
      </c>
      <c r="F57" s="3753">
        <f t="shared" si="48"/>
        <v>5.9545454545454541</v>
      </c>
      <c r="G57" s="3753">
        <f t="shared" si="48"/>
        <v>7.7</v>
      </c>
      <c r="H57" s="3753">
        <f t="shared" si="48"/>
        <v>11.1</v>
      </c>
      <c r="I57" s="3753">
        <f t="shared" si="48"/>
        <v>5.2857142857142856</v>
      </c>
      <c r="J57" s="3753">
        <f t="shared" si="48"/>
        <v>3.5714285714285716</v>
      </c>
      <c r="K57" s="3753">
        <f t="shared" si="48"/>
        <v>4.0476190476190474</v>
      </c>
      <c r="L57" s="3753">
        <f t="shared" si="48"/>
        <v>2.1818181818181817</v>
      </c>
      <c r="M57" s="3753">
        <f t="shared" si="48"/>
        <v>3.5</v>
      </c>
      <c r="N57" s="3753">
        <f t="shared" si="48"/>
        <v>1.7142857142857142</v>
      </c>
      <c r="O57" s="3753">
        <f t="shared" si="48"/>
        <v>1.2105263157894737</v>
      </c>
      <c r="P57" s="3755">
        <f t="shared" si="36"/>
        <v>5.487073744968483</v>
      </c>
      <c r="Q57" s="3755">
        <f t="shared" si="25"/>
        <v>5.487073744968483</v>
      </c>
      <c r="R57" s="556"/>
      <c r="S57" s="3753">
        <f t="shared" ref="S57:AD57" si="49">IFERROR(S30/S7,"")</f>
        <v>1.2777777777777777</v>
      </c>
      <c r="T57" s="3753">
        <f t="shared" si="49"/>
        <v>2.1538461538461537</v>
      </c>
      <c r="U57" s="3753">
        <f t="shared" si="49"/>
        <v>2.1666666666666665</v>
      </c>
      <c r="V57" s="3753">
        <f t="shared" si="49"/>
        <v>1.7142857142857142</v>
      </c>
      <c r="W57" s="3753">
        <f t="shared" si="49"/>
        <v>2.5</v>
      </c>
      <c r="X57" s="3753">
        <f t="shared" si="49"/>
        <v>1.4285714285714286</v>
      </c>
      <c r="Y57" s="3753">
        <f t="shared" si="49"/>
        <v>8.8666666666666671</v>
      </c>
      <c r="Z57" s="3753">
        <f t="shared" si="49"/>
        <v>2</v>
      </c>
      <c r="AA57" s="3753">
        <f t="shared" si="49"/>
        <v>1.8571428571428572</v>
      </c>
      <c r="AB57" s="3753">
        <f t="shared" si="49"/>
        <v>1.3333333333333333</v>
      </c>
      <c r="AC57" s="3753">
        <f t="shared" si="49"/>
        <v>0.75</v>
      </c>
      <c r="AD57" s="3753">
        <f t="shared" si="49"/>
        <v>1.2</v>
      </c>
      <c r="AE57" s="3755">
        <f t="shared" si="38"/>
        <v>2.2706908831908832</v>
      </c>
      <c r="AF57" s="3755">
        <f t="shared" si="27"/>
        <v>2.2706908831908832</v>
      </c>
      <c r="AG57" s="556"/>
      <c r="AH57" s="3753">
        <f t="shared" ref="AH57:AS57" si="50">IFERROR(AH30/AH7,"")</f>
        <v>1.375</v>
      </c>
      <c r="AI57" s="3753">
        <f t="shared" si="50"/>
        <v>2.6</v>
      </c>
      <c r="AJ57" s="3753">
        <f t="shared" si="50"/>
        <v>0.88235294117647056</v>
      </c>
      <c r="AK57" s="3753">
        <f t="shared" si="50"/>
        <v>3.875</v>
      </c>
      <c r="AL57" s="3753">
        <f t="shared" si="50"/>
        <v>4.2</v>
      </c>
      <c r="AM57" s="3753">
        <f t="shared" si="50"/>
        <v>1.7333333333333334</v>
      </c>
      <c r="AN57" s="3753">
        <f t="shared" si="50"/>
        <v>6.1428571428571432</v>
      </c>
      <c r="AO57" s="3753">
        <f t="shared" si="50"/>
        <v>2.3333333333333335</v>
      </c>
      <c r="AP57" s="3753">
        <f t="shared" si="50"/>
        <v>4.25</v>
      </c>
      <c r="AQ57" s="3753">
        <f t="shared" si="50"/>
        <v>3.0833333333333335</v>
      </c>
      <c r="AR57" s="3753">
        <f t="shared" si="50"/>
        <v>1.5</v>
      </c>
      <c r="AS57" s="3753">
        <f t="shared" si="50"/>
        <v>2.8888888888888888</v>
      </c>
      <c r="AT57" s="3755">
        <f t="shared" si="40"/>
        <v>2.905341581076875</v>
      </c>
      <c r="AU57" s="3755">
        <f t="shared" si="29"/>
        <v>2.905341581076875</v>
      </c>
      <c r="AV57" s="556"/>
      <c r="AW57" s="3753">
        <f t="shared" si="46"/>
        <v>5.8571428571428568</v>
      </c>
      <c r="AX57" s="3753">
        <f t="shared" ref="AX57" si="51">IFERROR(AX30/AX7,"")</f>
        <v>1.1428571428571428</v>
      </c>
      <c r="AY57" s="3753" t="str">
        <f t="shared" si="46"/>
        <v/>
      </c>
      <c r="AZ57" s="3753" t="str">
        <f t="shared" si="46"/>
        <v/>
      </c>
      <c r="BA57" s="3753" t="str">
        <f t="shared" si="46"/>
        <v/>
      </c>
      <c r="BB57" s="3753" t="str">
        <f t="shared" si="46"/>
        <v/>
      </c>
      <c r="BC57" s="3753" t="str">
        <f t="shared" si="46"/>
        <v/>
      </c>
      <c r="BD57" s="3753" t="str">
        <f t="shared" si="46"/>
        <v/>
      </c>
      <c r="BE57" s="3753" t="str">
        <f t="shared" si="46"/>
        <v/>
      </c>
      <c r="BF57" s="3753" t="str">
        <f t="shared" si="46"/>
        <v/>
      </c>
      <c r="BG57" s="3753" t="str">
        <f t="shared" si="46"/>
        <v/>
      </c>
      <c r="BH57" s="3753" t="str">
        <f t="shared" si="46"/>
        <v/>
      </c>
      <c r="BI57" s="4271">
        <f t="shared" si="42"/>
        <v>3.5</v>
      </c>
      <c r="BJ57" s="4271">
        <f t="shared" si="31"/>
        <v>3.5</v>
      </c>
      <c r="BL57" s="5620">
        <f t="shared" si="32"/>
        <v>-1.4571428571428573</v>
      </c>
      <c r="BM57" s="5620">
        <f t="shared" si="33"/>
        <v>0.59465841892312499</v>
      </c>
      <c r="BN57" s="5941">
        <f>IFERROR(
  SUM(
    _xlfn.XLOOKUP(DATE(YEAR($A$1),1,1),$2:$2,57:57):
    _xlfn.XLOOKUP($A$1,$2:$2,57:57)
  )
 -SUM(
    _xlfn.XLOOKUP(DATE(YEAR($A$1)-1,1,1),$2:$2,57:57):
    _xlfn.XLOOKUP(EDATE($A$1,-12),$2:$2,57:57)
  ),"")</f>
        <v>3.0249999999999999</v>
      </c>
      <c r="BO57" s="5620">
        <f t="shared" si="34"/>
        <v>-4.7142857142857135</v>
      </c>
    </row>
    <row r="58" spans="1:67" x14ac:dyDescent="0.55000000000000004">
      <c r="A58" s="7347"/>
      <c r="B58" s="6127" t="s">
        <v>209</v>
      </c>
      <c r="C58" s="556"/>
      <c r="D58" s="3753">
        <f t="shared" ref="D58:O58" si="52">IFERROR(D31/D8,"")</f>
        <v>10.248447204968944</v>
      </c>
      <c r="E58" s="3753">
        <f t="shared" si="52"/>
        <v>11.981424148606813</v>
      </c>
      <c r="F58" s="3753">
        <f t="shared" si="52"/>
        <v>4.3199554069119275</v>
      </c>
      <c r="G58" s="3753">
        <f t="shared" si="52"/>
        <v>8.57392825896763</v>
      </c>
      <c r="H58" s="3753">
        <f t="shared" si="52"/>
        <v>4.5669291338582676</v>
      </c>
      <c r="I58" s="3753">
        <f t="shared" si="52"/>
        <v>3.3898305084745761</v>
      </c>
      <c r="J58" s="3753">
        <f t="shared" si="52"/>
        <v>3.8302073050345511</v>
      </c>
      <c r="K58" s="3753">
        <f t="shared" si="52"/>
        <v>7.4788273615635168</v>
      </c>
      <c r="L58" s="3753">
        <f t="shared" si="52"/>
        <v>2.6156941649899399</v>
      </c>
      <c r="M58" s="3753">
        <f t="shared" si="52"/>
        <v>5.9016393442622954</v>
      </c>
      <c r="N58" s="3753">
        <f t="shared" si="52"/>
        <v>1.1352885525070955</v>
      </c>
      <c r="O58" s="3753">
        <f t="shared" si="52"/>
        <v>1.0040160642570282</v>
      </c>
      <c r="P58" s="3755">
        <f t="shared" si="36"/>
        <v>5.4205156212002157</v>
      </c>
      <c r="Q58" s="3755">
        <f t="shared" si="25"/>
        <v>5.4205156212002157</v>
      </c>
      <c r="R58" s="556"/>
      <c r="S58" s="3753">
        <f t="shared" ref="S58:AD58" si="53">IFERROR(S31/S8,"")</f>
        <v>1.1850017686593561</v>
      </c>
      <c r="T58" s="3753">
        <f t="shared" si="53"/>
        <v>1.7845117845117846</v>
      </c>
      <c r="U58" s="3753">
        <f t="shared" si="53"/>
        <v>1.6618357487922706</v>
      </c>
      <c r="V58" s="3753">
        <f t="shared" si="53"/>
        <v>1.8293363078639151</v>
      </c>
      <c r="W58" s="3753">
        <f t="shared" si="53"/>
        <v>2.3093220338983049</v>
      </c>
      <c r="X58" s="3753">
        <f t="shared" si="53"/>
        <v>0.87756546355272458</v>
      </c>
      <c r="Y58" s="3753">
        <f t="shared" si="53"/>
        <v>2.3571428571428572</v>
      </c>
      <c r="Z58" s="3753">
        <f t="shared" si="53"/>
        <v>1.2838147638697845</v>
      </c>
      <c r="AA58" s="3753">
        <f t="shared" si="53"/>
        <v>1.1061946902654867</v>
      </c>
      <c r="AB58" s="3753">
        <f t="shared" si="53"/>
        <v>1.8735362997658078</v>
      </c>
      <c r="AC58" s="3753">
        <f t="shared" si="53"/>
        <v>1.1838790931989924</v>
      </c>
      <c r="AD58" s="3753">
        <f t="shared" si="53"/>
        <v>1.8446601941747571</v>
      </c>
      <c r="AE58" s="3755">
        <f t="shared" si="38"/>
        <v>1.6080667504746702</v>
      </c>
      <c r="AF58" s="3755">
        <f t="shared" si="27"/>
        <v>1.6080667504746702</v>
      </c>
      <c r="AG58" s="556"/>
      <c r="AH58" s="3753">
        <f t="shared" ref="AH58:AS58" si="54">IFERROR(AH31/AH8,"")</f>
        <v>1.1161731207289294</v>
      </c>
      <c r="AI58" s="3753">
        <f t="shared" si="54"/>
        <v>1.9536423841059603</v>
      </c>
      <c r="AJ58" s="3753">
        <f t="shared" si="54"/>
        <v>1.1092436974789917</v>
      </c>
      <c r="AK58" s="3753">
        <f t="shared" si="54"/>
        <v>0.74344023323615172</v>
      </c>
      <c r="AL58" s="3753">
        <f t="shared" si="54"/>
        <v>1.260229132569558</v>
      </c>
      <c r="AM58" s="3753">
        <f t="shared" si="54"/>
        <v>0.65063649222065056</v>
      </c>
      <c r="AN58" s="3753">
        <f t="shared" si="54"/>
        <v>1.7847411444141688</v>
      </c>
      <c r="AO58" s="3753">
        <f t="shared" si="54"/>
        <v>1.0411622276029056</v>
      </c>
      <c r="AP58" s="3753">
        <f t="shared" si="54"/>
        <v>0.72984749455337694</v>
      </c>
      <c r="AQ58" s="3753">
        <f t="shared" si="54"/>
        <v>0.98256735340728996</v>
      </c>
      <c r="AR58" s="3753">
        <f t="shared" si="54"/>
        <v>1.571753986332574</v>
      </c>
      <c r="AS58" s="3753">
        <f t="shared" si="54"/>
        <v>0.36407766990291257</v>
      </c>
      <c r="AT58" s="3755">
        <f t="shared" si="40"/>
        <v>1.1089595780461223</v>
      </c>
      <c r="AU58" s="3755">
        <f t="shared" si="29"/>
        <v>1.1089595780461223</v>
      </c>
      <c r="AV58" s="556"/>
      <c r="AW58" s="3753">
        <f t="shared" si="46"/>
        <v>1.408450704225352</v>
      </c>
      <c r="AX58" s="3753">
        <f t="shared" ref="AX58" si="55">IFERROR(AX31/AX8,"")</f>
        <v>0.48</v>
      </c>
      <c r="AY58" s="3753" t="str">
        <f t="shared" si="46"/>
        <v/>
      </c>
      <c r="AZ58" s="3753" t="str">
        <f t="shared" si="46"/>
        <v/>
      </c>
      <c r="BA58" s="3753" t="str">
        <f t="shared" si="46"/>
        <v/>
      </c>
      <c r="BB58" s="3753" t="str">
        <f t="shared" si="46"/>
        <v/>
      </c>
      <c r="BC58" s="3753" t="str">
        <f t="shared" si="46"/>
        <v/>
      </c>
      <c r="BD58" s="3753" t="str">
        <f t="shared" si="46"/>
        <v/>
      </c>
      <c r="BE58" s="3753" t="str">
        <f t="shared" si="46"/>
        <v/>
      </c>
      <c r="BF58" s="3753" t="str">
        <f t="shared" si="46"/>
        <v/>
      </c>
      <c r="BG58" s="3753" t="str">
        <f t="shared" si="46"/>
        <v/>
      </c>
      <c r="BH58" s="3753" t="str">
        <f t="shared" si="46"/>
        <v/>
      </c>
      <c r="BI58" s="4271">
        <f t="shared" si="42"/>
        <v>0.944225352112676</v>
      </c>
      <c r="BJ58" s="4271">
        <f t="shared" si="31"/>
        <v>0.944225352112676</v>
      </c>
      <c r="BL58" s="5620">
        <f t="shared" si="32"/>
        <v>-1.4736423841059603</v>
      </c>
      <c r="BM58" s="5620">
        <f t="shared" si="33"/>
        <v>-0.16473422593344633</v>
      </c>
      <c r="BN58" s="5941">
        <f>IFERROR(
  SUM(
    _xlfn.XLOOKUP(DATE(YEAR($A$1),1,1),$2:$2,58:58):
    _xlfn.XLOOKUP($A$1,$2:$2,58:58)
  )
 -SUM(
    _xlfn.XLOOKUP(DATE(YEAR($A$1)-1,1,1),$2:$2,58:58):
    _xlfn.XLOOKUP(EDATE($A$1,-12),$2:$2,58:58)
  ),"")</f>
        <v>-1.1813648006095376</v>
      </c>
      <c r="BO58" s="5620">
        <f t="shared" si="34"/>
        <v>-0.92845070422535203</v>
      </c>
    </row>
    <row r="59" spans="1:67" ht="15.45" thickBot="1" x14ac:dyDescent="0.6">
      <c r="A59" s="7347"/>
      <c r="B59" s="6129" t="s">
        <v>210</v>
      </c>
      <c r="C59" s="6001"/>
      <c r="D59" s="6010">
        <f t="shared" ref="D59:O59" si="56">IFERROR(D32/D9,"")</f>
        <v>10.333333333333334</v>
      </c>
      <c r="E59" s="6010">
        <f t="shared" si="56"/>
        <v>17.428571428571427</v>
      </c>
      <c r="F59" s="6010">
        <f t="shared" si="56"/>
        <v>7.3636363636363633</v>
      </c>
      <c r="G59" s="6010">
        <f t="shared" si="56"/>
        <v>7</v>
      </c>
      <c r="H59" s="6010">
        <f t="shared" si="56"/>
        <v>5.3461538461538458</v>
      </c>
      <c r="I59" s="6010">
        <f t="shared" si="56"/>
        <v>3</v>
      </c>
      <c r="J59" s="6010">
        <f t="shared" si="56"/>
        <v>3.4230769230769229</v>
      </c>
      <c r="K59" s="6010">
        <f t="shared" si="56"/>
        <v>4.32</v>
      </c>
      <c r="L59" s="6010">
        <f t="shared" si="56"/>
        <v>2.2000000000000002</v>
      </c>
      <c r="M59" s="6010">
        <f t="shared" si="56"/>
        <v>5.041666666666667</v>
      </c>
      <c r="N59" s="6010">
        <f t="shared" si="56"/>
        <v>2</v>
      </c>
      <c r="O59" s="6010">
        <f t="shared" si="56"/>
        <v>1.3076923076923077</v>
      </c>
      <c r="P59" s="6010">
        <f t="shared" si="36"/>
        <v>5.7303442390942392</v>
      </c>
      <c r="Q59" s="6010">
        <f t="shared" si="25"/>
        <v>5.7303442390942392</v>
      </c>
      <c r="R59" s="556"/>
      <c r="S59" s="6010">
        <f t="shared" ref="S59:AD59" si="57">IFERROR(S32/S9,"")</f>
        <v>2.04</v>
      </c>
      <c r="T59" s="6010">
        <f t="shared" si="57"/>
        <v>1.7647058823529411</v>
      </c>
      <c r="U59" s="6010">
        <f t="shared" si="57"/>
        <v>2.8235294117647061</v>
      </c>
      <c r="V59" s="6010">
        <f t="shared" si="57"/>
        <v>2.4705882352941178</v>
      </c>
      <c r="W59" s="6010">
        <f t="shared" si="57"/>
        <v>4.0555555555555554</v>
      </c>
      <c r="X59" s="6010">
        <f t="shared" si="57"/>
        <v>2.2222222222222223</v>
      </c>
      <c r="Y59" s="6010">
        <f t="shared" si="57"/>
        <v>7.2380952380952381</v>
      </c>
      <c r="Z59" s="6010">
        <f t="shared" si="57"/>
        <v>2.3333333333333335</v>
      </c>
      <c r="AA59" s="6010">
        <f t="shared" si="57"/>
        <v>3.1428571428571428</v>
      </c>
      <c r="AB59" s="6010">
        <f t="shared" si="57"/>
        <v>2.75</v>
      </c>
      <c r="AC59" s="6010">
        <f t="shared" si="57"/>
        <v>1.6190476190476191</v>
      </c>
      <c r="AD59" s="6010">
        <f t="shared" si="57"/>
        <v>1</v>
      </c>
      <c r="AE59" s="6010">
        <f t="shared" si="38"/>
        <v>2.7883278867102397</v>
      </c>
      <c r="AF59" s="6010">
        <f t="shared" si="27"/>
        <v>2.7883278867102397</v>
      </c>
      <c r="AG59" s="556"/>
      <c r="AH59" s="6010">
        <f t="shared" ref="AH59:AS59" si="58">IFERROR(AH32/AH9,"")</f>
        <v>1.8636363636363635</v>
      </c>
      <c r="AI59" s="6010">
        <f t="shared" si="58"/>
        <v>4.1739130434782608</v>
      </c>
      <c r="AJ59" s="6010">
        <f t="shared" si="58"/>
        <v>1.7391304347826086</v>
      </c>
      <c r="AK59" s="6010">
        <f t="shared" si="58"/>
        <v>3.4</v>
      </c>
      <c r="AL59" s="6010">
        <f t="shared" si="58"/>
        <v>6.1</v>
      </c>
      <c r="AM59" s="6010">
        <f t="shared" si="58"/>
        <v>2.75</v>
      </c>
      <c r="AN59" s="6010">
        <f t="shared" si="58"/>
        <v>13.289473684210526</v>
      </c>
      <c r="AO59" s="6010">
        <f t="shared" si="58"/>
        <v>3.3157894736842106</v>
      </c>
      <c r="AP59" s="6010">
        <f t="shared" si="58"/>
        <v>6.0294117647058822</v>
      </c>
      <c r="AQ59" s="6010">
        <f t="shared" si="58"/>
        <v>4</v>
      </c>
      <c r="AR59" s="6010">
        <f t="shared" si="58"/>
        <v>3.6875</v>
      </c>
      <c r="AS59" s="6010">
        <f t="shared" si="58"/>
        <v>2.5454545454545454</v>
      </c>
      <c r="AT59" s="6010">
        <f t="shared" si="40"/>
        <v>4.4078591091627004</v>
      </c>
      <c r="AU59" s="6010">
        <f t="shared" si="29"/>
        <v>4.4078591091627004</v>
      </c>
      <c r="AV59" s="556"/>
      <c r="AW59" s="6010">
        <f t="shared" si="46"/>
        <v>9.2222222222222214</v>
      </c>
      <c r="AX59" s="6010">
        <f t="shared" ref="AX59" si="59">IFERROR(AX32/AX9,"")</f>
        <v>7.25</v>
      </c>
      <c r="AY59" s="6010" t="str">
        <f t="shared" si="46"/>
        <v/>
      </c>
      <c r="AZ59" s="6010" t="str">
        <f t="shared" si="46"/>
        <v/>
      </c>
      <c r="BA59" s="6010" t="str">
        <f t="shared" si="46"/>
        <v/>
      </c>
      <c r="BB59" s="6010" t="str">
        <f t="shared" si="46"/>
        <v/>
      </c>
      <c r="BC59" s="6010" t="str">
        <f t="shared" si="46"/>
        <v/>
      </c>
      <c r="BD59" s="6010" t="str">
        <f t="shared" si="46"/>
        <v/>
      </c>
      <c r="BE59" s="6010" t="str">
        <f t="shared" si="46"/>
        <v/>
      </c>
      <c r="BF59" s="6010" t="str">
        <f t="shared" si="46"/>
        <v/>
      </c>
      <c r="BG59" s="6010" t="str">
        <f t="shared" si="46"/>
        <v/>
      </c>
      <c r="BH59" s="6010" t="str">
        <f t="shared" si="46"/>
        <v/>
      </c>
      <c r="BI59" s="6235">
        <f t="shared" si="42"/>
        <v>8.2361111111111107</v>
      </c>
      <c r="BJ59" s="6235">
        <f t="shared" si="31"/>
        <v>8.2361111111111107</v>
      </c>
      <c r="BL59" s="5620">
        <f t="shared" si="32"/>
        <v>3.0760869565217392</v>
      </c>
      <c r="BM59" s="5620">
        <f t="shared" si="33"/>
        <v>3.8282520019484103</v>
      </c>
      <c r="BN59" s="5941">
        <f>IFERROR(
  SUM(
    _xlfn.XLOOKUP(DATE(YEAR($A$1),1,1),$2:$2,59:59):
    _xlfn.XLOOKUP($A$1,$2:$2,59:59)
  )
 -SUM(
    _xlfn.XLOOKUP(DATE(YEAR($A$1)-1,1,1),$2:$2,59:59):
    _xlfn.XLOOKUP(EDATE($A$1,-12),$2:$2,59:59)
  ),"")</f>
        <v>10.434672815107596</v>
      </c>
      <c r="BO59" s="5620">
        <f t="shared" si="34"/>
        <v>-1.9722222222222214</v>
      </c>
    </row>
    <row r="60" spans="1:67" x14ac:dyDescent="0.55000000000000004">
      <c r="A60" s="7346" t="s">
        <v>386</v>
      </c>
      <c r="B60" s="5131" t="s">
        <v>1179</v>
      </c>
      <c r="C60" s="5132"/>
      <c r="D60" s="6008">
        <f>IFERROR((D18+D19)/D4,"")</f>
        <v>8.75</v>
      </c>
      <c r="E60" s="6008">
        <f t="shared" ref="E60:O60" si="60">IFERROR((E18+E19)/E4,"")</f>
        <v>11.472</v>
      </c>
      <c r="F60" s="6008">
        <f t="shared" si="60"/>
        <v>11.838235294117647</v>
      </c>
      <c r="G60" s="6008">
        <f t="shared" si="60"/>
        <v>12.111940298507463</v>
      </c>
      <c r="H60" s="6008">
        <f t="shared" si="60"/>
        <v>15.524822695035461</v>
      </c>
      <c r="I60" s="6008">
        <f t="shared" si="60"/>
        <v>13.992957746478874</v>
      </c>
      <c r="J60" s="6008">
        <f t="shared" si="60"/>
        <v>10.950704225352112</v>
      </c>
      <c r="K60" s="6008">
        <f t="shared" si="60"/>
        <v>12.113475177304965</v>
      </c>
      <c r="L60" s="6008">
        <f t="shared" si="60"/>
        <v>10.194444444444445</v>
      </c>
      <c r="M60" s="6008">
        <f t="shared" si="60"/>
        <v>8.8623188405797109</v>
      </c>
      <c r="N60" s="6008">
        <f t="shared" si="60"/>
        <v>10.686567164179104</v>
      </c>
      <c r="O60" s="6008">
        <f t="shared" si="60"/>
        <v>11.792</v>
      </c>
      <c r="P60" s="6008">
        <f t="shared" si="36"/>
        <v>11.52412215716665</v>
      </c>
      <c r="Q60" s="6008">
        <f t="shared" si="25"/>
        <v>11.52412215716665</v>
      </c>
      <c r="R60" s="594"/>
      <c r="S60" s="6008">
        <f>IFERROR((S18+S19)/S4,"")</f>
        <v>11.621848739495798</v>
      </c>
      <c r="T60" s="6008">
        <f t="shared" ref="T60:AD60" si="61">IFERROR((T18+T19)/T4,"")</f>
        <v>11.946808510638299</v>
      </c>
      <c r="U60" s="6008">
        <f t="shared" si="61"/>
        <v>14.318681318681319</v>
      </c>
      <c r="V60" s="6008">
        <f t="shared" si="61"/>
        <v>14.13</v>
      </c>
      <c r="W60" s="6008">
        <f t="shared" si="61"/>
        <v>14.878504672897197</v>
      </c>
      <c r="X60" s="6008">
        <f t="shared" si="61"/>
        <v>20.110091743119266</v>
      </c>
      <c r="Y60" s="6008">
        <f t="shared" si="61"/>
        <v>17.398230088495577</v>
      </c>
      <c r="Z60" s="6008">
        <f t="shared" si="61"/>
        <v>16.315315315315317</v>
      </c>
      <c r="AA60" s="6008">
        <f t="shared" si="61"/>
        <v>17.315789473684209</v>
      </c>
      <c r="AB60" s="6008">
        <f t="shared" si="61"/>
        <v>14.652173913043478</v>
      </c>
      <c r="AC60" s="6008">
        <f t="shared" si="61"/>
        <v>9.75</v>
      </c>
      <c r="AD60" s="6008">
        <f t="shared" si="61"/>
        <v>9.7317073170731714</v>
      </c>
      <c r="AE60" s="6008">
        <f t="shared" si="38"/>
        <v>14.347429257703636</v>
      </c>
      <c r="AF60" s="6008">
        <f t="shared" si="27"/>
        <v>14.347429257703636</v>
      </c>
      <c r="AG60" s="594"/>
      <c r="AH60" s="6008">
        <f>IFERROR((AH18+AH19)/AH4,"")</f>
        <v>8.792307692307693</v>
      </c>
      <c r="AI60" s="6008">
        <f t="shared" ref="AI60:AS60" si="62">IFERROR((AI18+AI19)/AI4,"")</f>
        <v>9.3046875</v>
      </c>
      <c r="AJ60" s="6008">
        <f t="shared" si="62"/>
        <v>10.971223021582734</v>
      </c>
      <c r="AK60" s="6008">
        <f t="shared" si="62"/>
        <v>11.855072463768115</v>
      </c>
      <c r="AL60" s="6008">
        <f t="shared" si="62"/>
        <v>12.604477611940299</v>
      </c>
      <c r="AM60" s="6008">
        <f t="shared" si="62"/>
        <v>13.906976744186046</v>
      </c>
      <c r="AN60" s="6008">
        <f t="shared" si="62"/>
        <v>21.423423423423422</v>
      </c>
      <c r="AO60" s="6008">
        <f t="shared" si="62"/>
        <v>21.074074074074073</v>
      </c>
      <c r="AP60" s="6008">
        <f t="shared" si="62"/>
        <v>21.093457943925234</v>
      </c>
      <c r="AQ60" s="6008">
        <f t="shared" si="62"/>
        <v>18.794117647058822</v>
      </c>
      <c r="AR60" s="6008">
        <f t="shared" si="62"/>
        <v>12.872549019607844</v>
      </c>
      <c r="AS60" s="6008">
        <f t="shared" si="62"/>
        <v>13.029411764705882</v>
      </c>
      <c r="AT60" s="6008">
        <f t="shared" si="40"/>
        <v>14.643481575548348</v>
      </c>
      <c r="AU60" s="6008">
        <f t="shared" ref="AU60:AU65" si="63">AVERAGE(AH60:AS60)</f>
        <v>14.643481575548348</v>
      </c>
      <c r="AV60" s="594"/>
      <c r="AW60" s="6008">
        <f>IFERROR((AW18+AW19)/AW4,"")</f>
        <v>19.616666666666667</v>
      </c>
      <c r="AX60" s="6008">
        <f t="shared" ref="AX60:BH60" si="64">IFERROR((AX18+AX19)/AX4,"")</f>
        <v>23.844827586206897</v>
      </c>
      <c r="AY60" s="5132" t="str">
        <f t="shared" si="64"/>
        <v/>
      </c>
      <c r="AZ60" s="5132" t="str">
        <f t="shared" si="64"/>
        <v/>
      </c>
      <c r="BA60" s="5132" t="str">
        <f t="shared" si="64"/>
        <v/>
      </c>
      <c r="BB60" s="5132" t="str">
        <f t="shared" si="64"/>
        <v/>
      </c>
      <c r="BC60" s="5132" t="str">
        <f t="shared" si="64"/>
        <v/>
      </c>
      <c r="BD60" s="5132" t="str">
        <f t="shared" si="64"/>
        <v/>
      </c>
      <c r="BE60" s="5132" t="str">
        <f t="shared" si="64"/>
        <v/>
      </c>
      <c r="BF60" s="5132" t="str">
        <f t="shared" si="64"/>
        <v/>
      </c>
      <c r="BG60" s="5132" t="str">
        <f t="shared" si="64"/>
        <v/>
      </c>
      <c r="BH60" s="5132" t="str">
        <f t="shared" si="64"/>
        <v/>
      </c>
      <c r="BI60" s="6233">
        <f t="shared" si="42"/>
        <v>21.730747126436782</v>
      </c>
      <c r="BJ60" s="6233">
        <f t="shared" ref="BJ60:BJ65" si="65">AVERAGE(AW60:BH60)</f>
        <v>21.730747126436782</v>
      </c>
      <c r="BL60" s="5620">
        <f t="shared" si="32"/>
        <v>14.540140086206897</v>
      </c>
      <c r="BM60" s="5620">
        <f t="shared" si="33"/>
        <v>7.0872655508884339</v>
      </c>
      <c r="BN60" s="5941">
        <f>IFERROR(
  SUM(
    _xlfn.XLOOKUP(DATE(YEAR($A$1),1,1),$2:$2,60:60):
    _xlfn.XLOOKUP($A$1,$2:$2,60:60)
  )
 -SUM(
    _xlfn.XLOOKUP(DATE(YEAR($A$1)-1,1,1),$2:$2,60:60):
    _xlfn.XLOOKUP(EDATE($A$1,-12),$2:$2,60:60)
  ),"")</f>
        <v>25.364499060565869</v>
      </c>
      <c r="BO60" s="5620">
        <f t="shared" si="34"/>
        <v>4.2281609195402297</v>
      </c>
    </row>
    <row r="61" spans="1:67" x14ac:dyDescent="0.55000000000000004">
      <c r="A61" s="7348"/>
      <c r="B61" s="6126" t="s">
        <v>206</v>
      </c>
      <c r="C61" s="6000"/>
      <c r="D61" s="6009">
        <f>IFERROR((D38+D43)/(D5),"")</f>
        <v>9</v>
      </c>
      <c r="E61" s="6009">
        <f t="shared" ref="E61:O61" si="66">IFERROR((E38+E43)/(E5),"")</f>
        <v>9.6521739130434785</v>
      </c>
      <c r="F61" s="6009">
        <f t="shared" si="66"/>
        <v>11.08</v>
      </c>
      <c r="G61" s="6009">
        <f t="shared" si="66"/>
        <v>11.384615384615385</v>
      </c>
      <c r="H61" s="6009">
        <f t="shared" si="66"/>
        <v>13.666666666666666</v>
      </c>
      <c r="I61" s="6009">
        <f t="shared" si="66"/>
        <v>17.444444444444443</v>
      </c>
      <c r="J61" s="6009">
        <f t="shared" si="66"/>
        <v>13.111111111111111</v>
      </c>
      <c r="K61" s="6009">
        <f t="shared" si="66"/>
        <v>13.538461538461538</v>
      </c>
      <c r="L61" s="6009">
        <f t="shared" si="66"/>
        <v>8.2962962962962958</v>
      </c>
      <c r="M61" s="6009">
        <f t="shared" si="66"/>
        <v>8.875</v>
      </c>
      <c r="N61" s="6009">
        <f t="shared" si="66"/>
        <v>12.285714285714286</v>
      </c>
      <c r="O61" s="6009">
        <f t="shared" si="66"/>
        <v>16.055555555555557</v>
      </c>
      <c r="P61" s="6009">
        <f t="shared" si="36"/>
        <v>12.032503266325728</v>
      </c>
      <c r="Q61" s="6009">
        <f t="shared" si="25"/>
        <v>12.032503266325728</v>
      </c>
      <c r="R61" s="556"/>
      <c r="S61" s="6009">
        <f>IFERROR((S38+S43)/(S5),"")</f>
        <v>13.777777777777779</v>
      </c>
      <c r="T61" s="6009">
        <f t="shared" ref="T61:AD61" si="67">IFERROR((T38+T43)/(T5),"")</f>
        <v>12.555555555555555</v>
      </c>
      <c r="U61" s="6009">
        <f t="shared" si="67"/>
        <v>16.470588235294116</v>
      </c>
      <c r="V61" s="6009">
        <f t="shared" si="67"/>
        <v>19.411764705882351</v>
      </c>
      <c r="W61" s="6009">
        <f t="shared" si="67"/>
        <v>13.5625</v>
      </c>
      <c r="X61" s="6009">
        <f t="shared" si="67"/>
        <v>26.529411764705884</v>
      </c>
      <c r="Y61" s="6009">
        <f t="shared" si="67"/>
        <v>15.705882352941176</v>
      </c>
      <c r="Z61" s="6009">
        <f t="shared" si="67"/>
        <v>21.111111111111111</v>
      </c>
      <c r="AA61" s="6009">
        <f t="shared" si="67"/>
        <v>16.333333333333332</v>
      </c>
      <c r="AB61" s="6009">
        <f t="shared" si="67"/>
        <v>14.388888888888889</v>
      </c>
      <c r="AC61" s="6009">
        <f t="shared" si="67"/>
        <v>9.7619047619047628</v>
      </c>
      <c r="AD61" s="6009">
        <f t="shared" si="67"/>
        <v>9.7391304347826093</v>
      </c>
      <c r="AE61" s="6009">
        <f t="shared" si="38"/>
        <v>15.778987410181463</v>
      </c>
      <c r="AF61" s="6009">
        <f t="shared" si="27"/>
        <v>15.778987410181463</v>
      </c>
      <c r="AG61" s="556"/>
      <c r="AH61" s="6009">
        <f>IFERROR((AH38+AH43)/(AH5),"")</f>
        <v>8.8181818181818183</v>
      </c>
      <c r="AI61" s="6009">
        <f t="shared" ref="AI61:AS61" si="68">IFERROR((AI38+AI43)/(AI5),"")</f>
        <v>11</v>
      </c>
      <c r="AJ61" s="6009">
        <f t="shared" si="68"/>
        <v>8.8148148148148149</v>
      </c>
      <c r="AK61" s="6009">
        <f t="shared" si="68"/>
        <v>11</v>
      </c>
      <c r="AL61" s="6009">
        <f t="shared" si="68"/>
        <v>15.25925925925926</v>
      </c>
      <c r="AM61" s="6009">
        <f t="shared" si="68"/>
        <v>11.62962962962963</v>
      </c>
      <c r="AN61" s="6009">
        <f t="shared" si="68"/>
        <v>23.652173913043477</v>
      </c>
      <c r="AO61" s="6009">
        <f t="shared" si="68"/>
        <v>31.260869565217391</v>
      </c>
      <c r="AP61" s="6009">
        <f t="shared" si="68"/>
        <v>19.739130434782609</v>
      </c>
      <c r="AQ61" s="6009">
        <f t="shared" si="68"/>
        <v>30.818181818181817</v>
      </c>
      <c r="AR61" s="6009">
        <f t="shared" si="68"/>
        <v>12</v>
      </c>
      <c r="AS61" s="6009">
        <f t="shared" si="68"/>
        <v>9.25</v>
      </c>
      <c r="AT61" s="6009">
        <f t="shared" si="40"/>
        <v>16.1035201044259</v>
      </c>
      <c r="AU61" s="6009">
        <f t="shared" si="63"/>
        <v>16.1035201044259</v>
      </c>
      <c r="AV61" s="556"/>
      <c r="AW61" s="6009">
        <f>IFERROR((AW38+AW43)/(AW5),"")</f>
        <v>11.142857142857142</v>
      </c>
      <c r="AX61" s="6009">
        <f>IFERROR((AX38+AX43)/(AX5),"")</f>
        <v>16.928571428571427</v>
      </c>
      <c r="AY61" s="6009" t="str">
        <f t="shared" ref="AY61:BH61" si="69">IFERROR((AY38+AY43)/(AY5),"")</f>
        <v/>
      </c>
      <c r="AZ61" s="6009" t="str">
        <f t="shared" si="69"/>
        <v/>
      </c>
      <c r="BA61" s="6009" t="str">
        <f t="shared" si="69"/>
        <v/>
      </c>
      <c r="BB61" s="6009" t="str">
        <f t="shared" si="69"/>
        <v/>
      </c>
      <c r="BC61" s="6009" t="str">
        <f t="shared" si="69"/>
        <v/>
      </c>
      <c r="BD61" s="6009" t="str">
        <f t="shared" si="69"/>
        <v/>
      </c>
      <c r="BE61" s="6009" t="str">
        <f t="shared" si="69"/>
        <v/>
      </c>
      <c r="BF61" s="6009" t="str">
        <f t="shared" si="69"/>
        <v/>
      </c>
      <c r="BG61" s="6009" t="str">
        <f t="shared" si="69"/>
        <v/>
      </c>
      <c r="BH61" s="6009" t="str">
        <f t="shared" si="69"/>
        <v/>
      </c>
      <c r="BI61" s="6234">
        <f t="shared" si="42"/>
        <v>14.035714285714285</v>
      </c>
      <c r="BJ61" s="6234">
        <f t="shared" si="65"/>
        <v>14.035714285714285</v>
      </c>
      <c r="BL61" s="5620">
        <f t="shared" si="32"/>
        <v>5.928571428571427</v>
      </c>
      <c r="BM61" s="5620">
        <f t="shared" si="33"/>
        <v>-2.0678058187116157</v>
      </c>
      <c r="BN61" s="5941">
        <f>IFERROR(
  SUM(
    _xlfn.XLOOKUP(DATE(YEAR($A$1),1,1),$2:$2,61:61):
    _xlfn.XLOOKUP($A$1,$2:$2,61:61)
  )
 -SUM(
    _xlfn.XLOOKUP(DATE(YEAR($A$1)-1,1,1),$2:$2,61:61):
    _xlfn.XLOOKUP(EDATE($A$1,-12),$2:$2,61:61)
  ),"")</f>
        <v>8.2532467532467493</v>
      </c>
      <c r="BO61" s="5620">
        <f t="shared" si="34"/>
        <v>5.7857142857142847</v>
      </c>
    </row>
    <row r="62" spans="1:67" x14ac:dyDescent="0.55000000000000004">
      <c r="A62" s="7348"/>
      <c r="B62" s="6127" t="s">
        <v>207</v>
      </c>
      <c r="C62" s="556"/>
      <c r="D62" s="3753">
        <f t="shared" ref="D62:O62" si="70">IFERROR((D39+D44)/(D6),"")</f>
        <v>5.2545155993431845</v>
      </c>
      <c r="E62" s="3753">
        <f t="shared" si="70"/>
        <v>5.5796316359696636</v>
      </c>
      <c r="F62" s="3753">
        <f t="shared" si="70"/>
        <v>5.4016064257028118</v>
      </c>
      <c r="G62" s="3753">
        <f t="shared" si="70"/>
        <v>10.128707330721882</v>
      </c>
      <c r="H62" s="3753">
        <f t="shared" si="70"/>
        <v>12.467134092900963</v>
      </c>
      <c r="I62" s="3753">
        <f t="shared" si="70"/>
        <v>5.2275522755227559</v>
      </c>
      <c r="J62" s="3753">
        <f t="shared" si="70"/>
        <v>4.7543581616481774</v>
      </c>
      <c r="K62" s="3753">
        <f t="shared" si="70"/>
        <v>4.4836563494359272</v>
      </c>
      <c r="L62" s="3753">
        <f t="shared" si="70"/>
        <v>9.275053304904052</v>
      </c>
      <c r="M62" s="3753">
        <f t="shared" si="70"/>
        <v>4.3887775551102202</v>
      </c>
      <c r="N62" s="3753">
        <f t="shared" si="70"/>
        <v>3.9134912461380029</v>
      </c>
      <c r="O62" s="3753">
        <f t="shared" si="70"/>
        <v>5.5130597014925371</v>
      </c>
      <c r="P62" s="3755">
        <f t="shared" si="36"/>
        <v>6.3656286399075155</v>
      </c>
      <c r="Q62" s="3755">
        <f t="shared" si="25"/>
        <v>6.3656286399075155</v>
      </c>
      <c r="R62" s="556"/>
      <c r="S62" s="3753">
        <f t="shared" ref="S62:AD62" si="71">IFERROR((S39+S44)/(S6),"")</f>
        <v>6.2964298593580956</v>
      </c>
      <c r="T62" s="3753">
        <f t="shared" si="71"/>
        <v>3.7157107231920197</v>
      </c>
      <c r="U62" s="3753">
        <f t="shared" si="71"/>
        <v>6.0257510729613735</v>
      </c>
      <c r="V62" s="3753">
        <f t="shared" si="71"/>
        <v>3.52919438285292</v>
      </c>
      <c r="W62" s="3753">
        <f t="shared" si="71"/>
        <v>4.6086956521739131</v>
      </c>
      <c r="X62" s="3753">
        <f t="shared" si="71"/>
        <v>4.8482952768220207</v>
      </c>
      <c r="Y62" s="3753">
        <f t="shared" si="71"/>
        <v>2.9401993355481726</v>
      </c>
      <c r="Z62" s="3753">
        <f t="shared" si="71"/>
        <v>3.0133657351154315</v>
      </c>
      <c r="AA62" s="3753">
        <f t="shared" si="71"/>
        <v>4.7386172006745362</v>
      </c>
      <c r="AB62" s="3753">
        <f t="shared" si="71"/>
        <v>4.99184339314845</v>
      </c>
      <c r="AC62" s="3753">
        <f t="shared" si="71"/>
        <v>3.7472766884531592</v>
      </c>
      <c r="AD62" s="3753">
        <f t="shared" si="71"/>
        <v>4.0677966101694913</v>
      </c>
      <c r="AE62" s="3755">
        <f t="shared" si="38"/>
        <v>4.3769313275391326</v>
      </c>
      <c r="AF62" s="3755">
        <f t="shared" si="27"/>
        <v>4.3769313275391326</v>
      </c>
      <c r="AG62" s="556"/>
      <c r="AH62" s="3753">
        <f t="shared" ref="AH62:AS62" si="72">IFERROR((AH39+AH44)/(AH6),"")</f>
        <v>1.956989247311828</v>
      </c>
      <c r="AI62" s="3753">
        <f t="shared" si="72"/>
        <v>2.618595825426945</v>
      </c>
      <c r="AJ62" s="3753">
        <f t="shared" si="72"/>
        <v>1.596244131455399</v>
      </c>
      <c r="AK62" s="3753">
        <f t="shared" si="72"/>
        <v>2.1068472535741156</v>
      </c>
      <c r="AL62" s="3753">
        <f t="shared" si="72"/>
        <v>3.4079601990049748</v>
      </c>
      <c r="AM62" s="3753">
        <f t="shared" si="72"/>
        <v>1.2537313432835822</v>
      </c>
      <c r="AN62" s="3753">
        <f t="shared" si="72"/>
        <v>2.6863753213367612</v>
      </c>
      <c r="AO62" s="3753">
        <f t="shared" si="72"/>
        <v>1.9318181818181817</v>
      </c>
      <c r="AP62" s="3753">
        <f t="shared" si="72"/>
        <v>3.3183183183183185</v>
      </c>
      <c r="AQ62" s="3753">
        <f t="shared" si="72"/>
        <v>3.8372093023255811</v>
      </c>
      <c r="AR62" s="3753">
        <f t="shared" si="72"/>
        <v>4.7848101265822782</v>
      </c>
      <c r="AS62" s="3753">
        <f t="shared" si="72"/>
        <v>4.9659863945578238</v>
      </c>
      <c r="AT62" s="3755">
        <f t="shared" si="40"/>
        <v>2.8720738037496498</v>
      </c>
      <c r="AU62" s="3755">
        <f t="shared" si="63"/>
        <v>2.8720738037496498</v>
      </c>
      <c r="AV62" s="556"/>
      <c r="AW62" s="3753">
        <f t="shared" ref="AW62:BH65" si="73">IFERROR((AW39+AW44)/(AW6),"")</f>
        <v>3.4383202099737531</v>
      </c>
      <c r="AX62" s="3753">
        <f t="shared" ref="AX62" si="74">IFERROR((AX39+AX44)/(AX6),"")</f>
        <v>5.3025936599423629</v>
      </c>
      <c r="AY62" s="3753" t="str">
        <f t="shared" si="73"/>
        <v/>
      </c>
      <c r="AZ62" s="3753" t="str">
        <f t="shared" si="73"/>
        <v/>
      </c>
      <c r="BA62" s="3753" t="str">
        <f t="shared" si="73"/>
        <v/>
      </c>
      <c r="BB62" s="3753" t="str">
        <f t="shared" si="73"/>
        <v/>
      </c>
      <c r="BC62" s="3753" t="str">
        <f t="shared" si="73"/>
        <v/>
      </c>
      <c r="BD62" s="3753" t="str">
        <f t="shared" si="73"/>
        <v/>
      </c>
      <c r="BE62" s="3753" t="str">
        <f t="shared" si="73"/>
        <v/>
      </c>
      <c r="BF62" s="3753" t="str">
        <f t="shared" si="73"/>
        <v/>
      </c>
      <c r="BG62" s="3753" t="str">
        <f t="shared" si="73"/>
        <v/>
      </c>
      <c r="BH62" s="3753" t="str">
        <f t="shared" si="73"/>
        <v/>
      </c>
      <c r="BI62" s="4271">
        <f t="shared" si="42"/>
        <v>4.3704569349580584</v>
      </c>
      <c r="BJ62" s="4271">
        <f t="shared" si="65"/>
        <v>4.3704569349580584</v>
      </c>
      <c r="BL62" s="5620">
        <f t="shared" si="32"/>
        <v>2.6839978345154178</v>
      </c>
      <c r="BM62" s="5620">
        <f t="shared" si="33"/>
        <v>1.4983831312084086</v>
      </c>
      <c r="BN62" s="5941">
        <f>IFERROR(
  SUM(
    _xlfn.XLOOKUP(DATE(YEAR($A$1),1,1),$2:$2,62:62):
    _xlfn.XLOOKUP($A$1,$2:$2,62:62)
  )
 -SUM(
    _xlfn.XLOOKUP(DATE(YEAR($A$1)-1,1,1),$2:$2,62:62):
    _xlfn.XLOOKUP(EDATE($A$1,-12),$2:$2,62:62)
  ),"")</f>
        <v>4.1653287971773434</v>
      </c>
      <c r="BO62" s="5620">
        <f t="shared" si="34"/>
        <v>1.8642734499686098</v>
      </c>
    </row>
    <row r="63" spans="1:67" x14ac:dyDescent="0.55000000000000004">
      <c r="A63" s="7348"/>
      <c r="B63" s="6127" t="s">
        <v>208</v>
      </c>
      <c r="C63" s="556"/>
      <c r="D63" s="3753">
        <f t="shared" ref="D63:O63" si="75">IFERROR((D40+D45)/(D7),"")</f>
        <v>10.842105263157896</v>
      </c>
      <c r="E63" s="3753">
        <f t="shared" si="75"/>
        <v>16.105263157894736</v>
      </c>
      <c r="F63" s="3753">
        <f t="shared" si="75"/>
        <v>13.272727272727273</v>
      </c>
      <c r="G63" s="3753">
        <f t="shared" si="75"/>
        <v>17.75</v>
      </c>
      <c r="H63" s="3753">
        <f t="shared" si="75"/>
        <v>23.3</v>
      </c>
      <c r="I63" s="3753">
        <f t="shared" si="75"/>
        <v>16.095238095238095</v>
      </c>
      <c r="J63" s="3753">
        <f t="shared" si="75"/>
        <v>15.285714285714286</v>
      </c>
      <c r="K63" s="3753">
        <f t="shared" si="75"/>
        <v>20.761904761904763</v>
      </c>
      <c r="L63" s="3753">
        <f t="shared" si="75"/>
        <v>8.7727272727272734</v>
      </c>
      <c r="M63" s="3753">
        <f t="shared" si="75"/>
        <v>12.681818181818182</v>
      </c>
      <c r="N63" s="3753">
        <f t="shared" si="75"/>
        <v>11</v>
      </c>
      <c r="O63" s="3753">
        <f t="shared" si="75"/>
        <v>18.94736842105263</v>
      </c>
      <c r="P63" s="3755">
        <f t="shared" si="36"/>
        <v>15.401238892686264</v>
      </c>
      <c r="Q63" s="3755">
        <f t="shared" si="25"/>
        <v>15.401238892686264</v>
      </c>
      <c r="R63" s="556"/>
      <c r="S63" s="3753">
        <f t="shared" ref="S63:AD63" si="76">IFERROR((S40+S45)/(S7),"")</f>
        <v>12.5</v>
      </c>
      <c r="T63" s="3753">
        <f t="shared" si="76"/>
        <v>16.76923076923077</v>
      </c>
      <c r="U63" s="3753">
        <f t="shared" si="76"/>
        <v>13.666666666666666</v>
      </c>
      <c r="V63" s="3753">
        <f t="shared" si="76"/>
        <v>17.714285714285715</v>
      </c>
      <c r="W63" s="3753">
        <f t="shared" si="76"/>
        <v>20.714285714285715</v>
      </c>
      <c r="X63" s="3753">
        <f t="shared" si="76"/>
        <v>23.642857142857142</v>
      </c>
      <c r="Y63" s="3753">
        <f t="shared" si="76"/>
        <v>31.133333333333333</v>
      </c>
      <c r="Z63" s="3753">
        <f t="shared" si="76"/>
        <v>27.571428571428573</v>
      </c>
      <c r="AA63" s="3753">
        <f t="shared" si="76"/>
        <v>18.214285714285715</v>
      </c>
      <c r="AB63" s="3753">
        <f t="shared" si="76"/>
        <v>26.4</v>
      </c>
      <c r="AC63" s="3753">
        <f t="shared" si="76"/>
        <v>9.5625</v>
      </c>
      <c r="AD63" s="3753">
        <f t="shared" si="76"/>
        <v>10.933333333333334</v>
      </c>
      <c r="AE63" s="3755">
        <f t="shared" si="38"/>
        <v>19.068517246642248</v>
      </c>
      <c r="AF63" s="3755">
        <f t="shared" si="27"/>
        <v>19.068517246642248</v>
      </c>
      <c r="AG63" s="556"/>
      <c r="AH63" s="3753">
        <f t="shared" ref="AH63:AS63" si="77">IFERROR((AH40+AH45)/(AH7),"")</f>
        <v>19.625</v>
      </c>
      <c r="AI63" s="3753">
        <f t="shared" si="77"/>
        <v>10.333333333333334</v>
      </c>
      <c r="AJ63" s="3753">
        <f t="shared" si="77"/>
        <v>14.647058823529411</v>
      </c>
      <c r="AK63" s="3753">
        <f t="shared" si="77"/>
        <v>12.3125</v>
      </c>
      <c r="AL63" s="3753">
        <f t="shared" si="77"/>
        <v>18.399999999999999</v>
      </c>
      <c r="AM63" s="3753">
        <f t="shared" si="77"/>
        <v>15.133333333333333</v>
      </c>
      <c r="AN63" s="3753">
        <f t="shared" si="77"/>
        <v>16.357142857142858</v>
      </c>
      <c r="AO63" s="3753">
        <f t="shared" si="77"/>
        <v>26.666666666666668</v>
      </c>
      <c r="AP63" s="3753">
        <f t="shared" si="77"/>
        <v>21.416666666666668</v>
      </c>
      <c r="AQ63" s="3753">
        <f t="shared" si="77"/>
        <v>7.416666666666667</v>
      </c>
      <c r="AR63" s="3753">
        <f t="shared" si="77"/>
        <v>19.416666666666668</v>
      </c>
      <c r="AS63" s="3753">
        <f t="shared" si="77"/>
        <v>22.333333333333332</v>
      </c>
      <c r="AT63" s="3755">
        <f t="shared" si="40"/>
        <v>17.004864028944908</v>
      </c>
      <c r="AU63" s="3755">
        <f t="shared" si="63"/>
        <v>17.004864028944908</v>
      </c>
      <c r="AV63" s="556"/>
      <c r="AW63" s="3753">
        <f t="shared" si="73"/>
        <v>28</v>
      </c>
      <c r="AX63" s="3753">
        <f t="shared" ref="AX63" si="78">IFERROR((AX40+AX45)/(AX7),"")</f>
        <v>39.142857142857146</v>
      </c>
      <c r="AY63" s="3753" t="str">
        <f t="shared" si="73"/>
        <v/>
      </c>
      <c r="AZ63" s="3753" t="str">
        <f t="shared" si="73"/>
        <v/>
      </c>
      <c r="BA63" s="3753" t="str">
        <f t="shared" si="73"/>
        <v/>
      </c>
      <c r="BB63" s="3753" t="str">
        <f t="shared" si="73"/>
        <v/>
      </c>
      <c r="BC63" s="3753" t="str">
        <f t="shared" si="73"/>
        <v/>
      </c>
      <c r="BD63" s="3753" t="str">
        <f t="shared" si="73"/>
        <v/>
      </c>
      <c r="BE63" s="3753" t="str">
        <f t="shared" si="73"/>
        <v/>
      </c>
      <c r="BF63" s="3753" t="str">
        <f t="shared" si="73"/>
        <v/>
      </c>
      <c r="BG63" s="3753" t="str">
        <f t="shared" si="73"/>
        <v/>
      </c>
      <c r="BH63" s="3753" t="str">
        <f t="shared" si="73"/>
        <v/>
      </c>
      <c r="BI63" s="4271">
        <f t="shared" si="42"/>
        <v>33.571428571428569</v>
      </c>
      <c r="BJ63" s="4271">
        <f t="shared" si="65"/>
        <v>33.571428571428569</v>
      </c>
      <c r="BL63" s="5620">
        <f t="shared" si="32"/>
        <v>28.80952380952381</v>
      </c>
      <c r="BM63" s="5620">
        <f t="shared" si="33"/>
        <v>16.566564542483661</v>
      </c>
      <c r="BN63" s="5941">
        <f>IFERROR(
  SUM(
    _xlfn.XLOOKUP(DATE(YEAR($A$1),1,1),$2:$2,63:63):
    _xlfn.XLOOKUP($A$1,$2:$2,63:63)
  )
 -SUM(
    _xlfn.XLOOKUP(DATE(YEAR($A$1)-1,1,1),$2:$2,63:63):
    _xlfn.XLOOKUP(EDATE($A$1,-12),$2:$2,63:63)
  ),"")</f>
        <v>37.184523809523803</v>
      </c>
      <c r="BO63" s="5620">
        <f t="shared" si="34"/>
        <v>11.142857142857146</v>
      </c>
    </row>
    <row r="64" spans="1:67" x14ac:dyDescent="0.55000000000000004">
      <c r="A64" s="7348"/>
      <c r="B64" s="6127" t="s">
        <v>209</v>
      </c>
      <c r="C64" s="556"/>
      <c r="D64" s="3753">
        <f t="shared" ref="D64:O64" si="79">IFERROR((D41+D46)/(D8),"")</f>
        <v>8.9618456078083408</v>
      </c>
      <c r="E64" s="3753">
        <f t="shared" si="79"/>
        <v>8.4520123839009287</v>
      </c>
      <c r="F64" s="3753">
        <f t="shared" si="79"/>
        <v>8.9186176142697864</v>
      </c>
      <c r="G64" s="3753">
        <f t="shared" si="79"/>
        <v>12.948381452318461</v>
      </c>
      <c r="H64" s="3753">
        <f t="shared" si="79"/>
        <v>7.2834645669291334</v>
      </c>
      <c r="I64" s="3753">
        <f t="shared" si="79"/>
        <v>12.366101694915255</v>
      </c>
      <c r="J64" s="3753">
        <f t="shared" si="79"/>
        <v>11.2142152023692</v>
      </c>
      <c r="K64" s="3753">
        <f t="shared" si="79"/>
        <v>7.6351791530944615</v>
      </c>
      <c r="L64" s="3753">
        <f t="shared" si="79"/>
        <v>18.390342052313883</v>
      </c>
      <c r="M64" s="3753">
        <f t="shared" si="79"/>
        <v>7.2755659640905543</v>
      </c>
      <c r="N64" s="3753">
        <f t="shared" si="79"/>
        <v>6.5042573320719015</v>
      </c>
      <c r="O64" s="3753">
        <f t="shared" si="79"/>
        <v>7.0532128514056227</v>
      </c>
      <c r="P64" s="3755">
        <f t="shared" si="36"/>
        <v>9.7502663229572928</v>
      </c>
      <c r="Q64" s="3755">
        <f t="shared" si="25"/>
        <v>9.7502663229572928</v>
      </c>
      <c r="R64" s="556"/>
      <c r="S64" s="3753">
        <f t="shared" ref="S64:AD64" si="80">IFERROR((S41+S46)/(S8),"")</f>
        <v>5.0937389458790241</v>
      </c>
      <c r="T64" s="3753">
        <f t="shared" si="80"/>
        <v>6.666666666666667</v>
      </c>
      <c r="U64" s="3753">
        <f t="shared" si="80"/>
        <v>6.6086956521739131</v>
      </c>
      <c r="V64" s="3753">
        <f t="shared" si="80"/>
        <v>8.2543223647518129</v>
      </c>
      <c r="W64" s="3753">
        <f t="shared" si="80"/>
        <v>7.8177966101694913</v>
      </c>
      <c r="X64" s="3753">
        <f t="shared" si="80"/>
        <v>6.3977353149327669</v>
      </c>
      <c r="Y64" s="3753">
        <f t="shared" si="80"/>
        <v>5.8142857142857141</v>
      </c>
      <c r="Z64" s="3753">
        <f t="shared" si="80"/>
        <v>6.5107748739110498</v>
      </c>
      <c r="AA64" s="3753">
        <f t="shared" si="80"/>
        <v>4.9705014749262535</v>
      </c>
      <c r="AB64" s="3753">
        <f t="shared" si="80"/>
        <v>8.7587822014051522</v>
      </c>
      <c r="AC64" s="3753">
        <f t="shared" si="80"/>
        <v>5.2644836272040303</v>
      </c>
      <c r="AD64" s="3753">
        <f t="shared" si="80"/>
        <v>9.8543689320388346</v>
      </c>
      <c r="AE64" s="3755">
        <f t="shared" si="38"/>
        <v>6.8343460315287272</v>
      </c>
      <c r="AF64" s="3755">
        <f t="shared" si="27"/>
        <v>6.8343460315287272</v>
      </c>
      <c r="AG64" s="556"/>
      <c r="AH64" s="3753">
        <f t="shared" ref="AH64:AS64" si="81">IFERROR((AH41+AH46)/(AH8),"")</f>
        <v>4.9430523917995446</v>
      </c>
      <c r="AI64" s="3753">
        <f t="shared" si="81"/>
        <v>5.5132450331125833</v>
      </c>
      <c r="AJ64" s="3753">
        <f t="shared" si="81"/>
        <v>6.4537815126050422</v>
      </c>
      <c r="AK64" s="3753">
        <f t="shared" si="81"/>
        <v>10.320699708454811</v>
      </c>
      <c r="AL64" s="3753">
        <f t="shared" si="81"/>
        <v>8.2487725040916526</v>
      </c>
      <c r="AM64" s="3753">
        <f t="shared" si="81"/>
        <v>5.318246110325318</v>
      </c>
      <c r="AN64" s="3753">
        <f t="shared" si="81"/>
        <v>10.994550408719345</v>
      </c>
      <c r="AO64" s="3753">
        <f t="shared" si="81"/>
        <v>13.559322033898306</v>
      </c>
      <c r="AP64" s="3753">
        <f t="shared" si="81"/>
        <v>7.7124183006535949</v>
      </c>
      <c r="AQ64" s="3753">
        <f t="shared" si="81"/>
        <v>6.6402535657686208</v>
      </c>
      <c r="AR64" s="3753">
        <f t="shared" si="81"/>
        <v>4.168564920273349</v>
      </c>
      <c r="AS64" s="3753">
        <f t="shared" si="81"/>
        <v>3.6893203883495143</v>
      </c>
      <c r="AT64" s="3755">
        <f t="shared" si="40"/>
        <v>7.2968522398376408</v>
      </c>
      <c r="AU64" s="3755">
        <f t="shared" si="63"/>
        <v>7.2968522398376408</v>
      </c>
      <c r="AV64" s="556"/>
      <c r="AW64" s="3753">
        <f t="shared" si="73"/>
        <v>5.605633802816901</v>
      </c>
      <c r="AX64" s="3753">
        <f t="shared" ref="AX64" si="82">IFERROR((AX41+AX46)/(AX8),"")</f>
        <v>4.4000000000000004</v>
      </c>
      <c r="AY64" s="3753" t="str">
        <f t="shared" si="73"/>
        <v/>
      </c>
      <c r="AZ64" s="3753" t="str">
        <f t="shared" si="73"/>
        <v/>
      </c>
      <c r="BA64" s="3753" t="str">
        <f t="shared" si="73"/>
        <v/>
      </c>
      <c r="BB64" s="3753" t="str">
        <f t="shared" si="73"/>
        <v/>
      </c>
      <c r="BC64" s="3753" t="str">
        <f t="shared" si="73"/>
        <v/>
      </c>
      <c r="BD64" s="3753" t="str">
        <f t="shared" si="73"/>
        <v/>
      </c>
      <c r="BE64" s="3753" t="str">
        <f t="shared" si="73"/>
        <v/>
      </c>
      <c r="BF64" s="3753" t="str">
        <f t="shared" si="73"/>
        <v/>
      </c>
      <c r="BG64" s="3753" t="str">
        <f t="shared" si="73"/>
        <v/>
      </c>
      <c r="BH64" s="3753" t="str">
        <f t="shared" si="73"/>
        <v/>
      </c>
      <c r="BI64" s="4271">
        <f t="shared" si="42"/>
        <v>5.0028169014084511</v>
      </c>
      <c r="BJ64" s="4271">
        <f t="shared" si="65"/>
        <v>5.0028169014084511</v>
      </c>
      <c r="BL64" s="5620">
        <f t="shared" si="32"/>
        <v>-1.1132450331125829</v>
      </c>
      <c r="BM64" s="5620">
        <f t="shared" si="33"/>
        <v>-2.2940353384291896</v>
      </c>
      <c r="BN64" s="5941">
        <f>IFERROR(
  SUM(
    _xlfn.XLOOKUP(DATE(YEAR($A$1),1,1),$2:$2,64:64):
    _xlfn.XLOOKUP($A$1,$2:$2,64:64)
  )
 -SUM(
    _xlfn.XLOOKUP(DATE(YEAR($A$1)-1,1,1),$2:$2,64:64):
    _xlfn.XLOOKUP(EDATE($A$1,-12),$2:$2,64:64)
  ),"")</f>
        <v>-0.45066362209522559</v>
      </c>
      <c r="BO64" s="5620">
        <f t="shared" si="34"/>
        <v>-1.2056338028169007</v>
      </c>
    </row>
    <row r="65" spans="1:67" ht="15.45" thickBot="1" x14ac:dyDescent="0.6">
      <c r="A65" s="7349"/>
      <c r="B65" s="6128" t="s">
        <v>210</v>
      </c>
      <c r="C65" s="5974"/>
      <c r="D65" s="6011">
        <f t="shared" ref="D65:O65" si="83">IFERROR((D42+D47)/(D9),"")</f>
        <v>12.857142857142858</v>
      </c>
      <c r="E65" s="6011">
        <f t="shared" si="83"/>
        <v>15.428571428571429</v>
      </c>
      <c r="F65" s="6011">
        <f t="shared" si="83"/>
        <v>20.545454545454547</v>
      </c>
      <c r="G65" s="6011">
        <f t="shared" si="83"/>
        <v>14.272727272727273</v>
      </c>
      <c r="H65" s="6011">
        <f t="shared" si="83"/>
        <v>15.961538461538462</v>
      </c>
      <c r="I65" s="6011">
        <f t="shared" si="83"/>
        <v>18.68</v>
      </c>
      <c r="J65" s="6011">
        <f t="shared" si="83"/>
        <v>13.692307692307692</v>
      </c>
      <c r="K65" s="6011">
        <f t="shared" si="83"/>
        <v>12.68</v>
      </c>
      <c r="L65" s="6011">
        <f t="shared" si="83"/>
        <v>9.84</v>
      </c>
      <c r="M65" s="6011">
        <f t="shared" si="83"/>
        <v>11.625</v>
      </c>
      <c r="N65" s="6011">
        <f t="shared" si="83"/>
        <v>18.384615384615383</v>
      </c>
      <c r="O65" s="6011">
        <f t="shared" si="83"/>
        <v>13.346153846153847</v>
      </c>
      <c r="P65" s="6011">
        <f t="shared" si="36"/>
        <v>14.776125957375958</v>
      </c>
      <c r="Q65" s="6011">
        <f t="shared" si="25"/>
        <v>14.776125957375958</v>
      </c>
      <c r="R65" s="5974"/>
      <c r="S65" s="6011">
        <f t="shared" ref="S65:AD65" si="84">IFERROR((S42+S47)/(S9),"")</f>
        <v>13.28</v>
      </c>
      <c r="T65" s="6011">
        <f t="shared" si="84"/>
        <v>19.529411764705884</v>
      </c>
      <c r="U65" s="6011">
        <f t="shared" si="84"/>
        <v>16.647058823529413</v>
      </c>
      <c r="V65" s="6011">
        <f t="shared" si="84"/>
        <v>16.117647058823529</v>
      </c>
      <c r="W65" s="6011">
        <f t="shared" si="84"/>
        <v>28</v>
      </c>
      <c r="X65" s="6011">
        <f t="shared" si="84"/>
        <v>36</v>
      </c>
      <c r="Y65" s="6011">
        <f t="shared" si="84"/>
        <v>30.857142857142858</v>
      </c>
      <c r="Z65" s="6011">
        <f t="shared" si="84"/>
        <v>24</v>
      </c>
      <c r="AA65" s="6011">
        <f t="shared" si="84"/>
        <v>38.428571428571431</v>
      </c>
      <c r="AB65" s="6011">
        <f t="shared" si="84"/>
        <v>17.5</v>
      </c>
      <c r="AC65" s="6011">
        <f t="shared" si="84"/>
        <v>20.523809523809526</v>
      </c>
      <c r="AD65" s="6011">
        <f t="shared" si="84"/>
        <v>22.952380952380953</v>
      </c>
      <c r="AE65" s="6011">
        <f t="shared" si="38"/>
        <v>23.653001867413632</v>
      </c>
      <c r="AF65" s="6011">
        <f t="shared" si="27"/>
        <v>23.653001867413632</v>
      </c>
      <c r="AG65" s="5974"/>
      <c r="AH65" s="6011">
        <f t="shared" ref="AH65:AS65" si="85">IFERROR((AH42+AH47)/(AH9),"")</f>
        <v>14.863636363636363</v>
      </c>
      <c r="AI65" s="6011">
        <f t="shared" si="85"/>
        <v>14.043478260869565</v>
      </c>
      <c r="AJ65" s="6011">
        <f t="shared" si="85"/>
        <v>22.521739130434781</v>
      </c>
      <c r="AK65" s="6011">
        <f t="shared" si="85"/>
        <v>14.15</v>
      </c>
      <c r="AL65" s="6011">
        <f t="shared" si="85"/>
        <v>11.15</v>
      </c>
      <c r="AM65" s="6011">
        <f t="shared" si="85"/>
        <v>39.65</v>
      </c>
      <c r="AN65" s="6011">
        <f t="shared" si="85"/>
        <v>30.973684210526315</v>
      </c>
      <c r="AO65" s="6011">
        <f t="shared" si="85"/>
        <v>28.473684210526315</v>
      </c>
      <c r="AP65" s="6011">
        <f t="shared" si="85"/>
        <v>36.294117647058826</v>
      </c>
      <c r="AQ65" s="6011">
        <f t="shared" si="85"/>
        <v>31.25</v>
      </c>
      <c r="AR65" s="6011">
        <f t="shared" si="85"/>
        <v>27.75</v>
      </c>
      <c r="AS65" s="6011">
        <f t="shared" si="85"/>
        <v>21.727272727272727</v>
      </c>
      <c r="AT65" s="6011">
        <f t="shared" si="40"/>
        <v>24.403967712527077</v>
      </c>
      <c r="AU65" s="6011">
        <f t="shared" si="63"/>
        <v>24.403967712527077</v>
      </c>
      <c r="AV65" s="5974"/>
      <c r="AW65" s="6011">
        <f t="shared" si="73"/>
        <v>55</v>
      </c>
      <c r="AX65" s="6011">
        <f t="shared" ref="AX65" si="86">IFERROR((AX42+AX47)/(AX9),"")</f>
        <v>65.375</v>
      </c>
      <c r="AY65" s="6011" t="str">
        <f t="shared" si="73"/>
        <v/>
      </c>
      <c r="AZ65" s="6011" t="str">
        <f t="shared" si="73"/>
        <v/>
      </c>
      <c r="BA65" s="6011" t="str">
        <f t="shared" si="73"/>
        <v/>
      </c>
      <c r="BB65" s="6011" t="str">
        <f t="shared" si="73"/>
        <v/>
      </c>
      <c r="BC65" s="6011" t="str">
        <f t="shared" si="73"/>
        <v/>
      </c>
      <c r="BD65" s="6011" t="str">
        <f t="shared" si="73"/>
        <v/>
      </c>
      <c r="BE65" s="6011" t="str">
        <f t="shared" si="73"/>
        <v/>
      </c>
      <c r="BF65" s="6011" t="str">
        <f t="shared" si="73"/>
        <v/>
      </c>
      <c r="BG65" s="6011" t="str">
        <f t="shared" si="73"/>
        <v/>
      </c>
      <c r="BH65" s="6011" t="str">
        <f t="shared" si="73"/>
        <v/>
      </c>
      <c r="BI65" s="6236">
        <f>BJ65</f>
        <v>60.1875</v>
      </c>
      <c r="BJ65" s="6236">
        <f t="shared" si="65"/>
        <v>60.1875</v>
      </c>
      <c r="BL65" s="5620">
        <f t="shared" si="32"/>
        <v>51.331521739130437</v>
      </c>
      <c r="BM65" s="5620">
        <f t="shared" si="33"/>
        <v>35.783532287472923</v>
      </c>
      <c r="BN65" s="5941">
        <f>IFERROR(
  SUM(
    _xlfn.XLOOKUP(DATE(YEAR($A$1),1,1),$2:$2,65:65):
    _xlfn.XLOOKUP($A$1,$2:$2,65:65)
  )
 -SUM(
    _xlfn.XLOOKUP(DATE(YEAR($A$1)-1,1,1),$2:$2,65:65):
    _xlfn.XLOOKUP(EDATE($A$1,-12),$2:$2,65:65)
  ),"")</f>
        <v>91.467885375494063</v>
      </c>
      <c r="BO65" s="5620">
        <f t="shared" si="34"/>
        <v>10.375</v>
      </c>
    </row>
    <row r="66" spans="1:67" x14ac:dyDescent="0.55000000000000004">
      <c r="BI66" s="6237"/>
      <c r="BJ66" s="6237"/>
    </row>
    <row r="72" spans="1:67" x14ac:dyDescent="0.55000000000000004">
      <c r="AH72" s="6232"/>
      <c r="AI72" s="6232"/>
      <c r="AJ72" s="6232"/>
      <c r="AK72" s="6232"/>
      <c r="AL72" s="6232"/>
      <c r="AM72" s="6232"/>
      <c r="AN72" s="6232"/>
      <c r="AO72" s="6232"/>
      <c r="AP72" s="6232"/>
      <c r="AQ72" s="6232"/>
      <c r="AR72" s="6232"/>
      <c r="AS72" s="6232"/>
    </row>
    <row r="73" spans="1:67" x14ac:dyDescent="0.55000000000000004">
      <c r="AH73" s="6232"/>
      <c r="AI73" s="6232"/>
      <c r="AJ73" s="6232"/>
      <c r="AK73" s="6232"/>
      <c r="AL73" s="6232"/>
      <c r="AM73" s="6232"/>
      <c r="AN73" s="6232"/>
      <c r="AO73" s="6232"/>
      <c r="AP73" s="6232"/>
      <c r="AQ73" s="6232"/>
      <c r="AR73" s="6232"/>
      <c r="AS73" s="6232"/>
    </row>
    <row r="74" spans="1:67" x14ac:dyDescent="0.55000000000000004">
      <c r="AH74" s="6232"/>
      <c r="AI74" s="6232"/>
      <c r="AJ74" s="6232"/>
      <c r="AK74" s="6232"/>
      <c r="AL74" s="6232"/>
      <c r="AM74" s="6232"/>
      <c r="AN74" s="6232"/>
      <c r="AO74" s="6232"/>
      <c r="AP74" s="6232"/>
      <c r="AQ74" s="6232"/>
      <c r="AR74" s="6232"/>
      <c r="AS74" s="6232"/>
    </row>
    <row r="75" spans="1:67" x14ac:dyDescent="0.55000000000000004">
      <c r="AH75" s="6232"/>
      <c r="AI75" s="6232"/>
      <c r="AJ75" s="6232"/>
      <c r="AK75" s="6232"/>
      <c r="AL75" s="6232"/>
      <c r="AM75" s="6232"/>
      <c r="AN75" s="6232"/>
      <c r="AO75" s="6232"/>
      <c r="AP75" s="6232"/>
      <c r="AQ75" s="6232"/>
      <c r="AR75" s="6232"/>
      <c r="AS75" s="6232"/>
    </row>
    <row r="76" spans="1:67" x14ac:dyDescent="0.55000000000000004">
      <c r="AH76" s="6232"/>
      <c r="AI76" s="6232"/>
      <c r="AJ76" s="6232"/>
      <c r="AK76" s="6232"/>
      <c r="AL76" s="6232"/>
      <c r="AM76" s="6232"/>
      <c r="AN76" s="6232"/>
      <c r="AO76" s="6232"/>
      <c r="AP76" s="6232"/>
      <c r="AQ76" s="6232"/>
      <c r="AR76" s="6232"/>
      <c r="AS76" s="6232"/>
    </row>
    <row r="77" spans="1:67" x14ac:dyDescent="0.55000000000000004">
      <c r="AH77" s="6232"/>
      <c r="AI77" s="6232"/>
      <c r="AJ77" s="6232"/>
      <c r="AK77" s="6232"/>
      <c r="AL77" s="6232"/>
      <c r="AM77" s="6232"/>
      <c r="AN77" s="6232"/>
      <c r="AO77" s="6232"/>
      <c r="AP77" s="6232"/>
      <c r="AQ77" s="6232"/>
      <c r="AR77" s="6232"/>
      <c r="AS77" s="6232"/>
      <c r="AT77" s="6232"/>
    </row>
    <row r="78" spans="1:67" x14ac:dyDescent="0.55000000000000004">
      <c r="AH78" s="6232"/>
      <c r="AI78" s="6232"/>
      <c r="AJ78" s="6232"/>
      <c r="AK78" s="6232"/>
      <c r="AL78" s="6232"/>
      <c r="AM78" s="6232"/>
      <c r="AN78" s="6232"/>
      <c r="AO78" s="6232"/>
      <c r="AP78" s="6232"/>
      <c r="AQ78" s="6232"/>
      <c r="AR78" s="6232"/>
      <c r="AS78" s="6232"/>
      <c r="AT78" s="6232"/>
    </row>
    <row r="79" spans="1:67" x14ac:dyDescent="0.55000000000000004">
      <c r="AH79" s="6232"/>
      <c r="AI79" s="6232"/>
      <c r="AJ79" s="6232"/>
      <c r="AK79" s="6232"/>
      <c r="AL79" s="6232"/>
      <c r="AM79" s="6232"/>
      <c r="AN79" s="6232"/>
      <c r="AO79" s="6232"/>
      <c r="AP79" s="6232"/>
      <c r="AQ79" s="6232"/>
      <c r="AR79" s="6232"/>
      <c r="AS79" s="6232"/>
      <c r="AT79" s="6232"/>
    </row>
    <row r="80" spans="1:67" x14ac:dyDescent="0.55000000000000004">
      <c r="AH80" s="6232"/>
      <c r="AI80" s="6232"/>
      <c r="AJ80" s="6232"/>
      <c r="AK80" s="6232"/>
      <c r="AL80" s="6232"/>
      <c r="AM80" s="6232"/>
      <c r="AN80" s="6232"/>
      <c r="AO80" s="6232"/>
      <c r="AP80" s="6232"/>
      <c r="AQ80" s="6232"/>
      <c r="AR80" s="6232"/>
      <c r="AS80" s="6232"/>
      <c r="AT80" s="6232"/>
    </row>
    <row r="81" spans="34:46" x14ac:dyDescent="0.55000000000000004">
      <c r="AH81" s="6232"/>
      <c r="AI81" s="6232"/>
      <c r="AJ81" s="6232"/>
      <c r="AK81" s="6232"/>
      <c r="AL81" s="6232"/>
      <c r="AM81" s="6232"/>
      <c r="AN81" s="6232"/>
      <c r="AO81" s="6232"/>
      <c r="AP81" s="6232"/>
      <c r="AQ81" s="6232"/>
      <c r="AR81" s="6232"/>
      <c r="AS81" s="6232"/>
      <c r="AT81" s="6232"/>
    </row>
  </sheetData>
  <mergeCells count="12">
    <mergeCell ref="A13:A14"/>
    <mergeCell ref="A28:A32"/>
    <mergeCell ref="A5:A6"/>
    <mergeCell ref="A7:A8"/>
    <mergeCell ref="A9:A10"/>
    <mergeCell ref="A11:A12"/>
    <mergeCell ref="A54:A59"/>
    <mergeCell ref="A60:A65"/>
    <mergeCell ref="A16:A26"/>
    <mergeCell ref="A33:A37"/>
    <mergeCell ref="A38:A42"/>
    <mergeCell ref="A43:A52"/>
  </mergeCells>
  <phoneticPr fontId="1" type="noConversion"/>
  <conditionalFormatting sqref="BL54:BO65 BL4:BO52">
    <cfRule type="containsBlanks" dxfId="4" priority="4">
      <formula>LEN(TRIM(BL4))=0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4717-797C-481F-BA1C-DF1DD6CC575C}">
  <sheetPr codeName="Sheet22">
    <tabColor theme="9" tint="0.79998168889431442"/>
    <pageSetUpPr fitToPage="1"/>
  </sheetPr>
  <dimension ref="A1:BQ105"/>
  <sheetViews>
    <sheetView showGridLines="0" zoomScale="55" zoomScaleNormal="55" workbookViewId="0">
      <pane xSplit="3" topLeftCell="AT1" activePane="topRight" state="frozen"/>
      <selection activeCell="N120" sqref="N120"/>
      <selection pane="topRight" activeCell="AZ61" sqref="AZ61"/>
    </sheetView>
  </sheetViews>
  <sheetFormatPr defaultColWidth="9.140625" defaultRowHeight="15" outlineLevelCol="1" x14ac:dyDescent="0.55000000000000004"/>
  <cols>
    <col min="1" max="1" width="17.42578125" style="559" customWidth="1"/>
    <col min="2" max="2" width="18.140625" style="559" bestFit="1" customWidth="1"/>
    <col min="3" max="3" width="16.35546875" style="559" customWidth="1"/>
    <col min="4" max="15" width="8.640625" style="559" hidden="1" customWidth="1" outlineLevel="1"/>
    <col min="16" max="16" width="8.640625" style="559" customWidth="1" collapsed="1"/>
    <col min="17" max="17" width="8.640625" style="559" customWidth="1"/>
    <col min="18" max="18" width="7.35546875" style="559" customWidth="1"/>
    <col min="19" max="21" width="8.640625" style="559" customWidth="1" outlineLevel="1"/>
    <col min="22" max="22" width="10.85546875" style="559" customWidth="1" outlineLevel="1"/>
    <col min="23" max="26" width="8.640625" style="559" customWidth="1" outlineLevel="1"/>
    <col min="27" max="27" width="11.35546875" style="559" customWidth="1" outlineLevel="1"/>
    <col min="28" max="28" width="10.7109375" style="559" customWidth="1" outlineLevel="1"/>
    <col min="29" max="30" width="11.5703125" style="559" customWidth="1" outlineLevel="1"/>
    <col min="31" max="31" width="10.85546875" style="559" customWidth="1"/>
    <col min="32" max="32" width="9.7109375" style="559" customWidth="1"/>
    <col min="33" max="33" width="6.640625" style="559" customWidth="1"/>
    <col min="34" max="39" width="12.0703125" style="559" customWidth="1"/>
    <col min="40" max="40" width="11.35546875" style="559" customWidth="1"/>
    <col min="41" max="41" width="12.640625" style="559" bestFit="1" customWidth="1"/>
    <col min="42" max="42" width="11.35546875" style="559" customWidth="1"/>
    <col min="43" max="43" width="11.92578125" style="559" bestFit="1" customWidth="1"/>
    <col min="44" max="45" width="11.5703125" style="559" customWidth="1"/>
    <col min="46" max="46" width="13.140625" style="559" bestFit="1" customWidth="1"/>
    <col min="47" max="47" width="10.7109375" style="559" bestFit="1" customWidth="1"/>
    <col min="48" max="48" width="6.640625" style="559" customWidth="1"/>
    <col min="49" max="54" width="12.0703125" style="559" customWidth="1"/>
    <col min="55" max="55" width="11.35546875" style="559" customWidth="1"/>
    <col min="56" max="56" width="12.640625" style="559" bestFit="1" customWidth="1"/>
    <col min="57" max="57" width="11.35546875" style="559" customWidth="1"/>
    <col min="58" max="58" width="11.92578125" style="559" bestFit="1" customWidth="1"/>
    <col min="59" max="60" width="11.5703125" style="559" customWidth="1"/>
    <col min="61" max="61" width="13.140625" style="559" bestFit="1" customWidth="1"/>
    <col min="62" max="62" width="10.7109375" style="559" bestFit="1" customWidth="1"/>
    <col min="63" max="63" width="13.140625" style="559" customWidth="1"/>
    <col min="64" max="64" width="13" style="559" customWidth="1"/>
    <col min="65" max="65" width="15.7109375" style="559" customWidth="1"/>
    <col min="66" max="66" width="18.5703125" style="559" customWidth="1"/>
    <col min="67" max="67" width="12.140625" style="559" customWidth="1"/>
    <col min="68" max="68" width="8.640625" style="559" customWidth="1"/>
    <col min="69" max="16384" width="9.140625" style="559"/>
  </cols>
  <sheetData>
    <row r="1" spans="1:67" x14ac:dyDescent="0.55000000000000004">
      <c r="A1" s="4516">
        <f>'0. 개요'!AE2</f>
        <v>46054</v>
      </c>
      <c r="B1" s="4393">
        <f>'※ 영기팀 작성_가입자'!B1</f>
        <v>11.000999999999999</v>
      </c>
      <c r="AN1" s="2860"/>
      <c r="BC1" s="2860"/>
      <c r="BN1" s="2845" t="s">
        <v>452</v>
      </c>
    </row>
    <row r="2" spans="1:67" ht="15.45" thickBot="1" x14ac:dyDescent="0.6">
      <c r="D2" s="3692">
        <v>1.0009999999999999</v>
      </c>
      <c r="E2" s="3692">
        <v>2.0009999999999999</v>
      </c>
      <c r="F2" s="3692" t="s">
        <v>1040</v>
      </c>
      <c r="G2" s="3692">
        <v>4.0010000000000003</v>
      </c>
      <c r="H2" s="3692">
        <v>5.0010000000000003</v>
      </c>
      <c r="I2" s="3692">
        <v>6.0010000000000003</v>
      </c>
      <c r="J2" s="3692">
        <v>7.0010000000000003</v>
      </c>
      <c r="K2" s="3692">
        <v>8.0009999999999994</v>
      </c>
      <c r="L2" s="3692">
        <v>9.0009999999999994</v>
      </c>
      <c r="M2" s="3692">
        <v>10.000999999999999</v>
      </c>
      <c r="N2" s="3692">
        <v>11.000999999999999</v>
      </c>
      <c r="O2" s="3692">
        <v>12.000999999999999</v>
      </c>
      <c r="S2" s="3692">
        <v>1.0009999999999999</v>
      </c>
      <c r="T2" s="3692">
        <v>2.0009999999999999</v>
      </c>
      <c r="U2" s="3692" t="s">
        <v>1040</v>
      </c>
      <c r="V2" s="3692">
        <v>4.0010000000000003</v>
      </c>
      <c r="W2" s="3692">
        <v>5.0010000000000003</v>
      </c>
      <c r="X2" s="3692">
        <v>6.0010000000000003</v>
      </c>
      <c r="Y2" s="3692">
        <v>7.0010000000000003</v>
      </c>
      <c r="Z2" s="3692">
        <v>8.0009999999999994</v>
      </c>
      <c r="AA2" s="3692">
        <v>9.0009999999999994</v>
      </c>
      <c r="AB2" s="3692">
        <v>10.000999999999999</v>
      </c>
      <c r="AC2" s="3692">
        <v>11.000999999999999</v>
      </c>
      <c r="AD2" s="3692">
        <v>12.000999999999999</v>
      </c>
      <c r="AH2" s="4477">
        <v>45658</v>
      </c>
      <c r="AI2" s="4477">
        <v>45689</v>
      </c>
      <c r="AJ2" s="4477">
        <v>45717</v>
      </c>
      <c r="AK2" s="4477">
        <v>45748</v>
      </c>
      <c r="AL2" s="4477">
        <v>45778</v>
      </c>
      <c r="AM2" s="4477">
        <v>45809</v>
      </c>
      <c r="AN2" s="4477">
        <v>45839</v>
      </c>
      <c r="AO2" s="4477">
        <v>45870</v>
      </c>
      <c r="AP2" s="4477">
        <v>45901</v>
      </c>
      <c r="AQ2" s="4477">
        <v>45931</v>
      </c>
      <c r="AR2" s="4477">
        <v>45962</v>
      </c>
      <c r="AS2" s="4477">
        <v>45992</v>
      </c>
      <c r="AW2" s="4477">
        <v>46023</v>
      </c>
      <c r="AX2" s="4477">
        <v>46054</v>
      </c>
      <c r="AY2" s="4477">
        <v>46082</v>
      </c>
      <c r="AZ2" s="4477">
        <v>46113</v>
      </c>
      <c r="BA2" s="4477">
        <v>46143</v>
      </c>
      <c r="BB2" s="4477">
        <v>46174</v>
      </c>
      <c r="BC2" s="4477">
        <v>46204</v>
      </c>
      <c r="BD2" s="4477">
        <v>46235</v>
      </c>
      <c r="BE2" s="4477">
        <v>46266</v>
      </c>
      <c r="BF2" s="4477">
        <v>46296</v>
      </c>
      <c r="BG2" s="4477">
        <v>46327</v>
      </c>
      <c r="BH2" s="4477">
        <v>46357</v>
      </c>
    </row>
    <row r="3" spans="1:67" ht="16.75" thickBot="1" x14ac:dyDescent="0.6">
      <c r="B3" s="567"/>
      <c r="C3" s="567"/>
      <c r="D3" s="4534" t="s">
        <v>621</v>
      </c>
      <c r="E3" s="4534" t="s">
        <v>622</v>
      </c>
      <c r="F3" s="4534" t="s">
        <v>623</v>
      </c>
      <c r="G3" s="4534" t="s">
        <v>624</v>
      </c>
      <c r="H3" s="4534" t="s">
        <v>625</v>
      </c>
      <c r="I3" s="4534" t="s">
        <v>626</v>
      </c>
      <c r="J3" s="4534" t="s">
        <v>627</v>
      </c>
      <c r="K3" s="4534" t="s">
        <v>628</v>
      </c>
      <c r="L3" s="4534" t="s">
        <v>629</v>
      </c>
      <c r="M3" s="4534" t="s">
        <v>630</v>
      </c>
      <c r="N3" s="4534" t="s">
        <v>631</v>
      </c>
      <c r="O3" s="4534" t="s">
        <v>632</v>
      </c>
      <c r="P3" s="4534" t="s">
        <v>393</v>
      </c>
      <c r="Q3" s="4534" t="s">
        <v>610</v>
      </c>
      <c r="S3" s="4533" t="s">
        <v>2</v>
      </c>
      <c r="T3" s="4533" t="s">
        <v>608</v>
      </c>
      <c r="U3" s="4533" t="s">
        <v>503</v>
      </c>
      <c r="V3" s="4533" t="s">
        <v>341</v>
      </c>
      <c r="W3" s="4533" t="s">
        <v>342</v>
      </c>
      <c r="X3" s="4533" t="s">
        <v>343</v>
      </c>
      <c r="Y3" s="4533" t="s">
        <v>344</v>
      </c>
      <c r="Z3" s="4533" t="s">
        <v>345</v>
      </c>
      <c r="AA3" s="4533" t="s">
        <v>346</v>
      </c>
      <c r="AB3" s="4533" t="s">
        <v>347</v>
      </c>
      <c r="AC3" s="4533" t="s">
        <v>348</v>
      </c>
      <c r="AD3" s="4533" t="s">
        <v>349</v>
      </c>
      <c r="AE3" s="4534" t="s">
        <v>609</v>
      </c>
      <c r="AF3" s="4534" t="s">
        <v>610</v>
      </c>
      <c r="AH3" s="4535" t="s">
        <v>941</v>
      </c>
      <c r="AI3" s="4535" t="s">
        <v>943</v>
      </c>
      <c r="AJ3" s="4535" t="s">
        <v>1134</v>
      </c>
      <c r="AK3" s="4535" t="s">
        <v>1135</v>
      </c>
      <c r="AL3" s="4535" t="s">
        <v>1136</v>
      </c>
      <c r="AM3" s="4535" t="s">
        <v>1137</v>
      </c>
      <c r="AN3" s="4535" t="s">
        <v>1138</v>
      </c>
      <c r="AO3" s="4535" t="s">
        <v>1139</v>
      </c>
      <c r="AP3" s="4535" t="s">
        <v>1140</v>
      </c>
      <c r="AQ3" s="4535" t="s">
        <v>1141</v>
      </c>
      <c r="AR3" s="4535" t="s">
        <v>999</v>
      </c>
      <c r="AS3" s="4535" t="s">
        <v>1142</v>
      </c>
      <c r="AT3" s="4535" t="s">
        <v>956</v>
      </c>
      <c r="AU3" s="4536" t="s">
        <v>610</v>
      </c>
      <c r="AW3" s="4535" t="s">
        <v>1071</v>
      </c>
      <c r="AX3" s="4535" t="s">
        <v>1143</v>
      </c>
      <c r="AY3" s="4535" t="s">
        <v>1144</v>
      </c>
      <c r="AZ3" s="4535" t="s">
        <v>1145</v>
      </c>
      <c r="BA3" s="4535" t="s">
        <v>1146</v>
      </c>
      <c r="BB3" s="4535" t="s">
        <v>1147</v>
      </c>
      <c r="BC3" s="4535" t="s">
        <v>1148</v>
      </c>
      <c r="BD3" s="4535" t="s">
        <v>1149</v>
      </c>
      <c r="BE3" s="4535" t="s">
        <v>1150</v>
      </c>
      <c r="BF3" s="4535" t="s">
        <v>1151</v>
      </c>
      <c r="BG3" s="4535" t="s">
        <v>1152</v>
      </c>
      <c r="BH3" s="4535" t="s">
        <v>1153</v>
      </c>
      <c r="BI3" s="4535" t="s">
        <v>1154</v>
      </c>
      <c r="BJ3" s="4536" t="s">
        <v>610</v>
      </c>
      <c r="BL3" s="4481" t="s">
        <v>443</v>
      </c>
      <c r="BM3" s="4481" t="s">
        <v>445</v>
      </c>
      <c r="BN3" s="2856" t="s">
        <v>450</v>
      </c>
      <c r="BO3" s="4481" t="s">
        <v>130</v>
      </c>
    </row>
    <row r="4" spans="1:67" ht="15.45" thickTop="1" x14ac:dyDescent="0.55000000000000004">
      <c r="A4" s="7360" t="s">
        <v>104</v>
      </c>
      <c r="B4" s="7362" t="s">
        <v>265</v>
      </c>
      <c r="C4" s="2241" t="s">
        <v>292</v>
      </c>
      <c r="D4" s="2241"/>
      <c r="E4" s="2241"/>
      <c r="F4" s="2241"/>
      <c r="G4" s="2241"/>
      <c r="H4" s="2241"/>
      <c r="I4" s="2241"/>
      <c r="J4" s="2241"/>
      <c r="K4" s="2241"/>
      <c r="L4" s="2241"/>
      <c r="M4" s="2241"/>
      <c r="N4" s="2241"/>
      <c r="O4" s="2241"/>
      <c r="P4" s="2241"/>
      <c r="Q4" s="2241"/>
      <c r="S4" s="4550">
        <v>13958</v>
      </c>
      <c r="T4" s="4551">
        <v>64</v>
      </c>
      <c r="U4" s="4551">
        <v>2985</v>
      </c>
      <c r="V4" s="4551">
        <v>300</v>
      </c>
      <c r="W4" s="4551">
        <v>0</v>
      </c>
      <c r="X4" s="4552">
        <v>19605</v>
      </c>
      <c r="Y4" s="4551">
        <v>0</v>
      </c>
      <c r="Z4" s="4552">
        <v>0</v>
      </c>
      <c r="AA4" s="4552">
        <v>6556</v>
      </c>
      <c r="AB4" s="4552">
        <v>4700</v>
      </c>
      <c r="AC4" s="4552">
        <v>1012</v>
      </c>
      <c r="AD4" s="4552">
        <v>380</v>
      </c>
      <c r="AE4" s="4552">
        <f>SUM(S4:AD4)</f>
        <v>49560</v>
      </c>
      <c r="AF4" s="4552">
        <f>AVERAGE(S4:AD4)</f>
        <v>4130</v>
      </c>
      <c r="AH4" s="4553">
        <v>12251</v>
      </c>
      <c r="AI4" s="4554">
        <v>0</v>
      </c>
      <c r="AJ4" s="4554">
        <v>0</v>
      </c>
      <c r="AK4" s="4554">
        <v>0</v>
      </c>
      <c r="AL4" s="4554">
        <v>2961</v>
      </c>
      <c r="AM4" s="4554">
        <v>55</v>
      </c>
      <c r="AN4" s="4554">
        <v>12849</v>
      </c>
      <c r="AO4" s="4554">
        <v>0</v>
      </c>
      <c r="AP4" s="4554">
        <v>11549</v>
      </c>
      <c r="AQ4" s="4554">
        <v>0</v>
      </c>
      <c r="AR4" s="4554">
        <v>2051</v>
      </c>
      <c r="AS4" s="4554">
        <v>0</v>
      </c>
      <c r="AT4" s="4554">
        <f>SUM(AH4:AS4)</f>
        <v>41716</v>
      </c>
      <c r="AU4" s="4555">
        <f>AVERAGE(AH4:AS4)</f>
        <v>3476.3333333333335</v>
      </c>
      <c r="AW4" s="6225">
        <v>0</v>
      </c>
      <c r="AX4" s="4554">
        <v>8776</v>
      </c>
      <c r="AY4" s="4554"/>
      <c r="AZ4" s="4554"/>
      <c r="BA4" s="4554"/>
      <c r="BB4" s="4554"/>
      <c r="BC4" s="4554"/>
      <c r="BD4" s="4554"/>
      <c r="BE4" s="4554"/>
      <c r="BF4" s="4554"/>
      <c r="BG4" s="4554"/>
      <c r="BH4" s="4554"/>
      <c r="BI4" s="4554">
        <f>SUM(AW4:BH4)</f>
        <v>8776</v>
      </c>
      <c r="BJ4" s="4555">
        <f>AVERAGE(AW4:BH4)</f>
        <v>4388</v>
      </c>
      <c r="BL4" s="5620">
        <f>IFERROR(_xlfn.XLOOKUP($A$1,$2:$2,4:4)-_xlfn.XLOOKUP(EDATE($A$1,-12),$2:$2,4:4),"")</f>
        <v>8776</v>
      </c>
      <c r="BM4" s="5620">
        <f>BJ4-AU4</f>
        <v>911.66666666666652</v>
      </c>
      <c r="BN4" s="5941">
        <f>IFERROR(
  SUM(
    _xlfn.XLOOKUP(DATE(YEAR($A$1),1,1),$2:$2,4:4):
    _xlfn.XLOOKUP($A$1,$2:$2,4:4)
  )
 -SUM(
    _xlfn.XLOOKUP(DATE(YEAR($A$1)-1,1,1),$2:$2,4:4):
    _xlfn.XLOOKUP(EDATE($A$1,-12),$2:$2,4:4)
  ),"")</f>
        <v>-3475</v>
      </c>
      <c r="BO4" s="5620">
        <f>IFERROR(
  _xlfn.XLOOKUP($A$1,$2:$2,4:4)
 -_xlfn.XLOOKUP(EDATE($A$1,-1),$2:$2,4:4),"")</f>
        <v>8776</v>
      </c>
    </row>
    <row r="5" spans="1:67" x14ac:dyDescent="0.55000000000000004">
      <c r="A5" s="7361"/>
      <c r="B5" s="7363"/>
      <c r="C5" s="1506" t="s">
        <v>1097</v>
      </c>
      <c r="D5" s="1506"/>
      <c r="E5" s="1506"/>
      <c r="F5" s="1506"/>
      <c r="G5" s="1506"/>
      <c r="H5" s="1506"/>
      <c r="I5" s="1506"/>
      <c r="J5" s="1506"/>
      <c r="K5" s="1506"/>
      <c r="L5" s="1506"/>
      <c r="M5" s="1506"/>
      <c r="N5" s="1506"/>
      <c r="O5" s="1506"/>
      <c r="P5" s="1506"/>
      <c r="Q5" s="1506"/>
      <c r="S5" s="4556">
        <v>98.3978872</v>
      </c>
      <c r="T5" s="4557">
        <v>0.194688</v>
      </c>
      <c r="U5" s="4557">
        <v>11.212149</v>
      </c>
      <c r="V5" s="4557">
        <v>2.6371199999999999</v>
      </c>
      <c r="W5" s="4557">
        <v>0</v>
      </c>
      <c r="X5" s="4557">
        <v>135.70529269999997</v>
      </c>
      <c r="Y5" s="4557">
        <v>0</v>
      </c>
      <c r="Z5" s="4557">
        <v>0</v>
      </c>
      <c r="AA5" s="4558">
        <v>70.5</v>
      </c>
      <c r="AB5" s="4557">
        <v>35.799999999999997</v>
      </c>
      <c r="AC5" s="4557">
        <v>2.4</v>
      </c>
      <c r="AD5" s="4557">
        <v>0.6</v>
      </c>
      <c r="AE5" s="4557">
        <f t="shared" ref="AE5:AE28" si="0">SUM(S5:AD5)</f>
        <v>357.44713689999998</v>
      </c>
      <c r="AF5" s="4557">
        <f t="shared" ref="AF5:AF28" si="1">AVERAGE(S5:AD5)</f>
        <v>29.787261408333332</v>
      </c>
      <c r="AH5" s="4559">
        <v>142.9925992</v>
      </c>
      <c r="AI5" s="4554">
        <v>0</v>
      </c>
      <c r="AJ5" s="4554">
        <v>0</v>
      </c>
      <c r="AK5" s="4557">
        <v>0</v>
      </c>
      <c r="AL5" s="4557">
        <v>35.5</v>
      </c>
      <c r="AM5" s="4557">
        <v>0.1</v>
      </c>
      <c r="AN5" s="4557">
        <v>10</v>
      </c>
      <c r="AO5" s="4557">
        <v>0</v>
      </c>
      <c r="AP5" s="4558">
        <v>10.3</v>
      </c>
      <c r="AQ5" s="4557">
        <v>0</v>
      </c>
      <c r="AR5" s="4557">
        <v>6.4</v>
      </c>
      <c r="AS5" s="4557">
        <v>0</v>
      </c>
      <c r="AT5" s="4557">
        <f t="shared" ref="AT5:AT28" si="2">SUM(AH5:AS5)</f>
        <v>205.29259920000001</v>
      </c>
      <c r="AU5" s="4560">
        <f t="shared" ref="AU5:AU28" si="3">AVERAGE(AH5:AS5)</f>
        <v>17.1077166</v>
      </c>
      <c r="AW5" s="6225">
        <v>0</v>
      </c>
      <c r="AX5" s="4554">
        <v>117</v>
      </c>
      <c r="AY5" s="4554"/>
      <c r="AZ5" s="4557"/>
      <c r="BA5" s="4557"/>
      <c r="BB5" s="4557"/>
      <c r="BC5" s="4557"/>
      <c r="BD5" s="4557"/>
      <c r="BE5" s="4558"/>
      <c r="BF5" s="4557"/>
      <c r="BG5" s="4557"/>
      <c r="BH5" s="4557"/>
      <c r="BI5" s="4557">
        <f t="shared" ref="BI5:BI14" si="4">SUM(AW5:BH5)</f>
        <v>117</v>
      </c>
      <c r="BJ5" s="4560">
        <f t="shared" ref="BJ5:BJ19" si="5">AVERAGE(AW5:BH5)</f>
        <v>58.5</v>
      </c>
      <c r="BL5" s="5620">
        <f t="shared" ref="BL5:BL64" si="6">IFERROR(_xlfn.XLOOKUP($A$1,$2:$2,5:5)-_xlfn.XLOOKUP(EDATE($A$1,-12),$2:$2,5:5),"")</f>
        <v>117</v>
      </c>
      <c r="BM5" s="5620">
        <f t="shared" ref="BM5:BM64" si="7">BJ5-AU5</f>
        <v>41.392283399999997</v>
      </c>
      <c r="BN5" s="5620">
        <f>IFERROR(
  SUM(
    _xlfn.XLOOKUP(DATE(YEAR($A$1),1,1),$2:$2,5:5):
    _xlfn.XLOOKUP($A$1,$2:$2,5:5)
  )
 -SUM(
    _xlfn.XLOOKUP(DATE(YEAR($A$1)-1,1,1),$2:$2,5:5):
    _xlfn.XLOOKUP(EDATE($A$1,-12),$2:$2,5:5)
  ),"")</f>
        <v>-25.992599200000001</v>
      </c>
      <c r="BO5" s="5620">
        <f t="shared" ref="BO5:BO64" si="8">IFERROR(
  _xlfn.XLOOKUP($A$1,$2:$2,5:5)
 -_xlfn.XLOOKUP(EDATE($A$1,-1),$2:$2,5:5),"")</f>
        <v>117</v>
      </c>
    </row>
    <row r="6" spans="1:67" x14ac:dyDescent="0.55000000000000004">
      <c r="A6" s="7361"/>
      <c r="B6" s="7363"/>
      <c r="C6" s="1506" t="s">
        <v>293</v>
      </c>
      <c r="D6" s="1506"/>
      <c r="E6" s="1506"/>
      <c r="F6" s="1506"/>
      <c r="G6" s="1506"/>
      <c r="H6" s="1506"/>
      <c r="I6" s="1506"/>
      <c r="J6" s="1506"/>
      <c r="K6" s="1506"/>
      <c r="L6" s="1506"/>
      <c r="M6" s="1506"/>
      <c r="N6" s="1506"/>
      <c r="O6" s="1506"/>
      <c r="P6" s="1506"/>
      <c r="Q6" s="1506"/>
      <c r="S6" s="4562">
        <v>704956.92219515692</v>
      </c>
      <c r="T6" s="4554">
        <v>304200</v>
      </c>
      <c r="U6" s="4554">
        <v>375616.38190954772</v>
      </c>
      <c r="V6" s="4554">
        <v>879039.99999999988</v>
      </c>
      <c r="W6" s="4554">
        <v>0</v>
      </c>
      <c r="X6" s="4554">
        <v>692197.36138740112</v>
      </c>
      <c r="Y6" s="4554">
        <v>0</v>
      </c>
      <c r="Z6" s="4554">
        <v>0</v>
      </c>
      <c r="AA6" s="4563">
        <v>1076625</v>
      </c>
      <c r="AB6" s="4554">
        <v>762418</v>
      </c>
      <c r="AC6" s="4554">
        <v>245716</v>
      </c>
      <c r="AD6" s="4554">
        <v>173478</v>
      </c>
      <c r="AE6" s="4554">
        <f t="shared" si="0"/>
        <v>5214247.6654921053</v>
      </c>
      <c r="AF6" s="4554">
        <f t="shared" si="1"/>
        <v>434520.63879100879</v>
      </c>
      <c r="AH6" s="4553">
        <v>1167191.2431638234</v>
      </c>
      <c r="AI6" s="4554">
        <v>0</v>
      </c>
      <c r="AJ6" s="4554">
        <v>0</v>
      </c>
      <c r="AK6" s="4554">
        <v>0</v>
      </c>
      <c r="AL6" s="4554">
        <v>1199369.1827085444</v>
      </c>
      <c r="AM6" s="4554">
        <v>203687</v>
      </c>
      <c r="AN6" s="4554">
        <v>788111</v>
      </c>
      <c r="AO6" s="4554">
        <v>0</v>
      </c>
      <c r="AP6" s="4563">
        <v>1030114</v>
      </c>
      <c r="AQ6" s="4554">
        <v>0</v>
      </c>
      <c r="AR6" s="4554">
        <v>313837</v>
      </c>
      <c r="AS6" s="4554">
        <v>0</v>
      </c>
      <c r="AT6" s="4554">
        <f t="shared" si="2"/>
        <v>4702309.4258723678</v>
      </c>
      <c r="AU6" s="4555">
        <f t="shared" si="3"/>
        <v>391859.11882269732</v>
      </c>
      <c r="AW6" s="6225">
        <v>0</v>
      </c>
      <c r="AX6" s="4554">
        <v>1338561.467183227</v>
      </c>
      <c r="AY6" s="4554"/>
      <c r="AZ6" s="4554"/>
      <c r="BA6" s="4554"/>
      <c r="BB6" s="4554"/>
      <c r="BC6" s="4554"/>
      <c r="BD6" s="4554"/>
      <c r="BE6" s="4563"/>
      <c r="BF6" s="4554"/>
      <c r="BG6" s="4554"/>
      <c r="BH6" s="4554"/>
      <c r="BI6" s="4554">
        <f t="shared" si="4"/>
        <v>1338561.467183227</v>
      </c>
      <c r="BJ6" s="4555">
        <f t="shared" si="5"/>
        <v>669280.73359161348</v>
      </c>
      <c r="BL6" s="5620">
        <f t="shared" si="6"/>
        <v>1338561.467183227</v>
      </c>
      <c r="BM6" s="5620">
        <f t="shared" si="7"/>
        <v>277421.61476891616</v>
      </c>
      <c r="BN6" s="5620">
        <f>IFERROR(
  SUM(
    _xlfn.XLOOKUP(DATE(YEAR($A$1),1,1),$2:$2,6:6):
    _xlfn.XLOOKUP($A$1,$2:$2,6:6)
  )
 -SUM(
    _xlfn.XLOOKUP(DATE(YEAR($A$1)-1,1,1),$2:$2,6:6):
    _xlfn.XLOOKUP(EDATE($A$1,-12),$2:$2,6:6)
  ),"")</f>
        <v>171370.22401940357</v>
      </c>
      <c r="BO6" s="5620">
        <f t="shared" si="8"/>
        <v>1338561.467183227</v>
      </c>
    </row>
    <row r="7" spans="1:67" x14ac:dyDescent="0.55000000000000004">
      <c r="A7" s="7361"/>
      <c r="B7" s="7364" t="s">
        <v>291</v>
      </c>
      <c r="C7" s="2262" t="s">
        <v>292</v>
      </c>
      <c r="D7" s="2262"/>
      <c r="E7" s="2262"/>
      <c r="F7" s="2262"/>
      <c r="G7" s="2262"/>
      <c r="H7" s="2262"/>
      <c r="I7" s="2262"/>
      <c r="J7" s="2262"/>
      <c r="K7" s="2262"/>
      <c r="L7" s="2262"/>
      <c r="M7" s="2262"/>
      <c r="N7" s="2262"/>
      <c r="O7" s="2262"/>
      <c r="P7" s="2262"/>
      <c r="Q7" s="2262"/>
      <c r="S7" s="4565">
        <v>3573</v>
      </c>
      <c r="T7" s="4566">
        <v>1620</v>
      </c>
      <c r="U7" s="4566">
        <v>2059</v>
      </c>
      <c r="V7" s="4566">
        <v>2026</v>
      </c>
      <c r="W7" s="4566">
        <v>544</v>
      </c>
      <c r="X7" s="4566">
        <v>231</v>
      </c>
      <c r="Y7" s="4566">
        <v>200</v>
      </c>
      <c r="Z7" s="4566">
        <v>5322</v>
      </c>
      <c r="AA7" s="4566">
        <v>2005</v>
      </c>
      <c r="AB7" s="4566">
        <v>3970</v>
      </c>
      <c r="AC7" s="4566">
        <v>2621</v>
      </c>
      <c r="AD7" s="4566">
        <v>1478</v>
      </c>
      <c r="AE7" s="4566">
        <f t="shared" si="0"/>
        <v>25649</v>
      </c>
      <c r="AF7" s="4566">
        <f t="shared" si="1"/>
        <v>2137.4166666666665</v>
      </c>
      <c r="AH7" s="4567">
        <v>3029</v>
      </c>
      <c r="AI7" s="4566">
        <v>5439</v>
      </c>
      <c r="AJ7" s="4566">
        <v>5783</v>
      </c>
      <c r="AK7" s="4566">
        <v>2112</v>
      </c>
      <c r="AL7" s="4566">
        <v>4225</v>
      </c>
      <c r="AM7" s="4566">
        <v>3329</v>
      </c>
      <c r="AN7" s="4566">
        <v>4569</v>
      </c>
      <c r="AO7" s="4566">
        <v>14973</v>
      </c>
      <c r="AP7" s="4566">
        <v>4169</v>
      </c>
      <c r="AQ7" s="4566">
        <v>3440</v>
      </c>
      <c r="AR7" s="4566">
        <v>4254</v>
      </c>
      <c r="AS7" s="4566">
        <v>1706</v>
      </c>
      <c r="AT7" s="4566">
        <f t="shared" si="2"/>
        <v>57028</v>
      </c>
      <c r="AU7" s="4568">
        <f t="shared" si="3"/>
        <v>4752.333333333333</v>
      </c>
      <c r="AW7" s="6226">
        <v>1107</v>
      </c>
      <c r="AX7" s="4566">
        <v>2166</v>
      </c>
      <c r="AY7" s="4566"/>
      <c r="AZ7" s="4566"/>
      <c r="BA7" s="4566"/>
      <c r="BB7" s="4566"/>
      <c r="BC7" s="4566"/>
      <c r="BD7" s="4566"/>
      <c r="BE7" s="4566"/>
      <c r="BF7" s="4566"/>
      <c r="BG7" s="4566"/>
      <c r="BH7" s="4566"/>
      <c r="BI7" s="4566">
        <f t="shared" si="4"/>
        <v>3273</v>
      </c>
      <c r="BJ7" s="4568">
        <f t="shared" si="5"/>
        <v>1636.5</v>
      </c>
      <c r="BL7" s="5620">
        <f t="shared" si="6"/>
        <v>-3273</v>
      </c>
      <c r="BM7" s="5620">
        <f t="shared" si="7"/>
        <v>-3115.833333333333</v>
      </c>
      <c r="BN7" s="5620">
        <f>IFERROR(
  SUM(
    _xlfn.XLOOKUP(DATE(YEAR($A$1),1,1),$2:$2,7:7):
    _xlfn.XLOOKUP($A$1,$2:$2,7:7)
  )
 -SUM(
    _xlfn.XLOOKUP(DATE(YEAR($A$1)-1,1,1),$2:$2,7:7):
    _xlfn.XLOOKUP(EDATE($A$1,-12),$2:$2,7:7)
  ),"")</f>
        <v>-5195</v>
      </c>
      <c r="BO7" s="5620">
        <f t="shared" si="8"/>
        <v>1059</v>
      </c>
    </row>
    <row r="8" spans="1:67" x14ac:dyDescent="0.55000000000000004">
      <c r="A8" s="7361"/>
      <c r="B8" s="7364"/>
      <c r="C8" s="2262" t="s">
        <v>1098</v>
      </c>
      <c r="D8" s="2262"/>
      <c r="E8" s="2262"/>
      <c r="F8" s="2262"/>
      <c r="G8" s="2262"/>
      <c r="H8" s="2262"/>
      <c r="I8" s="2262"/>
      <c r="J8" s="2262"/>
      <c r="K8" s="2262"/>
      <c r="L8" s="2262"/>
      <c r="M8" s="2262"/>
      <c r="N8" s="2262"/>
      <c r="O8" s="2262"/>
      <c r="P8" s="2262"/>
      <c r="Q8" s="2262"/>
      <c r="S8" s="4569">
        <v>12.523212285454544</v>
      </c>
      <c r="T8" s="4570">
        <v>16.125957572727273</v>
      </c>
      <c r="U8" s="4570">
        <v>20.225968825747302</v>
      </c>
      <c r="V8" s="4570">
        <v>26.532627268181816</v>
      </c>
      <c r="W8" s="4570">
        <v>4.4014404300000001</v>
      </c>
      <c r="X8" s="4570">
        <v>2.0114684500000002</v>
      </c>
      <c r="Y8" s="4570">
        <v>1.9709799999999997</v>
      </c>
      <c r="Z8" s="4570">
        <f>4423553054/100000000</f>
        <v>44.235530539999999</v>
      </c>
      <c r="AA8" s="4570">
        <v>9.6999999999999993</v>
      </c>
      <c r="AB8" s="4570">
        <v>21.2</v>
      </c>
      <c r="AC8" s="4570">
        <v>15</v>
      </c>
      <c r="AD8" s="4570">
        <v>7.1</v>
      </c>
      <c r="AE8" s="4570">
        <f t="shared" si="0"/>
        <v>181.02718537211089</v>
      </c>
      <c r="AF8" s="4570">
        <f t="shared" si="1"/>
        <v>15.08559878100924</v>
      </c>
      <c r="AH8" s="4571">
        <v>8.3175418200000006</v>
      </c>
      <c r="AI8" s="4570">
        <v>38</v>
      </c>
      <c r="AJ8" s="4570">
        <v>36</v>
      </c>
      <c r="AK8" s="4570">
        <v>18.8</v>
      </c>
      <c r="AL8" s="4570">
        <v>37.051370730000002</v>
      </c>
      <c r="AM8" s="4570">
        <v>40.5</v>
      </c>
      <c r="AN8" s="4570">
        <v>42.3</v>
      </c>
      <c r="AO8" s="4570">
        <v>13.6</v>
      </c>
      <c r="AP8" s="4570">
        <v>42.3</v>
      </c>
      <c r="AQ8" s="4570">
        <v>34.299999999999997</v>
      </c>
      <c r="AR8" s="4570">
        <v>41.7</v>
      </c>
      <c r="AS8" s="4570">
        <v>16.5</v>
      </c>
      <c r="AT8" s="4570">
        <f t="shared" si="2"/>
        <v>369.36891255</v>
      </c>
      <c r="AU8" s="4572">
        <f t="shared" si="3"/>
        <v>30.7807427125</v>
      </c>
      <c r="AW8" s="6226">
        <v>8.1</v>
      </c>
      <c r="AX8" s="4570">
        <v>22.2</v>
      </c>
      <c r="AY8" s="4570"/>
      <c r="AZ8" s="4570"/>
      <c r="BA8" s="4570"/>
      <c r="BB8" s="4570"/>
      <c r="BC8" s="4570"/>
      <c r="BD8" s="4570"/>
      <c r="BE8" s="4570"/>
      <c r="BF8" s="4570"/>
      <c r="BG8" s="4570"/>
      <c r="BH8" s="4570"/>
      <c r="BI8" s="4570">
        <f t="shared" si="4"/>
        <v>30.299999999999997</v>
      </c>
      <c r="BJ8" s="4572">
        <f t="shared" si="5"/>
        <v>15.149999999999999</v>
      </c>
      <c r="BL8" s="5620">
        <f t="shared" si="6"/>
        <v>-15.8</v>
      </c>
      <c r="BM8" s="5620">
        <f t="shared" si="7"/>
        <v>-15.630742712500002</v>
      </c>
      <c r="BN8" s="5620">
        <f>IFERROR(
  SUM(
    _xlfn.XLOOKUP(DATE(YEAR($A$1),1,1),$2:$2,8:8):
    _xlfn.XLOOKUP($A$1,$2:$2,8:8)
  )
 -SUM(
    _xlfn.XLOOKUP(DATE(YEAR($A$1)-1,1,1),$2:$2,8:8):
    _xlfn.XLOOKUP(EDATE($A$1,-12),$2:$2,8:8)
  ),"")</f>
        <v>-16.017541820000005</v>
      </c>
      <c r="BO8" s="5620">
        <f t="shared" si="8"/>
        <v>14.1</v>
      </c>
    </row>
    <row r="9" spans="1:67" x14ac:dyDescent="0.55000000000000004">
      <c r="A9" s="7361"/>
      <c r="B9" s="7364"/>
      <c r="C9" s="2262" t="s">
        <v>293</v>
      </c>
      <c r="D9" s="2262"/>
      <c r="E9" s="2262"/>
      <c r="F9" s="2262"/>
      <c r="G9" s="2262"/>
      <c r="H9" s="2262"/>
      <c r="I9" s="2262"/>
      <c r="J9" s="2262"/>
      <c r="K9" s="2262"/>
      <c r="L9" s="2262"/>
      <c r="M9" s="2262"/>
      <c r="N9" s="2262"/>
      <c r="O9" s="2262"/>
      <c r="P9" s="2262"/>
      <c r="Q9" s="2262"/>
      <c r="S9" s="4565">
        <v>350495.72587334301</v>
      </c>
      <c r="T9" s="4566">
        <v>995429.47979797982</v>
      </c>
      <c r="U9" s="4566">
        <v>982320.00125047599</v>
      </c>
      <c r="V9" s="4566">
        <v>1309606.4791797539</v>
      </c>
      <c r="W9" s="4566">
        <v>809088.3143382353</v>
      </c>
      <c r="X9" s="4566">
        <v>870765.56316410855</v>
      </c>
      <c r="Y9" s="4566">
        <v>985489.99999999988</v>
      </c>
      <c r="Z9" s="4566">
        <v>831182</v>
      </c>
      <c r="AA9" s="4566">
        <v>488090</v>
      </c>
      <c r="AB9" s="4566">
        <v>86989</v>
      </c>
      <c r="AC9" s="4566">
        <v>576919</v>
      </c>
      <c r="AD9" s="4566">
        <v>483110</v>
      </c>
      <c r="AE9" s="4566">
        <f t="shared" si="0"/>
        <v>8769485.5636038966</v>
      </c>
      <c r="AF9" s="4566">
        <f t="shared" si="1"/>
        <v>730790.46363365802</v>
      </c>
      <c r="AH9" s="4567">
        <v>274596.95675140311</v>
      </c>
      <c r="AI9" s="4566">
        <v>698678.07188821479</v>
      </c>
      <c r="AJ9" s="4566">
        <v>636855.03233615775</v>
      </c>
      <c r="AK9" s="4566">
        <v>891000</v>
      </c>
      <c r="AL9" s="4566">
        <v>876956</v>
      </c>
      <c r="AM9" s="4566">
        <v>1216582.2499249023</v>
      </c>
      <c r="AN9" s="4566">
        <v>927519</v>
      </c>
      <c r="AO9" s="4566">
        <v>913439</v>
      </c>
      <c r="AP9" s="4566">
        <v>1015619</v>
      </c>
      <c r="AQ9" s="4566">
        <v>997532</v>
      </c>
      <c r="AR9" s="4566">
        <v>981131</v>
      </c>
      <c r="AS9" s="4566">
        <v>964315</v>
      </c>
      <c r="AT9" s="4566">
        <f t="shared" si="2"/>
        <v>10394223.310900677</v>
      </c>
      <c r="AU9" s="4568">
        <f t="shared" si="3"/>
        <v>866185.27590838971</v>
      </c>
      <c r="AW9" s="6226" t="s">
        <v>1201</v>
      </c>
      <c r="AX9" s="4566">
        <v>1026543</v>
      </c>
      <c r="AY9" s="4566"/>
      <c r="AZ9" s="4566"/>
      <c r="BA9" s="4566"/>
      <c r="BB9" s="4566"/>
      <c r="BC9" s="4566"/>
      <c r="BD9" s="4566"/>
      <c r="BE9" s="4566"/>
      <c r="BF9" s="4566"/>
      <c r="BG9" s="4566"/>
      <c r="BH9" s="4566"/>
      <c r="BI9" s="4566">
        <f t="shared" si="4"/>
        <v>1026543</v>
      </c>
      <c r="BJ9" s="4568">
        <f t="shared" si="5"/>
        <v>1026543</v>
      </c>
      <c r="BL9" s="5620">
        <f t="shared" si="6"/>
        <v>327864.92811178521</v>
      </c>
      <c r="BM9" s="5620">
        <f t="shared" si="7"/>
        <v>160357.72409161029</v>
      </c>
      <c r="BN9" s="5620">
        <f>IFERROR(
  SUM(
    _xlfn.XLOOKUP(DATE(YEAR($A$1),1,1),$2:$2,9:9):
    _xlfn.XLOOKUP($A$1,$2:$2,9:9)
  )
 -SUM(
    _xlfn.XLOOKUP(DATE(YEAR($A$1)-1,1,1),$2:$2,9:9):
    _xlfn.XLOOKUP(EDATE($A$1,-12),$2:$2,9:9)
  ),"")</f>
        <v>53267.971360382158</v>
      </c>
      <c r="BO9" s="5620">
        <f t="shared" si="8"/>
        <v>296330</v>
      </c>
    </row>
    <row r="10" spans="1:67" x14ac:dyDescent="0.55000000000000004">
      <c r="A10" s="7361"/>
      <c r="B10" s="7365"/>
      <c r="C10" s="2275" t="s">
        <v>1099</v>
      </c>
      <c r="D10" s="2275"/>
      <c r="E10" s="2275"/>
      <c r="F10" s="2275"/>
      <c r="G10" s="2275"/>
      <c r="H10" s="2275"/>
      <c r="I10" s="2275"/>
      <c r="J10" s="2275"/>
      <c r="K10" s="2275"/>
      <c r="L10" s="2275"/>
      <c r="M10" s="2275"/>
      <c r="N10" s="2275"/>
      <c r="O10" s="2275"/>
      <c r="P10" s="2275"/>
      <c r="Q10" s="2275"/>
      <c r="S10" s="4573">
        <v>0.48144766545454515</v>
      </c>
      <c r="T10" s="4574">
        <v>0.99739127272727268</v>
      </c>
      <c r="U10" s="4574">
        <v>2.6855136102670771</v>
      </c>
      <c r="V10" s="4574">
        <v>6.4702812681818171</v>
      </c>
      <c r="W10" s="4574">
        <v>1.61096661</v>
      </c>
      <c r="X10" s="4574">
        <v>0.27683669090909141</v>
      </c>
      <c r="Y10" s="4574">
        <v>6.3579999999999998E-2</v>
      </c>
      <c r="Z10" s="4574">
        <v>6.5029665400000001</v>
      </c>
      <c r="AA10" s="4574">
        <v>1.6</v>
      </c>
      <c r="AB10" s="4574">
        <v>3.4</v>
      </c>
      <c r="AC10" s="4574">
        <v>1.3</v>
      </c>
      <c r="AD10" s="4574">
        <v>-1</v>
      </c>
      <c r="AE10" s="4574">
        <f t="shared" si="0"/>
        <v>24.388983657539804</v>
      </c>
      <c r="AF10" s="4574">
        <f t="shared" si="1"/>
        <v>2.0324153047949838</v>
      </c>
      <c r="AH10" s="4575">
        <v>0.3</v>
      </c>
      <c r="AI10" s="4574">
        <v>42</v>
      </c>
      <c r="AJ10" s="4574">
        <v>1.3</v>
      </c>
      <c r="AK10" s="4574">
        <v>1</v>
      </c>
      <c r="AL10" s="4574">
        <v>4.4000000000000004</v>
      </c>
      <c r="AM10" s="4574">
        <v>8.1999999999999993</v>
      </c>
      <c r="AN10" s="4574">
        <v>2.7</v>
      </c>
      <c r="AO10" s="4574">
        <v>6</v>
      </c>
      <c r="AP10" s="4574">
        <v>5.9</v>
      </c>
      <c r="AQ10" s="4574">
        <v>2</v>
      </c>
      <c r="AR10" s="4574">
        <v>2.8</v>
      </c>
      <c r="AS10" s="4574">
        <v>1.2</v>
      </c>
      <c r="AT10" s="4574">
        <f t="shared" si="2"/>
        <v>77.8</v>
      </c>
      <c r="AU10" s="4576">
        <f t="shared" si="3"/>
        <v>6.4833333333333334</v>
      </c>
      <c r="AW10" s="6227">
        <v>-2.1</v>
      </c>
      <c r="AX10" s="4574">
        <v>6.4</v>
      </c>
      <c r="AY10" s="4574"/>
      <c r="AZ10" s="4574"/>
      <c r="BA10" s="4574"/>
      <c r="BB10" s="4574"/>
      <c r="BC10" s="4574"/>
      <c r="BD10" s="4574"/>
      <c r="BE10" s="4574"/>
      <c r="BF10" s="4574"/>
      <c r="BG10" s="4574"/>
      <c r="BH10" s="4574"/>
      <c r="BI10" s="4574">
        <f t="shared" si="4"/>
        <v>4.3000000000000007</v>
      </c>
      <c r="BJ10" s="4576">
        <f t="shared" si="5"/>
        <v>2.1500000000000004</v>
      </c>
      <c r="BL10" s="5620">
        <f t="shared" si="6"/>
        <v>-35.6</v>
      </c>
      <c r="BM10" s="5620">
        <f t="shared" si="7"/>
        <v>-4.333333333333333</v>
      </c>
      <c r="BN10" s="5620">
        <f>IFERROR(
  SUM(
    _xlfn.XLOOKUP(DATE(YEAR($A$1),1,1),$2:$2,10:10):
    _xlfn.XLOOKUP($A$1,$2:$2,10:10)
  )
 -SUM(
    _xlfn.XLOOKUP(DATE(YEAR($A$1)-1,1,1),$2:$2,10:10):
    _xlfn.XLOOKUP(EDATE($A$1,-12),$2:$2,10:10)
  ),"")</f>
        <v>-38</v>
      </c>
      <c r="BO10" s="5620">
        <f t="shared" si="8"/>
        <v>8.5</v>
      </c>
    </row>
    <row r="11" spans="1:67" x14ac:dyDescent="0.55000000000000004">
      <c r="A11" s="7361" t="s">
        <v>294</v>
      </c>
      <c r="B11" s="7364" t="s">
        <v>265</v>
      </c>
      <c r="C11" s="2262" t="s">
        <v>292</v>
      </c>
      <c r="D11" s="2262"/>
      <c r="E11" s="2262"/>
      <c r="F11" s="2262"/>
      <c r="G11" s="2262"/>
      <c r="H11" s="2262"/>
      <c r="I11" s="2262"/>
      <c r="J11" s="2262"/>
      <c r="K11" s="2262"/>
      <c r="L11" s="2262"/>
      <c r="M11" s="2262"/>
      <c r="N11" s="2262"/>
      <c r="O11" s="2262"/>
      <c r="P11" s="2262"/>
      <c r="Q11" s="2262"/>
      <c r="S11" s="4565">
        <v>4959</v>
      </c>
      <c r="T11" s="4566">
        <v>9335</v>
      </c>
      <c r="U11" s="4566">
        <v>2640</v>
      </c>
      <c r="V11" s="4566">
        <v>2705</v>
      </c>
      <c r="W11" s="4566">
        <v>2320</v>
      </c>
      <c r="X11" s="4566">
        <v>2603</v>
      </c>
      <c r="Y11" s="4566">
        <v>8418</v>
      </c>
      <c r="Z11" s="4566">
        <v>5457</v>
      </c>
      <c r="AA11" s="4566">
        <v>2717</v>
      </c>
      <c r="AB11" s="4566">
        <v>5566</v>
      </c>
      <c r="AC11" s="4566">
        <v>1946</v>
      </c>
      <c r="AD11" s="4566">
        <v>1467</v>
      </c>
      <c r="AE11" s="4566">
        <f t="shared" si="0"/>
        <v>50133</v>
      </c>
      <c r="AF11" s="4566">
        <f t="shared" si="1"/>
        <v>4177.75</v>
      </c>
      <c r="AH11" s="4571">
        <v>1036</v>
      </c>
      <c r="AI11" s="4566">
        <v>7664</v>
      </c>
      <c r="AJ11" s="4566">
        <v>4086</v>
      </c>
      <c r="AK11" s="4566">
        <v>3950</v>
      </c>
      <c r="AL11" s="4566">
        <v>4640</v>
      </c>
      <c r="AM11" s="4566">
        <v>5274</v>
      </c>
      <c r="AN11" s="4566">
        <v>6996</v>
      </c>
      <c r="AO11" s="4566">
        <v>4953</v>
      </c>
      <c r="AP11" s="4566">
        <v>4596</v>
      </c>
      <c r="AQ11" s="4566">
        <v>4073</v>
      </c>
      <c r="AR11" s="4566">
        <v>2397</v>
      </c>
      <c r="AS11" s="4566">
        <v>1959</v>
      </c>
      <c r="AT11" s="4566">
        <f t="shared" si="2"/>
        <v>51624</v>
      </c>
      <c r="AU11" s="4568">
        <f t="shared" si="3"/>
        <v>4302</v>
      </c>
      <c r="AW11" s="6226">
        <v>3570</v>
      </c>
      <c r="AX11" s="4566">
        <v>2342</v>
      </c>
      <c r="AY11" s="4566"/>
      <c r="AZ11" s="4566"/>
      <c r="BA11" s="4566"/>
      <c r="BB11" s="4566"/>
      <c r="BC11" s="4566"/>
      <c r="BD11" s="4566"/>
      <c r="BE11" s="4566"/>
      <c r="BF11" s="4566"/>
      <c r="BG11" s="4566"/>
      <c r="BH11" s="4566"/>
      <c r="BI11" s="4566">
        <f t="shared" si="4"/>
        <v>5912</v>
      </c>
      <c r="BJ11" s="4568">
        <f t="shared" si="5"/>
        <v>2956</v>
      </c>
      <c r="BL11" s="5620">
        <f t="shared" si="6"/>
        <v>-5322</v>
      </c>
      <c r="BM11" s="5620">
        <f t="shared" si="7"/>
        <v>-1346</v>
      </c>
      <c r="BN11" s="5620">
        <f>IFERROR(
  SUM(
    _xlfn.XLOOKUP(DATE(YEAR($A$1),1,1),$2:$2,11:11):
    _xlfn.XLOOKUP($A$1,$2:$2,11:11)
  )
 -SUM(
    _xlfn.XLOOKUP(DATE(YEAR($A$1)-1,1,1),$2:$2,11:11):
    _xlfn.XLOOKUP(EDATE($A$1,-12),$2:$2,11:11)
  ),"")</f>
        <v>-2788</v>
      </c>
      <c r="BO11" s="5620">
        <f t="shared" si="8"/>
        <v>-1228</v>
      </c>
    </row>
    <row r="12" spans="1:67" x14ac:dyDescent="0.55000000000000004">
      <c r="A12" s="7361"/>
      <c r="B12" s="7364"/>
      <c r="C12" s="2262" t="s">
        <v>1097</v>
      </c>
      <c r="D12" s="2262"/>
      <c r="E12" s="2262"/>
      <c r="F12" s="2262"/>
      <c r="G12" s="2262"/>
      <c r="H12" s="2262"/>
      <c r="I12" s="2262"/>
      <c r="J12" s="2262"/>
      <c r="K12" s="2262"/>
      <c r="L12" s="2262"/>
      <c r="M12" s="2262"/>
      <c r="N12" s="2262"/>
      <c r="O12" s="2262"/>
      <c r="P12" s="2262"/>
      <c r="Q12" s="2262"/>
      <c r="S12" s="4569">
        <v>16.874919999999999</v>
      </c>
      <c r="T12" s="4570">
        <v>36.227789999999999</v>
      </c>
      <c r="U12" s="4570">
        <v>4.0498099999999999</v>
      </c>
      <c r="V12" s="4570">
        <v>2.2686649999999999</v>
      </c>
      <c r="W12" s="4570">
        <v>1.780945</v>
      </c>
      <c r="X12" s="4570">
        <v>2.3234949999999999</v>
      </c>
      <c r="Y12" s="4570">
        <v>27.781201360000001</v>
      </c>
      <c r="Z12" s="4570">
        <v>15.94563409</v>
      </c>
      <c r="AA12" s="4570">
        <v>9.8000000000000007</v>
      </c>
      <c r="AB12" s="4570">
        <v>20.5</v>
      </c>
      <c r="AC12" s="4570">
        <v>5.3</v>
      </c>
      <c r="AD12" s="4570">
        <v>2.5</v>
      </c>
      <c r="AE12" s="4570">
        <f t="shared" si="0"/>
        <v>145.35246045000002</v>
      </c>
      <c r="AF12" s="4570">
        <f t="shared" si="1"/>
        <v>12.112705037500001</v>
      </c>
      <c r="AH12" s="4571">
        <v>1.8</v>
      </c>
      <c r="AI12" s="4570">
        <v>13</v>
      </c>
      <c r="AJ12" s="4570">
        <v>6</v>
      </c>
      <c r="AK12" s="4570">
        <v>4.5999999999999996</v>
      </c>
      <c r="AL12" s="4570">
        <v>5.6</v>
      </c>
      <c r="AM12" s="4570">
        <v>6.8</v>
      </c>
      <c r="AN12" s="4570">
        <v>16.7</v>
      </c>
      <c r="AO12" s="4570">
        <v>8.3000000000000007</v>
      </c>
      <c r="AP12" s="4566">
        <v>11.6</v>
      </c>
      <c r="AQ12" s="4570">
        <v>9.5</v>
      </c>
      <c r="AR12" s="4570">
        <v>3.8</v>
      </c>
      <c r="AS12" s="4570">
        <v>3.1</v>
      </c>
      <c r="AT12" s="4570">
        <f t="shared" si="2"/>
        <v>90.799999999999983</v>
      </c>
      <c r="AU12" s="4572">
        <f t="shared" si="3"/>
        <v>7.5666666666666655</v>
      </c>
      <c r="AW12" s="6226">
        <v>7.7</v>
      </c>
      <c r="AX12" s="4570">
        <v>5.2</v>
      </c>
      <c r="AY12" s="4570"/>
      <c r="AZ12" s="4570"/>
      <c r="BA12" s="4570"/>
      <c r="BB12" s="4570"/>
      <c r="BC12" s="4570"/>
      <c r="BD12" s="4570"/>
      <c r="BE12" s="4566"/>
      <c r="BF12" s="4570"/>
      <c r="BG12" s="4570"/>
      <c r="BH12" s="4570"/>
      <c r="BI12" s="4570">
        <f t="shared" si="4"/>
        <v>12.9</v>
      </c>
      <c r="BJ12" s="4572">
        <f t="shared" si="5"/>
        <v>6.45</v>
      </c>
      <c r="BL12" s="5620">
        <f t="shared" si="6"/>
        <v>-7.8</v>
      </c>
      <c r="BM12" s="5620">
        <f t="shared" si="7"/>
        <v>-1.1166666666666654</v>
      </c>
      <c r="BN12" s="5620">
        <f>IFERROR(
  SUM(
    _xlfn.XLOOKUP(DATE(YEAR($A$1),1,1),$2:$2,12:12):
    _xlfn.XLOOKUP($A$1,$2:$2,12:12)
  )
 -SUM(
    _xlfn.XLOOKUP(DATE(YEAR($A$1)-1,1,1),$2:$2,12:12):
    _xlfn.XLOOKUP(EDATE($A$1,-12),$2:$2,12:12)
  ),"")</f>
        <v>-1.9000000000000004</v>
      </c>
      <c r="BO12" s="5620">
        <f t="shared" si="8"/>
        <v>-2.5</v>
      </c>
    </row>
    <row r="13" spans="1:67" x14ac:dyDescent="0.55000000000000004">
      <c r="A13" s="7361"/>
      <c r="B13" s="7367"/>
      <c r="C13" s="2262" t="s">
        <v>293</v>
      </c>
      <c r="D13" s="2262"/>
      <c r="E13" s="2262"/>
      <c r="F13" s="2262"/>
      <c r="G13" s="2262"/>
      <c r="H13" s="2262"/>
      <c r="I13" s="2262"/>
      <c r="J13" s="2262"/>
      <c r="K13" s="2262"/>
      <c r="L13" s="2262"/>
      <c r="M13" s="2262"/>
      <c r="N13" s="2262"/>
      <c r="O13" s="2262"/>
      <c r="P13" s="2262"/>
      <c r="Q13" s="2262"/>
      <c r="S13" s="4565">
        <v>340288.76789675339</v>
      </c>
      <c r="T13" s="4566">
        <v>388085.59185859666</v>
      </c>
      <c r="U13" s="4566">
        <v>153401.89393939395</v>
      </c>
      <c r="V13" s="4566">
        <v>83869.316081330864</v>
      </c>
      <c r="W13" s="4566">
        <v>76764.870689655174</v>
      </c>
      <c r="X13" s="4566">
        <v>89262.197464464087</v>
      </c>
      <c r="Y13" s="4566">
        <v>330021.39890710398</v>
      </c>
      <c r="Z13" s="4566">
        <v>291671</v>
      </c>
      <c r="AA13" s="4566">
        <v>362380</v>
      </c>
      <c r="AB13" s="4566">
        <v>369556</v>
      </c>
      <c r="AC13" s="4566">
        <v>271972</v>
      </c>
      <c r="AD13" s="4566">
        <v>170416</v>
      </c>
      <c r="AE13" s="4566">
        <f t="shared" si="0"/>
        <v>2927689.0368372984</v>
      </c>
      <c r="AF13" s="4566">
        <f t="shared" si="1"/>
        <v>243974.0864031082</v>
      </c>
      <c r="AH13" s="4571">
        <v>173874</v>
      </c>
      <c r="AI13" s="4566">
        <v>180763.63413361169</v>
      </c>
      <c r="AJ13" s="4566">
        <v>149075</v>
      </c>
      <c r="AK13" s="4566">
        <v>115565</v>
      </c>
      <c r="AL13" s="4566">
        <v>121231</v>
      </c>
      <c r="AM13" s="4566">
        <v>134500</v>
      </c>
      <c r="AN13" s="4566">
        <v>239982</v>
      </c>
      <c r="AO13" s="4566">
        <v>166655</v>
      </c>
      <c r="AP13" s="4566">
        <v>252465</v>
      </c>
      <c r="AQ13" s="4566">
        <v>234128</v>
      </c>
      <c r="AR13" s="4566">
        <v>160956</v>
      </c>
      <c r="AS13" s="4566">
        <v>156329</v>
      </c>
      <c r="AT13" s="4566">
        <f t="shared" si="2"/>
        <v>2085523.6341336118</v>
      </c>
      <c r="AU13" s="4568">
        <f t="shared" si="3"/>
        <v>173793.63617780097</v>
      </c>
      <c r="AW13" s="6226">
        <v>215868</v>
      </c>
      <c r="AX13" s="4566">
        <v>223602</v>
      </c>
      <c r="AY13" s="4566"/>
      <c r="AZ13" s="4566"/>
      <c r="BA13" s="4566"/>
      <c r="BB13" s="4566"/>
      <c r="BC13" s="4566"/>
      <c r="BD13" s="4566"/>
      <c r="BE13" s="4566"/>
      <c r="BF13" s="4566"/>
      <c r="BG13" s="4566"/>
      <c r="BH13" s="4566"/>
      <c r="BI13" s="4566">
        <f t="shared" si="4"/>
        <v>439470</v>
      </c>
      <c r="BJ13" s="4568">
        <f t="shared" si="5"/>
        <v>219735</v>
      </c>
      <c r="BL13" s="5620">
        <f t="shared" si="6"/>
        <v>42838.365866388311</v>
      </c>
      <c r="BM13" s="5620">
        <f t="shared" si="7"/>
        <v>45941.363822199026</v>
      </c>
      <c r="BN13" s="5941">
        <f>IFERROR(
  SUM(
    _xlfn.XLOOKUP(DATE(YEAR($A$1),1,1),$2:$2,13:13):
    _xlfn.XLOOKUP($A$1,$2:$2,13:13)
  )
 -SUM(
    _xlfn.XLOOKUP(DATE(YEAR($A$1)-1,1,1),$2:$2,13:13):
    _xlfn.XLOOKUP(EDATE($A$1,-12),$2:$2,13:13)
  ),"")</f>
        <v>84832.365866388311</v>
      </c>
      <c r="BO13" s="5620">
        <f t="shared" si="8"/>
        <v>7734</v>
      </c>
    </row>
    <row r="14" spans="1:67" x14ac:dyDescent="0.55000000000000004">
      <c r="A14" s="7361"/>
      <c r="B14" s="7368" t="s">
        <v>304</v>
      </c>
      <c r="C14" s="2297" t="s">
        <v>295</v>
      </c>
      <c r="D14" s="2297"/>
      <c r="E14" s="2297"/>
      <c r="F14" s="2297"/>
      <c r="G14" s="2297"/>
      <c r="H14" s="2297"/>
      <c r="I14" s="2297"/>
      <c r="J14" s="2297"/>
      <c r="K14" s="2297"/>
      <c r="L14" s="2297"/>
      <c r="M14" s="2297"/>
      <c r="N14" s="2297"/>
      <c r="O14" s="2297"/>
      <c r="P14" s="2297"/>
      <c r="Q14" s="2297"/>
      <c r="S14" s="4577">
        <v>4255</v>
      </c>
      <c r="T14" s="4578">
        <v>5889</v>
      </c>
      <c r="U14" s="4578">
        <v>1870</v>
      </c>
      <c r="V14" s="4578">
        <v>2066</v>
      </c>
      <c r="W14" s="4578">
        <v>1832</v>
      </c>
      <c r="X14" s="4578">
        <v>2165</v>
      </c>
      <c r="Y14" s="4578">
        <v>3704</v>
      </c>
      <c r="Z14" s="4578">
        <v>1836</v>
      </c>
      <c r="AA14" s="4578">
        <v>576</v>
      </c>
      <c r="AB14" s="4578">
        <v>495</v>
      </c>
      <c r="AC14" s="4578">
        <v>459</v>
      </c>
      <c r="AD14" s="4578">
        <v>256</v>
      </c>
      <c r="AE14" s="4578">
        <f t="shared" si="0"/>
        <v>25403</v>
      </c>
      <c r="AF14" s="4578">
        <f t="shared" si="1"/>
        <v>2116.9166666666665</v>
      </c>
      <c r="AH14" s="4579">
        <v>163</v>
      </c>
      <c r="AI14" s="4578">
        <v>458</v>
      </c>
      <c r="AJ14" s="4578">
        <v>861</v>
      </c>
      <c r="AK14" s="4578">
        <v>819</v>
      </c>
      <c r="AL14" s="4578">
        <v>909</v>
      </c>
      <c r="AM14" s="4578">
        <v>1079</v>
      </c>
      <c r="AN14" s="4578">
        <v>1058</v>
      </c>
      <c r="AO14" s="4578">
        <v>283</v>
      </c>
      <c r="AP14" s="4578">
        <v>0</v>
      </c>
      <c r="AQ14" s="4578">
        <v>0</v>
      </c>
      <c r="AR14" s="4578">
        <v>0</v>
      </c>
      <c r="AS14" s="4578">
        <v>0</v>
      </c>
      <c r="AT14" s="4578">
        <f t="shared" si="2"/>
        <v>5630</v>
      </c>
      <c r="AU14" s="4580">
        <f t="shared" si="3"/>
        <v>469.16666666666669</v>
      </c>
      <c r="AW14" s="6228">
        <v>0</v>
      </c>
      <c r="AX14" s="4578">
        <v>0</v>
      </c>
      <c r="AY14" s="4578"/>
      <c r="AZ14" s="4578"/>
      <c r="BA14" s="4578"/>
      <c r="BB14" s="4578"/>
      <c r="BC14" s="4578"/>
      <c r="BD14" s="4578"/>
      <c r="BE14" s="4578"/>
      <c r="BF14" s="4578"/>
      <c r="BG14" s="4578"/>
      <c r="BH14" s="4578"/>
      <c r="BI14" s="4578">
        <f t="shared" si="4"/>
        <v>0</v>
      </c>
      <c r="BJ14" s="4580">
        <f t="shared" si="5"/>
        <v>0</v>
      </c>
      <c r="BL14" s="5620">
        <f t="shared" si="6"/>
        <v>-458</v>
      </c>
      <c r="BM14" s="5620">
        <f t="shared" si="7"/>
        <v>-469.16666666666669</v>
      </c>
      <c r="BN14" s="5620">
        <f>IFERROR(
  SUM(
    _xlfn.XLOOKUP(DATE(YEAR($A$1),1,1),$2:$2,14:14):
    _xlfn.XLOOKUP($A$1,$2:$2,14:14)
  )
 -SUM(
    _xlfn.XLOOKUP(DATE(YEAR($A$1)-1,1,1),$2:$2,14:14):
    _xlfn.XLOOKUP(EDATE($A$1,-12),$2:$2,14:14)
  ),"")</f>
        <v>-621</v>
      </c>
      <c r="BO14" s="5620">
        <f t="shared" si="8"/>
        <v>0</v>
      </c>
    </row>
    <row r="15" spans="1:67" x14ac:dyDescent="0.55000000000000004">
      <c r="A15" s="7361"/>
      <c r="B15" s="7363"/>
      <c r="C15" s="567" t="s">
        <v>634</v>
      </c>
      <c r="D15" s="1506"/>
      <c r="E15" s="1506"/>
      <c r="F15" s="1506"/>
      <c r="G15" s="1506"/>
      <c r="H15" s="1506"/>
      <c r="I15" s="1506"/>
      <c r="J15" s="1506"/>
      <c r="K15" s="1506"/>
      <c r="L15" s="1506"/>
      <c r="M15" s="1506"/>
      <c r="N15" s="1506"/>
      <c r="O15" s="1506"/>
      <c r="P15" s="1506"/>
      <c r="Q15" s="1506"/>
      <c r="S15" s="4562">
        <v>0</v>
      </c>
      <c r="T15" s="4554">
        <v>0</v>
      </c>
      <c r="U15" s="4554">
        <v>0</v>
      </c>
      <c r="V15" s="4554">
        <v>0</v>
      </c>
      <c r="W15" s="4554">
        <v>0</v>
      </c>
      <c r="X15" s="4554">
        <v>0</v>
      </c>
      <c r="Y15" s="4554">
        <v>3707</v>
      </c>
      <c r="Z15" s="4554">
        <v>2694</v>
      </c>
      <c r="AA15" s="4554">
        <v>670</v>
      </c>
      <c r="AB15" s="4554">
        <v>390</v>
      </c>
      <c r="AC15" s="4554">
        <v>538</v>
      </c>
      <c r="AD15" s="4554">
        <v>497</v>
      </c>
      <c r="AE15" s="4554">
        <f>SUM(S15:AD15)</f>
        <v>8496</v>
      </c>
      <c r="AF15" s="4554">
        <f>AVERAGE(S15:AD15)</f>
        <v>708</v>
      </c>
      <c r="AH15" s="4559">
        <v>512</v>
      </c>
      <c r="AI15" s="4554">
        <v>1654</v>
      </c>
      <c r="AJ15" s="4554">
        <v>2381</v>
      </c>
      <c r="AK15" s="4554">
        <v>2542</v>
      </c>
      <c r="AL15" s="4554">
        <v>3108</v>
      </c>
      <c r="AM15" s="4554">
        <v>3770</v>
      </c>
      <c r="AN15" s="4554">
        <v>5175</v>
      </c>
      <c r="AO15" s="4554">
        <v>3908</v>
      </c>
      <c r="AP15" s="4554">
        <v>3502</v>
      </c>
      <c r="AQ15" s="4554">
        <v>2720</v>
      </c>
      <c r="AR15" s="4554">
        <v>1951</v>
      </c>
      <c r="AS15" s="4554">
        <v>1501</v>
      </c>
      <c r="AT15" s="4554">
        <f t="shared" si="2"/>
        <v>32724</v>
      </c>
      <c r="AU15" s="4555">
        <f t="shared" si="3"/>
        <v>2727</v>
      </c>
      <c r="AW15" s="6225">
        <v>2610</v>
      </c>
      <c r="AX15" s="4554">
        <v>1725</v>
      </c>
      <c r="AY15" s="4554"/>
      <c r="AZ15" s="4554"/>
      <c r="BA15" s="4554"/>
      <c r="BB15" s="4554"/>
      <c r="BC15" s="4554"/>
      <c r="BD15" s="4554"/>
      <c r="BE15" s="4554"/>
      <c r="BF15" s="4554"/>
      <c r="BG15" s="4554"/>
      <c r="BH15" s="4554"/>
      <c r="BI15" s="4554">
        <f>SUM(AW15:BH15)</f>
        <v>4335</v>
      </c>
      <c r="BJ15" s="4555">
        <f t="shared" si="5"/>
        <v>2167.5</v>
      </c>
      <c r="BL15" s="5620">
        <f t="shared" si="6"/>
        <v>71</v>
      </c>
      <c r="BM15" s="5620">
        <f t="shared" si="7"/>
        <v>-559.5</v>
      </c>
      <c r="BN15" s="5620">
        <f>IFERROR(
  SUM(
    _xlfn.XLOOKUP(DATE(YEAR($A$1),1,1),$2:$2,15:15):
    _xlfn.XLOOKUP($A$1,$2:$2,15:15)
  )
 -SUM(
    _xlfn.XLOOKUP(DATE(YEAR($A$1)-1,1,1),$2:$2,15:15):
    _xlfn.XLOOKUP(EDATE($A$1,-12),$2:$2,15:15)
  ),"")</f>
        <v>2169</v>
      </c>
      <c r="BO15" s="5620">
        <f t="shared" si="8"/>
        <v>-885</v>
      </c>
    </row>
    <row r="16" spans="1:67" x14ac:dyDescent="0.55000000000000004">
      <c r="A16" s="7361"/>
      <c r="B16" s="7363"/>
      <c r="C16" s="1506" t="s">
        <v>296</v>
      </c>
      <c r="D16" s="1506"/>
      <c r="E16" s="1506"/>
      <c r="F16" s="1506"/>
      <c r="G16" s="1506"/>
      <c r="H16" s="1506"/>
      <c r="I16" s="1506"/>
      <c r="J16" s="1506"/>
      <c r="K16" s="1506"/>
      <c r="L16" s="1506"/>
      <c r="M16" s="1506"/>
      <c r="N16" s="1506"/>
      <c r="O16" s="1506"/>
      <c r="P16" s="1506"/>
      <c r="Q16" s="1506"/>
      <c r="S16" s="4562">
        <v>310</v>
      </c>
      <c r="T16" s="4554">
        <v>2077</v>
      </c>
      <c r="U16" s="4554">
        <v>453</v>
      </c>
      <c r="V16" s="4554">
        <v>448</v>
      </c>
      <c r="W16" s="4554">
        <v>259</v>
      </c>
      <c r="X16" s="4554">
        <v>244</v>
      </c>
      <c r="Y16" s="4554">
        <v>130</v>
      </c>
      <c r="Z16" s="4554">
        <v>36</v>
      </c>
      <c r="AA16" s="4554">
        <v>3</v>
      </c>
      <c r="AB16" s="4554">
        <v>0</v>
      </c>
      <c r="AC16" s="4554">
        <v>0</v>
      </c>
      <c r="AD16" s="4554">
        <v>0</v>
      </c>
      <c r="AE16" s="4554">
        <f t="shared" si="0"/>
        <v>3960</v>
      </c>
      <c r="AF16" s="4554">
        <f t="shared" si="1"/>
        <v>330</v>
      </c>
      <c r="AH16" s="4559">
        <v>0</v>
      </c>
      <c r="AI16" s="4554">
        <v>0</v>
      </c>
      <c r="AJ16" s="4554"/>
      <c r="AK16" s="4554">
        <v>0</v>
      </c>
      <c r="AL16" s="4554">
        <v>0</v>
      </c>
      <c r="AM16" s="4554">
        <v>0</v>
      </c>
      <c r="AN16" s="4554">
        <v>0</v>
      </c>
      <c r="AO16" s="4554">
        <v>0</v>
      </c>
      <c r="AP16" s="4554">
        <v>0</v>
      </c>
      <c r="AQ16" s="4554">
        <v>0</v>
      </c>
      <c r="AR16" s="4554">
        <v>0</v>
      </c>
      <c r="AS16" s="4554">
        <v>0</v>
      </c>
      <c r="AT16" s="4554">
        <f t="shared" si="2"/>
        <v>0</v>
      </c>
      <c r="AU16" s="4555">
        <f t="shared" si="3"/>
        <v>0</v>
      </c>
      <c r="AW16" s="6225">
        <v>0</v>
      </c>
      <c r="AX16" s="4554">
        <v>0</v>
      </c>
      <c r="AY16" s="4554"/>
      <c r="AZ16" s="4554"/>
      <c r="BA16" s="4554"/>
      <c r="BB16" s="4554"/>
      <c r="BC16" s="4554"/>
      <c r="BD16" s="4554"/>
      <c r="BE16" s="4554"/>
      <c r="BF16" s="4554"/>
      <c r="BG16" s="4554"/>
      <c r="BH16" s="4554"/>
      <c r="BI16" s="4554">
        <f>SUM(AW16:BH16)</f>
        <v>0</v>
      </c>
      <c r="BJ16" s="4555">
        <f t="shared" si="5"/>
        <v>0</v>
      </c>
      <c r="BL16" s="5620">
        <f t="shared" si="6"/>
        <v>0</v>
      </c>
      <c r="BM16" s="5620">
        <f t="shared" si="7"/>
        <v>0</v>
      </c>
      <c r="BN16" s="5620">
        <f>IFERROR(
  SUM(
    _xlfn.XLOOKUP(DATE(YEAR($A$1),1,1),$2:$2,16:16):
    _xlfn.XLOOKUP($A$1,$2:$2,16:16)
  )
 -SUM(
    _xlfn.XLOOKUP(DATE(YEAR($A$1)-1,1,1),$2:$2,16:16):
    _xlfn.XLOOKUP(EDATE($A$1,-12),$2:$2,16:16)
  ),"")</f>
        <v>0</v>
      </c>
      <c r="BO16" s="5620">
        <f t="shared" si="8"/>
        <v>0</v>
      </c>
    </row>
    <row r="17" spans="1:67" x14ac:dyDescent="0.55000000000000004">
      <c r="A17" s="7361"/>
      <c r="B17" s="7363"/>
      <c r="C17" s="1506" t="s">
        <v>297</v>
      </c>
      <c r="D17" s="1506"/>
      <c r="E17" s="1506"/>
      <c r="F17" s="1506"/>
      <c r="G17" s="1506"/>
      <c r="H17" s="1506"/>
      <c r="I17" s="1506"/>
      <c r="J17" s="1506"/>
      <c r="K17" s="1506"/>
      <c r="L17" s="1506"/>
      <c r="M17" s="1506"/>
      <c r="N17" s="1506"/>
      <c r="O17" s="1506"/>
      <c r="P17" s="1506"/>
      <c r="Q17" s="1506"/>
      <c r="S17" s="4562">
        <v>394</v>
      </c>
      <c r="T17" s="4554">
        <v>1369</v>
      </c>
      <c r="U17" s="4554">
        <v>317</v>
      </c>
      <c r="V17" s="4554">
        <v>191</v>
      </c>
      <c r="W17" s="4554">
        <v>229</v>
      </c>
      <c r="X17" s="4554">
        <v>194</v>
      </c>
      <c r="Y17" s="4554">
        <v>877</v>
      </c>
      <c r="Z17" s="4554">
        <v>891</v>
      </c>
      <c r="AA17" s="4554">
        <v>1468</v>
      </c>
      <c r="AB17" s="4554">
        <v>4681</v>
      </c>
      <c r="AC17" s="4554">
        <v>949</v>
      </c>
      <c r="AD17" s="4554">
        <v>715</v>
      </c>
      <c r="AE17" s="4554">
        <f t="shared" si="0"/>
        <v>12275</v>
      </c>
      <c r="AF17" s="4554">
        <f t="shared" si="1"/>
        <v>1022.9166666666666</v>
      </c>
      <c r="AH17" s="4559">
        <v>359</v>
      </c>
      <c r="AI17" s="4554">
        <v>5552</v>
      </c>
      <c r="AJ17" s="4554">
        <v>844</v>
      </c>
      <c r="AK17" s="4554">
        <v>589</v>
      </c>
      <c r="AL17" s="4554">
        <v>623</v>
      </c>
      <c r="AM17" s="4554">
        <v>550</v>
      </c>
      <c r="AN17" s="4554">
        <v>763</v>
      </c>
      <c r="AO17" s="4554">
        <v>762</v>
      </c>
      <c r="AP17" s="4554">
        <v>1094</v>
      </c>
      <c r="AQ17" s="4554">
        <v>1353</v>
      </c>
      <c r="AR17" s="4554">
        <v>446</v>
      </c>
      <c r="AS17" s="4554">
        <v>458</v>
      </c>
      <c r="AT17" s="4554">
        <f t="shared" si="2"/>
        <v>13393</v>
      </c>
      <c r="AU17" s="4555">
        <f t="shared" si="3"/>
        <v>1116.0833333333333</v>
      </c>
      <c r="AW17" s="6225">
        <v>960</v>
      </c>
      <c r="AX17" s="4554">
        <v>617</v>
      </c>
      <c r="AY17" s="4554"/>
      <c r="AZ17" s="4554"/>
      <c r="BA17" s="4554"/>
      <c r="BB17" s="4554"/>
      <c r="BC17" s="4554"/>
      <c r="BD17" s="4554"/>
      <c r="BE17" s="4554"/>
      <c r="BF17" s="4554"/>
      <c r="BG17" s="4554"/>
      <c r="BH17" s="4554"/>
      <c r="BI17" s="4554">
        <f>SUM(AW17:BH17)</f>
        <v>1577</v>
      </c>
      <c r="BJ17" s="4555">
        <f t="shared" si="5"/>
        <v>788.5</v>
      </c>
      <c r="BL17" s="5620">
        <f t="shared" si="6"/>
        <v>-4935</v>
      </c>
      <c r="BM17" s="5620">
        <f t="shared" si="7"/>
        <v>-327.58333333333326</v>
      </c>
      <c r="BN17" s="5620">
        <f>IFERROR(
  SUM(
    _xlfn.XLOOKUP(DATE(YEAR($A$1),1,1),$2:$2,17:17):
    _xlfn.XLOOKUP($A$1,$2:$2,17:17)
  )
 -SUM(
    _xlfn.XLOOKUP(DATE(YEAR($A$1)-1,1,1),$2:$2,17:17):
    _xlfn.XLOOKUP(EDATE($A$1,-12),$2:$2,17:17)
  ),"")</f>
        <v>-4334</v>
      </c>
      <c r="BO17" s="5620">
        <f t="shared" si="8"/>
        <v>-343</v>
      </c>
    </row>
    <row r="18" spans="1:67" x14ac:dyDescent="0.55000000000000004">
      <c r="A18" s="7361"/>
      <c r="B18" s="7369" t="s">
        <v>305</v>
      </c>
      <c r="C18" s="2314" t="s">
        <v>298</v>
      </c>
      <c r="D18" s="2314"/>
      <c r="E18" s="2314"/>
      <c r="F18" s="2314"/>
      <c r="G18" s="2314"/>
      <c r="H18" s="2314"/>
      <c r="I18" s="2314"/>
      <c r="J18" s="2314"/>
      <c r="K18" s="2314"/>
      <c r="L18" s="2314"/>
      <c r="M18" s="2314"/>
      <c r="N18" s="2314"/>
      <c r="O18" s="2314"/>
      <c r="P18" s="2314"/>
      <c r="Q18" s="2314"/>
      <c r="S18" s="4581">
        <v>1975</v>
      </c>
      <c r="T18" s="4582">
        <v>2434</v>
      </c>
      <c r="U18" s="4582">
        <v>2354</v>
      </c>
      <c r="V18" s="4582">
        <v>2704</v>
      </c>
      <c r="W18" s="4582">
        <v>2320</v>
      </c>
      <c r="X18" s="4582">
        <v>2512</v>
      </c>
      <c r="Y18" s="4582">
        <v>1320</v>
      </c>
      <c r="Z18" s="4582">
        <v>1067</v>
      </c>
      <c r="AA18" s="4582">
        <f>AA11-AA19</f>
        <v>1899</v>
      </c>
      <c r="AB18" s="4582">
        <v>5370</v>
      </c>
      <c r="AC18" s="4582">
        <v>1946</v>
      </c>
      <c r="AD18" s="4582">
        <v>1467</v>
      </c>
      <c r="AE18" s="4582">
        <f t="shared" si="0"/>
        <v>27368</v>
      </c>
      <c r="AF18" s="4582">
        <f t="shared" si="1"/>
        <v>2280.6666666666665</v>
      </c>
      <c r="AH18" s="4583">
        <v>1034</v>
      </c>
      <c r="AI18" s="4582">
        <v>7664</v>
      </c>
      <c r="AJ18" s="4582">
        <v>4086</v>
      </c>
      <c r="AK18" s="4582">
        <v>3950</v>
      </c>
      <c r="AL18" s="4582">
        <v>4640</v>
      </c>
      <c r="AM18" s="4582">
        <v>5399</v>
      </c>
      <c r="AN18" s="4582">
        <v>6996</v>
      </c>
      <c r="AO18" s="4582">
        <v>4953</v>
      </c>
      <c r="AP18" s="4582">
        <v>3980</v>
      </c>
      <c r="AQ18" s="4582">
        <v>3879</v>
      </c>
      <c r="AR18" s="4582">
        <v>2396</v>
      </c>
      <c r="AS18" s="4582">
        <v>1959</v>
      </c>
      <c r="AT18" s="4582">
        <f t="shared" si="2"/>
        <v>50936</v>
      </c>
      <c r="AU18" s="4584">
        <f t="shared" si="3"/>
        <v>4244.666666666667</v>
      </c>
      <c r="AW18" s="6229">
        <v>3279</v>
      </c>
      <c r="AX18" s="4582">
        <v>1920</v>
      </c>
      <c r="AY18" s="4582"/>
      <c r="AZ18" s="4582"/>
      <c r="BA18" s="4582"/>
      <c r="BB18" s="4582"/>
      <c r="BC18" s="4582"/>
      <c r="BD18" s="4582"/>
      <c r="BE18" s="4582"/>
      <c r="BF18" s="4582"/>
      <c r="BG18" s="4582"/>
      <c r="BH18" s="4582"/>
      <c r="BI18" s="4582">
        <f>SUM(AW18:BH18)</f>
        <v>5199</v>
      </c>
      <c r="BJ18" s="4584">
        <f t="shared" si="5"/>
        <v>2599.5</v>
      </c>
      <c r="BL18" s="5620">
        <f t="shared" si="6"/>
        <v>-5744</v>
      </c>
      <c r="BM18" s="5620">
        <f t="shared" si="7"/>
        <v>-1645.166666666667</v>
      </c>
      <c r="BN18" s="5620">
        <f>IFERROR(
  SUM(
    _xlfn.XLOOKUP(DATE(YEAR($A$1),1,1),$2:$2,18:18):
    _xlfn.XLOOKUP($A$1,$2:$2,18:18)
  )
 -SUM(
    _xlfn.XLOOKUP(DATE(YEAR($A$1)-1,1,1),$2:$2,18:18):
    _xlfn.XLOOKUP(EDATE($A$1,-12),$2:$2,18:18)
  ),"")</f>
        <v>-3499</v>
      </c>
      <c r="BO18" s="5620">
        <f t="shared" si="8"/>
        <v>-1359</v>
      </c>
    </row>
    <row r="19" spans="1:67" x14ac:dyDescent="0.55000000000000004">
      <c r="A19" s="7361"/>
      <c r="B19" s="7369"/>
      <c r="C19" s="2314" t="s">
        <v>299</v>
      </c>
      <c r="D19" s="2314"/>
      <c r="E19" s="2314"/>
      <c r="F19" s="2314"/>
      <c r="G19" s="2314"/>
      <c r="H19" s="2314"/>
      <c r="I19" s="2314"/>
      <c r="J19" s="2314"/>
      <c r="K19" s="2314"/>
      <c r="L19" s="2314"/>
      <c r="M19" s="2314"/>
      <c r="N19" s="2314"/>
      <c r="O19" s="2314"/>
      <c r="P19" s="2314"/>
      <c r="Q19" s="2314"/>
      <c r="S19" s="4581">
        <v>2984</v>
      </c>
      <c r="T19" s="4582">
        <v>6901</v>
      </c>
      <c r="U19" s="4582">
        <v>286</v>
      </c>
      <c r="V19" s="4582">
        <v>1</v>
      </c>
      <c r="W19" s="4582">
        <v>0</v>
      </c>
      <c r="X19" s="4582">
        <v>91</v>
      </c>
      <c r="Y19" s="4582">
        <v>7098</v>
      </c>
      <c r="Z19" s="4582">
        <v>4400</v>
      </c>
      <c r="AA19" s="4582">
        <v>818</v>
      </c>
      <c r="AB19" s="4582">
        <v>196</v>
      </c>
      <c r="AC19" s="4582">
        <v>0</v>
      </c>
      <c r="AD19" s="4582">
        <v>0</v>
      </c>
      <c r="AE19" s="4582">
        <f t="shared" si="0"/>
        <v>22775</v>
      </c>
      <c r="AF19" s="4582">
        <f t="shared" si="1"/>
        <v>1897.9166666666667</v>
      </c>
      <c r="AH19" s="4583">
        <v>0</v>
      </c>
      <c r="AI19" s="4582">
        <v>0</v>
      </c>
      <c r="AJ19" s="4582">
        <v>0</v>
      </c>
      <c r="AK19" s="4582">
        <v>0</v>
      </c>
      <c r="AL19" s="4582">
        <v>0</v>
      </c>
      <c r="AM19" s="4582">
        <v>0</v>
      </c>
      <c r="AN19" s="4582">
        <v>0</v>
      </c>
      <c r="AO19" s="4582"/>
      <c r="AP19" s="4582">
        <v>616</v>
      </c>
      <c r="AQ19" s="4582">
        <v>194</v>
      </c>
      <c r="AR19" s="4582">
        <v>1</v>
      </c>
      <c r="AS19" s="4582">
        <v>0</v>
      </c>
      <c r="AT19" s="4582">
        <f t="shared" si="2"/>
        <v>811</v>
      </c>
      <c r="AU19" s="4584">
        <f t="shared" si="3"/>
        <v>73.727272727272734</v>
      </c>
      <c r="AW19" s="6229">
        <v>291</v>
      </c>
      <c r="AX19" s="4582">
        <v>422</v>
      </c>
      <c r="AY19" s="4582"/>
      <c r="AZ19" s="4582"/>
      <c r="BA19" s="4582"/>
      <c r="BB19" s="4582"/>
      <c r="BC19" s="4582"/>
      <c r="BD19" s="4582"/>
      <c r="BE19" s="4582"/>
      <c r="BF19" s="4582"/>
      <c r="BG19" s="4582"/>
      <c r="BH19" s="4582"/>
      <c r="BI19" s="4582">
        <f>SUM(AW19:BH19)</f>
        <v>713</v>
      </c>
      <c r="BJ19" s="4584">
        <f t="shared" si="5"/>
        <v>356.5</v>
      </c>
      <c r="BL19" s="5620">
        <f t="shared" si="6"/>
        <v>422</v>
      </c>
      <c r="BM19" s="5620">
        <f t="shared" si="7"/>
        <v>282.77272727272725</v>
      </c>
      <c r="BN19" s="5620">
        <f>IFERROR(
  SUM(
    _xlfn.XLOOKUP(DATE(YEAR($A$1),1,1),$2:$2,19:19):
    _xlfn.XLOOKUP($A$1,$2:$2,19:19)
  )
 -SUM(
    _xlfn.XLOOKUP(DATE(YEAR($A$1)-1,1,1),$2:$2,19:19):
    _xlfn.XLOOKUP(EDATE($A$1,-12),$2:$2,19:19)
  ),"")</f>
        <v>713</v>
      </c>
      <c r="BO19" s="5620">
        <f t="shared" si="8"/>
        <v>131</v>
      </c>
    </row>
    <row r="20" spans="1:67" x14ac:dyDescent="0.55000000000000004">
      <c r="A20" s="7361"/>
      <c r="B20" s="7369"/>
      <c r="C20" s="2323" t="s">
        <v>300</v>
      </c>
      <c r="D20" s="2323"/>
      <c r="E20" s="2323"/>
      <c r="F20" s="2323"/>
      <c r="G20" s="2323"/>
      <c r="H20" s="2323"/>
      <c r="I20" s="2323"/>
      <c r="J20" s="2323"/>
      <c r="K20" s="2323"/>
      <c r="L20" s="2323"/>
      <c r="M20" s="2323"/>
      <c r="N20" s="2323"/>
      <c r="O20" s="2323"/>
      <c r="P20" s="2323"/>
      <c r="Q20" s="2323"/>
      <c r="S20" s="4585">
        <f t="shared" ref="S20:X20" si="9">S19/SUM(S18:S19)</f>
        <v>0.60173422060899373</v>
      </c>
      <c r="T20" s="4586">
        <f t="shared" si="9"/>
        <v>0.73926084627745048</v>
      </c>
      <c r="U20" s="4586">
        <f t="shared" si="9"/>
        <v>0.10833333333333334</v>
      </c>
      <c r="V20" s="4586">
        <f t="shared" si="9"/>
        <v>3.6968576709796671E-4</v>
      </c>
      <c r="W20" s="4586">
        <f t="shared" si="9"/>
        <v>0</v>
      </c>
      <c r="X20" s="4586">
        <f t="shared" si="9"/>
        <v>3.4959661928543988E-2</v>
      </c>
      <c r="Y20" s="4587">
        <f>Y19/SUM(Y18:Y19)</f>
        <v>0.84319315751960089</v>
      </c>
      <c r="Z20" s="4587">
        <f>Z19/SUM(Z18:Z19)</f>
        <v>0.8048289738430584</v>
      </c>
      <c r="AA20" s="4587">
        <f>AA19/SUM(AA18:AA19)</f>
        <v>0.30106735369893267</v>
      </c>
      <c r="AB20" s="4587">
        <f>AB19/5566</f>
        <v>3.5213798059647861E-2</v>
      </c>
      <c r="AC20" s="4586">
        <v>0</v>
      </c>
      <c r="AD20" s="4586">
        <v>0</v>
      </c>
      <c r="AE20" s="4588">
        <f>AE19/SUM(AE18:AE19)</f>
        <v>0.45420098518237839</v>
      </c>
      <c r="AF20" s="4589">
        <f>AF19/SUM(AF18:AF19)</f>
        <v>0.45420098518237845</v>
      </c>
      <c r="AH20" s="4590">
        <v>0</v>
      </c>
      <c r="AI20" s="4591">
        <v>0</v>
      </c>
      <c r="AJ20" s="4588">
        <v>0</v>
      </c>
      <c r="AK20" s="4588">
        <v>0</v>
      </c>
      <c r="AL20" s="4588">
        <v>0</v>
      </c>
      <c r="AM20" s="4592">
        <v>0</v>
      </c>
      <c r="AN20" s="4588">
        <v>0</v>
      </c>
      <c r="AO20" s="4592">
        <v>0</v>
      </c>
      <c r="AP20" s="4588">
        <v>0.134029590948651</v>
      </c>
      <c r="AQ20" s="4588">
        <v>0.05</v>
      </c>
      <c r="AR20" s="4588">
        <v>0</v>
      </c>
      <c r="AS20" s="4588">
        <v>0</v>
      </c>
      <c r="AT20" s="4588">
        <f>AT19/SUM(AT18:AT19)</f>
        <v>1.567240612982395E-2</v>
      </c>
      <c r="AU20" s="4593">
        <f t="shared" si="3"/>
        <v>1.5335799245720918E-2</v>
      </c>
      <c r="AW20" s="6223" t="s">
        <v>1200</v>
      </c>
      <c r="AX20" s="4591">
        <v>0.18</v>
      </c>
      <c r="AY20" s="4588"/>
      <c r="AZ20" s="4588"/>
      <c r="BA20" s="4588"/>
      <c r="BB20" s="4592"/>
      <c r="BC20" s="4588"/>
      <c r="BD20" s="4592"/>
      <c r="BE20" s="4588"/>
      <c r="BF20" s="4588"/>
      <c r="BG20" s="4588"/>
      <c r="BH20" s="4588"/>
      <c r="BI20" s="4588">
        <f>BI19/SUM(BI18:BI19)</f>
        <v>0.12060216508795669</v>
      </c>
      <c r="BJ20" s="4593">
        <f>BJ19/SUM(BJ18:BJ19)</f>
        <v>0.12060216508795669</v>
      </c>
      <c r="BL20" s="5620">
        <f t="shared" si="6"/>
        <v>0.18</v>
      </c>
      <c r="BM20" s="5620">
        <f t="shared" si="7"/>
        <v>0.10526636584223578</v>
      </c>
      <c r="BN20" s="5942">
        <f>BM20</f>
        <v>0.10526636584223578</v>
      </c>
      <c r="BO20" s="5620">
        <f t="shared" si="8"/>
        <v>9.8999999999999991E-2</v>
      </c>
    </row>
    <row r="21" spans="1:67" x14ac:dyDescent="0.55000000000000004">
      <c r="A21" s="7361"/>
      <c r="B21" s="7363" t="s">
        <v>306</v>
      </c>
      <c r="C21" s="1506" t="s">
        <v>301</v>
      </c>
      <c r="D21" s="1506"/>
      <c r="E21" s="1506"/>
      <c r="F21" s="1506"/>
      <c r="G21" s="1506"/>
      <c r="H21" s="1506"/>
      <c r="I21" s="1506"/>
      <c r="J21" s="1506"/>
      <c r="K21" s="1506"/>
      <c r="L21" s="1506"/>
      <c r="M21" s="1506"/>
      <c r="N21" s="1506"/>
      <c r="O21" s="1506"/>
      <c r="P21" s="1506"/>
      <c r="Q21" s="1506"/>
      <c r="S21" s="4562">
        <v>2879</v>
      </c>
      <c r="T21" s="4554">
        <v>4570</v>
      </c>
      <c r="U21" s="4554">
        <v>2415</v>
      </c>
      <c r="V21" s="4554">
        <v>2690</v>
      </c>
      <c r="W21" s="4554">
        <v>2650</v>
      </c>
      <c r="X21" s="4554">
        <v>2762</v>
      </c>
      <c r="Y21" s="4554">
        <v>4790</v>
      </c>
      <c r="Z21" s="4554">
        <v>3385</v>
      </c>
      <c r="AA21" s="4554">
        <v>1606</v>
      </c>
      <c r="AB21" s="4563">
        <v>1168.8599999999999</v>
      </c>
      <c r="AC21" s="4554">
        <v>425</v>
      </c>
      <c r="AD21" s="4554">
        <v>571</v>
      </c>
      <c r="AE21" s="4554">
        <f t="shared" si="0"/>
        <v>29911.86</v>
      </c>
      <c r="AF21" s="4554">
        <f t="shared" si="1"/>
        <v>2492.6550000000002</v>
      </c>
      <c r="AH21" s="4559">
        <v>585</v>
      </c>
      <c r="AI21" s="4554">
        <v>6316</v>
      </c>
      <c r="AJ21" s="4554">
        <v>3454</v>
      </c>
      <c r="AK21" s="4554">
        <v>3497</v>
      </c>
      <c r="AL21" s="4554">
        <v>4054</v>
      </c>
      <c r="AM21" s="4554">
        <v>4467</v>
      </c>
      <c r="AN21" s="4554">
        <v>5031</v>
      </c>
      <c r="AO21" s="4554">
        <v>4058</v>
      </c>
      <c r="AP21" s="4554">
        <v>3079</v>
      </c>
      <c r="AQ21" s="4563">
        <v>2894</v>
      </c>
      <c r="AR21" s="4554">
        <v>1973</v>
      </c>
      <c r="AS21" s="4554">
        <v>1669</v>
      </c>
      <c r="AT21" s="4554">
        <f t="shared" si="2"/>
        <v>41077</v>
      </c>
      <c r="AU21" s="4555">
        <f t="shared" si="3"/>
        <v>3423.0833333333335</v>
      </c>
      <c r="AW21" s="6225">
        <v>2494</v>
      </c>
      <c r="AX21" s="4554">
        <v>1691</v>
      </c>
      <c r="AY21" s="4554"/>
      <c r="AZ21" s="4554"/>
      <c r="BA21" s="4554"/>
      <c r="BB21" s="4554"/>
      <c r="BC21" s="4554"/>
      <c r="BD21" s="4554"/>
      <c r="BE21" s="4554"/>
      <c r="BF21" s="4563"/>
      <c r="BG21" s="4554"/>
      <c r="BH21" s="4554"/>
      <c r="BI21" s="4554">
        <f>SUM(AW21:BH21)</f>
        <v>4185</v>
      </c>
      <c r="BJ21" s="4555">
        <f>AVERAGE(AW21:BH21)</f>
        <v>2092.5</v>
      </c>
      <c r="BL21" s="5620">
        <f t="shared" si="6"/>
        <v>-4625</v>
      </c>
      <c r="BM21" s="5620">
        <f t="shared" si="7"/>
        <v>-1330.5833333333335</v>
      </c>
      <c r="BN21" s="5620">
        <f>IFERROR(
  SUM(
    _xlfn.XLOOKUP(DATE(YEAR($A$1),1,1),$2:$2,21:21):
    _xlfn.XLOOKUP($A$1,$2:$2,21:21)
  )
 -SUM(
    _xlfn.XLOOKUP(DATE(YEAR($A$1)-1,1,1),$2:$2,21:21):
    _xlfn.XLOOKUP(EDATE($A$1,-12),$2:$2,21:21)
  ),"")</f>
        <v>-2716</v>
      </c>
      <c r="BO21" s="5620">
        <f t="shared" si="8"/>
        <v>-803</v>
      </c>
    </row>
    <row r="22" spans="1:67" x14ac:dyDescent="0.55000000000000004">
      <c r="A22" s="7361"/>
      <c r="B22" s="7363"/>
      <c r="C22" s="1506" t="s">
        <v>302</v>
      </c>
      <c r="D22" s="1506"/>
      <c r="E22" s="1506"/>
      <c r="F22" s="1506"/>
      <c r="G22" s="1506"/>
      <c r="H22" s="1506"/>
      <c r="I22" s="1506"/>
      <c r="J22" s="1506"/>
      <c r="K22" s="1506"/>
      <c r="L22" s="1506"/>
      <c r="M22" s="1506"/>
      <c r="N22" s="1506"/>
      <c r="O22" s="1506"/>
      <c r="P22" s="1506"/>
      <c r="Q22" s="1506"/>
      <c r="S22" s="4562">
        <v>1726</v>
      </c>
      <c r="T22" s="4554">
        <v>4044</v>
      </c>
      <c r="U22" s="4554">
        <v>435</v>
      </c>
      <c r="V22" s="4554">
        <v>161</v>
      </c>
      <c r="W22" s="4554">
        <v>113</v>
      </c>
      <c r="X22" s="4554">
        <v>100</v>
      </c>
      <c r="Y22" s="4554">
        <v>2971</v>
      </c>
      <c r="Z22" s="4554">
        <v>1663</v>
      </c>
      <c r="AA22" s="4554">
        <v>539</v>
      </c>
      <c r="AB22" s="4563">
        <v>1263.482</v>
      </c>
      <c r="AC22" s="4554">
        <v>1014</v>
      </c>
      <c r="AD22" s="4554">
        <v>731</v>
      </c>
      <c r="AE22" s="4554">
        <f t="shared" si="0"/>
        <v>14760.482</v>
      </c>
      <c r="AF22" s="4554">
        <f t="shared" si="1"/>
        <v>1230.0401666666667</v>
      </c>
      <c r="AH22" s="4559">
        <v>224</v>
      </c>
      <c r="AI22" s="4554">
        <v>1124</v>
      </c>
      <c r="AJ22" s="4554">
        <v>582</v>
      </c>
      <c r="AK22" s="4554">
        <v>420</v>
      </c>
      <c r="AL22" s="4554">
        <v>568</v>
      </c>
      <c r="AM22" s="4554">
        <v>879</v>
      </c>
      <c r="AN22" s="4554">
        <v>1564</v>
      </c>
      <c r="AO22" s="4554">
        <v>697</v>
      </c>
      <c r="AP22" s="4554">
        <v>985</v>
      </c>
      <c r="AQ22" s="4563">
        <v>879</v>
      </c>
      <c r="AR22" s="4554">
        <v>379</v>
      </c>
      <c r="AS22" s="4554">
        <v>238</v>
      </c>
      <c r="AT22" s="4554">
        <f t="shared" si="2"/>
        <v>8539</v>
      </c>
      <c r="AU22" s="4555">
        <f t="shared" si="3"/>
        <v>711.58333333333337</v>
      </c>
      <c r="AW22" s="6225">
        <v>870</v>
      </c>
      <c r="AX22" s="4554">
        <v>488</v>
      </c>
      <c r="AY22" s="4554"/>
      <c r="AZ22" s="4554"/>
      <c r="BA22" s="4554"/>
      <c r="BB22" s="4554"/>
      <c r="BC22" s="4554"/>
      <c r="BD22" s="4554"/>
      <c r="BE22" s="4554"/>
      <c r="BF22" s="4563"/>
      <c r="BG22" s="4554"/>
      <c r="BH22" s="4554"/>
      <c r="BI22" s="4554">
        <f>SUM(AW22:BH22)</f>
        <v>1358</v>
      </c>
      <c r="BJ22" s="4555">
        <f>AVERAGE(AW22:BH22)</f>
        <v>679</v>
      </c>
      <c r="BL22" s="5620">
        <f t="shared" si="6"/>
        <v>-636</v>
      </c>
      <c r="BM22" s="5620">
        <f t="shared" si="7"/>
        <v>-32.583333333333371</v>
      </c>
      <c r="BN22" s="5620">
        <f>IFERROR(
  SUM(
    _xlfn.XLOOKUP(DATE(YEAR($A$1),1,1),$2:$2,22:22):
    _xlfn.XLOOKUP($A$1,$2:$2,22:22)
  )
 -SUM(
    _xlfn.XLOOKUP(DATE(YEAR($A$1)-1,1,1),$2:$2,22:22):
    _xlfn.XLOOKUP(EDATE($A$1,-12),$2:$2,22:22)
  ),"")</f>
        <v>10</v>
      </c>
      <c r="BO22" s="5620">
        <f t="shared" si="8"/>
        <v>-382</v>
      </c>
    </row>
    <row r="23" spans="1:67" x14ac:dyDescent="0.55000000000000004">
      <c r="A23" s="7361"/>
      <c r="B23" s="7363"/>
      <c r="C23" s="1506" t="s">
        <v>303</v>
      </c>
      <c r="D23" s="1506"/>
      <c r="E23" s="1506"/>
      <c r="F23" s="1506"/>
      <c r="G23" s="1506"/>
      <c r="H23" s="1506"/>
      <c r="I23" s="1506"/>
      <c r="J23" s="1506"/>
      <c r="K23" s="1506"/>
      <c r="L23" s="1506"/>
      <c r="M23" s="1506"/>
      <c r="N23" s="1506"/>
      <c r="O23" s="1506"/>
      <c r="P23" s="1506"/>
      <c r="Q23" s="1506"/>
      <c r="S23" s="4562">
        <v>614</v>
      </c>
      <c r="T23" s="4554">
        <v>1332</v>
      </c>
      <c r="U23" s="4554">
        <v>58</v>
      </c>
      <c r="V23" s="4554">
        <v>26</v>
      </c>
      <c r="W23" s="4554">
        <v>15</v>
      </c>
      <c r="X23" s="4554">
        <v>18</v>
      </c>
      <c r="Y23" s="4554">
        <v>855</v>
      </c>
      <c r="Z23" s="4554">
        <v>421</v>
      </c>
      <c r="AA23" s="4554">
        <v>572</v>
      </c>
      <c r="AB23" s="4563">
        <v>3133.6579999999999</v>
      </c>
      <c r="AC23" s="4554">
        <v>507</v>
      </c>
      <c r="AD23" s="4554">
        <v>166</v>
      </c>
      <c r="AE23" s="4554">
        <f t="shared" si="0"/>
        <v>7717.6579999999994</v>
      </c>
      <c r="AF23" s="4554">
        <f t="shared" si="1"/>
        <v>643.13816666666662</v>
      </c>
      <c r="AH23" s="4559">
        <v>224</v>
      </c>
      <c r="AI23" s="4554">
        <v>224</v>
      </c>
      <c r="AJ23" s="4554">
        <v>50</v>
      </c>
      <c r="AK23" s="4554">
        <v>33</v>
      </c>
      <c r="AL23" s="4554">
        <v>18</v>
      </c>
      <c r="AM23" s="4554">
        <v>53</v>
      </c>
      <c r="AN23" s="4554">
        <v>401</v>
      </c>
      <c r="AO23" s="4554">
        <v>198</v>
      </c>
      <c r="AP23" s="4554">
        <v>532</v>
      </c>
      <c r="AQ23" s="4563">
        <v>300</v>
      </c>
      <c r="AR23" s="4554">
        <v>45</v>
      </c>
      <c r="AS23" s="4554">
        <v>52</v>
      </c>
      <c r="AT23" s="4554">
        <f t="shared" si="2"/>
        <v>2130</v>
      </c>
      <c r="AU23" s="4555">
        <f t="shared" si="3"/>
        <v>177.5</v>
      </c>
      <c r="AW23" s="6225">
        <v>206</v>
      </c>
      <c r="AX23" s="4554">
        <v>163</v>
      </c>
      <c r="AY23" s="4554"/>
      <c r="AZ23" s="4554"/>
      <c r="BA23" s="4554"/>
      <c r="BB23" s="4554"/>
      <c r="BC23" s="4554"/>
      <c r="BD23" s="4554"/>
      <c r="BE23" s="4554"/>
      <c r="BF23" s="4563"/>
      <c r="BG23" s="4554"/>
      <c r="BH23" s="4554"/>
      <c r="BI23" s="4554">
        <f>SUM(AW23:BH23)</f>
        <v>369</v>
      </c>
      <c r="BJ23" s="4555">
        <f>AVERAGE(AW23:BH23)</f>
        <v>184.5</v>
      </c>
      <c r="BL23" s="5620">
        <f t="shared" si="6"/>
        <v>-61</v>
      </c>
      <c r="BM23" s="5620">
        <f t="shared" si="7"/>
        <v>7</v>
      </c>
      <c r="BN23" s="5620">
        <f>IFERROR(
  SUM(
    _xlfn.XLOOKUP(DATE(YEAR($A$1),1,1),$2:$2,23:23):
    _xlfn.XLOOKUP($A$1,$2:$2,23:23)
  )
 -SUM(
    _xlfn.XLOOKUP(DATE(YEAR($A$1)-1,1,1),$2:$2,23:23):
    _xlfn.XLOOKUP(EDATE($A$1,-12),$2:$2,23:23)
  ),"")</f>
        <v>-79</v>
      </c>
      <c r="BO23" s="5620">
        <f t="shared" si="8"/>
        <v>-43</v>
      </c>
    </row>
    <row r="24" spans="1:67" x14ac:dyDescent="0.55000000000000004">
      <c r="A24" s="7361"/>
      <c r="B24" s="7370"/>
      <c r="C24" s="2332" t="s">
        <v>307</v>
      </c>
      <c r="D24" s="2332"/>
      <c r="E24" s="2332"/>
      <c r="F24" s="2332"/>
      <c r="G24" s="2332"/>
      <c r="H24" s="2332"/>
      <c r="I24" s="2332"/>
      <c r="J24" s="2332"/>
      <c r="K24" s="2332"/>
      <c r="L24" s="2332"/>
      <c r="M24" s="2332"/>
      <c r="N24" s="2332"/>
      <c r="O24" s="2332"/>
      <c r="P24" s="2332"/>
      <c r="Q24" s="2332"/>
      <c r="S24" s="4594">
        <f>S23/SUM(S21:S23)</f>
        <v>0.11764705882352941</v>
      </c>
      <c r="T24" s="4595">
        <f>T23/SUM(T21:T23)</f>
        <v>0.13392318520008042</v>
      </c>
      <c r="U24" s="4595">
        <f>U23/SUM(U21:U23)</f>
        <v>1.9944979367262722E-2</v>
      </c>
      <c r="V24" s="4595">
        <f>V23/SUM(V21:V23)</f>
        <v>9.0371915189433431E-3</v>
      </c>
      <c r="W24" s="4595">
        <f>W23/SUM(W21:W23)</f>
        <v>5.3995680345572351E-3</v>
      </c>
      <c r="X24" s="4595">
        <v>6.2500000000000003E-3</v>
      </c>
      <c r="Y24" s="4596">
        <v>9.9233983286908078E-2</v>
      </c>
      <c r="Z24" s="4596">
        <v>7.6979338087401719E-2</v>
      </c>
      <c r="AA24" s="4596">
        <f>AA23/AA11</f>
        <v>0.21052631578947367</v>
      </c>
      <c r="AB24" s="4597">
        <f>AB23/AB11</f>
        <v>0.56299999999999994</v>
      </c>
      <c r="AC24" s="4597">
        <f>AC23/AC11</f>
        <v>0.26053442959917777</v>
      </c>
      <c r="AD24" s="4595">
        <v>0.113</v>
      </c>
      <c r="AE24" s="4588">
        <f>AE23/SUM(AE21:AE23)</f>
        <v>0.14731166253101735</v>
      </c>
      <c r="AF24" s="4588">
        <f>AF23/SUM(AF21:AF23)</f>
        <v>0.14731166253101735</v>
      </c>
      <c r="AH24" s="4598">
        <v>0.21684414327202323</v>
      </c>
      <c r="AI24" s="4588">
        <v>0.03</v>
      </c>
      <c r="AJ24" s="4591">
        <v>1.2236906510034264E-2</v>
      </c>
      <c r="AK24" s="4588">
        <v>8.3544303797468359E-3</v>
      </c>
      <c r="AL24" s="4588">
        <v>4.0000000000000001E-3</v>
      </c>
      <c r="AM24" s="4592">
        <v>9.8166327097610664E-3</v>
      </c>
      <c r="AN24" s="4588">
        <v>5.7000000000000002E-2</v>
      </c>
      <c r="AO24" s="4592">
        <v>0.04</v>
      </c>
      <c r="AP24" s="4588">
        <v>0.11600000000000001</v>
      </c>
      <c r="AQ24" s="4588">
        <v>7.3999999999999996E-2</v>
      </c>
      <c r="AR24" s="4588">
        <v>1.9E-2</v>
      </c>
      <c r="AS24" s="4588">
        <v>2.7E-2</v>
      </c>
      <c r="AT24" s="4588">
        <f>AT23/SUM(AT21:AT23)</f>
        <v>4.1162601940246589E-2</v>
      </c>
      <c r="AU24" s="4599">
        <f t="shared" si="3"/>
        <v>5.1187676072630445E-2</v>
      </c>
      <c r="AW24" s="6224">
        <v>5.7000000000000002E-2</v>
      </c>
      <c r="AX24" s="4588">
        <v>7.0000000000000007E-2</v>
      </c>
      <c r="AY24" s="4591"/>
      <c r="AZ24" s="4588"/>
      <c r="BA24" s="4588"/>
      <c r="BB24" s="4592"/>
      <c r="BC24" s="4588"/>
      <c r="BD24" s="4592"/>
      <c r="BE24" s="4588"/>
      <c r="BF24" s="4588"/>
      <c r="BG24" s="4588"/>
      <c r="BH24" s="4588"/>
      <c r="BI24" s="4588">
        <f>BI23/SUM(BI21:BI23)</f>
        <v>6.2415426251691476E-2</v>
      </c>
      <c r="BJ24" s="4599">
        <f>BJ23/SUM(BJ21:BJ23)</f>
        <v>6.2415426251691476E-2</v>
      </c>
      <c r="BL24" s="5620">
        <f t="shared" si="6"/>
        <v>4.0000000000000008E-2</v>
      </c>
      <c r="BM24" s="5620">
        <f t="shared" si="7"/>
        <v>1.1227750179061032E-2</v>
      </c>
      <c r="BN24" s="5942">
        <f>BM24</f>
        <v>1.1227750179061032E-2</v>
      </c>
      <c r="BO24" s="5620">
        <f t="shared" si="8"/>
        <v>1.3000000000000005E-2</v>
      </c>
    </row>
    <row r="25" spans="1:67" x14ac:dyDescent="0.55000000000000004">
      <c r="A25" s="7361"/>
      <c r="B25" s="7371" t="s">
        <v>291</v>
      </c>
      <c r="C25" s="2341" t="s">
        <v>292</v>
      </c>
      <c r="D25" s="2341"/>
      <c r="E25" s="2341"/>
      <c r="F25" s="2341"/>
      <c r="G25" s="2341"/>
      <c r="H25" s="2341"/>
      <c r="I25" s="2341"/>
      <c r="J25" s="2341"/>
      <c r="K25" s="2341"/>
      <c r="L25" s="2341"/>
      <c r="M25" s="2341"/>
      <c r="N25" s="2341"/>
      <c r="O25" s="2341"/>
      <c r="P25" s="2341"/>
      <c r="Q25" s="2341"/>
      <c r="S25" s="4600"/>
      <c r="T25" s="4601">
        <v>90</v>
      </c>
      <c r="U25" s="4601">
        <v>2279</v>
      </c>
      <c r="V25" s="4601">
        <v>5953</v>
      </c>
      <c r="W25" s="4601">
        <v>7820</v>
      </c>
      <c r="X25" s="4601">
        <v>2621</v>
      </c>
      <c r="Y25" s="4601">
        <v>15326</v>
      </c>
      <c r="Z25" s="4601">
        <v>6429</v>
      </c>
      <c r="AA25" s="4601">
        <v>9738</v>
      </c>
      <c r="AB25" s="4601">
        <v>8347</v>
      </c>
      <c r="AC25" s="4601">
        <v>1190</v>
      </c>
      <c r="AD25" s="4601">
        <v>990</v>
      </c>
      <c r="AE25" s="4601">
        <f t="shared" si="0"/>
        <v>60783</v>
      </c>
      <c r="AF25" s="4601">
        <f t="shared" si="1"/>
        <v>5525.727272727273</v>
      </c>
      <c r="AH25" s="4602">
        <v>2605</v>
      </c>
      <c r="AI25" s="4601">
        <v>4093</v>
      </c>
      <c r="AJ25" s="4601">
        <v>1616</v>
      </c>
      <c r="AK25" s="4601">
        <v>5333</v>
      </c>
      <c r="AL25" s="4601">
        <v>1579</v>
      </c>
      <c r="AM25" s="4601">
        <v>3074</v>
      </c>
      <c r="AN25" s="4601">
        <v>9670</v>
      </c>
      <c r="AO25" s="4601">
        <v>3958</v>
      </c>
      <c r="AP25" s="4601">
        <v>7538</v>
      </c>
      <c r="AQ25" s="4601">
        <v>2781</v>
      </c>
      <c r="AR25" s="4601">
        <v>4171</v>
      </c>
      <c r="AS25" s="4601">
        <v>2087</v>
      </c>
      <c r="AT25" s="4601">
        <f t="shared" si="2"/>
        <v>48505</v>
      </c>
      <c r="AU25" s="4603">
        <f t="shared" si="3"/>
        <v>4042.0833333333335</v>
      </c>
      <c r="AW25" s="6230">
        <v>1000</v>
      </c>
      <c r="AX25" s="4601">
        <v>2000</v>
      </c>
      <c r="AY25" s="4601"/>
      <c r="AZ25" s="4601"/>
      <c r="BA25" s="4601"/>
      <c r="BB25" s="4601"/>
      <c r="BC25" s="4601"/>
      <c r="BD25" s="4601"/>
      <c r="BE25" s="4601"/>
      <c r="BF25" s="4601"/>
      <c r="BG25" s="4601"/>
      <c r="BH25" s="4601"/>
      <c r="BI25" s="4601">
        <f>SUM(AW25:BH25)</f>
        <v>3000</v>
      </c>
      <c r="BJ25" s="4603">
        <f>AVERAGE(AW25:BH25)</f>
        <v>1500</v>
      </c>
      <c r="BL25" s="5620">
        <f t="shared" si="6"/>
        <v>-2093</v>
      </c>
      <c r="BM25" s="5620">
        <f t="shared" si="7"/>
        <v>-2542.0833333333335</v>
      </c>
      <c r="BN25" s="5620">
        <f>IFERROR(
  SUM(
    _xlfn.XLOOKUP(DATE(YEAR($A$1),1,1),$2:$2,25:25):
    _xlfn.XLOOKUP($A$1,$2:$2,25:25)
  )
 -SUM(
    _xlfn.XLOOKUP(DATE(YEAR($A$1)-1,1,1),$2:$2,25:25):
    _xlfn.XLOOKUP(EDATE($A$1,-12),$2:$2,25:25)
  ),"")</f>
        <v>-3698</v>
      </c>
      <c r="BO25" s="5620">
        <f t="shared" si="8"/>
        <v>1000</v>
      </c>
    </row>
    <row r="26" spans="1:67" x14ac:dyDescent="0.55000000000000004">
      <c r="A26" s="7361"/>
      <c r="B26" s="7364"/>
      <c r="C26" s="2262" t="s">
        <v>1097</v>
      </c>
      <c r="D26" s="2262"/>
      <c r="E26" s="2262"/>
      <c r="F26" s="2262"/>
      <c r="G26" s="2262"/>
      <c r="H26" s="2262"/>
      <c r="I26" s="2262"/>
      <c r="J26" s="2262"/>
      <c r="K26" s="2262"/>
      <c r="L26" s="2262"/>
      <c r="M26" s="2262"/>
      <c r="N26" s="2262"/>
      <c r="O26" s="2262"/>
      <c r="P26" s="2262"/>
      <c r="Q26" s="2262"/>
      <c r="S26" s="4604"/>
      <c r="T26" s="4570">
        <v>0.28968181818181815</v>
      </c>
      <c r="U26" s="4570">
        <v>7.0096850000000002</v>
      </c>
      <c r="V26" s="4570">
        <v>9.9740772727272731</v>
      </c>
      <c r="W26" s="4570">
        <v>16.855045449999999</v>
      </c>
      <c r="X26" s="4570">
        <v>3.8795000000000002</v>
      </c>
      <c r="Y26" s="4570">
        <v>11.372210000000001</v>
      </c>
      <c r="Z26" s="4570">
        <f>1835349000/100000000</f>
        <v>18.353490000000001</v>
      </c>
      <c r="AA26" s="4570">
        <f>1958776000/100000000</f>
        <v>19.587759999999999</v>
      </c>
      <c r="AB26" s="4570">
        <v>25.3</v>
      </c>
      <c r="AC26" s="4570">
        <v>2.2999999999999998</v>
      </c>
      <c r="AD26" s="4570">
        <v>2.2000000000000002</v>
      </c>
      <c r="AE26" s="4570">
        <f t="shared" si="0"/>
        <v>117.1214495409091</v>
      </c>
      <c r="AF26" s="4570">
        <f t="shared" si="1"/>
        <v>10.647404503719009</v>
      </c>
      <c r="AH26" s="4571">
        <v>5.0999999999999996</v>
      </c>
      <c r="AI26" s="4570">
        <v>4.5</v>
      </c>
      <c r="AJ26" s="4570">
        <v>4.4000000000000004</v>
      </c>
      <c r="AK26" s="4570">
        <v>8.5</v>
      </c>
      <c r="AL26" s="4570">
        <v>2.5</v>
      </c>
      <c r="AM26" s="4570">
        <v>4.4000000000000004</v>
      </c>
      <c r="AN26" s="4570">
        <v>11.6</v>
      </c>
      <c r="AO26" s="4570">
        <v>11.9</v>
      </c>
      <c r="AP26" s="4570">
        <v>13.5</v>
      </c>
      <c r="AQ26" s="4570">
        <v>8.6</v>
      </c>
      <c r="AR26" s="4570">
        <v>13.7</v>
      </c>
      <c r="AS26" s="4570">
        <v>4.5</v>
      </c>
      <c r="AT26" s="4570">
        <f t="shared" si="2"/>
        <v>93.2</v>
      </c>
      <c r="AU26" s="4572">
        <f t="shared" si="3"/>
        <v>7.7666666666666666</v>
      </c>
      <c r="AW26" s="6226">
        <v>2.8</v>
      </c>
      <c r="AX26" s="4570">
        <v>5.5</v>
      </c>
      <c r="AY26" s="4570"/>
      <c r="AZ26" s="4570"/>
      <c r="BA26" s="4570"/>
      <c r="BB26" s="4570"/>
      <c r="BC26" s="4570"/>
      <c r="BD26" s="4570"/>
      <c r="BE26" s="4570"/>
      <c r="BF26" s="4570"/>
      <c r="BG26" s="4570"/>
      <c r="BH26" s="4570"/>
      <c r="BI26" s="4570">
        <f>SUM(AW26:BH26)</f>
        <v>8.3000000000000007</v>
      </c>
      <c r="BJ26" s="4572">
        <f>AVERAGE(AW26:BH26)</f>
        <v>4.1500000000000004</v>
      </c>
      <c r="BL26" s="5620">
        <f t="shared" si="6"/>
        <v>1</v>
      </c>
      <c r="BM26" s="5620">
        <f t="shared" si="7"/>
        <v>-3.6166666666666663</v>
      </c>
      <c r="BN26" s="5620">
        <f>IFERROR(
  SUM(
    _xlfn.XLOOKUP(DATE(YEAR($A$1),1,1),$2:$2,26:26):
    _xlfn.XLOOKUP($A$1,$2:$2,26:26)
  )
 -SUM(
    _xlfn.XLOOKUP(DATE(YEAR($A$1)-1,1,1),$2:$2,26:26):
    _xlfn.XLOOKUP(EDATE($A$1,-12),$2:$2,26:26)
  ),"")</f>
        <v>-1.2999999999999989</v>
      </c>
      <c r="BO26" s="5620">
        <f t="shared" si="8"/>
        <v>2.7</v>
      </c>
    </row>
    <row r="27" spans="1:67" x14ac:dyDescent="0.55000000000000004">
      <c r="A27" s="7361"/>
      <c r="B27" s="7364"/>
      <c r="C27" s="2262" t="s">
        <v>293</v>
      </c>
      <c r="D27" s="2262"/>
      <c r="E27" s="2262"/>
      <c r="F27" s="2262"/>
      <c r="G27" s="2262"/>
      <c r="H27" s="2262"/>
      <c r="I27" s="2262"/>
      <c r="J27" s="2262"/>
      <c r="K27" s="2262"/>
      <c r="L27" s="2262"/>
      <c r="M27" s="2262"/>
      <c r="N27" s="2262"/>
      <c r="O27" s="2262"/>
      <c r="P27" s="2262"/>
      <c r="Q27" s="2262"/>
      <c r="S27" s="4604"/>
      <c r="T27" s="4566">
        <v>321868.68686868687</v>
      </c>
      <c r="U27" s="4566">
        <v>307577.2268538833</v>
      </c>
      <c r="V27" s="4566">
        <v>167547.07328619642</v>
      </c>
      <c r="W27" s="4566">
        <v>215537.665659149</v>
      </c>
      <c r="X27" s="4566">
        <v>148016.02441816102</v>
      </c>
      <c r="Y27" s="4566">
        <v>74202.074905389527</v>
      </c>
      <c r="Z27" s="4566">
        <v>285480</v>
      </c>
      <c r="AA27" s="4566">
        <v>201147</v>
      </c>
      <c r="AB27" s="4566">
        <v>304103</v>
      </c>
      <c r="AC27" s="4566">
        <v>194658</v>
      </c>
      <c r="AD27" s="4566">
        <v>220845</v>
      </c>
      <c r="AE27" s="4566">
        <f t="shared" si="0"/>
        <v>2440981.7519914662</v>
      </c>
      <c r="AF27" s="4566">
        <f t="shared" si="1"/>
        <v>221907.43199922421</v>
      </c>
      <c r="AH27" s="4571">
        <v>197576</v>
      </c>
      <c r="AI27" s="4566">
        <v>111747.54580991938</v>
      </c>
      <c r="AJ27" s="4566">
        <v>111747.54580991938</v>
      </c>
      <c r="AK27" s="4566">
        <v>159387</v>
      </c>
      <c r="AL27" s="4566">
        <v>159692</v>
      </c>
      <c r="AM27" s="4566">
        <v>144357</v>
      </c>
      <c r="AN27" s="4566">
        <v>119763</v>
      </c>
      <c r="AO27" s="4566">
        <v>331876</v>
      </c>
      <c r="AP27" s="4566">
        <v>180392</v>
      </c>
      <c r="AQ27" s="4566">
        <v>311638</v>
      </c>
      <c r="AR27" s="4566">
        <v>330230</v>
      </c>
      <c r="AS27" s="4566">
        <v>217696</v>
      </c>
      <c r="AT27" s="4566">
        <f t="shared" si="2"/>
        <v>2376102.091619839</v>
      </c>
      <c r="AU27" s="4568">
        <f t="shared" si="3"/>
        <v>198008.50763498657</v>
      </c>
      <c r="AW27" s="6226">
        <v>286195</v>
      </c>
      <c r="AX27" s="4566">
        <v>275502</v>
      </c>
      <c r="AY27" s="4566"/>
      <c r="AZ27" s="4566"/>
      <c r="BA27" s="4566"/>
      <c r="BB27" s="4566"/>
      <c r="BC27" s="4566"/>
      <c r="BD27" s="4566"/>
      <c r="BE27" s="4566"/>
      <c r="BF27" s="4566"/>
      <c r="BG27" s="4566"/>
      <c r="BH27" s="4566"/>
      <c r="BI27" s="4566">
        <f>SUM(AW27:BH27)</f>
        <v>561697</v>
      </c>
      <c r="BJ27" s="4568">
        <f>AVERAGE(AW27:BH27)</f>
        <v>280848.5</v>
      </c>
      <c r="BL27" s="5620">
        <f t="shared" si="6"/>
        <v>163754.45419008064</v>
      </c>
      <c r="BM27" s="5620">
        <f t="shared" si="7"/>
        <v>82839.99236501343</v>
      </c>
      <c r="BN27" s="5620">
        <f>IFERROR(
  SUM(
    _xlfn.XLOOKUP(DATE(YEAR($A$1),1,1),$2:$2,27:27):
    _xlfn.XLOOKUP($A$1,$2:$2,27:27)
  )
 -SUM(
    _xlfn.XLOOKUP(DATE(YEAR($A$1)-1,1,1),$2:$2,27:27):
    _xlfn.XLOOKUP(EDATE($A$1,-12),$2:$2,27:27)
  ),"")</f>
        <v>252373.45419008064</v>
      </c>
      <c r="BO27" s="5620">
        <f t="shared" si="8"/>
        <v>-10693</v>
      </c>
    </row>
    <row r="28" spans="1:67" ht="15.45" thickBot="1" x14ac:dyDescent="0.6">
      <c r="A28" s="7366"/>
      <c r="B28" s="7372"/>
      <c r="C28" s="2354" t="s">
        <v>1099</v>
      </c>
      <c r="D28" s="2354"/>
      <c r="E28" s="2354"/>
      <c r="F28" s="2354"/>
      <c r="G28" s="2354"/>
      <c r="H28" s="2354"/>
      <c r="I28" s="2354"/>
      <c r="J28" s="2354"/>
      <c r="K28" s="2354"/>
      <c r="L28" s="2354"/>
      <c r="M28" s="2354"/>
      <c r="N28" s="2354"/>
      <c r="O28" s="2354"/>
      <c r="P28" s="2354"/>
      <c r="Q28" s="2354"/>
      <c r="S28" s="4605"/>
      <c r="T28" s="4606">
        <v>-1.3027272727272728E-2</v>
      </c>
      <c r="U28" s="4607">
        <v>0.18393045454545454</v>
      </c>
      <c r="V28" s="4607">
        <v>0.10594545454545536</v>
      </c>
      <c r="W28" s="4607">
        <v>1.9991318199999999</v>
      </c>
      <c r="X28" s="4607">
        <v>0.7347699999999997</v>
      </c>
      <c r="Y28" s="4607">
        <v>1.3721449999999999</v>
      </c>
      <c r="Z28" s="4607">
        <f>219696500/100000000</f>
        <v>2.1969650000000001</v>
      </c>
      <c r="AA28" s="4607">
        <f>153905955/100000000</f>
        <v>1.5390595499999999</v>
      </c>
      <c r="AB28" s="4607">
        <v>1.7</v>
      </c>
      <c r="AC28" s="4607">
        <v>0.7</v>
      </c>
      <c r="AD28" s="4607">
        <v>0.5</v>
      </c>
      <c r="AE28" s="4607">
        <f t="shared" si="0"/>
        <v>11.018920006363635</v>
      </c>
      <c r="AF28" s="4607">
        <f t="shared" si="1"/>
        <v>1.0017200005785123</v>
      </c>
      <c r="AH28" s="4608">
        <v>1.4</v>
      </c>
      <c r="AI28" s="4609">
        <v>1.1000000000000001</v>
      </c>
      <c r="AJ28" s="4609">
        <v>1.1000000000000001</v>
      </c>
      <c r="AK28" s="4610">
        <v>1.7</v>
      </c>
      <c r="AL28" s="4610">
        <v>0.3</v>
      </c>
      <c r="AM28" s="4610">
        <v>0.4</v>
      </c>
      <c r="AN28" s="4610">
        <v>0.7</v>
      </c>
      <c r="AO28" s="4610">
        <v>0.3</v>
      </c>
      <c r="AP28" s="4610">
        <v>0.8</v>
      </c>
      <c r="AQ28" s="4610">
        <v>1.4</v>
      </c>
      <c r="AR28" s="4610">
        <v>2.6</v>
      </c>
      <c r="AS28" s="4610">
        <v>1.3</v>
      </c>
      <c r="AT28" s="4610">
        <f t="shared" si="2"/>
        <v>13.1</v>
      </c>
      <c r="AU28" s="4611">
        <f t="shared" si="3"/>
        <v>1.0916666666666666</v>
      </c>
      <c r="AW28" s="6231">
        <v>0.6</v>
      </c>
      <c r="AX28" s="4609">
        <v>1.1000000000000001</v>
      </c>
      <c r="AY28" s="4609"/>
      <c r="AZ28" s="4610"/>
      <c r="BA28" s="4610"/>
      <c r="BB28" s="4610"/>
      <c r="BC28" s="4610"/>
      <c r="BD28" s="4610"/>
      <c r="BE28" s="4610"/>
      <c r="BF28" s="4610"/>
      <c r="BG28" s="4610"/>
      <c r="BH28" s="4610"/>
      <c r="BI28" s="4610">
        <f>SUM(AW28:BH28)</f>
        <v>1.7000000000000002</v>
      </c>
      <c r="BJ28" s="4611">
        <f>AVERAGE(AW28:BH28)</f>
        <v>0.85000000000000009</v>
      </c>
      <c r="BL28" s="5620">
        <f t="shared" si="6"/>
        <v>0</v>
      </c>
      <c r="BM28" s="5620">
        <f t="shared" si="7"/>
        <v>-0.24166666666666647</v>
      </c>
      <c r="BN28" s="5620">
        <f>IFERROR(
  SUM(
    _xlfn.XLOOKUP(DATE(YEAR($A$1),1,1),$2:$2,28:28):
    _xlfn.XLOOKUP($A$1,$2:$2,28:28)
  )
 -SUM(
    _xlfn.XLOOKUP(DATE(YEAR($A$1)-1,1,1),$2:$2,28:28):
    _xlfn.XLOOKUP(EDATE($A$1,-12),$2:$2,28:28)
  ),"")</f>
        <v>-0.79999999999999982</v>
      </c>
      <c r="BO28" s="5620">
        <f t="shared" si="8"/>
        <v>0.50000000000000011</v>
      </c>
    </row>
    <row r="29" spans="1:67" ht="15.45" thickBot="1" x14ac:dyDescent="0.6">
      <c r="X29" s="594"/>
      <c r="Y29" s="594"/>
      <c r="Z29" s="594"/>
      <c r="AA29" s="594"/>
      <c r="AC29" s="594"/>
      <c r="AD29" s="594"/>
      <c r="AE29" s="594"/>
      <c r="AF29" s="594"/>
      <c r="AN29" s="4490"/>
      <c r="AP29" s="594"/>
      <c r="AR29" s="594"/>
      <c r="AS29" s="594"/>
      <c r="AT29" s="594"/>
      <c r="AU29" s="594"/>
      <c r="BC29" s="4490"/>
      <c r="BE29" s="594"/>
      <c r="BG29" s="594"/>
      <c r="BH29" s="594"/>
      <c r="BI29" s="594"/>
      <c r="BJ29" s="594"/>
      <c r="BL29" s="5620">
        <f t="shared" si="6"/>
        <v>0</v>
      </c>
      <c r="BM29" s="5620">
        <f t="shared" si="7"/>
        <v>0</v>
      </c>
      <c r="BN29" s="5620">
        <f>IFERROR(
  SUM(
    _xlfn.XLOOKUP(DATE(YEAR($A$1),1,1),$2:$2,29:29):
    _xlfn.XLOOKUP($A$1,$2:$2,29:29)
  )
 -SUM(
    _xlfn.XLOOKUP(DATE(YEAR($A$1)-1,1,1),$2:$2,29:29):
    _xlfn.XLOOKUP(EDATE($A$1,-12),$2:$2,29:29)
  ),"")</f>
        <v>0</v>
      </c>
      <c r="BO29" s="5620">
        <f t="shared" si="8"/>
        <v>0</v>
      </c>
    </row>
    <row r="30" spans="1:67" ht="15.45" thickTop="1" x14ac:dyDescent="0.55000000000000004">
      <c r="A30" s="7358" t="s">
        <v>106</v>
      </c>
      <c r="B30" s="2364" t="s">
        <v>324</v>
      </c>
      <c r="C30" s="2364"/>
      <c r="D30" s="2364">
        <v>6166</v>
      </c>
      <c r="E30" s="2364">
        <v>6318</v>
      </c>
      <c r="F30" s="2364">
        <v>6433</v>
      </c>
      <c r="G30" s="2364">
        <v>6565</v>
      </c>
      <c r="H30" s="2364">
        <v>7850</v>
      </c>
      <c r="I30" s="2364">
        <v>8313</v>
      </c>
      <c r="J30" s="2364">
        <v>8600</v>
      </c>
      <c r="K30" s="2364">
        <v>8695</v>
      </c>
      <c r="L30" s="2364">
        <v>8835</v>
      </c>
      <c r="M30" s="2364">
        <v>8939</v>
      </c>
      <c r="N30" s="2364">
        <v>9075</v>
      </c>
      <c r="O30" s="2364">
        <v>9218</v>
      </c>
      <c r="P30" s="2364">
        <f>SUM(D30:O30)</f>
        <v>95007</v>
      </c>
      <c r="Q30" s="4612">
        <f>AVERAGE(D30:O30)</f>
        <v>7917.25</v>
      </c>
      <c r="S30" s="4613">
        <v>9509</v>
      </c>
      <c r="T30" s="3670">
        <v>10675</v>
      </c>
      <c r="U30" s="3670">
        <v>11775</v>
      </c>
      <c r="V30" s="3670">
        <v>12307</v>
      </c>
      <c r="W30" s="3670">
        <v>12783</v>
      </c>
      <c r="X30" s="4614">
        <v>13796</v>
      </c>
      <c r="Y30" s="4614">
        <v>14385</v>
      </c>
      <c r="Z30" s="4614">
        <v>14748</v>
      </c>
      <c r="AA30" s="4614">
        <v>14931</v>
      </c>
      <c r="AB30" s="4614">
        <v>15204</v>
      </c>
      <c r="AC30" s="4614">
        <v>15431</v>
      </c>
      <c r="AD30" s="4614">
        <v>15583</v>
      </c>
      <c r="AE30" s="4615">
        <f>SUM(S30:AD30)</f>
        <v>161127</v>
      </c>
      <c r="AF30" s="4615">
        <f>AVERAGE(S30:AD30)</f>
        <v>13427.25</v>
      </c>
      <c r="AG30" s="4616"/>
      <c r="AH30" s="4617">
        <v>15799</v>
      </c>
      <c r="AI30" s="4618">
        <v>16046</v>
      </c>
      <c r="AJ30" s="4618">
        <v>16287</v>
      </c>
      <c r="AK30" s="4618">
        <v>16464</v>
      </c>
      <c r="AL30" s="4618">
        <v>16415</v>
      </c>
      <c r="AM30" s="4618">
        <v>16502</v>
      </c>
      <c r="AN30" s="4618">
        <v>16561</v>
      </c>
      <c r="AO30" s="4618">
        <v>16624</v>
      </c>
      <c r="AP30" s="4618">
        <v>16704</v>
      </c>
      <c r="AQ30" s="4618">
        <v>16771</v>
      </c>
      <c r="AR30" s="4618">
        <v>12172</v>
      </c>
      <c r="AS30" s="4618">
        <v>12003</v>
      </c>
      <c r="AT30" s="4619">
        <f t="shared" ref="AT30:AT64" si="10">SUM(AH30:AS30)</f>
        <v>188348</v>
      </c>
      <c r="AU30" s="4620">
        <f t="shared" ref="AU30:AU64" si="11">AVERAGE(AH30:AS30)</f>
        <v>15695.666666666666</v>
      </c>
      <c r="AV30" s="4616"/>
      <c r="AW30" s="4617">
        <v>11843</v>
      </c>
      <c r="AX30" s="4618">
        <v>11619</v>
      </c>
      <c r="AY30" s="4618"/>
      <c r="AZ30" s="4618"/>
      <c r="BA30" s="4618"/>
      <c r="BB30" s="4618"/>
      <c r="BC30" s="4618"/>
      <c r="BD30" s="4618"/>
      <c r="BE30" s="4618"/>
      <c r="BF30" s="4618"/>
      <c r="BG30" s="4618"/>
      <c r="BH30" s="4618"/>
      <c r="BI30" s="4619">
        <f>SUM(AW30:BH30)</f>
        <v>23462</v>
      </c>
      <c r="BJ30" s="4620">
        <f>AVERAGE(AW30:BH30)</f>
        <v>11731</v>
      </c>
      <c r="BK30" s="4616"/>
      <c r="BL30" s="5620">
        <f t="shared" si="6"/>
        <v>-4427</v>
      </c>
      <c r="BM30" s="5620">
        <f t="shared" si="7"/>
        <v>-3964.6666666666661</v>
      </c>
      <c r="BN30" s="5620">
        <f>IFERROR(
  SUM(
    _xlfn.XLOOKUP(DATE(YEAR($A$1),1,1),$2:$2,30:30):
    _xlfn.XLOOKUP($A$1,$2:$2,30:30)
  )
 -SUM(
    _xlfn.XLOOKUP(DATE(YEAR($A$1)-1,1,1),$2:$2,30:30):
    _xlfn.XLOOKUP(EDATE($A$1,-12),$2:$2,30:30)
  ),"")</f>
        <v>-8383</v>
      </c>
      <c r="BO30" s="5620">
        <f t="shared" si="8"/>
        <v>-224</v>
      </c>
    </row>
    <row r="31" spans="1:67" x14ac:dyDescent="0.55000000000000004">
      <c r="A31" s="7359"/>
      <c r="B31" s="2373" t="s">
        <v>317</v>
      </c>
      <c r="C31" s="2373"/>
      <c r="D31" s="2373">
        <f>0</f>
        <v>0</v>
      </c>
      <c r="E31" s="2373">
        <f>0</f>
        <v>0</v>
      </c>
      <c r="F31" s="2373">
        <f>0</f>
        <v>0</v>
      </c>
      <c r="G31" s="2373">
        <f>0</f>
        <v>0</v>
      </c>
      <c r="H31" s="2373">
        <f>0</f>
        <v>0</v>
      </c>
      <c r="I31" s="2373">
        <f>0</f>
        <v>0</v>
      </c>
      <c r="J31" s="2373">
        <f>0</f>
        <v>0</v>
      </c>
      <c r="K31" s="2373">
        <f>0</f>
        <v>0</v>
      </c>
      <c r="L31" s="2373">
        <f>0</f>
        <v>0</v>
      </c>
      <c r="M31" s="2373">
        <f>0</f>
        <v>0</v>
      </c>
      <c r="N31" s="2373">
        <f>0</f>
        <v>0</v>
      </c>
      <c r="O31" s="2373">
        <f>0</f>
        <v>0</v>
      </c>
      <c r="P31" s="2373">
        <f>0</f>
        <v>0</v>
      </c>
      <c r="Q31" s="2373">
        <f>0</f>
        <v>0</v>
      </c>
      <c r="S31" s="4621">
        <v>5682</v>
      </c>
      <c r="T31" s="3671">
        <v>6722</v>
      </c>
      <c r="U31" s="3671">
        <v>6914</v>
      </c>
      <c r="V31" s="3671">
        <v>9765</v>
      </c>
      <c r="W31" s="3671">
        <v>9604</v>
      </c>
      <c r="X31" s="3671">
        <v>10658</v>
      </c>
      <c r="Y31" s="3671">
        <v>8916</v>
      </c>
      <c r="Z31" s="3671">
        <v>8582</v>
      </c>
      <c r="AA31" s="3671">
        <v>7896</v>
      </c>
      <c r="AB31" s="3671">
        <v>7962</v>
      </c>
      <c r="AC31" s="3671">
        <v>8556</v>
      </c>
      <c r="AD31" s="3671">
        <v>7479</v>
      </c>
      <c r="AE31" s="3671">
        <f>SUM(S31:AD31)</f>
        <v>98736</v>
      </c>
      <c r="AF31" s="3671">
        <f>AVERAGE(S31:AD31)</f>
        <v>8228</v>
      </c>
      <c r="AH31" s="4622">
        <v>7921</v>
      </c>
      <c r="AI31" s="3671">
        <v>6200</v>
      </c>
      <c r="AJ31" s="3671">
        <v>5227</v>
      </c>
      <c r="AK31" s="3671">
        <v>3519</v>
      </c>
      <c r="AL31" s="3671">
        <v>1423</v>
      </c>
      <c r="AM31" s="3671">
        <v>1281</v>
      </c>
      <c r="AN31" s="3671">
        <v>2850</v>
      </c>
      <c r="AO31" s="3671">
        <v>3496</v>
      </c>
      <c r="AP31" s="3671">
        <v>3291</v>
      </c>
      <c r="AQ31" s="3671">
        <v>1803</v>
      </c>
      <c r="AR31" s="3671">
        <v>1218</v>
      </c>
      <c r="AS31" s="3671">
        <v>762</v>
      </c>
      <c r="AT31" s="3671">
        <f t="shared" si="10"/>
        <v>38991</v>
      </c>
      <c r="AU31" s="4623">
        <f t="shared" si="11"/>
        <v>3249.25</v>
      </c>
      <c r="AW31" s="4622">
        <v>376</v>
      </c>
      <c r="AX31" s="3671">
        <v>724</v>
      </c>
      <c r="AY31" s="3671"/>
      <c r="AZ31" s="3671"/>
      <c r="BA31" s="3671"/>
      <c r="BB31" s="3671"/>
      <c r="BC31" s="3671"/>
      <c r="BD31" s="3671"/>
      <c r="BE31" s="3671"/>
      <c r="BF31" s="3671"/>
      <c r="BG31" s="3671"/>
      <c r="BH31" s="3671"/>
      <c r="BI31" s="3671">
        <f>SUM(AW31:BH31)</f>
        <v>1100</v>
      </c>
      <c r="BJ31" s="4623">
        <f>AVERAGE(AW31:BH31)</f>
        <v>550</v>
      </c>
      <c r="BL31" s="5620">
        <f t="shared" si="6"/>
        <v>-5476</v>
      </c>
      <c r="BM31" s="5620">
        <f t="shared" si="7"/>
        <v>-2699.25</v>
      </c>
      <c r="BN31" s="5620">
        <f>IFERROR(
  SUM(
    _xlfn.XLOOKUP(DATE(YEAR($A$1),1,1),$2:$2,31:31):
    _xlfn.XLOOKUP($A$1,$2:$2,31:31)
  )
 -SUM(
    _xlfn.XLOOKUP(DATE(YEAR($A$1)-1,1,1),$2:$2,31:31):
    _xlfn.XLOOKUP(EDATE($A$1,-12),$2:$2,31:31)
  ),"")</f>
        <v>-13021</v>
      </c>
      <c r="BO31" s="5620">
        <f t="shared" si="8"/>
        <v>348</v>
      </c>
    </row>
    <row r="32" spans="1:67" x14ac:dyDescent="0.55000000000000004">
      <c r="A32" s="7359"/>
      <c r="B32" s="2373" t="s">
        <v>323</v>
      </c>
      <c r="C32" s="2373"/>
      <c r="D32" s="2373">
        <v>1555</v>
      </c>
      <c r="E32" s="2373">
        <v>1639</v>
      </c>
      <c r="F32" s="2373">
        <v>1503</v>
      </c>
      <c r="G32" s="2373">
        <v>1430</v>
      </c>
      <c r="H32" s="2373">
        <v>1245</v>
      </c>
      <c r="I32" s="2373">
        <v>1151</v>
      </c>
      <c r="J32" s="2373">
        <v>1100</v>
      </c>
      <c r="K32" s="2373">
        <v>1013</v>
      </c>
      <c r="L32" s="2373">
        <v>740</v>
      </c>
      <c r="M32" s="2373">
        <v>928</v>
      </c>
      <c r="N32" s="2373">
        <v>899</v>
      </c>
      <c r="O32" s="2373">
        <v>850</v>
      </c>
      <c r="P32" s="2373">
        <f t="shared" ref="P32:P40" si="12">SUM(D32:O32)</f>
        <v>14053</v>
      </c>
      <c r="Q32" s="2373">
        <f t="shared" ref="Q32:Q40" si="13">AVERAGE(D32:O32)</f>
        <v>1171.0833333333333</v>
      </c>
      <c r="S32" s="4621">
        <v>1187</v>
      </c>
      <c r="T32" s="3671">
        <v>1225</v>
      </c>
      <c r="U32" s="3671">
        <v>1362</v>
      </c>
      <c r="V32" s="3671">
        <v>1582</v>
      </c>
      <c r="W32" s="3671">
        <v>1715</v>
      </c>
      <c r="X32" s="3671">
        <v>1788</v>
      </c>
      <c r="Y32" s="3671">
        <v>1745</v>
      </c>
      <c r="Z32" s="3671">
        <v>1811</v>
      </c>
      <c r="AA32" s="3671">
        <v>1713</v>
      </c>
      <c r="AB32" s="3671">
        <v>1662</v>
      </c>
      <c r="AC32" s="3671">
        <v>2081</v>
      </c>
      <c r="AD32" s="3671">
        <v>2220</v>
      </c>
      <c r="AE32" s="3671">
        <f>SUM(S32:AD32)</f>
        <v>20091</v>
      </c>
      <c r="AF32" s="3671">
        <f>AVERAGE(S32:AD32)</f>
        <v>1674.25</v>
      </c>
      <c r="AG32" s="2978"/>
      <c r="AH32" s="4622">
        <v>2798</v>
      </c>
      <c r="AI32" s="3671">
        <v>2245</v>
      </c>
      <c r="AJ32" s="3671">
        <v>2011</v>
      </c>
      <c r="AK32" s="3671">
        <v>2155</v>
      </c>
      <c r="AL32" s="3671">
        <v>1516</v>
      </c>
      <c r="AM32" s="3671">
        <v>388</v>
      </c>
      <c r="AN32" s="3671">
        <v>790</v>
      </c>
      <c r="AO32" s="3671">
        <v>791</v>
      </c>
      <c r="AP32" s="3671">
        <v>1237</v>
      </c>
      <c r="AQ32" s="3671">
        <v>915</v>
      </c>
      <c r="AR32" s="3671">
        <v>553</v>
      </c>
      <c r="AS32" s="3671">
        <v>385</v>
      </c>
      <c r="AT32" s="3671">
        <f t="shared" si="10"/>
        <v>15784</v>
      </c>
      <c r="AU32" s="4623">
        <f t="shared" si="11"/>
        <v>1315.3333333333333</v>
      </c>
      <c r="AV32" s="2978"/>
      <c r="AW32" s="4622">
        <v>405</v>
      </c>
      <c r="AX32" s="3671">
        <v>107</v>
      </c>
      <c r="AY32" s="3671"/>
      <c r="AZ32" s="3671"/>
      <c r="BA32" s="3671"/>
      <c r="BB32" s="3671"/>
      <c r="BC32" s="3671"/>
      <c r="BD32" s="3671"/>
      <c r="BE32" s="3671"/>
      <c r="BF32" s="3671"/>
      <c r="BG32" s="3671"/>
      <c r="BH32" s="3671"/>
      <c r="BI32" s="3671">
        <f>SUM(AW32:BH32)</f>
        <v>512</v>
      </c>
      <c r="BJ32" s="4623">
        <f>AVERAGE(AW32:BH32)</f>
        <v>256</v>
      </c>
      <c r="BK32" s="2860"/>
      <c r="BL32" s="5620">
        <f t="shared" si="6"/>
        <v>-2138</v>
      </c>
      <c r="BM32" s="5620">
        <f t="shared" si="7"/>
        <v>-1059.3333333333333</v>
      </c>
      <c r="BN32" s="5620">
        <f>IFERROR(
  SUM(
    _xlfn.XLOOKUP(DATE(YEAR($A$1),1,1),$2:$2,32:32):
    _xlfn.XLOOKUP($A$1,$2:$2,32:32)
  )
 -SUM(
    _xlfn.XLOOKUP(DATE(YEAR($A$1)-1,1,1),$2:$2,32:32):
    _xlfn.XLOOKUP(EDATE($A$1,-12),$2:$2,32:32)
  ),"")</f>
        <v>-4531</v>
      </c>
      <c r="BO32" s="5620">
        <f t="shared" si="8"/>
        <v>-298</v>
      </c>
    </row>
    <row r="33" spans="1:67" x14ac:dyDescent="0.55000000000000004">
      <c r="A33" s="7359"/>
      <c r="B33" s="556" t="s">
        <v>321</v>
      </c>
      <c r="C33" s="556"/>
      <c r="D33" s="556">
        <f>0</f>
        <v>0</v>
      </c>
      <c r="E33" s="556">
        <f>0</f>
        <v>0</v>
      </c>
      <c r="F33" s="556">
        <f>0</f>
        <v>0</v>
      </c>
      <c r="G33" s="556">
        <f>0</f>
        <v>0</v>
      </c>
      <c r="H33" s="556">
        <f>0</f>
        <v>0</v>
      </c>
      <c r="I33" s="556">
        <f>0</f>
        <v>0</v>
      </c>
      <c r="J33" s="556">
        <f>0</f>
        <v>0</v>
      </c>
      <c r="K33" s="556">
        <f>0</f>
        <v>0</v>
      </c>
      <c r="L33" s="556">
        <f>0</f>
        <v>0</v>
      </c>
      <c r="M33" s="556">
        <f>0</f>
        <v>0</v>
      </c>
      <c r="N33" s="556">
        <f>0</f>
        <v>0</v>
      </c>
      <c r="O33" s="556">
        <f>0</f>
        <v>0</v>
      </c>
      <c r="P33" s="556">
        <f>0</f>
        <v>0</v>
      </c>
      <c r="Q33" s="556">
        <f>0</f>
        <v>0</v>
      </c>
      <c r="S33" s="4624">
        <v>1.9629317607413648</v>
      </c>
      <c r="T33" s="4271">
        <v>3.143673469387755</v>
      </c>
      <c r="U33" s="4271">
        <v>2.7753303964757707</v>
      </c>
      <c r="V33" s="4271">
        <v>3.3887484197218711</v>
      </c>
      <c r="W33" s="4271">
        <v>3.7061224489795919</v>
      </c>
      <c r="X33" s="4271">
        <v>3.488255033557047</v>
      </c>
      <c r="Y33" s="4271">
        <v>3.3931232091690546</v>
      </c>
      <c r="Z33" s="4271">
        <v>3.7</v>
      </c>
      <c r="AA33" s="4271">
        <v>3.4109748978400467</v>
      </c>
      <c r="AB33" s="4271">
        <v>1.9</v>
      </c>
      <c r="AC33" s="4271">
        <v>3.6117251321480057</v>
      </c>
      <c r="AD33" s="4271">
        <v>3.5</v>
      </c>
      <c r="AE33" s="4271">
        <f>SUM(S33:AD33)</f>
        <v>37.980884768020502</v>
      </c>
      <c r="AF33" s="4271">
        <f>AVERAGE(S33:AD33)</f>
        <v>3.1650737306683752</v>
      </c>
      <c r="AG33" s="2978"/>
      <c r="AH33" s="4625">
        <v>3.5</v>
      </c>
      <c r="AI33" s="4271">
        <v>2.7616926503340755</v>
      </c>
      <c r="AJ33" s="4271">
        <v>2.9686723023371457</v>
      </c>
      <c r="AK33" s="4271">
        <v>3.3517401392111368</v>
      </c>
      <c r="AL33" s="4271">
        <v>2.6</v>
      </c>
      <c r="AM33" s="4271">
        <v>2</v>
      </c>
      <c r="AN33" s="4271">
        <v>2.2000000000000002</v>
      </c>
      <c r="AO33" s="3304">
        <v>2.4</v>
      </c>
      <c r="AP33" s="4271">
        <v>2.8</v>
      </c>
      <c r="AQ33" s="4271">
        <v>3.1</v>
      </c>
      <c r="AR33" s="4271">
        <v>2.6</v>
      </c>
      <c r="AS33" s="4271">
        <v>2.8</v>
      </c>
      <c r="AT33" s="4271">
        <f t="shared" si="10"/>
        <v>33.082105091882354</v>
      </c>
      <c r="AU33" s="4272">
        <f t="shared" si="11"/>
        <v>2.7568420909901961</v>
      </c>
      <c r="AV33" s="2978"/>
      <c r="AW33" s="4625">
        <v>3</v>
      </c>
      <c r="AX33" s="4271">
        <v>2.8</v>
      </c>
      <c r="AY33" s="4271"/>
      <c r="AZ33" s="4271"/>
      <c r="BA33" s="4271"/>
      <c r="BB33" s="4271"/>
      <c r="BC33" s="4271"/>
      <c r="BD33" s="3304"/>
      <c r="BE33" s="4271"/>
      <c r="BF33" s="4271"/>
      <c r="BG33" s="4271"/>
      <c r="BH33" s="4271"/>
      <c r="BI33" s="4271">
        <f>SUM(AW33:BH33)</f>
        <v>5.8</v>
      </c>
      <c r="BJ33" s="4272">
        <f>AVERAGE(AW33:BH33)</f>
        <v>2.9</v>
      </c>
      <c r="BK33" s="2978"/>
      <c r="BL33" s="5620">
        <f t="shared" si="6"/>
        <v>3.8307349665924306E-2</v>
      </c>
      <c r="BM33" s="5620">
        <f t="shared" si="7"/>
        <v>0.14315790900980385</v>
      </c>
      <c r="BN33" s="5620">
        <f>IFERROR(
  SUM(
    _xlfn.XLOOKUP(DATE(YEAR($A$1),1,1),$2:$2,33:33):
    _xlfn.XLOOKUP($A$1,$2:$2,33:33)
  )
 -SUM(
    _xlfn.XLOOKUP(DATE(YEAR($A$1)-1,1,1),$2:$2,33:33):
    _xlfn.XLOOKUP(EDATE($A$1,-12),$2:$2,33:33)
  ),"")</f>
        <v>-0.46169265033407569</v>
      </c>
      <c r="BO33" s="5620">
        <f t="shared" si="8"/>
        <v>-0.20000000000000018</v>
      </c>
    </row>
    <row r="34" spans="1:67" x14ac:dyDescent="0.55000000000000004">
      <c r="A34" s="7359"/>
      <c r="B34" s="2391" t="s">
        <v>319</v>
      </c>
      <c r="C34" s="2392"/>
      <c r="D34" s="2392">
        <v>3539</v>
      </c>
      <c r="E34" s="2392">
        <v>4129</v>
      </c>
      <c r="F34" s="2392">
        <v>3953</v>
      </c>
      <c r="G34" s="2392">
        <v>4131</v>
      </c>
      <c r="H34" s="2392">
        <v>3409</v>
      </c>
      <c r="I34" s="2392">
        <v>3410</v>
      </c>
      <c r="J34" s="2392">
        <v>3399</v>
      </c>
      <c r="K34" s="2392">
        <v>3795</v>
      </c>
      <c r="L34" s="2392">
        <v>2399</v>
      </c>
      <c r="M34" s="2392">
        <v>2919</v>
      </c>
      <c r="N34" s="2392">
        <v>2565</v>
      </c>
      <c r="O34" s="2392">
        <v>2325</v>
      </c>
      <c r="P34" s="2392">
        <f t="shared" si="12"/>
        <v>39973</v>
      </c>
      <c r="Q34" s="2392">
        <f t="shared" si="13"/>
        <v>3331.0833333333335</v>
      </c>
      <c r="S34" s="4626">
        <v>2330</v>
      </c>
      <c r="T34" s="4627">
        <v>3851</v>
      </c>
      <c r="U34" s="4627">
        <v>3780</v>
      </c>
      <c r="V34" s="4627">
        <v>5361</v>
      </c>
      <c r="W34" s="4627">
        <v>6356</v>
      </c>
      <c r="X34" s="4627">
        <v>6237</v>
      </c>
      <c r="Y34" s="4627">
        <v>5921</v>
      </c>
      <c r="Z34" s="4627">
        <v>6657</v>
      </c>
      <c r="AA34" s="4627">
        <v>5843</v>
      </c>
      <c r="AB34" s="4627">
        <v>6028</v>
      </c>
      <c r="AC34" s="4627">
        <v>7516</v>
      </c>
      <c r="AD34" s="4627">
        <v>7849</v>
      </c>
      <c r="AE34" s="4627">
        <f t="shared" ref="AE34:AE48" si="14">SUM(S34:AD34)</f>
        <v>67729</v>
      </c>
      <c r="AF34" s="4627">
        <f t="shared" ref="AF34:AF48" si="15">AVERAGE(S34:AD34)</f>
        <v>5644.083333333333</v>
      </c>
      <c r="AG34" s="2261"/>
      <c r="AH34" s="4628">
        <v>9867</v>
      </c>
      <c r="AI34" s="4627">
        <v>6426</v>
      </c>
      <c r="AJ34" s="4627">
        <v>5970</v>
      </c>
      <c r="AK34" s="4627">
        <v>7223</v>
      </c>
      <c r="AL34" s="4627">
        <v>3960</v>
      </c>
      <c r="AM34" s="4627">
        <v>759</v>
      </c>
      <c r="AN34" s="4627">
        <v>1716</v>
      </c>
      <c r="AO34" s="4627">
        <v>1902</v>
      </c>
      <c r="AP34" s="4627">
        <v>3452</v>
      </c>
      <c r="AQ34" s="4627">
        <v>2849</v>
      </c>
      <c r="AR34" s="4627">
        <v>1416</v>
      </c>
      <c r="AS34" s="4627">
        <v>1060</v>
      </c>
      <c r="AT34" s="4627">
        <f t="shared" si="10"/>
        <v>46600</v>
      </c>
      <c r="AU34" s="4629">
        <f t="shared" si="11"/>
        <v>3883.3333333333335</v>
      </c>
      <c r="AV34" s="2261"/>
      <c r="AW34" s="4628">
        <v>1227</v>
      </c>
      <c r="AX34" s="4627">
        <v>226</v>
      </c>
      <c r="AY34" s="4627"/>
      <c r="AZ34" s="4627"/>
      <c r="BA34" s="4627"/>
      <c r="BB34" s="4627"/>
      <c r="BC34" s="4627"/>
      <c r="BD34" s="4627"/>
      <c r="BE34" s="4627"/>
      <c r="BF34" s="4627"/>
      <c r="BG34" s="4627"/>
      <c r="BH34" s="4627"/>
      <c r="BI34" s="4627">
        <f t="shared" ref="BI34:BI48" si="16">SUM(AW34:BH34)</f>
        <v>1453</v>
      </c>
      <c r="BJ34" s="4629">
        <f t="shared" ref="BJ34:BJ48" si="17">AVERAGE(AW34:BH34)</f>
        <v>726.5</v>
      </c>
      <c r="BK34" s="2261"/>
      <c r="BL34" s="5620">
        <f t="shared" si="6"/>
        <v>-6200</v>
      </c>
      <c r="BM34" s="5620">
        <f t="shared" si="7"/>
        <v>-3156.8333333333335</v>
      </c>
      <c r="BN34" s="5620">
        <f>IFERROR(
  SUM(
    _xlfn.XLOOKUP(DATE(YEAR($A$1),1,1),$2:$2,34:34):
    _xlfn.XLOOKUP($A$1,$2:$2,34:34)
  )
 -SUM(
    _xlfn.XLOOKUP(DATE(YEAR($A$1)-1,1,1),$2:$2,34:34):
    _xlfn.XLOOKUP(EDATE($A$1,-12),$2:$2,34:34)
  ),"")</f>
        <v>-14840</v>
      </c>
      <c r="BO34" s="5620">
        <f t="shared" si="8"/>
        <v>-1001</v>
      </c>
    </row>
    <row r="35" spans="1:67" x14ac:dyDescent="0.55000000000000004">
      <c r="A35" s="7359"/>
      <c r="B35" s="2401" t="s">
        <v>287</v>
      </c>
      <c r="C35" s="2402"/>
      <c r="D35" s="2402">
        <v>3406</v>
      </c>
      <c r="E35" s="2402">
        <v>4076</v>
      </c>
      <c r="F35" s="2402">
        <v>3890</v>
      </c>
      <c r="G35" s="2402">
        <v>4056</v>
      </c>
      <c r="H35" s="2402">
        <v>3337</v>
      </c>
      <c r="I35" s="2402">
        <v>3329</v>
      </c>
      <c r="J35" s="2402">
        <v>3323</v>
      </c>
      <c r="K35" s="2402">
        <v>3770</v>
      </c>
      <c r="L35" s="2402">
        <v>2377</v>
      </c>
      <c r="M35" s="2402">
        <v>2893</v>
      </c>
      <c r="N35" s="2402">
        <v>2546</v>
      </c>
      <c r="O35" s="2402">
        <v>2281</v>
      </c>
      <c r="P35" s="2402">
        <f t="shared" si="12"/>
        <v>39284</v>
      </c>
      <c r="Q35" s="2402">
        <f t="shared" si="13"/>
        <v>3273.6666666666665</v>
      </c>
      <c r="S35" s="4630">
        <v>2293</v>
      </c>
      <c r="T35" s="4631">
        <v>3569</v>
      </c>
      <c r="U35" s="4631">
        <v>2967</v>
      </c>
      <c r="V35" s="4631">
        <v>3993</v>
      </c>
      <c r="W35" s="4631">
        <v>4433</v>
      </c>
      <c r="X35" s="4631">
        <v>4288</v>
      </c>
      <c r="Y35" s="4631">
        <v>3812</v>
      </c>
      <c r="Z35" s="4631">
        <v>4207</v>
      </c>
      <c r="AA35" s="4631">
        <v>4067</v>
      </c>
      <c r="AB35" s="4631">
        <v>4269</v>
      </c>
      <c r="AC35" s="4631">
        <v>5259</v>
      </c>
      <c r="AD35" s="4631">
        <v>5425</v>
      </c>
      <c r="AE35" s="4631">
        <f t="shared" si="14"/>
        <v>48582</v>
      </c>
      <c r="AF35" s="4631">
        <f t="shared" si="15"/>
        <v>4048.5</v>
      </c>
      <c r="AH35" s="4632">
        <v>7082</v>
      </c>
      <c r="AI35" s="4631">
        <v>4217</v>
      </c>
      <c r="AJ35" s="4631">
        <v>3586</v>
      </c>
      <c r="AK35" s="4631">
        <v>4254</v>
      </c>
      <c r="AL35" s="4631">
        <v>2292</v>
      </c>
      <c r="AM35" s="4631">
        <v>376</v>
      </c>
      <c r="AN35" s="4631">
        <v>1096</v>
      </c>
      <c r="AO35" s="4631">
        <v>1441</v>
      </c>
      <c r="AP35" s="4631">
        <v>2452</v>
      </c>
      <c r="AQ35" s="4631">
        <v>2197</v>
      </c>
      <c r="AR35" s="4631">
        <v>935</v>
      </c>
      <c r="AS35" s="4631">
        <v>589</v>
      </c>
      <c r="AT35" s="4631">
        <f t="shared" si="10"/>
        <v>30517</v>
      </c>
      <c r="AU35" s="4633">
        <f t="shared" si="11"/>
        <v>2543.0833333333335</v>
      </c>
      <c r="AW35" s="4632">
        <v>695</v>
      </c>
      <c r="AX35" s="4631">
        <v>108</v>
      </c>
      <c r="AY35" s="4631"/>
      <c r="AZ35" s="4631"/>
      <c r="BA35" s="4631"/>
      <c r="BB35" s="4631"/>
      <c r="BC35" s="4631"/>
      <c r="BD35" s="4631"/>
      <c r="BE35" s="4631"/>
      <c r="BF35" s="4631"/>
      <c r="BG35" s="4631"/>
      <c r="BH35" s="4631"/>
      <c r="BI35" s="4631">
        <f t="shared" si="16"/>
        <v>803</v>
      </c>
      <c r="BJ35" s="4633">
        <f t="shared" si="17"/>
        <v>401.5</v>
      </c>
      <c r="BL35" s="5620">
        <f t="shared" si="6"/>
        <v>-4109</v>
      </c>
      <c r="BM35" s="5620">
        <f t="shared" si="7"/>
        <v>-2141.5833333333335</v>
      </c>
      <c r="BN35" s="5620">
        <f>IFERROR(
  SUM(
    _xlfn.XLOOKUP(DATE(YEAR($A$1),1,1),$2:$2,35:35):
    _xlfn.XLOOKUP($A$1,$2:$2,35:35)
  )
 -SUM(
    _xlfn.XLOOKUP(DATE(YEAR($A$1)-1,1,1),$2:$2,35:35):
    _xlfn.XLOOKUP(EDATE($A$1,-12),$2:$2,35:35)
  ),"")</f>
        <v>-10496</v>
      </c>
      <c r="BO35" s="5620">
        <f t="shared" si="8"/>
        <v>-587</v>
      </c>
    </row>
    <row r="36" spans="1:67" x14ac:dyDescent="0.55000000000000004">
      <c r="A36" s="7359"/>
      <c r="B36" s="2411"/>
      <c r="C36" s="556" t="s">
        <v>266</v>
      </c>
      <c r="D36" s="556">
        <v>2212</v>
      </c>
      <c r="E36" s="556">
        <v>3079</v>
      </c>
      <c r="F36" s="556">
        <v>2784</v>
      </c>
      <c r="G36" s="556">
        <v>3174</v>
      </c>
      <c r="H36" s="556">
        <v>2564</v>
      </c>
      <c r="I36" s="556">
        <v>2344</v>
      </c>
      <c r="J36" s="556">
        <v>2445</v>
      </c>
      <c r="K36" s="556">
        <v>3016</v>
      </c>
      <c r="L36" s="556">
        <v>1763</v>
      </c>
      <c r="M36" s="556">
        <v>2085</v>
      </c>
      <c r="N36" s="556">
        <v>1620</v>
      </c>
      <c r="O36" s="556">
        <v>1618</v>
      </c>
      <c r="P36" s="556">
        <f t="shared" si="12"/>
        <v>28704</v>
      </c>
      <c r="Q36" s="556">
        <f t="shared" si="13"/>
        <v>2392</v>
      </c>
      <c r="S36" s="3303">
        <v>1520</v>
      </c>
      <c r="T36" s="3304">
        <v>2973</v>
      </c>
      <c r="U36" s="3304">
        <v>2375</v>
      </c>
      <c r="V36" s="3304">
        <v>3081</v>
      </c>
      <c r="W36" s="3304">
        <v>2584</v>
      </c>
      <c r="X36" s="3304">
        <v>2236</v>
      </c>
      <c r="Y36" s="3304">
        <v>2336</v>
      </c>
      <c r="Z36" s="3304">
        <v>2677</v>
      </c>
      <c r="AA36" s="3304">
        <v>2629</v>
      </c>
      <c r="AB36" s="3304">
        <v>2847</v>
      </c>
      <c r="AC36" s="3304">
        <v>3294</v>
      </c>
      <c r="AD36" s="3304">
        <v>3151</v>
      </c>
      <c r="AE36" s="3304">
        <f t="shared" si="14"/>
        <v>31703</v>
      </c>
      <c r="AF36" s="3304">
        <f t="shared" si="15"/>
        <v>2641.9166666666665</v>
      </c>
      <c r="AH36" s="4510">
        <f>AH35-AH37</f>
        <v>4023</v>
      </c>
      <c r="AI36" s="3304">
        <v>2535</v>
      </c>
      <c r="AJ36" s="3304">
        <v>2322</v>
      </c>
      <c r="AK36" s="3304">
        <v>2521</v>
      </c>
      <c r="AL36" s="3304">
        <f>AL35-AL37</f>
        <v>1409</v>
      </c>
      <c r="AM36" s="3304">
        <f>AM35-AM37</f>
        <v>278</v>
      </c>
      <c r="AN36" s="3304">
        <v>674</v>
      </c>
      <c r="AO36" s="3304">
        <v>825</v>
      </c>
      <c r="AP36" s="3304">
        <v>1531</v>
      </c>
      <c r="AQ36" s="3304">
        <v>1607</v>
      </c>
      <c r="AR36" s="3304">
        <v>650</v>
      </c>
      <c r="AS36" s="3304">
        <v>500</v>
      </c>
      <c r="AT36" s="3304">
        <f t="shared" si="10"/>
        <v>18875</v>
      </c>
      <c r="AU36" s="4634">
        <f t="shared" si="11"/>
        <v>1572.9166666666667</v>
      </c>
      <c r="AW36" s="4510">
        <v>488</v>
      </c>
      <c r="AX36" s="3304">
        <v>83</v>
      </c>
      <c r="AY36" s="3304"/>
      <c r="AZ36" s="3304"/>
      <c r="BA36" s="3304"/>
      <c r="BB36" s="3304"/>
      <c r="BC36" s="3304"/>
      <c r="BD36" s="3304"/>
      <c r="BE36" s="3304"/>
      <c r="BF36" s="3304"/>
      <c r="BG36" s="3304"/>
      <c r="BH36" s="3304"/>
      <c r="BI36" s="3304">
        <f t="shared" si="16"/>
        <v>571</v>
      </c>
      <c r="BJ36" s="4634">
        <f t="shared" si="17"/>
        <v>285.5</v>
      </c>
      <c r="BL36" s="5620">
        <f t="shared" si="6"/>
        <v>-2452</v>
      </c>
      <c r="BM36" s="5620">
        <f t="shared" si="7"/>
        <v>-1287.4166666666667</v>
      </c>
      <c r="BN36" s="5620">
        <f>IFERROR(
  SUM(
    _xlfn.XLOOKUP(DATE(YEAR($A$1),1,1),$2:$2,36:36):
    _xlfn.XLOOKUP($A$1,$2:$2,36:36)
  )
 -SUM(
    _xlfn.XLOOKUP(DATE(YEAR($A$1)-1,1,1),$2:$2,36:36):
    _xlfn.XLOOKUP(EDATE($A$1,-12),$2:$2,36:36)
  ),"")</f>
        <v>-5987</v>
      </c>
      <c r="BO36" s="5620">
        <f t="shared" si="8"/>
        <v>-405</v>
      </c>
    </row>
    <row r="37" spans="1:67" x14ac:dyDescent="0.55000000000000004">
      <c r="A37" s="7359"/>
      <c r="B37" s="2411"/>
      <c r="C37" s="556" t="s">
        <v>320</v>
      </c>
      <c r="D37" s="556">
        <v>1194</v>
      </c>
      <c r="E37" s="556">
        <v>997</v>
      </c>
      <c r="F37" s="556">
        <v>1106</v>
      </c>
      <c r="G37" s="556">
        <v>882</v>
      </c>
      <c r="H37" s="556">
        <v>773</v>
      </c>
      <c r="I37" s="556">
        <v>985</v>
      </c>
      <c r="J37" s="556">
        <v>878</v>
      </c>
      <c r="K37" s="556">
        <v>754</v>
      </c>
      <c r="L37" s="556">
        <v>614</v>
      </c>
      <c r="M37" s="556">
        <v>808</v>
      </c>
      <c r="N37" s="556">
        <v>926</v>
      </c>
      <c r="O37" s="556">
        <v>663</v>
      </c>
      <c r="P37" s="556">
        <f t="shared" si="12"/>
        <v>10580</v>
      </c>
      <c r="Q37" s="556">
        <f t="shared" si="13"/>
        <v>881.66666666666663</v>
      </c>
      <c r="S37" s="3303">
        <v>773</v>
      </c>
      <c r="T37" s="3304">
        <v>596</v>
      </c>
      <c r="U37" s="3304">
        <v>592</v>
      </c>
      <c r="V37" s="3304">
        <v>912</v>
      </c>
      <c r="W37" s="3304">
        <v>1849</v>
      </c>
      <c r="X37" s="3304">
        <v>2052</v>
      </c>
      <c r="Y37" s="3304">
        <v>1476</v>
      </c>
      <c r="Z37" s="3304">
        <v>1530</v>
      </c>
      <c r="AA37" s="3304">
        <v>1438</v>
      </c>
      <c r="AB37" s="3304">
        <v>1422</v>
      </c>
      <c r="AC37" s="3304">
        <v>1965</v>
      </c>
      <c r="AD37" s="3304">
        <v>2274</v>
      </c>
      <c r="AE37" s="3304">
        <f t="shared" si="14"/>
        <v>16879</v>
      </c>
      <c r="AF37" s="3304">
        <f t="shared" si="15"/>
        <v>1406.5833333333333</v>
      </c>
      <c r="AH37" s="4510">
        <v>3059</v>
      </c>
      <c r="AI37" s="3304">
        <v>1682</v>
      </c>
      <c r="AJ37" s="3304">
        <v>1264</v>
      </c>
      <c r="AK37" s="3304">
        <v>1733</v>
      </c>
      <c r="AL37" s="3304">
        <v>883</v>
      </c>
      <c r="AM37" s="3304">
        <v>98</v>
      </c>
      <c r="AN37" s="3304">
        <v>422</v>
      </c>
      <c r="AO37" s="3304">
        <v>616</v>
      </c>
      <c r="AP37" s="3304">
        <v>921</v>
      </c>
      <c r="AQ37" s="3304">
        <v>590</v>
      </c>
      <c r="AR37" s="3304">
        <v>285</v>
      </c>
      <c r="AS37" s="3304">
        <v>89</v>
      </c>
      <c r="AT37" s="3304">
        <f t="shared" si="10"/>
        <v>11642</v>
      </c>
      <c r="AU37" s="4634">
        <f t="shared" si="11"/>
        <v>970.16666666666663</v>
      </c>
      <c r="AW37" s="4510">
        <v>207</v>
      </c>
      <c r="AX37" s="3304">
        <v>25</v>
      </c>
      <c r="AY37" s="3304"/>
      <c r="AZ37" s="3304"/>
      <c r="BA37" s="3304"/>
      <c r="BB37" s="3304"/>
      <c r="BC37" s="3304"/>
      <c r="BD37" s="3304"/>
      <c r="BE37" s="3304"/>
      <c r="BF37" s="3304"/>
      <c r="BG37" s="3304"/>
      <c r="BH37" s="3304"/>
      <c r="BI37" s="3304">
        <f t="shared" si="16"/>
        <v>232</v>
      </c>
      <c r="BJ37" s="4634">
        <f t="shared" si="17"/>
        <v>116</v>
      </c>
      <c r="BL37" s="5620">
        <f t="shared" si="6"/>
        <v>-1657</v>
      </c>
      <c r="BM37" s="5620">
        <f t="shared" si="7"/>
        <v>-854.16666666666663</v>
      </c>
      <c r="BN37" s="5620">
        <f>IFERROR(
  SUM(
    _xlfn.XLOOKUP(DATE(YEAR($A$1),1,1),$2:$2,37:37):
    _xlfn.XLOOKUP($A$1,$2:$2,37:37)
  )
 -SUM(
    _xlfn.XLOOKUP(DATE(YEAR($A$1)-1,1,1),$2:$2,37:37):
    _xlfn.XLOOKUP(EDATE($A$1,-12),$2:$2,37:37)
  ),"")</f>
        <v>-4509</v>
      </c>
      <c r="BO37" s="5620">
        <f t="shared" si="8"/>
        <v>-182</v>
      </c>
    </row>
    <row r="38" spans="1:67" x14ac:dyDescent="0.55000000000000004">
      <c r="A38" s="7359"/>
      <c r="B38" s="2401" t="s">
        <v>288</v>
      </c>
      <c r="C38" s="2402"/>
      <c r="D38" s="2402">
        <v>129</v>
      </c>
      <c r="E38" s="2402">
        <v>36</v>
      </c>
      <c r="F38" s="2402">
        <v>62</v>
      </c>
      <c r="G38" s="2402">
        <v>74</v>
      </c>
      <c r="H38" s="2402">
        <v>68</v>
      </c>
      <c r="I38" s="2402">
        <v>78</v>
      </c>
      <c r="J38" s="2402">
        <v>75</v>
      </c>
      <c r="K38" s="2402">
        <v>24</v>
      </c>
      <c r="L38" s="2402">
        <v>22</v>
      </c>
      <c r="M38" s="2402">
        <v>24</v>
      </c>
      <c r="N38" s="2402">
        <v>19</v>
      </c>
      <c r="O38" s="2402">
        <v>44</v>
      </c>
      <c r="P38" s="2402">
        <f t="shared" si="12"/>
        <v>655</v>
      </c>
      <c r="Q38" s="2402">
        <f t="shared" si="13"/>
        <v>54.583333333333336</v>
      </c>
      <c r="S38" s="4630">
        <v>37</v>
      </c>
      <c r="T38" s="4631">
        <v>282</v>
      </c>
      <c r="U38" s="4631">
        <v>813</v>
      </c>
      <c r="V38" s="4631">
        <v>1368</v>
      </c>
      <c r="W38" s="4631">
        <v>1923</v>
      </c>
      <c r="X38" s="4631">
        <v>1949</v>
      </c>
      <c r="Y38" s="4631">
        <v>2109</v>
      </c>
      <c r="Z38" s="4631">
        <v>2450</v>
      </c>
      <c r="AA38" s="4631">
        <v>1766</v>
      </c>
      <c r="AB38" s="4631">
        <v>1664</v>
      </c>
      <c r="AC38" s="4631">
        <v>2192</v>
      </c>
      <c r="AD38" s="4631">
        <v>2340</v>
      </c>
      <c r="AE38" s="4631">
        <f t="shared" si="14"/>
        <v>18893</v>
      </c>
      <c r="AF38" s="4631">
        <f t="shared" si="15"/>
        <v>1574.4166666666667</v>
      </c>
      <c r="AH38" s="4632">
        <v>2671</v>
      </c>
      <c r="AI38" s="4631">
        <v>2106</v>
      </c>
      <c r="AJ38" s="4631">
        <v>2384</v>
      </c>
      <c r="AK38" s="4631">
        <v>2807</v>
      </c>
      <c r="AL38" s="4631">
        <v>1528</v>
      </c>
      <c r="AM38" s="4631">
        <v>322</v>
      </c>
      <c r="AN38" s="4631">
        <v>577</v>
      </c>
      <c r="AO38" s="4631">
        <v>450</v>
      </c>
      <c r="AP38" s="4631">
        <v>964</v>
      </c>
      <c r="AQ38" s="4631">
        <v>598</v>
      </c>
      <c r="AR38" s="4631">
        <v>459</v>
      </c>
      <c r="AS38" s="4631">
        <v>457</v>
      </c>
      <c r="AT38" s="4631">
        <f t="shared" si="10"/>
        <v>15323</v>
      </c>
      <c r="AU38" s="4633">
        <f t="shared" si="11"/>
        <v>1276.9166666666667</v>
      </c>
      <c r="AW38" s="4632">
        <v>528</v>
      </c>
      <c r="AX38" s="4631">
        <v>115</v>
      </c>
      <c r="AY38" s="4631"/>
      <c r="AZ38" s="4631"/>
      <c r="BA38" s="4631"/>
      <c r="BB38" s="4631"/>
      <c r="BC38" s="4631"/>
      <c r="BD38" s="4631"/>
      <c r="BE38" s="4631"/>
      <c r="BF38" s="4631"/>
      <c r="BG38" s="4631"/>
      <c r="BH38" s="4631"/>
      <c r="BI38" s="4631">
        <f t="shared" si="16"/>
        <v>643</v>
      </c>
      <c r="BJ38" s="4633">
        <f t="shared" si="17"/>
        <v>321.5</v>
      </c>
      <c r="BL38" s="5620">
        <f t="shared" si="6"/>
        <v>-1991</v>
      </c>
      <c r="BM38" s="5620">
        <f t="shared" si="7"/>
        <v>-955.41666666666674</v>
      </c>
      <c r="BN38" s="5620">
        <f>IFERROR(
  SUM(
    _xlfn.XLOOKUP(DATE(YEAR($A$1),1,1),$2:$2,38:38):
    _xlfn.XLOOKUP($A$1,$2:$2,38:38)
  )
 -SUM(
    _xlfn.XLOOKUP(DATE(YEAR($A$1)-1,1,1),$2:$2,38:38):
    _xlfn.XLOOKUP(EDATE($A$1,-12),$2:$2,38:38)
  ),"")</f>
        <v>-4134</v>
      </c>
      <c r="BO38" s="5620">
        <f t="shared" si="8"/>
        <v>-413</v>
      </c>
    </row>
    <row r="39" spans="1:67" x14ac:dyDescent="0.55000000000000004">
      <c r="A39" s="7359"/>
      <c r="B39" s="2411"/>
      <c r="C39" s="556" t="s">
        <v>266</v>
      </c>
      <c r="D39" s="556">
        <v>0</v>
      </c>
      <c r="E39" s="556">
        <v>0</v>
      </c>
      <c r="F39" s="556">
        <v>0</v>
      </c>
      <c r="G39" s="556">
        <v>0</v>
      </c>
      <c r="H39" s="556">
        <v>0</v>
      </c>
      <c r="I39" s="556">
        <v>0</v>
      </c>
      <c r="J39" s="556">
        <v>0</v>
      </c>
      <c r="K39" s="556">
        <v>0</v>
      </c>
      <c r="L39" s="556">
        <v>0</v>
      </c>
      <c r="M39" s="556">
        <v>0</v>
      </c>
      <c r="N39" s="556">
        <v>0</v>
      </c>
      <c r="O39" s="556">
        <v>0</v>
      </c>
      <c r="P39" s="556">
        <f t="shared" si="12"/>
        <v>0</v>
      </c>
      <c r="Q39" s="556">
        <f t="shared" si="13"/>
        <v>0</v>
      </c>
      <c r="S39" s="3303">
        <v>9</v>
      </c>
      <c r="T39" s="3304">
        <v>244</v>
      </c>
      <c r="U39" s="3304">
        <v>733</v>
      </c>
      <c r="V39" s="3304">
        <v>1202</v>
      </c>
      <c r="W39" s="3304">
        <v>1736</v>
      </c>
      <c r="X39" s="3304">
        <v>1808</v>
      </c>
      <c r="Y39" s="3304">
        <v>1997</v>
      </c>
      <c r="Z39" s="3304">
        <v>2321</v>
      </c>
      <c r="AA39" s="3304">
        <v>1702</v>
      </c>
      <c r="AB39" s="3304">
        <v>1583</v>
      </c>
      <c r="AC39" s="3304">
        <v>2098</v>
      </c>
      <c r="AD39" s="3304">
        <v>2226</v>
      </c>
      <c r="AE39" s="3304">
        <f t="shared" si="14"/>
        <v>17659</v>
      </c>
      <c r="AF39" s="3304">
        <f t="shared" si="15"/>
        <v>1471.5833333333333</v>
      </c>
      <c r="AH39" s="4510">
        <f>AH38-AH40</f>
        <v>2603</v>
      </c>
      <c r="AI39" s="3304">
        <v>2046</v>
      </c>
      <c r="AJ39" s="3304">
        <v>2267</v>
      </c>
      <c r="AK39" s="3304">
        <v>2661</v>
      </c>
      <c r="AL39" s="3304">
        <f>AL38-AL40</f>
        <v>1472</v>
      </c>
      <c r="AM39" s="3304">
        <f>AM38-AM40</f>
        <v>302</v>
      </c>
      <c r="AN39" s="3304">
        <v>552</v>
      </c>
      <c r="AO39" s="3304">
        <v>415</v>
      </c>
      <c r="AP39" s="3304">
        <v>834</v>
      </c>
      <c r="AQ39" s="3304">
        <v>540</v>
      </c>
      <c r="AR39" s="3304">
        <v>416</v>
      </c>
      <c r="AS39" s="3304">
        <v>441</v>
      </c>
      <c r="AT39" s="3304">
        <f t="shared" si="10"/>
        <v>14549</v>
      </c>
      <c r="AU39" s="4634">
        <f t="shared" si="11"/>
        <v>1212.4166666666667</v>
      </c>
      <c r="AW39" s="4510">
        <v>500</v>
      </c>
      <c r="AX39" s="3304">
        <v>102</v>
      </c>
      <c r="AY39" s="3304"/>
      <c r="AZ39" s="3304"/>
      <c r="BA39" s="3304"/>
      <c r="BB39" s="3304"/>
      <c r="BC39" s="3304"/>
      <c r="BD39" s="3304"/>
      <c r="BE39" s="3304"/>
      <c r="BF39" s="3304"/>
      <c r="BG39" s="3304"/>
      <c r="BH39" s="3304"/>
      <c r="BI39" s="3304">
        <f t="shared" si="16"/>
        <v>602</v>
      </c>
      <c r="BJ39" s="4634">
        <f t="shared" si="17"/>
        <v>301</v>
      </c>
      <c r="BL39" s="5620">
        <f t="shared" si="6"/>
        <v>-1944</v>
      </c>
      <c r="BM39" s="5620">
        <f t="shared" si="7"/>
        <v>-911.41666666666674</v>
      </c>
      <c r="BN39" s="5620">
        <f>IFERROR(
  SUM(
    _xlfn.XLOOKUP(DATE(YEAR($A$1),1,1),$2:$2,39:39):
    _xlfn.XLOOKUP($A$1,$2:$2,39:39)
  )
 -SUM(
    _xlfn.XLOOKUP(DATE(YEAR($A$1)-1,1,1),$2:$2,39:39):
    _xlfn.XLOOKUP(EDATE($A$1,-12),$2:$2,39:39)
  ),"")</f>
        <v>-4047</v>
      </c>
      <c r="BO39" s="5620">
        <f t="shared" si="8"/>
        <v>-398</v>
      </c>
    </row>
    <row r="40" spans="1:67" x14ac:dyDescent="0.55000000000000004">
      <c r="A40" s="7359"/>
      <c r="B40" s="4537"/>
      <c r="C40" s="4538" t="s">
        <v>320</v>
      </c>
      <c r="D40" s="4538">
        <v>129</v>
      </c>
      <c r="E40" s="4538">
        <v>36</v>
      </c>
      <c r="F40" s="4538">
        <v>62</v>
      </c>
      <c r="G40" s="4538">
        <v>74</v>
      </c>
      <c r="H40" s="4538">
        <v>68</v>
      </c>
      <c r="I40" s="4538">
        <v>78</v>
      </c>
      <c r="J40" s="4538">
        <v>75</v>
      </c>
      <c r="K40" s="4538">
        <v>24</v>
      </c>
      <c r="L40" s="4538">
        <v>22</v>
      </c>
      <c r="M40" s="4538">
        <v>24</v>
      </c>
      <c r="N40" s="4538">
        <v>19</v>
      </c>
      <c r="O40" s="4538">
        <v>44</v>
      </c>
      <c r="P40" s="4538">
        <f t="shared" si="12"/>
        <v>655</v>
      </c>
      <c r="Q40" s="4538">
        <f t="shared" si="13"/>
        <v>54.583333333333336</v>
      </c>
      <c r="S40" s="4635">
        <v>28</v>
      </c>
      <c r="T40" s="4636">
        <v>38</v>
      </c>
      <c r="U40" s="4636">
        <v>80</v>
      </c>
      <c r="V40" s="4636">
        <v>166</v>
      </c>
      <c r="W40" s="4636">
        <v>187</v>
      </c>
      <c r="X40" s="4636">
        <v>141</v>
      </c>
      <c r="Y40" s="4636">
        <v>112</v>
      </c>
      <c r="Z40" s="4636">
        <v>129</v>
      </c>
      <c r="AA40" s="4636">
        <v>64</v>
      </c>
      <c r="AB40" s="4636">
        <v>81</v>
      </c>
      <c r="AC40" s="4636">
        <v>94</v>
      </c>
      <c r="AD40" s="4636">
        <v>114</v>
      </c>
      <c r="AE40" s="4636">
        <f t="shared" si="14"/>
        <v>1234</v>
      </c>
      <c r="AF40" s="4636">
        <f t="shared" si="15"/>
        <v>102.83333333333333</v>
      </c>
      <c r="AH40" s="4637">
        <v>68</v>
      </c>
      <c r="AI40" s="4636">
        <v>60</v>
      </c>
      <c r="AJ40" s="4636">
        <v>117</v>
      </c>
      <c r="AK40" s="4636">
        <v>146</v>
      </c>
      <c r="AL40" s="4636">
        <v>56</v>
      </c>
      <c r="AM40" s="4636">
        <v>20</v>
      </c>
      <c r="AN40" s="4636">
        <v>25</v>
      </c>
      <c r="AO40" s="4636">
        <v>35</v>
      </c>
      <c r="AP40" s="4636">
        <v>130</v>
      </c>
      <c r="AQ40" s="4636">
        <v>58</v>
      </c>
      <c r="AR40" s="4636">
        <v>43</v>
      </c>
      <c r="AS40" s="4636">
        <v>16</v>
      </c>
      <c r="AT40" s="4636">
        <f t="shared" si="10"/>
        <v>774</v>
      </c>
      <c r="AU40" s="4638">
        <f t="shared" si="11"/>
        <v>64.5</v>
      </c>
      <c r="AW40" s="4637">
        <v>28</v>
      </c>
      <c r="AX40" s="4636">
        <v>13</v>
      </c>
      <c r="AY40" s="4636"/>
      <c r="AZ40" s="4636"/>
      <c r="BA40" s="4636"/>
      <c r="BB40" s="4636"/>
      <c r="BC40" s="4636"/>
      <c r="BD40" s="4636"/>
      <c r="BE40" s="4636"/>
      <c r="BF40" s="4636"/>
      <c r="BG40" s="4636"/>
      <c r="BH40" s="4636"/>
      <c r="BI40" s="4636">
        <f t="shared" si="16"/>
        <v>41</v>
      </c>
      <c r="BJ40" s="4638">
        <f t="shared" si="17"/>
        <v>20.5</v>
      </c>
      <c r="BL40" s="5620">
        <f t="shared" si="6"/>
        <v>-47</v>
      </c>
      <c r="BM40" s="5620">
        <f t="shared" si="7"/>
        <v>-44</v>
      </c>
      <c r="BN40" s="5620">
        <f>IFERROR(
  SUM(
    _xlfn.XLOOKUP(DATE(YEAR($A$1),1,1),$2:$2,40:40):
    _xlfn.XLOOKUP($A$1,$2:$2,40:40)
  )
 -SUM(
    _xlfn.XLOOKUP(DATE(YEAR($A$1)-1,1,1),$2:$2,40:40):
    _xlfn.XLOOKUP(EDATE($A$1,-12),$2:$2,40:40)
  ),"")</f>
        <v>-87</v>
      </c>
      <c r="BO40" s="5620">
        <f t="shared" si="8"/>
        <v>-15</v>
      </c>
    </row>
    <row r="41" spans="1:67" x14ac:dyDescent="0.55000000000000004">
      <c r="A41" s="7359"/>
      <c r="B41" s="4539" t="s">
        <v>335</v>
      </c>
      <c r="C41" s="4540"/>
      <c r="D41" s="4540"/>
      <c r="E41" s="4540"/>
      <c r="F41" s="4540"/>
      <c r="G41" s="4540"/>
      <c r="H41" s="4540"/>
      <c r="I41" s="4540"/>
      <c r="J41" s="4540"/>
      <c r="K41" s="4540"/>
      <c r="L41" s="4540"/>
      <c r="M41" s="4540"/>
      <c r="N41" s="4540"/>
      <c r="O41" s="4540"/>
      <c r="P41" s="4540"/>
      <c r="Q41" s="4540"/>
      <c r="S41" s="4639">
        <v>302</v>
      </c>
      <c r="T41" s="4640">
        <v>517</v>
      </c>
      <c r="U41" s="4640">
        <v>515</v>
      </c>
      <c r="V41" s="4640">
        <v>716</v>
      </c>
      <c r="W41" s="4640">
        <v>664</v>
      </c>
      <c r="X41" s="4640">
        <v>475</v>
      </c>
      <c r="Y41" s="4640">
        <v>2686</v>
      </c>
      <c r="Z41" s="4640">
        <v>1021</v>
      </c>
      <c r="AA41" s="4640">
        <v>2259</v>
      </c>
      <c r="AB41" s="4640">
        <v>1680</v>
      </c>
      <c r="AC41" s="4640">
        <v>734</v>
      </c>
      <c r="AD41" s="4640">
        <v>1179</v>
      </c>
      <c r="AE41" s="4640">
        <f t="shared" si="14"/>
        <v>12748</v>
      </c>
      <c r="AF41" s="4640">
        <f t="shared" si="15"/>
        <v>1062.3333333333333</v>
      </c>
      <c r="AH41" s="4641">
        <v>1359</v>
      </c>
      <c r="AI41" s="4640">
        <v>3661</v>
      </c>
      <c r="AJ41" s="4640">
        <v>1088</v>
      </c>
      <c r="AK41" s="4640">
        <v>746</v>
      </c>
      <c r="AL41" s="4640">
        <v>996</v>
      </c>
      <c r="AM41" s="4640">
        <v>620</v>
      </c>
      <c r="AN41" s="4640">
        <v>956</v>
      </c>
      <c r="AO41" s="4640">
        <v>460</v>
      </c>
      <c r="AP41" s="4640">
        <v>843</v>
      </c>
      <c r="AQ41" s="4640">
        <v>634</v>
      </c>
      <c r="AR41" s="4640">
        <v>388</v>
      </c>
      <c r="AS41" s="4640">
        <v>487</v>
      </c>
      <c r="AT41" s="4640">
        <f t="shared" si="10"/>
        <v>12238</v>
      </c>
      <c r="AU41" s="4642">
        <f t="shared" si="11"/>
        <v>1019.8333333333334</v>
      </c>
      <c r="AW41" s="4641">
        <v>954</v>
      </c>
      <c r="AX41" s="4640">
        <v>304</v>
      </c>
      <c r="AY41" s="4640"/>
      <c r="AZ41" s="4640"/>
      <c r="BA41" s="4640"/>
      <c r="BB41" s="4640"/>
      <c r="BC41" s="4640"/>
      <c r="BD41" s="4640"/>
      <c r="BE41" s="4640"/>
      <c r="BF41" s="4640"/>
      <c r="BG41" s="4640"/>
      <c r="BH41" s="4640"/>
      <c r="BI41" s="4640">
        <f t="shared" si="16"/>
        <v>1258</v>
      </c>
      <c r="BJ41" s="4642">
        <f t="shared" si="17"/>
        <v>629</v>
      </c>
      <c r="BL41" s="5620">
        <f t="shared" si="6"/>
        <v>-3357</v>
      </c>
      <c r="BM41" s="5620">
        <f t="shared" si="7"/>
        <v>-390.83333333333337</v>
      </c>
      <c r="BN41" s="5941">
        <f>IFERROR(
  SUM(
    _xlfn.XLOOKUP(DATE(YEAR($A$1),1,1),$2:$2,41:41):
    _xlfn.XLOOKUP($A$1,$2:$2,41:41)
  )
 -SUM(
    _xlfn.XLOOKUP(DATE(YEAR($A$1)-1,1,1),$2:$2,41:41):
    _xlfn.XLOOKUP(EDATE($A$1,-12),$2:$2,41:41)
  ),"")</f>
        <v>-3762</v>
      </c>
      <c r="BO41" s="5620">
        <f t="shared" si="8"/>
        <v>-650</v>
      </c>
    </row>
    <row r="42" spans="1:67" x14ac:dyDescent="0.55000000000000004">
      <c r="A42" s="7359"/>
      <c r="B42" s="4541" t="s">
        <v>325</v>
      </c>
      <c r="C42" s="4542"/>
      <c r="D42" s="4542"/>
      <c r="E42" s="4542"/>
      <c r="F42" s="4542"/>
      <c r="G42" s="4542"/>
      <c r="H42" s="4542"/>
      <c r="I42" s="4542"/>
      <c r="J42" s="4542"/>
      <c r="K42" s="4542"/>
      <c r="L42" s="4542"/>
      <c r="M42" s="4542"/>
      <c r="N42" s="4542"/>
      <c r="O42" s="4542"/>
      <c r="P42" s="4542"/>
      <c r="Q42" s="4542"/>
      <c r="S42" s="4643"/>
      <c r="T42" s="2373"/>
      <c r="U42" s="2373"/>
      <c r="V42" s="2373"/>
      <c r="W42" s="2373"/>
      <c r="X42" s="2373"/>
      <c r="Y42" s="2373"/>
      <c r="Z42" s="2373"/>
      <c r="AA42" s="2373"/>
      <c r="AB42" s="2373"/>
      <c r="AC42" s="3671">
        <v>2929</v>
      </c>
      <c r="AD42" s="3671">
        <v>1496</v>
      </c>
      <c r="AE42" s="3671">
        <f t="shared" si="14"/>
        <v>4425</v>
      </c>
      <c r="AF42" s="2373">
        <f t="shared" si="15"/>
        <v>2212.5</v>
      </c>
      <c r="AH42" s="4622">
        <v>3121</v>
      </c>
      <c r="AI42" s="3671">
        <v>2802</v>
      </c>
      <c r="AJ42" s="3671">
        <v>3544</v>
      </c>
      <c r="AK42" s="2373">
        <v>2973</v>
      </c>
      <c r="AL42" s="3671">
        <v>3012</v>
      </c>
      <c r="AM42" s="3671">
        <v>8320</v>
      </c>
      <c r="AN42" s="4644">
        <v>7119</v>
      </c>
      <c r="AO42" s="3671">
        <v>4627</v>
      </c>
      <c r="AP42" s="4644">
        <v>4369</v>
      </c>
      <c r="AQ42" s="4644">
        <v>2979</v>
      </c>
      <c r="AR42" s="3671">
        <v>2347</v>
      </c>
      <c r="AS42" s="3671">
        <v>2396</v>
      </c>
      <c r="AT42" s="3671">
        <f t="shared" si="10"/>
        <v>47609</v>
      </c>
      <c r="AU42" s="5617">
        <f t="shared" si="11"/>
        <v>3967.4166666666665</v>
      </c>
      <c r="AW42" s="4622">
        <v>3165</v>
      </c>
      <c r="AX42" s="3671">
        <v>2077</v>
      </c>
      <c r="AY42" s="3671"/>
      <c r="AZ42" s="2373"/>
      <c r="BA42" s="3671"/>
      <c r="BB42" s="3671"/>
      <c r="BC42" s="4644"/>
      <c r="BD42" s="3671"/>
      <c r="BE42" s="4644"/>
      <c r="BF42" s="4644"/>
      <c r="BG42" s="3671"/>
      <c r="BH42" s="3671"/>
      <c r="BI42" s="3671">
        <f t="shared" si="16"/>
        <v>5242</v>
      </c>
      <c r="BJ42" s="4645">
        <f t="shared" si="17"/>
        <v>2621</v>
      </c>
      <c r="BL42" s="5620">
        <f t="shared" si="6"/>
        <v>-725</v>
      </c>
      <c r="BM42" s="5620">
        <f t="shared" si="7"/>
        <v>-1346.4166666666665</v>
      </c>
      <c r="BN42" s="5620">
        <f>IFERROR(
  SUM(
    _xlfn.XLOOKUP(DATE(YEAR($A$1),1,1),$2:$2,42:42):
    _xlfn.XLOOKUP($A$1,$2:$2,42:42)
  )
 -SUM(
    _xlfn.XLOOKUP(DATE(YEAR($A$1)-1,1,1),$2:$2,42:42):
    _xlfn.XLOOKUP(EDATE($A$1,-12),$2:$2,42:42)
  ),"")</f>
        <v>-681</v>
      </c>
      <c r="BO42" s="5620">
        <f t="shared" si="8"/>
        <v>-1088</v>
      </c>
    </row>
    <row r="43" spans="1:67" x14ac:dyDescent="0.55000000000000004">
      <c r="A43" s="7359"/>
      <c r="B43" s="4541"/>
      <c r="C43" s="4543" t="s">
        <v>266</v>
      </c>
      <c r="D43" s="4543"/>
      <c r="E43" s="4543"/>
      <c r="F43" s="4543"/>
      <c r="G43" s="4543"/>
      <c r="H43" s="4543"/>
      <c r="I43" s="4543"/>
      <c r="J43" s="4543"/>
      <c r="K43" s="4543"/>
      <c r="L43" s="4543"/>
      <c r="M43" s="4543"/>
      <c r="N43" s="4543"/>
      <c r="O43" s="4543"/>
      <c r="P43" s="4543"/>
      <c r="Q43" s="4543"/>
      <c r="S43" s="4646"/>
      <c r="T43" s="803"/>
      <c r="U43" s="803"/>
      <c r="V43" s="803"/>
      <c r="W43" s="803"/>
      <c r="X43" s="803"/>
      <c r="Y43" s="803"/>
      <c r="Z43" s="803"/>
      <c r="AA43" s="803"/>
      <c r="AB43" s="803"/>
      <c r="AC43" s="3392">
        <v>1116</v>
      </c>
      <c r="AD43" s="3392">
        <v>367</v>
      </c>
      <c r="AE43" s="3392">
        <f t="shared" si="14"/>
        <v>1483</v>
      </c>
      <c r="AF43" s="803">
        <f t="shared" si="15"/>
        <v>741.5</v>
      </c>
      <c r="AH43" s="3393">
        <v>935</v>
      </c>
      <c r="AI43" s="3392">
        <v>1875</v>
      </c>
      <c r="AJ43" s="3392">
        <v>1477</v>
      </c>
      <c r="AK43" s="803">
        <v>2801</v>
      </c>
      <c r="AL43" s="3392">
        <v>1651</v>
      </c>
      <c r="AM43" s="3392">
        <v>7840</v>
      </c>
      <c r="AN43" s="4647">
        <v>7025</v>
      </c>
      <c r="AO43" s="3392">
        <v>3382</v>
      </c>
      <c r="AP43" s="4647">
        <v>3519</v>
      </c>
      <c r="AQ43" s="4647">
        <v>2029</v>
      </c>
      <c r="AR43" s="3392">
        <v>1529</v>
      </c>
      <c r="AS43" s="3392">
        <v>1619</v>
      </c>
      <c r="AT43" s="3392">
        <f t="shared" si="10"/>
        <v>35682</v>
      </c>
      <c r="AU43" s="5618">
        <f t="shared" si="11"/>
        <v>2973.5</v>
      </c>
      <c r="AW43" s="3393">
        <v>2463</v>
      </c>
      <c r="AX43" s="3392">
        <v>1490</v>
      </c>
      <c r="AY43" s="3392"/>
      <c r="AZ43" s="803"/>
      <c r="BA43" s="3392"/>
      <c r="BB43" s="3392"/>
      <c r="BC43" s="4647"/>
      <c r="BD43" s="3392"/>
      <c r="BE43" s="4647"/>
      <c r="BF43" s="4647"/>
      <c r="BG43" s="3392"/>
      <c r="BH43" s="3392"/>
      <c r="BI43" s="3392">
        <f t="shared" si="16"/>
        <v>3953</v>
      </c>
      <c r="BJ43" s="4341">
        <f t="shared" si="17"/>
        <v>1976.5</v>
      </c>
      <c r="BL43" s="5620">
        <f t="shared" si="6"/>
        <v>-385</v>
      </c>
      <c r="BM43" s="5620">
        <f t="shared" si="7"/>
        <v>-997</v>
      </c>
      <c r="BN43" s="5620">
        <f>IFERROR(
  SUM(
    _xlfn.XLOOKUP(DATE(YEAR($A$1),1,1),$2:$2,43:43):
    _xlfn.XLOOKUP($A$1,$2:$2,43:43)
  )
 -SUM(
    _xlfn.XLOOKUP(DATE(YEAR($A$1)-1,1,1),$2:$2,43:43):
    _xlfn.XLOOKUP(EDATE($A$1,-12),$2:$2,43:43)
  ),"")</f>
        <v>1143</v>
      </c>
      <c r="BO43" s="5620">
        <f t="shared" si="8"/>
        <v>-973</v>
      </c>
    </row>
    <row r="44" spans="1:67" x14ac:dyDescent="0.55000000000000004">
      <c r="A44" s="7359"/>
      <c r="B44" s="4541"/>
      <c r="C44" s="4544" t="s">
        <v>1048</v>
      </c>
      <c r="D44" s="4543"/>
      <c r="E44" s="4543"/>
      <c r="F44" s="4543"/>
      <c r="G44" s="4543"/>
      <c r="H44" s="4543"/>
      <c r="I44" s="4543"/>
      <c r="J44" s="4543"/>
      <c r="K44" s="4543"/>
      <c r="L44" s="4543"/>
      <c r="M44" s="4543"/>
      <c r="N44" s="4543"/>
      <c r="O44" s="4543"/>
      <c r="P44" s="4543"/>
      <c r="Q44" s="4543"/>
      <c r="S44" s="4646"/>
      <c r="T44" s="803"/>
      <c r="U44" s="803"/>
      <c r="V44" s="803"/>
      <c r="W44" s="803"/>
      <c r="X44" s="803"/>
      <c r="Y44" s="803"/>
      <c r="Z44" s="803"/>
      <c r="AA44" s="803"/>
      <c r="AB44" s="803"/>
      <c r="AC44" s="3392">
        <v>273</v>
      </c>
      <c r="AD44" s="3392">
        <v>38</v>
      </c>
      <c r="AE44" s="3392">
        <f t="shared" si="14"/>
        <v>311</v>
      </c>
      <c r="AF44" s="803">
        <f t="shared" si="15"/>
        <v>155.5</v>
      </c>
      <c r="AH44" s="3393">
        <v>235</v>
      </c>
      <c r="AI44" s="3392">
        <v>256</v>
      </c>
      <c r="AJ44" s="3392">
        <v>362</v>
      </c>
      <c r="AK44" s="803">
        <v>339</v>
      </c>
      <c r="AL44" s="3392">
        <v>740</v>
      </c>
      <c r="AM44" s="3392">
        <v>5986</v>
      </c>
      <c r="AN44" s="4647">
        <v>4647</v>
      </c>
      <c r="AO44" s="3392">
        <v>2667</v>
      </c>
      <c r="AP44" s="4647">
        <v>2600</v>
      </c>
      <c r="AQ44" s="4647">
        <v>1043</v>
      </c>
      <c r="AR44" s="3392">
        <v>728</v>
      </c>
      <c r="AS44" s="3392">
        <v>527</v>
      </c>
      <c r="AT44" s="3392">
        <f t="shared" si="10"/>
        <v>20130</v>
      </c>
      <c r="AU44" s="5618">
        <f t="shared" si="11"/>
        <v>1677.5</v>
      </c>
      <c r="AW44" s="3393">
        <v>833</v>
      </c>
      <c r="AX44" s="3392">
        <v>393</v>
      </c>
      <c r="AY44" s="3392"/>
      <c r="AZ44" s="803"/>
      <c r="BA44" s="3392"/>
      <c r="BB44" s="3392"/>
      <c r="BC44" s="4647"/>
      <c r="BD44" s="3392"/>
      <c r="BE44" s="4647"/>
      <c r="BF44" s="4647"/>
      <c r="BG44" s="3392"/>
      <c r="BH44" s="3392"/>
      <c r="BI44" s="3392">
        <f t="shared" si="16"/>
        <v>1226</v>
      </c>
      <c r="BJ44" s="4341">
        <f t="shared" si="17"/>
        <v>613</v>
      </c>
      <c r="BL44" s="5620">
        <f t="shared" si="6"/>
        <v>137</v>
      </c>
      <c r="BM44" s="5620">
        <f t="shared" si="7"/>
        <v>-1064.5</v>
      </c>
      <c r="BN44" s="5620">
        <f>IFERROR(
  SUM(
    _xlfn.XLOOKUP(DATE(YEAR($A$1),1,1),$2:$2,44:44):
    _xlfn.XLOOKUP($A$1,$2:$2,44:44)
  )
 -SUM(
    _xlfn.XLOOKUP(DATE(YEAR($A$1)-1,1,1),$2:$2,44:44):
    _xlfn.XLOOKUP(EDATE($A$1,-12),$2:$2,44:44)
  ),"")</f>
        <v>735</v>
      </c>
      <c r="BO44" s="5620">
        <f t="shared" si="8"/>
        <v>-440</v>
      </c>
    </row>
    <row r="45" spans="1:67" x14ac:dyDescent="0.55000000000000004">
      <c r="A45" s="7359"/>
      <c r="B45" s="4541"/>
      <c r="C45" s="4543" t="s">
        <v>328</v>
      </c>
      <c r="D45" s="4543"/>
      <c r="E45" s="4543"/>
      <c r="F45" s="4543"/>
      <c r="G45" s="4543"/>
      <c r="H45" s="4543"/>
      <c r="I45" s="4543"/>
      <c r="J45" s="4543"/>
      <c r="K45" s="4543"/>
      <c r="L45" s="4543"/>
      <c r="M45" s="4543"/>
      <c r="N45" s="4543"/>
      <c r="O45" s="4543"/>
      <c r="P45" s="4543"/>
      <c r="Q45" s="4543"/>
      <c r="S45" s="4646"/>
      <c r="T45" s="803"/>
      <c r="U45" s="803"/>
      <c r="V45" s="803"/>
      <c r="W45" s="803"/>
      <c r="X45" s="803"/>
      <c r="Y45" s="803"/>
      <c r="Z45" s="803"/>
      <c r="AA45" s="803"/>
      <c r="AB45" s="803"/>
      <c r="AC45" s="3392">
        <v>430</v>
      </c>
      <c r="AD45" s="3392">
        <v>112</v>
      </c>
      <c r="AE45" s="3392">
        <f t="shared" si="14"/>
        <v>542</v>
      </c>
      <c r="AF45" s="803">
        <f t="shared" si="15"/>
        <v>271</v>
      </c>
      <c r="AH45" s="3393">
        <v>455</v>
      </c>
      <c r="AI45" s="3392">
        <v>923</v>
      </c>
      <c r="AJ45" s="3392">
        <v>550</v>
      </c>
      <c r="AK45" s="803">
        <v>613</v>
      </c>
      <c r="AL45" s="3392">
        <v>634</v>
      </c>
      <c r="AM45" s="3392">
        <v>2525</v>
      </c>
      <c r="AN45" s="4647">
        <v>3466</v>
      </c>
      <c r="AO45" s="3392">
        <v>2260</v>
      </c>
      <c r="AP45" s="4647">
        <v>2285</v>
      </c>
      <c r="AQ45" s="4647">
        <v>1756</v>
      </c>
      <c r="AR45" s="3392">
        <v>1190</v>
      </c>
      <c r="AS45" s="3392">
        <v>1378</v>
      </c>
      <c r="AT45" s="3392">
        <f t="shared" si="10"/>
        <v>18035</v>
      </c>
      <c r="AU45" s="5618">
        <f t="shared" si="11"/>
        <v>1502.9166666666667</v>
      </c>
      <c r="AW45" s="3393">
        <v>1697</v>
      </c>
      <c r="AX45" s="3392">
        <v>1079</v>
      </c>
      <c r="AY45" s="3392"/>
      <c r="AZ45" s="803"/>
      <c r="BA45" s="3392"/>
      <c r="BB45" s="3392"/>
      <c r="BC45" s="4647"/>
      <c r="BD45" s="3392"/>
      <c r="BE45" s="4647"/>
      <c r="BF45" s="4647"/>
      <c r="BG45" s="3392"/>
      <c r="BH45" s="3392"/>
      <c r="BI45" s="3392">
        <f t="shared" si="16"/>
        <v>2776</v>
      </c>
      <c r="BJ45" s="4341">
        <f t="shared" si="17"/>
        <v>1388</v>
      </c>
      <c r="BL45" s="5620">
        <f t="shared" si="6"/>
        <v>156</v>
      </c>
      <c r="BM45" s="5620">
        <f t="shared" si="7"/>
        <v>-114.91666666666674</v>
      </c>
      <c r="BN45" s="5620">
        <f>IFERROR(
  SUM(
    _xlfn.XLOOKUP(DATE(YEAR($A$1),1,1),$2:$2,45:45):
    _xlfn.XLOOKUP($A$1,$2:$2,45:45)
  )
 -SUM(
    _xlfn.XLOOKUP(DATE(YEAR($A$1)-1,1,1),$2:$2,45:45):
    _xlfn.XLOOKUP(EDATE($A$1,-12),$2:$2,45:45)
  ),"")</f>
        <v>1398</v>
      </c>
      <c r="BO45" s="5620">
        <f t="shared" si="8"/>
        <v>-618</v>
      </c>
    </row>
    <row r="46" spans="1:67" x14ac:dyDescent="0.55000000000000004">
      <c r="A46" s="7359"/>
      <c r="B46" s="4541"/>
      <c r="C46" s="4543" t="s">
        <v>329</v>
      </c>
      <c r="D46" s="4543"/>
      <c r="E46" s="4543"/>
      <c r="F46" s="4543"/>
      <c r="G46" s="4543"/>
      <c r="H46" s="4543"/>
      <c r="I46" s="4543"/>
      <c r="J46" s="4543"/>
      <c r="K46" s="4543"/>
      <c r="L46" s="4543"/>
      <c r="M46" s="4543"/>
      <c r="N46" s="4543"/>
      <c r="O46" s="4543"/>
      <c r="P46" s="4543"/>
      <c r="Q46" s="4543"/>
      <c r="S46" s="4646"/>
      <c r="T46" s="803"/>
      <c r="U46" s="803"/>
      <c r="V46" s="803"/>
      <c r="W46" s="803"/>
      <c r="X46" s="803"/>
      <c r="Y46" s="803"/>
      <c r="Z46" s="803"/>
      <c r="AA46" s="803"/>
      <c r="AB46" s="803"/>
      <c r="AC46" s="3392">
        <v>339</v>
      </c>
      <c r="AD46" s="3392">
        <v>44</v>
      </c>
      <c r="AE46" s="3392">
        <f t="shared" si="14"/>
        <v>383</v>
      </c>
      <c r="AF46" s="803">
        <f t="shared" si="15"/>
        <v>191.5</v>
      </c>
      <c r="AH46" s="3393">
        <v>288</v>
      </c>
      <c r="AI46" s="3392">
        <v>610</v>
      </c>
      <c r="AJ46" s="3392">
        <v>332</v>
      </c>
      <c r="AK46" s="803">
        <v>436</v>
      </c>
      <c r="AL46" s="3392">
        <v>510</v>
      </c>
      <c r="AM46" s="3392">
        <v>1555</v>
      </c>
      <c r="AN46" s="4647">
        <v>1618</v>
      </c>
      <c r="AO46" s="3392">
        <v>1128</v>
      </c>
      <c r="AP46" s="4647">
        <v>1196</v>
      </c>
      <c r="AQ46" s="4647">
        <v>1096</v>
      </c>
      <c r="AR46" s="3392">
        <v>729</v>
      </c>
      <c r="AS46" s="3392">
        <v>658</v>
      </c>
      <c r="AT46" s="3392">
        <f t="shared" si="10"/>
        <v>10156</v>
      </c>
      <c r="AU46" s="5618">
        <f t="shared" si="11"/>
        <v>846.33333333333337</v>
      </c>
      <c r="AW46" s="3393">
        <v>937</v>
      </c>
      <c r="AX46" s="3392">
        <v>690</v>
      </c>
      <c r="AY46" s="3392"/>
      <c r="AZ46" s="803"/>
      <c r="BA46" s="3392"/>
      <c r="BB46" s="3392"/>
      <c r="BC46" s="4647"/>
      <c r="BD46" s="3392"/>
      <c r="BE46" s="4647"/>
      <c r="BF46" s="4647"/>
      <c r="BG46" s="3392"/>
      <c r="BH46" s="3392"/>
      <c r="BI46" s="3392">
        <f t="shared" si="16"/>
        <v>1627</v>
      </c>
      <c r="BJ46" s="4341">
        <f t="shared" si="17"/>
        <v>813.5</v>
      </c>
      <c r="BL46" s="5620">
        <f t="shared" si="6"/>
        <v>80</v>
      </c>
      <c r="BM46" s="5620">
        <f t="shared" si="7"/>
        <v>-32.833333333333371</v>
      </c>
      <c r="BN46" s="5620">
        <f>IFERROR(
  SUM(
    _xlfn.XLOOKUP(DATE(YEAR($A$1),1,1),$2:$2,46:46):
    _xlfn.XLOOKUP($A$1,$2:$2,46:46)
  )
 -SUM(
    _xlfn.XLOOKUP(DATE(YEAR($A$1)-1,1,1),$2:$2,46:46):
    _xlfn.XLOOKUP(EDATE($A$1,-12),$2:$2,46:46)
  ),"")</f>
        <v>729</v>
      </c>
      <c r="BO46" s="5620">
        <f t="shared" si="8"/>
        <v>-247</v>
      </c>
    </row>
    <row r="47" spans="1:67" x14ac:dyDescent="0.55000000000000004">
      <c r="A47" s="7359"/>
      <c r="B47" s="4541"/>
      <c r="C47" s="4545" t="s">
        <v>330</v>
      </c>
      <c r="D47" s="4545"/>
      <c r="E47" s="4545"/>
      <c r="F47" s="4545"/>
      <c r="G47" s="4545"/>
      <c r="H47" s="4545"/>
      <c r="I47" s="4545"/>
      <c r="J47" s="4545"/>
      <c r="K47" s="4545"/>
      <c r="L47" s="4545"/>
      <c r="M47" s="4545"/>
      <c r="N47" s="4545"/>
      <c r="O47" s="4545"/>
      <c r="P47" s="4545"/>
      <c r="Q47" s="4545"/>
      <c r="S47" s="4648"/>
      <c r="T47" s="886"/>
      <c r="U47" s="886"/>
      <c r="V47" s="886"/>
      <c r="W47" s="886"/>
      <c r="X47" s="886"/>
      <c r="Y47" s="886"/>
      <c r="Z47" s="886"/>
      <c r="AA47" s="886"/>
      <c r="AB47" s="886"/>
      <c r="AC47" s="1102">
        <v>1888</v>
      </c>
      <c r="AD47" s="1102">
        <v>242</v>
      </c>
      <c r="AE47" s="1102">
        <f t="shared" si="14"/>
        <v>2130</v>
      </c>
      <c r="AF47" s="886">
        <f t="shared" si="15"/>
        <v>1065</v>
      </c>
      <c r="AH47" s="2968">
        <v>1679</v>
      </c>
      <c r="AI47" s="1102">
        <v>1477</v>
      </c>
      <c r="AJ47" s="1102">
        <v>2369</v>
      </c>
      <c r="AK47" s="886">
        <v>3852</v>
      </c>
      <c r="AL47" s="1102">
        <v>2800</v>
      </c>
      <c r="AM47" s="1102">
        <v>11929</v>
      </c>
      <c r="AN47" s="4649">
        <v>12120</v>
      </c>
      <c r="AO47" s="1102">
        <v>6776</v>
      </c>
      <c r="AP47" s="4649">
        <v>7003</v>
      </c>
      <c r="AQ47" s="4649">
        <v>4891</v>
      </c>
      <c r="AR47" s="1102">
        <v>3453</v>
      </c>
      <c r="AS47" s="1102">
        <v>3658</v>
      </c>
      <c r="AT47" s="1102">
        <f t="shared" si="10"/>
        <v>62007</v>
      </c>
      <c r="AU47" s="5619">
        <f t="shared" si="11"/>
        <v>5167.25</v>
      </c>
      <c r="AW47" s="2968">
        <v>5101</v>
      </c>
      <c r="AX47" s="1102">
        <v>3263</v>
      </c>
      <c r="AY47" s="1102"/>
      <c r="AZ47" s="886"/>
      <c r="BA47" s="1102"/>
      <c r="BB47" s="1102"/>
      <c r="BC47" s="4649"/>
      <c r="BD47" s="1102"/>
      <c r="BE47" s="4649"/>
      <c r="BF47" s="4649"/>
      <c r="BG47" s="1102"/>
      <c r="BH47" s="1102"/>
      <c r="BI47" s="1102">
        <f t="shared" si="16"/>
        <v>8364</v>
      </c>
      <c r="BJ47" s="4650">
        <f t="shared" si="17"/>
        <v>4182</v>
      </c>
      <c r="BL47" s="5620">
        <f t="shared" si="6"/>
        <v>1786</v>
      </c>
      <c r="BM47" s="5620">
        <f t="shared" si="7"/>
        <v>-985.25</v>
      </c>
      <c r="BN47" s="5620">
        <f>IFERROR(
  SUM(
    _xlfn.XLOOKUP(DATE(YEAR($A$1),1,1),$2:$2,47:47):
    _xlfn.XLOOKUP($A$1,$2:$2,47:47)
  )
 -SUM(
    _xlfn.XLOOKUP(DATE(YEAR($A$1)-1,1,1),$2:$2,47:47):
    _xlfn.XLOOKUP(EDATE($A$1,-12),$2:$2,47:47)
  ),"")</f>
        <v>5208</v>
      </c>
      <c r="BO47" s="5620">
        <f t="shared" si="8"/>
        <v>-1838</v>
      </c>
    </row>
    <row r="48" spans="1:67" x14ac:dyDescent="0.55000000000000004">
      <c r="A48" s="7359"/>
      <c r="B48" s="4541"/>
      <c r="C48" s="4545" t="s">
        <v>331</v>
      </c>
      <c r="D48" s="4545"/>
      <c r="E48" s="4545"/>
      <c r="F48" s="4545"/>
      <c r="G48" s="4545"/>
      <c r="H48" s="4545"/>
      <c r="I48" s="4545"/>
      <c r="J48" s="4545"/>
      <c r="K48" s="4545"/>
      <c r="L48" s="4545"/>
      <c r="M48" s="4545"/>
      <c r="N48" s="4545"/>
      <c r="O48" s="4545"/>
      <c r="P48" s="4545"/>
      <c r="Q48" s="4545"/>
      <c r="S48" s="4648"/>
      <c r="T48" s="886"/>
      <c r="U48" s="886"/>
      <c r="V48" s="886"/>
      <c r="W48" s="886"/>
      <c r="X48" s="886"/>
      <c r="Y48" s="886"/>
      <c r="Z48" s="886"/>
      <c r="AA48" s="886"/>
      <c r="AB48" s="886"/>
      <c r="AC48" s="1102">
        <v>1446</v>
      </c>
      <c r="AD48" s="1102">
        <v>302</v>
      </c>
      <c r="AE48" s="1102">
        <f t="shared" si="14"/>
        <v>1748</v>
      </c>
      <c r="AF48" s="886">
        <f t="shared" si="15"/>
        <v>874</v>
      </c>
      <c r="AH48" s="2968">
        <v>977</v>
      </c>
      <c r="AI48" s="1102">
        <v>484</v>
      </c>
      <c r="AJ48" s="1102">
        <v>2153</v>
      </c>
      <c r="AK48" s="886">
        <v>3707</v>
      </c>
      <c r="AL48" s="1102">
        <v>2369</v>
      </c>
      <c r="AM48" s="1102">
        <v>8857</v>
      </c>
      <c r="AN48" s="4649">
        <v>11663</v>
      </c>
      <c r="AO48" s="1102">
        <v>6520</v>
      </c>
      <c r="AP48" s="4649">
        <v>5767</v>
      </c>
      <c r="AQ48" s="4649">
        <v>3636</v>
      </c>
      <c r="AR48" s="1102">
        <v>3312</v>
      </c>
      <c r="AS48" s="1102">
        <v>3419</v>
      </c>
      <c r="AT48" s="1102">
        <f t="shared" si="10"/>
        <v>52864</v>
      </c>
      <c r="AU48" s="5619">
        <f t="shared" si="11"/>
        <v>4405.333333333333</v>
      </c>
      <c r="AW48" s="2968">
        <v>4726</v>
      </c>
      <c r="AX48" s="1102">
        <v>2759</v>
      </c>
      <c r="AY48" s="1102"/>
      <c r="AZ48" s="886"/>
      <c r="BA48" s="1102"/>
      <c r="BB48" s="1102"/>
      <c r="BC48" s="4649"/>
      <c r="BD48" s="1102"/>
      <c r="BE48" s="4649"/>
      <c r="BF48" s="4649"/>
      <c r="BG48" s="1102"/>
      <c r="BH48" s="1102"/>
      <c r="BI48" s="1102">
        <f t="shared" si="16"/>
        <v>7485</v>
      </c>
      <c r="BJ48" s="4650">
        <f t="shared" si="17"/>
        <v>3742.5</v>
      </c>
      <c r="BL48" s="5620">
        <f t="shared" si="6"/>
        <v>2275</v>
      </c>
      <c r="BM48" s="5620">
        <f t="shared" si="7"/>
        <v>-662.83333333333303</v>
      </c>
      <c r="BN48" s="5620">
        <f>IFERROR(
  SUM(
    _xlfn.XLOOKUP(DATE(YEAR($A$1),1,1),$2:$2,48:48):
    _xlfn.XLOOKUP($A$1,$2:$2,48:48)
  )
 -SUM(
    _xlfn.XLOOKUP(DATE(YEAR($A$1)-1,1,1),$2:$2,48:48):
    _xlfn.XLOOKUP(EDATE($A$1,-12),$2:$2,48:48)
  ),"")</f>
        <v>6024</v>
      </c>
      <c r="BO48" s="5620">
        <f t="shared" si="8"/>
        <v>-1967</v>
      </c>
    </row>
    <row r="49" spans="1:67" x14ac:dyDescent="0.55000000000000004">
      <c r="A49" s="7359"/>
      <c r="B49" s="4541"/>
      <c r="C49" s="4545" t="s">
        <v>332</v>
      </c>
      <c r="D49" s="4545"/>
      <c r="E49" s="4545"/>
      <c r="F49" s="4545"/>
      <c r="G49" s="4545"/>
      <c r="H49" s="4545"/>
      <c r="I49" s="4545"/>
      <c r="J49" s="4545"/>
      <c r="K49" s="4545"/>
      <c r="L49" s="4545"/>
      <c r="M49" s="4545"/>
      <c r="N49" s="4545"/>
      <c r="O49" s="4545"/>
      <c r="P49" s="4545"/>
      <c r="Q49" s="4545"/>
      <c r="S49" s="4648"/>
      <c r="T49" s="886"/>
      <c r="U49" s="886"/>
      <c r="V49" s="886"/>
      <c r="W49" s="886"/>
      <c r="X49" s="886"/>
      <c r="Y49" s="886"/>
      <c r="Z49" s="886"/>
      <c r="AA49" s="886"/>
      <c r="AB49" s="886"/>
      <c r="AC49" s="886"/>
      <c r="AD49" s="886"/>
      <c r="AE49" s="886"/>
      <c r="AF49" s="886"/>
      <c r="AH49" s="2968"/>
      <c r="AI49" s="1102"/>
      <c r="AK49" s="886"/>
      <c r="AL49" s="1102"/>
      <c r="AN49" s="4649"/>
      <c r="AO49" s="1102"/>
      <c r="AP49" s="886"/>
      <c r="AQ49" s="886"/>
      <c r="AR49" s="886"/>
      <c r="AS49" s="886"/>
      <c r="AT49" s="886">
        <f t="shared" si="10"/>
        <v>0</v>
      </c>
      <c r="AU49" s="4650" t="e">
        <f t="shared" si="11"/>
        <v>#DIV/0!</v>
      </c>
      <c r="AW49" s="2968"/>
      <c r="AX49" s="1102"/>
      <c r="AZ49" s="886"/>
      <c r="BA49" s="1102"/>
      <c r="BC49" s="4649"/>
      <c r="BD49" s="1102"/>
      <c r="BE49" s="886"/>
      <c r="BF49" s="886"/>
      <c r="BG49" s="886"/>
      <c r="BH49" s="886"/>
      <c r="BI49" s="1102">
        <f t="shared" ref="BI49:BI51" si="18">SUM(AW49:BH49)</f>
        <v>0</v>
      </c>
      <c r="BJ49" s="4650" t="e">
        <f t="shared" ref="BJ49:BJ51" si="19">AVERAGE(AW49:BH49)</f>
        <v>#DIV/0!</v>
      </c>
      <c r="BL49" s="5620">
        <f t="shared" si="6"/>
        <v>0</v>
      </c>
      <c r="BM49" s="5620" t="e">
        <f t="shared" si="7"/>
        <v>#DIV/0!</v>
      </c>
      <c r="BN49" s="5620">
        <f>IFERROR(
  SUM(
    _xlfn.XLOOKUP(DATE(YEAR($A$1),1,1),$2:$2,49:49):
    _xlfn.XLOOKUP($A$1,$2:$2,49:49)
  )
 -SUM(
    _xlfn.XLOOKUP(DATE(YEAR($A$1)-1,1,1),$2:$2,49:49):
    _xlfn.XLOOKUP(EDATE($A$1,-12),$2:$2,49:49)
  ),"")</f>
        <v>0</v>
      </c>
      <c r="BO49" s="5620">
        <f t="shared" si="8"/>
        <v>0</v>
      </c>
    </row>
    <row r="50" spans="1:67" x14ac:dyDescent="0.55000000000000004">
      <c r="A50" s="7359"/>
      <c r="B50" s="4541"/>
      <c r="C50" s="4545" t="s">
        <v>333</v>
      </c>
      <c r="D50" s="4545"/>
      <c r="E50" s="4545"/>
      <c r="F50" s="4545"/>
      <c r="G50" s="4545"/>
      <c r="H50" s="4545"/>
      <c r="I50" s="4545"/>
      <c r="J50" s="4545"/>
      <c r="K50" s="4545"/>
      <c r="L50" s="4545"/>
      <c r="M50" s="4545"/>
      <c r="N50" s="4545"/>
      <c r="O50" s="4545"/>
      <c r="P50" s="4545"/>
      <c r="Q50" s="4545"/>
      <c r="S50" s="4648"/>
      <c r="T50" s="886"/>
      <c r="U50" s="886"/>
      <c r="V50" s="886"/>
      <c r="W50" s="886"/>
      <c r="X50" s="886"/>
      <c r="Y50" s="886"/>
      <c r="Z50" s="886"/>
      <c r="AA50" s="886"/>
      <c r="AB50" s="886"/>
      <c r="AC50" s="886"/>
      <c r="AD50" s="886"/>
      <c r="AE50" s="886"/>
      <c r="AF50" s="886"/>
      <c r="AH50" s="2968"/>
      <c r="AI50" s="1102"/>
      <c r="AK50" s="886"/>
      <c r="AL50" s="1102"/>
      <c r="AN50" s="4649"/>
      <c r="AO50" s="1102"/>
      <c r="AP50" s="886"/>
      <c r="AQ50" s="886"/>
      <c r="AR50" s="886"/>
      <c r="AS50" s="886"/>
      <c r="AT50" s="886">
        <f t="shared" si="10"/>
        <v>0</v>
      </c>
      <c r="AU50" s="4650" t="e">
        <f t="shared" si="11"/>
        <v>#DIV/0!</v>
      </c>
      <c r="AW50" s="2968"/>
      <c r="AX50" s="1102"/>
      <c r="AZ50" s="886"/>
      <c r="BA50" s="1102"/>
      <c r="BC50" s="4649"/>
      <c r="BD50" s="1102"/>
      <c r="BE50" s="886"/>
      <c r="BF50" s="886"/>
      <c r="BG50" s="886"/>
      <c r="BH50" s="886"/>
      <c r="BI50" s="1102">
        <f t="shared" si="18"/>
        <v>0</v>
      </c>
      <c r="BJ50" s="4650" t="e">
        <f t="shared" si="19"/>
        <v>#DIV/0!</v>
      </c>
      <c r="BL50" s="5620">
        <f t="shared" si="6"/>
        <v>0</v>
      </c>
      <c r="BM50" s="5620" t="e">
        <f t="shared" si="7"/>
        <v>#DIV/0!</v>
      </c>
      <c r="BN50" s="5620">
        <f>IFERROR(
  SUM(
    _xlfn.XLOOKUP(DATE(YEAR($A$1),1,1),$2:$2,50:50):
    _xlfn.XLOOKUP($A$1,$2:$2,50:50)
  )
 -SUM(
    _xlfn.XLOOKUP(DATE(YEAR($A$1)-1,1,1),$2:$2,50:50):
    _xlfn.XLOOKUP(EDATE($A$1,-12),$2:$2,50:50)
  ),"")</f>
        <v>0</v>
      </c>
      <c r="BO50" s="5620">
        <f t="shared" si="8"/>
        <v>0</v>
      </c>
    </row>
    <row r="51" spans="1:67" x14ac:dyDescent="0.55000000000000004">
      <c r="A51" s="7359"/>
      <c r="B51" s="4546"/>
      <c r="C51" s="4547" t="s">
        <v>334</v>
      </c>
      <c r="D51" s="4547"/>
      <c r="E51" s="4547"/>
      <c r="F51" s="4547"/>
      <c r="G51" s="4547"/>
      <c r="H51" s="4547"/>
      <c r="I51" s="4547"/>
      <c r="J51" s="4547"/>
      <c r="K51" s="4547"/>
      <c r="L51" s="4547"/>
      <c r="M51" s="4547"/>
      <c r="N51" s="4547"/>
      <c r="O51" s="4547"/>
      <c r="P51" s="4547"/>
      <c r="Q51" s="4547"/>
      <c r="S51" s="4651"/>
      <c r="T51" s="4652"/>
      <c r="U51" s="4652"/>
      <c r="V51" s="4652"/>
      <c r="W51" s="4652"/>
      <c r="X51" s="886"/>
      <c r="Y51" s="886"/>
      <c r="Z51" s="886"/>
      <c r="AA51" s="886"/>
      <c r="AB51" s="886"/>
      <c r="AC51" s="886"/>
      <c r="AD51" s="886"/>
      <c r="AE51" s="886"/>
      <c r="AF51" s="886"/>
      <c r="AH51" s="4653"/>
      <c r="AI51" s="3675"/>
      <c r="AJ51" s="4654"/>
      <c r="AK51" s="4652"/>
      <c r="AL51" s="3675"/>
      <c r="AN51" s="4649"/>
      <c r="AO51" s="1102"/>
      <c r="AP51" s="886"/>
      <c r="AQ51" s="886"/>
      <c r="AR51" s="886"/>
      <c r="AS51" s="886"/>
      <c r="AT51" s="886">
        <f t="shared" si="10"/>
        <v>0</v>
      </c>
      <c r="AU51" s="4650" t="e">
        <f t="shared" si="11"/>
        <v>#DIV/0!</v>
      </c>
      <c r="AW51" s="4653"/>
      <c r="AX51" s="3675"/>
      <c r="AY51" s="4654"/>
      <c r="AZ51" s="4652"/>
      <c r="BA51" s="3675"/>
      <c r="BC51" s="4649"/>
      <c r="BD51" s="1102"/>
      <c r="BE51" s="886"/>
      <c r="BF51" s="886"/>
      <c r="BG51" s="886"/>
      <c r="BH51" s="886"/>
      <c r="BI51" s="1102">
        <f t="shared" si="18"/>
        <v>0</v>
      </c>
      <c r="BJ51" s="4650" t="e">
        <f t="shared" si="19"/>
        <v>#DIV/0!</v>
      </c>
      <c r="BL51" s="5620">
        <f t="shared" si="6"/>
        <v>0</v>
      </c>
      <c r="BM51" s="5620" t="e">
        <f t="shared" si="7"/>
        <v>#DIV/0!</v>
      </c>
      <c r="BN51" s="5620">
        <f>IFERROR(
  SUM(
    _xlfn.XLOOKUP(DATE(YEAR($A$1),1,1),$2:$2,51:51):
    _xlfn.XLOOKUP($A$1,$2:$2,51:51)
  )
 -SUM(
    _xlfn.XLOOKUP(DATE(YEAR($A$1)-1,1,1),$2:$2,51:51):
    _xlfn.XLOOKUP(EDATE($A$1,-12),$2:$2,51:51)
  ),"")</f>
        <v>0</v>
      </c>
      <c r="BO51" s="5620">
        <f t="shared" si="8"/>
        <v>0</v>
      </c>
    </row>
    <row r="52" spans="1:67" x14ac:dyDescent="0.55000000000000004">
      <c r="A52" s="7359"/>
      <c r="B52" s="4541" t="s">
        <v>384</v>
      </c>
      <c r="C52" s="4548"/>
      <c r="D52" s="4548"/>
      <c r="E52" s="4548"/>
      <c r="F52" s="4548"/>
      <c r="G52" s="4548"/>
      <c r="H52" s="4548"/>
      <c r="I52" s="4548"/>
      <c r="J52" s="4548"/>
      <c r="K52" s="4548"/>
      <c r="L52" s="4548"/>
      <c r="M52" s="4548"/>
      <c r="N52" s="4548"/>
      <c r="O52" s="4548"/>
      <c r="P52" s="4548"/>
      <c r="Q52" s="4548"/>
      <c r="S52" s="4655"/>
      <c r="T52" s="4656"/>
      <c r="U52" s="4656"/>
      <c r="V52" s="4656"/>
      <c r="W52" s="4657">
        <v>540</v>
      </c>
      <c r="X52" s="4657">
        <v>3686</v>
      </c>
      <c r="Y52" s="4657">
        <v>6932</v>
      </c>
      <c r="Z52" s="4657">
        <v>5381</v>
      </c>
      <c r="AA52" s="4657">
        <v>4948</v>
      </c>
      <c r="AB52" s="4657">
        <v>5610</v>
      </c>
      <c r="AC52" s="4657">
        <v>5781</v>
      </c>
      <c r="AD52" s="4657">
        <v>5790</v>
      </c>
      <c r="AE52" s="4657">
        <f t="shared" ref="AE52:AE64" si="20">SUM(S52:AD52)</f>
        <v>38668</v>
      </c>
      <c r="AF52" s="4657">
        <f t="shared" ref="AF52:AF64" si="21">AVERAGE(S52:AD52)</f>
        <v>4833.5</v>
      </c>
      <c r="AH52" s="4658">
        <v>6160</v>
      </c>
      <c r="AI52" s="4657">
        <v>5855</v>
      </c>
      <c r="AJ52" s="4657">
        <v>5129</v>
      </c>
      <c r="AK52" s="4657">
        <v>4387</v>
      </c>
      <c r="AL52" s="3676">
        <v>3698</v>
      </c>
      <c r="AM52" s="4657">
        <v>2965</v>
      </c>
      <c r="AN52" s="4659">
        <v>2221</v>
      </c>
      <c r="AO52" s="3676">
        <v>2771</v>
      </c>
      <c r="AP52" s="4657">
        <v>1661</v>
      </c>
      <c r="AQ52" s="4657">
        <v>1000</v>
      </c>
      <c r="AR52" s="4657">
        <v>703</v>
      </c>
      <c r="AS52" s="4657">
        <v>567</v>
      </c>
      <c r="AT52" s="4657">
        <f t="shared" si="10"/>
        <v>37117</v>
      </c>
      <c r="AU52" s="4660">
        <f t="shared" si="11"/>
        <v>3093.0833333333335</v>
      </c>
      <c r="AW52" s="4658">
        <v>452</v>
      </c>
      <c r="AX52" s="4657"/>
      <c r="AY52" s="4657"/>
      <c r="AZ52" s="4657"/>
      <c r="BA52" s="3676"/>
      <c r="BB52" s="4657"/>
      <c r="BC52" s="4659"/>
      <c r="BD52" s="3676"/>
      <c r="BE52" s="4657"/>
      <c r="BF52" s="4657"/>
      <c r="BG52" s="4657"/>
      <c r="BH52" s="4657"/>
      <c r="BI52" s="4657">
        <f t="shared" ref="BI52:BI61" si="22">SUM(AW52:BH52)</f>
        <v>452</v>
      </c>
      <c r="BJ52" s="4660">
        <f t="shared" ref="BJ52:BJ62" si="23">AVERAGE(AW52:BH52)</f>
        <v>452</v>
      </c>
      <c r="BL52" s="5620">
        <f t="shared" si="6"/>
        <v>-5855</v>
      </c>
      <c r="BM52" s="5620">
        <f t="shared" si="7"/>
        <v>-2641.0833333333335</v>
      </c>
      <c r="BN52" s="5620">
        <f>IFERROR(
  SUM(
    _xlfn.XLOOKUP(DATE(YEAR($A$1),1,1),$2:$2,52:52):
    _xlfn.XLOOKUP($A$1,$2:$2,52:52)
  )
 -SUM(
    _xlfn.XLOOKUP(DATE(YEAR($A$1)-1,1,1),$2:$2,52:52):
    _xlfn.XLOOKUP(EDATE($A$1,-12),$2:$2,52:52)
  ),"")</f>
        <v>-11563</v>
      </c>
      <c r="BO52" s="5620">
        <f t="shared" si="8"/>
        <v>-452</v>
      </c>
    </row>
    <row r="53" spans="1:67" x14ac:dyDescent="0.55000000000000004">
      <c r="A53" s="7359"/>
      <c r="B53" s="2505" t="s">
        <v>1155</v>
      </c>
      <c r="C53" s="4549"/>
      <c r="D53" s="4391"/>
      <c r="E53" s="4391"/>
      <c r="F53" s="4391"/>
      <c r="G53" s="4391"/>
      <c r="H53" s="4391"/>
      <c r="I53" s="4391"/>
      <c r="J53" s="4391"/>
      <c r="K53" s="4391"/>
      <c r="L53" s="4391"/>
      <c r="M53" s="4391"/>
      <c r="N53" s="4391"/>
      <c r="O53" s="4391"/>
      <c r="P53" s="4391"/>
      <c r="Q53" s="4391"/>
      <c r="S53" s="4655"/>
      <c r="T53" s="4656"/>
      <c r="U53" s="4656"/>
      <c r="V53" s="4656"/>
      <c r="W53" s="4661">
        <v>909.47272727272718</v>
      </c>
      <c r="X53" s="4661">
        <v>1118.8454545454545</v>
      </c>
      <c r="Y53" s="4661">
        <v>225750.99999999997</v>
      </c>
      <c r="Z53" s="4661">
        <v>735436.94545454532</v>
      </c>
      <c r="AA53" s="4661">
        <v>810906.66363636369</v>
      </c>
      <c r="AB53" s="4662">
        <v>960529.09090909082</v>
      </c>
      <c r="AC53" s="4661">
        <v>1123390.3909090909</v>
      </c>
      <c r="AD53" s="4661">
        <v>1221879.1545454545</v>
      </c>
      <c r="AE53" s="4661">
        <f t="shared" si="20"/>
        <v>5079921.5636363635</v>
      </c>
      <c r="AF53" s="4661">
        <f t="shared" si="21"/>
        <v>634990.19545454544</v>
      </c>
      <c r="AH53" s="4505">
        <v>1145730.3700000001</v>
      </c>
      <c r="AI53" s="2895">
        <v>1076407</v>
      </c>
      <c r="AJ53" s="4661">
        <v>747947.68</v>
      </c>
      <c r="AK53" s="4663">
        <v>459187</v>
      </c>
      <c r="AL53" s="2895">
        <v>396699.97000000003</v>
      </c>
      <c r="AM53" s="4661">
        <v>395894.96</v>
      </c>
      <c r="AN53" s="4664">
        <v>43905.19</v>
      </c>
      <c r="AO53" s="2895">
        <v>49380.3</v>
      </c>
      <c r="AP53" s="4663">
        <v>34157</v>
      </c>
      <c r="AQ53" s="2895">
        <v>26261</v>
      </c>
      <c r="AR53" s="4663">
        <v>25723</v>
      </c>
      <c r="AS53" s="4663">
        <v>17967</v>
      </c>
      <c r="AT53" s="4663">
        <f t="shared" si="10"/>
        <v>4419260.4700000007</v>
      </c>
      <c r="AU53" s="4665">
        <f t="shared" si="11"/>
        <v>368271.70583333337</v>
      </c>
      <c r="AW53" s="4505">
        <v>21098</v>
      </c>
      <c r="AX53" s="2895">
        <v>13422</v>
      </c>
      <c r="AY53" s="4661"/>
      <c r="AZ53" s="4663"/>
      <c r="BA53" s="2895"/>
      <c r="BB53" s="4661"/>
      <c r="BC53" s="4664"/>
      <c r="BD53" s="2895"/>
      <c r="BE53" s="4663"/>
      <c r="BF53" s="2895"/>
      <c r="BG53" s="4663"/>
      <c r="BH53" s="4663"/>
      <c r="BI53" s="4663">
        <f t="shared" si="22"/>
        <v>34520</v>
      </c>
      <c r="BJ53" s="4665">
        <f t="shared" si="23"/>
        <v>17260</v>
      </c>
      <c r="BL53" s="5620">
        <f t="shared" si="6"/>
        <v>-1062985</v>
      </c>
      <c r="BM53" s="5620">
        <f t="shared" si="7"/>
        <v>-351011.70583333337</v>
      </c>
      <c r="BN53" s="5620">
        <f>IFERROR(
  SUM(
    _xlfn.XLOOKUP(DATE(YEAR($A$1),1,1),$2:$2,53:53):
    _xlfn.XLOOKUP($A$1,$2:$2,53:53)
  )
 -SUM(
    _xlfn.XLOOKUP(DATE(YEAR($A$1)-1,1,1),$2:$2,53:53):
    _xlfn.XLOOKUP(EDATE($A$1,-12),$2:$2,53:53)
  ),"")</f>
        <v>-2187617.37</v>
      </c>
      <c r="BO53" s="5620">
        <f t="shared" si="8"/>
        <v>-7676</v>
      </c>
    </row>
    <row r="54" spans="1:67" x14ac:dyDescent="0.55000000000000004">
      <c r="A54" s="7359"/>
      <c r="B54" s="2505"/>
      <c r="C54" s="657" t="s">
        <v>104</v>
      </c>
      <c r="D54" s="4545"/>
      <c r="E54" s="4545"/>
      <c r="F54" s="4545"/>
      <c r="G54" s="4545"/>
      <c r="H54" s="4545"/>
      <c r="I54" s="4545"/>
      <c r="J54" s="4545"/>
      <c r="K54" s="4545"/>
      <c r="L54" s="4545"/>
      <c r="M54" s="4545"/>
      <c r="N54" s="4545"/>
      <c r="O54" s="4545"/>
      <c r="P54" s="4545"/>
      <c r="Q54" s="4545"/>
      <c r="S54" s="4655"/>
      <c r="T54" s="4656"/>
      <c r="U54" s="4656"/>
      <c r="V54" s="4656"/>
      <c r="W54" s="4235">
        <v>0</v>
      </c>
      <c r="X54" s="4235">
        <v>0</v>
      </c>
      <c r="Y54" s="4235">
        <v>0</v>
      </c>
      <c r="Z54" s="4235">
        <v>91636.363636363632</v>
      </c>
      <c r="AA54" s="4235">
        <v>0</v>
      </c>
      <c r="AB54" s="905">
        <v>0</v>
      </c>
      <c r="AC54" s="4235">
        <v>0</v>
      </c>
      <c r="AD54" s="4235">
        <v>0</v>
      </c>
      <c r="AE54" s="4235">
        <f t="shared" si="20"/>
        <v>91636.363636363632</v>
      </c>
      <c r="AF54" s="4235">
        <f t="shared" si="21"/>
        <v>11454.545454545454</v>
      </c>
      <c r="AH54" s="4666">
        <v>0</v>
      </c>
      <c r="AI54" s="2774">
        <v>0</v>
      </c>
      <c r="AJ54" s="2774">
        <v>0</v>
      </c>
      <c r="AK54" s="785">
        <v>0</v>
      </c>
      <c r="AL54" s="2774">
        <v>0</v>
      </c>
      <c r="AM54" s="2774">
        <v>0</v>
      </c>
      <c r="AN54" s="4490">
        <v>0</v>
      </c>
      <c r="AO54" s="2774">
        <v>0</v>
      </c>
      <c r="AP54" s="4490">
        <v>0</v>
      </c>
      <c r="AQ54" s="2774">
        <v>0</v>
      </c>
      <c r="AR54" s="4490">
        <v>0</v>
      </c>
      <c r="AS54" s="785">
        <v>0</v>
      </c>
      <c r="AT54" s="785">
        <f t="shared" si="10"/>
        <v>0</v>
      </c>
      <c r="AU54" s="4667">
        <f t="shared" si="11"/>
        <v>0</v>
      </c>
      <c r="AW54" s="4666">
        <v>0</v>
      </c>
      <c r="AX54" s="2774">
        <v>0</v>
      </c>
      <c r="AY54" s="2774"/>
      <c r="AZ54" s="785"/>
      <c r="BA54" s="2774"/>
      <c r="BB54" s="2774"/>
      <c r="BC54" s="4490"/>
      <c r="BD54" s="2774"/>
      <c r="BE54" s="4490"/>
      <c r="BF54" s="2774"/>
      <c r="BG54" s="4490"/>
      <c r="BH54" s="785"/>
      <c r="BI54" s="785">
        <f t="shared" si="22"/>
        <v>0</v>
      </c>
      <c r="BJ54" s="4667">
        <f t="shared" si="23"/>
        <v>0</v>
      </c>
      <c r="BL54" s="5620">
        <f t="shared" si="6"/>
        <v>0</v>
      </c>
      <c r="BM54" s="5620">
        <f t="shared" si="7"/>
        <v>0</v>
      </c>
      <c r="BN54" s="5620">
        <f>IFERROR(
  SUM(
    _xlfn.XLOOKUP(DATE(YEAR($A$1),1,1),$2:$2,54:54):
    _xlfn.XLOOKUP($A$1,$2:$2,54:54)
  )
 -SUM(
    _xlfn.XLOOKUP(DATE(YEAR($A$1)-1,1,1),$2:$2,54:54):
    _xlfn.XLOOKUP(EDATE($A$1,-12),$2:$2,54:54)
  ),"")</f>
        <v>0</v>
      </c>
      <c r="BO54" s="5620">
        <f t="shared" si="8"/>
        <v>0</v>
      </c>
    </row>
    <row r="55" spans="1:67" x14ac:dyDescent="0.55000000000000004">
      <c r="A55" s="7359"/>
      <c r="B55" s="2505"/>
      <c r="C55" s="657" t="s">
        <v>635</v>
      </c>
      <c r="D55" s="4545"/>
      <c r="E55" s="4545"/>
      <c r="F55" s="4545"/>
      <c r="G55" s="4545"/>
      <c r="H55" s="4545"/>
      <c r="I55" s="4545"/>
      <c r="J55" s="4545"/>
      <c r="K55" s="4545"/>
      <c r="L55" s="4545"/>
      <c r="M55" s="4545"/>
      <c r="N55" s="4545"/>
      <c r="O55" s="4545"/>
      <c r="P55" s="4545"/>
      <c r="Q55" s="4545"/>
      <c r="S55" s="4655"/>
      <c r="T55" s="4656"/>
      <c r="U55" s="4656"/>
      <c r="V55" s="4656"/>
      <c r="W55" s="4235">
        <v>0</v>
      </c>
      <c r="X55" s="4235">
        <v>90.909090909090907</v>
      </c>
      <c r="Y55" s="4235">
        <v>107618.18181818181</v>
      </c>
      <c r="Z55" s="4235">
        <v>384509.09090909088</v>
      </c>
      <c r="AA55" s="4235">
        <v>503518.18181818177</v>
      </c>
      <c r="AB55" s="905">
        <v>606927.27272727271</v>
      </c>
      <c r="AC55" s="4235">
        <v>631345.45454545447</v>
      </c>
      <c r="AD55" s="4235">
        <v>724545.45454545447</v>
      </c>
      <c r="AE55" s="4235">
        <f t="shared" si="20"/>
        <v>2958554.5454545454</v>
      </c>
      <c r="AF55" s="4235">
        <f t="shared" si="21"/>
        <v>369819.31818181818</v>
      </c>
      <c r="AH55" s="4666">
        <v>559160</v>
      </c>
      <c r="AI55" s="2774">
        <v>498940</v>
      </c>
      <c r="AJ55" s="2774">
        <v>348310</v>
      </c>
      <c r="AK55" s="785">
        <v>224850</v>
      </c>
      <c r="AL55" s="2774">
        <v>216110</v>
      </c>
      <c r="AM55" s="4235">
        <v>217040</v>
      </c>
      <c r="AN55" s="4490">
        <v>0</v>
      </c>
      <c r="AO55" s="2774">
        <v>0</v>
      </c>
      <c r="AP55" s="4490">
        <v>0</v>
      </c>
      <c r="AQ55" s="2774">
        <v>0</v>
      </c>
      <c r="AR55" s="4490">
        <v>0</v>
      </c>
      <c r="AS55" s="785">
        <v>0</v>
      </c>
      <c r="AT55" s="785">
        <f t="shared" si="10"/>
        <v>2064410</v>
      </c>
      <c r="AU55" s="4667">
        <f t="shared" si="11"/>
        <v>172034.16666666666</v>
      </c>
      <c r="AW55" s="4666">
        <v>0</v>
      </c>
      <c r="AX55" s="2774">
        <v>0</v>
      </c>
      <c r="AY55" s="2774"/>
      <c r="AZ55" s="785"/>
      <c r="BA55" s="2774"/>
      <c r="BB55" s="4235"/>
      <c r="BC55" s="4490"/>
      <c r="BD55" s="2774"/>
      <c r="BE55" s="4490"/>
      <c r="BF55" s="2774"/>
      <c r="BG55" s="4490"/>
      <c r="BH55" s="785"/>
      <c r="BI55" s="785">
        <f t="shared" si="22"/>
        <v>0</v>
      </c>
      <c r="BJ55" s="4667">
        <f t="shared" si="23"/>
        <v>0</v>
      </c>
      <c r="BL55" s="5620">
        <f t="shared" si="6"/>
        <v>-498940</v>
      </c>
      <c r="BM55" s="5620">
        <f t="shared" si="7"/>
        <v>-172034.16666666666</v>
      </c>
      <c r="BN55" s="5620">
        <f>IFERROR(
  SUM(
    _xlfn.XLOOKUP(DATE(YEAR($A$1),1,1),$2:$2,55:55):
    _xlfn.XLOOKUP($A$1,$2:$2,55:55)
  )
 -SUM(
    _xlfn.XLOOKUP(DATE(YEAR($A$1)-1,1,1),$2:$2,55:55):
    _xlfn.XLOOKUP(EDATE($A$1,-12),$2:$2,55:55)
  ),"")</f>
        <v>-1058100</v>
      </c>
      <c r="BO55" s="5620">
        <f t="shared" si="8"/>
        <v>0</v>
      </c>
    </row>
    <row r="56" spans="1:67" x14ac:dyDescent="0.55000000000000004">
      <c r="A56" s="7359"/>
      <c r="B56" s="2505"/>
      <c r="C56" s="657" t="s">
        <v>636</v>
      </c>
      <c r="D56" s="4545"/>
      <c r="E56" s="4545"/>
      <c r="F56" s="4545"/>
      <c r="G56" s="4545"/>
      <c r="H56" s="4545"/>
      <c r="I56" s="4545"/>
      <c r="J56" s="4545"/>
      <c r="K56" s="4545"/>
      <c r="L56" s="4545"/>
      <c r="M56" s="4545"/>
      <c r="N56" s="4545"/>
      <c r="O56" s="4545"/>
      <c r="P56" s="4545"/>
      <c r="Q56" s="4545"/>
      <c r="S56" s="4655"/>
      <c r="T56" s="4656"/>
      <c r="U56" s="4656"/>
      <c r="V56" s="4656"/>
      <c r="W56" s="4235">
        <v>0</v>
      </c>
      <c r="X56" s="4235">
        <v>0</v>
      </c>
      <c r="Y56" s="4235">
        <v>23589.999999999996</v>
      </c>
      <c r="Z56" s="4235">
        <v>68390</v>
      </c>
      <c r="AA56" s="4235">
        <v>78820</v>
      </c>
      <c r="AB56" s="905">
        <v>44660</v>
      </c>
      <c r="AC56" s="4235">
        <v>74200</v>
      </c>
      <c r="AD56" s="4235">
        <v>67130</v>
      </c>
      <c r="AE56" s="4235">
        <f t="shared" si="20"/>
        <v>356790</v>
      </c>
      <c r="AF56" s="4235">
        <f t="shared" si="21"/>
        <v>44598.75</v>
      </c>
      <c r="AH56" s="4666">
        <v>119735</v>
      </c>
      <c r="AI56" s="2774">
        <v>73612</v>
      </c>
      <c r="AJ56" s="2774">
        <v>67760</v>
      </c>
      <c r="AK56" s="785">
        <v>39963</v>
      </c>
      <c r="AL56" s="2774">
        <v>62909</v>
      </c>
      <c r="AM56" s="4235">
        <v>19019</v>
      </c>
      <c r="AN56" s="4490">
        <v>20790</v>
      </c>
      <c r="AO56" s="2774">
        <v>16016</v>
      </c>
      <c r="AP56" s="4490">
        <v>13244</v>
      </c>
      <c r="AQ56" s="2774">
        <v>12705</v>
      </c>
      <c r="AR56" s="4490">
        <v>13629</v>
      </c>
      <c r="AS56" s="785">
        <v>6545</v>
      </c>
      <c r="AT56" s="785">
        <f t="shared" si="10"/>
        <v>465927</v>
      </c>
      <c r="AU56" s="4667">
        <f t="shared" si="11"/>
        <v>38827.25</v>
      </c>
      <c r="AW56" s="4666">
        <v>5698</v>
      </c>
      <c r="AX56" s="2774">
        <v>5005</v>
      </c>
      <c r="AY56" s="2774"/>
      <c r="AZ56" s="785"/>
      <c r="BA56" s="2774"/>
      <c r="BB56" s="4235"/>
      <c r="BC56" s="4490"/>
      <c r="BD56" s="2774"/>
      <c r="BE56" s="4490"/>
      <c r="BF56" s="2774"/>
      <c r="BG56" s="4490"/>
      <c r="BH56" s="785"/>
      <c r="BI56" s="785">
        <f t="shared" si="22"/>
        <v>10703</v>
      </c>
      <c r="BJ56" s="4667">
        <f t="shared" si="23"/>
        <v>5351.5</v>
      </c>
      <c r="BL56" s="5620">
        <f t="shared" si="6"/>
        <v>-68607</v>
      </c>
      <c r="BM56" s="5620">
        <f t="shared" si="7"/>
        <v>-33475.75</v>
      </c>
      <c r="BN56" s="5620">
        <f>IFERROR(
  SUM(
    _xlfn.XLOOKUP(DATE(YEAR($A$1),1,1),$2:$2,56:56):
    _xlfn.XLOOKUP($A$1,$2:$2,56:56)
  )
 -SUM(
    _xlfn.XLOOKUP(DATE(YEAR($A$1)-1,1,1),$2:$2,56:56):
    _xlfn.XLOOKUP(EDATE($A$1,-12),$2:$2,56:56)
  ),"")</f>
        <v>-182644</v>
      </c>
      <c r="BO56" s="5620">
        <f t="shared" si="8"/>
        <v>-693</v>
      </c>
    </row>
    <row r="57" spans="1:67" x14ac:dyDescent="0.55000000000000004">
      <c r="A57" s="7359"/>
      <c r="B57" s="2505"/>
      <c r="C57" s="657" t="s">
        <v>675</v>
      </c>
      <c r="D57" s="4545"/>
      <c r="E57" s="4545"/>
      <c r="F57" s="4545"/>
      <c r="G57" s="4545"/>
      <c r="H57" s="4545"/>
      <c r="I57" s="4545"/>
      <c r="J57" s="4545"/>
      <c r="K57" s="4545"/>
      <c r="L57" s="4545"/>
      <c r="M57" s="4545"/>
      <c r="N57" s="4545"/>
      <c r="O57" s="4545"/>
      <c r="P57" s="4545"/>
      <c r="Q57" s="4545"/>
      <c r="S57" s="4655"/>
      <c r="T57" s="4656"/>
      <c r="U57" s="4656"/>
      <c r="V57" s="4656"/>
      <c r="W57" s="4235">
        <v>0</v>
      </c>
      <c r="X57" s="4235">
        <v>0</v>
      </c>
      <c r="Y57" s="4235">
        <v>0</v>
      </c>
      <c r="Z57" s="4235">
        <v>49585.999999999993</v>
      </c>
      <c r="AA57" s="4235">
        <v>63699.818181818177</v>
      </c>
      <c r="AB57" s="905">
        <v>116530.81818181816</v>
      </c>
      <c r="AC57" s="4235">
        <v>150103.63636363635</v>
      </c>
      <c r="AD57" s="4235">
        <v>221430.90909090906</v>
      </c>
      <c r="AE57" s="4235">
        <f t="shared" si="20"/>
        <v>601351.18181818177</v>
      </c>
      <c r="AF57" s="4235">
        <f t="shared" si="21"/>
        <v>75168.897727272721</v>
      </c>
      <c r="AH57" s="4666">
        <v>194185</v>
      </c>
      <c r="AI57" s="2774">
        <v>209296</v>
      </c>
      <c r="AJ57" s="2774">
        <v>110981</v>
      </c>
      <c r="AK57" s="785">
        <v>50303</v>
      </c>
      <c r="AL57" s="2774">
        <v>24058</v>
      </c>
      <c r="AM57" s="4235">
        <v>55782</v>
      </c>
      <c r="AN57" s="4490">
        <v>0</v>
      </c>
      <c r="AO57" s="2774">
        <v>0</v>
      </c>
      <c r="AP57" s="4490">
        <v>0</v>
      </c>
      <c r="AQ57" s="2774">
        <v>0</v>
      </c>
      <c r="AR57" s="4490">
        <v>0</v>
      </c>
      <c r="AS57" s="785">
        <v>0</v>
      </c>
      <c r="AT57" s="785">
        <f t="shared" si="10"/>
        <v>644605</v>
      </c>
      <c r="AU57" s="4667">
        <f t="shared" si="11"/>
        <v>53717.083333333336</v>
      </c>
      <c r="AW57" s="4666">
        <v>0</v>
      </c>
      <c r="AX57" s="2774">
        <v>0</v>
      </c>
      <c r="AY57" s="2774"/>
      <c r="AZ57" s="785"/>
      <c r="BA57" s="2774"/>
      <c r="BB57" s="4235"/>
      <c r="BC57" s="4490"/>
      <c r="BD57" s="2774"/>
      <c r="BE57" s="4490"/>
      <c r="BF57" s="2774"/>
      <c r="BG57" s="4490"/>
      <c r="BH57" s="785"/>
      <c r="BI57" s="785">
        <f t="shared" si="22"/>
        <v>0</v>
      </c>
      <c r="BJ57" s="4667">
        <f t="shared" si="23"/>
        <v>0</v>
      </c>
      <c r="BL57" s="5620">
        <f t="shared" si="6"/>
        <v>-209296</v>
      </c>
      <c r="BM57" s="5620">
        <f t="shared" si="7"/>
        <v>-53717.083333333336</v>
      </c>
      <c r="BN57" s="5620">
        <f>IFERROR(
  SUM(
    _xlfn.XLOOKUP(DATE(YEAR($A$1),1,1),$2:$2,57:57):
    _xlfn.XLOOKUP($A$1,$2:$2,57:57)
  )
 -SUM(
    _xlfn.XLOOKUP(DATE(YEAR($A$1)-1,1,1),$2:$2,57:57):
    _xlfn.XLOOKUP(EDATE($A$1,-12),$2:$2,57:57)
  ),"")</f>
        <v>-403481</v>
      </c>
      <c r="BO57" s="5620">
        <f t="shared" si="8"/>
        <v>0</v>
      </c>
    </row>
    <row r="58" spans="1:67" x14ac:dyDescent="0.55000000000000004">
      <c r="A58" s="7359"/>
      <c r="B58" s="2505"/>
      <c r="C58" s="657" t="s">
        <v>676</v>
      </c>
      <c r="D58" s="4545"/>
      <c r="E58" s="4545"/>
      <c r="F58" s="4545"/>
      <c r="G58" s="4545"/>
      <c r="H58" s="4545"/>
      <c r="I58" s="4545"/>
      <c r="J58" s="4545"/>
      <c r="K58" s="4545"/>
      <c r="L58" s="4545"/>
      <c r="M58" s="4545"/>
      <c r="N58" s="4545"/>
      <c r="O58" s="4545"/>
      <c r="P58" s="4545"/>
      <c r="Q58" s="4545"/>
      <c r="S58" s="4655"/>
      <c r="T58" s="4656"/>
      <c r="U58" s="4656"/>
      <c r="V58" s="4656"/>
      <c r="W58" s="4235">
        <v>887.40909090909076</v>
      </c>
      <c r="X58" s="4235">
        <v>1011.2090909090907</v>
      </c>
      <c r="Y58" s="4235">
        <v>24877.272727272724</v>
      </c>
      <c r="Z58" s="4235">
        <v>81533.272727272721</v>
      </c>
      <c r="AA58" s="4235">
        <v>76167.954545454544</v>
      </c>
      <c r="AB58" s="905">
        <v>106569.68181818181</v>
      </c>
      <c r="AC58" s="4235">
        <v>120332.32727272726</v>
      </c>
      <c r="AD58" s="4235">
        <v>104706.65454545454</v>
      </c>
      <c r="AE58" s="4235">
        <f t="shared" si="20"/>
        <v>516085.7818181818</v>
      </c>
      <c r="AF58" s="4235">
        <f t="shared" si="21"/>
        <v>64510.722727272725</v>
      </c>
      <c r="AH58" s="4666">
        <v>135811.13</v>
      </c>
      <c r="AI58" s="2774">
        <v>159039.69</v>
      </c>
      <c r="AJ58" s="2774">
        <v>118427.5</v>
      </c>
      <c r="AK58" s="785">
        <v>75555.67</v>
      </c>
      <c r="AL58" s="2774">
        <v>48560.69</v>
      </c>
      <c r="AM58" s="4235">
        <v>55557.08</v>
      </c>
      <c r="AN58" s="4490">
        <v>2223</v>
      </c>
      <c r="AO58" s="2774">
        <v>156</v>
      </c>
      <c r="AP58" s="4490">
        <v>0</v>
      </c>
      <c r="AQ58" s="2774">
        <v>0</v>
      </c>
      <c r="AR58" s="4490">
        <v>0</v>
      </c>
      <c r="AS58" s="785">
        <v>0</v>
      </c>
      <c r="AT58" s="785">
        <f t="shared" si="10"/>
        <v>595330.75999999989</v>
      </c>
      <c r="AU58" s="4667">
        <f t="shared" si="11"/>
        <v>49610.89666666666</v>
      </c>
      <c r="AW58" s="4666">
        <v>0</v>
      </c>
      <c r="AX58" s="2774">
        <v>0</v>
      </c>
      <c r="AY58" s="2774"/>
      <c r="AZ58" s="785"/>
      <c r="BA58" s="2774"/>
      <c r="BB58" s="4235"/>
      <c r="BC58" s="4490"/>
      <c r="BD58" s="2774"/>
      <c r="BE58" s="4490"/>
      <c r="BF58" s="2774"/>
      <c r="BG58" s="4490"/>
      <c r="BH58" s="785"/>
      <c r="BI58" s="785">
        <f t="shared" si="22"/>
        <v>0</v>
      </c>
      <c r="BJ58" s="4667">
        <f t="shared" si="23"/>
        <v>0</v>
      </c>
      <c r="BL58" s="5620">
        <f t="shared" si="6"/>
        <v>-159039.69</v>
      </c>
      <c r="BM58" s="5620">
        <f t="shared" si="7"/>
        <v>-49610.89666666666</v>
      </c>
      <c r="BN58" s="5620">
        <f>IFERROR(
  SUM(
    _xlfn.XLOOKUP(DATE(YEAR($A$1),1,1),$2:$2,58:58):
    _xlfn.XLOOKUP($A$1,$2:$2,58:58)
  )
 -SUM(
    _xlfn.XLOOKUP(DATE(YEAR($A$1)-1,1,1),$2:$2,58:58):
    _xlfn.XLOOKUP(EDATE($A$1,-12),$2:$2,58:58)
  ),"")</f>
        <v>-294850.82</v>
      </c>
      <c r="BO58" s="5620">
        <f t="shared" si="8"/>
        <v>0</v>
      </c>
    </row>
    <row r="59" spans="1:67" x14ac:dyDescent="0.55000000000000004">
      <c r="A59" s="7359"/>
      <c r="B59" s="2505"/>
      <c r="C59" s="657" t="s">
        <v>677</v>
      </c>
      <c r="D59" s="4545"/>
      <c r="E59" s="4545"/>
      <c r="F59" s="4545"/>
      <c r="G59" s="4545"/>
      <c r="H59" s="4545"/>
      <c r="I59" s="4545"/>
      <c r="J59" s="4545"/>
      <c r="K59" s="4545"/>
      <c r="L59" s="4545"/>
      <c r="M59" s="4545"/>
      <c r="N59" s="4545"/>
      <c r="O59" s="4545"/>
      <c r="P59" s="4545"/>
      <c r="Q59" s="4545"/>
      <c r="S59" s="4655"/>
      <c r="T59" s="4656"/>
      <c r="U59" s="4656"/>
      <c r="V59" s="4656"/>
      <c r="W59" s="4235">
        <v>22.063636363636363</v>
      </c>
      <c r="X59" s="4235">
        <v>16.727272727272723</v>
      </c>
      <c r="Y59" s="4235">
        <v>10016.636363636362</v>
      </c>
      <c r="Z59" s="4235">
        <v>26620.781818181815</v>
      </c>
      <c r="AA59" s="4235">
        <v>46454.609090909085</v>
      </c>
      <c r="AB59" s="905">
        <v>33957.699999999997</v>
      </c>
      <c r="AC59" s="4235">
        <v>65072.563636363637</v>
      </c>
      <c r="AD59" s="4235">
        <v>40684.154545454541</v>
      </c>
      <c r="AE59" s="4235">
        <f t="shared" si="20"/>
        <v>222845.23636363636</v>
      </c>
      <c r="AF59" s="4235">
        <f t="shared" si="21"/>
        <v>27855.654545454545</v>
      </c>
      <c r="AH59" s="4666">
        <v>46249.34</v>
      </c>
      <c r="AI59" s="2774">
        <v>55970.07</v>
      </c>
      <c r="AJ59" s="2774">
        <v>30343.53</v>
      </c>
      <c r="AK59" s="785">
        <v>18656.36</v>
      </c>
      <c r="AL59" s="2774">
        <v>13120.63</v>
      </c>
      <c r="AM59" s="4235">
        <v>15524.48</v>
      </c>
      <c r="AN59" s="4490">
        <v>0</v>
      </c>
      <c r="AO59" s="2774">
        <v>0</v>
      </c>
      <c r="AP59" s="4490">
        <v>0</v>
      </c>
      <c r="AQ59" s="2774">
        <v>0</v>
      </c>
      <c r="AR59" s="4490">
        <v>0</v>
      </c>
      <c r="AS59" s="785">
        <v>0</v>
      </c>
      <c r="AT59" s="785">
        <f t="shared" si="10"/>
        <v>179864.41</v>
      </c>
      <c r="AU59" s="4667">
        <f t="shared" si="11"/>
        <v>14988.700833333334</v>
      </c>
      <c r="AW59" s="4666">
        <v>0</v>
      </c>
      <c r="AX59" s="2774">
        <v>0</v>
      </c>
      <c r="AY59" s="2774"/>
      <c r="AZ59" s="785"/>
      <c r="BA59" s="2774"/>
      <c r="BB59" s="4235"/>
      <c r="BC59" s="4490"/>
      <c r="BD59" s="2774"/>
      <c r="BE59" s="4490"/>
      <c r="BF59" s="2774"/>
      <c r="BG59" s="4490"/>
      <c r="BH59" s="785"/>
      <c r="BI59" s="785">
        <f t="shared" si="22"/>
        <v>0</v>
      </c>
      <c r="BJ59" s="4667">
        <f t="shared" si="23"/>
        <v>0</v>
      </c>
      <c r="BL59" s="5620">
        <f t="shared" si="6"/>
        <v>-55970.07</v>
      </c>
      <c r="BM59" s="5620">
        <f t="shared" si="7"/>
        <v>-14988.700833333334</v>
      </c>
      <c r="BN59" s="5620">
        <f>IFERROR(
  SUM(
    _xlfn.XLOOKUP(DATE(YEAR($A$1),1,1),$2:$2,59:59):
    _xlfn.XLOOKUP($A$1,$2:$2,59:59)
  )
 -SUM(
    _xlfn.XLOOKUP(DATE(YEAR($A$1)-1,1,1),$2:$2,59:59):
    _xlfn.XLOOKUP(EDATE($A$1,-12),$2:$2,59:59)
  ),"")</f>
        <v>-102219.41</v>
      </c>
      <c r="BO59" s="5620">
        <f t="shared" si="8"/>
        <v>0</v>
      </c>
    </row>
    <row r="60" spans="1:67" x14ac:dyDescent="0.55000000000000004">
      <c r="A60" s="7359"/>
      <c r="B60" s="2505"/>
      <c r="C60" s="657" t="s">
        <v>637</v>
      </c>
      <c r="D60" s="4545"/>
      <c r="E60" s="4545"/>
      <c r="F60" s="4545"/>
      <c r="G60" s="4545"/>
      <c r="H60" s="4545"/>
      <c r="I60" s="4545"/>
      <c r="J60" s="4545"/>
      <c r="K60" s="4545"/>
      <c r="L60" s="4545"/>
      <c r="M60" s="4545"/>
      <c r="N60" s="4545"/>
      <c r="O60" s="4545"/>
      <c r="P60" s="4545"/>
      <c r="Q60" s="4545"/>
      <c r="S60" s="4655"/>
      <c r="T60" s="4656"/>
      <c r="U60" s="4656"/>
      <c r="V60" s="4656"/>
      <c r="W60" s="4235">
        <v>0</v>
      </c>
      <c r="X60" s="4235">
        <v>0</v>
      </c>
      <c r="Y60" s="4235">
        <v>59018.181818181816</v>
      </c>
      <c r="Z60" s="4235">
        <v>9833.181818181818</v>
      </c>
      <c r="AA60" s="4235">
        <v>8014.545454545454</v>
      </c>
      <c r="AB60" s="905">
        <v>6551.8181818181811</v>
      </c>
      <c r="AC60" s="4235">
        <v>7541.8181818181811</v>
      </c>
      <c r="AD60" s="4235">
        <v>3544.545454545454</v>
      </c>
      <c r="AE60" s="4235">
        <f t="shared" si="20"/>
        <v>94504.090909090897</v>
      </c>
      <c r="AF60" s="4235">
        <f t="shared" si="21"/>
        <v>11813.011363636362</v>
      </c>
      <c r="AH60" s="4666">
        <v>13259</v>
      </c>
      <c r="AI60" s="2774">
        <v>6349</v>
      </c>
      <c r="AJ60" s="2774">
        <v>3535.5</v>
      </c>
      <c r="AK60" s="785">
        <v>2147.5</v>
      </c>
      <c r="AL60" s="2774">
        <v>4219.5</v>
      </c>
      <c r="AM60" s="4235">
        <v>5468</v>
      </c>
      <c r="AN60" s="4490">
        <v>6913.5</v>
      </c>
      <c r="AO60" s="2774">
        <v>22687.5</v>
      </c>
      <c r="AP60" s="4490">
        <v>9120</v>
      </c>
      <c r="AQ60" s="2774">
        <v>3231</v>
      </c>
      <c r="AR60" s="4490">
        <v>2660</v>
      </c>
      <c r="AS60" s="785">
        <v>904</v>
      </c>
      <c r="AT60" s="785">
        <f t="shared" si="10"/>
        <v>80494.5</v>
      </c>
      <c r="AU60" s="4667">
        <f t="shared" si="11"/>
        <v>6707.875</v>
      </c>
      <c r="AW60" s="4666">
        <v>1464</v>
      </c>
      <c r="AX60" s="2774">
        <v>1204</v>
      </c>
      <c r="AY60" s="2774"/>
      <c r="AZ60" s="785"/>
      <c r="BA60" s="2774"/>
      <c r="BB60" s="4235"/>
      <c r="BC60" s="4490"/>
      <c r="BD60" s="2774"/>
      <c r="BE60" s="4490"/>
      <c r="BF60" s="2774"/>
      <c r="BG60" s="4490"/>
      <c r="BH60" s="785"/>
      <c r="BI60" s="785">
        <f t="shared" si="22"/>
        <v>2668</v>
      </c>
      <c r="BJ60" s="4667">
        <f t="shared" si="23"/>
        <v>1334</v>
      </c>
      <c r="BL60" s="5620">
        <f t="shared" si="6"/>
        <v>-5145</v>
      </c>
      <c r="BM60" s="5620">
        <f t="shared" si="7"/>
        <v>-5373.875</v>
      </c>
      <c r="BN60" s="5620">
        <f>IFERROR(
  SUM(
    _xlfn.XLOOKUP(DATE(YEAR($A$1),1,1),$2:$2,60:60):
    _xlfn.XLOOKUP($A$1,$2:$2,60:60)
  )
 -SUM(
    _xlfn.XLOOKUP(DATE(YEAR($A$1)-1,1,1),$2:$2,60:60):
    _xlfn.XLOOKUP(EDATE($A$1,-12),$2:$2,60:60)
  ),"")</f>
        <v>-16940</v>
      </c>
      <c r="BO60" s="5620">
        <f t="shared" si="8"/>
        <v>-260</v>
      </c>
    </row>
    <row r="61" spans="1:67" x14ac:dyDescent="0.55000000000000004">
      <c r="A61" s="7359"/>
      <c r="B61" s="2505"/>
      <c r="C61" s="657" t="s">
        <v>678</v>
      </c>
      <c r="W61" s="4235">
        <v>0</v>
      </c>
      <c r="X61" s="4235">
        <v>0</v>
      </c>
      <c r="Y61" s="4235">
        <v>0</v>
      </c>
      <c r="Z61" s="4235">
        <v>20505.345454545455</v>
      </c>
      <c r="AA61" s="4235">
        <v>26664.118181818179</v>
      </c>
      <c r="AB61" s="905">
        <v>25502.245454545453</v>
      </c>
      <c r="AC61" s="4235">
        <v>30602.809090909086</v>
      </c>
      <c r="AD61" s="4235">
        <v>34087.199999999997</v>
      </c>
      <c r="AE61" s="4235">
        <f t="shared" si="20"/>
        <v>137361.71818181817</v>
      </c>
      <c r="AF61" s="4235">
        <f t="shared" si="21"/>
        <v>17170.214772727271</v>
      </c>
      <c r="AH61" s="4666">
        <v>7635.56</v>
      </c>
      <c r="AI61" s="2774">
        <v>21635.74</v>
      </c>
      <c r="AJ61" s="2774">
        <v>18188.8</v>
      </c>
      <c r="AK61" s="594">
        <v>16235.41</v>
      </c>
      <c r="AL61" s="2774">
        <v>11010.39</v>
      </c>
      <c r="AM61" s="4235">
        <v>5811.63</v>
      </c>
      <c r="AN61" s="4490">
        <v>8164.69</v>
      </c>
      <c r="AO61" s="2774">
        <v>5988.8</v>
      </c>
      <c r="AP61" s="4490">
        <v>9913</v>
      </c>
      <c r="AQ61" s="2774">
        <v>8135</v>
      </c>
      <c r="AR61" s="4490">
        <v>6681</v>
      </c>
      <c r="AS61" s="785">
        <v>5931</v>
      </c>
      <c r="AT61" s="785">
        <f t="shared" si="10"/>
        <v>125331.02000000002</v>
      </c>
      <c r="AU61" s="4667">
        <f t="shared" si="11"/>
        <v>10444.251666666669</v>
      </c>
      <c r="AW61" s="4666">
        <v>10693</v>
      </c>
      <c r="AX61" s="2774">
        <v>2838</v>
      </c>
      <c r="AY61" s="2774"/>
      <c r="AZ61" s="594"/>
      <c r="BA61" s="2774"/>
      <c r="BB61" s="4235"/>
      <c r="BC61" s="4490"/>
      <c r="BD61" s="2774"/>
      <c r="BE61" s="4490"/>
      <c r="BF61" s="2774"/>
      <c r="BG61" s="4490"/>
      <c r="BH61" s="785"/>
      <c r="BI61" s="785">
        <f t="shared" si="22"/>
        <v>13531</v>
      </c>
      <c r="BJ61" s="4667">
        <f t="shared" si="23"/>
        <v>6765.5</v>
      </c>
      <c r="BL61" s="5620">
        <f t="shared" si="6"/>
        <v>-18797.740000000002</v>
      </c>
      <c r="BM61" s="5620">
        <f t="shared" si="7"/>
        <v>-3678.7516666666688</v>
      </c>
      <c r="BN61" s="5620">
        <f>IFERROR(
  SUM(
    _xlfn.XLOOKUP(DATE(YEAR($A$1),1,1),$2:$2,61:61):
    _xlfn.XLOOKUP($A$1,$2:$2,61:61)
  )
 -SUM(
    _xlfn.XLOOKUP(DATE(YEAR($A$1)-1,1,1),$2:$2,61:61):
    _xlfn.XLOOKUP(EDATE($A$1,-12),$2:$2,61:61)
  ),"")</f>
        <v>-15740.300000000003</v>
      </c>
      <c r="BO61" s="5620">
        <f t="shared" si="8"/>
        <v>-7855</v>
      </c>
    </row>
    <row r="62" spans="1:67" x14ac:dyDescent="0.55000000000000004">
      <c r="A62" s="7359"/>
      <c r="B62" s="2505"/>
      <c r="C62" s="657" t="s">
        <v>856</v>
      </c>
      <c r="W62" s="4235">
        <v>0</v>
      </c>
      <c r="X62" s="4235">
        <v>0</v>
      </c>
      <c r="Y62" s="4235">
        <v>0</v>
      </c>
      <c r="Z62" s="4235">
        <v>0</v>
      </c>
      <c r="AA62" s="4235">
        <v>0</v>
      </c>
      <c r="AB62" s="4235">
        <v>0</v>
      </c>
      <c r="AC62" s="4235">
        <v>4290.909090909091</v>
      </c>
      <c r="AD62" s="4235">
        <v>21963.63636363636</v>
      </c>
      <c r="AE62" s="4235">
        <f>SUM(S62:AD62)</f>
        <v>26254.545454545452</v>
      </c>
      <c r="AF62" s="4235">
        <f t="shared" si="21"/>
        <v>3281.8181818181815</v>
      </c>
      <c r="AH62" s="4666">
        <v>9020</v>
      </c>
      <c r="AI62" s="2774">
        <v>1900</v>
      </c>
      <c r="AJ62" s="2774">
        <v>0</v>
      </c>
      <c r="AK62" s="594">
        <v>0</v>
      </c>
      <c r="AL62" s="2774">
        <v>0</v>
      </c>
      <c r="AM62" s="4235">
        <v>925</v>
      </c>
      <c r="AN62" s="4490">
        <v>3820</v>
      </c>
      <c r="AO62" s="2774">
        <v>3105</v>
      </c>
      <c r="AP62" s="4490">
        <v>1680</v>
      </c>
      <c r="AQ62" s="785">
        <v>2190</v>
      </c>
      <c r="AR62" s="4490">
        <v>2754</v>
      </c>
      <c r="AS62" s="785">
        <v>4487</v>
      </c>
      <c r="AT62" s="785">
        <f t="shared" si="10"/>
        <v>29881</v>
      </c>
      <c r="AU62" s="4667">
        <f t="shared" si="11"/>
        <v>2490.0833333333335</v>
      </c>
      <c r="AW62" s="4666">
        <v>2500</v>
      </c>
      <c r="AX62" s="2774">
        <v>4375</v>
      </c>
      <c r="AY62" s="2774"/>
      <c r="AZ62" s="594"/>
      <c r="BA62" s="2774"/>
      <c r="BB62" s="4235"/>
      <c r="BC62" s="4490"/>
      <c r="BD62" s="2774"/>
      <c r="BE62" s="4490"/>
      <c r="BF62" s="785"/>
      <c r="BG62" s="4490"/>
      <c r="BH62" s="785"/>
      <c r="BI62" s="785">
        <f>SUM(AW62:BH62)</f>
        <v>6875</v>
      </c>
      <c r="BJ62" s="4667">
        <f t="shared" si="23"/>
        <v>3437.5</v>
      </c>
      <c r="BL62" s="5620">
        <f t="shared" si="6"/>
        <v>2475</v>
      </c>
      <c r="BM62" s="5620">
        <f t="shared" si="7"/>
        <v>947.41666666666652</v>
      </c>
      <c r="BN62" s="5620">
        <f>IFERROR(
  SUM(
    _xlfn.XLOOKUP(DATE(YEAR($A$1),1,1),$2:$2,62:62):
    _xlfn.XLOOKUP($A$1,$2:$2,62:62)
  )
 -SUM(
    _xlfn.XLOOKUP(DATE(YEAR($A$1)-1,1,1),$2:$2,62:62):
    _xlfn.XLOOKUP(EDATE($A$1,-12),$2:$2,62:62)
  ),"")</f>
        <v>-4045</v>
      </c>
      <c r="BO62" s="5620">
        <f t="shared" si="8"/>
        <v>1875</v>
      </c>
    </row>
    <row r="63" spans="1:67" x14ac:dyDescent="0.55000000000000004">
      <c r="A63" s="7359"/>
      <c r="B63" s="2505"/>
      <c r="C63" s="657" t="s">
        <v>294</v>
      </c>
      <c r="W63" s="4235"/>
      <c r="X63" s="4235"/>
      <c r="Y63" s="4235"/>
      <c r="Z63" s="4235"/>
      <c r="AA63" s="4235"/>
      <c r="AB63" s="4235"/>
      <c r="AC63" s="4235"/>
      <c r="AD63" s="4235"/>
      <c r="AE63" s="4235"/>
      <c r="AF63" s="4235"/>
      <c r="AH63" s="4666"/>
      <c r="AI63" s="2774"/>
      <c r="AJ63" s="2774"/>
      <c r="AK63" s="594"/>
      <c r="AL63" s="2774"/>
      <c r="AM63" s="4235"/>
      <c r="AN63" s="4490">
        <v>1939</v>
      </c>
      <c r="AO63" s="2774">
        <v>1427</v>
      </c>
      <c r="AP63" s="4490">
        <v>200</v>
      </c>
      <c r="AQ63" s="4490">
        <v>0</v>
      </c>
      <c r="AR63" s="4490">
        <v>0</v>
      </c>
      <c r="AS63" s="785">
        <v>100</v>
      </c>
      <c r="AT63" s="785">
        <f t="shared" si="10"/>
        <v>3666</v>
      </c>
      <c r="AU63" s="4667">
        <f t="shared" si="11"/>
        <v>611</v>
      </c>
      <c r="AW63" s="4666">
        <v>743</v>
      </c>
      <c r="AX63" s="2774">
        <v>0</v>
      </c>
      <c r="AY63" s="2774"/>
      <c r="AZ63" s="594"/>
      <c r="BA63" s="2774"/>
      <c r="BB63" s="4235"/>
      <c r="BC63" s="4490"/>
      <c r="BD63" s="2774"/>
      <c r="BE63" s="4490"/>
      <c r="BF63" s="4490"/>
      <c r="BG63" s="4490"/>
      <c r="BH63" s="785"/>
      <c r="BI63" s="785">
        <f>SUM(AW63:BH63)</f>
        <v>743</v>
      </c>
      <c r="BJ63" s="4667">
        <f t="shared" ref="BJ63" si="24">AVERAGE(AW63:BH63)</f>
        <v>371.5</v>
      </c>
      <c r="BL63" s="5620">
        <f t="shared" si="6"/>
        <v>0</v>
      </c>
      <c r="BM63" s="5620">
        <f t="shared" si="7"/>
        <v>-239.5</v>
      </c>
      <c r="BN63" s="5620">
        <f>IFERROR(
  SUM(
    _xlfn.XLOOKUP(DATE(YEAR($A$1),1,1),$2:$2,63:63):
    _xlfn.XLOOKUP($A$1,$2:$2,63:63)
  )
 -SUM(
    _xlfn.XLOOKUP(DATE(YEAR($A$1)-1,1,1),$2:$2,63:63):
    _xlfn.XLOOKUP(EDATE($A$1,-12),$2:$2,63:63)
  ),"")</f>
        <v>743</v>
      </c>
      <c r="BO63" s="5620">
        <f t="shared" si="8"/>
        <v>-743</v>
      </c>
    </row>
    <row r="64" spans="1:67" ht="15.45" thickBot="1" x14ac:dyDescent="0.6">
      <c r="A64" s="7359"/>
      <c r="B64" s="2505"/>
      <c r="C64" s="657" t="s">
        <v>66</v>
      </c>
      <c r="W64" s="4235">
        <v>0</v>
      </c>
      <c r="X64" s="4235">
        <v>0</v>
      </c>
      <c r="Y64" s="4235">
        <v>630.72727272727263</v>
      </c>
      <c r="Z64" s="4235">
        <v>2822.9090909090905</v>
      </c>
      <c r="AA64" s="4235">
        <v>7567.4363636363632</v>
      </c>
      <c r="AB64" s="905">
        <v>19829.272727272728</v>
      </c>
      <c r="AC64" s="4235">
        <v>39900.872727272726</v>
      </c>
      <c r="AD64" s="4235">
        <v>37873.799999999996</v>
      </c>
      <c r="AE64" s="4235">
        <f t="shared" si="20"/>
        <v>108625.01818181819</v>
      </c>
      <c r="AF64" s="4235">
        <f t="shared" si="21"/>
        <v>13578.127272727274</v>
      </c>
      <c r="AH64" s="4668">
        <v>60675.34</v>
      </c>
      <c r="AI64" s="4669">
        <v>49664.160000000003</v>
      </c>
      <c r="AJ64" s="4669">
        <v>50401.35</v>
      </c>
      <c r="AK64" s="822">
        <v>31476.38</v>
      </c>
      <c r="AL64" s="4669">
        <v>16711.759999999998</v>
      </c>
      <c r="AM64" s="4670">
        <v>20767.77</v>
      </c>
      <c r="AN64" s="4671">
        <v>55</v>
      </c>
      <c r="AO64" s="4669"/>
      <c r="AP64" s="4671">
        <v>0</v>
      </c>
      <c r="AQ64" s="4669">
        <v>0</v>
      </c>
      <c r="AR64" s="4671">
        <v>0</v>
      </c>
      <c r="AS64" s="4670">
        <v>0</v>
      </c>
      <c r="AT64" s="4670">
        <f t="shared" si="10"/>
        <v>229751.76</v>
      </c>
      <c r="AU64" s="4672">
        <f t="shared" si="11"/>
        <v>20886.523636363636</v>
      </c>
      <c r="AW64" s="4668">
        <v>0</v>
      </c>
      <c r="AX64" s="4669">
        <v>0</v>
      </c>
      <c r="AY64" s="4669"/>
      <c r="AZ64" s="822"/>
      <c r="BA64" s="4669"/>
      <c r="BB64" s="4670"/>
      <c r="BC64" s="4671"/>
      <c r="BD64" s="4669"/>
      <c r="BE64" s="4671"/>
      <c r="BF64" s="4669"/>
      <c r="BG64" s="4671"/>
      <c r="BH64" s="4670"/>
      <c r="BI64" s="4670">
        <f>SUM(AW64:BH64)</f>
        <v>0</v>
      </c>
      <c r="BJ64" s="4672">
        <f t="shared" ref="BJ64" si="25">AVERAGE(AW64:BH64)</f>
        <v>0</v>
      </c>
      <c r="BL64" s="5620">
        <f t="shared" si="6"/>
        <v>-49664.160000000003</v>
      </c>
      <c r="BM64" s="5620">
        <f t="shared" si="7"/>
        <v>-20886.523636363636</v>
      </c>
      <c r="BN64" s="5620">
        <f>IFERROR(
  SUM(
    _xlfn.XLOOKUP(DATE(YEAR($A$1),1,1),$2:$2,64:64):
    _xlfn.XLOOKUP($A$1,$2:$2,64:64)
  )
 -SUM(
    _xlfn.XLOOKUP(DATE(YEAR($A$1)-1,1,1),$2:$2,64:64):
    _xlfn.XLOOKUP(EDATE($A$1,-12),$2:$2,64:64)
  ),"")</f>
        <v>-110339.5</v>
      </c>
      <c r="BO64" s="5620">
        <f t="shared" si="8"/>
        <v>0</v>
      </c>
    </row>
    <row r="65" spans="40:69" x14ac:dyDescent="0.55000000000000004">
      <c r="AN65" s="2860"/>
      <c r="BC65" s="2860"/>
      <c r="BL65" s="5620"/>
      <c r="BM65" s="5620"/>
      <c r="BN65" s="5620"/>
      <c r="BO65" s="5620"/>
      <c r="BP65" s="4561"/>
      <c r="BQ65" s="4561"/>
    </row>
    <row r="66" spans="40:69" x14ac:dyDescent="0.55000000000000004">
      <c r="AN66" s="2860"/>
      <c r="BC66" s="2860"/>
      <c r="BL66" s="2860"/>
      <c r="BM66" s="2860"/>
      <c r="BN66" s="4561"/>
      <c r="BO66" s="590"/>
    </row>
    <row r="67" spans="40:69" x14ac:dyDescent="0.55000000000000004">
      <c r="AN67" s="2860"/>
      <c r="BC67" s="2860"/>
      <c r="BL67" s="2860"/>
      <c r="BM67" s="2860"/>
      <c r="BN67" s="4561"/>
      <c r="BO67" s="590"/>
    </row>
    <row r="68" spans="40:69" x14ac:dyDescent="0.55000000000000004">
      <c r="AN68" s="2860"/>
      <c r="BC68" s="2860"/>
      <c r="BL68" s="2860"/>
      <c r="BM68" s="2860"/>
      <c r="BN68" s="4561"/>
      <c r="BO68" s="590"/>
    </row>
    <row r="69" spans="40:69" x14ac:dyDescent="0.55000000000000004">
      <c r="AN69" s="2860"/>
      <c r="BC69" s="2860"/>
      <c r="BL69" s="2860"/>
      <c r="BM69" s="2860"/>
      <c r="BN69" s="4561"/>
      <c r="BO69" s="590"/>
    </row>
    <row r="70" spans="40:69" x14ac:dyDescent="0.55000000000000004">
      <c r="AN70" s="2860"/>
      <c r="BC70" s="2860"/>
      <c r="BL70" s="2860"/>
      <c r="BM70" s="2860"/>
      <c r="BN70" s="4561"/>
      <c r="BO70" s="590"/>
    </row>
    <row r="71" spans="40:69" x14ac:dyDescent="0.55000000000000004">
      <c r="AN71" s="2860"/>
      <c r="BC71" s="2860"/>
      <c r="BL71" s="2860"/>
      <c r="BM71" s="2860"/>
      <c r="BN71" s="4561"/>
      <c r="BO71" s="590"/>
    </row>
    <row r="72" spans="40:69" x14ac:dyDescent="0.55000000000000004">
      <c r="AN72" s="2860"/>
      <c r="BC72" s="2860"/>
      <c r="BL72" s="2860"/>
      <c r="BM72" s="2860"/>
      <c r="BN72" s="4561"/>
      <c r="BO72" s="590"/>
    </row>
    <row r="73" spans="40:69" x14ac:dyDescent="0.55000000000000004">
      <c r="AN73" s="2860"/>
      <c r="BC73" s="2860"/>
      <c r="BL73" s="2860"/>
      <c r="BM73" s="2860"/>
      <c r="BN73" s="4561"/>
      <c r="BO73" s="590"/>
    </row>
    <row r="74" spans="40:69" x14ac:dyDescent="0.55000000000000004">
      <c r="AN74" s="2860"/>
      <c r="BC74" s="2860"/>
      <c r="BL74" s="2860"/>
      <c r="BM74" s="2860"/>
      <c r="BN74" s="4561"/>
    </row>
    <row r="75" spans="40:69" x14ac:dyDescent="0.55000000000000004">
      <c r="AN75" s="2860"/>
      <c r="BC75" s="2860"/>
      <c r="BO75" s="590"/>
    </row>
    <row r="76" spans="40:69" x14ac:dyDescent="0.55000000000000004">
      <c r="AN76" s="2860"/>
      <c r="BC76" s="2860"/>
      <c r="BO76" s="590"/>
    </row>
    <row r="77" spans="40:69" x14ac:dyDescent="0.55000000000000004">
      <c r="AN77" s="2860"/>
      <c r="BC77" s="2860"/>
      <c r="BO77" s="590"/>
    </row>
    <row r="78" spans="40:69" x14ac:dyDescent="0.55000000000000004">
      <c r="AN78" s="2860"/>
      <c r="BC78" s="2860"/>
      <c r="BO78" s="590"/>
    </row>
    <row r="79" spans="40:69" x14ac:dyDescent="0.55000000000000004">
      <c r="AN79" s="2860"/>
      <c r="BC79" s="2860"/>
      <c r="BO79" s="590"/>
    </row>
    <row r="80" spans="40:69" x14ac:dyDescent="0.55000000000000004">
      <c r="AN80" s="2860"/>
      <c r="BC80" s="2860"/>
      <c r="BO80" s="590"/>
    </row>
    <row r="81" spans="40:67" x14ac:dyDescent="0.55000000000000004">
      <c r="AN81" s="2860"/>
      <c r="BC81" s="2860"/>
      <c r="BO81" s="590"/>
    </row>
    <row r="82" spans="40:67" x14ac:dyDescent="0.55000000000000004">
      <c r="AN82" s="2860"/>
      <c r="BC82" s="2860"/>
      <c r="BO82" s="590"/>
    </row>
    <row r="83" spans="40:67" x14ac:dyDescent="0.55000000000000004">
      <c r="AN83" s="2860"/>
      <c r="BC83" s="2860"/>
      <c r="BO83" s="590"/>
    </row>
    <row r="84" spans="40:67" x14ac:dyDescent="0.55000000000000004">
      <c r="AN84" s="2860"/>
      <c r="BC84" s="2860"/>
      <c r="BO84" s="590"/>
    </row>
    <row r="85" spans="40:67" x14ac:dyDescent="0.55000000000000004">
      <c r="AN85" s="2860"/>
      <c r="BC85" s="2860"/>
    </row>
    <row r="86" spans="40:67" x14ac:dyDescent="0.55000000000000004">
      <c r="AN86" s="2860"/>
      <c r="BC86" s="2860"/>
      <c r="BO86" s="590"/>
    </row>
    <row r="87" spans="40:67" x14ac:dyDescent="0.55000000000000004">
      <c r="AN87" s="2860"/>
      <c r="BC87" s="2860"/>
      <c r="BO87" s="590"/>
    </row>
    <row r="88" spans="40:67" x14ac:dyDescent="0.55000000000000004">
      <c r="AN88" s="2860"/>
      <c r="BC88" s="2860"/>
      <c r="BO88" s="590"/>
    </row>
    <row r="89" spans="40:67" x14ac:dyDescent="0.55000000000000004">
      <c r="AN89" s="2860"/>
      <c r="BC89" s="2860"/>
      <c r="BO89" s="590"/>
    </row>
    <row r="90" spans="40:67" x14ac:dyDescent="0.55000000000000004">
      <c r="AN90" s="2860"/>
      <c r="BC90" s="2860"/>
      <c r="BO90" s="590"/>
    </row>
    <row r="91" spans="40:67" x14ac:dyDescent="0.55000000000000004">
      <c r="AN91" s="2860"/>
      <c r="BC91" s="2860"/>
      <c r="BO91" s="590"/>
    </row>
    <row r="92" spans="40:67" x14ac:dyDescent="0.55000000000000004">
      <c r="AN92" s="2860"/>
      <c r="BC92" s="2860"/>
      <c r="BO92" s="590"/>
    </row>
    <row r="93" spans="40:67" x14ac:dyDescent="0.55000000000000004">
      <c r="AN93" s="2860"/>
      <c r="BC93" s="2860"/>
      <c r="BO93" s="590"/>
    </row>
    <row r="94" spans="40:67" x14ac:dyDescent="0.55000000000000004">
      <c r="AN94" s="2860"/>
      <c r="BC94" s="2860"/>
      <c r="BO94" s="590"/>
    </row>
    <row r="95" spans="40:67" x14ac:dyDescent="0.55000000000000004">
      <c r="AN95" s="2860"/>
      <c r="BC95" s="2860"/>
      <c r="BO95" s="590"/>
    </row>
    <row r="96" spans="40:67" x14ac:dyDescent="0.55000000000000004">
      <c r="AN96" s="2860"/>
      <c r="BC96" s="2860"/>
      <c r="BO96" s="590"/>
    </row>
    <row r="97" spans="40:67" x14ac:dyDescent="0.55000000000000004">
      <c r="AN97" s="2860"/>
      <c r="BC97" s="2860"/>
      <c r="BO97" s="590"/>
    </row>
    <row r="98" spans="40:67" x14ac:dyDescent="0.55000000000000004">
      <c r="AN98" s="2860"/>
      <c r="BC98" s="2860"/>
      <c r="BO98" s="590"/>
    </row>
    <row r="99" spans="40:67" x14ac:dyDescent="0.55000000000000004">
      <c r="AN99" s="2860"/>
      <c r="BC99" s="2860"/>
      <c r="BO99" s="590"/>
    </row>
    <row r="100" spans="40:67" x14ac:dyDescent="0.55000000000000004">
      <c r="AN100" s="2860"/>
      <c r="BC100" s="2860"/>
      <c r="BO100" s="590"/>
    </row>
    <row r="101" spans="40:67" x14ac:dyDescent="0.55000000000000004">
      <c r="AN101" s="2860"/>
      <c r="BC101" s="2860"/>
      <c r="BO101" s="590"/>
    </row>
    <row r="102" spans="40:67" x14ac:dyDescent="0.55000000000000004">
      <c r="AN102" s="2860"/>
      <c r="BC102" s="2860"/>
      <c r="BO102" s="590"/>
    </row>
    <row r="103" spans="40:67" x14ac:dyDescent="0.55000000000000004">
      <c r="AN103" s="2860"/>
      <c r="BC103" s="2860"/>
      <c r="BO103" s="590"/>
    </row>
    <row r="104" spans="40:67" x14ac:dyDescent="0.55000000000000004">
      <c r="AN104" s="2860"/>
      <c r="BC104" s="2860"/>
      <c r="BO104" s="590"/>
    </row>
    <row r="105" spans="40:67" x14ac:dyDescent="0.55000000000000004">
      <c r="AN105" s="2860"/>
      <c r="BC105" s="2860"/>
      <c r="BO105" s="590"/>
    </row>
  </sheetData>
  <mergeCells count="10">
    <mergeCell ref="A30:A64"/>
    <mergeCell ref="A4:A10"/>
    <mergeCell ref="B4:B6"/>
    <mergeCell ref="B7:B10"/>
    <mergeCell ref="A11:A28"/>
    <mergeCell ref="B11:B13"/>
    <mergeCell ref="B14:B17"/>
    <mergeCell ref="B18:B20"/>
    <mergeCell ref="B21:B24"/>
    <mergeCell ref="B25:B28"/>
  </mergeCells>
  <phoneticPr fontId="1" type="noConversion"/>
  <conditionalFormatting sqref="AD4:AF28 AD52:AF62 BL30:BL62 AD30:AF48 BL4:BM28 AD64:AF64 BL63:BM64 BM29:BM62 BO4:BO64">
    <cfRule type="containsBlanks" dxfId="3" priority="3">
      <formula>LEN(TRIM(AD4))=0</formula>
    </cfRule>
  </conditionalFormatting>
  <conditionalFormatting sqref="BN4:BN28 BN30:BN64">
    <cfRule type="containsBlanks" dxfId="2" priority="1">
      <formula>LEN(TRIM(BN4))=0</formula>
    </cfRule>
  </conditionalFormatting>
  <pageMargins left="0.7" right="0.7" top="0.75" bottom="0.75" header="0.3" footer="0.3"/>
  <pageSetup paperSize="9" scale="42" fitToHeight="0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BH117"/>
  <sheetViews>
    <sheetView showGridLines="0" view="pageBreakPreview" zoomScale="55" zoomScaleNormal="100" zoomScaleSheetLayoutView="55" workbookViewId="0">
      <pane xSplit="4" ySplit="6" topLeftCell="E34" activePane="bottomRight" state="frozen"/>
      <selection activeCell="AG13" sqref="AG13"/>
      <selection pane="topRight" activeCell="AG13" sqref="AG13"/>
      <selection pane="bottomLeft" activeCell="AG13" sqref="AG13"/>
      <selection pane="bottomRight" activeCell="AC11" sqref="AC11"/>
    </sheetView>
  </sheetViews>
  <sheetFormatPr defaultColWidth="9.140625" defaultRowHeight="15" outlineLevelCol="2" x14ac:dyDescent="0.55000000000000004"/>
  <cols>
    <col min="1" max="1" width="0.42578125" style="559" customWidth="1"/>
    <col min="2" max="2" width="9.140625" style="559"/>
    <col min="3" max="3" width="13" style="559" customWidth="1"/>
    <col min="4" max="4" width="19.140625" style="559" customWidth="1"/>
    <col min="5" max="5" width="12.0703125" style="559" customWidth="1"/>
    <col min="6" max="6" width="9.92578125" style="559" customWidth="1"/>
    <col min="7" max="7" width="10.640625" style="559" customWidth="1" outlineLevel="1"/>
    <col min="8" max="8" width="9.5" style="559" customWidth="1" outlineLevel="1"/>
    <col min="9" max="9" width="10.0703125" style="559" customWidth="1" outlineLevel="1"/>
    <col min="10" max="10" width="10.0703125" style="559" customWidth="1" outlineLevel="2"/>
    <col min="11" max="11" width="11.640625" style="559" customWidth="1" outlineLevel="2"/>
    <col min="12" max="12" width="12.0703125" style="559" customWidth="1"/>
    <col min="13" max="17" width="11.640625" style="559" customWidth="1" outlineLevel="2"/>
    <col min="18" max="23" width="12.85546875" style="559" customWidth="1"/>
    <col min="24" max="24" width="10.5" style="559" customWidth="1"/>
    <col min="25" max="25" width="11.85546875" style="559" bestFit="1" customWidth="1"/>
    <col min="26" max="27" width="13" style="559" hidden="1" customWidth="1"/>
    <col min="28" max="16384" width="9.140625" style="559"/>
  </cols>
  <sheetData>
    <row r="1" spans="1:60" x14ac:dyDescent="0.55000000000000004">
      <c r="D1" s="840"/>
      <c r="E1" s="840" t="s">
        <v>442</v>
      </c>
      <c r="F1" s="840" t="s">
        <v>440</v>
      </c>
      <c r="G1" s="840" t="s">
        <v>439</v>
      </c>
      <c r="H1" s="840" t="s">
        <v>441</v>
      </c>
      <c r="I1" s="840" t="s">
        <v>620</v>
      </c>
      <c r="J1" s="840" t="s">
        <v>601</v>
      </c>
      <c r="K1" s="840" t="s">
        <v>605</v>
      </c>
      <c r="L1" s="840" t="s">
        <v>813</v>
      </c>
      <c r="M1" s="840" t="s">
        <v>1052</v>
      </c>
      <c r="N1" s="840" t="s">
        <v>1061</v>
      </c>
      <c r="O1" s="840" t="s">
        <v>684</v>
      </c>
      <c r="P1" s="840" t="s">
        <v>853</v>
      </c>
      <c r="Q1" s="840" t="s">
        <v>1083</v>
      </c>
      <c r="R1" s="840" t="s">
        <v>868</v>
      </c>
      <c r="S1" s="840" t="s">
        <v>743</v>
      </c>
      <c r="T1" s="840" t="s">
        <v>813</v>
      </c>
      <c r="U1" s="840" t="s">
        <v>861</v>
      </c>
      <c r="V1" s="840" t="s">
        <v>814</v>
      </c>
      <c r="W1" s="840" t="s">
        <v>815</v>
      </c>
      <c r="X1" s="844" t="s">
        <v>453</v>
      </c>
    </row>
    <row r="2" spans="1:60" ht="15.45" thickBot="1" x14ac:dyDescent="0.6">
      <c r="D2" s="840"/>
      <c r="E2" s="840"/>
      <c r="F2" s="840" t="s">
        <v>440</v>
      </c>
      <c r="G2" s="840" t="s">
        <v>613</v>
      </c>
      <c r="H2" s="840" t="s">
        <v>614</v>
      </c>
      <c r="I2" s="840" t="s">
        <v>615</v>
      </c>
      <c r="J2" s="840" t="s">
        <v>616</v>
      </c>
      <c r="K2" s="840" t="s">
        <v>617</v>
      </c>
      <c r="L2" s="840"/>
      <c r="M2" s="840" t="s">
        <v>1052</v>
      </c>
      <c r="N2" s="840" t="s">
        <v>1061</v>
      </c>
      <c r="O2" s="840" t="s">
        <v>684</v>
      </c>
      <c r="P2" s="840" t="s">
        <v>853</v>
      </c>
      <c r="Q2" s="840" t="s">
        <v>1083</v>
      </c>
    </row>
    <row r="3" spans="1:60" ht="60" customHeight="1" thickTop="1" thickBot="1" x14ac:dyDescent="0.6">
      <c r="A3" s="4365"/>
      <c r="B3" s="7061" t="s">
        <v>839</v>
      </c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7061"/>
      <c r="U3" s="7061"/>
      <c r="V3" s="7061"/>
      <c r="W3" s="7061"/>
      <c r="X3" s="4365"/>
      <c r="Y3" s="4365"/>
      <c r="Z3" s="4372">
        <v>7</v>
      </c>
      <c r="AA3" s="4365"/>
    </row>
    <row r="4" spans="1:60" s="561" customFormat="1" ht="15.55" customHeight="1" thickTop="1" thickBot="1" x14ac:dyDescent="0.6">
      <c r="A4" s="564"/>
      <c r="B4" s="845"/>
      <c r="C4" s="845"/>
      <c r="D4" s="845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Z4" s="564"/>
      <c r="AA4" s="564"/>
      <c r="AE4" s="562"/>
      <c r="AG4" s="562"/>
      <c r="AH4" s="562"/>
      <c r="AI4" s="563"/>
      <c r="AK4" s="562"/>
      <c r="AL4" s="563"/>
      <c r="BD4" s="566"/>
      <c r="BE4" s="566"/>
      <c r="BF4" s="566"/>
      <c r="BG4" s="566"/>
      <c r="BH4" s="566"/>
    </row>
    <row r="5" spans="1:60" ht="17.5" customHeight="1" thickBot="1" x14ac:dyDescent="0.6">
      <c r="B5" s="2238"/>
      <c r="C5" s="2238"/>
      <c r="D5" s="2238"/>
      <c r="E5" s="1152"/>
      <c r="F5" s="7237" t="s">
        <v>1050</v>
      </c>
      <c r="G5" s="7192"/>
      <c r="H5" s="7192"/>
      <c r="I5" s="7192"/>
      <c r="J5" s="7192"/>
      <c r="K5" s="7238"/>
      <c r="L5" s="1152"/>
      <c r="M5" s="7239" t="s">
        <v>1159</v>
      </c>
      <c r="N5" s="7192"/>
      <c r="O5" s="7192"/>
      <c r="P5" s="7192"/>
      <c r="Q5" s="7192"/>
      <c r="R5" s="6189"/>
      <c r="S5" s="6301"/>
      <c r="T5" s="7071" t="str">
        <f>"연간누적실적(~"&amp;MONTH('※ 유통플랫폼 세부데이터'!A1)&amp;"월)"</f>
        <v>연간누적실적(~2월)</v>
      </c>
      <c r="U5" s="7072"/>
      <c r="V5" s="7072"/>
      <c r="W5" s="7073"/>
      <c r="Z5" s="905">
        <v>1000000</v>
      </c>
      <c r="AA5" s="905">
        <v>100000000</v>
      </c>
    </row>
    <row r="6" spans="1:60" ht="16.75" thickBot="1" x14ac:dyDescent="0.6">
      <c r="B6" s="7380" t="s">
        <v>124</v>
      </c>
      <c r="C6" s="7381"/>
      <c r="D6" s="7381"/>
      <c r="E6" s="2239" t="s">
        <v>1123</v>
      </c>
      <c r="F6" s="2240" t="str" cm="1">
        <f t="array" aca="1" ref="F6" ca="1">INDIRECT("'※ 유통플랫폼 세부데이터'!"&amp;F$1&amp;$X6, TRUE)</f>
        <v>'25.1월</v>
      </c>
      <c r="G6" s="558" t="str" cm="1">
        <f t="array" aca="1" ref="G6" ca="1">INDIRECT("'※ 유통플랫폼 세부데이터'!"&amp;G$1&amp;$X6, TRUE)</f>
        <v>'25.2월</v>
      </c>
      <c r="H6" s="558" t="str" cm="1">
        <f t="array" aca="1" ref="H6" ca="1">INDIRECT("'※ 유통플랫폼 세부데이터'!"&amp;H$1&amp;$X6, TRUE)</f>
        <v>'25.3월</v>
      </c>
      <c r="I6" s="558" t="str" cm="1">
        <f t="array" aca="1" ref="I6" ca="1">INDIRECT("'※ 유통플랫폼 세부데이터'!"&amp;I$1&amp;$X6, TRUE)</f>
        <v>'25.4월</v>
      </c>
      <c r="J6" s="558" t="str" cm="1">
        <f t="array" aca="1" ref="J6" ca="1">INDIRECT("'※ 유통플랫폼 세부데이터'!"&amp;J$1&amp;$X6, TRUE)</f>
        <v>'25.5월</v>
      </c>
      <c r="K6" s="558" t="str" cm="1">
        <f t="array" aca="1" ref="K6" ca="1">INDIRECT("'※ 유통플랫폼 세부데이터'!"&amp;K$1&amp;$X6, TRUE)</f>
        <v>'25.6월</v>
      </c>
      <c r="L6" s="6490" t="s">
        <v>1123</v>
      </c>
      <c r="M6" s="558" t="str" cm="1">
        <f t="array" aca="1" ref="M6" ca="1">INDIRECT("'※ 유통플랫폼 세부데이터'!"&amp;M$1&amp;$X6, TRUE)</f>
        <v>'25.8월</v>
      </c>
      <c r="N6" s="558" t="str" cm="1">
        <f t="array" aca="1" ref="N6" ca="1">INDIRECT("'※ 유통플랫폼 세부데이터'!"&amp;N$1&amp;$X6, TRUE)</f>
        <v>'25.9월</v>
      </c>
      <c r="O6" s="558" t="str" cm="1">
        <f t="array" aca="1" ref="O6" ca="1">INDIRECT("'※ 유통플랫폼 세부데이터'!"&amp;O$1&amp;$X6, TRUE)</f>
        <v>'25.10월</v>
      </c>
      <c r="P6" s="558" t="str" cm="1">
        <f t="array" aca="1" ref="P6" ca="1">INDIRECT("'※ 유통플랫폼 세부데이터'!"&amp;P$1&amp;$X6, TRUE)</f>
        <v>'25.11월</v>
      </c>
      <c r="Q6" s="558" t="str" cm="1">
        <f t="array" aca="1" ref="Q6" ca="1">INDIRECT("'※ 유통플랫폼 세부데이터'!"&amp;Q$1&amp;$X6, TRUE)</f>
        <v>'25.12월</v>
      </c>
      <c r="R6" s="850" t="s">
        <v>130</v>
      </c>
      <c r="S6" s="851" t="s">
        <v>443</v>
      </c>
      <c r="T6" s="852" t="s">
        <v>44</v>
      </c>
      <c r="U6" s="846" t="s">
        <v>568</v>
      </c>
      <c r="V6" s="853" t="s">
        <v>45</v>
      </c>
      <c r="W6" s="854" t="s">
        <v>11</v>
      </c>
      <c r="X6" s="1520">
        <f>ROW('※ 유통플랫폼 세부데이터'!J3)</f>
        <v>3</v>
      </c>
    </row>
    <row r="7" spans="1:60" ht="16" customHeight="1" x14ac:dyDescent="0.55000000000000004">
      <c r="B7" s="7377" t="s">
        <v>289</v>
      </c>
      <c r="C7" s="7362" t="s">
        <v>290</v>
      </c>
      <c r="D7" s="2241" t="s">
        <v>292</v>
      </c>
      <c r="E7" s="2242" cm="1">
        <f t="array" aca="1" ref="E7" ca="1">INDIRECT("'※ 유통플랫폼 세부데이터'!"&amp;E$1&amp;$X7, TRUE)</f>
        <v>41716</v>
      </c>
      <c r="F7" s="2243" cm="1">
        <f t="array" aca="1" ref="F7" ca="1">INDIRECT("'※ 유통플랫폼 세부데이터'!"&amp;F$1&amp;$X7, TRUE)</f>
        <v>12251</v>
      </c>
      <c r="G7" s="2244"/>
      <c r="H7" s="2244"/>
      <c r="I7" s="2244"/>
      <c r="J7" s="2245" cm="1">
        <f t="array" aca="1" ref="J7" ca="1">INDIRECT("'※ 유통플랫폼 세부데이터'!"&amp;J$1&amp;$X7, TRUE)</f>
        <v>2961</v>
      </c>
      <c r="K7" s="2245" cm="1">
        <f t="array" aca="1" ref="K7" ca="1">INDIRECT("'※ 유통플랫폼 세부데이터'!"&amp;K$1&amp;$X7, TRUE)</f>
        <v>55</v>
      </c>
      <c r="L7" s="6491" cm="1">
        <f t="array" aca="1" ref="L7" ca="1">INDIRECT("'※ 유통플랫폼 세부데이터'!"&amp;L$1&amp;$X7, TRUE)</f>
        <v>8776</v>
      </c>
      <c r="M7" s="2244"/>
      <c r="N7" s="2245" cm="1">
        <f t="array" aca="1" ref="N7" ca="1">INDIRECT("'※ 유통플랫폼 세부데이터'!"&amp;N$1&amp;$X7, TRUE)</f>
        <v>11549</v>
      </c>
      <c r="O7" s="2244"/>
      <c r="P7" s="2245" cm="1">
        <f t="array" aca="1" ref="P7" ca="1">INDIRECT("'※ 유통플랫폼 세부데이터'!"&amp;P$1&amp;$X7, TRUE)</f>
        <v>2051</v>
      </c>
      <c r="Q7" s="2244"/>
      <c r="R7" s="2246" cm="1">
        <f t="array" aca="1" ref="R7" ca="1">INDIRECT("'※ 유통플랫폼 세부데이터'!"&amp;R$1&amp;$X7, TRUE)</f>
        <v>8776</v>
      </c>
      <c r="S7" s="2246" cm="1">
        <f t="array" aca="1" ref="S7" ca="1">INDIRECT("'※ 유통플랫폼 세부데이터'!"&amp;S$1&amp;$X7, TRUE)</f>
        <v>8776</v>
      </c>
      <c r="T7" s="2247" cm="1">
        <f t="array" aca="1" ref="T7" ca="1">INDIRECT("'※ 유통플랫폼 세부데이터'!"&amp;T$1&amp;$X7, TRUE)</f>
        <v>8776</v>
      </c>
      <c r="U7" s="2246" cm="1">
        <f t="array" aca="1" ref="U7" ca="1">INDIRECT("'※ 유통플랫폼 세부데이터'!"&amp;U$1&amp;$X7, TRUE)</f>
        <v>-3475</v>
      </c>
      <c r="V7" s="2248" cm="1">
        <f t="array" aca="1" ref="V7" ca="1">INDIRECT("'※ 유통플랫폼 세부데이터'!"&amp;V$1&amp;$X7, TRUE)</f>
        <v>4388</v>
      </c>
      <c r="W7" s="2246" cm="1">
        <f t="array" aca="1" ref="W7" ca="1">INDIRECT("'※ 유통플랫폼 세부데이터'!"&amp;W$1&amp;$X7, TRUE)</f>
        <v>911.66666666666652</v>
      </c>
      <c r="X7" s="1520">
        <f>ROW('※ 유통플랫폼 세부데이터'!J4)</f>
        <v>4</v>
      </c>
    </row>
    <row r="8" spans="1:60" ht="16" customHeight="1" x14ac:dyDescent="0.55000000000000004">
      <c r="B8" s="7378"/>
      <c r="C8" s="7363"/>
      <c r="D8" s="1506" t="s">
        <v>1097</v>
      </c>
      <c r="E8" s="2249" cm="1">
        <f t="array" aca="1" ref="E8" ca="1">INDIRECT("'※ 유통플랫폼 세부데이터'!"&amp;E$1&amp;$X8, TRUE)</f>
        <v>205.29259920000001</v>
      </c>
      <c r="F8" s="2250" cm="1">
        <f t="array" aca="1" ref="F8" ca="1">INDIRECT("'※ 유통플랫폼 세부데이터'!"&amp;F$1&amp;$X8, TRUE)</f>
        <v>142.9925992</v>
      </c>
      <c r="G8" s="2251"/>
      <c r="H8" s="2251"/>
      <c r="I8" s="2251"/>
      <c r="J8" s="2252" cm="1">
        <f t="array" aca="1" ref="J8" ca="1">INDIRECT("'※ 유통플랫폼 세부데이터'!"&amp;J$1&amp;$X8, TRUE)</f>
        <v>35.5</v>
      </c>
      <c r="K8" s="2252" cm="1">
        <f t="array" aca="1" ref="K8" ca="1">INDIRECT("'※ 유통플랫폼 세부데이터'!"&amp;K$1&amp;$X8, TRUE)</f>
        <v>0.1</v>
      </c>
      <c r="L8" s="6492" cm="1">
        <f t="array" aca="1" ref="L8" ca="1">INDIRECT("'※ 유통플랫폼 세부데이터'!"&amp;L$1&amp;$X8, TRUE)</f>
        <v>117</v>
      </c>
      <c r="M8" s="2251"/>
      <c r="N8" s="2252" cm="1">
        <f t="array" aca="1" ref="N8" ca="1">INDIRECT("'※ 유통플랫폼 세부데이터'!"&amp;N$1&amp;$X8, TRUE)</f>
        <v>10.3</v>
      </c>
      <c r="O8" s="2251"/>
      <c r="P8" s="2252" cm="1">
        <f t="array" aca="1" ref="P8" ca="1">INDIRECT("'※ 유통플랫폼 세부데이터'!"&amp;P$1&amp;$X8, TRUE)</f>
        <v>6.4</v>
      </c>
      <c r="Q8" s="2251"/>
      <c r="R8" s="2253" cm="1">
        <f t="array" aca="1" ref="R8" ca="1">INDIRECT("'※ 유통플랫폼 세부데이터'!"&amp;R$1&amp;$X8, TRUE)</f>
        <v>117</v>
      </c>
      <c r="S8" s="2253" cm="1">
        <f t="array" aca="1" ref="S8" ca="1">INDIRECT("'※ 유통플랫폼 세부데이터'!"&amp;S$1&amp;$X8, TRUE)</f>
        <v>117</v>
      </c>
      <c r="T8" s="2254" cm="1">
        <f t="array" aca="1" ref="T8" ca="1">INDIRECT("'※ 유통플랫폼 세부데이터'!"&amp;T$1&amp;$X8, TRUE)</f>
        <v>117</v>
      </c>
      <c r="U8" s="2253" cm="1">
        <f t="array" aca="1" ref="U8" ca="1">INDIRECT("'※ 유통플랫폼 세부데이터'!"&amp;U$1&amp;$X8, TRUE)</f>
        <v>-25.992599200000001</v>
      </c>
      <c r="V8" s="2255" cm="1">
        <f t="array" aca="1" ref="V8" ca="1">INDIRECT("'※ 유통플랫폼 세부데이터'!"&amp;V$1&amp;$X8, TRUE)</f>
        <v>58.5</v>
      </c>
      <c r="W8" s="2253" cm="1">
        <f t="array" aca="1" ref="W8" ca="1">INDIRECT("'※ 유통플랫폼 세부데이터'!"&amp;W$1&amp;$X8, TRUE)</f>
        <v>41.392283399999997</v>
      </c>
      <c r="X8" s="1520">
        <f>ROW('※ 유통플랫폼 세부데이터'!J5)</f>
        <v>5</v>
      </c>
    </row>
    <row r="9" spans="1:60" ht="16" customHeight="1" x14ac:dyDescent="0.55000000000000004">
      <c r="B9" s="7378"/>
      <c r="C9" s="7363"/>
      <c r="D9" s="1506" t="s">
        <v>293</v>
      </c>
      <c r="E9" s="2256" cm="1">
        <f t="array" aca="1" ref="E9" ca="1">INDIRECT("'※ 유통플랫폼 세부데이터'!"&amp;E$1&amp;$X9, TRUE)</f>
        <v>4702309.4258723678</v>
      </c>
      <c r="F9" s="2257" cm="1">
        <f t="array" aca="1" ref="F9" ca="1">INDIRECT("'※ 유통플랫폼 세부데이터'!"&amp;F$1&amp;$X9, TRUE)</f>
        <v>1167191.2431638234</v>
      </c>
      <c r="G9" s="2258"/>
      <c r="H9" s="2258"/>
      <c r="I9" s="2258"/>
      <c r="J9" s="2259" cm="1">
        <f t="array" aca="1" ref="J9" ca="1">INDIRECT("'※ 유통플랫폼 세부데이터'!"&amp;J$1&amp;$X9, TRUE)</f>
        <v>1199369.1827085444</v>
      </c>
      <c r="K9" s="2259" cm="1">
        <f t="array" aca="1" ref="K9" ca="1">INDIRECT("'※ 유통플랫폼 세부데이터'!"&amp;K$1&amp;$X9, TRUE)</f>
        <v>203687</v>
      </c>
      <c r="L9" s="6493" cm="1">
        <f t="array" aca="1" ref="L9" ca="1">INDIRECT("'※ 유통플랫폼 세부데이터'!"&amp;L$1&amp;$X9, TRUE)</f>
        <v>1338561.467183227</v>
      </c>
      <c r="M9" s="2258"/>
      <c r="N9" s="2259" cm="1">
        <f t="array" aca="1" ref="N9" ca="1">INDIRECT("'※ 유통플랫폼 세부데이터'!"&amp;N$1&amp;$X9, TRUE)</f>
        <v>1030114</v>
      </c>
      <c r="O9" s="2258"/>
      <c r="P9" s="2259" cm="1">
        <f t="array" aca="1" ref="P9" ca="1">INDIRECT("'※ 유통플랫폼 세부데이터'!"&amp;P$1&amp;$X9, TRUE)</f>
        <v>313837</v>
      </c>
      <c r="Q9" s="2258"/>
      <c r="R9" s="2260" cm="1">
        <f t="array" aca="1" ref="R9" ca="1">INDIRECT("'※ 유통플랫폼 세부데이터'!"&amp;R$1&amp;$X9, TRUE)</f>
        <v>1338561.467183227</v>
      </c>
      <c r="S9" s="2260" cm="1">
        <f t="array" aca="1" ref="S9" ca="1">INDIRECT("'※ 유통플랫폼 세부데이터'!"&amp;S$1&amp;$X9, TRUE)</f>
        <v>1338561.467183227</v>
      </c>
      <c r="T9" s="2254" cm="1">
        <f t="array" aca="1" ref="T9" ca="1">INDIRECT("'※ 유통플랫폼 세부데이터'!"&amp;T$1&amp;$X9, TRUE)</f>
        <v>1338561.467183227</v>
      </c>
      <c r="U9" s="2260" cm="1">
        <f t="array" aca="1" ref="U9" ca="1">INDIRECT("'※ 유통플랫폼 세부데이터'!"&amp;U$1&amp;$X9, TRUE)</f>
        <v>171370.22401940357</v>
      </c>
      <c r="V9" s="2255" cm="1">
        <f t="array" aca="1" ref="V9" ca="1">INDIRECT("'※ 유통플랫폼 세부데이터'!"&amp;V$1&amp;$X9, TRUE)</f>
        <v>669280.73359161348</v>
      </c>
      <c r="W9" s="2260" cm="1">
        <f t="array" aca="1" ref="W9" ca="1">INDIRECT("'※ 유통플랫폼 세부데이터'!"&amp;W$1&amp;$X9, TRUE)</f>
        <v>277421.61476891616</v>
      </c>
      <c r="X9" s="1520">
        <f>ROW('※ 유통플랫폼 세부데이터'!J6)</f>
        <v>6</v>
      </c>
      <c r="Y9" s="2261"/>
    </row>
    <row r="10" spans="1:60" ht="16" customHeight="1" x14ac:dyDescent="0.55000000000000004">
      <c r="B10" s="7378"/>
      <c r="C10" s="7364" t="s">
        <v>291</v>
      </c>
      <c r="D10" s="2262" t="s">
        <v>292</v>
      </c>
      <c r="E10" s="2263" cm="1">
        <f t="array" aca="1" ref="E10" ca="1">INDIRECT("'※ 유통플랫폼 세부데이터'!"&amp;E$1&amp;$X10, TRUE)</f>
        <v>57028</v>
      </c>
      <c r="F10" s="2264" cm="1">
        <f t="array" aca="1" ref="F10" ca="1">INDIRECT("'※ 유통플랫폼 세부데이터'!"&amp;F$1&amp;$X10, TRUE)</f>
        <v>3029</v>
      </c>
      <c r="G10" s="2265" cm="1">
        <f t="array" aca="1" ref="G10" ca="1">INDIRECT("'※ 유통플랫폼 세부데이터'!"&amp;G$1&amp;$X10, TRUE)</f>
        <v>5439</v>
      </c>
      <c r="H10" s="2265" cm="1">
        <f t="array" aca="1" ref="H10" ca="1">INDIRECT("'※ 유통플랫폼 세부데이터'!"&amp;H$1&amp;$X10, TRUE)</f>
        <v>5783</v>
      </c>
      <c r="I10" s="2266" cm="1">
        <f t="array" aca="1" ref="I10" ca="1">INDIRECT("'※ 유통플랫폼 세부데이터'!"&amp;I$1&amp;$X10, TRUE)</f>
        <v>2112</v>
      </c>
      <c r="J10" s="2267" cm="1">
        <f t="array" aca="1" ref="J10" ca="1">INDIRECT("'※ 유통플랫폼 세부데이터'!"&amp;J$1&amp;$X10, TRUE)</f>
        <v>4225</v>
      </c>
      <c r="K10" s="2267" cm="1">
        <f t="array" aca="1" ref="K10" ca="1">INDIRECT("'※ 유통플랫폼 세부데이터'!"&amp;K$1&amp;$X10, TRUE)</f>
        <v>3329</v>
      </c>
      <c r="L10" s="6494" cm="1">
        <f t="array" aca="1" ref="L10" ca="1">INDIRECT("'※ 유통플랫폼 세부데이터'!"&amp;L$1&amp;$X10, TRUE)</f>
        <v>3273</v>
      </c>
      <c r="M10" s="2267" cm="1">
        <f t="array" aca="1" ref="M10" ca="1">INDIRECT("'※ 유통플랫폼 세부데이터'!"&amp;M$1&amp;$X10, TRUE)</f>
        <v>14973</v>
      </c>
      <c r="N10" s="2267" cm="1">
        <f t="array" aca="1" ref="N10" ca="1">INDIRECT("'※ 유통플랫폼 세부데이터'!"&amp;N$1&amp;$X10, TRUE)</f>
        <v>4169</v>
      </c>
      <c r="O10" s="2267" cm="1">
        <f t="array" aca="1" ref="O10" ca="1">INDIRECT("'※ 유통플랫폼 세부데이터'!"&amp;O$1&amp;$X10, TRUE)</f>
        <v>3440</v>
      </c>
      <c r="P10" s="2267" cm="1">
        <f t="array" aca="1" ref="P10" ca="1">INDIRECT("'※ 유통플랫폼 세부데이터'!"&amp;P$1&amp;$X10, TRUE)</f>
        <v>4254</v>
      </c>
      <c r="Q10" s="2267" cm="1">
        <f t="array" aca="1" ref="Q10" ca="1">INDIRECT("'※ 유통플랫폼 세부데이터'!"&amp;Q$1&amp;$X10, TRUE)</f>
        <v>1706</v>
      </c>
      <c r="R10" s="2268" cm="1">
        <f t="array" aca="1" ref="R10" ca="1">INDIRECT("'※ 유통플랫폼 세부데이터'!"&amp;R$1&amp;$X10, TRUE)</f>
        <v>1059</v>
      </c>
      <c r="S10" s="2268" cm="1">
        <f t="array" aca="1" ref="S10" ca="1">INDIRECT("'※ 유통플랫폼 세부데이터'!"&amp;S$1&amp;$X10, TRUE)</f>
        <v>-3273</v>
      </c>
      <c r="T10" s="2269" cm="1">
        <f t="array" aca="1" ref="T10" ca="1">INDIRECT("'※ 유통플랫폼 세부데이터'!"&amp;T$1&amp;$X10, TRUE)</f>
        <v>3273</v>
      </c>
      <c r="U10" s="2268" cm="1">
        <f t="array" aca="1" ref="U10" ca="1">INDIRECT("'※ 유통플랫폼 세부데이터'!"&amp;U$1&amp;$X10, TRUE)</f>
        <v>-5195</v>
      </c>
      <c r="V10" s="2270" cm="1">
        <f t="array" aca="1" ref="V10" ca="1">INDIRECT("'※ 유통플랫폼 세부데이터'!"&amp;V$1&amp;$X10, TRUE)</f>
        <v>1636.5</v>
      </c>
      <c r="W10" s="2268" cm="1">
        <f t="array" aca="1" ref="W10" ca="1">INDIRECT("'※ 유통플랫폼 세부데이터'!"&amp;W$1&amp;$X10, TRUE)</f>
        <v>-3115.833333333333</v>
      </c>
      <c r="X10" s="1520">
        <f>ROW('※ 유통플랫폼 세부데이터'!J7)</f>
        <v>7</v>
      </c>
    </row>
    <row r="11" spans="1:60" ht="16" customHeight="1" x14ac:dyDescent="0.55000000000000004">
      <c r="B11" s="7378"/>
      <c r="C11" s="7364"/>
      <c r="D11" s="2262" t="s">
        <v>1098</v>
      </c>
      <c r="E11" s="2271" cm="1">
        <f t="array" aca="1" ref="E11" ca="1">INDIRECT("'※ 유통플랫폼 세부데이터'!"&amp;E$1&amp;$X11, TRUE)</f>
        <v>369.36891255</v>
      </c>
      <c r="F11" s="2272" cm="1">
        <f t="array" aca="1" ref="F11" ca="1">INDIRECT("'※ 유통플랫폼 세부데이터'!"&amp;F$1&amp;$X11, TRUE)</f>
        <v>8.3175418200000006</v>
      </c>
      <c r="G11" s="2273" cm="1">
        <f t="array" aca="1" ref="G11" ca="1">INDIRECT("'※ 유통플랫폼 세부데이터'!"&amp;G$1&amp;$X11, TRUE)</f>
        <v>38</v>
      </c>
      <c r="H11" s="2273" cm="1">
        <f t="array" aca="1" ref="H11" ca="1">INDIRECT("'※ 유통플랫폼 세부데이터'!"&amp;H$1&amp;$X11, TRUE)</f>
        <v>36</v>
      </c>
      <c r="I11" s="2273" cm="1">
        <f t="array" aca="1" ref="I11" ca="1">INDIRECT("'※ 유통플랫폼 세부데이터'!"&amp;I$1&amp;$X11, TRUE)</f>
        <v>18.8</v>
      </c>
      <c r="J11" s="2273" cm="1">
        <f t="array" aca="1" ref="J11" ca="1">INDIRECT("'※ 유통플랫폼 세부데이터'!"&amp;J$1&amp;$X11, TRUE)</f>
        <v>37.051370730000002</v>
      </c>
      <c r="K11" s="2273" cm="1">
        <f t="array" aca="1" ref="K11" ca="1">INDIRECT("'※ 유통플랫폼 세부데이터'!"&amp;K$1&amp;$X11, TRUE)</f>
        <v>40.5</v>
      </c>
      <c r="L11" s="6495" cm="1">
        <f t="array" aca="1" ref="L11" ca="1">INDIRECT("'※ 유통플랫폼 세부데이터'!"&amp;L$1&amp;$X11, TRUE)</f>
        <v>30.299999999999997</v>
      </c>
      <c r="M11" s="2273" cm="1">
        <f t="array" aca="1" ref="M11" ca="1">INDIRECT("'※ 유통플랫폼 세부데이터'!"&amp;M$1&amp;$X11, TRUE)</f>
        <v>13.6</v>
      </c>
      <c r="N11" s="2273" cm="1">
        <f t="array" aca="1" ref="N11" ca="1">INDIRECT("'※ 유통플랫폼 세부데이터'!"&amp;N$1&amp;$X11, TRUE)</f>
        <v>42.3</v>
      </c>
      <c r="O11" s="2273" cm="1">
        <f t="array" aca="1" ref="O11" ca="1">INDIRECT("'※ 유통플랫폼 세부데이터'!"&amp;O$1&amp;$X11, TRUE)</f>
        <v>34.299999999999997</v>
      </c>
      <c r="P11" s="2273" cm="1">
        <f t="array" aca="1" ref="P11" ca="1">INDIRECT("'※ 유통플랫폼 세부데이터'!"&amp;P$1&amp;$X11, TRUE)</f>
        <v>41.7</v>
      </c>
      <c r="Q11" s="2273" cm="1">
        <f t="array" aca="1" ref="Q11" ca="1">INDIRECT("'※ 유통플랫폼 세부데이터'!"&amp;Q$1&amp;$X11, TRUE)</f>
        <v>16.5</v>
      </c>
      <c r="R11" s="2274" cm="1">
        <f t="array" aca="1" ref="R11" ca="1">INDIRECT("'※ 유통플랫폼 세부데이터'!"&amp;R$1&amp;$X11, TRUE)</f>
        <v>14.1</v>
      </c>
      <c r="S11" s="2274" cm="1">
        <f t="array" aca="1" ref="S11" ca="1">INDIRECT("'※ 유통플랫폼 세부데이터'!"&amp;S$1&amp;$X11, TRUE)</f>
        <v>-15.8</v>
      </c>
      <c r="T11" s="2269" cm="1">
        <f t="array" aca="1" ref="T11" ca="1">INDIRECT("'※ 유통플랫폼 세부데이터'!"&amp;T$1&amp;$X11, TRUE)</f>
        <v>30.299999999999997</v>
      </c>
      <c r="U11" s="2274" cm="1">
        <f t="array" aca="1" ref="U11" ca="1">INDIRECT("'※ 유통플랫폼 세부데이터'!"&amp;U$1&amp;$X11, TRUE)</f>
        <v>-16.017541820000005</v>
      </c>
      <c r="V11" s="2270" cm="1">
        <f t="array" aca="1" ref="V11" ca="1">INDIRECT("'※ 유통플랫폼 세부데이터'!"&amp;V$1&amp;$X11, TRUE)</f>
        <v>15.149999999999999</v>
      </c>
      <c r="W11" s="2274" cm="1">
        <f t="array" aca="1" ref="W11" ca="1">INDIRECT("'※ 유통플랫폼 세부데이터'!"&amp;W$1&amp;$X11, TRUE)</f>
        <v>-15.630742712500002</v>
      </c>
      <c r="X11" s="1520">
        <f>ROW('※ 유통플랫폼 세부데이터'!J8)</f>
        <v>8</v>
      </c>
    </row>
    <row r="12" spans="1:60" ht="16" customHeight="1" x14ac:dyDescent="0.55000000000000004">
      <c r="B12" s="7378"/>
      <c r="C12" s="7364"/>
      <c r="D12" s="2262" t="s">
        <v>293</v>
      </c>
      <c r="E12" s="2263" cm="1">
        <f t="array" aca="1" ref="E12" ca="1">INDIRECT("'※ 유통플랫폼 세부데이터'!"&amp;E$1&amp;$X12, TRUE)</f>
        <v>10394223.310900677</v>
      </c>
      <c r="F12" s="2264" cm="1">
        <f t="array" aca="1" ref="F12" ca="1">INDIRECT("'※ 유통플랫폼 세부데이터'!"&amp;F$1&amp;$X12, TRUE)</f>
        <v>274596.95675140311</v>
      </c>
      <c r="G12" s="2265" cm="1">
        <f t="array" aca="1" ref="G12" ca="1">INDIRECT("'※ 유통플랫폼 세부데이터'!"&amp;G$1&amp;$X12, TRUE)</f>
        <v>698678.07188821479</v>
      </c>
      <c r="H12" s="2265" cm="1">
        <f t="array" aca="1" ref="H12" ca="1">INDIRECT("'※ 유통플랫폼 세부데이터'!"&amp;H$1&amp;$X12, TRUE)</f>
        <v>636855.03233615775</v>
      </c>
      <c r="I12" s="2266" cm="1">
        <f t="array" aca="1" ref="I12" ca="1">INDIRECT("'※ 유통플랫폼 세부데이터'!"&amp;I$1&amp;$X12, TRUE)</f>
        <v>891000</v>
      </c>
      <c r="J12" s="2267" cm="1">
        <f t="array" aca="1" ref="J12" ca="1">INDIRECT("'※ 유통플랫폼 세부데이터'!"&amp;J$1&amp;$X12, TRUE)</f>
        <v>876956</v>
      </c>
      <c r="K12" s="2267" cm="1">
        <f t="array" aca="1" ref="K12" ca="1">INDIRECT("'※ 유통플랫폼 세부데이터'!"&amp;K$1&amp;$X12, TRUE)</f>
        <v>1216582.2499249023</v>
      </c>
      <c r="L12" s="6494" cm="1">
        <f t="array" aca="1" ref="L12" ca="1">INDIRECT("'※ 유통플랫폼 세부데이터'!"&amp;L$1&amp;$X12, TRUE)</f>
        <v>1026543</v>
      </c>
      <c r="M12" s="2267" cm="1">
        <f t="array" aca="1" ref="M12" ca="1">INDIRECT("'※ 유통플랫폼 세부데이터'!"&amp;M$1&amp;$X12, TRUE)</f>
        <v>913439</v>
      </c>
      <c r="N12" s="2267" cm="1">
        <f t="array" aca="1" ref="N12" ca="1">INDIRECT("'※ 유통플랫폼 세부데이터'!"&amp;N$1&amp;$X12, TRUE)</f>
        <v>1015619</v>
      </c>
      <c r="O12" s="2267" cm="1">
        <f t="array" aca="1" ref="O12" ca="1">INDIRECT("'※ 유통플랫폼 세부데이터'!"&amp;O$1&amp;$X12, TRUE)</f>
        <v>997532</v>
      </c>
      <c r="P12" s="2267" cm="1">
        <f t="array" aca="1" ref="P12" ca="1">INDIRECT("'※ 유통플랫폼 세부데이터'!"&amp;P$1&amp;$X12, TRUE)</f>
        <v>981131</v>
      </c>
      <c r="Q12" s="2267" cm="1">
        <f t="array" aca="1" ref="Q12" ca="1">INDIRECT("'※ 유통플랫폼 세부데이터'!"&amp;Q$1&amp;$X12, TRUE)</f>
        <v>964315</v>
      </c>
      <c r="R12" s="2268" cm="1">
        <f t="array" aca="1" ref="R12" ca="1">INDIRECT("'※ 유통플랫폼 세부데이터'!"&amp;R$1&amp;$X12, TRUE)</f>
        <v>296330</v>
      </c>
      <c r="S12" s="2268" cm="1">
        <f t="array" aca="1" ref="S12" ca="1">INDIRECT("'※ 유통플랫폼 세부데이터'!"&amp;S$1&amp;$X12, TRUE)</f>
        <v>327864.92811178521</v>
      </c>
      <c r="T12" s="2269" cm="1">
        <f t="array" aca="1" ref="T12" ca="1">INDIRECT("'※ 유통플랫폼 세부데이터'!"&amp;T$1&amp;$X12, TRUE)</f>
        <v>1026543</v>
      </c>
      <c r="U12" s="2268" cm="1">
        <f t="array" aca="1" ref="U12" ca="1">INDIRECT("'※ 유통플랫폼 세부데이터'!"&amp;U$1&amp;$X12, TRUE)</f>
        <v>53267.971360382158</v>
      </c>
      <c r="V12" s="2270" cm="1">
        <f t="array" aca="1" ref="V12" ca="1">INDIRECT("'※ 유통플랫폼 세부데이터'!"&amp;V$1&amp;$X12, TRUE)</f>
        <v>1026543</v>
      </c>
      <c r="W12" s="2268" cm="1">
        <f t="array" aca="1" ref="W12" ca="1">INDIRECT("'※ 유통플랫폼 세부데이터'!"&amp;W$1&amp;$X12, TRUE)</f>
        <v>160357.72409161029</v>
      </c>
      <c r="X12" s="1520">
        <f>ROW('※ 유통플랫폼 세부데이터'!J9)</f>
        <v>9</v>
      </c>
    </row>
    <row r="13" spans="1:60" ht="16" customHeight="1" x14ac:dyDescent="0.55000000000000004">
      <c r="B13" s="7378"/>
      <c r="C13" s="7365"/>
      <c r="D13" s="2275" t="s">
        <v>1099</v>
      </c>
      <c r="E13" s="2276" cm="1">
        <f t="array" aca="1" ref="E13" ca="1">INDIRECT("'※ 유통플랫폼 세부데이터'!"&amp;E$1&amp;$X13, TRUE)</f>
        <v>77.8</v>
      </c>
      <c r="F13" s="2277" cm="1">
        <f t="array" aca="1" ref="F13" ca="1">INDIRECT("'※ 유통플랫폼 세부데이터'!"&amp;F$1&amp;$X13, TRUE)</f>
        <v>0.3</v>
      </c>
      <c r="G13" s="2278" cm="1">
        <f t="array" aca="1" ref="G13" ca="1">INDIRECT("'※ 유통플랫폼 세부데이터'!"&amp;G$1&amp;$X13, TRUE)</f>
        <v>42</v>
      </c>
      <c r="H13" s="2278" cm="1">
        <f t="array" aca="1" ref="H13" ca="1">INDIRECT("'※ 유통플랫폼 세부데이터'!"&amp;H$1&amp;$X13, TRUE)</f>
        <v>1.3</v>
      </c>
      <c r="I13" s="2278" cm="1">
        <f t="array" aca="1" ref="I13" ca="1">INDIRECT("'※ 유통플랫폼 세부데이터'!"&amp;I$1&amp;$X13, TRUE)</f>
        <v>1</v>
      </c>
      <c r="J13" s="2278" cm="1">
        <f t="array" aca="1" ref="J13" ca="1">INDIRECT("'※ 유통플랫폼 세부데이터'!"&amp;J$1&amp;$X13, TRUE)</f>
        <v>4.4000000000000004</v>
      </c>
      <c r="K13" s="2279" cm="1">
        <f t="array" aca="1" ref="K13" ca="1">INDIRECT("'※ 유통플랫폼 세부데이터'!"&amp;K$1&amp;$X13, TRUE)</f>
        <v>8.1999999999999993</v>
      </c>
      <c r="L13" s="6496" cm="1">
        <f t="array" aca="1" ref="L13" ca="1">INDIRECT("'※ 유통플랫폼 세부데이터'!"&amp;L$1&amp;$X13, TRUE)</f>
        <v>4.3000000000000007</v>
      </c>
      <c r="M13" s="2279" cm="1">
        <f t="array" aca="1" ref="M13" ca="1">INDIRECT("'※ 유통플랫폼 세부데이터'!"&amp;M$1&amp;$X13, TRUE)</f>
        <v>6</v>
      </c>
      <c r="N13" s="2279" cm="1">
        <f t="array" aca="1" ref="N13" ca="1">INDIRECT("'※ 유통플랫폼 세부데이터'!"&amp;N$1&amp;$X13, TRUE)</f>
        <v>5.9</v>
      </c>
      <c r="O13" s="2279" cm="1">
        <f t="array" aca="1" ref="O13" ca="1">INDIRECT("'※ 유통플랫폼 세부데이터'!"&amp;O$1&amp;$X13, TRUE)</f>
        <v>2</v>
      </c>
      <c r="P13" s="2279" cm="1">
        <f t="array" aca="1" ref="P13" ca="1">INDIRECT("'※ 유통플랫폼 세부데이터'!"&amp;P$1&amp;$X13, TRUE)</f>
        <v>2.8</v>
      </c>
      <c r="Q13" s="2279" cm="1">
        <f t="array" aca="1" ref="Q13" ca="1">INDIRECT("'※ 유통플랫폼 세부데이터'!"&amp;Q$1&amp;$X13, TRUE)</f>
        <v>1.2</v>
      </c>
      <c r="R13" s="2280" cm="1">
        <f t="array" aca="1" ref="R13" ca="1">INDIRECT("'※ 유통플랫폼 세부데이터'!"&amp;R$1&amp;$X13, TRUE)</f>
        <v>8.5</v>
      </c>
      <c r="S13" s="2280" cm="1">
        <f t="array" aca="1" ref="S13" ca="1">INDIRECT("'※ 유통플랫폼 세부데이터'!"&amp;S$1&amp;$X13, TRUE)</f>
        <v>-35.6</v>
      </c>
      <c r="T13" s="2281" cm="1">
        <f t="array" aca="1" ref="T13" ca="1">INDIRECT("'※ 유통플랫폼 세부데이터'!"&amp;T$1&amp;$X13, TRUE)</f>
        <v>4.3000000000000007</v>
      </c>
      <c r="U13" s="2280" cm="1">
        <f t="array" aca="1" ref="U13" ca="1">INDIRECT("'※ 유통플랫폼 세부데이터'!"&amp;U$1&amp;$X13, TRUE)</f>
        <v>-38</v>
      </c>
      <c r="V13" s="2282" cm="1">
        <f t="array" aca="1" ref="V13" ca="1">INDIRECT("'※ 유통플랫폼 세부데이터'!"&amp;V$1&amp;$X13, TRUE)</f>
        <v>2.1500000000000004</v>
      </c>
      <c r="W13" s="2280" cm="1">
        <f t="array" aca="1" ref="W13" ca="1">INDIRECT("'※ 유통플랫폼 세부데이터'!"&amp;W$1&amp;$X13, TRUE)</f>
        <v>-4.333333333333333</v>
      </c>
      <c r="X13" s="1520">
        <f>ROW('※ 유통플랫폼 세부데이터'!J10)</f>
        <v>10</v>
      </c>
    </row>
    <row r="14" spans="1:60" ht="16" customHeight="1" x14ac:dyDescent="0.55000000000000004">
      <c r="B14" s="7378" t="s">
        <v>294</v>
      </c>
      <c r="C14" s="7364" t="s">
        <v>290</v>
      </c>
      <c r="D14" s="2262" t="s">
        <v>292</v>
      </c>
      <c r="E14" s="2283" cm="1">
        <f t="array" aca="1" ref="E14" ca="1">INDIRECT("'※ 유통플랫폼 세부데이터'!"&amp;E$1&amp;$X14, TRUE)</f>
        <v>51624</v>
      </c>
      <c r="F14" s="2284" cm="1">
        <f t="array" aca="1" ref="F14" ca="1">INDIRECT("'※ 유통플랫폼 세부데이터'!"&amp;F$1&amp;$X14, TRUE)</f>
        <v>1036</v>
      </c>
      <c r="G14" s="2285" cm="1">
        <f t="array" aca="1" ref="G14" ca="1">INDIRECT("'※ 유통플랫폼 세부데이터'!"&amp;G$1&amp;$X14, TRUE)</f>
        <v>7664</v>
      </c>
      <c r="H14" s="2285" cm="1">
        <f t="array" aca="1" ref="H14" ca="1">INDIRECT("'※ 유통플랫폼 세부데이터'!"&amp;H$1&amp;$X14, TRUE)</f>
        <v>4086</v>
      </c>
      <c r="I14" s="2286" cm="1">
        <f t="array" aca="1" ref="I14" ca="1">INDIRECT("'※ 유통플랫폼 세부데이터'!"&amp;I$1&amp;$X14, TRUE)</f>
        <v>3950</v>
      </c>
      <c r="J14" s="2287" cm="1">
        <f t="array" aca="1" ref="J14" ca="1">INDIRECT("'※ 유통플랫폼 세부데이터'!"&amp;J$1&amp;$X14, TRUE)</f>
        <v>4640</v>
      </c>
      <c r="K14" s="2287" cm="1">
        <f t="array" aca="1" ref="K14" ca="1">INDIRECT("'※ 유통플랫폼 세부데이터'!"&amp;K$1&amp;$X14, TRUE)</f>
        <v>5274</v>
      </c>
      <c r="L14" s="6497" cm="1">
        <f t="array" aca="1" ref="L14" ca="1">INDIRECT("'※ 유통플랫폼 세부데이터'!"&amp;L$1&amp;$X14, TRUE)</f>
        <v>5912</v>
      </c>
      <c r="M14" s="2287" cm="1">
        <f t="array" aca="1" ref="M14" ca="1">INDIRECT("'※ 유통플랫폼 세부데이터'!"&amp;M$1&amp;$X14, TRUE)</f>
        <v>4953</v>
      </c>
      <c r="N14" s="2287" cm="1">
        <f t="array" aca="1" ref="N14" ca="1">INDIRECT("'※ 유통플랫폼 세부데이터'!"&amp;N$1&amp;$X14, TRUE)</f>
        <v>4596</v>
      </c>
      <c r="O14" s="2287" cm="1">
        <f t="array" aca="1" ref="O14" ca="1">INDIRECT("'※ 유통플랫폼 세부데이터'!"&amp;O$1&amp;$X14, TRUE)</f>
        <v>4073</v>
      </c>
      <c r="P14" s="2287" cm="1">
        <f t="array" aca="1" ref="P14" ca="1">INDIRECT("'※ 유통플랫폼 세부데이터'!"&amp;P$1&amp;$X14, TRUE)</f>
        <v>2397</v>
      </c>
      <c r="Q14" s="2287" cm="1">
        <f t="array" aca="1" ref="Q14" ca="1">INDIRECT("'※ 유통플랫폼 세부데이터'!"&amp;Q$1&amp;$X14, TRUE)</f>
        <v>1959</v>
      </c>
      <c r="R14" s="2288" cm="1">
        <f t="array" aca="1" ref="R14" ca="1">INDIRECT("'※ 유통플랫폼 세부데이터'!"&amp;R$1&amp;$X14, TRUE)</f>
        <v>-1228</v>
      </c>
      <c r="S14" s="2288" cm="1">
        <f t="array" aca="1" ref="S14" ca="1">INDIRECT("'※ 유통플랫폼 세부데이터'!"&amp;S$1&amp;$X14, TRUE)</f>
        <v>-5322</v>
      </c>
      <c r="T14" s="2289" cm="1">
        <f t="array" aca="1" ref="T14" ca="1">INDIRECT("'※ 유통플랫폼 세부데이터'!"&amp;T$1&amp;$X14, TRUE)</f>
        <v>5912</v>
      </c>
      <c r="U14" s="2288" cm="1">
        <f t="array" aca="1" ref="U14" ca="1">INDIRECT("'※ 유통플랫폼 세부데이터'!"&amp;U$1&amp;$X14, TRUE)</f>
        <v>-2788</v>
      </c>
      <c r="V14" s="2290" cm="1">
        <f t="array" aca="1" ref="V14" ca="1">INDIRECT("'※ 유통플랫폼 세부데이터'!"&amp;V$1&amp;$X14, TRUE)</f>
        <v>2956</v>
      </c>
      <c r="W14" s="2288" cm="1">
        <f t="array" aca="1" ref="W14" ca="1">INDIRECT("'※ 유통플랫폼 세부데이터'!"&amp;W$1&amp;$X14, TRUE)</f>
        <v>-1346</v>
      </c>
      <c r="X14" s="1520">
        <f>ROW('※ 유통플랫폼 세부데이터'!J11)</f>
        <v>11</v>
      </c>
    </row>
    <row r="15" spans="1:60" ht="16" customHeight="1" x14ac:dyDescent="0.55000000000000004">
      <c r="B15" s="7378"/>
      <c r="C15" s="7364"/>
      <c r="D15" s="2262" t="s">
        <v>1097</v>
      </c>
      <c r="E15" s="2291" cm="1">
        <f t="array" aca="1" ref="E15" ca="1">INDIRECT("'※ 유통플랫폼 세부데이터'!"&amp;E$1&amp;$X15, TRUE)</f>
        <v>90.799999999999983</v>
      </c>
      <c r="F15" s="2292" cm="1">
        <f t="array" aca="1" ref="F15" ca="1">INDIRECT("'※ 유통플랫폼 세부데이터'!"&amp;F$1&amp;$X15, TRUE)</f>
        <v>1.8</v>
      </c>
      <c r="G15" s="2293" cm="1">
        <f t="array" aca="1" ref="G15" ca="1">INDIRECT("'※ 유통플랫폼 세부데이터'!"&amp;G$1&amp;$X15, TRUE)</f>
        <v>13</v>
      </c>
      <c r="H15" s="2293" cm="1">
        <f t="array" aca="1" ref="H15" ca="1">INDIRECT("'※ 유통플랫폼 세부데이터'!"&amp;H$1&amp;$X15, TRUE)</f>
        <v>6</v>
      </c>
      <c r="I15" s="2293" cm="1">
        <f t="array" aca="1" ref="I15" ca="1">INDIRECT("'※ 유통플랫폼 세부데이터'!"&amp;I$1&amp;$X15, TRUE)</f>
        <v>4.5999999999999996</v>
      </c>
      <c r="J15" s="2293" cm="1">
        <f t="array" aca="1" ref="J15" ca="1">INDIRECT("'※ 유통플랫폼 세부데이터'!"&amp;J$1&amp;$X15, TRUE)</f>
        <v>5.6</v>
      </c>
      <c r="K15" s="2293" cm="1">
        <f t="array" aca="1" ref="K15" ca="1">INDIRECT("'※ 유통플랫폼 세부데이터'!"&amp;K$1&amp;$X15, TRUE)</f>
        <v>6.8</v>
      </c>
      <c r="L15" s="6498" cm="1">
        <f t="array" aca="1" ref="L15" ca="1">INDIRECT("'※ 유통플랫폼 세부데이터'!"&amp;L$1&amp;$X15, TRUE)</f>
        <v>12.9</v>
      </c>
      <c r="M15" s="2293" cm="1">
        <f t="array" aca="1" ref="M15" ca="1">INDIRECT("'※ 유통플랫폼 세부데이터'!"&amp;M$1&amp;$X15, TRUE)</f>
        <v>8.3000000000000007</v>
      </c>
      <c r="N15" s="2293" cm="1">
        <f t="array" aca="1" ref="N15" ca="1">INDIRECT("'※ 유통플랫폼 세부데이터'!"&amp;N$1&amp;$X15, TRUE)</f>
        <v>11.6</v>
      </c>
      <c r="O15" s="2293" cm="1">
        <f t="array" aca="1" ref="O15" ca="1">INDIRECT("'※ 유통플랫폼 세부데이터'!"&amp;O$1&amp;$X15, TRUE)</f>
        <v>9.5</v>
      </c>
      <c r="P15" s="2293" cm="1">
        <f t="array" aca="1" ref="P15" ca="1">INDIRECT("'※ 유통플랫폼 세부데이터'!"&amp;P$1&amp;$X15, TRUE)</f>
        <v>3.8</v>
      </c>
      <c r="Q15" s="2293" cm="1">
        <f t="array" aca="1" ref="Q15" ca="1">INDIRECT("'※ 유통플랫폼 세부데이터'!"&amp;Q$1&amp;$X15, TRUE)</f>
        <v>3.1</v>
      </c>
      <c r="R15" s="2294" cm="1">
        <f t="array" aca="1" ref="R15" ca="1">INDIRECT("'※ 유통플랫폼 세부데이터'!"&amp;R$1&amp;$X15, TRUE)</f>
        <v>-2.5</v>
      </c>
      <c r="S15" s="2294" cm="1">
        <f t="array" aca="1" ref="S15" ca="1">INDIRECT("'※ 유통플랫폼 세부데이터'!"&amp;S$1&amp;$X15, TRUE)</f>
        <v>-7.8</v>
      </c>
      <c r="T15" s="2295" cm="1">
        <f t="array" aca="1" ref="T15" ca="1">INDIRECT("'※ 유통플랫폼 세부데이터'!"&amp;T$1&amp;$X15, TRUE)</f>
        <v>12.9</v>
      </c>
      <c r="U15" s="2294" cm="1">
        <f t="array" aca="1" ref="U15" ca="1">INDIRECT("'※ 유통플랫폼 세부데이터'!"&amp;U$1&amp;$X15, TRUE)</f>
        <v>-1.9000000000000004</v>
      </c>
      <c r="V15" s="2296" cm="1">
        <f t="array" aca="1" ref="V15" ca="1">INDIRECT("'※ 유통플랫폼 세부데이터'!"&amp;V$1&amp;$X15, TRUE)</f>
        <v>6.45</v>
      </c>
      <c r="W15" s="2294" cm="1">
        <f t="array" aca="1" ref="W15" ca="1">INDIRECT("'※ 유통플랫폼 세부데이터'!"&amp;W$1&amp;$X15, TRUE)</f>
        <v>-1.1166666666666654</v>
      </c>
      <c r="X15" s="1520">
        <f>ROW('※ 유통플랫폼 세부데이터'!J12)</f>
        <v>12</v>
      </c>
    </row>
    <row r="16" spans="1:60" ht="16" customHeight="1" x14ac:dyDescent="0.55000000000000004">
      <c r="B16" s="7378"/>
      <c r="C16" s="7367"/>
      <c r="D16" s="2262" t="s">
        <v>293</v>
      </c>
      <c r="E16" s="2283" cm="1">
        <f t="array" aca="1" ref="E16" ca="1">INDIRECT("'※ 유통플랫폼 세부데이터'!"&amp;E$1&amp;$X16, TRUE)</f>
        <v>2085523.6341336118</v>
      </c>
      <c r="F16" s="2284" cm="1">
        <f t="array" aca="1" ref="F16" ca="1">INDIRECT("'※ 유통플랫폼 세부데이터'!"&amp;F$1&amp;$X16, TRUE)</f>
        <v>173874</v>
      </c>
      <c r="G16" s="2285" cm="1">
        <f t="array" aca="1" ref="G16" ca="1">INDIRECT("'※ 유통플랫폼 세부데이터'!"&amp;G$1&amp;$X16, TRUE)</f>
        <v>180763.63413361169</v>
      </c>
      <c r="H16" s="2285" cm="1">
        <f t="array" aca="1" ref="H16" ca="1">INDIRECT("'※ 유통플랫폼 세부데이터'!"&amp;H$1&amp;$X16, TRUE)</f>
        <v>149075</v>
      </c>
      <c r="I16" s="2286" cm="1">
        <f t="array" aca="1" ref="I16" ca="1">INDIRECT("'※ 유통플랫폼 세부데이터'!"&amp;I$1&amp;$X16, TRUE)</f>
        <v>115565</v>
      </c>
      <c r="J16" s="2287" cm="1">
        <f t="array" aca="1" ref="J16" ca="1">INDIRECT("'※ 유통플랫폼 세부데이터'!"&amp;J$1&amp;$X16, TRUE)</f>
        <v>121231</v>
      </c>
      <c r="K16" s="2287" cm="1">
        <f t="array" aca="1" ref="K16" ca="1">INDIRECT("'※ 유통플랫폼 세부데이터'!"&amp;K$1&amp;$X16, TRUE)</f>
        <v>134500</v>
      </c>
      <c r="L16" s="6497" cm="1">
        <f t="array" aca="1" ref="L16" ca="1">INDIRECT("'※ 유통플랫폼 세부데이터'!"&amp;L$1&amp;$X16, TRUE)</f>
        <v>439470</v>
      </c>
      <c r="M16" s="2287" cm="1">
        <f t="array" aca="1" ref="M16" ca="1">INDIRECT("'※ 유통플랫폼 세부데이터'!"&amp;M$1&amp;$X16, TRUE)</f>
        <v>166655</v>
      </c>
      <c r="N16" s="2287" cm="1">
        <f t="array" aca="1" ref="N16" ca="1">INDIRECT("'※ 유통플랫폼 세부데이터'!"&amp;N$1&amp;$X16, TRUE)</f>
        <v>252465</v>
      </c>
      <c r="O16" s="2287" cm="1">
        <f t="array" aca="1" ref="O16" ca="1">INDIRECT("'※ 유통플랫폼 세부데이터'!"&amp;O$1&amp;$X16, TRUE)</f>
        <v>234128</v>
      </c>
      <c r="P16" s="2287" cm="1">
        <f t="array" aca="1" ref="P16" ca="1">INDIRECT("'※ 유통플랫폼 세부데이터'!"&amp;P$1&amp;$X16, TRUE)</f>
        <v>160956</v>
      </c>
      <c r="Q16" s="2287" cm="1">
        <f t="array" aca="1" ref="Q16" ca="1">INDIRECT("'※ 유통플랫폼 세부데이터'!"&amp;Q$1&amp;$X16, TRUE)</f>
        <v>156329</v>
      </c>
      <c r="R16" s="2288" cm="1">
        <f t="array" aca="1" ref="R16" ca="1">INDIRECT("'※ 유통플랫폼 세부데이터'!"&amp;R$1&amp;$X16, TRUE)</f>
        <v>7734</v>
      </c>
      <c r="S16" s="2288" cm="1">
        <f t="array" aca="1" ref="S16" ca="1">INDIRECT("'※ 유통플랫폼 세부데이터'!"&amp;S$1&amp;$X16, TRUE)</f>
        <v>42838.365866388311</v>
      </c>
      <c r="T16" s="2289" cm="1">
        <f t="array" aca="1" ref="T16" ca="1">INDIRECT("'※ 유통플랫폼 세부데이터'!"&amp;T$1&amp;$X16, TRUE)</f>
        <v>439470</v>
      </c>
      <c r="U16" s="2288" cm="1">
        <f t="array" aca="1" ref="U16" ca="1">INDIRECT("'※ 유통플랫폼 세부데이터'!"&amp;U$1&amp;$X16, TRUE)</f>
        <v>84832.365866388311</v>
      </c>
      <c r="V16" s="2290" cm="1">
        <f t="array" aca="1" ref="V16" ca="1">INDIRECT("'※ 유통플랫폼 세부데이터'!"&amp;V$1&amp;$X16, TRUE)</f>
        <v>219735</v>
      </c>
      <c r="W16" s="2288" cm="1">
        <f t="array" aca="1" ref="W16" ca="1">INDIRECT("'※ 유통플랫폼 세부데이터'!"&amp;W$1&amp;$X16, TRUE)</f>
        <v>45941.363822199026</v>
      </c>
      <c r="X16" s="1520">
        <f>ROW('※ 유통플랫폼 세부데이터'!J13)</f>
        <v>13</v>
      </c>
    </row>
    <row r="17" spans="2:27" ht="16" customHeight="1" x14ac:dyDescent="0.55000000000000004">
      <c r="B17" s="7378"/>
      <c r="C17" s="7368" t="s">
        <v>304</v>
      </c>
      <c r="D17" s="2297" t="s">
        <v>295</v>
      </c>
      <c r="E17" s="2298" cm="1">
        <f t="array" aca="1" ref="E17" ca="1">INDIRECT("'※ 유통플랫폼 세부데이터'!"&amp;E$1&amp;$X17, TRUE)</f>
        <v>5630</v>
      </c>
      <c r="F17" s="2299" cm="1">
        <f t="array" aca="1" ref="F17" ca="1">INDIRECT("'※ 유통플랫폼 세부데이터'!"&amp;F$1&amp;$X17, TRUE)</f>
        <v>163</v>
      </c>
      <c r="G17" s="2300" cm="1">
        <f t="array" aca="1" ref="G17" ca="1">INDIRECT("'※ 유통플랫폼 세부데이터'!"&amp;G$1&amp;$X17, TRUE)</f>
        <v>458</v>
      </c>
      <c r="H17" s="2300" cm="1">
        <f t="array" aca="1" ref="H17" ca="1">INDIRECT("'※ 유통플랫폼 세부데이터'!"&amp;H$1&amp;$X17, TRUE)</f>
        <v>861</v>
      </c>
      <c r="I17" s="2301" cm="1">
        <f t="array" aca="1" ref="I17" ca="1">INDIRECT("'※ 유통플랫폼 세부데이터'!"&amp;I$1&amp;$X17, TRUE)</f>
        <v>819</v>
      </c>
      <c r="J17" s="2302" cm="1">
        <f t="array" aca="1" ref="J17" ca="1">INDIRECT("'※ 유통플랫폼 세부데이터'!"&amp;J$1&amp;$X17, TRUE)</f>
        <v>909</v>
      </c>
      <c r="K17" s="2302" cm="1">
        <f t="array" aca="1" ref="K17" ca="1">INDIRECT("'※ 유통플랫폼 세부데이터'!"&amp;K$1&amp;$X17, TRUE)</f>
        <v>1079</v>
      </c>
      <c r="L17" s="6499" cm="1">
        <f t="array" aca="1" ref="L17" ca="1">INDIRECT("'※ 유통플랫폼 세부데이터'!"&amp;L$1&amp;$X17, TRUE)</f>
        <v>0</v>
      </c>
      <c r="M17" s="2302" cm="1">
        <f t="array" aca="1" ref="M17" ca="1">INDIRECT("'※ 유통플랫폼 세부데이터'!"&amp;M$1&amp;$X17, TRUE)</f>
        <v>283</v>
      </c>
      <c r="N17" s="2302" cm="1">
        <f t="array" aca="1" ref="N17" ca="1">INDIRECT("'※ 유통플랫폼 세부데이터'!"&amp;N$1&amp;$X17, TRUE)</f>
        <v>0</v>
      </c>
      <c r="O17" s="2302" cm="1">
        <f t="array" aca="1" ref="O17" ca="1">INDIRECT("'※ 유통플랫폼 세부데이터'!"&amp;O$1&amp;$X17, TRUE)</f>
        <v>0</v>
      </c>
      <c r="P17" s="2302" cm="1">
        <f t="array" aca="1" ref="P17" ca="1">INDIRECT("'※ 유통플랫폼 세부데이터'!"&amp;P$1&amp;$X17, TRUE)</f>
        <v>0</v>
      </c>
      <c r="Q17" s="2302" cm="1">
        <f t="array" aca="1" ref="Q17" ca="1">INDIRECT("'※ 유통플랫폼 세부데이터'!"&amp;Q$1&amp;$X17, TRUE)</f>
        <v>0</v>
      </c>
      <c r="R17" s="2303" cm="1">
        <f t="array" aca="1" ref="R17" ca="1">INDIRECT("'※ 유통플랫폼 세부데이터'!"&amp;R$1&amp;$X17, TRUE)</f>
        <v>0</v>
      </c>
      <c r="S17" s="2303" cm="1">
        <f t="array" aca="1" ref="S17" ca="1">INDIRECT("'※ 유통플랫폼 세부데이터'!"&amp;S$1&amp;$X17, TRUE)</f>
        <v>-458</v>
      </c>
      <c r="T17" s="2304" cm="1">
        <f t="array" aca="1" ref="T17" ca="1">INDIRECT("'※ 유통플랫폼 세부데이터'!"&amp;T$1&amp;$X17, TRUE)</f>
        <v>0</v>
      </c>
      <c r="U17" s="2303" cm="1">
        <f t="array" aca="1" ref="U17" ca="1">INDIRECT("'※ 유통플랫폼 세부데이터'!"&amp;U$1&amp;$X17, TRUE)</f>
        <v>-621</v>
      </c>
      <c r="V17" s="2305" cm="1">
        <f t="array" aca="1" ref="V17" ca="1">INDIRECT("'※ 유통플랫폼 세부데이터'!"&amp;V$1&amp;$X17, TRUE)</f>
        <v>0</v>
      </c>
      <c r="W17" s="2303" cm="1">
        <f t="array" aca="1" ref="W17" ca="1">INDIRECT("'※ 유통플랫폼 세부데이터'!"&amp;W$1&amp;$X17, TRUE)</f>
        <v>-469.16666666666669</v>
      </c>
      <c r="X17" s="1520">
        <f>ROW('※ 유통플랫폼 세부데이터'!J14)</f>
        <v>14</v>
      </c>
    </row>
    <row r="18" spans="2:27" ht="16" customHeight="1" x14ac:dyDescent="0.55000000000000004">
      <c r="B18" s="7378"/>
      <c r="C18" s="7363"/>
      <c r="D18" s="1506" t="s">
        <v>634</v>
      </c>
      <c r="E18" s="2306" cm="1">
        <f t="array" aca="1" ref="E18" ca="1">INDIRECT("'※ 유통플랫폼 세부데이터'!"&amp;E$1&amp;$X18, TRUE)</f>
        <v>32724</v>
      </c>
      <c r="F18" s="2307" cm="1">
        <f t="array" aca="1" ref="F18" ca="1">INDIRECT("'※ 유통플랫폼 세부데이터'!"&amp;F$1&amp;$X18, TRUE)</f>
        <v>512</v>
      </c>
      <c r="G18" s="2308" cm="1">
        <f t="array" aca="1" ref="G18" ca="1">INDIRECT("'※ 유통플랫폼 세부데이터'!"&amp;G$1&amp;$X18, TRUE)</f>
        <v>1654</v>
      </c>
      <c r="H18" s="2308" cm="1">
        <f t="array" aca="1" ref="H18" ca="1">INDIRECT("'※ 유통플랫폼 세부데이터'!"&amp;H$1&amp;$X18, TRUE)</f>
        <v>2381</v>
      </c>
      <c r="I18" s="2309" cm="1">
        <f t="array" aca="1" ref="I18" ca="1">INDIRECT("'※ 유통플랫폼 세부데이터'!"&amp;I$1&amp;$X18, TRUE)</f>
        <v>2542</v>
      </c>
      <c r="J18" s="2310" cm="1">
        <f t="array" aca="1" ref="J18" ca="1">INDIRECT("'※ 유통플랫폼 세부데이터'!"&amp;J$1&amp;$X18, TRUE)</f>
        <v>3108</v>
      </c>
      <c r="K18" s="2310" cm="1">
        <f t="array" aca="1" ref="K18" ca="1">INDIRECT("'※ 유통플랫폼 세부데이터'!"&amp;K$1&amp;$X18, TRUE)</f>
        <v>3770</v>
      </c>
      <c r="L18" s="6500" cm="1">
        <f t="array" aca="1" ref="L18" ca="1">INDIRECT("'※ 유통플랫폼 세부데이터'!"&amp;L$1&amp;$X18, TRUE)</f>
        <v>4335</v>
      </c>
      <c r="M18" s="2310" cm="1">
        <f t="array" aca="1" ref="M18" ca="1">INDIRECT("'※ 유통플랫폼 세부데이터'!"&amp;M$1&amp;$X18, TRUE)</f>
        <v>3908</v>
      </c>
      <c r="N18" s="2310" cm="1">
        <f t="array" aca="1" ref="N18" ca="1">INDIRECT("'※ 유통플랫폼 세부데이터'!"&amp;N$1&amp;$X18, TRUE)</f>
        <v>3502</v>
      </c>
      <c r="O18" s="2310" cm="1">
        <f t="array" aca="1" ref="O18" ca="1">INDIRECT("'※ 유통플랫폼 세부데이터'!"&amp;O$1&amp;$X18, TRUE)</f>
        <v>2720</v>
      </c>
      <c r="P18" s="2310" cm="1">
        <f t="array" aca="1" ref="P18" ca="1">INDIRECT("'※ 유통플랫폼 세부데이터'!"&amp;P$1&amp;$X18, TRUE)</f>
        <v>1951</v>
      </c>
      <c r="Q18" s="2310" cm="1">
        <f t="array" aca="1" ref="Q18" ca="1">INDIRECT("'※ 유통플랫폼 세부데이터'!"&amp;Q$1&amp;$X18, TRUE)</f>
        <v>1501</v>
      </c>
      <c r="R18" s="2311" cm="1">
        <f t="array" aca="1" ref="R18" ca="1">INDIRECT("'※ 유통플랫폼 세부데이터'!"&amp;R$1&amp;$X18, TRUE)</f>
        <v>-885</v>
      </c>
      <c r="S18" s="2311" cm="1">
        <f t="array" aca="1" ref="S18" ca="1">INDIRECT("'※ 유통플랫폼 세부데이터'!"&amp;S$1&amp;$X18, TRUE)</f>
        <v>71</v>
      </c>
      <c r="T18" s="2312" cm="1">
        <f t="array" aca="1" ref="T18" ca="1">INDIRECT("'※ 유통플랫폼 세부데이터'!"&amp;T$1&amp;$X18, TRUE)</f>
        <v>4335</v>
      </c>
      <c r="U18" s="2311" cm="1">
        <f t="array" aca="1" ref="U18" ca="1">INDIRECT("'※ 유통플랫폼 세부데이터'!"&amp;U$1&amp;$X18, TRUE)</f>
        <v>2169</v>
      </c>
      <c r="V18" s="2313" cm="1">
        <f t="array" aca="1" ref="V18" ca="1">INDIRECT("'※ 유통플랫폼 세부데이터'!"&amp;V$1&amp;$X18, TRUE)</f>
        <v>2167.5</v>
      </c>
      <c r="W18" s="2311" cm="1">
        <f t="array" aca="1" ref="W18" ca="1">INDIRECT("'※ 유통플랫폼 세부데이터'!"&amp;W$1&amp;$X18, TRUE)</f>
        <v>-559.5</v>
      </c>
      <c r="X18" s="1520">
        <f>ROW('※ 유통플랫폼 세부데이터'!J15)</f>
        <v>15</v>
      </c>
    </row>
    <row r="19" spans="2:27" ht="16" customHeight="1" x14ac:dyDescent="0.55000000000000004">
      <c r="B19" s="7378"/>
      <c r="C19" s="7363"/>
      <c r="D19" s="1506" t="s">
        <v>296</v>
      </c>
      <c r="E19" s="2306" cm="1">
        <f t="array" aca="1" ref="E19" ca="1">INDIRECT("'※ 유통플랫폼 세부데이터'!"&amp;E$1&amp;$X19, TRUE)</f>
        <v>0</v>
      </c>
      <c r="F19" s="2307" cm="1">
        <f t="array" aca="1" ref="F19" ca="1">INDIRECT("'※ 유통플랫폼 세부데이터'!"&amp;F$1&amp;$X19, TRUE)</f>
        <v>0</v>
      </c>
      <c r="G19" s="2308" cm="1">
        <f t="array" aca="1" ref="G19" ca="1">INDIRECT("'※ 유통플랫폼 세부데이터'!"&amp;G$1&amp;$X19, TRUE)</f>
        <v>0</v>
      </c>
      <c r="H19" s="2308" cm="1">
        <f t="array" aca="1" ref="H19" ca="1">INDIRECT("'※ 유통플랫폼 세부데이터'!"&amp;H$1&amp;$X19, TRUE)</f>
        <v>0</v>
      </c>
      <c r="I19" s="2309" cm="1">
        <f t="array" aca="1" ref="I19" ca="1">INDIRECT("'※ 유통플랫폼 세부데이터'!"&amp;I$1&amp;$X19, TRUE)</f>
        <v>0</v>
      </c>
      <c r="J19" s="2310" cm="1">
        <f t="array" aca="1" ref="J19" ca="1">INDIRECT("'※ 유통플랫폼 세부데이터'!"&amp;J$1&amp;$X19, TRUE)</f>
        <v>0</v>
      </c>
      <c r="K19" s="2310" cm="1">
        <f t="array" aca="1" ref="K19" ca="1">INDIRECT("'※ 유통플랫폼 세부데이터'!"&amp;K$1&amp;$X19, TRUE)</f>
        <v>0</v>
      </c>
      <c r="L19" s="6500" cm="1">
        <f t="array" aca="1" ref="L19" ca="1">INDIRECT("'※ 유통플랫폼 세부데이터'!"&amp;L$1&amp;$X19, TRUE)</f>
        <v>0</v>
      </c>
      <c r="M19" s="2310" cm="1">
        <f t="array" aca="1" ref="M19" ca="1">INDIRECT("'※ 유통플랫폼 세부데이터'!"&amp;M$1&amp;$X19, TRUE)</f>
        <v>0</v>
      </c>
      <c r="N19" s="2310" cm="1">
        <f t="array" aca="1" ref="N19" ca="1">INDIRECT("'※ 유통플랫폼 세부데이터'!"&amp;N$1&amp;$X19, TRUE)</f>
        <v>0</v>
      </c>
      <c r="O19" s="2310" cm="1">
        <f t="array" aca="1" ref="O19" ca="1">INDIRECT("'※ 유통플랫폼 세부데이터'!"&amp;O$1&amp;$X19, TRUE)</f>
        <v>0</v>
      </c>
      <c r="P19" s="2310" cm="1">
        <f t="array" aca="1" ref="P19" ca="1">INDIRECT("'※ 유통플랫폼 세부데이터'!"&amp;P$1&amp;$X19, TRUE)</f>
        <v>0</v>
      </c>
      <c r="Q19" s="2310" cm="1">
        <f t="array" aca="1" ref="Q19" ca="1">INDIRECT("'※ 유통플랫폼 세부데이터'!"&amp;Q$1&amp;$X19, TRUE)</f>
        <v>0</v>
      </c>
      <c r="R19" s="2311" cm="1">
        <f t="array" aca="1" ref="R19" ca="1">INDIRECT("'※ 유통플랫폼 세부데이터'!"&amp;R$1&amp;$X19, TRUE)</f>
        <v>0</v>
      </c>
      <c r="S19" s="2311" cm="1">
        <f t="array" aca="1" ref="S19" ca="1">INDIRECT("'※ 유통플랫폼 세부데이터'!"&amp;S$1&amp;$X19, TRUE)</f>
        <v>0</v>
      </c>
      <c r="T19" s="2312" cm="1">
        <f t="array" aca="1" ref="T19" ca="1">INDIRECT("'※ 유통플랫폼 세부데이터'!"&amp;T$1&amp;$X19, TRUE)</f>
        <v>0</v>
      </c>
      <c r="U19" s="2311" cm="1">
        <f t="array" aca="1" ref="U19" ca="1">INDIRECT("'※ 유통플랫폼 세부데이터'!"&amp;U$1&amp;$X19, TRUE)</f>
        <v>0</v>
      </c>
      <c r="V19" s="2313" cm="1">
        <f t="array" aca="1" ref="V19" ca="1">INDIRECT("'※ 유통플랫폼 세부데이터'!"&amp;V$1&amp;$X19, TRUE)</f>
        <v>0</v>
      </c>
      <c r="W19" s="2311" cm="1">
        <f t="array" aca="1" ref="W19" ca="1">INDIRECT("'※ 유통플랫폼 세부데이터'!"&amp;W$1&amp;$X19, TRUE)</f>
        <v>0</v>
      </c>
      <c r="X19" s="1520">
        <f>ROW('※ 유통플랫폼 세부데이터'!J16)</f>
        <v>16</v>
      </c>
    </row>
    <row r="20" spans="2:27" ht="16" customHeight="1" x14ac:dyDescent="0.55000000000000004">
      <c r="B20" s="7378"/>
      <c r="C20" s="7363"/>
      <c r="D20" s="1506" t="s">
        <v>297</v>
      </c>
      <c r="E20" s="2306" cm="1">
        <f t="array" aca="1" ref="E20" ca="1">INDIRECT("'※ 유통플랫폼 세부데이터'!"&amp;E$1&amp;$X20, TRUE)</f>
        <v>13393</v>
      </c>
      <c r="F20" s="2307" cm="1">
        <f t="array" aca="1" ref="F20" ca="1">INDIRECT("'※ 유통플랫폼 세부데이터'!"&amp;F$1&amp;$X20, TRUE)</f>
        <v>359</v>
      </c>
      <c r="G20" s="2308" cm="1">
        <f t="array" aca="1" ref="G20" ca="1">INDIRECT("'※ 유통플랫폼 세부데이터'!"&amp;G$1&amp;$X20, TRUE)</f>
        <v>5552</v>
      </c>
      <c r="H20" s="2308" cm="1">
        <f t="array" aca="1" ref="H20" ca="1">INDIRECT("'※ 유통플랫폼 세부데이터'!"&amp;H$1&amp;$X20, TRUE)</f>
        <v>844</v>
      </c>
      <c r="I20" s="2309" cm="1">
        <f t="array" aca="1" ref="I20" ca="1">INDIRECT("'※ 유통플랫폼 세부데이터'!"&amp;I$1&amp;$X20, TRUE)</f>
        <v>589</v>
      </c>
      <c r="J20" s="2310" cm="1">
        <f t="array" aca="1" ref="J20" ca="1">INDIRECT("'※ 유통플랫폼 세부데이터'!"&amp;J$1&amp;$X20, TRUE)</f>
        <v>623</v>
      </c>
      <c r="K20" s="2310" cm="1">
        <f t="array" aca="1" ref="K20" ca="1">INDIRECT("'※ 유통플랫폼 세부데이터'!"&amp;K$1&amp;$X20, TRUE)</f>
        <v>550</v>
      </c>
      <c r="L20" s="6500" cm="1">
        <f t="array" aca="1" ref="L20" ca="1">INDIRECT("'※ 유통플랫폼 세부데이터'!"&amp;L$1&amp;$X20, TRUE)</f>
        <v>1577</v>
      </c>
      <c r="M20" s="2310" cm="1">
        <f t="array" aca="1" ref="M20" ca="1">INDIRECT("'※ 유통플랫폼 세부데이터'!"&amp;M$1&amp;$X20, TRUE)</f>
        <v>762</v>
      </c>
      <c r="N20" s="2310" cm="1">
        <f t="array" aca="1" ref="N20" ca="1">INDIRECT("'※ 유통플랫폼 세부데이터'!"&amp;N$1&amp;$X20, TRUE)</f>
        <v>1094</v>
      </c>
      <c r="O20" s="2310" cm="1">
        <f t="array" aca="1" ref="O20" ca="1">INDIRECT("'※ 유통플랫폼 세부데이터'!"&amp;O$1&amp;$X20, TRUE)</f>
        <v>1353</v>
      </c>
      <c r="P20" s="2310" cm="1">
        <f t="array" aca="1" ref="P20" ca="1">INDIRECT("'※ 유통플랫폼 세부데이터'!"&amp;P$1&amp;$X20, TRUE)</f>
        <v>446</v>
      </c>
      <c r="Q20" s="2310" cm="1">
        <f t="array" aca="1" ref="Q20" ca="1">INDIRECT("'※ 유통플랫폼 세부데이터'!"&amp;Q$1&amp;$X20, TRUE)</f>
        <v>458</v>
      </c>
      <c r="R20" s="2311" cm="1">
        <f t="array" aca="1" ref="R20" ca="1">INDIRECT("'※ 유통플랫폼 세부데이터'!"&amp;R$1&amp;$X20, TRUE)</f>
        <v>-343</v>
      </c>
      <c r="S20" s="2311" cm="1">
        <f t="array" aca="1" ref="S20" ca="1">INDIRECT("'※ 유통플랫폼 세부데이터'!"&amp;S$1&amp;$X20, TRUE)</f>
        <v>-4935</v>
      </c>
      <c r="T20" s="2312" cm="1">
        <f t="array" aca="1" ref="T20" ca="1">INDIRECT("'※ 유통플랫폼 세부데이터'!"&amp;T$1&amp;$X20, TRUE)</f>
        <v>1577</v>
      </c>
      <c r="U20" s="2311" cm="1">
        <f t="array" aca="1" ref="U20" ca="1">INDIRECT("'※ 유통플랫폼 세부데이터'!"&amp;U$1&amp;$X20, TRUE)</f>
        <v>-4334</v>
      </c>
      <c r="V20" s="2313" cm="1">
        <f t="array" aca="1" ref="V20" ca="1">INDIRECT("'※ 유통플랫폼 세부데이터'!"&amp;V$1&amp;$X20, TRUE)</f>
        <v>788.5</v>
      </c>
      <c r="W20" s="2311" cm="1">
        <f t="array" aca="1" ref="W20" ca="1">INDIRECT("'※ 유통플랫폼 세부데이터'!"&amp;W$1&amp;$X20, TRUE)</f>
        <v>-327.58333333333326</v>
      </c>
      <c r="X20" s="1520">
        <f>ROW('※ 유통플랫폼 세부데이터'!J17)</f>
        <v>17</v>
      </c>
    </row>
    <row r="21" spans="2:27" ht="16" customHeight="1" x14ac:dyDescent="0.55000000000000004">
      <c r="B21" s="7378"/>
      <c r="C21" s="7369" t="s">
        <v>305</v>
      </c>
      <c r="D21" s="2314" t="s">
        <v>298</v>
      </c>
      <c r="E21" s="2315" cm="1">
        <f t="array" aca="1" ref="E21" ca="1">INDIRECT("'※ 유통플랫폼 세부데이터'!"&amp;E$1&amp;$X21, TRUE)</f>
        <v>50936</v>
      </c>
      <c r="F21" s="2316" cm="1">
        <f t="array" aca="1" ref="F21" ca="1">INDIRECT("'※ 유통플랫폼 세부데이터'!"&amp;F$1&amp;$X21, TRUE)</f>
        <v>1034</v>
      </c>
      <c r="G21" s="2317" cm="1">
        <f t="array" aca="1" ref="G21" ca="1">INDIRECT("'※ 유통플랫폼 세부데이터'!"&amp;G$1&amp;$X21, TRUE)</f>
        <v>7664</v>
      </c>
      <c r="H21" s="2317" cm="1">
        <f t="array" aca="1" ref="H21" ca="1">INDIRECT("'※ 유통플랫폼 세부데이터'!"&amp;H$1&amp;$X21, TRUE)</f>
        <v>4086</v>
      </c>
      <c r="I21" s="2318" cm="1">
        <f t="array" aca="1" ref="I21" ca="1">INDIRECT("'※ 유통플랫폼 세부데이터'!"&amp;I$1&amp;$X21, TRUE)</f>
        <v>3950</v>
      </c>
      <c r="J21" s="2319" cm="1">
        <f t="array" aca="1" ref="J21" ca="1">INDIRECT("'※ 유통플랫폼 세부데이터'!"&amp;J$1&amp;$X21, TRUE)</f>
        <v>4640</v>
      </c>
      <c r="K21" s="2319" cm="1">
        <f t="array" aca="1" ref="K21" ca="1">INDIRECT("'※ 유통플랫폼 세부데이터'!"&amp;K$1&amp;$X21, TRUE)</f>
        <v>5399</v>
      </c>
      <c r="L21" s="6501" cm="1">
        <f t="array" aca="1" ref="L21" ca="1">INDIRECT("'※ 유통플랫폼 세부데이터'!"&amp;L$1&amp;$X21, TRUE)</f>
        <v>5199</v>
      </c>
      <c r="M21" s="2319" cm="1">
        <f t="array" aca="1" ref="M21" ca="1">INDIRECT("'※ 유통플랫폼 세부데이터'!"&amp;M$1&amp;$X21, TRUE)</f>
        <v>4953</v>
      </c>
      <c r="N21" s="2319" cm="1">
        <f t="array" aca="1" ref="N21" ca="1">INDIRECT("'※ 유통플랫폼 세부데이터'!"&amp;N$1&amp;$X21, TRUE)</f>
        <v>3980</v>
      </c>
      <c r="O21" s="2319" cm="1">
        <f t="array" aca="1" ref="O21" ca="1">INDIRECT("'※ 유통플랫폼 세부데이터'!"&amp;O$1&amp;$X21, TRUE)</f>
        <v>3879</v>
      </c>
      <c r="P21" s="2319" cm="1">
        <f t="array" aca="1" ref="P21" ca="1">INDIRECT("'※ 유통플랫폼 세부데이터'!"&amp;P$1&amp;$X21, TRUE)</f>
        <v>2396</v>
      </c>
      <c r="Q21" s="2319" cm="1">
        <f t="array" aca="1" ref="Q21" ca="1">INDIRECT("'※ 유통플랫폼 세부데이터'!"&amp;Q$1&amp;$X21, TRUE)</f>
        <v>1959</v>
      </c>
      <c r="R21" s="2320" cm="1">
        <f t="array" aca="1" ref="R21" ca="1">INDIRECT("'※ 유통플랫폼 세부데이터'!"&amp;R$1&amp;$X21, TRUE)</f>
        <v>-1359</v>
      </c>
      <c r="S21" s="2320" cm="1">
        <f t="array" aca="1" ref="S21" ca="1">INDIRECT("'※ 유통플랫폼 세부데이터'!"&amp;S$1&amp;$X21, TRUE)</f>
        <v>-5744</v>
      </c>
      <c r="T21" s="2321" cm="1">
        <f t="array" aca="1" ref="T21" ca="1">INDIRECT("'※ 유통플랫폼 세부데이터'!"&amp;T$1&amp;$X21, TRUE)</f>
        <v>5199</v>
      </c>
      <c r="U21" s="2320" cm="1">
        <f t="array" aca="1" ref="U21" ca="1">INDIRECT("'※ 유통플랫폼 세부데이터'!"&amp;U$1&amp;$X21, TRUE)</f>
        <v>-3499</v>
      </c>
      <c r="V21" s="2322" cm="1">
        <f t="array" aca="1" ref="V21" ca="1">INDIRECT("'※ 유통플랫폼 세부데이터'!"&amp;V$1&amp;$X21, TRUE)</f>
        <v>2599.5</v>
      </c>
      <c r="W21" s="2320" cm="1">
        <f t="array" aca="1" ref="W21" ca="1">INDIRECT("'※ 유통플랫폼 세부데이터'!"&amp;W$1&amp;$X21, TRUE)</f>
        <v>-1645.166666666667</v>
      </c>
      <c r="X21" s="1520">
        <f>ROW('※ 유통플랫폼 세부데이터'!J18)</f>
        <v>18</v>
      </c>
    </row>
    <row r="22" spans="2:27" ht="16" customHeight="1" x14ac:dyDescent="0.55000000000000004">
      <c r="B22" s="7378"/>
      <c r="C22" s="7369"/>
      <c r="D22" s="2314" t="s">
        <v>299</v>
      </c>
      <c r="E22" s="2315" cm="1">
        <f t="array" aca="1" ref="E22" ca="1">INDIRECT("'※ 유통플랫폼 세부데이터'!"&amp;E$1&amp;$X22, TRUE)</f>
        <v>811</v>
      </c>
      <c r="F22" s="2316" cm="1">
        <f t="array" aca="1" ref="F22" ca="1">INDIRECT("'※ 유통플랫폼 세부데이터'!"&amp;F$1&amp;$X22, TRUE)</f>
        <v>0</v>
      </c>
      <c r="G22" s="2317" cm="1">
        <f t="array" aca="1" ref="G22" ca="1">INDIRECT("'※ 유통플랫폼 세부데이터'!"&amp;G$1&amp;$X22, TRUE)</f>
        <v>0</v>
      </c>
      <c r="H22" s="2317" cm="1">
        <f t="array" aca="1" ref="H22" ca="1">INDIRECT("'※ 유통플랫폼 세부데이터'!"&amp;H$1&amp;$X22, TRUE)</f>
        <v>0</v>
      </c>
      <c r="I22" s="2318" cm="1">
        <f t="array" aca="1" ref="I22" ca="1">INDIRECT("'※ 유통플랫폼 세부데이터'!"&amp;I$1&amp;$X22, TRUE)</f>
        <v>0</v>
      </c>
      <c r="J22" s="2319" cm="1">
        <f t="array" aca="1" ref="J22" ca="1">INDIRECT("'※ 유통플랫폼 세부데이터'!"&amp;J$1&amp;$X22, TRUE)</f>
        <v>0</v>
      </c>
      <c r="K22" s="2319" cm="1">
        <f t="array" aca="1" ref="K22" ca="1">INDIRECT("'※ 유통플랫폼 세부데이터'!"&amp;K$1&amp;$X22, TRUE)</f>
        <v>0</v>
      </c>
      <c r="L22" s="6501" cm="1">
        <f t="array" aca="1" ref="L22" ca="1">INDIRECT("'※ 유통플랫폼 세부데이터'!"&amp;L$1&amp;$X22, TRUE)</f>
        <v>713</v>
      </c>
      <c r="M22" s="2319" cm="1">
        <f t="array" aca="1" ref="M22" ca="1">INDIRECT("'※ 유통플랫폼 세부데이터'!"&amp;M$1&amp;$X22, TRUE)</f>
        <v>0</v>
      </c>
      <c r="N22" s="2319" cm="1">
        <f t="array" aca="1" ref="N22" ca="1">INDIRECT("'※ 유통플랫폼 세부데이터'!"&amp;N$1&amp;$X22, TRUE)</f>
        <v>616</v>
      </c>
      <c r="O22" s="2319" cm="1">
        <f t="array" aca="1" ref="O22" ca="1">INDIRECT("'※ 유통플랫폼 세부데이터'!"&amp;O$1&amp;$X22, TRUE)</f>
        <v>194</v>
      </c>
      <c r="P22" s="2319" cm="1">
        <f t="array" aca="1" ref="P22" ca="1">INDIRECT("'※ 유통플랫폼 세부데이터'!"&amp;P$1&amp;$X22, TRUE)</f>
        <v>1</v>
      </c>
      <c r="Q22" s="2319" cm="1">
        <f t="array" aca="1" ref="Q22" ca="1">INDIRECT("'※ 유통플랫폼 세부데이터'!"&amp;Q$1&amp;$X22, TRUE)</f>
        <v>0</v>
      </c>
      <c r="R22" s="2320" cm="1">
        <f t="array" aca="1" ref="R22" ca="1">INDIRECT("'※ 유통플랫폼 세부데이터'!"&amp;R$1&amp;$X22, TRUE)</f>
        <v>131</v>
      </c>
      <c r="S22" s="2320" cm="1">
        <f t="array" aca="1" ref="S22" ca="1">INDIRECT("'※ 유통플랫폼 세부데이터'!"&amp;S$1&amp;$X22, TRUE)</f>
        <v>422</v>
      </c>
      <c r="T22" s="2321" cm="1">
        <f t="array" aca="1" ref="T22" ca="1">INDIRECT("'※ 유통플랫폼 세부데이터'!"&amp;T$1&amp;$X22, TRUE)</f>
        <v>713</v>
      </c>
      <c r="U22" s="2320" cm="1">
        <f t="array" aca="1" ref="U22" ca="1">INDIRECT("'※ 유통플랫폼 세부데이터'!"&amp;U$1&amp;$X22, TRUE)</f>
        <v>713</v>
      </c>
      <c r="V22" s="2322" cm="1">
        <f t="array" aca="1" ref="V22" ca="1">INDIRECT("'※ 유통플랫폼 세부데이터'!"&amp;V$1&amp;$X22, TRUE)</f>
        <v>356.5</v>
      </c>
      <c r="W22" s="2320" cm="1">
        <f t="array" aca="1" ref="W22" ca="1">INDIRECT("'※ 유통플랫폼 세부데이터'!"&amp;W$1&amp;$X22, TRUE)</f>
        <v>282.77272727272725</v>
      </c>
      <c r="X22" s="1520">
        <f>ROW('※ 유통플랫폼 세부데이터'!J19)</f>
        <v>19</v>
      </c>
    </row>
    <row r="23" spans="2:27" ht="16" customHeight="1" x14ac:dyDescent="0.55000000000000004">
      <c r="B23" s="7378"/>
      <c r="C23" s="7369"/>
      <c r="D23" s="2323" t="s">
        <v>300</v>
      </c>
      <c r="E23" s="2324" cm="1">
        <f t="array" aca="1" ref="E23" ca="1">INDIRECT("'※ 유통플랫폼 세부데이터'!"&amp;E$1&amp;$X23, TRUE)</f>
        <v>1.567240612982395E-2</v>
      </c>
      <c r="F23" s="2325" cm="1">
        <f t="array" aca="1" ref="F23" ca="1">INDIRECT("'※ 유통플랫폼 세부데이터'!"&amp;F$1&amp;$X23, TRUE)</f>
        <v>0</v>
      </c>
      <c r="G23" s="2326" cm="1">
        <f t="array" aca="1" ref="G23" ca="1">INDIRECT("'※ 유통플랫폼 세부데이터'!"&amp;G$1&amp;$X23, TRUE)</f>
        <v>0</v>
      </c>
      <c r="H23" s="2326" cm="1">
        <f t="array" aca="1" ref="H23" ca="1">INDIRECT("'※ 유통플랫폼 세부데이터'!"&amp;H$1&amp;$X23, TRUE)</f>
        <v>0</v>
      </c>
      <c r="I23" s="2327" cm="1">
        <f t="array" aca="1" ref="I23" ca="1">INDIRECT("'※ 유통플랫폼 세부데이터'!"&amp;I$1&amp;$X23, TRUE)</f>
        <v>0</v>
      </c>
      <c r="J23" s="2327" cm="1">
        <f t="array" aca="1" ref="J23" ca="1">INDIRECT("'※ 유통플랫폼 세부데이터'!"&amp;J$1&amp;$X23, TRUE)</f>
        <v>0</v>
      </c>
      <c r="K23" s="2327" cm="1">
        <f t="array" aca="1" ref="K23" ca="1">INDIRECT("'※ 유통플랫폼 세부데이터'!"&amp;K$1&amp;$X23, TRUE)</f>
        <v>0</v>
      </c>
      <c r="L23" s="6502" cm="1">
        <f t="array" aca="1" ref="L23" ca="1">INDIRECT("'※ 유통플랫폼 세부데이터'!"&amp;L$1&amp;$X23, TRUE)</f>
        <v>0.12060216508795669</v>
      </c>
      <c r="M23" s="2327" cm="1">
        <f t="array" aca="1" ref="M23" ca="1">INDIRECT("'※ 유통플랫폼 세부데이터'!"&amp;M$1&amp;$X23, TRUE)</f>
        <v>0</v>
      </c>
      <c r="N23" s="2327" cm="1">
        <f t="array" aca="1" ref="N23" ca="1">INDIRECT("'※ 유통플랫폼 세부데이터'!"&amp;N$1&amp;$X23, TRUE)</f>
        <v>0.134029590948651</v>
      </c>
      <c r="O23" s="2327" cm="1">
        <f t="array" aca="1" ref="O23" ca="1">INDIRECT("'※ 유통플랫폼 세부데이터'!"&amp;O$1&amp;$X23, TRUE)</f>
        <v>0.05</v>
      </c>
      <c r="P23" s="2327" cm="1">
        <f t="array" aca="1" ref="P23" ca="1">INDIRECT("'※ 유통플랫폼 세부데이터'!"&amp;P$1&amp;$X23, TRUE)</f>
        <v>0</v>
      </c>
      <c r="Q23" s="2327" cm="1">
        <f t="array" aca="1" ref="Q23" ca="1">INDIRECT("'※ 유통플랫폼 세부데이터'!"&amp;Q$1&amp;$X23, TRUE)</f>
        <v>0</v>
      </c>
      <c r="R23" s="2328" cm="1">
        <f t="array" aca="1" ref="R23" ca="1">INDIRECT("'※ 유통플랫폼 세부데이터'!"&amp;R$1&amp;$X23, TRUE)</f>
        <v>9.8999999999999991E-2</v>
      </c>
      <c r="S23" s="2328" cm="1">
        <f t="array" aca="1" ref="S23" ca="1">INDIRECT("'※ 유통플랫폼 세부데이터'!"&amp;S$1&amp;$X23, TRUE)</f>
        <v>0.18</v>
      </c>
      <c r="T23" s="2329" cm="1">
        <f t="array" aca="1" ref="T23" ca="1">INDIRECT("'※ 유통플랫폼 세부데이터'!"&amp;T$1&amp;$X23, TRUE)</f>
        <v>0.12060216508795669</v>
      </c>
      <c r="U23" s="2328" cm="1">
        <f t="array" aca="1" ref="U23" ca="1">INDIRECT("'※ 유통플랫폼 세부데이터'!"&amp;U$1&amp;$X23, TRUE)</f>
        <v>0.10526636584223578</v>
      </c>
      <c r="V23" s="2330" cm="1">
        <f t="array" aca="1" ref="V23" ca="1">INDIRECT("'※ 유통플랫폼 세부데이터'!"&amp;V$1&amp;$X23, TRUE)</f>
        <v>0.12060216508795669</v>
      </c>
      <c r="W23" s="2328" cm="1">
        <f t="array" aca="1" ref="W23" ca="1">INDIRECT("'※ 유통플랫폼 세부데이터'!"&amp;W$1&amp;$X23, TRUE)</f>
        <v>0.10526636584223578</v>
      </c>
      <c r="X23" s="1520">
        <f>ROW('※ 유통플랫폼 세부데이터'!J20)</f>
        <v>20</v>
      </c>
    </row>
    <row r="24" spans="2:27" ht="16" customHeight="1" x14ac:dyDescent="0.55000000000000004">
      <c r="B24" s="7378"/>
      <c r="C24" s="7363" t="s">
        <v>306</v>
      </c>
      <c r="D24" s="1506" t="s">
        <v>301</v>
      </c>
      <c r="E24" s="2306" cm="1">
        <f t="array" aca="1" ref="E24" ca="1">INDIRECT("'※ 유통플랫폼 세부데이터'!"&amp;E$1&amp;$X24, TRUE)</f>
        <v>41077</v>
      </c>
      <c r="F24" s="2307" cm="1">
        <f t="array" aca="1" ref="F24" ca="1">INDIRECT("'※ 유통플랫폼 세부데이터'!"&amp;F$1&amp;$X24, TRUE)</f>
        <v>585</v>
      </c>
      <c r="G24" s="2308" cm="1">
        <f t="array" aca="1" ref="G24" ca="1">INDIRECT("'※ 유통플랫폼 세부데이터'!"&amp;G$1&amp;$X24, TRUE)</f>
        <v>6316</v>
      </c>
      <c r="H24" s="2308" cm="1">
        <f t="array" aca="1" ref="H24" ca="1">INDIRECT("'※ 유통플랫폼 세부데이터'!"&amp;H$1&amp;$X24, TRUE)</f>
        <v>3454</v>
      </c>
      <c r="I24" s="2309" cm="1">
        <f t="array" aca="1" ref="I24" ca="1">INDIRECT("'※ 유통플랫폼 세부데이터'!"&amp;I$1&amp;$X24, TRUE)</f>
        <v>3497</v>
      </c>
      <c r="J24" s="2310" cm="1">
        <f t="array" aca="1" ref="J24" ca="1">INDIRECT("'※ 유통플랫폼 세부데이터'!"&amp;J$1&amp;$X24, TRUE)</f>
        <v>4054</v>
      </c>
      <c r="K24" s="2310" cm="1">
        <f t="array" aca="1" ref="K24" ca="1">INDIRECT("'※ 유통플랫폼 세부데이터'!"&amp;K$1&amp;$X24, TRUE)</f>
        <v>4467</v>
      </c>
      <c r="L24" s="6500" cm="1">
        <f t="array" aca="1" ref="L24" ca="1">INDIRECT("'※ 유통플랫폼 세부데이터'!"&amp;L$1&amp;$X24, TRUE)</f>
        <v>4185</v>
      </c>
      <c r="M24" s="2310" cm="1">
        <f t="array" aca="1" ref="M24" ca="1">INDIRECT("'※ 유통플랫폼 세부데이터'!"&amp;M$1&amp;$X24, TRUE)</f>
        <v>4058</v>
      </c>
      <c r="N24" s="2310" cm="1">
        <f t="array" aca="1" ref="N24" ca="1">INDIRECT("'※ 유통플랫폼 세부데이터'!"&amp;N$1&amp;$X24, TRUE)</f>
        <v>3079</v>
      </c>
      <c r="O24" s="2310" cm="1">
        <f t="array" aca="1" ref="O24" ca="1">INDIRECT("'※ 유통플랫폼 세부데이터'!"&amp;O$1&amp;$X24, TRUE)</f>
        <v>2894</v>
      </c>
      <c r="P24" s="2310" cm="1">
        <f t="array" aca="1" ref="P24" ca="1">INDIRECT("'※ 유통플랫폼 세부데이터'!"&amp;P$1&amp;$X24, TRUE)</f>
        <v>1973</v>
      </c>
      <c r="Q24" s="2310" cm="1">
        <f t="array" aca="1" ref="Q24" ca="1">INDIRECT("'※ 유통플랫폼 세부데이터'!"&amp;Q$1&amp;$X24, TRUE)</f>
        <v>1669</v>
      </c>
      <c r="R24" s="2331" cm="1">
        <f t="array" aca="1" ref="R24" ca="1">INDIRECT("'※ 유통플랫폼 세부데이터'!"&amp;R$1&amp;$X24, TRUE)</f>
        <v>-803</v>
      </c>
      <c r="S24" s="2331" cm="1">
        <f t="array" aca="1" ref="S24" ca="1">INDIRECT("'※ 유통플랫폼 세부데이터'!"&amp;S$1&amp;$X24, TRUE)</f>
        <v>-4625</v>
      </c>
      <c r="T24" s="2312" cm="1">
        <f t="array" aca="1" ref="T24" ca="1">INDIRECT("'※ 유통플랫폼 세부데이터'!"&amp;T$1&amp;$X24, TRUE)</f>
        <v>4185</v>
      </c>
      <c r="U24" s="2331" cm="1">
        <f t="array" aca="1" ref="U24" ca="1">INDIRECT("'※ 유통플랫폼 세부데이터'!"&amp;U$1&amp;$X24, TRUE)</f>
        <v>-2716</v>
      </c>
      <c r="V24" s="2313" cm="1">
        <f t="array" aca="1" ref="V24" ca="1">INDIRECT("'※ 유통플랫폼 세부데이터'!"&amp;V$1&amp;$X24, TRUE)</f>
        <v>2092.5</v>
      </c>
      <c r="W24" s="2331" cm="1">
        <f t="array" aca="1" ref="W24" ca="1">INDIRECT("'※ 유통플랫폼 세부데이터'!"&amp;W$1&amp;$X24, TRUE)</f>
        <v>-1330.5833333333335</v>
      </c>
      <c r="X24" s="1520">
        <f>ROW('※ 유통플랫폼 세부데이터'!J21)</f>
        <v>21</v>
      </c>
    </row>
    <row r="25" spans="2:27" ht="16" customHeight="1" x14ac:dyDescent="0.55000000000000004">
      <c r="B25" s="7378"/>
      <c r="C25" s="7363"/>
      <c r="D25" s="1506" t="s">
        <v>302</v>
      </c>
      <c r="E25" s="2306" cm="1">
        <f t="array" aca="1" ref="E25" ca="1">INDIRECT("'※ 유통플랫폼 세부데이터'!"&amp;E$1&amp;$X25, TRUE)</f>
        <v>8539</v>
      </c>
      <c r="F25" s="2307" cm="1">
        <f t="array" aca="1" ref="F25" ca="1">INDIRECT("'※ 유통플랫폼 세부데이터'!"&amp;F$1&amp;$X25, TRUE)</f>
        <v>224</v>
      </c>
      <c r="G25" s="2308" cm="1">
        <f t="array" aca="1" ref="G25" ca="1">INDIRECT("'※ 유통플랫폼 세부데이터'!"&amp;G$1&amp;$X25, TRUE)</f>
        <v>1124</v>
      </c>
      <c r="H25" s="2308" cm="1">
        <f t="array" aca="1" ref="H25" ca="1">INDIRECT("'※ 유통플랫폼 세부데이터'!"&amp;H$1&amp;$X25, TRUE)</f>
        <v>582</v>
      </c>
      <c r="I25" s="2309" cm="1">
        <f t="array" aca="1" ref="I25" ca="1">INDIRECT("'※ 유통플랫폼 세부데이터'!"&amp;I$1&amp;$X25, TRUE)</f>
        <v>420</v>
      </c>
      <c r="J25" s="2310" cm="1">
        <f t="array" aca="1" ref="J25" ca="1">INDIRECT("'※ 유통플랫폼 세부데이터'!"&amp;J$1&amp;$X25, TRUE)</f>
        <v>568</v>
      </c>
      <c r="K25" s="2310" cm="1">
        <f t="array" aca="1" ref="K25" ca="1">INDIRECT("'※ 유통플랫폼 세부데이터'!"&amp;K$1&amp;$X25, TRUE)</f>
        <v>879</v>
      </c>
      <c r="L25" s="6500" cm="1">
        <f t="array" aca="1" ref="L25" ca="1">INDIRECT("'※ 유통플랫폼 세부데이터'!"&amp;L$1&amp;$X25, TRUE)</f>
        <v>1358</v>
      </c>
      <c r="M25" s="2310" cm="1">
        <f t="array" aca="1" ref="M25" ca="1">INDIRECT("'※ 유통플랫폼 세부데이터'!"&amp;M$1&amp;$X25, TRUE)</f>
        <v>697</v>
      </c>
      <c r="N25" s="2310" cm="1">
        <f t="array" aca="1" ref="N25" ca="1">INDIRECT("'※ 유통플랫폼 세부데이터'!"&amp;N$1&amp;$X25, TRUE)</f>
        <v>985</v>
      </c>
      <c r="O25" s="2310" cm="1">
        <f t="array" aca="1" ref="O25" ca="1">INDIRECT("'※ 유통플랫폼 세부데이터'!"&amp;O$1&amp;$X25, TRUE)</f>
        <v>879</v>
      </c>
      <c r="P25" s="2310" cm="1">
        <f t="array" aca="1" ref="P25" ca="1">INDIRECT("'※ 유통플랫폼 세부데이터'!"&amp;P$1&amp;$X25, TRUE)</f>
        <v>379</v>
      </c>
      <c r="Q25" s="2310" cm="1">
        <f t="array" aca="1" ref="Q25" ca="1">INDIRECT("'※ 유통플랫폼 세부데이터'!"&amp;Q$1&amp;$X25, TRUE)</f>
        <v>238</v>
      </c>
      <c r="R25" s="2331" cm="1">
        <f t="array" aca="1" ref="R25" ca="1">INDIRECT("'※ 유통플랫폼 세부데이터'!"&amp;R$1&amp;$X25, TRUE)</f>
        <v>-382</v>
      </c>
      <c r="S25" s="2331" cm="1">
        <f t="array" aca="1" ref="S25" ca="1">INDIRECT("'※ 유통플랫폼 세부데이터'!"&amp;S$1&amp;$X25, TRUE)</f>
        <v>-636</v>
      </c>
      <c r="T25" s="2312" cm="1">
        <f t="array" aca="1" ref="T25" ca="1">INDIRECT("'※ 유통플랫폼 세부데이터'!"&amp;T$1&amp;$X25, TRUE)</f>
        <v>1358</v>
      </c>
      <c r="U25" s="2331" cm="1">
        <f t="array" aca="1" ref="U25" ca="1">INDIRECT("'※ 유통플랫폼 세부데이터'!"&amp;U$1&amp;$X25, TRUE)</f>
        <v>10</v>
      </c>
      <c r="V25" s="2313" cm="1">
        <f t="array" aca="1" ref="V25" ca="1">INDIRECT("'※ 유통플랫폼 세부데이터'!"&amp;V$1&amp;$X25, TRUE)</f>
        <v>679</v>
      </c>
      <c r="W25" s="2331" cm="1">
        <f t="array" aca="1" ref="W25" ca="1">INDIRECT("'※ 유통플랫폼 세부데이터'!"&amp;W$1&amp;$X25, TRUE)</f>
        <v>-32.583333333333371</v>
      </c>
      <c r="X25" s="1520">
        <f>ROW('※ 유통플랫폼 세부데이터'!J22)</f>
        <v>22</v>
      </c>
    </row>
    <row r="26" spans="2:27" ht="16" customHeight="1" x14ac:dyDescent="0.55000000000000004">
      <c r="B26" s="7378"/>
      <c r="C26" s="7363"/>
      <c r="D26" s="1506" t="s">
        <v>303</v>
      </c>
      <c r="E26" s="2306" cm="1">
        <f t="array" aca="1" ref="E26" ca="1">INDIRECT("'※ 유통플랫폼 세부데이터'!"&amp;E$1&amp;$X26, TRUE)</f>
        <v>2130</v>
      </c>
      <c r="F26" s="2307" cm="1">
        <f t="array" aca="1" ref="F26" ca="1">INDIRECT("'※ 유통플랫폼 세부데이터'!"&amp;F$1&amp;$X26, TRUE)</f>
        <v>224</v>
      </c>
      <c r="G26" s="2308" cm="1">
        <f t="array" aca="1" ref="G26" ca="1">INDIRECT("'※ 유통플랫폼 세부데이터'!"&amp;G$1&amp;$X26, TRUE)</f>
        <v>224</v>
      </c>
      <c r="H26" s="2308" cm="1">
        <f t="array" aca="1" ref="H26" ca="1">INDIRECT("'※ 유통플랫폼 세부데이터'!"&amp;H$1&amp;$X26, TRUE)</f>
        <v>50</v>
      </c>
      <c r="I26" s="2309" cm="1">
        <f t="array" aca="1" ref="I26" ca="1">INDIRECT("'※ 유통플랫폼 세부데이터'!"&amp;I$1&amp;$X26, TRUE)</f>
        <v>33</v>
      </c>
      <c r="J26" s="2310" cm="1">
        <f t="array" aca="1" ref="J26" ca="1">INDIRECT("'※ 유통플랫폼 세부데이터'!"&amp;J$1&amp;$X26, TRUE)</f>
        <v>18</v>
      </c>
      <c r="K26" s="2310" cm="1">
        <f t="array" aca="1" ref="K26" ca="1">INDIRECT("'※ 유통플랫폼 세부데이터'!"&amp;K$1&amp;$X26, TRUE)</f>
        <v>53</v>
      </c>
      <c r="L26" s="6500" cm="1">
        <f t="array" aca="1" ref="L26" ca="1">INDIRECT("'※ 유통플랫폼 세부데이터'!"&amp;L$1&amp;$X26, TRUE)</f>
        <v>369</v>
      </c>
      <c r="M26" s="2310" cm="1">
        <f t="array" aca="1" ref="M26" ca="1">INDIRECT("'※ 유통플랫폼 세부데이터'!"&amp;M$1&amp;$X26, TRUE)</f>
        <v>198</v>
      </c>
      <c r="N26" s="2310" cm="1">
        <f t="array" aca="1" ref="N26" ca="1">INDIRECT("'※ 유통플랫폼 세부데이터'!"&amp;N$1&amp;$X26, TRUE)</f>
        <v>532</v>
      </c>
      <c r="O26" s="2310" cm="1">
        <f t="array" aca="1" ref="O26" ca="1">INDIRECT("'※ 유통플랫폼 세부데이터'!"&amp;O$1&amp;$X26, TRUE)</f>
        <v>300</v>
      </c>
      <c r="P26" s="2310" cm="1">
        <f t="array" aca="1" ref="P26" ca="1">INDIRECT("'※ 유통플랫폼 세부데이터'!"&amp;P$1&amp;$X26, TRUE)</f>
        <v>45</v>
      </c>
      <c r="Q26" s="2310" cm="1">
        <f t="array" aca="1" ref="Q26" ca="1">INDIRECT("'※ 유통플랫폼 세부데이터'!"&amp;Q$1&amp;$X26, TRUE)</f>
        <v>52</v>
      </c>
      <c r="R26" s="2331" cm="1">
        <f t="array" aca="1" ref="R26" ca="1">INDIRECT("'※ 유통플랫폼 세부데이터'!"&amp;R$1&amp;$X26, TRUE)</f>
        <v>-43</v>
      </c>
      <c r="S26" s="2331" cm="1">
        <f t="array" aca="1" ref="S26" ca="1">INDIRECT("'※ 유통플랫폼 세부데이터'!"&amp;S$1&amp;$X26, TRUE)</f>
        <v>-61</v>
      </c>
      <c r="T26" s="2312" cm="1">
        <f t="array" aca="1" ref="T26" ca="1">INDIRECT("'※ 유통플랫폼 세부데이터'!"&amp;T$1&amp;$X26, TRUE)</f>
        <v>369</v>
      </c>
      <c r="U26" s="2331" cm="1">
        <f t="array" aca="1" ref="U26" ca="1">INDIRECT("'※ 유통플랫폼 세부데이터'!"&amp;U$1&amp;$X26, TRUE)</f>
        <v>-79</v>
      </c>
      <c r="V26" s="2313" cm="1">
        <f t="array" aca="1" ref="V26" ca="1">INDIRECT("'※ 유통플랫폼 세부데이터'!"&amp;V$1&amp;$X26, TRUE)</f>
        <v>184.5</v>
      </c>
      <c r="W26" s="2331" cm="1">
        <f t="array" aca="1" ref="W26" ca="1">INDIRECT("'※ 유통플랫폼 세부데이터'!"&amp;W$1&amp;$X26, TRUE)</f>
        <v>7</v>
      </c>
      <c r="X26" s="1520">
        <f>ROW('※ 유통플랫폼 세부데이터'!J23)</f>
        <v>23</v>
      </c>
    </row>
    <row r="27" spans="2:27" ht="16" customHeight="1" x14ac:dyDescent="0.55000000000000004">
      <c r="B27" s="7378"/>
      <c r="C27" s="7370"/>
      <c r="D27" s="2332" t="s">
        <v>307</v>
      </c>
      <c r="E27" s="2333" cm="1">
        <f t="array" aca="1" ref="E27" ca="1">INDIRECT("'※ 유통플랫폼 세부데이터'!"&amp;E$1&amp;$X27, TRUE)</f>
        <v>4.1162601940246589E-2</v>
      </c>
      <c r="F27" s="2334" cm="1">
        <f t="array" aca="1" ref="F27" ca="1">INDIRECT("'※ 유통플랫폼 세부데이터'!"&amp;F$1&amp;$X27, TRUE)</f>
        <v>0.21684414327202323</v>
      </c>
      <c r="G27" s="2335" cm="1">
        <f t="array" aca="1" ref="G27" ca="1">INDIRECT("'※ 유통플랫폼 세부데이터'!"&amp;G$1&amp;$X27, TRUE)</f>
        <v>0.03</v>
      </c>
      <c r="H27" s="2335" cm="1">
        <f t="array" aca="1" ref="H27" ca="1">INDIRECT("'※ 유통플랫폼 세부데이터'!"&amp;H$1&amp;$X27, TRUE)</f>
        <v>1.2236906510034264E-2</v>
      </c>
      <c r="I27" s="2336" cm="1">
        <f t="array" aca="1" ref="I27" ca="1">INDIRECT("'※ 유통플랫폼 세부데이터'!"&amp;I$1&amp;$X27, TRUE)</f>
        <v>8.3544303797468359E-3</v>
      </c>
      <c r="J27" s="2336" cm="1">
        <f t="array" aca="1" ref="J27" ca="1">INDIRECT("'※ 유통플랫폼 세부데이터'!"&amp;J$1&amp;$X27, TRUE)</f>
        <v>4.0000000000000001E-3</v>
      </c>
      <c r="K27" s="2336" cm="1">
        <f t="array" aca="1" ref="K27" ca="1">INDIRECT("'※ 유통플랫폼 세부데이터'!"&amp;K$1&amp;$X27, TRUE)</f>
        <v>9.8166327097610664E-3</v>
      </c>
      <c r="L27" s="6503" cm="1">
        <f t="array" aca="1" ref="L27" ca="1">INDIRECT("'※ 유통플랫폼 세부데이터'!"&amp;L$1&amp;$X27, TRUE)</f>
        <v>6.2415426251691476E-2</v>
      </c>
      <c r="M27" s="2336" cm="1">
        <f t="array" aca="1" ref="M27" ca="1">INDIRECT("'※ 유통플랫폼 세부데이터'!"&amp;M$1&amp;$X27, TRUE)</f>
        <v>0.04</v>
      </c>
      <c r="N27" s="2336" cm="1">
        <f t="array" aca="1" ref="N27" ca="1">INDIRECT("'※ 유통플랫폼 세부데이터'!"&amp;N$1&amp;$X27, TRUE)</f>
        <v>0.11600000000000001</v>
      </c>
      <c r="O27" s="2336" cm="1">
        <f t="array" aca="1" ref="O27" ca="1">INDIRECT("'※ 유통플랫폼 세부데이터'!"&amp;O$1&amp;$X27, TRUE)</f>
        <v>7.3999999999999996E-2</v>
      </c>
      <c r="P27" s="2336" cm="1">
        <f t="array" aca="1" ref="P27" ca="1">INDIRECT("'※ 유통플랫폼 세부데이터'!"&amp;P$1&amp;$X27, TRUE)</f>
        <v>1.9E-2</v>
      </c>
      <c r="Q27" s="2336" cm="1">
        <f t="array" aca="1" ref="Q27" ca="1">INDIRECT("'※ 유통플랫폼 세부데이터'!"&amp;Q$1&amp;$X27, TRUE)</f>
        <v>2.7E-2</v>
      </c>
      <c r="R27" s="2337" cm="1">
        <f t="array" aca="1" ref="R27" ca="1">INDIRECT("'※ 유통플랫폼 세부데이터'!"&amp;R$1&amp;$X27, TRUE)</f>
        <v>1.3000000000000005E-2</v>
      </c>
      <c r="S27" s="2337" cm="1">
        <f t="array" aca="1" ref="S27" ca="1">INDIRECT("'※ 유통플랫폼 세부데이터'!"&amp;S$1&amp;$X27, TRUE)</f>
        <v>4.0000000000000008E-2</v>
      </c>
      <c r="T27" s="2338" cm="1">
        <f t="array" aca="1" ref="T27" ca="1">INDIRECT("'※ 유통플랫폼 세부데이터'!"&amp;T$1&amp;$X27, TRUE)</f>
        <v>6.2415426251691476E-2</v>
      </c>
      <c r="U27" s="2337" cm="1">
        <f t="array" aca="1" ref="U27" ca="1">INDIRECT("'※ 유통플랫폼 세부데이터'!"&amp;U$1&amp;$X27, TRUE)</f>
        <v>1.1227750179061032E-2</v>
      </c>
      <c r="V27" s="2339" cm="1">
        <f t="array" aca="1" ref="V27" ca="1">INDIRECT("'※ 유통플랫폼 세부데이터'!"&amp;V$1&amp;$X27, TRUE)</f>
        <v>6.2415426251691476E-2</v>
      </c>
      <c r="W27" s="2337" cm="1">
        <f t="array" aca="1" ref="W27" ca="1">INDIRECT("'※ 유통플랫폼 세부데이터'!"&amp;W$1&amp;$X27, TRUE)</f>
        <v>1.1227750179061032E-2</v>
      </c>
      <c r="X27" s="1520">
        <f>ROW('※ 유통플랫폼 세부데이터'!J24)</f>
        <v>24</v>
      </c>
      <c r="Y27" s="2340"/>
      <c r="Z27" s="2340"/>
      <c r="AA27" s="2340"/>
    </row>
    <row r="28" spans="2:27" ht="16" customHeight="1" x14ac:dyDescent="0.55000000000000004">
      <c r="B28" s="7378"/>
      <c r="C28" s="7371" t="s">
        <v>291</v>
      </c>
      <c r="D28" s="2341" t="s">
        <v>292</v>
      </c>
      <c r="E28" s="2342" cm="1">
        <f t="array" aca="1" ref="E28" ca="1">INDIRECT("'※ 유통플랫폼 세부데이터'!"&amp;E$1&amp;$X28, TRUE)</f>
        <v>48505</v>
      </c>
      <c r="F28" s="2343" cm="1">
        <f t="array" aca="1" ref="F28" ca="1">INDIRECT("'※ 유통플랫폼 세부데이터'!"&amp;F$1&amp;$X28, TRUE)</f>
        <v>2605</v>
      </c>
      <c r="G28" s="2344" cm="1">
        <f t="array" aca="1" ref="G28" ca="1">INDIRECT("'※ 유통플랫폼 세부데이터'!"&amp;G$1&amp;$X28, TRUE)</f>
        <v>4093</v>
      </c>
      <c r="H28" s="2344" cm="1">
        <f t="array" aca="1" ref="H28" ca="1">INDIRECT("'※ 유통플랫폼 세부데이터'!"&amp;H$1&amp;$X28, TRUE)</f>
        <v>1616</v>
      </c>
      <c r="I28" s="2345" cm="1">
        <f t="array" aca="1" ref="I28" ca="1">INDIRECT("'※ 유통플랫폼 세부데이터'!"&amp;I$1&amp;$X28, TRUE)</f>
        <v>5333</v>
      </c>
      <c r="J28" s="2346" cm="1">
        <f t="array" aca="1" ref="J28" ca="1">INDIRECT("'※ 유통플랫폼 세부데이터'!"&amp;J$1&amp;$X28, TRUE)</f>
        <v>1579</v>
      </c>
      <c r="K28" s="2346" cm="1">
        <f t="array" aca="1" ref="K28" ca="1">INDIRECT("'※ 유통플랫폼 세부데이터'!"&amp;K$1&amp;$X28, TRUE)</f>
        <v>3074</v>
      </c>
      <c r="L28" s="6504" cm="1">
        <f t="array" aca="1" ref="L28" ca="1">INDIRECT("'※ 유통플랫폼 세부데이터'!"&amp;L$1&amp;$X28, TRUE)</f>
        <v>3000</v>
      </c>
      <c r="M28" s="2346" cm="1">
        <f t="array" aca="1" ref="M28" ca="1">INDIRECT("'※ 유통플랫폼 세부데이터'!"&amp;M$1&amp;$X28, TRUE)</f>
        <v>3958</v>
      </c>
      <c r="N28" s="2346" cm="1">
        <f t="array" aca="1" ref="N28" ca="1">INDIRECT("'※ 유통플랫폼 세부데이터'!"&amp;N$1&amp;$X28, TRUE)</f>
        <v>7538</v>
      </c>
      <c r="O28" s="2346" cm="1">
        <f t="array" aca="1" ref="O28" ca="1">INDIRECT("'※ 유통플랫폼 세부데이터'!"&amp;O$1&amp;$X28, TRUE)</f>
        <v>2781</v>
      </c>
      <c r="P28" s="2346" cm="1">
        <f t="array" aca="1" ref="P28" ca="1">INDIRECT("'※ 유통플랫폼 세부데이터'!"&amp;P$1&amp;$X28, TRUE)</f>
        <v>4171</v>
      </c>
      <c r="Q28" s="2346" cm="1">
        <f t="array" aca="1" ref="Q28" ca="1">INDIRECT("'※ 유통플랫폼 세부데이터'!"&amp;Q$1&amp;$X28, TRUE)</f>
        <v>2087</v>
      </c>
      <c r="R28" s="2347" cm="1">
        <f t="array" aca="1" ref="R28" ca="1">INDIRECT("'※ 유통플랫폼 세부데이터'!"&amp;R$1&amp;$X28, TRUE)</f>
        <v>1000</v>
      </c>
      <c r="S28" s="2347" cm="1">
        <f t="array" aca="1" ref="S28" ca="1">INDIRECT("'※ 유통플랫폼 세부데이터'!"&amp;S$1&amp;$X28, TRUE)</f>
        <v>-2093</v>
      </c>
      <c r="T28" s="2348" cm="1">
        <f t="array" aca="1" ref="T28" ca="1">INDIRECT("'※ 유통플랫폼 세부데이터'!"&amp;T$1&amp;$X28, TRUE)</f>
        <v>3000</v>
      </c>
      <c r="U28" s="2347" cm="1">
        <f t="array" aca="1" ref="U28" ca="1">INDIRECT("'※ 유통플랫폼 세부데이터'!"&amp;U$1&amp;$X28, TRUE)</f>
        <v>-3698</v>
      </c>
      <c r="V28" s="2349" cm="1">
        <f t="array" aca="1" ref="V28" ca="1">INDIRECT("'※ 유통플랫폼 세부데이터'!"&amp;V$1&amp;$X28, TRUE)</f>
        <v>1500</v>
      </c>
      <c r="W28" s="2347" cm="1">
        <f t="array" aca="1" ref="W28" ca="1">INDIRECT("'※ 유통플랫폼 세부데이터'!"&amp;W$1&amp;$X28, TRUE)</f>
        <v>-2542.0833333333335</v>
      </c>
      <c r="X28" s="1520">
        <f>ROW('※ 유통플랫폼 세부데이터'!J25)</f>
        <v>25</v>
      </c>
    </row>
    <row r="29" spans="2:27" ht="16" customHeight="1" x14ac:dyDescent="0.55000000000000004">
      <c r="B29" s="7378"/>
      <c r="C29" s="7364"/>
      <c r="D29" s="2262" t="s">
        <v>1097</v>
      </c>
      <c r="E29" s="2350" cm="1">
        <f t="array" aca="1" ref="E29" ca="1">INDIRECT("'※ 유통플랫폼 세부데이터'!"&amp;E$1&amp;$X29, TRUE)</f>
        <v>93.2</v>
      </c>
      <c r="F29" s="2351" cm="1">
        <f t="array" aca="1" ref="F29" ca="1">INDIRECT("'※ 유통플랫폼 세부데이터'!"&amp;F$1&amp;$X29, TRUE)</f>
        <v>5.0999999999999996</v>
      </c>
      <c r="G29" s="2352" cm="1">
        <f t="array" aca="1" ref="G29" ca="1">INDIRECT("'※ 유통플랫폼 세부데이터'!"&amp;G$1&amp;$X29, TRUE)</f>
        <v>4.5</v>
      </c>
      <c r="H29" s="2352" cm="1">
        <f t="array" aca="1" ref="H29" ca="1">INDIRECT("'※ 유통플랫폼 세부데이터'!"&amp;H$1&amp;$X29, TRUE)</f>
        <v>4.4000000000000004</v>
      </c>
      <c r="I29" s="2352" cm="1">
        <f t="array" aca="1" ref="I29" ca="1">INDIRECT("'※ 유통플랫폼 세부데이터'!"&amp;I$1&amp;$X29, TRUE)</f>
        <v>8.5</v>
      </c>
      <c r="J29" s="2352" cm="1">
        <f t="array" aca="1" ref="J29" ca="1">INDIRECT("'※ 유통플랫폼 세부데이터'!"&amp;J$1&amp;$X29, TRUE)</f>
        <v>2.5</v>
      </c>
      <c r="K29" s="2352" cm="1">
        <f t="array" aca="1" ref="K29" ca="1">INDIRECT("'※ 유통플랫폼 세부데이터'!"&amp;K$1&amp;$X29, TRUE)</f>
        <v>4.4000000000000004</v>
      </c>
      <c r="L29" s="6505" cm="1">
        <f t="array" aca="1" ref="L29" ca="1">INDIRECT("'※ 유통플랫폼 세부데이터'!"&amp;L$1&amp;$X29, TRUE)</f>
        <v>8.3000000000000007</v>
      </c>
      <c r="M29" s="2352" cm="1">
        <f t="array" aca="1" ref="M29" ca="1">INDIRECT("'※ 유통플랫폼 세부데이터'!"&amp;M$1&amp;$X29, TRUE)</f>
        <v>11.9</v>
      </c>
      <c r="N29" s="2352" cm="1">
        <f t="array" aca="1" ref="N29" ca="1">INDIRECT("'※ 유통플랫폼 세부데이터'!"&amp;N$1&amp;$X29, TRUE)</f>
        <v>13.5</v>
      </c>
      <c r="O29" s="2352" cm="1">
        <f t="array" aca="1" ref="O29" ca="1">INDIRECT("'※ 유통플랫폼 세부데이터'!"&amp;O$1&amp;$X29, TRUE)</f>
        <v>8.6</v>
      </c>
      <c r="P29" s="2352" cm="1">
        <f t="array" aca="1" ref="P29" ca="1">INDIRECT("'※ 유통플랫폼 세부데이터'!"&amp;P$1&amp;$X29, TRUE)</f>
        <v>13.7</v>
      </c>
      <c r="Q29" s="2352" cm="1">
        <f t="array" aca="1" ref="Q29" ca="1">INDIRECT("'※ 유통플랫폼 세부데이터'!"&amp;Q$1&amp;$X29, TRUE)</f>
        <v>4.5</v>
      </c>
      <c r="R29" s="2294" cm="1">
        <f t="array" aca="1" ref="R29" ca="1">INDIRECT("'※ 유통플랫폼 세부데이터'!"&amp;R$1&amp;$X29, TRUE)</f>
        <v>2.7</v>
      </c>
      <c r="S29" s="2294" cm="1">
        <f t="array" aca="1" ref="S29" ca="1">INDIRECT("'※ 유통플랫폼 세부데이터'!"&amp;S$1&amp;$X29, TRUE)</f>
        <v>1</v>
      </c>
      <c r="T29" s="2295" cm="1">
        <f t="array" aca="1" ref="T29" ca="1">INDIRECT("'※ 유통플랫폼 세부데이터'!"&amp;T$1&amp;$X29, TRUE)</f>
        <v>8.3000000000000007</v>
      </c>
      <c r="U29" s="2294" cm="1">
        <f t="array" aca="1" ref="U29" ca="1">INDIRECT("'※ 유통플랫폼 세부데이터'!"&amp;U$1&amp;$X29, TRUE)</f>
        <v>-1.2999999999999989</v>
      </c>
      <c r="V29" s="2296" cm="1">
        <f t="array" aca="1" ref="V29" ca="1">INDIRECT("'※ 유통플랫폼 세부데이터'!"&amp;V$1&amp;$X29, TRUE)</f>
        <v>4.1500000000000004</v>
      </c>
      <c r="W29" s="2294" cm="1">
        <f t="array" aca="1" ref="W29" ca="1">INDIRECT("'※ 유통플랫폼 세부데이터'!"&amp;W$1&amp;$X29, TRUE)</f>
        <v>-3.6166666666666663</v>
      </c>
      <c r="X29" s="1520">
        <f>ROW('※ 유통플랫폼 세부데이터'!J26)</f>
        <v>26</v>
      </c>
    </row>
    <row r="30" spans="2:27" ht="16" customHeight="1" x14ac:dyDescent="0.55000000000000004">
      <c r="B30" s="7378"/>
      <c r="C30" s="7364"/>
      <c r="D30" s="2262" t="s">
        <v>293</v>
      </c>
      <c r="E30" s="2353" cm="1">
        <f t="array" aca="1" ref="E30" ca="1">INDIRECT("'※ 유통플랫폼 세부데이터'!"&amp;E$1&amp;$X30, TRUE)</f>
        <v>2376102.091619839</v>
      </c>
      <c r="F30" s="2284" cm="1">
        <f t="array" aca="1" ref="F30" ca="1">INDIRECT("'※ 유통플랫폼 세부데이터'!"&amp;F$1&amp;$X30, TRUE)</f>
        <v>197576</v>
      </c>
      <c r="G30" s="2285" cm="1">
        <f t="array" aca="1" ref="G30" ca="1">INDIRECT("'※ 유통플랫폼 세부데이터'!"&amp;G$1&amp;$X30, TRUE)</f>
        <v>111747.54580991938</v>
      </c>
      <c r="H30" s="2285" cm="1">
        <f t="array" aca="1" ref="H30" ca="1">INDIRECT("'※ 유통플랫폼 세부데이터'!"&amp;H$1&amp;$X30, TRUE)</f>
        <v>111747.54580991938</v>
      </c>
      <c r="I30" s="2286" cm="1">
        <f t="array" aca="1" ref="I30" ca="1">INDIRECT("'※ 유통플랫폼 세부데이터'!"&amp;I$1&amp;$X30, TRUE)</f>
        <v>159387</v>
      </c>
      <c r="J30" s="2287" cm="1">
        <f t="array" aca="1" ref="J30" ca="1">INDIRECT("'※ 유통플랫폼 세부데이터'!"&amp;J$1&amp;$X30, TRUE)</f>
        <v>159692</v>
      </c>
      <c r="K30" s="2287" cm="1">
        <f t="array" aca="1" ref="K30" ca="1">INDIRECT("'※ 유통플랫폼 세부데이터'!"&amp;K$1&amp;$X30, TRUE)</f>
        <v>144357</v>
      </c>
      <c r="L30" s="6506" cm="1">
        <f t="array" aca="1" ref="L30" ca="1">INDIRECT("'※ 유통플랫폼 세부데이터'!"&amp;L$1&amp;$X30, TRUE)</f>
        <v>561697</v>
      </c>
      <c r="M30" s="2287" cm="1">
        <f t="array" aca="1" ref="M30" ca="1">INDIRECT("'※ 유통플랫폼 세부데이터'!"&amp;M$1&amp;$X30, TRUE)</f>
        <v>331876</v>
      </c>
      <c r="N30" s="2287" cm="1">
        <f t="array" aca="1" ref="N30" ca="1">INDIRECT("'※ 유통플랫폼 세부데이터'!"&amp;N$1&amp;$X30, TRUE)</f>
        <v>180392</v>
      </c>
      <c r="O30" s="2287" cm="1">
        <f t="array" aca="1" ref="O30" ca="1">INDIRECT("'※ 유통플랫폼 세부데이터'!"&amp;O$1&amp;$X30, TRUE)</f>
        <v>311638</v>
      </c>
      <c r="P30" s="2287" cm="1">
        <f t="array" aca="1" ref="P30" ca="1">INDIRECT("'※ 유통플랫폼 세부데이터'!"&amp;P$1&amp;$X30, TRUE)</f>
        <v>330230</v>
      </c>
      <c r="Q30" s="2287" cm="1">
        <f t="array" aca="1" ref="Q30" ca="1">INDIRECT("'※ 유통플랫폼 세부데이터'!"&amp;Q$1&amp;$X30, TRUE)</f>
        <v>217696</v>
      </c>
      <c r="R30" s="2288" cm="1">
        <f t="array" aca="1" ref="R30" ca="1">INDIRECT("'※ 유통플랫폼 세부데이터'!"&amp;R$1&amp;$X30, TRUE)</f>
        <v>-10693</v>
      </c>
      <c r="S30" s="2288" cm="1">
        <f t="array" aca="1" ref="S30" ca="1">INDIRECT("'※ 유통플랫폼 세부데이터'!"&amp;S$1&amp;$X30, TRUE)</f>
        <v>163754.45419008064</v>
      </c>
      <c r="T30" s="2289" cm="1">
        <f t="array" aca="1" ref="T30" ca="1">INDIRECT("'※ 유통플랫폼 세부데이터'!"&amp;T$1&amp;$X30, TRUE)</f>
        <v>561697</v>
      </c>
      <c r="U30" s="2288" cm="1">
        <f t="array" aca="1" ref="U30" ca="1">INDIRECT("'※ 유통플랫폼 세부데이터'!"&amp;U$1&amp;$X30, TRUE)</f>
        <v>252373.45419008064</v>
      </c>
      <c r="V30" s="2290" cm="1">
        <f t="array" aca="1" ref="V30" ca="1">INDIRECT("'※ 유통플랫폼 세부데이터'!"&amp;V$1&amp;$X30, TRUE)</f>
        <v>280848.5</v>
      </c>
      <c r="W30" s="2288" cm="1">
        <f t="array" aca="1" ref="W30" ca="1">INDIRECT("'※ 유통플랫폼 세부데이터'!"&amp;W$1&amp;$X30, TRUE)</f>
        <v>82839.99236501343</v>
      </c>
      <c r="X30" s="1520">
        <f>ROW('※ 유통플랫폼 세부데이터'!J27)</f>
        <v>27</v>
      </c>
    </row>
    <row r="31" spans="2:27" ht="16" customHeight="1" thickBot="1" x14ac:dyDescent="0.6">
      <c r="B31" s="7379"/>
      <c r="C31" s="7372"/>
      <c r="D31" s="2354" t="s">
        <v>1099</v>
      </c>
      <c r="E31" s="2355" cm="1">
        <f t="array" aca="1" ref="E31" ca="1">INDIRECT("'※ 유통플랫폼 세부데이터'!"&amp;E$1&amp;$X31, TRUE)</f>
        <v>13.1</v>
      </c>
      <c r="F31" s="2356" cm="1">
        <f t="array" aca="1" ref="F31" ca="1">INDIRECT("'※ 유통플랫폼 세부데이터'!"&amp;F$1&amp;$X31, TRUE)</f>
        <v>1.4</v>
      </c>
      <c r="G31" s="2357" cm="1">
        <f t="array" aca="1" ref="G31" ca="1">INDIRECT("'※ 유통플랫폼 세부데이터'!"&amp;G$1&amp;$X31, TRUE)</f>
        <v>1.1000000000000001</v>
      </c>
      <c r="H31" s="2357" cm="1">
        <f t="array" aca="1" ref="H31" ca="1">INDIRECT("'※ 유통플랫폼 세부데이터'!"&amp;H$1&amp;$X31, TRUE)</f>
        <v>1.1000000000000001</v>
      </c>
      <c r="I31" s="2357" cm="1">
        <f t="array" aca="1" ref="I31" ca="1">INDIRECT("'※ 유통플랫폼 세부데이터'!"&amp;I$1&amp;$X31, TRUE)</f>
        <v>1.7</v>
      </c>
      <c r="J31" s="2357" cm="1">
        <f t="array" aca="1" ref="J31" ca="1">INDIRECT("'※ 유통플랫폼 세부데이터'!"&amp;J$1&amp;$X31, TRUE)</f>
        <v>0.3</v>
      </c>
      <c r="K31" s="2357" cm="1">
        <f t="array" aca="1" ref="K31" ca="1">INDIRECT("'※ 유통플랫폼 세부데이터'!"&amp;K$1&amp;$X31, TRUE)</f>
        <v>0.4</v>
      </c>
      <c r="L31" s="6507" cm="1">
        <f t="array" aca="1" ref="L31" ca="1">INDIRECT("'※ 유통플랫폼 세부데이터'!"&amp;L$1&amp;$X31, TRUE)</f>
        <v>1.7000000000000002</v>
      </c>
      <c r="M31" s="2357" cm="1">
        <f t="array" aca="1" ref="M31" ca="1">INDIRECT("'※ 유통플랫폼 세부데이터'!"&amp;M$1&amp;$X31, TRUE)</f>
        <v>0.3</v>
      </c>
      <c r="N31" s="2357" cm="1">
        <f t="array" aca="1" ref="N31" ca="1">INDIRECT("'※ 유통플랫폼 세부데이터'!"&amp;N$1&amp;$X31, TRUE)</f>
        <v>0.8</v>
      </c>
      <c r="O31" s="2357" cm="1">
        <f t="array" aca="1" ref="O31" ca="1">INDIRECT("'※ 유통플랫폼 세부데이터'!"&amp;O$1&amp;$X31, TRUE)</f>
        <v>1.4</v>
      </c>
      <c r="P31" s="2357" cm="1">
        <f t="array" aca="1" ref="P31" ca="1">INDIRECT("'※ 유통플랫폼 세부데이터'!"&amp;P$1&amp;$X31, TRUE)</f>
        <v>2.6</v>
      </c>
      <c r="Q31" s="2357" cm="1">
        <f t="array" aca="1" ref="Q31" ca="1">INDIRECT("'※ 유통플랫폼 세부데이터'!"&amp;Q$1&amp;$X31, TRUE)</f>
        <v>1.3</v>
      </c>
      <c r="R31" s="2358" cm="1">
        <f t="array" aca="1" ref="R31" ca="1">INDIRECT("'※ 유통플랫폼 세부데이터'!"&amp;R$1&amp;$X31, TRUE)</f>
        <v>0.50000000000000011</v>
      </c>
      <c r="S31" s="2358" cm="1">
        <f t="array" aca="1" ref="S31" ca="1">INDIRECT("'※ 유통플랫폼 세부데이터'!"&amp;S$1&amp;$X31, TRUE)</f>
        <v>0</v>
      </c>
      <c r="T31" s="2359" cm="1">
        <f t="array" aca="1" ref="T31" ca="1">INDIRECT("'※ 유통플랫폼 세부데이터'!"&amp;T$1&amp;$X31, TRUE)</f>
        <v>1.7000000000000002</v>
      </c>
      <c r="U31" s="2358" cm="1">
        <f t="array" aca="1" ref="U31" ca="1">INDIRECT("'※ 유통플랫폼 세부데이터'!"&amp;U$1&amp;$X31, TRUE)</f>
        <v>-0.79999999999999982</v>
      </c>
      <c r="V31" s="2360" cm="1">
        <f t="array" aca="1" ref="V31" ca="1">INDIRECT("'※ 유통플랫폼 세부데이터'!"&amp;V$1&amp;$X31, TRUE)</f>
        <v>0.85000000000000009</v>
      </c>
      <c r="W31" s="2358" cm="1">
        <f t="array" aca="1" ref="W31" ca="1">INDIRECT("'※ 유통플랫폼 세부데이터'!"&amp;W$1&amp;$X31, TRUE)</f>
        <v>-0.24166666666666647</v>
      </c>
      <c r="X31" s="1520">
        <f>ROW('※ 유통플랫폼 세부데이터'!J28)</f>
        <v>28</v>
      </c>
    </row>
    <row r="32" spans="2:27" ht="4.5" customHeight="1" thickBot="1" x14ac:dyDescent="0.6">
      <c r="E32" s="1300"/>
      <c r="F32" s="2361"/>
      <c r="G32" s="972"/>
      <c r="H32" s="972"/>
      <c r="I32" s="2362"/>
      <c r="J32" s="2363"/>
      <c r="K32" s="972"/>
      <c r="L32" s="6278"/>
      <c r="M32" s="972"/>
      <c r="N32" s="972"/>
      <c r="O32" s="972"/>
      <c r="P32" s="972"/>
      <c r="Q32" s="972"/>
      <c r="R32" s="972"/>
      <c r="S32" s="972"/>
      <c r="T32" s="1300"/>
      <c r="U32" s="1300"/>
      <c r="V32" s="1300"/>
      <c r="W32" s="1300"/>
      <c r="X32" s="1520"/>
    </row>
    <row r="33" spans="2:25" ht="15" customHeight="1" x14ac:dyDescent="0.55000000000000004">
      <c r="B33" s="7373" t="s">
        <v>318</v>
      </c>
      <c r="C33" s="2364" t="s">
        <v>324</v>
      </c>
      <c r="D33" s="2364"/>
      <c r="E33" s="2365" cm="1">
        <f t="array" aca="1" ref="E33" ca="1">INDIRECT("'※ 유통플랫폼 세부데이터'!"&amp;E$1&amp;$X33, TRUE)</f>
        <v>188348</v>
      </c>
      <c r="F33" s="2366" cm="1">
        <f t="array" aca="1" ref="F33" ca="1">INDIRECT("'※ 유통플랫폼 세부데이터'!"&amp;F$1&amp;$X33, TRUE)</f>
        <v>15799</v>
      </c>
      <c r="G33" s="2367" cm="1">
        <f t="array" aca="1" ref="G33" ca="1">INDIRECT("'※ 유통플랫폼 세부데이터'!"&amp;G$1&amp;$X33, TRUE)</f>
        <v>16046</v>
      </c>
      <c r="H33" s="2367" cm="1">
        <f t="array" aca="1" ref="H33" ca="1">INDIRECT("'※ 유통플랫폼 세부데이터'!"&amp;H$1&amp;$X33, TRUE)</f>
        <v>16287</v>
      </c>
      <c r="I33" s="2367" cm="1">
        <f t="array" aca="1" ref="I33" ca="1">INDIRECT("'※ 유통플랫폼 세부데이터'!"&amp;I$1&amp;$X33, TRUE)</f>
        <v>16464</v>
      </c>
      <c r="J33" s="2367" cm="1">
        <f t="array" aca="1" ref="J33" ca="1">INDIRECT("'※ 유통플랫폼 세부데이터'!"&amp;J$1&amp;$X33, TRUE)</f>
        <v>16415</v>
      </c>
      <c r="K33" s="2367" cm="1">
        <f t="array" aca="1" ref="K33" ca="1">INDIRECT("'※ 유통플랫폼 세부데이터'!"&amp;K$1&amp;$X33, TRUE)</f>
        <v>16502</v>
      </c>
      <c r="L33" s="6508" cm="1">
        <f t="array" aca="1" ref="L33" ca="1">INDIRECT("'※ 유통플랫폼 세부데이터'!"&amp;L$1&amp;$X33, TRUE)</f>
        <v>23462</v>
      </c>
      <c r="M33" s="2367" cm="1">
        <f t="array" aca="1" ref="M33" ca="1">INDIRECT("'※ 유통플랫폼 세부데이터'!"&amp;M$1&amp;$X33, TRUE)</f>
        <v>16624</v>
      </c>
      <c r="N33" s="2367" cm="1">
        <f t="array" aca="1" ref="N33" ca="1">INDIRECT("'※ 유통플랫폼 세부데이터'!"&amp;N$1&amp;$X33, TRUE)</f>
        <v>16704</v>
      </c>
      <c r="O33" s="2367" cm="1">
        <f t="array" aca="1" ref="O33" ca="1">INDIRECT("'※ 유통플랫폼 세부데이터'!"&amp;O$1&amp;$X33, TRUE)</f>
        <v>16771</v>
      </c>
      <c r="P33" s="2367" cm="1">
        <f t="array" aca="1" ref="P33" ca="1">INDIRECT("'※ 유통플랫폼 세부데이터'!"&amp;P$1&amp;$X33, TRUE)</f>
        <v>12172</v>
      </c>
      <c r="Q33" s="2367" cm="1">
        <f t="array" aca="1" ref="Q33" ca="1">INDIRECT("'※ 유통플랫폼 세부데이터'!"&amp;Q$1&amp;$X33, TRUE)</f>
        <v>12003</v>
      </c>
      <c r="R33" s="2368" cm="1">
        <f t="array" aca="1" ref="R33" ca="1">INDIRECT("'※ 유통플랫폼 세부데이터'!"&amp;R$1&amp;$X33, TRUE)</f>
        <v>-224</v>
      </c>
      <c r="S33" s="2369" cm="1">
        <f t="array" aca="1" ref="S33" ca="1">INDIRECT("'※ 유통플랫폼 세부데이터'!"&amp;S$1&amp;$X33, TRUE)</f>
        <v>-4427</v>
      </c>
      <c r="T33" s="2370" cm="1">
        <f t="array" aca="1" ref="T33" ca="1">INDIRECT("'※ 유통플랫폼 세부데이터'!"&amp;T$1&amp;$X33, TRUE)</f>
        <v>23462</v>
      </c>
      <c r="U33" s="2367" cm="1">
        <f t="array" aca="1" ref="U33" ca="1">INDIRECT("'※ 유통플랫폼 세부데이터'!"&amp;U$1&amp;$X33, TRUE)</f>
        <v>-8383</v>
      </c>
      <c r="V33" s="2371" cm="1">
        <f t="array" aca="1" ref="V33" ca="1">INDIRECT("'※ 유통플랫폼 세부데이터'!"&amp;V$1&amp;$X33, TRUE)</f>
        <v>11731</v>
      </c>
      <c r="W33" s="2372" cm="1">
        <f t="array" aca="1" ref="W33" ca="1">INDIRECT("'※ 유통플랫폼 세부데이터'!"&amp;W$1&amp;$X33, TRUE)</f>
        <v>-3964.6666666666661</v>
      </c>
      <c r="X33" s="1520">
        <f>ROW('※ 유통플랫폼 세부데이터'!J30)</f>
        <v>30</v>
      </c>
    </row>
    <row r="34" spans="2:25" ht="15" customHeight="1" x14ac:dyDescent="0.55000000000000004">
      <c r="B34" s="7374"/>
      <c r="C34" s="2373" t="s">
        <v>317</v>
      </c>
      <c r="D34" s="2373"/>
      <c r="E34" s="2374" cm="1">
        <f t="array" aca="1" ref="E34" ca="1">INDIRECT("'※ 유통플랫폼 세부데이터'!"&amp;E$1&amp;$X34, TRUE)</f>
        <v>38991</v>
      </c>
      <c r="F34" s="2375" cm="1">
        <f t="array" aca="1" ref="F34" ca="1">INDIRECT("'※ 유통플랫폼 세부데이터'!"&amp;F$1&amp;$X34, TRUE)</f>
        <v>7921</v>
      </c>
      <c r="G34" s="2376" cm="1">
        <f t="array" aca="1" ref="G34" ca="1">INDIRECT("'※ 유통플랫폼 세부데이터'!"&amp;G$1&amp;$X34, TRUE)</f>
        <v>6200</v>
      </c>
      <c r="H34" s="2376" cm="1">
        <f t="array" aca="1" ref="H34" ca="1">INDIRECT("'※ 유통플랫폼 세부데이터'!"&amp;H$1&amp;$X34, TRUE)</f>
        <v>5227</v>
      </c>
      <c r="I34" s="2376" cm="1">
        <f t="array" aca="1" ref="I34" ca="1">INDIRECT("'※ 유통플랫폼 세부데이터'!"&amp;I$1&amp;$X34, TRUE)</f>
        <v>3519</v>
      </c>
      <c r="J34" s="2376" cm="1">
        <f t="array" aca="1" ref="J34" ca="1">INDIRECT("'※ 유통플랫폼 세부데이터'!"&amp;J$1&amp;$X34, TRUE)</f>
        <v>1423</v>
      </c>
      <c r="K34" s="2376" cm="1">
        <f t="array" aca="1" ref="K34" ca="1">INDIRECT("'※ 유통플랫폼 세부데이터'!"&amp;K$1&amp;$X34, TRUE)</f>
        <v>1281</v>
      </c>
      <c r="L34" s="6509" cm="1">
        <f t="array" aca="1" ref="L34" ca="1">INDIRECT("'※ 유통플랫폼 세부데이터'!"&amp;L$1&amp;$X34, TRUE)</f>
        <v>1100</v>
      </c>
      <c r="M34" s="2376" cm="1">
        <f t="array" aca="1" ref="M34" ca="1">INDIRECT("'※ 유통플랫폼 세부데이터'!"&amp;M$1&amp;$X34, TRUE)</f>
        <v>3496</v>
      </c>
      <c r="N34" s="2376" cm="1">
        <f t="array" aca="1" ref="N34" ca="1">INDIRECT("'※ 유통플랫폼 세부데이터'!"&amp;N$1&amp;$X34, TRUE)</f>
        <v>3291</v>
      </c>
      <c r="O34" s="2376" cm="1">
        <f t="array" aca="1" ref="O34" ca="1">INDIRECT("'※ 유통플랫폼 세부데이터'!"&amp;O$1&amp;$X34, TRUE)</f>
        <v>1803</v>
      </c>
      <c r="P34" s="2376" cm="1">
        <f t="array" aca="1" ref="P34" ca="1">INDIRECT("'※ 유통플랫폼 세부데이터'!"&amp;P$1&amp;$X34, TRUE)</f>
        <v>1218</v>
      </c>
      <c r="Q34" s="2376" cm="1">
        <f t="array" aca="1" ref="Q34" ca="1">INDIRECT("'※ 유통플랫폼 세부데이터'!"&amp;Q$1&amp;$X34, TRUE)</f>
        <v>762</v>
      </c>
      <c r="R34" s="2377" cm="1">
        <f t="array" aca="1" ref="R34" ca="1">INDIRECT("'※ 유통플랫폼 세부데이터'!"&amp;R$1&amp;$X34, TRUE)</f>
        <v>348</v>
      </c>
      <c r="S34" s="2378" cm="1">
        <f t="array" aca="1" ref="S34" ca="1">INDIRECT("'※ 유통플랫폼 세부데이터'!"&amp;S$1&amp;$X34, TRUE)</f>
        <v>-5476</v>
      </c>
      <c r="T34" s="2379" cm="1">
        <f t="array" aca="1" ref="T34" ca="1">INDIRECT("'※ 유통플랫폼 세부데이터'!"&amp;T$1&amp;$X34, TRUE)</f>
        <v>1100</v>
      </c>
      <c r="U34" s="2376" cm="1">
        <f t="array" aca="1" ref="U34" ca="1">INDIRECT("'※ 유통플랫폼 세부데이터'!"&amp;U$1&amp;$X34, TRUE)</f>
        <v>-13021</v>
      </c>
      <c r="V34" s="2380" cm="1">
        <f t="array" aca="1" ref="V34" ca="1">INDIRECT("'※ 유통플랫폼 세부데이터'!"&amp;V$1&amp;$X34, TRUE)</f>
        <v>550</v>
      </c>
      <c r="W34" s="2381" cm="1">
        <f t="array" aca="1" ref="W34" ca="1">INDIRECT("'※ 유통플랫폼 세부데이터'!"&amp;W$1&amp;$X34, TRUE)</f>
        <v>-2699.25</v>
      </c>
      <c r="X34" s="1520">
        <f>ROW('※ 유통플랫폼 세부데이터'!J31)</f>
        <v>31</v>
      </c>
    </row>
    <row r="35" spans="2:25" ht="15" customHeight="1" x14ac:dyDescent="0.55000000000000004">
      <c r="B35" s="7374"/>
      <c r="C35" s="2373" t="s">
        <v>323</v>
      </c>
      <c r="D35" s="2373"/>
      <c r="E35" s="2374" cm="1">
        <f t="array" aca="1" ref="E35" ca="1">INDIRECT("'※ 유통플랫폼 세부데이터'!"&amp;E$1&amp;$X35, TRUE)</f>
        <v>15784</v>
      </c>
      <c r="F35" s="2375" cm="1">
        <f t="array" aca="1" ref="F35" ca="1">INDIRECT("'※ 유통플랫폼 세부데이터'!"&amp;F$1&amp;$X35, TRUE)</f>
        <v>2798</v>
      </c>
      <c r="G35" s="2376" cm="1">
        <f t="array" aca="1" ref="G35" ca="1">INDIRECT("'※ 유통플랫폼 세부데이터'!"&amp;G$1&amp;$X35, TRUE)</f>
        <v>2245</v>
      </c>
      <c r="H35" s="2376" cm="1">
        <f t="array" aca="1" ref="H35" ca="1">INDIRECT("'※ 유통플랫폼 세부데이터'!"&amp;H$1&amp;$X35, TRUE)</f>
        <v>2011</v>
      </c>
      <c r="I35" s="2376" cm="1">
        <f t="array" aca="1" ref="I35" ca="1">INDIRECT("'※ 유통플랫폼 세부데이터'!"&amp;I$1&amp;$X35, TRUE)</f>
        <v>2155</v>
      </c>
      <c r="J35" s="2376" cm="1">
        <f t="array" aca="1" ref="J35" ca="1">INDIRECT("'※ 유통플랫폼 세부데이터'!"&amp;J$1&amp;$X35, TRUE)</f>
        <v>1516</v>
      </c>
      <c r="K35" s="2376" cm="1">
        <f t="array" aca="1" ref="K35" ca="1">INDIRECT("'※ 유통플랫폼 세부데이터'!"&amp;K$1&amp;$X35, TRUE)</f>
        <v>388</v>
      </c>
      <c r="L35" s="6509" cm="1">
        <f t="array" aca="1" ref="L35" ca="1">INDIRECT("'※ 유통플랫폼 세부데이터'!"&amp;L$1&amp;$X35, TRUE)</f>
        <v>512</v>
      </c>
      <c r="M35" s="2376" cm="1">
        <f t="array" aca="1" ref="M35" ca="1">INDIRECT("'※ 유통플랫폼 세부데이터'!"&amp;M$1&amp;$X35, TRUE)</f>
        <v>791</v>
      </c>
      <c r="N35" s="2376" cm="1">
        <f t="array" aca="1" ref="N35" ca="1">INDIRECT("'※ 유통플랫폼 세부데이터'!"&amp;N$1&amp;$X35, TRUE)</f>
        <v>1237</v>
      </c>
      <c r="O35" s="2376" cm="1">
        <f t="array" aca="1" ref="O35" ca="1">INDIRECT("'※ 유통플랫폼 세부데이터'!"&amp;O$1&amp;$X35, TRUE)</f>
        <v>915</v>
      </c>
      <c r="P35" s="2376" cm="1">
        <f t="array" aca="1" ref="P35" ca="1">INDIRECT("'※ 유통플랫폼 세부데이터'!"&amp;P$1&amp;$X35, TRUE)</f>
        <v>553</v>
      </c>
      <c r="Q35" s="2376" cm="1">
        <f t="array" aca="1" ref="Q35" ca="1">INDIRECT("'※ 유통플랫폼 세부데이터'!"&amp;Q$1&amp;$X35, TRUE)</f>
        <v>385</v>
      </c>
      <c r="R35" s="2377" cm="1">
        <f t="array" aca="1" ref="R35" ca="1">INDIRECT("'※ 유통플랫폼 세부데이터'!"&amp;R$1&amp;$X35, TRUE)</f>
        <v>-298</v>
      </c>
      <c r="S35" s="2378" cm="1">
        <f t="array" aca="1" ref="S35" ca="1">INDIRECT("'※ 유통플랫폼 세부데이터'!"&amp;S$1&amp;$X35, TRUE)</f>
        <v>-2138</v>
      </c>
      <c r="T35" s="2379" cm="1">
        <f t="array" aca="1" ref="T35" ca="1">INDIRECT("'※ 유통플랫폼 세부데이터'!"&amp;T$1&amp;$X35, TRUE)</f>
        <v>512</v>
      </c>
      <c r="U35" s="2376" cm="1">
        <f t="array" aca="1" ref="U35" ca="1">INDIRECT("'※ 유통플랫폼 세부데이터'!"&amp;U$1&amp;$X35, TRUE)</f>
        <v>-4531</v>
      </c>
      <c r="V35" s="2380" cm="1">
        <f t="array" aca="1" ref="V35" ca="1">INDIRECT("'※ 유통플랫폼 세부데이터'!"&amp;V$1&amp;$X35, TRUE)</f>
        <v>256</v>
      </c>
      <c r="W35" s="2381" cm="1">
        <f t="array" aca="1" ref="W35" ca="1">INDIRECT("'※ 유통플랫폼 세부데이터'!"&amp;W$1&amp;$X35, TRUE)</f>
        <v>-1059.3333333333333</v>
      </c>
      <c r="X35" s="1520">
        <f>ROW('※ 유통플랫폼 세부데이터'!J32)</f>
        <v>32</v>
      </c>
    </row>
    <row r="36" spans="2:25" ht="15" customHeight="1" x14ac:dyDescent="0.55000000000000004">
      <c r="B36" s="7374"/>
      <c r="C36" s="556" t="s">
        <v>321</v>
      </c>
      <c r="D36" s="556"/>
      <c r="E36" s="2382" cm="1">
        <f t="array" aca="1" ref="E36" ca="1">INDIRECT("'※ 유통플랫폼 세부데이터'!"&amp;E$1&amp;$X36, TRUE)</f>
        <v>33.082105091882354</v>
      </c>
      <c r="F36" s="2383" cm="1">
        <f t="array" aca="1" ref="F36" ca="1">INDIRECT("'※ 유통플랫폼 세부데이터'!"&amp;F$1&amp;$X36, TRUE)</f>
        <v>3.5</v>
      </c>
      <c r="G36" s="2384" cm="1">
        <f t="array" aca="1" ref="G36" ca="1">INDIRECT("'※ 유통플랫폼 세부데이터'!"&amp;G$1&amp;$X36, TRUE)</f>
        <v>2.7616926503340755</v>
      </c>
      <c r="H36" s="2384" cm="1">
        <f t="array" aca="1" ref="H36" ca="1">INDIRECT("'※ 유통플랫폼 세부데이터'!"&amp;H$1&amp;$X36, TRUE)</f>
        <v>2.9686723023371457</v>
      </c>
      <c r="I36" s="2384" cm="1">
        <f t="array" aca="1" ref="I36" ca="1">INDIRECT("'※ 유통플랫폼 세부데이터'!"&amp;I$1&amp;$X36, TRUE)</f>
        <v>3.3517401392111368</v>
      </c>
      <c r="J36" s="2384" cm="1">
        <f t="array" aca="1" ref="J36" ca="1">INDIRECT("'※ 유통플랫폼 세부데이터'!"&amp;J$1&amp;$X36, TRUE)</f>
        <v>2.6</v>
      </c>
      <c r="K36" s="2384" cm="1">
        <f t="array" aca="1" ref="K36" ca="1">INDIRECT("'※ 유통플랫폼 세부데이터'!"&amp;K$1&amp;$X36, TRUE)</f>
        <v>2</v>
      </c>
      <c r="L36" s="6510" cm="1">
        <f t="array" aca="1" ref="L36" ca="1">INDIRECT("'※ 유통플랫폼 세부데이터'!"&amp;L$1&amp;$X36, TRUE)</f>
        <v>5.8</v>
      </c>
      <c r="M36" s="2384" cm="1">
        <f t="array" aca="1" ref="M36" ca="1">INDIRECT("'※ 유통플랫폼 세부데이터'!"&amp;M$1&amp;$X36, TRUE)</f>
        <v>2.4</v>
      </c>
      <c r="N36" s="2384" cm="1">
        <f t="array" aca="1" ref="N36" ca="1">INDIRECT("'※ 유통플랫폼 세부데이터'!"&amp;N$1&amp;$X36, TRUE)</f>
        <v>2.8</v>
      </c>
      <c r="O36" s="2384" cm="1">
        <f t="array" aca="1" ref="O36" ca="1">INDIRECT("'※ 유통플랫폼 세부데이터'!"&amp;O$1&amp;$X36, TRUE)</f>
        <v>3.1</v>
      </c>
      <c r="P36" s="2384" cm="1">
        <f t="array" aca="1" ref="P36" ca="1">INDIRECT("'※ 유통플랫폼 세부데이터'!"&amp;P$1&amp;$X36, TRUE)</f>
        <v>2.6</v>
      </c>
      <c r="Q36" s="2384" cm="1">
        <f t="array" aca="1" ref="Q36" ca="1">INDIRECT("'※ 유통플랫폼 세부데이터'!"&amp;Q$1&amp;$X36, TRUE)</f>
        <v>2.8</v>
      </c>
      <c r="R36" s="2385" cm="1">
        <f t="array" aca="1" ref="R36" ca="1">INDIRECT("'※ 유통플랫폼 세부데이터'!"&amp;R$1&amp;$X36, TRUE)</f>
        <v>-0.20000000000000018</v>
      </c>
      <c r="S36" s="2386" cm="1">
        <f t="array" aca="1" ref="S36" ca="1">INDIRECT("'※ 유통플랫폼 세부데이터'!"&amp;S$1&amp;$X36, TRUE)</f>
        <v>3.8307349665924306E-2</v>
      </c>
      <c r="T36" s="2387" cm="1">
        <f t="array" aca="1" ref="T36" ca="1">INDIRECT("'※ 유통플랫폼 세부데이터'!"&amp;T$1&amp;$X36, TRUE)</f>
        <v>5.8</v>
      </c>
      <c r="U36" s="2384" cm="1">
        <f t="array" aca="1" ref="U36" ca="1">INDIRECT("'※ 유통플랫폼 세부데이터'!"&amp;U$1&amp;$X36, TRUE)</f>
        <v>-0.46169265033407569</v>
      </c>
      <c r="V36" s="2388" cm="1">
        <f t="array" aca="1" ref="V36" ca="1">INDIRECT("'※ 유통플랫폼 세부데이터'!"&amp;V$1&amp;$X36, TRUE)</f>
        <v>2.9</v>
      </c>
      <c r="W36" s="2389" cm="1">
        <f t="array" aca="1" ref="W36" ca="1">INDIRECT("'※ 유통플랫폼 세부데이터'!"&amp;W$1&amp;$X36, TRUE)</f>
        <v>0.14315790900980385</v>
      </c>
      <c r="X36" s="1520">
        <f>ROW('※ 유통플랫폼 세부데이터'!J33)</f>
        <v>33</v>
      </c>
    </row>
    <row r="37" spans="2:25" ht="15" hidden="1" customHeight="1" x14ac:dyDescent="0.55000000000000004">
      <c r="B37" s="7374"/>
      <c r="C37" s="556"/>
      <c r="D37" s="556" t="s">
        <v>315</v>
      </c>
      <c r="E37" s="2382" t="e" cm="1">
        <f t="array" aca="1" ref="E37" ca="1">INDIRECT("'※ 유통플랫폼 세부데이터'!"&amp;E$1&amp;$X37, TRUE)</f>
        <v>#REF!</v>
      </c>
      <c r="F37" s="2383" t="e" cm="1">
        <f t="array" aca="1" ref="F37" ca="1">INDIRECT("'※ 유통플랫폼 세부데이터'!"&amp;F$1&amp;$X37, TRUE)</f>
        <v>#REF!</v>
      </c>
      <c r="G37" s="2384" t="e" cm="1">
        <f t="array" aca="1" ref="G37" ca="1">INDIRECT("'※ 유통플랫폼 세부데이터'!"&amp;G$1&amp;$X37, TRUE)</f>
        <v>#REF!</v>
      </c>
      <c r="H37" s="2384" t="e" cm="1">
        <f t="array" aca="1" ref="H37" ca="1">INDIRECT("'※ 유통플랫폼 세부데이터'!"&amp;H$1&amp;$X37, TRUE)</f>
        <v>#REF!</v>
      </c>
      <c r="I37" s="2384" t="e" cm="1">
        <f t="array" aca="1" ref="I37" ca="1">INDIRECT("'※ 유통플랫폼 세부데이터'!"&amp;I$1&amp;$X37, TRUE)</f>
        <v>#REF!</v>
      </c>
      <c r="J37" s="2384" t="e" cm="1">
        <f t="array" aca="1" ref="J37" ca="1">INDIRECT("'※ 유통플랫폼 세부데이터'!"&amp;J$1&amp;$X37, TRUE)</f>
        <v>#REF!</v>
      </c>
      <c r="K37" s="2384" t="e" cm="1">
        <f t="array" aca="1" ref="K37" ca="1">INDIRECT("'※ 유통플랫폼 세부데이터'!"&amp;K$1&amp;$X37, TRUE)</f>
        <v>#REF!</v>
      </c>
      <c r="L37" s="6510" t="e" cm="1">
        <f t="array" aca="1" ref="L37" ca="1">INDIRECT("'※ 유통플랫폼 세부데이터'!"&amp;L$1&amp;$X37, TRUE)</f>
        <v>#REF!</v>
      </c>
      <c r="M37" s="2384" t="e" cm="1">
        <f t="array" aca="1" ref="M37" ca="1">INDIRECT("'※ 유통플랫폼 세부데이터'!"&amp;M$1&amp;$X37, TRUE)</f>
        <v>#REF!</v>
      </c>
      <c r="N37" s="2384" t="e" cm="1">
        <f t="array" aca="1" ref="N37" ca="1">INDIRECT("'※ 유통플랫폼 세부데이터'!"&amp;N$1&amp;$X37, TRUE)</f>
        <v>#REF!</v>
      </c>
      <c r="O37" s="2384" t="e" cm="1">
        <f t="array" aca="1" ref="O37" ca="1">INDIRECT("'※ 유통플랫폼 세부데이터'!"&amp;O$1&amp;$X37, TRUE)</f>
        <v>#REF!</v>
      </c>
      <c r="P37" s="2384" t="e" cm="1">
        <f t="array" aca="1" ref="P37" ca="1">INDIRECT("'※ 유통플랫폼 세부데이터'!"&amp;P$1&amp;$X37, TRUE)</f>
        <v>#REF!</v>
      </c>
      <c r="Q37" s="2384" t="e" cm="1">
        <f t="array" aca="1" ref="Q37" ca="1">INDIRECT("'※ 유통플랫폼 세부데이터'!"&amp;Q$1&amp;$X37, TRUE)</f>
        <v>#REF!</v>
      </c>
      <c r="R37" s="2390" t="e" cm="1">
        <f t="array" aca="1" ref="R37" ca="1">INDIRECT("'※ 유통플랫폼 세부데이터'!"&amp;R$1&amp;$X37, TRUE)</f>
        <v>#REF!</v>
      </c>
      <c r="S37" s="2386" t="e" cm="1">
        <f t="array" aca="1" ref="S37" ca="1">INDIRECT("'※ 유통플랫폼 세부데이터'!"&amp;S$1&amp;$X37, TRUE)</f>
        <v>#REF!</v>
      </c>
      <c r="T37" s="2387" t="e" cm="1">
        <f t="array" aca="1" ref="T37" ca="1">INDIRECT("'※ 유통플랫폼 세부데이터'!"&amp;T$1&amp;$X37, TRUE)</f>
        <v>#REF!</v>
      </c>
      <c r="U37" s="2384" t="e" cm="1">
        <f t="array" aca="1" ref="U37" ca="1">INDIRECT("'※ 유통플랫폼 세부데이터'!"&amp;U$1&amp;$X37, TRUE)</f>
        <v>#REF!</v>
      </c>
      <c r="V37" s="2388" t="e" cm="1">
        <f t="array" aca="1" ref="V37" ca="1">INDIRECT("'※ 유통플랫폼 세부데이터'!"&amp;V$1&amp;$X37, TRUE)</f>
        <v>#REF!</v>
      </c>
      <c r="W37" s="2389" t="e" cm="1">
        <f t="array" aca="1" ref="W37" ca="1">INDIRECT("'※ 유통플랫폼 세부데이터'!"&amp;W$1&amp;$X37, TRUE)</f>
        <v>#REF!</v>
      </c>
      <c r="X37" s="1520" t="e">
        <f>ROW('※ 유통플랫폼 세부데이터'!#REF!)</f>
        <v>#REF!</v>
      </c>
    </row>
    <row r="38" spans="2:25" ht="15" hidden="1" customHeight="1" x14ac:dyDescent="0.55000000000000004">
      <c r="B38" s="7374"/>
      <c r="C38" s="556"/>
      <c r="D38" s="556" t="s">
        <v>316</v>
      </c>
      <c r="E38" s="2382" t="e" cm="1">
        <f t="array" aca="1" ref="E38" ca="1">INDIRECT("'※ 유통플랫폼 세부데이터'!"&amp;E$1&amp;$X38, TRUE)</f>
        <v>#REF!</v>
      </c>
      <c r="F38" s="2383" t="e" cm="1">
        <f t="array" aca="1" ref="F38" ca="1">INDIRECT("'※ 유통플랫폼 세부데이터'!"&amp;F$1&amp;$X38, TRUE)</f>
        <v>#REF!</v>
      </c>
      <c r="G38" s="2384" t="e" cm="1">
        <f t="array" aca="1" ref="G38" ca="1">INDIRECT("'※ 유통플랫폼 세부데이터'!"&amp;G$1&amp;$X38, TRUE)</f>
        <v>#REF!</v>
      </c>
      <c r="H38" s="2384" t="e" cm="1">
        <f t="array" aca="1" ref="H38" ca="1">INDIRECT("'※ 유통플랫폼 세부데이터'!"&amp;H$1&amp;$X38, TRUE)</f>
        <v>#REF!</v>
      </c>
      <c r="I38" s="2384" t="e" cm="1">
        <f t="array" aca="1" ref="I38" ca="1">INDIRECT("'※ 유통플랫폼 세부데이터'!"&amp;I$1&amp;$X38, TRUE)</f>
        <v>#REF!</v>
      </c>
      <c r="J38" s="2384" t="e" cm="1">
        <f t="array" aca="1" ref="J38" ca="1">INDIRECT("'※ 유통플랫폼 세부데이터'!"&amp;J$1&amp;$X38, TRUE)</f>
        <v>#REF!</v>
      </c>
      <c r="K38" s="2384" t="e" cm="1">
        <f t="array" aca="1" ref="K38" ca="1">INDIRECT("'※ 유통플랫폼 세부데이터'!"&amp;K$1&amp;$X38, TRUE)</f>
        <v>#REF!</v>
      </c>
      <c r="L38" s="6510" t="e" cm="1">
        <f t="array" aca="1" ref="L38" ca="1">INDIRECT("'※ 유통플랫폼 세부데이터'!"&amp;L$1&amp;$X38, TRUE)</f>
        <v>#REF!</v>
      </c>
      <c r="M38" s="2384" t="e" cm="1">
        <f t="array" aca="1" ref="M38" ca="1">INDIRECT("'※ 유통플랫폼 세부데이터'!"&amp;M$1&amp;$X38, TRUE)</f>
        <v>#REF!</v>
      </c>
      <c r="N38" s="2384" t="e" cm="1">
        <f t="array" aca="1" ref="N38" ca="1">INDIRECT("'※ 유통플랫폼 세부데이터'!"&amp;N$1&amp;$X38, TRUE)</f>
        <v>#REF!</v>
      </c>
      <c r="O38" s="2384" t="e" cm="1">
        <f t="array" aca="1" ref="O38" ca="1">INDIRECT("'※ 유통플랫폼 세부데이터'!"&amp;O$1&amp;$X38, TRUE)</f>
        <v>#REF!</v>
      </c>
      <c r="P38" s="2384" t="e" cm="1">
        <f t="array" aca="1" ref="P38" ca="1">INDIRECT("'※ 유통플랫폼 세부데이터'!"&amp;P$1&amp;$X38, TRUE)</f>
        <v>#REF!</v>
      </c>
      <c r="Q38" s="2384" t="e" cm="1">
        <f t="array" aca="1" ref="Q38" ca="1">INDIRECT("'※ 유통플랫폼 세부데이터'!"&amp;Q$1&amp;$X38, TRUE)</f>
        <v>#REF!</v>
      </c>
      <c r="R38" s="2390" t="e" cm="1">
        <f t="array" aca="1" ref="R38" ca="1">INDIRECT("'※ 유통플랫폼 세부데이터'!"&amp;R$1&amp;$X38, TRUE)</f>
        <v>#REF!</v>
      </c>
      <c r="S38" s="2386" t="e" cm="1">
        <f t="array" aca="1" ref="S38" ca="1">INDIRECT("'※ 유통플랫폼 세부데이터'!"&amp;S$1&amp;$X38, TRUE)</f>
        <v>#REF!</v>
      </c>
      <c r="T38" s="2387" t="e" cm="1">
        <f t="array" aca="1" ref="T38" ca="1">INDIRECT("'※ 유통플랫폼 세부데이터'!"&amp;T$1&amp;$X38, TRUE)</f>
        <v>#REF!</v>
      </c>
      <c r="U38" s="2384" t="e" cm="1">
        <f t="array" aca="1" ref="U38" ca="1">INDIRECT("'※ 유통플랫폼 세부데이터'!"&amp;U$1&amp;$X38, TRUE)</f>
        <v>#REF!</v>
      </c>
      <c r="V38" s="2388" t="e" cm="1">
        <f t="array" aca="1" ref="V38" ca="1">INDIRECT("'※ 유통플랫폼 세부데이터'!"&amp;V$1&amp;$X38, TRUE)</f>
        <v>#REF!</v>
      </c>
      <c r="W38" s="2389" t="e" cm="1">
        <f t="array" aca="1" ref="W38" ca="1">INDIRECT("'※ 유통플랫폼 세부데이터'!"&amp;W$1&amp;$X38, TRUE)</f>
        <v>#REF!</v>
      </c>
      <c r="X38" s="1520" t="e">
        <f>ROW('※ 유통플랫폼 세부데이터'!#REF!)</f>
        <v>#REF!</v>
      </c>
    </row>
    <row r="39" spans="2:25" ht="15" hidden="1" customHeight="1" x14ac:dyDescent="0.55000000000000004">
      <c r="B39" s="7374"/>
      <c r="C39" s="556"/>
      <c r="D39" s="556" t="s">
        <v>322</v>
      </c>
      <c r="E39" s="2382" t="e" cm="1">
        <f t="array" aca="1" ref="E39" ca="1">INDIRECT("'※ 유통플랫폼 세부데이터'!"&amp;E$1&amp;$X39, TRUE)</f>
        <v>#REF!</v>
      </c>
      <c r="F39" s="2383" t="e" cm="1">
        <f t="array" aca="1" ref="F39" ca="1">INDIRECT("'※ 유통플랫폼 세부데이터'!"&amp;F$1&amp;$X39, TRUE)</f>
        <v>#REF!</v>
      </c>
      <c r="G39" s="2384" t="e" cm="1">
        <f t="array" aca="1" ref="G39" ca="1">INDIRECT("'※ 유통플랫폼 세부데이터'!"&amp;G$1&amp;$X39, TRUE)</f>
        <v>#REF!</v>
      </c>
      <c r="H39" s="2384" t="e" cm="1">
        <f t="array" aca="1" ref="H39" ca="1">INDIRECT("'※ 유통플랫폼 세부데이터'!"&amp;H$1&amp;$X39, TRUE)</f>
        <v>#REF!</v>
      </c>
      <c r="I39" s="2384" t="e" cm="1">
        <f t="array" aca="1" ref="I39" ca="1">INDIRECT("'※ 유통플랫폼 세부데이터'!"&amp;I$1&amp;$X39, TRUE)</f>
        <v>#REF!</v>
      </c>
      <c r="J39" s="2384" t="e" cm="1">
        <f t="array" aca="1" ref="J39" ca="1">INDIRECT("'※ 유통플랫폼 세부데이터'!"&amp;J$1&amp;$X39, TRUE)</f>
        <v>#REF!</v>
      </c>
      <c r="K39" s="2384" t="e" cm="1">
        <f t="array" aca="1" ref="K39" ca="1">INDIRECT("'※ 유통플랫폼 세부데이터'!"&amp;K$1&amp;$X39, TRUE)</f>
        <v>#REF!</v>
      </c>
      <c r="L39" s="6510" t="e" cm="1">
        <f t="array" aca="1" ref="L39" ca="1">INDIRECT("'※ 유통플랫폼 세부데이터'!"&amp;L$1&amp;$X39, TRUE)</f>
        <v>#REF!</v>
      </c>
      <c r="M39" s="2384" t="e" cm="1">
        <f t="array" aca="1" ref="M39" ca="1">INDIRECT("'※ 유통플랫폼 세부데이터'!"&amp;M$1&amp;$X39, TRUE)</f>
        <v>#REF!</v>
      </c>
      <c r="N39" s="2384" t="e" cm="1">
        <f t="array" aca="1" ref="N39" ca="1">INDIRECT("'※ 유통플랫폼 세부데이터'!"&amp;N$1&amp;$X39, TRUE)</f>
        <v>#REF!</v>
      </c>
      <c r="O39" s="2384" t="e" cm="1">
        <f t="array" aca="1" ref="O39" ca="1">INDIRECT("'※ 유통플랫폼 세부데이터'!"&amp;O$1&amp;$X39, TRUE)</f>
        <v>#REF!</v>
      </c>
      <c r="P39" s="2384" t="e" cm="1">
        <f t="array" aca="1" ref="P39" ca="1">INDIRECT("'※ 유통플랫폼 세부데이터'!"&amp;P$1&amp;$X39, TRUE)</f>
        <v>#REF!</v>
      </c>
      <c r="Q39" s="2384" t="e" cm="1">
        <f t="array" aca="1" ref="Q39" ca="1">INDIRECT("'※ 유통플랫폼 세부데이터'!"&amp;Q$1&amp;$X39, TRUE)</f>
        <v>#REF!</v>
      </c>
      <c r="R39" s="2390" t="e" cm="1">
        <f t="array" aca="1" ref="R39" ca="1">INDIRECT("'※ 유통플랫폼 세부데이터'!"&amp;R$1&amp;$X39, TRUE)</f>
        <v>#REF!</v>
      </c>
      <c r="S39" s="2386" t="e" cm="1">
        <f t="array" aca="1" ref="S39" ca="1">INDIRECT("'※ 유통플랫폼 세부데이터'!"&amp;S$1&amp;$X39, TRUE)</f>
        <v>#REF!</v>
      </c>
      <c r="T39" s="2387" t="e" cm="1">
        <f t="array" aca="1" ref="T39" ca="1">INDIRECT("'※ 유통플랫폼 세부데이터'!"&amp;T$1&amp;$X39, TRUE)</f>
        <v>#REF!</v>
      </c>
      <c r="U39" s="2384" t="e" cm="1">
        <f t="array" aca="1" ref="U39" ca="1">INDIRECT("'※ 유통플랫폼 세부데이터'!"&amp;U$1&amp;$X39, TRUE)</f>
        <v>#REF!</v>
      </c>
      <c r="V39" s="2388" t="e" cm="1">
        <f t="array" aca="1" ref="V39" ca="1">INDIRECT("'※ 유통플랫폼 세부데이터'!"&amp;V$1&amp;$X39, TRUE)</f>
        <v>#REF!</v>
      </c>
      <c r="W39" s="2389" t="e" cm="1">
        <f t="array" aca="1" ref="W39" ca="1">INDIRECT("'※ 유통플랫폼 세부데이터'!"&amp;W$1&amp;$X39, TRUE)</f>
        <v>#REF!</v>
      </c>
      <c r="X39" s="1520" t="e">
        <f>ROW('※ 유통플랫폼 세부데이터'!#REF!)</f>
        <v>#REF!</v>
      </c>
    </row>
    <row r="40" spans="2:25" ht="15" customHeight="1" x14ac:dyDescent="0.55000000000000004">
      <c r="B40" s="7374"/>
      <c r="C40" s="2391" t="s">
        <v>319</v>
      </c>
      <c r="D40" s="2392"/>
      <c r="E40" s="2393" cm="1">
        <f t="array" aca="1" ref="E40" ca="1">INDIRECT("'※ 유통플랫폼 세부데이터'!"&amp;E$1&amp;$X40, TRUE)</f>
        <v>46600</v>
      </c>
      <c r="F40" s="2394" cm="1">
        <f t="array" aca="1" ref="F40" ca="1">INDIRECT("'※ 유통플랫폼 세부데이터'!"&amp;F$1&amp;$X40, TRUE)</f>
        <v>9867</v>
      </c>
      <c r="G40" s="2395" cm="1">
        <f t="array" aca="1" ref="G40" ca="1">INDIRECT("'※ 유통플랫폼 세부데이터'!"&amp;G$1&amp;$X40, TRUE)</f>
        <v>6426</v>
      </c>
      <c r="H40" s="2395" cm="1">
        <f t="array" aca="1" ref="H40" ca="1">INDIRECT("'※ 유통플랫폼 세부데이터'!"&amp;H$1&amp;$X40, TRUE)</f>
        <v>5970</v>
      </c>
      <c r="I40" s="2395" cm="1">
        <f t="array" aca="1" ref="I40" ca="1">INDIRECT("'※ 유통플랫폼 세부데이터'!"&amp;I$1&amp;$X40, TRUE)</f>
        <v>7223</v>
      </c>
      <c r="J40" s="2395" cm="1">
        <f t="array" aca="1" ref="J40" ca="1">INDIRECT("'※ 유통플랫폼 세부데이터'!"&amp;J$1&amp;$X40, TRUE)</f>
        <v>3960</v>
      </c>
      <c r="K40" s="2395" cm="1">
        <f t="array" aca="1" ref="K40" ca="1">INDIRECT("'※ 유통플랫폼 세부데이터'!"&amp;K$1&amp;$X40, TRUE)</f>
        <v>759</v>
      </c>
      <c r="L40" s="6511" cm="1">
        <f t="array" aca="1" ref="L40" ca="1">INDIRECT("'※ 유통플랫폼 세부데이터'!"&amp;L$1&amp;$X40, TRUE)</f>
        <v>1453</v>
      </c>
      <c r="M40" s="2395" cm="1">
        <f t="array" aca="1" ref="M40" ca="1">INDIRECT("'※ 유통플랫폼 세부데이터'!"&amp;M$1&amp;$X40, TRUE)</f>
        <v>1902</v>
      </c>
      <c r="N40" s="2395" cm="1">
        <f t="array" aca="1" ref="N40" ca="1">INDIRECT("'※ 유통플랫폼 세부데이터'!"&amp;N$1&amp;$X40, TRUE)</f>
        <v>3452</v>
      </c>
      <c r="O40" s="2395" cm="1">
        <f t="array" aca="1" ref="O40" ca="1">INDIRECT("'※ 유통플랫폼 세부데이터'!"&amp;O$1&amp;$X40, TRUE)</f>
        <v>2849</v>
      </c>
      <c r="P40" s="2395" cm="1">
        <f t="array" aca="1" ref="P40" ca="1">INDIRECT("'※ 유통플랫폼 세부데이터'!"&amp;P$1&amp;$X40, TRUE)</f>
        <v>1416</v>
      </c>
      <c r="Q40" s="2395" cm="1">
        <f t="array" aca="1" ref="Q40" ca="1">INDIRECT("'※ 유통플랫폼 세부데이터'!"&amp;Q$1&amp;$X40, TRUE)</f>
        <v>1060</v>
      </c>
      <c r="R40" s="2396" cm="1">
        <f t="array" aca="1" ref="R40" ca="1">INDIRECT("'※ 유통플랫폼 세부데이터'!"&amp;R$1&amp;$X40, TRUE)</f>
        <v>-1001</v>
      </c>
      <c r="S40" s="2397" cm="1">
        <f t="array" aca="1" ref="S40" ca="1">INDIRECT("'※ 유통플랫폼 세부데이터'!"&amp;S$1&amp;$X40, TRUE)</f>
        <v>-6200</v>
      </c>
      <c r="T40" s="2398" cm="1">
        <f t="array" aca="1" ref="T40" ca="1">INDIRECT("'※ 유통플랫폼 세부데이터'!"&amp;T$1&amp;$X40, TRUE)</f>
        <v>1453</v>
      </c>
      <c r="U40" s="2395" cm="1">
        <f t="array" aca="1" ref="U40" ca="1">INDIRECT("'※ 유통플랫폼 세부데이터'!"&amp;U$1&amp;$X40, TRUE)</f>
        <v>-14840</v>
      </c>
      <c r="V40" s="2399" cm="1">
        <f t="array" aca="1" ref="V40" ca="1">INDIRECT("'※ 유통플랫폼 세부데이터'!"&amp;V$1&amp;$X40, TRUE)</f>
        <v>726.5</v>
      </c>
      <c r="W40" s="2400" cm="1">
        <f t="array" aca="1" ref="W40" ca="1">INDIRECT("'※ 유통플랫폼 세부데이터'!"&amp;W$1&amp;$X40, TRUE)</f>
        <v>-3156.8333333333335</v>
      </c>
      <c r="X40" s="1520">
        <f>ROW('※ 유통플랫폼 세부데이터'!J34)</f>
        <v>34</v>
      </c>
    </row>
    <row r="41" spans="2:25" ht="15" hidden="1" customHeight="1" x14ac:dyDescent="0.55000000000000004">
      <c r="B41" s="7374"/>
      <c r="C41" s="2401" t="s">
        <v>287</v>
      </c>
      <c r="D41" s="2402"/>
      <c r="E41" s="2403" cm="1">
        <f t="array" aca="1" ref="E41" ca="1">INDIRECT("'※ 유통플랫폼 세부데이터'!"&amp;E$1&amp;$X41, TRUE)</f>
        <v>30517</v>
      </c>
      <c r="F41" s="2404" cm="1">
        <f t="array" aca="1" ref="F41" ca="1">INDIRECT("'※ 유통플랫폼 세부데이터'!"&amp;F$1&amp;$X41, TRUE)</f>
        <v>7082</v>
      </c>
      <c r="G41" s="2405" cm="1">
        <f t="array" aca="1" ref="G41" ca="1">INDIRECT("'※ 유통플랫폼 세부데이터'!"&amp;G$1&amp;$X41, TRUE)</f>
        <v>4217</v>
      </c>
      <c r="H41" s="2405" cm="1">
        <f t="array" aca="1" ref="H41" ca="1">INDIRECT("'※ 유통플랫폼 세부데이터'!"&amp;H$1&amp;$X41, TRUE)</f>
        <v>3586</v>
      </c>
      <c r="I41" s="2405" cm="1">
        <f t="array" aca="1" ref="I41" ca="1">INDIRECT("'※ 유통플랫폼 세부데이터'!"&amp;I$1&amp;$X41, TRUE)</f>
        <v>4254</v>
      </c>
      <c r="J41" s="2405" cm="1">
        <f t="array" aca="1" ref="J41" ca="1">INDIRECT("'※ 유통플랫폼 세부데이터'!"&amp;J$1&amp;$X41, TRUE)</f>
        <v>2292</v>
      </c>
      <c r="K41" s="2405" cm="1">
        <f t="array" aca="1" ref="K41" ca="1">INDIRECT("'※ 유통플랫폼 세부데이터'!"&amp;K$1&amp;$X41, TRUE)</f>
        <v>376</v>
      </c>
      <c r="L41" s="6512" cm="1">
        <f t="array" aca="1" ref="L41" ca="1">INDIRECT("'※ 유통플랫폼 세부데이터'!"&amp;L$1&amp;$X41, TRUE)</f>
        <v>803</v>
      </c>
      <c r="M41" s="2405" cm="1">
        <f t="array" aca="1" ref="M41" ca="1">INDIRECT("'※ 유통플랫폼 세부데이터'!"&amp;M$1&amp;$X41, TRUE)</f>
        <v>1441</v>
      </c>
      <c r="N41" s="2405" cm="1">
        <f t="array" aca="1" ref="N41" ca="1">INDIRECT("'※ 유통플랫폼 세부데이터'!"&amp;N$1&amp;$X41, TRUE)</f>
        <v>2452</v>
      </c>
      <c r="O41" s="2405" cm="1">
        <f t="array" aca="1" ref="O41" ca="1">INDIRECT("'※ 유통플랫폼 세부데이터'!"&amp;O$1&amp;$X41, TRUE)</f>
        <v>2197</v>
      </c>
      <c r="P41" s="2405" cm="1">
        <f t="array" aca="1" ref="P41" ca="1">INDIRECT("'※ 유통플랫폼 세부데이터'!"&amp;P$1&amp;$X41, TRUE)</f>
        <v>935</v>
      </c>
      <c r="Q41" s="2405" cm="1">
        <f t="array" aca="1" ref="Q41" ca="1">INDIRECT("'※ 유통플랫폼 세부데이터'!"&amp;Q$1&amp;$X41, TRUE)</f>
        <v>589</v>
      </c>
      <c r="R41" s="2406" cm="1">
        <f t="array" aca="1" ref="R41" ca="1">INDIRECT("'※ 유통플랫폼 세부데이터'!"&amp;R$1&amp;$X41, TRUE)</f>
        <v>-587</v>
      </c>
      <c r="S41" s="2407" cm="1">
        <f t="array" aca="1" ref="S41" ca="1">INDIRECT("'※ 유통플랫폼 세부데이터'!"&amp;S$1&amp;$X41, TRUE)</f>
        <v>-4109</v>
      </c>
      <c r="T41" s="2408" cm="1">
        <f t="array" aca="1" ref="T41" ca="1">INDIRECT("'※ 유통플랫폼 세부데이터'!"&amp;T$1&amp;$X41, TRUE)</f>
        <v>803</v>
      </c>
      <c r="U41" s="2405" cm="1">
        <f t="array" aca="1" ref="U41" ca="1">INDIRECT("'※ 유통플랫폼 세부데이터'!"&amp;U$1&amp;$X41, TRUE)</f>
        <v>-10496</v>
      </c>
      <c r="V41" s="2409" cm="1">
        <f t="array" aca="1" ref="V41" ca="1">INDIRECT("'※ 유통플랫폼 세부데이터'!"&amp;V$1&amp;$X41, TRUE)</f>
        <v>401.5</v>
      </c>
      <c r="W41" s="2410" cm="1">
        <f t="array" aca="1" ref="W41" ca="1">INDIRECT("'※ 유통플랫폼 세부데이터'!"&amp;W$1&amp;$X41, TRUE)</f>
        <v>-2141.5833333333335</v>
      </c>
      <c r="X41" s="1520">
        <f>ROW('※ 유통플랫폼 세부데이터'!J35)</f>
        <v>35</v>
      </c>
    </row>
    <row r="42" spans="2:25" ht="15" hidden="1" customHeight="1" x14ac:dyDescent="0.55000000000000004">
      <c r="B42" s="7374"/>
      <c r="C42" s="2411"/>
      <c r="D42" s="556" t="s">
        <v>314</v>
      </c>
      <c r="E42" s="2382" cm="1">
        <f t="array" aca="1" ref="E42" ca="1">INDIRECT("'※ 유통플랫폼 세부데이터'!"&amp;E$1&amp;$X42, TRUE)</f>
        <v>18875</v>
      </c>
      <c r="F42" s="2383" cm="1">
        <f t="array" aca="1" ref="F42" ca="1">INDIRECT("'※ 유통플랫폼 세부데이터'!"&amp;F$1&amp;$X42, TRUE)</f>
        <v>4023</v>
      </c>
      <c r="G42" s="2384" cm="1">
        <f t="array" aca="1" ref="G42" ca="1">INDIRECT("'※ 유통플랫폼 세부데이터'!"&amp;G$1&amp;$X42, TRUE)</f>
        <v>2535</v>
      </c>
      <c r="H42" s="2384" cm="1">
        <f t="array" aca="1" ref="H42" ca="1">INDIRECT("'※ 유통플랫폼 세부데이터'!"&amp;H$1&amp;$X42, TRUE)</f>
        <v>2322</v>
      </c>
      <c r="I42" s="2384" cm="1">
        <f t="array" aca="1" ref="I42" ca="1">INDIRECT("'※ 유통플랫폼 세부데이터'!"&amp;I$1&amp;$X42, TRUE)</f>
        <v>2521</v>
      </c>
      <c r="J42" s="2384" cm="1">
        <f t="array" aca="1" ref="J42" ca="1">INDIRECT("'※ 유통플랫폼 세부데이터'!"&amp;J$1&amp;$X42, TRUE)</f>
        <v>1409</v>
      </c>
      <c r="K42" s="2384" cm="1">
        <f t="array" aca="1" ref="K42" ca="1">INDIRECT("'※ 유통플랫폼 세부데이터'!"&amp;K$1&amp;$X42, TRUE)</f>
        <v>278</v>
      </c>
      <c r="L42" s="6510" cm="1">
        <f t="array" aca="1" ref="L42" ca="1">INDIRECT("'※ 유통플랫폼 세부데이터'!"&amp;L$1&amp;$X42, TRUE)</f>
        <v>571</v>
      </c>
      <c r="M42" s="2384" cm="1">
        <f t="array" aca="1" ref="M42" ca="1">INDIRECT("'※ 유통플랫폼 세부데이터'!"&amp;M$1&amp;$X42, TRUE)</f>
        <v>825</v>
      </c>
      <c r="N42" s="2384" cm="1">
        <f t="array" aca="1" ref="N42" ca="1">INDIRECT("'※ 유통플랫폼 세부데이터'!"&amp;N$1&amp;$X42, TRUE)</f>
        <v>1531</v>
      </c>
      <c r="O42" s="2384" cm="1">
        <f t="array" aca="1" ref="O42" ca="1">INDIRECT("'※ 유통플랫폼 세부데이터'!"&amp;O$1&amp;$X42, TRUE)</f>
        <v>1607</v>
      </c>
      <c r="P42" s="2384" cm="1">
        <f t="array" aca="1" ref="P42" ca="1">INDIRECT("'※ 유통플랫폼 세부데이터'!"&amp;P$1&amp;$X42, TRUE)</f>
        <v>650</v>
      </c>
      <c r="Q42" s="2384" cm="1">
        <f t="array" aca="1" ref="Q42" ca="1">INDIRECT("'※ 유통플랫폼 세부데이터'!"&amp;Q$1&amp;$X42, TRUE)</f>
        <v>500</v>
      </c>
      <c r="R42" s="2390" cm="1">
        <f t="array" aca="1" ref="R42" ca="1">INDIRECT("'※ 유통플랫폼 세부데이터'!"&amp;R$1&amp;$X42, TRUE)</f>
        <v>-405</v>
      </c>
      <c r="S42" s="2386" cm="1">
        <f t="array" aca="1" ref="S42" ca="1">INDIRECT("'※ 유통플랫폼 세부데이터'!"&amp;S$1&amp;$X42, TRUE)</f>
        <v>-2452</v>
      </c>
      <c r="T42" s="2387" cm="1">
        <f t="array" aca="1" ref="T42" ca="1">INDIRECT("'※ 유통플랫폼 세부데이터'!"&amp;T$1&amp;$X42, TRUE)</f>
        <v>571</v>
      </c>
      <c r="U42" s="2384" cm="1">
        <f t="array" aca="1" ref="U42" ca="1">INDIRECT("'※ 유통플랫폼 세부데이터'!"&amp;U$1&amp;$X42, TRUE)</f>
        <v>-5987</v>
      </c>
      <c r="V42" s="2388" cm="1">
        <f t="array" aca="1" ref="V42" ca="1">INDIRECT("'※ 유통플랫폼 세부데이터'!"&amp;V$1&amp;$X42, TRUE)</f>
        <v>285.5</v>
      </c>
      <c r="W42" s="2389" cm="1">
        <f t="array" aca="1" ref="W42" ca="1">INDIRECT("'※ 유통플랫폼 세부데이터'!"&amp;W$1&amp;$X42, TRUE)</f>
        <v>-1287.4166666666667</v>
      </c>
      <c r="X42" s="1520">
        <f>ROW('※ 유통플랫폼 세부데이터'!J36)</f>
        <v>36</v>
      </c>
    </row>
    <row r="43" spans="2:25" ht="15" hidden="1" customHeight="1" x14ac:dyDescent="0.55000000000000004">
      <c r="B43" s="7374"/>
      <c r="C43" s="2411"/>
      <c r="D43" s="556" t="s">
        <v>320</v>
      </c>
      <c r="E43" s="2382" cm="1">
        <f t="array" aca="1" ref="E43" ca="1">INDIRECT("'※ 유통플랫폼 세부데이터'!"&amp;E$1&amp;$X43, TRUE)</f>
        <v>11642</v>
      </c>
      <c r="F43" s="2383" cm="1">
        <f t="array" aca="1" ref="F43" ca="1">INDIRECT("'※ 유통플랫폼 세부데이터'!"&amp;F$1&amp;$X43, TRUE)</f>
        <v>3059</v>
      </c>
      <c r="G43" s="2384" cm="1">
        <f t="array" aca="1" ref="G43" ca="1">INDIRECT("'※ 유통플랫폼 세부데이터'!"&amp;G$1&amp;$X43, TRUE)</f>
        <v>1682</v>
      </c>
      <c r="H43" s="2384" cm="1">
        <f t="array" aca="1" ref="H43" ca="1">INDIRECT("'※ 유통플랫폼 세부데이터'!"&amp;H$1&amp;$X43, TRUE)</f>
        <v>1264</v>
      </c>
      <c r="I43" s="2384" cm="1">
        <f t="array" aca="1" ref="I43" ca="1">INDIRECT("'※ 유통플랫폼 세부데이터'!"&amp;I$1&amp;$X43, TRUE)</f>
        <v>1733</v>
      </c>
      <c r="J43" s="2384" cm="1">
        <f t="array" aca="1" ref="J43" ca="1">INDIRECT("'※ 유통플랫폼 세부데이터'!"&amp;J$1&amp;$X43, TRUE)</f>
        <v>883</v>
      </c>
      <c r="K43" s="2384" cm="1">
        <f t="array" aca="1" ref="K43" ca="1">INDIRECT("'※ 유통플랫폼 세부데이터'!"&amp;K$1&amp;$X43, TRUE)</f>
        <v>98</v>
      </c>
      <c r="L43" s="6510" cm="1">
        <f t="array" aca="1" ref="L43" ca="1">INDIRECT("'※ 유통플랫폼 세부데이터'!"&amp;L$1&amp;$X43, TRUE)</f>
        <v>232</v>
      </c>
      <c r="M43" s="2384" cm="1">
        <f t="array" aca="1" ref="M43" ca="1">INDIRECT("'※ 유통플랫폼 세부데이터'!"&amp;M$1&amp;$X43, TRUE)</f>
        <v>616</v>
      </c>
      <c r="N43" s="2384" cm="1">
        <f t="array" aca="1" ref="N43" ca="1">INDIRECT("'※ 유통플랫폼 세부데이터'!"&amp;N$1&amp;$X43, TRUE)</f>
        <v>921</v>
      </c>
      <c r="O43" s="2384" cm="1">
        <f t="array" aca="1" ref="O43" ca="1">INDIRECT("'※ 유통플랫폼 세부데이터'!"&amp;O$1&amp;$X43, TRUE)</f>
        <v>590</v>
      </c>
      <c r="P43" s="2384" cm="1">
        <f t="array" aca="1" ref="P43" ca="1">INDIRECT("'※ 유통플랫폼 세부데이터'!"&amp;P$1&amp;$X43, TRUE)</f>
        <v>285</v>
      </c>
      <c r="Q43" s="2384" cm="1">
        <f t="array" aca="1" ref="Q43" ca="1">INDIRECT("'※ 유통플랫폼 세부데이터'!"&amp;Q$1&amp;$X43, TRUE)</f>
        <v>89</v>
      </c>
      <c r="R43" s="2390" cm="1">
        <f t="array" aca="1" ref="R43" ca="1">INDIRECT("'※ 유통플랫폼 세부데이터'!"&amp;R$1&amp;$X43, TRUE)</f>
        <v>-182</v>
      </c>
      <c r="S43" s="2386" cm="1">
        <f t="array" aca="1" ref="S43" ca="1">INDIRECT("'※ 유통플랫폼 세부데이터'!"&amp;S$1&amp;$X43, TRUE)</f>
        <v>-1657</v>
      </c>
      <c r="T43" s="2387" cm="1">
        <f t="array" aca="1" ref="T43" ca="1">INDIRECT("'※ 유통플랫폼 세부데이터'!"&amp;T$1&amp;$X43, TRUE)</f>
        <v>232</v>
      </c>
      <c r="U43" s="2384" cm="1">
        <f t="array" aca="1" ref="U43" ca="1">INDIRECT("'※ 유통플랫폼 세부데이터'!"&amp;U$1&amp;$X43, TRUE)</f>
        <v>-4509</v>
      </c>
      <c r="V43" s="2388" cm="1">
        <f t="array" aca="1" ref="V43" ca="1">INDIRECT("'※ 유통플랫폼 세부데이터'!"&amp;V$1&amp;$X43, TRUE)</f>
        <v>116</v>
      </c>
      <c r="W43" s="2389" cm="1">
        <f t="array" aca="1" ref="W43" ca="1">INDIRECT("'※ 유통플랫폼 세부데이터'!"&amp;W$1&amp;$X43, TRUE)</f>
        <v>-854.16666666666663</v>
      </c>
      <c r="X43" s="1520">
        <f>ROW('※ 유통플랫폼 세부데이터'!J37)</f>
        <v>37</v>
      </c>
    </row>
    <row r="44" spans="2:25" ht="15" hidden="1" customHeight="1" x14ac:dyDescent="0.55000000000000004">
      <c r="B44" s="7374"/>
      <c r="C44" s="2401" t="s">
        <v>288</v>
      </c>
      <c r="D44" s="2402"/>
      <c r="E44" s="2403" cm="1">
        <f t="array" aca="1" ref="E44" ca="1">INDIRECT("'※ 유통플랫폼 세부데이터'!"&amp;E$1&amp;$X44, TRUE)</f>
        <v>15323</v>
      </c>
      <c r="F44" s="2404" cm="1">
        <f t="array" aca="1" ref="F44" ca="1">INDIRECT("'※ 유통플랫폼 세부데이터'!"&amp;F$1&amp;$X44, TRUE)</f>
        <v>2671</v>
      </c>
      <c r="G44" s="2405" cm="1">
        <f t="array" aca="1" ref="G44" ca="1">INDIRECT("'※ 유통플랫폼 세부데이터'!"&amp;G$1&amp;$X44, TRUE)</f>
        <v>2106</v>
      </c>
      <c r="H44" s="2405" cm="1">
        <f t="array" aca="1" ref="H44" ca="1">INDIRECT("'※ 유통플랫폼 세부데이터'!"&amp;H$1&amp;$X44, TRUE)</f>
        <v>2384</v>
      </c>
      <c r="I44" s="2405" cm="1">
        <f t="array" aca="1" ref="I44" ca="1">INDIRECT("'※ 유통플랫폼 세부데이터'!"&amp;I$1&amp;$X44, TRUE)</f>
        <v>2807</v>
      </c>
      <c r="J44" s="2405" cm="1">
        <f t="array" aca="1" ref="J44" ca="1">INDIRECT("'※ 유통플랫폼 세부데이터'!"&amp;J$1&amp;$X44, TRUE)</f>
        <v>1528</v>
      </c>
      <c r="K44" s="2405" cm="1">
        <f t="array" aca="1" ref="K44" ca="1">INDIRECT("'※ 유통플랫폼 세부데이터'!"&amp;K$1&amp;$X44, TRUE)</f>
        <v>322</v>
      </c>
      <c r="L44" s="6512" cm="1">
        <f t="array" aca="1" ref="L44" ca="1">INDIRECT("'※ 유통플랫폼 세부데이터'!"&amp;L$1&amp;$X44, TRUE)</f>
        <v>643</v>
      </c>
      <c r="M44" s="2405" cm="1">
        <f t="array" aca="1" ref="M44" ca="1">INDIRECT("'※ 유통플랫폼 세부데이터'!"&amp;M$1&amp;$X44, TRUE)</f>
        <v>450</v>
      </c>
      <c r="N44" s="2405" cm="1">
        <f t="array" aca="1" ref="N44" ca="1">INDIRECT("'※ 유통플랫폼 세부데이터'!"&amp;N$1&amp;$X44, TRUE)</f>
        <v>964</v>
      </c>
      <c r="O44" s="2405" cm="1">
        <f t="array" aca="1" ref="O44" ca="1">INDIRECT("'※ 유통플랫폼 세부데이터'!"&amp;O$1&amp;$X44, TRUE)</f>
        <v>598</v>
      </c>
      <c r="P44" s="2405" cm="1">
        <f t="array" aca="1" ref="P44" ca="1">INDIRECT("'※ 유통플랫폼 세부데이터'!"&amp;P$1&amp;$X44, TRUE)</f>
        <v>459</v>
      </c>
      <c r="Q44" s="2405" cm="1">
        <f t="array" aca="1" ref="Q44" ca="1">INDIRECT("'※ 유통플랫폼 세부데이터'!"&amp;Q$1&amp;$X44, TRUE)</f>
        <v>457</v>
      </c>
      <c r="R44" s="2406" cm="1">
        <f t="array" aca="1" ref="R44" ca="1">INDIRECT("'※ 유통플랫폼 세부데이터'!"&amp;R$1&amp;$X44, TRUE)</f>
        <v>-413</v>
      </c>
      <c r="S44" s="2407" cm="1">
        <f t="array" aca="1" ref="S44" ca="1">INDIRECT("'※ 유통플랫폼 세부데이터'!"&amp;S$1&amp;$X44, TRUE)</f>
        <v>-1991</v>
      </c>
      <c r="T44" s="2408" cm="1">
        <f t="array" aca="1" ref="T44" ca="1">INDIRECT("'※ 유통플랫폼 세부데이터'!"&amp;T$1&amp;$X44, TRUE)</f>
        <v>643</v>
      </c>
      <c r="U44" s="2405" cm="1">
        <f t="array" aca="1" ref="U44" ca="1">INDIRECT("'※ 유통플랫폼 세부데이터'!"&amp;U$1&amp;$X44, TRUE)</f>
        <v>-4134</v>
      </c>
      <c r="V44" s="2409" cm="1">
        <f t="array" aca="1" ref="V44" ca="1">INDIRECT("'※ 유통플랫폼 세부데이터'!"&amp;V$1&amp;$X44, TRUE)</f>
        <v>321.5</v>
      </c>
      <c r="W44" s="2410" cm="1">
        <f t="array" aca="1" ref="W44" ca="1">INDIRECT("'※ 유통플랫폼 세부데이터'!"&amp;W$1&amp;$X44, TRUE)</f>
        <v>-955.41666666666674</v>
      </c>
      <c r="X44" s="1520">
        <f>ROW('※ 유통플랫폼 세부데이터'!J38)</f>
        <v>38</v>
      </c>
    </row>
    <row r="45" spans="2:25" ht="15" hidden="1" customHeight="1" x14ac:dyDescent="0.55000000000000004">
      <c r="B45" s="7375"/>
      <c r="C45" s="2412"/>
      <c r="D45" s="678" t="s">
        <v>266</v>
      </c>
      <c r="E45" s="2382" cm="1">
        <f t="array" aca="1" ref="E45" ca="1">INDIRECT("'※ 유통플랫폼 세부데이터'!"&amp;E$1&amp;$X45, TRUE)</f>
        <v>14549</v>
      </c>
      <c r="F45" s="2383" cm="1">
        <f t="array" aca="1" ref="F45" ca="1">INDIRECT("'※ 유통플랫폼 세부데이터'!"&amp;F$1&amp;$X45, TRUE)</f>
        <v>2603</v>
      </c>
      <c r="G45" s="2384" cm="1">
        <f t="array" aca="1" ref="G45" ca="1">INDIRECT("'※ 유통플랫폼 세부데이터'!"&amp;G$1&amp;$X45, TRUE)</f>
        <v>2046</v>
      </c>
      <c r="H45" s="2384" cm="1">
        <f t="array" aca="1" ref="H45" ca="1">INDIRECT("'※ 유통플랫폼 세부데이터'!"&amp;H$1&amp;$X45, TRUE)</f>
        <v>2267</v>
      </c>
      <c r="I45" s="2384" cm="1">
        <f t="array" aca="1" ref="I45" ca="1">INDIRECT("'※ 유통플랫폼 세부데이터'!"&amp;I$1&amp;$X45, TRUE)</f>
        <v>2661</v>
      </c>
      <c r="J45" s="2384" cm="1">
        <f t="array" aca="1" ref="J45" ca="1">INDIRECT("'※ 유통플랫폼 세부데이터'!"&amp;J$1&amp;$X45, TRUE)</f>
        <v>1472</v>
      </c>
      <c r="K45" s="2384" cm="1">
        <f t="array" aca="1" ref="K45" ca="1">INDIRECT("'※ 유통플랫폼 세부데이터'!"&amp;K$1&amp;$X45, TRUE)</f>
        <v>302</v>
      </c>
      <c r="L45" s="6510" cm="1">
        <f t="array" aca="1" ref="L45" ca="1">INDIRECT("'※ 유통플랫폼 세부데이터'!"&amp;L$1&amp;$X45, TRUE)</f>
        <v>602</v>
      </c>
      <c r="M45" s="2384" cm="1">
        <f t="array" aca="1" ref="M45" ca="1">INDIRECT("'※ 유통플랫폼 세부데이터'!"&amp;M$1&amp;$X45, TRUE)</f>
        <v>415</v>
      </c>
      <c r="N45" s="2384" cm="1">
        <f t="array" aca="1" ref="N45" ca="1">INDIRECT("'※ 유통플랫폼 세부데이터'!"&amp;N$1&amp;$X45, TRUE)</f>
        <v>834</v>
      </c>
      <c r="O45" s="2384" cm="1">
        <f t="array" aca="1" ref="O45" ca="1">INDIRECT("'※ 유통플랫폼 세부데이터'!"&amp;O$1&amp;$X45, TRUE)</f>
        <v>540</v>
      </c>
      <c r="P45" s="2384" cm="1">
        <f t="array" aca="1" ref="P45" ca="1">INDIRECT("'※ 유통플랫폼 세부데이터'!"&amp;P$1&amp;$X45, TRUE)</f>
        <v>416</v>
      </c>
      <c r="Q45" s="2384" cm="1">
        <f t="array" aca="1" ref="Q45" ca="1">INDIRECT("'※ 유통플랫폼 세부데이터'!"&amp;Q$1&amp;$X45, TRUE)</f>
        <v>441</v>
      </c>
      <c r="R45" s="2390" cm="1">
        <f t="array" aca="1" ref="R45" ca="1">INDIRECT("'※ 유통플랫폼 세부데이터'!"&amp;R$1&amp;$X45, TRUE)</f>
        <v>-398</v>
      </c>
      <c r="S45" s="2386" cm="1">
        <f t="array" aca="1" ref="S45" ca="1">INDIRECT("'※ 유통플랫폼 세부데이터'!"&amp;S$1&amp;$X45, TRUE)</f>
        <v>-1944</v>
      </c>
      <c r="T45" s="2387" cm="1">
        <f t="array" aca="1" ref="T45" ca="1">INDIRECT("'※ 유통플랫폼 세부데이터'!"&amp;T$1&amp;$X45, TRUE)</f>
        <v>602</v>
      </c>
      <c r="U45" s="2384" cm="1">
        <f t="array" aca="1" ref="U45" ca="1">INDIRECT("'※ 유통플랫폼 세부데이터'!"&amp;U$1&amp;$X45, TRUE)</f>
        <v>-4047</v>
      </c>
      <c r="V45" s="2388" cm="1">
        <f t="array" aca="1" ref="V45" ca="1">INDIRECT("'※ 유통플랫폼 세부데이터'!"&amp;V$1&amp;$X45, TRUE)</f>
        <v>301</v>
      </c>
      <c r="W45" s="2389" cm="1">
        <f t="array" aca="1" ref="W45" ca="1">INDIRECT("'※ 유통플랫폼 세부데이터'!"&amp;W$1&amp;$X45, TRUE)</f>
        <v>-911.41666666666674</v>
      </c>
      <c r="X45" s="1596">
        <f>ROW('※ 유통플랫폼 세부데이터'!J39)</f>
        <v>39</v>
      </c>
      <c r="Y45" s="698"/>
    </row>
    <row r="46" spans="2:25" ht="15" hidden="1" customHeight="1" x14ac:dyDescent="0.55000000000000004">
      <c r="B46" s="7375"/>
      <c r="C46" s="2413"/>
      <c r="D46" s="2414" t="s">
        <v>320</v>
      </c>
      <c r="E46" s="2415" cm="1">
        <f t="array" aca="1" ref="E46" ca="1">INDIRECT("'※ 유통플랫폼 세부데이터'!"&amp;E$1&amp;$X46, TRUE)</f>
        <v>774</v>
      </c>
      <c r="F46" s="2416" cm="1">
        <f t="array" aca="1" ref="F46" ca="1">INDIRECT("'※ 유통플랫폼 세부데이터'!"&amp;F$1&amp;$X46, TRUE)</f>
        <v>68</v>
      </c>
      <c r="G46" s="2417" cm="1">
        <f t="array" aca="1" ref="G46" ca="1">INDIRECT("'※ 유통플랫폼 세부데이터'!"&amp;G$1&amp;$X46, TRUE)</f>
        <v>60</v>
      </c>
      <c r="H46" s="2417" cm="1">
        <f t="array" aca="1" ref="H46" ca="1">INDIRECT("'※ 유통플랫폼 세부데이터'!"&amp;H$1&amp;$X46, TRUE)</f>
        <v>117</v>
      </c>
      <c r="I46" s="2417" cm="1">
        <f t="array" aca="1" ref="I46" ca="1">INDIRECT("'※ 유통플랫폼 세부데이터'!"&amp;I$1&amp;$X46, TRUE)</f>
        <v>146</v>
      </c>
      <c r="J46" s="2417" cm="1">
        <f t="array" aca="1" ref="J46" ca="1">INDIRECT("'※ 유통플랫폼 세부데이터'!"&amp;J$1&amp;$X46, TRUE)</f>
        <v>56</v>
      </c>
      <c r="K46" s="2417" cm="1">
        <f t="array" aca="1" ref="K46" ca="1">INDIRECT("'※ 유통플랫폼 세부데이터'!"&amp;K$1&amp;$X46, TRUE)</f>
        <v>20</v>
      </c>
      <c r="L46" s="6513" cm="1">
        <f t="array" aca="1" ref="L46" ca="1">INDIRECT("'※ 유통플랫폼 세부데이터'!"&amp;L$1&amp;$X46, TRUE)</f>
        <v>41</v>
      </c>
      <c r="M46" s="2417" cm="1">
        <f t="array" aca="1" ref="M46" ca="1">INDIRECT("'※ 유통플랫폼 세부데이터'!"&amp;M$1&amp;$X46, TRUE)</f>
        <v>35</v>
      </c>
      <c r="N46" s="2417" cm="1">
        <f t="array" aca="1" ref="N46" ca="1">INDIRECT("'※ 유통플랫폼 세부데이터'!"&amp;N$1&amp;$X46, TRUE)</f>
        <v>130</v>
      </c>
      <c r="O46" s="2417" cm="1">
        <f t="array" aca="1" ref="O46" ca="1">INDIRECT("'※ 유통플랫폼 세부데이터'!"&amp;O$1&amp;$X46, TRUE)</f>
        <v>58</v>
      </c>
      <c r="P46" s="2417" cm="1">
        <f t="array" aca="1" ref="P46" ca="1">INDIRECT("'※ 유통플랫폼 세부데이터'!"&amp;P$1&amp;$X46, TRUE)</f>
        <v>43</v>
      </c>
      <c r="Q46" s="2417" cm="1">
        <f t="array" aca="1" ref="Q46" ca="1">INDIRECT("'※ 유통플랫폼 세부데이터'!"&amp;Q$1&amp;$X46, TRUE)</f>
        <v>16</v>
      </c>
      <c r="R46" s="2418" cm="1">
        <f t="array" aca="1" ref="R46" ca="1">INDIRECT("'※ 유통플랫폼 세부데이터'!"&amp;R$1&amp;$X46, TRUE)</f>
        <v>-15</v>
      </c>
      <c r="S46" s="2419" cm="1">
        <f t="array" aca="1" ref="S46" ca="1">INDIRECT("'※ 유통플랫폼 세부데이터'!"&amp;S$1&amp;$X46, TRUE)</f>
        <v>-47</v>
      </c>
      <c r="T46" s="2420" cm="1">
        <f t="array" aca="1" ref="T46" ca="1">INDIRECT("'※ 유통플랫폼 세부데이터'!"&amp;T$1&amp;$X46, TRUE)</f>
        <v>41</v>
      </c>
      <c r="U46" s="2417" cm="1">
        <f t="array" aca="1" ref="U46" ca="1">INDIRECT("'※ 유통플랫폼 세부데이터'!"&amp;U$1&amp;$X46, TRUE)</f>
        <v>-87</v>
      </c>
      <c r="V46" s="2421" cm="1">
        <f t="array" aca="1" ref="V46" ca="1">INDIRECT("'※ 유통플랫폼 세부데이터'!"&amp;V$1&amp;$X46, TRUE)</f>
        <v>20.5</v>
      </c>
      <c r="W46" s="2422" cm="1">
        <f t="array" aca="1" ref="W46" ca="1">INDIRECT("'※ 유통플랫폼 세부데이터'!"&amp;W$1&amp;$X46, TRUE)</f>
        <v>-44</v>
      </c>
      <c r="X46" s="1596">
        <f>ROW('※ 유통플랫폼 세부데이터'!J40)</f>
        <v>40</v>
      </c>
      <c r="Y46" s="698"/>
    </row>
    <row r="47" spans="2:25" ht="15" customHeight="1" x14ac:dyDescent="0.55000000000000004">
      <c r="B47" s="7375"/>
      <c r="C47" s="2423" t="s">
        <v>335</v>
      </c>
      <c r="D47" s="2424"/>
      <c r="E47" s="2425" cm="1">
        <f t="array" aca="1" ref="E47" ca="1">INDIRECT("'※ 유통플랫폼 세부데이터'!"&amp;E$1&amp;$X47, TRUE)</f>
        <v>12238</v>
      </c>
      <c r="F47" s="2426" cm="1">
        <f t="array" aca="1" ref="F47" ca="1">INDIRECT("'※ 유통플랫폼 세부데이터'!"&amp;F$1&amp;$X47, TRUE)</f>
        <v>1359</v>
      </c>
      <c r="G47" s="2427" cm="1">
        <f t="array" aca="1" ref="G47" ca="1">INDIRECT("'※ 유통플랫폼 세부데이터'!"&amp;G$1&amp;$X47, TRUE)</f>
        <v>3661</v>
      </c>
      <c r="H47" s="2427" cm="1">
        <f t="array" aca="1" ref="H47" ca="1">INDIRECT("'※ 유통플랫폼 세부데이터'!"&amp;H$1&amp;$X47, TRUE)</f>
        <v>1088</v>
      </c>
      <c r="I47" s="2427" cm="1">
        <f t="array" aca="1" ref="I47" ca="1">INDIRECT("'※ 유통플랫폼 세부데이터'!"&amp;I$1&amp;$X47, TRUE)</f>
        <v>746</v>
      </c>
      <c r="J47" s="2427" cm="1">
        <f t="array" aca="1" ref="J47" ca="1">INDIRECT("'※ 유통플랫폼 세부데이터'!"&amp;J$1&amp;$X47, TRUE)</f>
        <v>996</v>
      </c>
      <c r="K47" s="2427" cm="1">
        <f t="array" aca="1" ref="K47" ca="1">INDIRECT("'※ 유통플랫폼 세부데이터'!"&amp;K$1&amp;$X47, TRUE)</f>
        <v>620</v>
      </c>
      <c r="L47" s="6514" cm="1">
        <f t="array" aca="1" ref="L47" ca="1">INDIRECT("'※ 유통플랫폼 세부데이터'!"&amp;L$1&amp;$X47, TRUE)</f>
        <v>1258</v>
      </c>
      <c r="M47" s="2427" cm="1">
        <f t="array" aca="1" ref="M47" ca="1">INDIRECT("'※ 유통플랫폼 세부데이터'!"&amp;M$1&amp;$X47, TRUE)</f>
        <v>460</v>
      </c>
      <c r="N47" s="2427" cm="1">
        <f t="array" aca="1" ref="N47" ca="1">INDIRECT("'※ 유통플랫폼 세부데이터'!"&amp;N$1&amp;$X47, TRUE)</f>
        <v>843</v>
      </c>
      <c r="O47" s="2427" cm="1">
        <f t="array" aca="1" ref="O47" ca="1">INDIRECT("'※ 유통플랫폼 세부데이터'!"&amp;O$1&amp;$X47, TRUE)</f>
        <v>634</v>
      </c>
      <c r="P47" s="2427" cm="1">
        <f t="array" aca="1" ref="P47" ca="1">INDIRECT("'※ 유통플랫폼 세부데이터'!"&amp;P$1&amp;$X47, TRUE)</f>
        <v>388</v>
      </c>
      <c r="Q47" s="2427" cm="1">
        <f t="array" aca="1" ref="Q47" ca="1">INDIRECT("'※ 유통플랫폼 세부데이터'!"&amp;Q$1&amp;$X47, TRUE)</f>
        <v>487</v>
      </c>
      <c r="R47" s="2428" cm="1">
        <f t="array" aca="1" ref="R47" ca="1">INDIRECT("'※ 유통플랫폼 세부데이터'!"&amp;R$1&amp;$X47, TRUE)</f>
        <v>-650</v>
      </c>
      <c r="S47" s="2429" cm="1">
        <f t="array" aca="1" ref="S47" ca="1">INDIRECT("'※ 유통플랫폼 세부데이터'!"&amp;S$1&amp;$X47, TRUE)</f>
        <v>-3357</v>
      </c>
      <c r="T47" s="2430" cm="1">
        <f t="array" aca="1" ref="T47" ca="1">INDIRECT("'※ 유통플랫폼 세부데이터'!"&amp;T$1&amp;$X47, TRUE)</f>
        <v>1258</v>
      </c>
      <c r="U47" s="2431" cm="1">
        <f t="array" aca="1" ref="U47" ca="1">INDIRECT("'※ 유통플랫폼 세부데이터'!"&amp;U$1&amp;$X47, TRUE)</f>
        <v>-3762</v>
      </c>
      <c r="V47" s="2432" cm="1">
        <f t="array" aca="1" ref="V47" ca="1">INDIRECT("'※ 유통플랫폼 세부데이터'!"&amp;V$1&amp;$X47, TRUE)</f>
        <v>629</v>
      </c>
      <c r="W47" s="2433" cm="1">
        <f t="array" aca="1" ref="W47" ca="1">INDIRECT("'※ 유통플랫폼 세부데이터'!"&amp;W$1&amp;$X47, TRUE)</f>
        <v>-390.83333333333337</v>
      </c>
      <c r="X47" s="1596">
        <f>ROW('※ 유통플랫폼 세부데이터'!J41)</f>
        <v>41</v>
      </c>
      <c r="Y47" s="698"/>
    </row>
    <row r="48" spans="2:25" ht="15" customHeight="1" x14ac:dyDescent="0.55000000000000004">
      <c r="B48" s="7375"/>
      <c r="C48" s="2434" t="s">
        <v>325</v>
      </c>
      <c r="D48" s="2435"/>
      <c r="E48" s="2436"/>
      <c r="F48" s="2437" cm="1">
        <f t="array" aca="1" ref="F48" ca="1">INDIRECT("'※ 유통플랫폼 세부데이터'!"&amp;F$1&amp;$X48, TRUE)</f>
        <v>3121</v>
      </c>
      <c r="G48" s="2438" cm="1">
        <f t="array" aca="1" ref="G48" ca="1">INDIRECT("'※ 유통플랫폼 세부데이터'!"&amp;G$1&amp;$X48, TRUE)</f>
        <v>2802</v>
      </c>
      <c r="H48" s="2438" cm="1">
        <f t="array" aca="1" ref="H48" ca="1">INDIRECT("'※ 유통플랫폼 세부데이터'!"&amp;H$1&amp;$X48, TRUE)</f>
        <v>3544</v>
      </c>
      <c r="I48" s="2438" cm="1">
        <f t="array" aca="1" ref="I48" ca="1">INDIRECT("'※ 유통플랫폼 세부데이터'!"&amp;I$1&amp;$X48, TRUE)</f>
        <v>2973</v>
      </c>
      <c r="J48" s="2438" cm="1">
        <f t="array" aca="1" ref="J48" ca="1">INDIRECT("'※ 유통플랫폼 세부데이터'!"&amp;J$1&amp;$X48, TRUE)</f>
        <v>3012</v>
      </c>
      <c r="K48" s="2439" cm="1">
        <f t="array" aca="1" ref="K48" ca="1">INDIRECT("'※ 유통플랫폼 세부데이터'!"&amp;K$1&amp;$X48, TRUE)</f>
        <v>8320</v>
      </c>
      <c r="L48" s="6515"/>
      <c r="M48" s="2439" cm="1">
        <f t="array" aca="1" ref="M48" ca="1">INDIRECT("'※ 유통플랫폼 세부데이터'!"&amp;M$1&amp;$X48, TRUE)</f>
        <v>4627</v>
      </c>
      <c r="N48" s="2439" cm="1">
        <f t="array" aca="1" ref="N48" ca="1">INDIRECT("'※ 유통플랫폼 세부데이터'!"&amp;N$1&amp;$X48, TRUE)</f>
        <v>4369</v>
      </c>
      <c r="O48" s="2439" cm="1">
        <f t="array" aca="1" ref="O48" ca="1">INDIRECT("'※ 유통플랫폼 세부데이터'!"&amp;O$1&amp;$X48, TRUE)</f>
        <v>2979</v>
      </c>
      <c r="P48" s="2439" cm="1">
        <f t="array" aca="1" ref="P48" ca="1">INDIRECT("'※ 유통플랫폼 세부데이터'!"&amp;P$1&amp;$X48, TRUE)</f>
        <v>2347</v>
      </c>
      <c r="Q48" s="2439" cm="1">
        <f t="array" aca="1" ref="Q48" ca="1">INDIRECT("'※ 유통플랫폼 세부데이터'!"&amp;Q$1&amp;$X48, TRUE)</f>
        <v>2396</v>
      </c>
      <c r="R48" s="2440" cm="1">
        <f t="array" aca="1" ref="R48" ca="1">INDIRECT("'※ 유통플랫폼 세부데이터'!"&amp;R$1&amp;$X48, TRUE)</f>
        <v>-1088</v>
      </c>
      <c r="S48" s="2441" cm="1">
        <f t="array" aca="1" ref="S48" ca="1">INDIRECT("'※ 유통플랫폼 세부데이터'!"&amp;S$1&amp;$X48, TRUE)</f>
        <v>-725</v>
      </c>
      <c r="T48" s="2442" cm="1">
        <f t="array" aca="1" ref="T48" ca="1">INDIRECT("'※ 유통플랫폼 세부데이터'!"&amp;T$1&amp;$X48, TRUE)</f>
        <v>5242</v>
      </c>
      <c r="U48" s="2438" cm="1">
        <f t="array" aca="1" ref="U48" ca="1">INDIRECT("'※ 유통플랫폼 세부데이터'!"&amp;U$1&amp;$X48, TRUE)</f>
        <v>-681</v>
      </c>
      <c r="V48" s="2440" cm="1">
        <f t="array" aca="1" ref="V48" ca="1">INDIRECT("'※ 유통플랫폼 세부데이터'!"&amp;V$1&amp;$X48, TRUE)</f>
        <v>2621</v>
      </c>
      <c r="W48" s="2443" cm="1">
        <f t="array" aca="1" ref="W48" ca="1">INDIRECT("'※ 유통플랫폼 세부데이터'!"&amp;W$1&amp;$X48, TRUE)</f>
        <v>-1346.4166666666665</v>
      </c>
      <c r="X48" s="1596">
        <f>ROW('※ 유통플랫폼 세부데이터'!J42)</f>
        <v>42</v>
      </c>
      <c r="Y48" s="698"/>
    </row>
    <row r="49" spans="2:25" ht="12" customHeight="1" x14ac:dyDescent="0.55000000000000004">
      <c r="B49" s="7375"/>
      <c r="C49" s="2434"/>
      <c r="D49" s="2444" t="s">
        <v>326</v>
      </c>
      <c r="E49" s="2445"/>
      <c r="F49" s="2446" cm="1">
        <f t="array" aca="1" ref="F49" ca="1">INDIRECT("'※ 유통플랫폼 세부데이터'!"&amp;F$1&amp;$X49, TRUE)</f>
        <v>935</v>
      </c>
      <c r="G49" s="2447" cm="1">
        <f t="array" aca="1" ref="G49" ca="1">INDIRECT("'※ 유통플랫폼 세부데이터'!"&amp;G$1&amp;$X49, TRUE)</f>
        <v>1875</v>
      </c>
      <c r="H49" s="2447" cm="1">
        <f t="array" aca="1" ref="H49" ca="1">INDIRECT("'※ 유통플랫폼 세부데이터'!"&amp;H$1&amp;$X49, TRUE)</f>
        <v>1477</v>
      </c>
      <c r="I49" s="2447" cm="1">
        <f t="array" aca="1" ref="I49" ca="1">INDIRECT("'※ 유통플랫폼 세부데이터'!"&amp;I$1&amp;$X49, TRUE)</f>
        <v>2801</v>
      </c>
      <c r="J49" s="2447" cm="1">
        <f t="array" aca="1" ref="J49" ca="1">INDIRECT("'※ 유통플랫폼 세부데이터'!"&amp;J$1&amp;$X49, TRUE)</f>
        <v>1651</v>
      </c>
      <c r="K49" s="2448" cm="1">
        <f t="array" aca="1" ref="K49" ca="1">INDIRECT("'※ 유통플랫폼 세부데이터'!"&amp;K$1&amp;$X49, TRUE)</f>
        <v>7840</v>
      </c>
      <c r="L49" s="6516"/>
      <c r="M49" s="2448" cm="1">
        <f t="array" aca="1" ref="M49" ca="1">INDIRECT("'※ 유통플랫폼 세부데이터'!"&amp;M$1&amp;$X49, TRUE)</f>
        <v>3382</v>
      </c>
      <c r="N49" s="2448" cm="1">
        <f t="array" aca="1" ref="N49" ca="1">INDIRECT("'※ 유통플랫폼 세부데이터'!"&amp;N$1&amp;$X49, TRUE)</f>
        <v>3519</v>
      </c>
      <c r="O49" s="2448" cm="1">
        <f t="array" aca="1" ref="O49" ca="1">INDIRECT("'※ 유통플랫폼 세부데이터'!"&amp;O$1&amp;$X49, TRUE)</f>
        <v>2029</v>
      </c>
      <c r="P49" s="2448" cm="1">
        <f t="array" aca="1" ref="P49" ca="1">INDIRECT("'※ 유통플랫폼 세부데이터'!"&amp;P$1&amp;$X49, TRUE)</f>
        <v>1529</v>
      </c>
      <c r="Q49" s="2448" cm="1">
        <f t="array" aca="1" ref="Q49" ca="1">INDIRECT("'※ 유통플랫폼 세부데이터'!"&amp;Q$1&amp;$X49, TRUE)</f>
        <v>1619</v>
      </c>
      <c r="R49" s="2449" cm="1">
        <f t="array" aca="1" ref="R49" ca="1">INDIRECT("'※ 유통플랫폼 세부데이터'!"&amp;R$1&amp;$X49, TRUE)</f>
        <v>-973</v>
      </c>
      <c r="S49" s="2450" cm="1">
        <f t="array" aca="1" ref="S49" ca="1">INDIRECT("'※ 유통플랫폼 세부데이터'!"&amp;S$1&amp;$X49, TRUE)</f>
        <v>-385</v>
      </c>
      <c r="T49" s="2451" cm="1">
        <f t="array" aca="1" ref="T49" ca="1">INDIRECT("'※ 유통플랫폼 세부데이터'!"&amp;T$1&amp;$X49, TRUE)</f>
        <v>3953</v>
      </c>
      <c r="U49" s="2447" cm="1">
        <f t="array" aca="1" ref="U49" ca="1">INDIRECT("'※ 유통플랫폼 세부데이터'!"&amp;U$1&amp;$X49, TRUE)</f>
        <v>1143</v>
      </c>
      <c r="V49" s="2449" cm="1">
        <f t="array" aca="1" ref="V49" ca="1">INDIRECT("'※ 유통플랫폼 세부데이터'!"&amp;V$1&amp;$X49, TRUE)</f>
        <v>1976.5</v>
      </c>
      <c r="W49" s="2452" cm="1">
        <f t="array" aca="1" ref="W49" ca="1">INDIRECT("'※ 유통플랫폼 세부데이터'!"&amp;W$1&amp;$X49, TRUE)</f>
        <v>-997</v>
      </c>
      <c r="X49" s="1596">
        <f>ROW('※ 유통플랫폼 세부데이터'!J43)</f>
        <v>43</v>
      </c>
      <c r="Y49" s="698"/>
    </row>
    <row r="50" spans="2:25" ht="12" customHeight="1" x14ac:dyDescent="0.55000000000000004">
      <c r="B50" s="7375"/>
      <c r="C50" s="2434"/>
      <c r="D50" s="2444" t="s">
        <v>327</v>
      </c>
      <c r="E50" s="2445"/>
      <c r="F50" s="2446" cm="1">
        <f t="array" aca="1" ref="F50" ca="1">INDIRECT("'※ 유통플랫폼 세부데이터'!"&amp;F$1&amp;$X50, TRUE)</f>
        <v>235</v>
      </c>
      <c r="G50" s="2447" cm="1">
        <f t="array" aca="1" ref="G50" ca="1">INDIRECT("'※ 유통플랫폼 세부데이터'!"&amp;G$1&amp;$X50, TRUE)</f>
        <v>256</v>
      </c>
      <c r="H50" s="2447" cm="1">
        <f t="array" aca="1" ref="H50" ca="1">INDIRECT("'※ 유통플랫폼 세부데이터'!"&amp;H$1&amp;$X50, TRUE)</f>
        <v>362</v>
      </c>
      <c r="I50" s="2447" cm="1">
        <f t="array" aca="1" ref="I50" ca="1">INDIRECT("'※ 유통플랫폼 세부데이터'!"&amp;I$1&amp;$X50, TRUE)</f>
        <v>339</v>
      </c>
      <c r="J50" s="2447" cm="1">
        <f t="array" aca="1" ref="J50" ca="1">INDIRECT("'※ 유통플랫폼 세부데이터'!"&amp;J$1&amp;$X50, TRUE)</f>
        <v>740</v>
      </c>
      <c r="K50" s="2448" cm="1">
        <f t="array" aca="1" ref="K50" ca="1">INDIRECT("'※ 유통플랫폼 세부데이터'!"&amp;K$1&amp;$X50, TRUE)</f>
        <v>5986</v>
      </c>
      <c r="L50" s="6516"/>
      <c r="M50" s="2448" cm="1">
        <f t="array" aca="1" ref="M50" ca="1">INDIRECT("'※ 유통플랫폼 세부데이터'!"&amp;M$1&amp;$X50, TRUE)</f>
        <v>2667</v>
      </c>
      <c r="N50" s="2448" cm="1">
        <f t="array" aca="1" ref="N50" ca="1">INDIRECT("'※ 유통플랫폼 세부데이터'!"&amp;N$1&amp;$X50, TRUE)</f>
        <v>2600</v>
      </c>
      <c r="O50" s="2448" cm="1">
        <f t="array" aca="1" ref="O50" ca="1">INDIRECT("'※ 유통플랫폼 세부데이터'!"&amp;O$1&amp;$X50, TRUE)</f>
        <v>1043</v>
      </c>
      <c r="P50" s="2448" cm="1">
        <f t="array" aca="1" ref="P50" ca="1">INDIRECT("'※ 유통플랫폼 세부데이터'!"&amp;P$1&amp;$X50, TRUE)</f>
        <v>728</v>
      </c>
      <c r="Q50" s="2448" cm="1">
        <f t="array" aca="1" ref="Q50" ca="1">INDIRECT("'※ 유통플랫폼 세부데이터'!"&amp;Q$1&amp;$X50, TRUE)</f>
        <v>527</v>
      </c>
      <c r="R50" s="2449" cm="1">
        <f t="array" aca="1" ref="R50" ca="1">INDIRECT("'※ 유통플랫폼 세부데이터'!"&amp;R$1&amp;$X50, TRUE)</f>
        <v>-440</v>
      </c>
      <c r="S50" s="2450" cm="1">
        <f t="array" aca="1" ref="S50" ca="1">INDIRECT("'※ 유통플랫폼 세부데이터'!"&amp;S$1&amp;$X50, TRUE)</f>
        <v>137</v>
      </c>
      <c r="T50" s="2451" cm="1">
        <f t="array" aca="1" ref="T50" ca="1">INDIRECT("'※ 유통플랫폼 세부데이터'!"&amp;T$1&amp;$X50, TRUE)</f>
        <v>1226</v>
      </c>
      <c r="U50" s="2447" cm="1">
        <f t="array" aca="1" ref="U50" ca="1">INDIRECT("'※ 유통플랫폼 세부데이터'!"&amp;U$1&amp;$X50, TRUE)</f>
        <v>735</v>
      </c>
      <c r="V50" s="2449" cm="1">
        <f t="array" aca="1" ref="V50" ca="1">INDIRECT("'※ 유통플랫폼 세부데이터'!"&amp;V$1&amp;$X50, TRUE)</f>
        <v>613</v>
      </c>
      <c r="W50" s="2452" cm="1">
        <f t="array" aca="1" ref="W50" ca="1">INDIRECT("'※ 유통플랫폼 세부데이터'!"&amp;W$1&amp;$X50, TRUE)</f>
        <v>-1064.5</v>
      </c>
      <c r="X50" s="1596">
        <f>ROW('※ 유통플랫폼 세부데이터'!J44)</f>
        <v>44</v>
      </c>
      <c r="Y50" s="698"/>
    </row>
    <row r="51" spans="2:25" ht="12" customHeight="1" x14ac:dyDescent="0.55000000000000004">
      <c r="B51" s="7375"/>
      <c r="C51" s="2434"/>
      <c r="D51" s="2444" t="s">
        <v>328</v>
      </c>
      <c r="E51" s="2445"/>
      <c r="F51" s="2446" cm="1">
        <f t="array" aca="1" ref="F51" ca="1">INDIRECT("'※ 유통플랫폼 세부데이터'!"&amp;F$1&amp;$X51, TRUE)</f>
        <v>455</v>
      </c>
      <c r="G51" s="2447" cm="1">
        <f t="array" aca="1" ref="G51" ca="1">INDIRECT("'※ 유통플랫폼 세부데이터'!"&amp;G$1&amp;$X51, TRUE)</f>
        <v>923</v>
      </c>
      <c r="H51" s="2447" cm="1">
        <f t="array" aca="1" ref="H51" ca="1">INDIRECT("'※ 유통플랫폼 세부데이터'!"&amp;H$1&amp;$X51, TRUE)</f>
        <v>550</v>
      </c>
      <c r="I51" s="2447" cm="1">
        <f t="array" aca="1" ref="I51" ca="1">INDIRECT("'※ 유통플랫폼 세부데이터'!"&amp;I$1&amp;$X51, TRUE)</f>
        <v>613</v>
      </c>
      <c r="J51" s="2447" cm="1">
        <f t="array" aca="1" ref="J51" ca="1">INDIRECT("'※ 유통플랫폼 세부데이터'!"&amp;J$1&amp;$X51, TRUE)</f>
        <v>634</v>
      </c>
      <c r="K51" s="2448" cm="1">
        <f t="array" aca="1" ref="K51" ca="1">INDIRECT("'※ 유통플랫폼 세부데이터'!"&amp;K$1&amp;$X51, TRUE)</f>
        <v>2525</v>
      </c>
      <c r="L51" s="6516"/>
      <c r="M51" s="2448" cm="1">
        <f t="array" aca="1" ref="M51" ca="1">INDIRECT("'※ 유통플랫폼 세부데이터'!"&amp;M$1&amp;$X51, TRUE)</f>
        <v>2260</v>
      </c>
      <c r="N51" s="2448" cm="1">
        <f t="array" aca="1" ref="N51" ca="1">INDIRECT("'※ 유통플랫폼 세부데이터'!"&amp;N$1&amp;$X51, TRUE)</f>
        <v>2285</v>
      </c>
      <c r="O51" s="2448" cm="1">
        <f t="array" aca="1" ref="O51" ca="1">INDIRECT("'※ 유통플랫폼 세부데이터'!"&amp;O$1&amp;$X51, TRUE)</f>
        <v>1756</v>
      </c>
      <c r="P51" s="2448" cm="1">
        <f t="array" aca="1" ref="P51" ca="1">INDIRECT("'※ 유통플랫폼 세부데이터'!"&amp;P$1&amp;$X51, TRUE)</f>
        <v>1190</v>
      </c>
      <c r="Q51" s="2448" cm="1">
        <f t="array" aca="1" ref="Q51" ca="1">INDIRECT("'※ 유통플랫폼 세부데이터'!"&amp;Q$1&amp;$X51, TRUE)</f>
        <v>1378</v>
      </c>
      <c r="R51" s="2449" cm="1">
        <f t="array" aca="1" ref="R51" ca="1">INDIRECT("'※ 유통플랫폼 세부데이터'!"&amp;R$1&amp;$X51, TRUE)</f>
        <v>-618</v>
      </c>
      <c r="S51" s="2450" cm="1">
        <f t="array" aca="1" ref="S51" ca="1">INDIRECT("'※ 유통플랫폼 세부데이터'!"&amp;S$1&amp;$X51, TRUE)</f>
        <v>156</v>
      </c>
      <c r="T51" s="2451" cm="1">
        <f t="array" aca="1" ref="T51" ca="1">INDIRECT("'※ 유통플랫폼 세부데이터'!"&amp;T$1&amp;$X51, TRUE)</f>
        <v>2776</v>
      </c>
      <c r="U51" s="2447" cm="1">
        <f t="array" aca="1" ref="U51" ca="1">INDIRECT("'※ 유통플랫폼 세부데이터'!"&amp;U$1&amp;$X51, TRUE)</f>
        <v>1398</v>
      </c>
      <c r="V51" s="2449" cm="1">
        <f t="array" aca="1" ref="V51" ca="1">INDIRECT("'※ 유통플랫폼 세부데이터'!"&amp;V$1&amp;$X51, TRUE)</f>
        <v>1388</v>
      </c>
      <c r="W51" s="2452" cm="1">
        <f t="array" aca="1" ref="W51" ca="1">INDIRECT("'※ 유통플랫폼 세부데이터'!"&amp;W$1&amp;$X51, TRUE)</f>
        <v>-114.91666666666674</v>
      </c>
      <c r="X51" s="1596">
        <f>ROW('※ 유통플랫폼 세부데이터'!J45)</f>
        <v>45</v>
      </c>
      <c r="Y51" s="698"/>
    </row>
    <row r="52" spans="2:25" ht="12" customHeight="1" x14ac:dyDescent="0.55000000000000004">
      <c r="B52" s="7375"/>
      <c r="C52" s="2434"/>
      <c r="D52" s="2444" t="s">
        <v>329</v>
      </c>
      <c r="E52" s="2445"/>
      <c r="F52" s="2446" cm="1">
        <f t="array" aca="1" ref="F52" ca="1">INDIRECT("'※ 유통플랫폼 세부데이터'!"&amp;F$1&amp;$X52, TRUE)</f>
        <v>288</v>
      </c>
      <c r="G52" s="2447" cm="1">
        <f t="array" aca="1" ref="G52" ca="1">INDIRECT("'※ 유통플랫폼 세부데이터'!"&amp;G$1&amp;$X52, TRUE)</f>
        <v>610</v>
      </c>
      <c r="H52" s="2447" cm="1">
        <f t="array" aca="1" ref="H52" ca="1">INDIRECT("'※ 유통플랫폼 세부데이터'!"&amp;H$1&amp;$X52, TRUE)</f>
        <v>332</v>
      </c>
      <c r="I52" s="2447" cm="1">
        <f t="array" aca="1" ref="I52" ca="1">INDIRECT("'※ 유통플랫폼 세부데이터'!"&amp;I$1&amp;$X52, TRUE)</f>
        <v>436</v>
      </c>
      <c r="J52" s="2447" cm="1">
        <f t="array" aca="1" ref="J52" ca="1">INDIRECT("'※ 유통플랫폼 세부데이터'!"&amp;J$1&amp;$X52, TRUE)</f>
        <v>510</v>
      </c>
      <c r="K52" s="2448" cm="1">
        <f t="array" aca="1" ref="K52" ca="1">INDIRECT("'※ 유통플랫폼 세부데이터'!"&amp;K$1&amp;$X52, TRUE)</f>
        <v>1555</v>
      </c>
      <c r="L52" s="6516"/>
      <c r="M52" s="2448" cm="1">
        <f t="array" aca="1" ref="M52" ca="1">INDIRECT("'※ 유통플랫폼 세부데이터'!"&amp;M$1&amp;$X52, TRUE)</f>
        <v>1128</v>
      </c>
      <c r="N52" s="2448" cm="1">
        <f t="array" aca="1" ref="N52" ca="1">INDIRECT("'※ 유통플랫폼 세부데이터'!"&amp;N$1&amp;$X52, TRUE)</f>
        <v>1196</v>
      </c>
      <c r="O52" s="2448" cm="1">
        <f t="array" aca="1" ref="O52" ca="1">INDIRECT("'※ 유통플랫폼 세부데이터'!"&amp;O$1&amp;$X52, TRUE)</f>
        <v>1096</v>
      </c>
      <c r="P52" s="2448" cm="1">
        <f t="array" aca="1" ref="P52" ca="1">INDIRECT("'※ 유통플랫폼 세부데이터'!"&amp;P$1&amp;$X52, TRUE)</f>
        <v>729</v>
      </c>
      <c r="Q52" s="2448" cm="1">
        <f t="array" aca="1" ref="Q52" ca="1">INDIRECT("'※ 유통플랫폼 세부데이터'!"&amp;Q$1&amp;$X52, TRUE)</f>
        <v>658</v>
      </c>
      <c r="R52" s="2449" cm="1">
        <f t="array" aca="1" ref="R52" ca="1">INDIRECT("'※ 유통플랫폼 세부데이터'!"&amp;R$1&amp;$X52, TRUE)</f>
        <v>-247</v>
      </c>
      <c r="S52" s="2450" cm="1">
        <f t="array" aca="1" ref="S52" ca="1">INDIRECT("'※ 유통플랫폼 세부데이터'!"&amp;S$1&amp;$X52, TRUE)</f>
        <v>80</v>
      </c>
      <c r="T52" s="2451" cm="1">
        <f t="array" aca="1" ref="T52" ca="1">INDIRECT("'※ 유통플랫폼 세부데이터'!"&amp;T$1&amp;$X52, TRUE)</f>
        <v>1627</v>
      </c>
      <c r="U52" s="2447" cm="1">
        <f t="array" aca="1" ref="U52" ca="1">INDIRECT("'※ 유통플랫폼 세부데이터'!"&amp;U$1&amp;$X52, TRUE)</f>
        <v>729</v>
      </c>
      <c r="V52" s="2449" cm="1">
        <f t="array" aca="1" ref="V52" ca="1">INDIRECT("'※ 유통플랫폼 세부데이터'!"&amp;V$1&amp;$X52, TRUE)</f>
        <v>813.5</v>
      </c>
      <c r="W52" s="2452" cm="1">
        <f t="array" aca="1" ref="W52" ca="1">INDIRECT("'※ 유통플랫폼 세부데이터'!"&amp;W$1&amp;$X52, TRUE)</f>
        <v>-32.833333333333371</v>
      </c>
      <c r="X52" s="1596">
        <f>ROW('※ 유통플랫폼 세부데이터'!J46)</f>
        <v>46</v>
      </c>
      <c r="Y52" s="698"/>
    </row>
    <row r="53" spans="2:25" ht="12" customHeight="1" x14ac:dyDescent="0.55000000000000004">
      <c r="B53" s="7375"/>
      <c r="C53" s="2434"/>
      <c r="D53" s="2453" t="s">
        <v>330</v>
      </c>
      <c r="E53" s="2454"/>
      <c r="F53" s="2455" cm="1">
        <f t="array" aca="1" ref="F53" ca="1">INDIRECT("'※ 유통플랫폼 세부데이터'!"&amp;F$1&amp;$X53, TRUE)</f>
        <v>1679</v>
      </c>
      <c r="G53" s="2456" cm="1">
        <f t="array" aca="1" ref="G53" ca="1">INDIRECT("'※ 유통플랫폼 세부데이터'!"&amp;G$1&amp;$X53, TRUE)</f>
        <v>1477</v>
      </c>
      <c r="H53" s="2456" cm="1">
        <f t="array" aca="1" ref="H53" ca="1">INDIRECT("'※ 유통플랫폼 세부데이터'!"&amp;H$1&amp;$X53, TRUE)</f>
        <v>2369</v>
      </c>
      <c r="I53" s="2456" cm="1">
        <f t="array" aca="1" ref="I53" ca="1">INDIRECT("'※ 유통플랫폼 세부데이터'!"&amp;I$1&amp;$X53, TRUE)</f>
        <v>3852</v>
      </c>
      <c r="J53" s="2456" cm="1">
        <f t="array" aca="1" ref="J53" ca="1">INDIRECT("'※ 유통플랫폼 세부데이터'!"&amp;J$1&amp;$X53, TRUE)</f>
        <v>2800</v>
      </c>
      <c r="K53" s="1474" cm="1">
        <f t="array" aca="1" ref="K53" ca="1">INDIRECT("'※ 유통플랫폼 세부데이터'!"&amp;K$1&amp;$X53, TRUE)</f>
        <v>11929</v>
      </c>
      <c r="L53" s="6517"/>
      <c r="M53" s="1474" cm="1">
        <f t="array" aca="1" ref="M53" ca="1">INDIRECT("'※ 유통플랫폼 세부데이터'!"&amp;M$1&amp;$X53, TRUE)</f>
        <v>6776</v>
      </c>
      <c r="N53" s="1474" cm="1">
        <f t="array" aca="1" ref="N53" ca="1">INDIRECT("'※ 유통플랫폼 세부데이터'!"&amp;N$1&amp;$X53, TRUE)</f>
        <v>7003</v>
      </c>
      <c r="O53" s="1474" cm="1">
        <f t="array" aca="1" ref="O53" ca="1">INDIRECT("'※ 유통플랫폼 세부데이터'!"&amp;O$1&amp;$X53, TRUE)</f>
        <v>4891</v>
      </c>
      <c r="P53" s="1474" cm="1">
        <f t="array" aca="1" ref="P53" ca="1">INDIRECT("'※ 유통플랫폼 세부데이터'!"&amp;P$1&amp;$X53, TRUE)</f>
        <v>3453</v>
      </c>
      <c r="Q53" s="1474" cm="1">
        <f t="array" aca="1" ref="Q53" ca="1">INDIRECT("'※ 유통플랫폼 세부데이터'!"&amp;Q$1&amp;$X53, TRUE)</f>
        <v>3658</v>
      </c>
      <c r="R53" s="1477" cm="1">
        <f t="array" aca="1" ref="R53" ca="1">INDIRECT("'※ 유통플랫폼 세부데이터'!"&amp;R$1&amp;$X53, TRUE)</f>
        <v>-1838</v>
      </c>
      <c r="S53" s="2457" cm="1">
        <f t="array" aca="1" ref="S53" ca="1">INDIRECT("'※ 유통플랫폼 세부데이터'!"&amp;S$1&amp;$X53, TRUE)</f>
        <v>1786</v>
      </c>
      <c r="T53" s="2458" cm="1">
        <f t="array" aca="1" ref="T53" ca="1">INDIRECT("'※ 유통플랫폼 세부데이터'!"&amp;T$1&amp;$X53, TRUE)</f>
        <v>8364</v>
      </c>
      <c r="U53" s="2456" cm="1">
        <f t="array" aca="1" ref="U53" ca="1">INDIRECT("'※ 유통플랫폼 세부데이터'!"&amp;U$1&amp;$X53, TRUE)</f>
        <v>5208</v>
      </c>
      <c r="V53" s="1477" cm="1">
        <f t="array" aca="1" ref="V53" ca="1">INDIRECT("'※ 유통플랫폼 세부데이터'!"&amp;V$1&amp;$X53, TRUE)</f>
        <v>4182</v>
      </c>
      <c r="W53" s="2459" cm="1">
        <f t="array" aca="1" ref="W53" ca="1">INDIRECT("'※ 유통플랫폼 세부데이터'!"&amp;W$1&amp;$X53, TRUE)</f>
        <v>-985.25</v>
      </c>
      <c r="X53" s="1596">
        <f>ROW('※ 유통플랫폼 세부데이터'!J47)</f>
        <v>47</v>
      </c>
      <c r="Y53" s="698"/>
    </row>
    <row r="54" spans="2:25" ht="12" customHeight="1" x14ac:dyDescent="0.55000000000000004">
      <c r="B54" s="7375"/>
      <c r="C54" s="2434"/>
      <c r="D54" s="2453" t="s">
        <v>331</v>
      </c>
      <c r="E54" s="2454"/>
      <c r="F54" s="2455" cm="1">
        <f t="array" aca="1" ref="F54" ca="1">INDIRECT("'※ 유통플랫폼 세부데이터'!"&amp;F$1&amp;$X54, TRUE)</f>
        <v>977</v>
      </c>
      <c r="G54" s="2456" cm="1">
        <f t="array" aca="1" ref="G54" ca="1">INDIRECT("'※ 유통플랫폼 세부데이터'!"&amp;G$1&amp;$X54, TRUE)</f>
        <v>484</v>
      </c>
      <c r="H54" s="2456" cm="1">
        <f t="array" aca="1" ref="H54" ca="1">INDIRECT("'※ 유통플랫폼 세부데이터'!"&amp;H$1&amp;$X54, TRUE)</f>
        <v>2153</v>
      </c>
      <c r="I54" s="2456" cm="1">
        <f t="array" aca="1" ref="I54" ca="1">INDIRECT("'※ 유통플랫폼 세부데이터'!"&amp;I$1&amp;$X54, TRUE)</f>
        <v>3707</v>
      </c>
      <c r="J54" s="2456" cm="1">
        <f t="array" aca="1" ref="J54" ca="1">INDIRECT("'※ 유통플랫폼 세부데이터'!"&amp;J$1&amp;$X54, TRUE)</f>
        <v>2369</v>
      </c>
      <c r="K54" s="1474" cm="1">
        <f t="array" aca="1" ref="K54" ca="1">INDIRECT("'※ 유통플랫폼 세부데이터'!"&amp;K$1&amp;$X54, TRUE)</f>
        <v>8857</v>
      </c>
      <c r="L54" s="6517"/>
      <c r="M54" s="1474" cm="1">
        <f t="array" aca="1" ref="M54" ca="1">INDIRECT("'※ 유통플랫폼 세부데이터'!"&amp;M$1&amp;$X54, TRUE)</f>
        <v>6520</v>
      </c>
      <c r="N54" s="1474" cm="1">
        <f t="array" aca="1" ref="N54" ca="1">INDIRECT("'※ 유통플랫폼 세부데이터'!"&amp;N$1&amp;$X54, TRUE)</f>
        <v>5767</v>
      </c>
      <c r="O54" s="1474" cm="1">
        <f t="array" aca="1" ref="O54" ca="1">INDIRECT("'※ 유통플랫폼 세부데이터'!"&amp;O$1&amp;$X54, TRUE)</f>
        <v>3636</v>
      </c>
      <c r="P54" s="1474" cm="1">
        <f t="array" aca="1" ref="P54" ca="1">INDIRECT("'※ 유통플랫폼 세부데이터'!"&amp;P$1&amp;$X54, TRUE)</f>
        <v>3312</v>
      </c>
      <c r="Q54" s="1474" cm="1">
        <f t="array" aca="1" ref="Q54" ca="1">INDIRECT("'※ 유통플랫폼 세부데이터'!"&amp;Q$1&amp;$X54, TRUE)</f>
        <v>3419</v>
      </c>
      <c r="R54" s="1477" cm="1">
        <f t="array" aca="1" ref="R54" ca="1">INDIRECT("'※ 유통플랫폼 세부데이터'!"&amp;R$1&amp;$X54, TRUE)</f>
        <v>-1967</v>
      </c>
      <c r="S54" s="2457" cm="1">
        <f t="array" aca="1" ref="S54" ca="1">INDIRECT("'※ 유통플랫폼 세부데이터'!"&amp;S$1&amp;$X54, TRUE)</f>
        <v>2275</v>
      </c>
      <c r="T54" s="2458" cm="1">
        <f t="array" aca="1" ref="T54" ca="1">INDIRECT("'※ 유통플랫폼 세부데이터'!"&amp;T$1&amp;$X54, TRUE)</f>
        <v>7485</v>
      </c>
      <c r="U54" s="2456" cm="1">
        <f t="array" aca="1" ref="U54" ca="1">INDIRECT("'※ 유통플랫폼 세부데이터'!"&amp;U$1&amp;$X54, TRUE)</f>
        <v>6024</v>
      </c>
      <c r="V54" s="1477" cm="1">
        <f t="array" aca="1" ref="V54" ca="1">INDIRECT("'※ 유통플랫폼 세부데이터'!"&amp;V$1&amp;$X54, TRUE)</f>
        <v>3742.5</v>
      </c>
      <c r="W54" s="2459" cm="1">
        <f t="array" aca="1" ref="W54" ca="1">INDIRECT("'※ 유통플랫폼 세부데이터'!"&amp;W$1&amp;$X54, TRUE)</f>
        <v>-662.83333333333303</v>
      </c>
      <c r="X54" s="1596">
        <f>ROW('※ 유통플랫폼 세부데이터'!J48)</f>
        <v>48</v>
      </c>
      <c r="Y54" s="698"/>
    </row>
    <row r="55" spans="2:25" ht="15" hidden="1" customHeight="1" x14ac:dyDescent="0.55000000000000004">
      <c r="B55" s="7375"/>
      <c r="C55" s="2434"/>
      <c r="D55" s="2453" t="s">
        <v>332</v>
      </c>
      <c r="E55" s="2460"/>
      <c r="F55" s="2461"/>
      <c r="G55" s="2126"/>
      <c r="H55" s="2126"/>
      <c r="I55" s="2462"/>
      <c r="J55" s="2456"/>
      <c r="K55" s="2463"/>
      <c r="L55" s="6518"/>
      <c r="M55" s="2463"/>
      <c r="N55" s="2463"/>
      <c r="O55" s="2463"/>
      <c r="P55" s="2463"/>
      <c r="Q55" s="2463"/>
      <c r="R55" s="2464"/>
      <c r="S55" s="2465"/>
      <c r="T55" s="2466"/>
      <c r="U55" s="2463"/>
      <c r="V55" s="2464"/>
      <c r="W55" s="2467"/>
      <c r="X55" s="1596"/>
      <c r="Y55" s="698"/>
    </row>
    <row r="56" spans="2:25" ht="15" hidden="1" customHeight="1" x14ac:dyDescent="0.55000000000000004">
      <c r="B56" s="7375"/>
      <c r="C56" s="2434"/>
      <c r="D56" s="2453" t="s">
        <v>333</v>
      </c>
      <c r="E56" s="2460"/>
      <c r="F56" s="2461"/>
      <c r="G56" s="2126"/>
      <c r="H56" s="2126"/>
      <c r="I56" s="2462"/>
      <c r="J56" s="2456"/>
      <c r="K56" s="2463"/>
      <c r="L56" s="6518"/>
      <c r="M56" s="2463"/>
      <c r="N56" s="2463"/>
      <c r="O56" s="2463"/>
      <c r="P56" s="2463"/>
      <c r="Q56" s="2463"/>
      <c r="R56" s="2464"/>
      <c r="S56" s="2465"/>
      <c r="T56" s="2466"/>
      <c r="U56" s="2463"/>
      <c r="V56" s="2464"/>
      <c r="W56" s="2467"/>
      <c r="X56" s="1596"/>
      <c r="Y56" s="698"/>
    </row>
    <row r="57" spans="2:25" ht="15" hidden="1" customHeight="1" x14ac:dyDescent="0.55000000000000004">
      <c r="B57" s="7375"/>
      <c r="C57" s="2434"/>
      <c r="D57" s="2453" t="s">
        <v>334</v>
      </c>
      <c r="E57" s="2460"/>
      <c r="F57" s="2461"/>
      <c r="G57" s="2126"/>
      <c r="H57" s="2126"/>
      <c r="I57" s="2462"/>
      <c r="J57" s="2456"/>
      <c r="K57" s="2463"/>
      <c r="L57" s="6518"/>
      <c r="M57" s="2463"/>
      <c r="N57" s="2463"/>
      <c r="O57" s="2463"/>
      <c r="P57" s="2463"/>
      <c r="Q57" s="2463"/>
      <c r="R57" s="2464"/>
      <c r="S57" s="2465"/>
      <c r="T57" s="2466"/>
      <c r="U57" s="2463"/>
      <c r="V57" s="2464"/>
      <c r="W57" s="2467"/>
      <c r="X57" s="1596"/>
      <c r="Y57" s="698"/>
    </row>
    <row r="58" spans="2:25" ht="15" customHeight="1" x14ac:dyDescent="0.55000000000000004">
      <c r="B58" s="7375"/>
      <c r="C58" s="2468" t="s">
        <v>384</v>
      </c>
      <c r="D58" s="2469"/>
      <c r="E58" s="2470" cm="1">
        <f t="array" aca="1" ref="E58" ca="1">INDIRECT("'※ 유통플랫폼 세부데이터'!"&amp;E$1&amp;$X58, TRUE)</f>
        <v>37117</v>
      </c>
      <c r="F58" s="2471" cm="1">
        <f t="array" aca="1" ref="F58" ca="1">INDIRECT("'※ 유통플랫폼 세부데이터'!"&amp;F$1&amp;$X58, TRUE)</f>
        <v>6160</v>
      </c>
      <c r="G58" s="2472" cm="1">
        <f t="array" aca="1" ref="G58" ca="1">INDIRECT("'※ 유통플랫폼 세부데이터'!"&amp;G$1&amp;$X58, TRUE)</f>
        <v>5855</v>
      </c>
      <c r="H58" s="2472" cm="1">
        <f t="array" aca="1" ref="H58" ca="1">INDIRECT("'※ 유통플랫폼 세부데이터'!"&amp;H$1&amp;$X58, TRUE)</f>
        <v>5129</v>
      </c>
      <c r="I58" s="2473" cm="1">
        <f t="array" aca="1" ref="I58" ca="1">INDIRECT("'※ 유통플랫폼 세부데이터'!"&amp;I$1&amp;$X58, TRUE)</f>
        <v>4387</v>
      </c>
      <c r="J58" s="2474" cm="1">
        <f t="array" aca="1" ref="J58" ca="1">INDIRECT("'※ 유통플랫폼 세부데이터'!"&amp;J$1&amp;$X58, TRUE)</f>
        <v>3698</v>
      </c>
      <c r="K58" s="2475" cm="1">
        <f t="array" aca="1" ref="K58" ca="1">INDIRECT("'※ 유통플랫폼 세부데이터'!"&amp;K$1&amp;$X58, TRUE)</f>
        <v>2965</v>
      </c>
      <c r="L58" s="6519" cm="1">
        <f t="array" aca="1" ref="L58" ca="1">INDIRECT("'※ 유통플랫폼 세부데이터'!"&amp;L$1&amp;$X58, TRUE)</f>
        <v>452</v>
      </c>
      <c r="M58" s="2475" cm="1">
        <f t="array" aca="1" ref="M58" ca="1">INDIRECT("'※ 유통플랫폼 세부데이터'!"&amp;M$1&amp;$X58, TRUE)</f>
        <v>2771</v>
      </c>
      <c r="N58" s="2475" cm="1">
        <f t="array" aca="1" ref="N58" ca="1">INDIRECT("'※ 유통플랫폼 세부데이터'!"&amp;N$1&amp;$X58, TRUE)</f>
        <v>1661</v>
      </c>
      <c r="O58" s="2475" cm="1">
        <f t="array" aca="1" ref="O58" ca="1">INDIRECT("'※ 유통플랫폼 세부데이터'!"&amp;O$1&amp;$X58, TRUE)</f>
        <v>1000</v>
      </c>
      <c r="P58" s="2475" cm="1">
        <f t="array" aca="1" ref="P58" ca="1">INDIRECT("'※ 유통플랫폼 세부데이터'!"&amp;P$1&amp;$X58, TRUE)</f>
        <v>703</v>
      </c>
      <c r="Q58" s="2475" cm="1">
        <f t="array" aca="1" ref="Q58" ca="1">INDIRECT("'※ 유통플랫폼 세부데이터'!"&amp;Q$1&amp;$X58, TRUE)</f>
        <v>567</v>
      </c>
      <c r="R58" s="2476" cm="1">
        <f t="array" aca="1" ref="R58" ca="1">INDIRECT("'※ 유통플랫폼 세부데이터'!"&amp;R$1&amp;$X58, TRUE)</f>
        <v>-452</v>
      </c>
      <c r="S58" s="2477"/>
      <c r="T58" s="2478" cm="1">
        <f t="array" aca="1" ref="T58" ca="1">INDIRECT("'※ 유통플랫폼 세부데이터'!"&amp;T$1&amp;$X58, TRUE)</f>
        <v>452</v>
      </c>
      <c r="U58" s="2479"/>
      <c r="V58" s="2480" cm="1">
        <f t="array" aca="1" ref="V58" ca="1">INDIRECT("'※ 유통플랫폼 세부데이터'!"&amp;V$1&amp;$X58, TRUE)</f>
        <v>452</v>
      </c>
      <c r="W58" s="2481"/>
      <c r="X58" s="1596">
        <f>ROW('※ 유통플랫폼 세부데이터'!J52)</f>
        <v>52</v>
      </c>
      <c r="Y58" s="698"/>
    </row>
    <row r="59" spans="2:25" ht="15" customHeight="1" x14ac:dyDescent="0.55000000000000004">
      <c r="B59" s="7375"/>
      <c r="C59" s="2482" t="s">
        <v>1100</v>
      </c>
      <c r="D59" s="2483"/>
      <c r="E59" s="2484" cm="1">
        <f t="array" aca="1" ref="E59" ca="1">INDIRECT("'※ 유통플랫폼 세부데이터'!"&amp;E$1&amp;$X59, TRUE)</f>
        <v>4419260.4700000007</v>
      </c>
      <c r="F59" s="2485" cm="1">
        <f t="array" aca="1" ref="F59" ca="1">INDIRECT("'※ 유통플랫폼 세부데이터'!"&amp;F$1&amp;$X59, TRUE)</f>
        <v>1145730.3700000001</v>
      </c>
      <c r="G59" s="2486" cm="1">
        <f t="array" aca="1" ref="G59" ca="1">INDIRECT("'※ 유통플랫폼 세부데이터'!"&amp;G$1&amp;$X59, TRUE)</f>
        <v>1076407</v>
      </c>
      <c r="H59" s="2486" cm="1">
        <f t="array" aca="1" ref="H59" ca="1">INDIRECT("'※ 유통플랫폼 세부데이터'!"&amp;H$1&amp;$X59, TRUE)</f>
        <v>747947.68</v>
      </c>
      <c r="I59" s="2487" cm="1">
        <f t="array" aca="1" ref="I59" ca="1">INDIRECT("'※ 유통플랫폼 세부데이터'!"&amp;I$1&amp;$X59, TRUE)</f>
        <v>459187</v>
      </c>
      <c r="J59" s="2488" cm="1">
        <f t="array" aca="1" ref="J59" ca="1">INDIRECT("'※ 유통플랫폼 세부데이터'!"&amp;J$1&amp;$X59, TRUE)</f>
        <v>396699.97000000003</v>
      </c>
      <c r="K59" s="2489" cm="1">
        <f t="array" aca="1" ref="K59" ca="1">INDIRECT("'※ 유통플랫폼 세부데이터'!"&amp;K$1&amp;$X59, TRUE)</f>
        <v>395894.96</v>
      </c>
      <c r="L59" s="6520" cm="1">
        <f t="array" aca="1" ref="L59" ca="1">INDIRECT("'※ 유통플랫폼 세부데이터'!"&amp;L$1&amp;$X59, TRUE)</f>
        <v>34520</v>
      </c>
      <c r="M59" s="2489" cm="1">
        <f t="array" aca="1" ref="M59" ca="1">INDIRECT("'※ 유통플랫폼 세부데이터'!"&amp;M$1&amp;$X59, TRUE)</f>
        <v>49380.3</v>
      </c>
      <c r="N59" s="2489" cm="1">
        <f t="array" aca="1" ref="N59" ca="1">INDIRECT("'※ 유통플랫폼 세부데이터'!"&amp;N$1&amp;$X59, TRUE)</f>
        <v>34157</v>
      </c>
      <c r="O59" s="2489" cm="1">
        <f t="array" aca="1" ref="O59" ca="1">INDIRECT("'※ 유통플랫폼 세부데이터'!"&amp;O$1&amp;$X59, TRUE)</f>
        <v>26261</v>
      </c>
      <c r="P59" s="2489" cm="1">
        <f t="array" aca="1" ref="P59" ca="1">INDIRECT("'※ 유통플랫폼 세부데이터'!"&amp;P$1&amp;$X59, TRUE)</f>
        <v>25723</v>
      </c>
      <c r="Q59" s="2489" cm="1">
        <f t="array" aca="1" ref="Q59" ca="1">INDIRECT("'※ 유통플랫폼 세부데이터'!"&amp;Q$1&amp;$X59, TRUE)</f>
        <v>17967</v>
      </c>
      <c r="R59" s="2490" cm="1">
        <f t="array" aca="1" ref="R59" ca="1">INDIRECT("'※ 유통플랫폼 세부데이터'!"&amp;R$1&amp;$X59, TRUE)</f>
        <v>-7676</v>
      </c>
      <c r="S59" s="2491"/>
      <c r="T59" s="2492" cm="1">
        <f t="array" aca="1" ref="T59" ca="1">INDIRECT("'※ 유통플랫폼 세부데이터'!"&amp;T$1&amp;$X59, TRUE)</f>
        <v>34520</v>
      </c>
      <c r="U59" s="2493"/>
      <c r="V59" s="2494" cm="1">
        <f t="array" aca="1" ref="V59" ca="1">INDIRECT("'※ 유통플랫폼 세부데이터'!"&amp;V$1&amp;$X59, TRUE)</f>
        <v>17260</v>
      </c>
      <c r="W59" s="2495"/>
      <c r="X59" s="1596">
        <f>ROW('※ 유통플랫폼 세부데이터'!J53)</f>
        <v>53</v>
      </c>
      <c r="Y59" s="698"/>
    </row>
    <row r="60" spans="2:25" ht="15" customHeight="1" x14ac:dyDescent="0.55000000000000004">
      <c r="B60" s="7375"/>
      <c r="C60" s="2482"/>
      <c r="D60" s="2496" t="s">
        <v>104</v>
      </c>
      <c r="E60" s="2497" cm="1">
        <f t="array" aca="1" ref="E60" ca="1">INDIRECT("'※ 유통플랫폼 세부데이터'!"&amp;E$1&amp;$X60, TRUE)</f>
        <v>0</v>
      </c>
      <c r="F60" s="2498" cm="1">
        <f t="array" aca="1" ref="F60" ca="1">INDIRECT("'※ 유통플랫폼 세부데이터'!"&amp;F$1&amp;$X60, TRUE)</f>
        <v>0</v>
      </c>
      <c r="G60" s="2499" cm="1">
        <f t="array" aca="1" ref="G60" ca="1">INDIRECT("'※ 유통플랫폼 세부데이터'!"&amp;G$1&amp;$X60, TRUE)</f>
        <v>0</v>
      </c>
      <c r="H60" s="2499" cm="1">
        <f t="array" aca="1" ref="H60" ca="1">INDIRECT("'※ 유통플랫폼 세부데이터'!"&amp;H$1&amp;$X60, TRUE)</f>
        <v>0</v>
      </c>
      <c r="I60" s="2500" cm="1">
        <f t="array" aca="1" ref="I60" ca="1">INDIRECT("'※ 유통플랫폼 세부데이터'!"&amp;I$1&amp;$X60, TRUE)</f>
        <v>0</v>
      </c>
      <c r="J60" s="2456" cm="1">
        <f t="array" aca="1" ref="J60" ca="1">INDIRECT("'※ 유통플랫폼 세부데이터'!"&amp;J$1&amp;$X60, TRUE)</f>
        <v>0</v>
      </c>
      <c r="K60" s="2501" cm="1">
        <f t="array" aca="1" ref="K60" ca="1">INDIRECT("'※ 유통플랫폼 세부데이터'!"&amp;K$1&amp;$X60, TRUE)</f>
        <v>0</v>
      </c>
      <c r="L60" s="6521" cm="1">
        <f t="array" aca="1" ref="L60" ca="1">INDIRECT("'※ 유통플랫폼 세부데이터'!"&amp;L$1&amp;$X60, TRUE)</f>
        <v>0</v>
      </c>
      <c r="M60" s="2501" cm="1">
        <f t="array" aca="1" ref="M60" ca="1">INDIRECT("'※ 유통플랫폼 세부데이터'!"&amp;M$1&amp;$X60, TRUE)</f>
        <v>0</v>
      </c>
      <c r="N60" s="2501" cm="1">
        <f t="array" aca="1" ref="N60" ca="1">INDIRECT("'※ 유통플랫폼 세부데이터'!"&amp;N$1&amp;$X60, TRUE)</f>
        <v>0</v>
      </c>
      <c r="O60" s="2501" cm="1">
        <f t="array" aca="1" ref="O60" ca="1">INDIRECT("'※ 유통플랫폼 세부데이터'!"&amp;O$1&amp;$X60, TRUE)</f>
        <v>0</v>
      </c>
      <c r="P60" s="2501" cm="1">
        <f t="array" aca="1" ref="P60" ca="1">INDIRECT("'※ 유통플랫폼 세부데이터'!"&amp;P$1&amp;$X60, TRUE)</f>
        <v>0</v>
      </c>
      <c r="Q60" s="2501" cm="1">
        <f t="array" aca="1" ref="Q60" ca="1">INDIRECT("'※ 유통플랫폼 세부데이터'!"&amp;Q$1&amp;$X60, TRUE)</f>
        <v>0</v>
      </c>
      <c r="R60" s="2502" cm="1">
        <f t="array" aca="1" ref="R60" ca="1">INDIRECT("'※ 유통플랫폼 세부데이터'!"&amp;R$1&amp;$X60, TRUE)</f>
        <v>0</v>
      </c>
      <c r="S60" s="2491"/>
      <c r="T60" s="2503" cm="1">
        <f t="array" aca="1" ref="T60" ca="1">INDIRECT("'※ 유통플랫폼 세부데이터'!"&amp;T$1&amp;$X60, TRUE)</f>
        <v>0</v>
      </c>
      <c r="U60" s="2493"/>
      <c r="V60" s="2504" cm="1">
        <f t="array" aca="1" ref="V60" ca="1">INDIRECT("'※ 유통플랫폼 세부데이터'!"&amp;V$1&amp;$X60, TRUE)</f>
        <v>0</v>
      </c>
      <c r="W60" s="2495"/>
      <c r="X60" s="1596">
        <f>ROW('※ 유통플랫폼 세부데이터'!J54)</f>
        <v>54</v>
      </c>
      <c r="Y60" s="698"/>
    </row>
    <row r="61" spans="2:25" ht="15" customHeight="1" x14ac:dyDescent="0.55000000000000004">
      <c r="B61" s="7374"/>
      <c r="C61" s="2505"/>
      <c r="D61" s="2506" t="s">
        <v>635</v>
      </c>
      <c r="E61" s="2497" cm="1">
        <f t="array" aca="1" ref="E61" ca="1">INDIRECT("'※ 유통플랫폼 세부데이터'!"&amp;E$1&amp;$X61, TRUE)</f>
        <v>2064410</v>
      </c>
      <c r="F61" s="2498" cm="1">
        <f t="array" aca="1" ref="F61" ca="1">INDIRECT("'※ 유통플랫폼 세부데이터'!"&amp;F$1&amp;$X61, TRUE)</f>
        <v>559160</v>
      </c>
      <c r="G61" s="2499" cm="1">
        <f t="array" aca="1" ref="G61" ca="1">INDIRECT("'※ 유통플랫폼 세부데이터'!"&amp;G$1&amp;$X61, TRUE)</f>
        <v>498940</v>
      </c>
      <c r="H61" s="2499" cm="1">
        <f t="array" aca="1" ref="H61" ca="1">INDIRECT("'※ 유통플랫폼 세부데이터'!"&amp;H$1&amp;$X61, TRUE)</f>
        <v>348310</v>
      </c>
      <c r="I61" s="2500" cm="1">
        <f t="array" aca="1" ref="I61" ca="1">INDIRECT("'※ 유통플랫폼 세부데이터'!"&amp;I$1&amp;$X61, TRUE)</f>
        <v>224850</v>
      </c>
      <c r="J61" s="2456" cm="1">
        <f t="array" aca="1" ref="J61" ca="1">INDIRECT("'※ 유통플랫폼 세부데이터'!"&amp;J$1&amp;$X61, TRUE)</f>
        <v>216110</v>
      </c>
      <c r="K61" s="2501" cm="1">
        <f t="array" aca="1" ref="K61" ca="1">INDIRECT("'※ 유통플랫폼 세부데이터'!"&amp;K$1&amp;$X61, TRUE)</f>
        <v>217040</v>
      </c>
      <c r="L61" s="6521" cm="1">
        <f t="array" aca="1" ref="L61" ca="1">INDIRECT("'※ 유통플랫폼 세부데이터'!"&amp;L$1&amp;$X61, TRUE)</f>
        <v>0</v>
      </c>
      <c r="M61" s="2501" cm="1">
        <f t="array" aca="1" ref="M61" ca="1">INDIRECT("'※ 유통플랫폼 세부데이터'!"&amp;M$1&amp;$X61, TRUE)</f>
        <v>0</v>
      </c>
      <c r="N61" s="2501" cm="1">
        <f t="array" aca="1" ref="N61" ca="1">INDIRECT("'※ 유통플랫폼 세부데이터'!"&amp;N$1&amp;$X61, TRUE)</f>
        <v>0</v>
      </c>
      <c r="O61" s="2501" cm="1">
        <f t="array" aca="1" ref="O61" ca="1">INDIRECT("'※ 유통플랫폼 세부데이터'!"&amp;O$1&amp;$X61, TRUE)</f>
        <v>0</v>
      </c>
      <c r="P61" s="2501" cm="1">
        <f t="array" aca="1" ref="P61" ca="1">INDIRECT("'※ 유통플랫폼 세부데이터'!"&amp;P$1&amp;$X61, TRUE)</f>
        <v>0</v>
      </c>
      <c r="Q61" s="2501" cm="1">
        <f t="array" aca="1" ref="Q61" ca="1">INDIRECT("'※ 유통플랫폼 세부데이터'!"&amp;Q$1&amp;$X61, TRUE)</f>
        <v>0</v>
      </c>
      <c r="R61" s="2502" cm="1">
        <f t="array" aca="1" ref="R61" ca="1">INDIRECT("'※ 유통플랫폼 세부데이터'!"&amp;R$1&amp;$X61, TRUE)</f>
        <v>0</v>
      </c>
      <c r="S61" s="2491"/>
      <c r="T61" s="2503" cm="1">
        <f t="array" aca="1" ref="T61" ca="1">INDIRECT("'※ 유통플랫폼 세부데이터'!"&amp;T$1&amp;$X61, TRUE)</f>
        <v>0</v>
      </c>
      <c r="U61" s="2493"/>
      <c r="V61" s="2504" cm="1">
        <f t="array" aca="1" ref="V61" ca="1">INDIRECT("'※ 유통플랫폼 세부데이터'!"&amp;V$1&amp;$X61, TRUE)</f>
        <v>0</v>
      </c>
      <c r="W61" s="2495"/>
      <c r="X61" s="1520">
        <f>ROW('※ 유통플랫폼 세부데이터'!J55)</f>
        <v>55</v>
      </c>
    </row>
    <row r="62" spans="2:25" ht="15" customHeight="1" x14ac:dyDescent="0.55000000000000004">
      <c r="B62" s="7375"/>
      <c r="C62" s="2482"/>
      <c r="D62" s="2496" t="s">
        <v>636</v>
      </c>
      <c r="E62" s="2497" cm="1">
        <f t="array" aca="1" ref="E62" ca="1">INDIRECT("'※ 유통플랫폼 세부데이터'!"&amp;E$1&amp;$X62, TRUE)</f>
        <v>465927</v>
      </c>
      <c r="F62" s="2498" cm="1">
        <f t="array" aca="1" ref="F62" ca="1">INDIRECT("'※ 유통플랫폼 세부데이터'!"&amp;F$1&amp;$X62, TRUE)</f>
        <v>119735</v>
      </c>
      <c r="G62" s="2499" cm="1">
        <f t="array" aca="1" ref="G62" ca="1">INDIRECT("'※ 유통플랫폼 세부데이터'!"&amp;G$1&amp;$X62, TRUE)</f>
        <v>73612</v>
      </c>
      <c r="H62" s="2499" cm="1">
        <f t="array" aca="1" ref="H62" ca="1">INDIRECT("'※ 유통플랫폼 세부데이터'!"&amp;H$1&amp;$X62, TRUE)</f>
        <v>67760</v>
      </c>
      <c r="I62" s="2500" cm="1">
        <f t="array" aca="1" ref="I62" ca="1">INDIRECT("'※ 유통플랫폼 세부데이터'!"&amp;I$1&amp;$X62, TRUE)</f>
        <v>39963</v>
      </c>
      <c r="J62" s="2456" cm="1">
        <f t="array" aca="1" ref="J62" ca="1">INDIRECT("'※ 유통플랫폼 세부데이터'!"&amp;J$1&amp;$X62, TRUE)</f>
        <v>62909</v>
      </c>
      <c r="K62" s="2501" cm="1">
        <f t="array" aca="1" ref="K62" ca="1">INDIRECT("'※ 유통플랫폼 세부데이터'!"&amp;K$1&amp;$X62, TRUE)</f>
        <v>19019</v>
      </c>
      <c r="L62" s="6521" cm="1">
        <f t="array" aca="1" ref="L62" ca="1">INDIRECT("'※ 유통플랫폼 세부데이터'!"&amp;L$1&amp;$X62, TRUE)</f>
        <v>10703</v>
      </c>
      <c r="M62" s="2501" cm="1">
        <f t="array" aca="1" ref="M62" ca="1">INDIRECT("'※ 유통플랫폼 세부데이터'!"&amp;M$1&amp;$X62, TRUE)</f>
        <v>16016</v>
      </c>
      <c r="N62" s="2501" cm="1">
        <f t="array" aca="1" ref="N62" ca="1">INDIRECT("'※ 유통플랫폼 세부데이터'!"&amp;N$1&amp;$X62, TRUE)</f>
        <v>13244</v>
      </c>
      <c r="O62" s="2501" cm="1">
        <f t="array" aca="1" ref="O62" ca="1">INDIRECT("'※ 유통플랫폼 세부데이터'!"&amp;O$1&amp;$X62, TRUE)</f>
        <v>12705</v>
      </c>
      <c r="P62" s="2501" cm="1">
        <f t="array" aca="1" ref="P62" ca="1">INDIRECT("'※ 유통플랫폼 세부데이터'!"&amp;P$1&amp;$X62, TRUE)</f>
        <v>13629</v>
      </c>
      <c r="Q62" s="2501" cm="1">
        <f t="array" aca="1" ref="Q62" ca="1">INDIRECT("'※ 유통플랫폼 세부데이터'!"&amp;Q$1&amp;$X62, TRUE)</f>
        <v>6545</v>
      </c>
      <c r="R62" s="2502" cm="1">
        <f t="array" aca="1" ref="R62" ca="1">INDIRECT("'※ 유통플랫폼 세부데이터'!"&amp;R$1&amp;$X62, TRUE)</f>
        <v>-693</v>
      </c>
      <c r="S62" s="2491"/>
      <c r="T62" s="2503" cm="1">
        <f t="array" aca="1" ref="T62" ca="1">INDIRECT("'※ 유통플랫폼 세부데이터'!"&amp;T$1&amp;$X62, TRUE)</f>
        <v>10703</v>
      </c>
      <c r="U62" s="2493"/>
      <c r="V62" s="2504" cm="1">
        <f t="array" aca="1" ref="V62" ca="1">INDIRECT("'※ 유통플랫폼 세부데이터'!"&amp;V$1&amp;$X62, TRUE)</f>
        <v>5351.5</v>
      </c>
      <c r="W62" s="2495"/>
      <c r="X62" s="1596">
        <f>ROW('※ 유통플랫폼 세부데이터'!J56)</f>
        <v>56</v>
      </c>
      <c r="Y62" s="698"/>
    </row>
    <row r="63" spans="2:25" ht="15" customHeight="1" x14ac:dyDescent="0.55000000000000004">
      <c r="B63" s="7375"/>
      <c r="C63" s="2482"/>
      <c r="D63" s="2496" t="s">
        <v>675</v>
      </c>
      <c r="E63" s="2497" cm="1">
        <f t="array" aca="1" ref="E63" ca="1">INDIRECT("'※ 유통플랫폼 세부데이터'!"&amp;E$1&amp;$X63, TRUE)</f>
        <v>644605</v>
      </c>
      <c r="F63" s="2498" cm="1">
        <f t="array" aca="1" ref="F63" ca="1">INDIRECT("'※ 유통플랫폼 세부데이터'!"&amp;F$1&amp;$X63, TRUE)</f>
        <v>194185</v>
      </c>
      <c r="G63" s="2499" cm="1">
        <f t="array" aca="1" ref="G63" ca="1">INDIRECT("'※ 유통플랫폼 세부데이터'!"&amp;G$1&amp;$X63, TRUE)</f>
        <v>209296</v>
      </c>
      <c r="H63" s="2499" cm="1">
        <f t="array" aca="1" ref="H63" ca="1">INDIRECT("'※ 유통플랫폼 세부데이터'!"&amp;H$1&amp;$X63, TRUE)</f>
        <v>110981</v>
      </c>
      <c r="I63" s="2500" cm="1">
        <f t="array" aca="1" ref="I63" ca="1">INDIRECT("'※ 유통플랫폼 세부데이터'!"&amp;I$1&amp;$X63, TRUE)</f>
        <v>50303</v>
      </c>
      <c r="J63" s="2456" cm="1">
        <f t="array" aca="1" ref="J63" ca="1">INDIRECT("'※ 유통플랫폼 세부데이터'!"&amp;J$1&amp;$X63, TRUE)</f>
        <v>24058</v>
      </c>
      <c r="K63" s="2501" cm="1">
        <f t="array" aca="1" ref="K63" ca="1">INDIRECT("'※ 유통플랫폼 세부데이터'!"&amp;K$1&amp;$X63, TRUE)</f>
        <v>55782</v>
      </c>
      <c r="L63" s="6521" cm="1">
        <f t="array" aca="1" ref="L63" ca="1">INDIRECT("'※ 유통플랫폼 세부데이터'!"&amp;L$1&amp;$X63, TRUE)</f>
        <v>0</v>
      </c>
      <c r="M63" s="2501" cm="1">
        <f t="array" aca="1" ref="M63" ca="1">INDIRECT("'※ 유통플랫폼 세부데이터'!"&amp;M$1&amp;$X63, TRUE)</f>
        <v>0</v>
      </c>
      <c r="N63" s="2501" cm="1">
        <f t="array" aca="1" ref="N63" ca="1">INDIRECT("'※ 유통플랫폼 세부데이터'!"&amp;N$1&amp;$X63, TRUE)</f>
        <v>0</v>
      </c>
      <c r="O63" s="2501" cm="1">
        <f t="array" aca="1" ref="O63" ca="1">INDIRECT("'※ 유통플랫폼 세부데이터'!"&amp;O$1&amp;$X63, TRUE)</f>
        <v>0</v>
      </c>
      <c r="P63" s="2501" cm="1">
        <f t="array" aca="1" ref="P63" ca="1">INDIRECT("'※ 유통플랫폼 세부데이터'!"&amp;P$1&amp;$X63, TRUE)</f>
        <v>0</v>
      </c>
      <c r="Q63" s="2501" cm="1">
        <f t="array" aca="1" ref="Q63" ca="1">INDIRECT("'※ 유통플랫폼 세부데이터'!"&amp;Q$1&amp;$X63, TRUE)</f>
        <v>0</v>
      </c>
      <c r="R63" s="2502" cm="1">
        <f t="array" aca="1" ref="R63" ca="1">INDIRECT("'※ 유통플랫폼 세부데이터'!"&amp;R$1&amp;$X63, TRUE)</f>
        <v>0</v>
      </c>
      <c r="S63" s="2491"/>
      <c r="T63" s="2503" cm="1">
        <f t="array" aca="1" ref="T63" ca="1">INDIRECT("'※ 유통플랫폼 세부데이터'!"&amp;T$1&amp;$X63, TRUE)</f>
        <v>0</v>
      </c>
      <c r="U63" s="2493"/>
      <c r="V63" s="2504" cm="1">
        <f t="array" aca="1" ref="V63" ca="1">INDIRECT("'※ 유통플랫폼 세부데이터'!"&amp;V$1&amp;$X63, TRUE)</f>
        <v>0</v>
      </c>
      <c r="W63" s="2495"/>
      <c r="X63" s="1596">
        <f>ROW('※ 유통플랫폼 세부데이터'!J57)</f>
        <v>57</v>
      </c>
      <c r="Y63" s="698"/>
    </row>
    <row r="64" spans="2:25" ht="15" customHeight="1" x14ac:dyDescent="0.55000000000000004">
      <c r="B64" s="7375"/>
      <c r="C64" s="2482"/>
      <c r="D64" s="2496" t="s">
        <v>676</v>
      </c>
      <c r="E64" s="2497" cm="1">
        <f t="array" aca="1" ref="E64" ca="1">INDIRECT("'※ 유통플랫폼 세부데이터'!"&amp;E$1&amp;$X64, TRUE)</f>
        <v>595330.75999999989</v>
      </c>
      <c r="F64" s="2498" cm="1">
        <f t="array" aca="1" ref="F64" ca="1">INDIRECT("'※ 유통플랫폼 세부데이터'!"&amp;F$1&amp;$X64, TRUE)</f>
        <v>135811.13</v>
      </c>
      <c r="G64" s="2499" cm="1">
        <f t="array" aca="1" ref="G64" ca="1">INDIRECT("'※ 유통플랫폼 세부데이터'!"&amp;G$1&amp;$X64, TRUE)</f>
        <v>159039.69</v>
      </c>
      <c r="H64" s="2499" cm="1">
        <f t="array" aca="1" ref="H64" ca="1">INDIRECT("'※ 유통플랫폼 세부데이터'!"&amp;H$1&amp;$X64, TRUE)</f>
        <v>118427.5</v>
      </c>
      <c r="I64" s="2500" cm="1">
        <f t="array" aca="1" ref="I64" ca="1">INDIRECT("'※ 유통플랫폼 세부데이터'!"&amp;I$1&amp;$X64, TRUE)</f>
        <v>75555.67</v>
      </c>
      <c r="J64" s="2456" cm="1">
        <f t="array" aca="1" ref="J64" ca="1">INDIRECT("'※ 유통플랫폼 세부데이터'!"&amp;J$1&amp;$X64, TRUE)</f>
        <v>48560.69</v>
      </c>
      <c r="K64" s="2501" cm="1">
        <f t="array" aca="1" ref="K64" ca="1">INDIRECT("'※ 유통플랫폼 세부데이터'!"&amp;K$1&amp;$X64, TRUE)</f>
        <v>55557.08</v>
      </c>
      <c r="L64" s="6521" cm="1">
        <f t="array" aca="1" ref="L64" ca="1">INDIRECT("'※ 유통플랫폼 세부데이터'!"&amp;L$1&amp;$X64, TRUE)</f>
        <v>0</v>
      </c>
      <c r="M64" s="2501" cm="1">
        <f t="array" aca="1" ref="M64" ca="1">INDIRECT("'※ 유통플랫폼 세부데이터'!"&amp;M$1&amp;$X64, TRUE)</f>
        <v>156</v>
      </c>
      <c r="N64" s="2501" cm="1">
        <f t="array" aca="1" ref="N64" ca="1">INDIRECT("'※ 유통플랫폼 세부데이터'!"&amp;N$1&amp;$X64, TRUE)</f>
        <v>0</v>
      </c>
      <c r="O64" s="2501" cm="1">
        <f t="array" aca="1" ref="O64" ca="1">INDIRECT("'※ 유통플랫폼 세부데이터'!"&amp;O$1&amp;$X64, TRUE)</f>
        <v>0</v>
      </c>
      <c r="P64" s="2501" cm="1">
        <f t="array" aca="1" ref="P64" ca="1">INDIRECT("'※ 유통플랫폼 세부데이터'!"&amp;P$1&amp;$X64, TRUE)</f>
        <v>0</v>
      </c>
      <c r="Q64" s="2501" cm="1">
        <f t="array" aca="1" ref="Q64" ca="1">INDIRECT("'※ 유통플랫폼 세부데이터'!"&amp;Q$1&amp;$X64, TRUE)</f>
        <v>0</v>
      </c>
      <c r="R64" s="2502" cm="1">
        <f t="array" aca="1" ref="R64" ca="1">INDIRECT("'※ 유통플랫폼 세부데이터'!"&amp;R$1&amp;$X64, TRUE)</f>
        <v>0</v>
      </c>
      <c r="S64" s="2491"/>
      <c r="T64" s="2503" cm="1">
        <f t="array" aca="1" ref="T64" ca="1">INDIRECT("'※ 유통플랫폼 세부데이터'!"&amp;T$1&amp;$X64, TRUE)</f>
        <v>0</v>
      </c>
      <c r="U64" s="2493"/>
      <c r="V64" s="2504" cm="1">
        <f t="array" aca="1" ref="V64" ca="1">INDIRECT("'※ 유통플랫폼 세부데이터'!"&amp;V$1&amp;$X64, TRUE)</f>
        <v>0</v>
      </c>
      <c r="W64" s="2495"/>
      <c r="X64" s="1596">
        <f>ROW('※ 유통플랫폼 세부데이터'!J58)</f>
        <v>58</v>
      </c>
      <c r="Y64" s="698"/>
    </row>
    <row r="65" spans="2:25" ht="15" customHeight="1" x14ac:dyDescent="0.55000000000000004">
      <c r="B65" s="7375"/>
      <c r="C65" s="2482"/>
      <c r="D65" s="2496" t="s">
        <v>677</v>
      </c>
      <c r="E65" s="2507" cm="1">
        <f t="array" aca="1" ref="E65" ca="1">INDIRECT("'※ 유통플랫폼 세부데이터'!"&amp;E$1&amp;$X65, TRUE)</f>
        <v>179864.41</v>
      </c>
      <c r="F65" s="2499" cm="1">
        <f t="array" aca="1" ref="F65" ca="1">INDIRECT("'※ 유통플랫폼 세부데이터'!"&amp;F$1&amp;$X65, TRUE)</f>
        <v>46249.34</v>
      </c>
      <c r="G65" s="2499" cm="1">
        <f t="array" aca="1" ref="G65" ca="1">INDIRECT("'※ 유통플랫폼 세부데이터'!"&amp;G$1&amp;$X65, TRUE)</f>
        <v>55970.07</v>
      </c>
      <c r="H65" s="2499" cm="1">
        <f t="array" aca="1" ref="H65" ca="1">INDIRECT("'※ 유통플랫폼 세부데이터'!"&amp;H$1&amp;$X65, TRUE)</f>
        <v>30343.53</v>
      </c>
      <c r="I65" s="2500" cm="1">
        <f t="array" aca="1" ref="I65" ca="1">INDIRECT("'※ 유통플랫폼 세부데이터'!"&amp;I$1&amp;$X65, TRUE)</f>
        <v>18656.36</v>
      </c>
      <c r="J65" s="2456" cm="1">
        <f t="array" aca="1" ref="J65" ca="1">INDIRECT("'※ 유통플랫폼 세부데이터'!"&amp;J$1&amp;$X65, TRUE)</f>
        <v>13120.63</v>
      </c>
      <c r="K65" s="2501" cm="1">
        <f t="array" aca="1" ref="K65" ca="1">INDIRECT("'※ 유통플랫폼 세부데이터'!"&amp;K$1&amp;$X65, TRUE)</f>
        <v>15524.48</v>
      </c>
      <c r="L65" s="6521" cm="1">
        <f t="array" aca="1" ref="L65" ca="1">INDIRECT("'※ 유통플랫폼 세부데이터'!"&amp;L$1&amp;$X65, TRUE)</f>
        <v>0</v>
      </c>
      <c r="M65" s="2501" cm="1">
        <f t="array" aca="1" ref="M65" ca="1">INDIRECT("'※ 유통플랫폼 세부데이터'!"&amp;M$1&amp;$X65, TRUE)</f>
        <v>0</v>
      </c>
      <c r="N65" s="2501" cm="1">
        <f t="array" aca="1" ref="N65" ca="1">INDIRECT("'※ 유통플랫폼 세부데이터'!"&amp;N$1&amp;$X65, TRUE)</f>
        <v>0</v>
      </c>
      <c r="O65" s="2501" cm="1">
        <f t="array" aca="1" ref="O65" ca="1">INDIRECT("'※ 유통플랫폼 세부데이터'!"&amp;O$1&amp;$X65, TRUE)</f>
        <v>0</v>
      </c>
      <c r="P65" s="2501" cm="1">
        <f t="array" aca="1" ref="P65" ca="1">INDIRECT("'※ 유통플랫폼 세부데이터'!"&amp;P$1&amp;$X65, TRUE)</f>
        <v>0</v>
      </c>
      <c r="Q65" s="2501" cm="1">
        <f t="array" aca="1" ref="Q65" ca="1">INDIRECT("'※ 유통플랫폼 세부데이터'!"&amp;Q$1&amp;$X65, TRUE)</f>
        <v>0</v>
      </c>
      <c r="R65" s="2502" cm="1">
        <f t="array" aca="1" ref="R65" ca="1">INDIRECT("'※ 유통플랫폼 세부데이터'!"&amp;R$1&amp;$X65, TRUE)</f>
        <v>0</v>
      </c>
      <c r="S65" s="2491"/>
      <c r="T65" s="2503" cm="1">
        <f t="array" aca="1" ref="T65" ca="1">INDIRECT("'※ 유통플랫폼 세부데이터'!"&amp;T$1&amp;$X65, TRUE)</f>
        <v>0</v>
      </c>
      <c r="U65" s="2493"/>
      <c r="V65" s="2504" cm="1">
        <f t="array" aca="1" ref="V65" ca="1">INDIRECT("'※ 유통플랫폼 세부데이터'!"&amp;V$1&amp;$X65, TRUE)</f>
        <v>0</v>
      </c>
      <c r="W65" s="2495"/>
      <c r="X65" s="1596">
        <f>ROW('※ 유통플랫폼 세부데이터'!J59)</f>
        <v>59</v>
      </c>
      <c r="Y65" s="698"/>
    </row>
    <row r="66" spans="2:25" ht="15" customHeight="1" x14ac:dyDescent="0.55000000000000004">
      <c r="B66" s="7375"/>
      <c r="C66" s="2482"/>
      <c r="D66" s="2496" t="s">
        <v>637</v>
      </c>
      <c r="E66" s="2507" cm="1">
        <f t="array" aca="1" ref="E66" ca="1">INDIRECT("'※ 유통플랫폼 세부데이터'!"&amp;E$1&amp;$X66, TRUE)</f>
        <v>80494.5</v>
      </c>
      <c r="F66" s="2499" cm="1">
        <f t="array" aca="1" ref="F66" ca="1">INDIRECT("'※ 유통플랫폼 세부데이터'!"&amp;F$1&amp;$X66, TRUE)</f>
        <v>13259</v>
      </c>
      <c r="G66" s="2499" cm="1">
        <f t="array" aca="1" ref="G66" ca="1">INDIRECT("'※ 유통플랫폼 세부데이터'!"&amp;G$1&amp;$X66, TRUE)</f>
        <v>6349</v>
      </c>
      <c r="H66" s="2499" cm="1">
        <f t="array" aca="1" ref="H66" ca="1">INDIRECT("'※ 유통플랫폼 세부데이터'!"&amp;H$1&amp;$X66, TRUE)</f>
        <v>3535.5</v>
      </c>
      <c r="I66" s="2500" cm="1">
        <f t="array" aca="1" ref="I66" ca="1">INDIRECT("'※ 유통플랫폼 세부데이터'!"&amp;I$1&amp;$X66, TRUE)</f>
        <v>2147.5</v>
      </c>
      <c r="J66" s="2456" cm="1">
        <f t="array" aca="1" ref="J66" ca="1">INDIRECT("'※ 유통플랫폼 세부데이터'!"&amp;J$1&amp;$X66, TRUE)</f>
        <v>4219.5</v>
      </c>
      <c r="K66" s="2501" cm="1">
        <f t="array" aca="1" ref="K66" ca="1">INDIRECT("'※ 유통플랫폼 세부데이터'!"&amp;K$1&amp;$X66, TRUE)</f>
        <v>5468</v>
      </c>
      <c r="L66" s="6521" cm="1">
        <f t="array" aca="1" ref="L66" ca="1">INDIRECT("'※ 유통플랫폼 세부데이터'!"&amp;L$1&amp;$X66, TRUE)</f>
        <v>2668</v>
      </c>
      <c r="M66" s="2501" cm="1">
        <f t="array" aca="1" ref="M66" ca="1">INDIRECT("'※ 유통플랫폼 세부데이터'!"&amp;M$1&amp;$X66, TRUE)</f>
        <v>22687.5</v>
      </c>
      <c r="N66" s="2501" cm="1">
        <f t="array" aca="1" ref="N66" ca="1">INDIRECT("'※ 유통플랫폼 세부데이터'!"&amp;N$1&amp;$X66, TRUE)</f>
        <v>9120</v>
      </c>
      <c r="O66" s="2501" cm="1">
        <f t="array" aca="1" ref="O66" ca="1">INDIRECT("'※ 유통플랫폼 세부데이터'!"&amp;O$1&amp;$X66, TRUE)</f>
        <v>3231</v>
      </c>
      <c r="P66" s="2501" cm="1">
        <f t="array" aca="1" ref="P66" ca="1">INDIRECT("'※ 유통플랫폼 세부데이터'!"&amp;P$1&amp;$X66, TRUE)</f>
        <v>2660</v>
      </c>
      <c r="Q66" s="2501" cm="1">
        <f t="array" aca="1" ref="Q66" ca="1">INDIRECT("'※ 유통플랫폼 세부데이터'!"&amp;Q$1&amp;$X66, TRUE)</f>
        <v>904</v>
      </c>
      <c r="R66" s="2502" cm="1">
        <f t="array" aca="1" ref="R66" ca="1">INDIRECT("'※ 유통플랫폼 세부데이터'!"&amp;R$1&amp;$X66, TRUE)</f>
        <v>-260</v>
      </c>
      <c r="S66" s="2491"/>
      <c r="T66" s="2503" cm="1">
        <f t="array" aca="1" ref="T66" ca="1">INDIRECT("'※ 유통플랫폼 세부데이터'!"&amp;T$1&amp;$X66, TRUE)</f>
        <v>2668</v>
      </c>
      <c r="U66" s="2493"/>
      <c r="V66" s="2504" cm="1">
        <f t="array" aca="1" ref="V66" ca="1">INDIRECT("'※ 유통플랫폼 세부데이터'!"&amp;V$1&amp;$X66, TRUE)</f>
        <v>1334</v>
      </c>
      <c r="W66" s="2495"/>
      <c r="X66" s="1596">
        <f>ROW('※ 유통플랫폼 세부데이터'!J60)</f>
        <v>60</v>
      </c>
      <c r="Y66" s="698"/>
    </row>
    <row r="67" spans="2:25" ht="15" customHeight="1" x14ac:dyDescent="0.55000000000000004">
      <c r="B67" s="7375"/>
      <c r="C67" s="2482"/>
      <c r="D67" s="2496" t="s">
        <v>678</v>
      </c>
      <c r="E67" s="2507" cm="1">
        <f t="array" aca="1" ref="E67" ca="1">INDIRECT("'※ 유통플랫폼 세부데이터'!"&amp;E$1&amp;$X67, TRUE)</f>
        <v>125331.02000000002</v>
      </c>
      <c r="F67" s="2499" cm="1">
        <f t="array" aca="1" ref="F67" ca="1">INDIRECT("'※ 유통플랫폼 세부데이터'!"&amp;F$1&amp;$X67, TRUE)</f>
        <v>7635.56</v>
      </c>
      <c r="G67" s="2499" cm="1">
        <f t="array" aca="1" ref="G67" ca="1">INDIRECT("'※ 유통플랫폼 세부데이터'!"&amp;G$1&amp;$X67, TRUE)</f>
        <v>21635.74</v>
      </c>
      <c r="H67" s="2499" cm="1">
        <f t="array" aca="1" ref="H67" ca="1">INDIRECT("'※ 유통플랫폼 세부데이터'!"&amp;H$1&amp;$X67, TRUE)</f>
        <v>18188.8</v>
      </c>
      <c r="I67" s="2500" cm="1">
        <f t="array" aca="1" ref="I67" ca="1">INDIRECT("'※ 유통플랫폼 세부데이터'!"&amp;I$1&amp;$X67, TRUE)</f>
        <v>16235.41</v>
      </c>
      <c r="J67" s="2456" cm="1">
        <f t="array" aca="1" ref="J67" ca="1">INDIRECT("'※ 유통플랫폼 세부데이터'!"&amp;J$1&amp;$X67, TRUE)</f>
        <v>11010.39</v>
      </c>
      <c r="K67" s="2501" cm="1">
        <f t="array" aca="1" ref="K67" ca="1">INDIRECT("'※ 유통플랫폼 세부데이터'!"&amp;K$1&amp;$X67, TRUE)</f>
        <v>5811.63</v>
      </c>
      <c r="L67" s="6521" cm="1">
        <f t="array" aca="1" ref="L67" ca="1">INDIRECT("'※ 유통플랫폼 세부데이터'!"&amp;L$1&amp;$X67, TRUE)</f>
        <v>13531</v>
      </c>
      <c r="M67" s="2501" cm="1">
        <f t="array" aca="1" ref="M67" ca="1">INDIRECT("'※ 유통플랫폼 세부데이터'!"&amp;M$1&amp;$X67, TRUE)</f>
        <v>5988.8</v>
      </c>
      <c r="N67" s="2501" cm="1">
        <f t="array" aca="1" ref="N67" ca="1">INDIRECT("'※ 유통플랫폼 세부데이터'!"&amp;N$1&amp;$X67, TRUE)</f>
        <v>9913</v>
      </c>
      <c r="O67" s="2501" cm="1">
        <f t="array" aca="1" ref="O67" ca="1">INDIRECT("'※ 유통플랫폼 세부데이터'!"&amp;O$1&amp;$X67, TRUE)</f>
        <v>8135</v>
      </c>
      <c r="P67" s="2501" cm="1">
        <f t="array" aca="1" ref="P67" ca="1">INDIRECT("'※ 유통플랫폼 세부데이터'!"&amp;P$1&amp;$X67, TRUE)</f>
        <v>6681</v>
      </c>
      <c r="Q67" s="2501" cm="1">
        <f t="array" aca="1" ref="Q67" ca="1">INDIRECT("'※ 유통플랫폼 세부데이터'!"&amp;Q$1&amp;$X67, TRUE)</f>
        <v>5931</v>
      </c>
      <c r="R67" s="2502" cm="1">
        <f t="array" aca="1" ref="R67" ca="1">INDIRECT("'※ 유통플랫폼 세부데이터'!"&amp;R$1&amp;$X67, TRUE)</f>
        <v>-7855</v>
      </c>
      <c r="S67" s="2491"/>
      <c r="T67" s="2503" cm="1">
        <f t="array" aca="1" ref="T67" ca="1">INDIRECT("'※ 유통플랫폼 세부데이터'!"&amp;T$1&amp;$X67, TRUE)</f>
        <v>13531</v>
      </c>
      <c r="U67" s="2493"/>
      <c r="V67" s="2504" cm="1">
        <f t="array" aca="1" ref="V67" ca="1">INDIRECT("'※ 유통플랫폼 세부데이터'!"&amp;V$1&amp;$X67, TRUE)</f>
        <v>6765.5</v>
      </c>
      <c r="W67" s="2495"/>
      <c r="X67" s="1596">
        <f>ROW('※ 유통플랫폼 세부데이터'!J61)</f>
        <v>61</v>
      </c>
      <c r="Y67" s="698"/>
    </row>
    <row r="68" spans="2:25" ht="15" customHeight="1" x14ac:dyDescent="0.55000000000000004">
      <c r="B68" s="7375"/>
      <c r="C68" s="2482"/>
      <c r="D68" s="2496" t="s">
        <v>856</v>
      </c>
      <c r="E68" s="2508"/>
      <c r="F68" s="2499" cm="1">
        <f t="array" aca="1" ref="F68" ca="1">INDIRECT("'※ 유통플랫폼 세부데이터'!"&amp;F$1&amp;$X68, TRUE)</f>
        <v>9020</v>
      </c>
      <c r="G68" s="2499" cm="1">
        <f t="array" aca="1" ref="G68" ca="1">INDIRECT("'※ 유통플랫폼 세부데이터'!"&amp;G$1&amp;$X68, TRUE)</f>
        <v>1900</v>
      </c>
      <c r="H68" s="2499" cm="1">
        <f t="array" aca="1" ref="H68" ca="1">INDIRECT("'※ 유통플랫폼 세부데이터'!"&amp;H$1&amp;$X68, TRUE)</f>
        <v>0</v>
      </c>
      <c r="I68" s="2500" cm="1">
        <f t="array" aca="1" ref="I68" ca="1">INDIRECT("'※ 유통플랫폼 세부데이터'!"&amp;I$1&amp;$X68, TRUE)</f>
        <v>0</v>
      </c>
      <c r="J68" s="2456" cm="1">
        <f t="array" aca="1" ref="J68" ca="1">INDIRECT("'※ 유통플랫폼 세부데이터'!"&amp;J$1&amp;$X68, TRUE)</f>
        <v>0</v>
      </c>
      <c r="K68" s="2501" cm="1">
        <f t="array" aca="1" ref="K68" ca="1">INDIRECT("'※ 유통플랫폼 세부데이터'!"&amp;K$1&amp;$X68, TRUE)</f>
        <v>925</v>
      </c>
      <c r="L68" s="6522"/>
      <c r="M68" s="2501" cm="1">
        <f t="array" aca="1" ref="M68" ca="1">INDIRECT("'※ 유통플랫폼 세부데이터'!"&amp;M$1&amp;$X68, TRUE)</f>
        <v>3105</v>
      </c>
      <c r="N68" s="2501" cm="1">
        <f t="array" aca="1" ref="N68" ca="1">INDIRECT("'※ 유통플랫폼 세부데이터'!"&amp;N$1&amp;$X68, TRUE)</f>
        <v>1680</v>
      </c>
      <c r="O68" s="2501" cm="1">
        <f t="array" aca="1" ref="O68" ca="1">INDIRECT("'※ 유통플랫폼 세부데이터'!"&amp;O$1&amp;$X68, TRUE)</f>
        <v>2190</v>
      </c>
      <c r="P68" s="2501" cm="1">
        <f t="array" aca="1" ref="P68" ca="1">INDIRECT("'※ 유통플랫폼 세부데이터'!"&amp;P$1&amp;$X68, TRUE)</f>
        <v>2754</v>
      </c>
      <c r="Q68" s="2501" cm="1">
        <f t="array" aca="1" ref="Q68" ca="1">INDIRECT("'※ 유통플랫폼 세부데이터'!"&amp;Q$1&amp;$X68, TRUE)</f>
        <v>4487</v>
      </c>
      <c r="R68" s="2502" cm="1">
        <f t="array" aca="1" ref="R68" ca="1">INDIRECT("'※ 유통플랫폼 세부데이터'!"&amp;R$1&amp;$X68, TRUE)</f>
        <v>1875</v>
      </c>
      <c r="S68" s="2491"/>
      <c r="T68" s="2503" cm="1">
        <f t="array" aca="1" ref="T68" ca="1">INDIRECT("'※ 유통플랫폼 세부데이터'!"&amp;T$1&amp;$X68, TRUE)</f>
        <v>6875</v>
      </c>
      <c r="U68" s="2493"/>
      <c r="V68" s="2504" cm="1">
        <f t="array" aca="1" ref="V68" ca="1">INDIRECT("'※ 유통플랫폼 세부데이터'!"&amp;V$1&amp;$X68, TRUE)</f>
        <v>3437.5</v>
      </c>
      <c r="W68" s="2495"/>
      <c r="X68" s="1596">
        <f>ROW('※ 유통플랫폼 세부데이터'!J62)</f>
        <v>62</v>
      </c>
      <c r="Y68" s="698"/>
    </row>
    <row r="69" spans="2:25" ht="15" customHeight="1" x14ac:dyDescent="0.55000000000000004">
      <c r="B69" s="7375"/>
      <c r="C69" s="2482"/>
      <c r="D69" s="2496" t="s">
        <v>294</v>
      </c>
      <c r="E69" s="2508"/>
      <c r="F69" s="2509"/>
      <c r="G69" s="2509"/>
      <c r="H69" s="2509"/>
      <c r="I69" s="2510"/>
      <c r="J69" s="2511"/>
      <c r="K69" s="2512"/>
      <c r="L69" s="6522"/>
      <c r="M69" s="2501" cm="1">
        <f t="array" aca="1" ref="M69" ca="1">INDIRECT("'※ 유통플랫폼 세부데이터'!"&amp;M$1&amp;$X69, TRUE)</f>
        <v>1427</v>
      </c>
      <c r="N69" s="2501" cm="1">
        <f t="array" aca="1" ref="N69" ca="1">INDIRECT("'※ 유통플랫폼 세부데이터'!"&amp;N$1&amp;$X69, TRUE)</f>
        <v>200</v>
      </c>
      <c r="O69" s="2501" cm="1">
        <f t="array" aca="1" ref="O69" ca="1">INDIRECT("'※ 유통플랫폼 세부데이터'!"&amp;O$1&amp;$X69, TRUE)</f>
        <v>0</v>
      </c>
      <c r="P69" s="2501" cm="1">
        <f t="array" aca="1" ref="P69" ca="1">INDIRECT("'※ 유통플랫폼 세부데이터'!"&amp;P$1&amp;$X69, TRUE)</f>
        <v>0</v>
      </c>
      <c r="Q69" s="2501" cm="1">
        <f t="array" aca="1" ref="Q69" ca="1">INDIRECT("'※ 유통플랫폼 세부데이터'!"&amp;Q$1&amp;$X69, TRUE)</f>
        <v>100</v>
      </c>
      <c r="R69" s="2502" cm="1">
        <f t="array" aca="1" ref="R69" ca="1">INDIRECT("'※ 유통플랫폼 세부데이터'!"&amp;R$1&amp;$X69, TRUE)</f>
        <v>-743</v>
      </c>
      <c r="S69" s="2491"/>
      <c r="T69" s="2503" cm="1">
        <f t="array" aca="1" ref="T69" ca="1">INDIRECT("'※ 유통플랫폼 세부데이터'!"&amp;T$1&amp;$X69, TRUE)</f>
        <v>743</v>
      </c>
      <c r="U69" s="2493"/>
      <c r="V69" s="2504" cm="1">
        <f t="array" aca="1" ref="V69" ca="1">INDIRECT("'※ 유통플랫폼 세부데이터'!"&amp;V$1&amp;$X69, TRUE)</f>
        <v>371.5</v>
      </c>
      <c r="W69" s="2495"/>
      <c r="X69" s="1596">
        <f>ROW('※ 유통플랫폼 세부데이터'!J63)</f>
        <v>63</v>
      </c>
      <c r="Y69" s="698"/>
    </row>
    <row r="70" spans="2:25" ht="15" customHeight="1" thickBot="1" x14ac:dyDescent="0.6">
      <c r="B70" s="7376"/>
      <c r="C70" s="2513"/>
      <c r="D70" s="2514" t="s">
        <v>66</v>
      </c>
      <c r="E70" s="2515" cm="1">
        <f t="array" aca="1" ref="E70" ca="1">INDIRECT("'※ 유통플랫폼 세부데이터'!"&amp;E$1&amp;$X70, TRUE)</f>
        <v>229751.76</v>
      </c>
      <c r="F70" s="2516" cm="1">
        <f t="array" aca="1" ref="F70" ca="1">INDIRECT("'※ 유통플랫폼 세부데이터'!"&amp;F$1&amp;$X70, TRUE)</f>
        <v>60675.34</v>
      </c>
      <c r="G70" s="2516" cm="1">
        <f t="array" aca="1" ref="G70" ca="1">INDIRECT("'※ 유통플랫폼 세부데이터'!"&amp;G$1&amp;$X70, TRUE)</f>
        <v>49664.160000000003</v>
      </c>
      <c r="H70" s="2516" cm="1">
        <f t="array" aca="1" ref="H70" ca="1">INDIRECT("'※ 유통플랫폼 세부데이터'!"&amp;H$1&amp;$X70, TRUE)</f>
        <v>50401.35</v>
      </c>
      <c r="I70" s="2516" cm="1">
        <f t="array" aca="1" ref="I70" ca="1">INDIRECT("'※ 유통플랫폼 세부데이터'!"&amp;I$1&amp;$X70, TRUE)</f>
        <v>31476.38</v>
      </c>
      <c r="J70" s="2517" cm="1">
        <f t="array" aca="1" ref="J70" ca="1">INDIRECT("'※ 유통플랫폼 세부데이터'!"&amp;J$1&amp;$X70, TRUE)</f>
        <v>16711.759999999998</v>
      </c>
      <c r="K70" s="2518" cm="1">
        <f t="array" aca="1" ref="K70" ca="1">INDIRECT("'※ 유통플랫폼 세부데이터'!"&amp;K$1&amp;$X70, TRUE)</f>
        <v>20767.77</v>
      </c>
      <c r="L70" s="6523" cm="1">
        <f t="array" aca="1" ref="L70" ca="1">INDIRECT("'※ 유통플랫폼 세부데이터'!"&amp;L$1&amp;$X70, TRUE)</f>
        <v>0</v>
      </c>
      <c r="M70" s="2518" cm="1">
        <f t="array" aca="1" ref="M70" ca="1">INDIRECT("'※ 유통플랫폼 세부데이터'!"&amp;M$1&amp;$X70, TRUE)</f>
        <v>0</v>
      </c>
      <c r="N70" s="2518" cm="1">
        <f t="array" aca="1" ref="N70" ca="1">INDIRECT("'※ 유통플랫폼 세부데이터'!"&amp;N$1&amp;$X70, TRUE)</f>
        <v>0</v>
      </c>
      <c r="O70" s="2518" cm="1">
        <f t="array" aca="1" ref="O70" ca="1">INDIRECT("'※ 유통플랫폼 세부데이터'!"&amp;O$1&amp;$X70, TRUE)</f>
        <v>0</v>
      </c>
      <c r="P70" s="2518" cm="1">
        <f t="array" aca="1" ref="P70" ca="1">INDIRECT("'※ 유통플랫폼 세부데이터'!"&amp;P$1&amp;$X70, TRUE)</f>
        <v>0</v>
      </c>
      <c r="Q70" s="2518" cm="1">
        <f t="array" aca="1" ref="Q70" ca="1">INDIRECT("'※ 유통플랫폼 세부데이터'!"&amp;Q$1&amp;$X70, TRUE)</f>
        <v>0</v>
      </c>
      <c r="R70" s="2519" cm="1">
        <f t="array" aca="1" ref="R70" ca="1">INDIRECT("'※ 유통플랫폼 세부데이터'!"&amp;R$1&amp;$X70, TRUE)</f>
        <v>0</v>
      </c>
      <c r="S70" s="2520"/>
      <c r="T70" s="2521" cm="1">
        <f t="array" aca="1" ref="T70" ca="1">INDIRECT("'※ 유통플랫폼 세부데이터'!"&amp;T$1&amp;$X70, TRUE)</f>
        <v>0</v>
      </c>
      <c r="U70" s="2522"/>
      <c r="V70" s="2523" cm="1">
        <f t="array" aca="1" ref="V70" ca="1">INDIRECT("'※ 유통플랫폼 세부데이터'!"&amp;V$1&amp;$X70, TRUE)</f>
        <v>0</v>
      </c>
      <c r="W70" s="2524"/>
      <c r="X70" s="1596">
        <f>ROW('※ 유통플랫폼 세부데이터'!J64)</f>
        <v>64</v>
      </c>
      <c r="Y70" s="698"/>
    </row>
    <row r="71" spans="2:25" x14ac:dyDescent="0.55000000000000004">
      <c r="B71" s="698"/>
      <c r="C71" s="698"/>
      <c r="D71" s="698"/>
      <c r="E71" s="698"/>
      <c r="F71" s="698"/>
      <c r="G71" s="698"/>
      <c r="H71" s="698"/>
      <c r="I71" s="698"/>
      <c r="J71" s="698"/>
      <c r="K71" s="698"/>
      <c r="L71" s="698"/>
      <c r="M71" s="698"/>
      <c r="N71" s="698"/>
      <c r="O71" s="698"/>
      <c r="P71" s="698"/>
      <c r="Q71" s="698"/>
      <c r="R71" s="698"/>
      <c r="S71" s="698"/>
      <c r="T71" s="698"/>
      <c r="U71" s="698"/>
      <c r="V71" s="698"/>
      <c r="W71" s="698"/>
      <c r="X71" s="698"/>
      <c r="Y71" s="698"/>
    </row>
    <row r="72" spans="2:25" x14ac:dyDescent="0.55000000000000004">
      <c r="B72" s="698"/>
      <c r="C72" s="698"/>
      <c r="D72" s="698"/>
      <c r="E72" s="698"/>
      <c r="F72" s="698"/>
      <c r="G72" s="698"/>
      <c r="H72" s="698"/>
      <c r="I72" s="698"/>
      <c r="J72" s="698"/>
      <c r="K72" s="698"/>
      <c r="L72" s="698"/>
      <c r="M72" s="698"/>
      <c r="N72" s="698"/>
      <c r="O72" s="698"/>
      <c r="P72" s="698"/>
      <c r="Q72" s="698"/>
      <c r="R72" s="698"/>
      <c r="S72" s="698"/>
      <c r="T72" s="698"/>
      <c r="U72" s="698"/>
      <c r="V72" s="698"/>
      <c r="W72" s="698"/>
      <c r="X72" s="698"/>
      <c r="Y72" s="698"/>
    </row>
    <row r="73" spans="2:25" x14ac:dyDescent="0.55000000000000004">
      <c r="B73" s="698"/>
      <c r="C73" s="698"/>
      <c r="D73" s="698"/>
      <c r="E73" s="698"/>
      <c r="F73" s="698"/>
      <c r="G73" s="698"/>
      <c r="H73" s="698"/>
      <c r="I73" s="698"/>
      <c r="J73" s="698"/>
      <c r="K73" s="698"/>
      <c r="L73" s="698"/>
      <c r="M73" s="698"/>
      <c r="N73" s="698"/>
      <c r="O73" s="698"/>
      <c r="P73" s="698"/>
      <c r="Q73" s="698"/>
      <c r="R73" s="698"/>
      <c r="S73" s="698"/>
      <c r="T73" s="698"/>
      <c r="U73" s="698"/>
      <c r="V73" s="698"/>
      <c r="W73" s="698"/>
      <c r="X73" s="698"/>
      <c r="Y73" s="698"/>
    </row>
    <row r="74" spans="2:25" x14ac:dyDescent="0.55000000000000004">
      <c r="B74" s="698"/>
      <c r="C74" s="698"/>
      <c r="D74" s="698"/>
      <c r="E74" s="698"/>
      <c r="F74" s="698"/>
      <c r="G74" s="698"/>
      <c r="H74" s="698"/>
      <c r="I74" s="698"/>
      <c r="J74" s="698"/>
      <c r="K74" s="698"/>
      <c r="L74" s="698"/>
      <c r="M74" s="698"/>
      <c r="N74" s="698"/>
      <c r="O74" s="698"/>
      <c r="P74" s="698"/>
      <c r="Q74" s="698"/>
      <c r="R74" s="698"/>
      <c r="S74" s="698"/>
      <c r="T74" s="698"/>
      <c r="U74" s="698"/>
      <c r="V74" s="698"/>
      <c r="W74" s="698"/>
      <c r="X74" s="698"/>
      <c r="Y74" s="698"/>
    </row>
    <row r="75" spans="2:25" x14ac:dyDescent="0.55000000000000004">
      <c r="B75" s="698"/>
      <c r="C75" s="698"/>
      <c r="D75" s="698"/>
      <c r="E75" s="698"/>
      <c r="F75" s="698"/>
      <c r="G75" s="698"/>
      <c r="H75" s="698"/>
      <c r="I75" s="698"/>
      <c r="J75" s="698"/>
      <c r="K75" s="698"/>
      <c r="L75" s="698"/>
      <c r="M75" s="698"/>
      <c r="N75" s="698"/>
      <c r="O75" s="698"/>
      <c r="P75" s="698"/>
      <c r="Q75" s="698"/>
      <c r="R75" s="698"/>
      <c r="S75" s="698"/>
      <c r="T75" s="698"/>
      <c r="U75" s="698"/>
      <c r="V75" s="698"/>
      <c r="W75" s="698"/>
      <c r="X75" s="698"/>
      <c r="Y75" s="698"/>
    </row>
    <row r="76" spans="2:25" x14ac:dyDescent="0.55000000000000004">
      <c r="B76" s="698"/>
      <c r="C76" s="698"/>
      <c r="D76" s="698"/>
      <c r="E76" s="698"/>
      <c r="F76" s="698"/>
      <c r="G76" s="698"/>
      <c r="H76" s="698"/>
      <c r="I76" s="698"/>
      <c r="J76" s="698"/>
      <c r="K76" s="698"/>
      <c r="L76" s="698"/>
      <c r="M76" s="698"/>
      <c r="N76" s="698"/>
      <c r="O76" s="698"/>
      <c r="P76" s="698"/>
      <c r="Q76" s="698"/>
      <c r="R76" s="698"/>
      <c r="S76" s="698"/>
      <c r="T76" s="698"/>
      <c r="U76" s="698"/>
      <c r="V76" s="698"/>
      <c r="W76" s="698"/>
      <c r="X76" s="698"/>
      <c r="Y76" s="698"/>
    </row>
    <row r="77" spans="2:25" x14ac:dyDescent="0.55000000000000004">
      <c r="B77" s="698"/>
      <c r="C77" s="698"/>
      <c r="D77" s="698"/>
      <c r="E77" s="698"/>
      <c r="F77" s="698"/>
      <c r="G77" s="698"/>
      <c r="H77" s="698"/>
      <c r="I77" s="698"/>
      <c r="J77" s="698"/>
      <c r="K77" s="698"/>
      <c r="L77" s="698"/>
      <c r="M77" s="698"/>
      <c r="N77" s="698"/>
      <c r="O77" s="698"/>
      <c r="P77" s="698"/>
      <c r="Q77" s="698"/>
      <c r="R77" s="698"/>
      <c r="S77" s="698"/>
      <c r="T77" s="698"/>
      <c r="U77" s="698"/>
      <c r="V77" s="698"/>
      <c r="W77" s="698"/>
      <c r="X77" s="698"/>
      <c r="Y77" s="698"/>
    </row>
    <row r="78" spans="2:25" x14ac:dyDescent="0.55000000000000004">
      <c r="B78" s="698"/>
      <c r="C78" s="698"/>
      <c r="D78" s="698"/>
      <c r="E78" s="698"/>
      <c r="F78" s="698"/>
      <c r="G78" s="698"/>
      <c r="H78" s="698"/>
      <c r="I78" s="698"/>
      <c r="J78" s="698"/>
      <c r="K78" s="698"/>
      <c r="L78" s="698"/>
      <c r="M78" s="698"/>
      <c r="N78" s="698"/>
      <c r="O78" s="698"/>
      <c r="P78" s="698"/>
      <c r="Q78" s="698"/>
      <c r="R78" s="698"/>
      <c r="S78" s="698"/>
      <c r="T78" s="698"/>
      <c r="U78" s="698"/>
      <c r="V78" s="698"/>
      <c r="W78" s="698"/>
      <c r="X78" s="698"/>
      <c r="Y78" s="698"/>
    </row>
    <row r="79" spans="2:25" x14ac:dyDescent="0.55000000000000004">
      <c r="B79" s="698"/>
      <c r="C79" s="698"/>
      <c r="D79" s="698"/>
      <c r="E79" s="698"/>
      <c r="F79" s="698"/>
      <c r="G79" s="698"/>
      <c r="H79" s="698"/>
      <c r="I79" s="698"/>
      <c r="J79" s="698"/>
      <c r="K79" s="698"/>
      <c r="L79" s="698"/>
      <c r="M79" s="698"/>
      <c r="N79" s="698"/>
      <c r="O79" s="698"/>
      <c r="P79" s="698"/>
      <c r="Q79" s="698"/>
      <c r="R79" s="698"/>
      <c r="S79" s="698"/>
      <c r="T79" s="698"/>
      <c r="U79" s="698"/>
      <c r="V79" s="698"/>
      <c r="W79" s="698"/>
      <c r="X79" s="698"/>
      <c r="Y79" s="698"/>
    </row>
    <row r="80" spans="2:25" x14ac:dyDescent="0.55000000000000004">
      <c r="B80" s="698"/>
      <c r="C80" s="698"/>
      <c r="D80" s="698"/>
      <c r="E80" s="698"/>
      <c r="F80" s="698"/>
      <c r="G80" s="698"/>
      <c r="H80" s="698"/>
      <c r="I80" s="698"/>
      <c r="J80" s="698"/>
      <c r="K80" s="698"/>
      <c r="L80" s="698"/>
      <c r="M80" s="698"/>
      <c r="N80" s="698"/>
      <c r="O80" s="698"/>
      <c r="P80" s="698"/>
      <c r="Q80" s="698"/>
      <c r="R80" s="698"/>
      <c r="S80" s="698"/>
      <c r="T80" s="698"/>
      <c r="U80" s="698"/>
      <c r="V80" s="698"/>
      <c r="W80" s="698"/>
      <c r="X80" s="698"/>
      <c r="Y80" s="698"/>
    </row>
    <row r="81" spans="2:25" x14ac:dyDescent="0.55000000000000004">
      <c r="B81" s="698"/>
      <c r="C81" s="698"/>
      <c r="D81" s="698"/>
      <c r="E81" s="698"/>
      <c r="F81" s="698"/>
      <c r="G81" s="698"/>
      <c r="H81" s="698"/>
      <c r="I81" s="698"/>
      <c r="J81" s="698"/>
      <c r="K81" s="698"/>
      <c r="L81" s="698"/>
      <c r="M81" s="698"/>
      <c r="N81" s="698"/>
      <c r="O81" s="698"/>
      <c r="P81" s="698"/>
      <c r="Q81" s="698"/>
      <c r="R81" s="698"/>
      <c r="S81" s="698"/>
      <c r="T81" s="698"/>
      <c r="U81" s="698"/>
      <c r="V81" s="698"/>
      <c r="W81" s="698"/>
      <c r="X81" s="698"/>
      <c r="Y81" s="698"/>
    </row>
    <row r="82" spans="2:25" x14ac:dyDescent="0.55000000000000004">
      <c r="B82" s="698"/>
      <c r="C82" s="698"/>
      <c r="D82" s="698"/>
      <c r="E82" s="698"/>
      <c r="F82" s="698"/>
      <c r="G82" s="698"/>
      <c r="H82" s="698"/>
      <c r="I82" s="698"/>
      <c r="J82" s="698"/>
      <c r="K82" s="698"/>
      <c r="L82" s="698"/>
      <c r="M82" s="698"/>
      <c r="N82" s="698"/>
      <c r="O82" s="698"/>
      <c r="P82" s="698"/>
      <c r="Q82" s="698"/>
      <c r="R82" s="698"/>
      <c r="S82" s="698"/>
      <c r="T82" s="698"/>
      <c r="U82" s="698"/>
      <c r="V82" s="698"/>
      <c r="W82" s="698"/>
      <c r="X82" s="698"/>
      <c r="Y82" s="698"/>
    </row>
    <row r="83" spans="2:25" x14ac:dyDescent="0.55000000000000004">
      <c r="B83" s="698"/>
      <c r="C83" s="698"/>
      <c r="D83" s="698"/>
      <c r="E83" s="698"/>
      <c r="F83" s="698"/>
      <c r="G83" s="698"/>
      <c r="H83" s="698"/>
      <c r="I83" s="698"/>
      <c r="J83" s="698"/>
      <c r="K83" s="698"/>
      <c r="L83" s="698"/>
      <c r="M83" s="698"/>
      <c r="N83" s="698"/>
      <c r="O83" s="698"/>
      <c r="P83" s="698"/>
      <c r="Q83" s="698"/>
      <c r="R83" s="698"/>
      <c r="S83" s="698"/>
      <c r="T83" s="698"/>
      <c r="U83" s="698"/>
      <c r="V83" s="698"/>
      <c r="W83" s="698"/>
      <c r="X83" s="698"/>
      <c r="Y83" s="698"/>
    </row>
    <row r="84" spans="2:25" x14ac:dyDescent="0.55000000000000004">
      <c r="B84" s="698"/>
      <c r="C84" s="698"/>
      <c r="D84" s="698"/>
      <c r="E84" s="698"/>
      <c r="F84" s="698"/>
      <c r="G84" s="698"/>
      <c r="H84" s="698"/>
      <c r="I84" s="698"/>
      <c r="J84" s="698"/>
      <c r="K84" s="698"/>
      <c r="L84" s="698"/>
      <c r="M84" s="698"/>
      <c r="N84" s="698"/>
      <c r="O84" s="698"/>
      <c r="P84" s="698"/>
      <c r="Q84" s="698"/>
      <c r="R84" s="698"/>
      <c r="S84" s="698"/>
      <c r="T84" s="698"/>
      <c r="U84" s="698"/>
      <c r="V84" s="698"/>
      <c r="W84" s="698"/>
      <c r="X84" s="698"/>
      <c r="Y84" s="698"/>
    </row>
    <row r="85" spans="2:25" x14ac:dyDescent="0.55000000000000004">
      <c r="B85" s="698"/>
      <c r="C85" s="698"/>
      <c r="D85" s="698"/>
      <c r="E85" s="698"/>
      <c r="F85" s="698"/>
      <c r="G85" s="698"/>
      <c r="H85" s="698"/>
      <c r="I85" s="698"/>
      <c r="J85" s="698"/>
      <c r="K85" s="698"/>
      <c r="L85" s="698"/>
      <c r="M85" s="698"/>
      <c r="N85" s="698"/>
      <c r="O85" s="698"/>
      <c r="P85" s="698"/>
      <c r="Q85" s="698"/>
      <c r="R85" s="698"/>
      <c r="S85" s="698"/>
      <c r="T85" s="698"/>
      <c r="U85" s="698"/>
      <c r="V85" s="698"/>
      <c r="W85" s="698"/>
      <c r="X85" s="698"/>
      <c r="Y85" s="698"/>
    </row>
    <row r="86" spans="2:25" x14ac:dyDescent="0.55000000000000004">
      <c r="B86" s="698"/>
      <c r="C86" s="698"/>
      <c r="D86" s="698"/>
      <c r="E86" s="698"/>
      <c r="F86" s="698"/>
      <c r="G86" s="698"/>
      <c r="H86" s="698"/>
      <c r="I86" s="698"/>
      <c r="J86" s="698"/>
      <c r="K86" s="698"/>
      <c r="L86" s="698"/>
      <c r="M86" s="698"/>
      <c r="N86" s="698"/>
      <c r="O86" s="698"/>
      <c r="P86" s="698"/>
      <c r="Q86" s="698"/>
      <c r="R86" s="698"/>
      <c r="S86" s="698"/>
      <c r="T86" s="698"/>
      <c r="U86" s="698"/>
      <c r="V86" s="698"/>
      <c r="W86" s="698"/>
      <c r="X86" s="698"/>
      <c r="Y86" s="698"/>
    </row>
    <row r="87" spans="2:25" x14ac:dyDescent="0.55000000000000004">
      <c r="B87" s="698"/>
      <c r="C87" s="698"/>
      <c r="D87" s="698"/>
      <c r="E87" s="698"/>
      <c r="F87" s="698"/>
      <c r="G87" s="698"/>
      <c r="H87" s="698"/>
      <c r="I87" s="698"/>
      <c r="J87" s="698"/>
      <c r="K87" s="698"/>
      <c r="L87" s="698"/>
      <c r="M87" s="698"/>
      <c r="N87" s="698"/>
      <c r="O87" s="698"/>
      <c r="P87" s="698"/>
      <c r="Q87" s="698"/>
      <c r="R87" s="698"/>
      <c r="S87" s="698"/>
      <c r="T87" s="698"/>
      <c r="U87" s="698"/>
      <c r="V87" s="698"/>
      <c r="W87" s="698"/>
      <c r="X87" s="698"/>
      <c r="Y87" s="698"/>
    </row>
    <row r="88" spans="2:25" x14ac:dyDescent="0.55000000000000004"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698"/>
      <c r="O88" s="698"/>
      <c r="P88" s="698"/>
      <c r="Q88" s="698"/>
      <c r="R88" s="698"/>
      <c r="S88" s="698"/>
      <c r="T88" s="698"/>
      <c r="U88" s="698"/>
      <c r="V88" s="698"/>
      <c r="W88" s="698"/>
      <c r="X88" s="698"/>
      <c r="Y88" s="698"/>
    </row>
    <row r="89" spans="2:25" x14ac:dyDescent="0.55000000000000004">
      <c r="B89" s="698"/>
      <c r="C89" s="698"/>
      <c r="D89" s="698"/>
      <c r="E89" s="698"/>
      <c r="F89" s="698"/>
      <c r="G89" s="698"/>
      <c r="H89" s="698"/>
      <c r="I89" s="698"/>
      <c r="J89" s="698"/>
      <c r="K89" s="698"/>
      <c r="L89" s="698"/>
      <c r="M89" s="698"/>
      <c r="N89" s="698"/>
      <c r="O89" s="698"/>
      <c r="P89" s="698"/>
      <c r="Q89" s="698"/>
      <c r="R89" s="698"/>
      <c r="S89" s="698"/>
      <c r="T89" s="698"/>
      <c r="U89" s="698"/>
      <c r="V89" s="698"/>
      <c r="W89" s="698"/>
      <c r="X89" s="698"/>
      <c r="Y89" s="698"/>
    </row>
    <row r="90" spans="2:25" x14ac:dyDescent="0.55000000000000004">
      <c r="B90" s="698"/>
      <c r="C90" s="698"/>
      <c r="D90" s="698"/>
      <c r="E90" s="698"/>
      <c r="F90" s="698"/>
      <c r="G90" s="698"/>
      <c r="H90" s="698"/>
      <c r="I90" s="698"/>
      <c r="J90" s="698"/>
      <c r="K90" s="698"/>
      <c r="L90" s="698"/>
      <c r="M90" s="698"/>
      <c r="N90" s="698"/>
      <c r="O90" s="698"/>
      <c r="P90" s="698"/>
      <c r="Q90" s="698"/>
      <c r="R90" s="698"/>
      <c r="S90" s="698"/>
      <c r="T90" s="698"/>
      <c r="U90" s="698"/>
      <c r="V90" s="698"/>
      <c r="W90" s="698"/>
      <c r="X90" s="698"/>
      <c r="Y90" s="698"/>
    </row>
    <row r="91" spans="2:25" x14ac:dyDescent="0.55000000000000004">
      <c r="B91" s="698"/>
      <c r="C91" s="698"/>
      <c r="D91" s="698"/>
      <c r="E91" s="698"/>
      <c r="F91" s="698"/>
      <c r="G91" s="698"/>
      <c r="H91" s="698"/>
      <c r="I91" s="698"/>
      <c r="J91" s="698"/>
      <c r="K91" s="698"/>
      <c r="L91" s="698"/>
      <c r="M91" s="698"/>
      <c r="N91" s="698"/>
      <c r="O91" s="698"/>
      <c r="P91" s="698"/>
      <c r="Q91" s="698"/>
      <c r="R91" s="698"/>
      <c r="S91" s="698"/>
      <c r="T91" s="698"/>
      <c r="U91" s="698"/>
      <c r="V91" s="698"/>
      <c r="W91" s="698"/>
      <c r="X91" s="698"/>
      <c r="Y91" s="698"/>
    </row>
    <row r="92" spans="2:25" x14ac:dyDescent="0.55000000000000004">
      <c r="B92" s="698"/>
      <c r="C92" s="698"/>
      <c r="D92" s="698"/>
      <c r="E92" s="698"/>
      <c r="F92" s="698"/>
      <c r="G92" s="698"/>
      <c r="H92" s="698"/>
      <c r="I92" s="698"/>
      <c r="J92" s="698"/>
      <c r="K92" s="698"/>
      <c r="L92" s="698"/>
      <c r="M92" s="698"/>
      <c r="N92" s="698"/>
      <c r="O92" s="698"/>
      <c r="P92" s="698"/>
      <c r="Q92" s="698"/>
      <c r="R92" s="698"/>
      <c r="S92" s="698"/>
      <c r="T92" s="698"/>
      <c r="U92" s="698"/>
      <c r="V92" s="698"/>
      <c r="W92" s="698"/>
      <c r="X92" s="698"/>
      <c r="Y92" s="698"/>
    </row>
    <row r="93" spans="2:25" x14ac:dyDescent="0.55000000000000004">
      <c r="B93" s="698"/>
      <c r="C93" s="698"/>
      <c r="D93" s="698"/>
      <c r="E93" s="698"/>
      <c r="F93" s="698"/>
      <c r="G93" s="698"/>
      <c r="H93" s="698"/>
      <c r="I93" s="698"/>
      <c r="J93" s="698"/>
      <c r="K93" s="698"/>
      <c r="L93" s="698"/>
      <c r="M93" s="698"/>
      <c r="N93" s="698"/>
      <c r="O93" s="698"/>
      <c r="P93" s="698"/>
      <c r="Q93" s="698"/>
      <c r="R93" s="698"/>
      <c r="S93" s="698"/>
      <c r="T93" s="698"/>
      <c r="U93" s="698"/>
      <c r="V93" s="698"/>
      <c r="W93" s="698"/>
      <c r="X93" s="698"/>
      <c r="Y93" s="698"/>
    </row>
    <row r="94" spans="2:25" x14ac:dyDescent="0.55000000000000004">
      <c r="B94" s="698"/>
      <c r="C94" s="698"/>
      <c r="D94" s="698"/>
      <c r="E94" s="698"/>
      <c r="F94" s="698"/>
      <c r="G94" s="698"/>
      <c r="H94" s="698"/>
      <c r="I94" s="698"/>
      <c r="J94" s="698"/>
      <c r="K94" s="698"/>
      <c r="L94" s="698"/>
      <c r="M94" s="698"/>
      <c r="N94" s="698"/>
      <c r="O94" s="698"/>
      <c r="P94" s="698"/>
      <c r="Q94" s="698"/>
      <c r="R94" s="698"/>
      <c r="S94" s="698"/>
      <c r="T94" s="698"/>
      <c r="U94" s="698"/>
      <c r="V94" s="698"/>
      <c r="W94" s="698"/>
      <c r="X94" s="698"/>
      <c r="Y94" s="698"/>
    </row>
    <row r="95" spans="2:25" x14ac:dyDescent="0.55000000000000004">
      <c r="B95" s="698"/>
      <c r="C95" s="698"/>
      <c r="D95" s="698"/>
      <c r="E95" s="698"/>
      <c r="F95" s="698"/>
      <c r="G95" s="698"/>
      <c r="H95" s="698"/>
      <c r="I95" s="698"/>
      <c r="J95" s="698"/>
      <c r="K95" s="698"/>
      <c r="L95" s="698"/>
      <c r="M95" s="698"/>
      <c r="N95" s="698"/>
      <c r="O95" s="698"/>
      <c r="P95" s="698"/>
      <c r="Q95" s="698"/>
      <c r="R95" s="698"/>
      <c r="S95" s="698"/>
      <c r="T95" s="698"/>
      <c r="U95" s="698"/>
      <c r="V95" s="698"/>
      <c r="W95" s="698"/>
      <c r="X95" s="698"/>
      <c r="Y95" s="698"/>
    </row>
    <row r="96" spans="2:25" x14ac:dyDescent="0.55000000000000004">
      <c r="B96" s="698"/>
      <c r="C96" s="698"/>
      <c r="D96" s="698"/>
      <c r="E96" s="698"/>
      <c r="F96" s="698"/>
      <c r="G96" s="698"/>
      <c r="H96" s="698"/>
      <c r="I96" s="698"/>
      <c r="J96" s="698"/>
      <c r="K96" s="698"/>
      <c r="L96" s="698"/>
      <c r="M96" s="698"/>
      <c r="N96" s="698"/>
      <c r="O96" s="698"/>
      <c r="P96" s="698"/>
      <c r="Q96" s="698"/>
      <c r="R96" s="698"/>
      <c r="S96" s="698"/>
      <c r="T96" s="698"/>
      <c r="U96" s="698"/>
      <c r="V96" s="698"/>
      <c r="W96" s="698"/>
      <c r="X96" s="698"/>
      <c r="Y96" s="698"/>
    </row>
    <row r="97" spans="2:25" x14ac:dyDescent="0.55000000000000004"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8"/>
      <c r="Q97" s="698"/>
      <c r="R97" s="698"/>
      <c r="S97" s="698"/>
      <c r="T97" s="698"/>
      <c r="U97" s="698"/>
      <c r="V97" s="698"/>
      <c r="W97" s="698"/>
      <c r="X97" s="698"/>
      <c r="Y97" s="698"/>
    </row>
    <row r="98" spans="2:25" x14ac:dyDescent="0.55000000000000004">
      <c r="B98" s="698"/>
      <c r="C98" s="698"/>
      <c r="D98" s="698"/>
      <c r="E98" s="698"/>
      <c r="F98" s="698"/>
      <c r="G98" s="698"/>
      <c r="H98" s="698"/>
      <c r="I98" s="698"/>
      <c r="J98" s="698"/>
      <c r="K98" s="698"/>
      <c r="L98" s="698"/>
      <c r="M98" s="698"/>
      <c r="N98" s="698"/>
      <c r="O98" s="698"/>
      <c r="P98" s="698"/>
      <c r="Q98" s="698"/>
      <c r="R98" s="698"/>
      <c r="S98" s="698"/>
      <c r="T98" s="698"/>
      <c r="U98" s="698"/>
      <c r="V98" s="698"/>
      <c r="W98" s="698"/>
      <c r="X98" s="698"/>
      <c r="Y98" s="698"/>
    </row>
    <row r="99" spans="2:25" x14ac:dyDescent="0.55000000000000004">
      <c r="B99" s="698"/>
      <c r="C99" s="698"/>
      <c r="D99" s="698"/>
      <c r="E99" s="698"/>
      <c r="F99" s="698"/>
      <c r="G99" s="698"/>
      <c r="H99" s="698"/>
      <c r="I99" s="698"/>
      <c r="J99" s="698"/>
      <c r="K99" s="698"/>
      <c r="L99" s="698"/>
      <c r="M99" s="698"/>
      <c r="N99" s="698"/>
      <c r="O99" s="698"/>
      <c r="P99" s="698"/>
      <c r="Q99" s="698"/>
      <c r="R99" s="698"/>
      <c r="S99" s="698"/>
      <c r="T99" s="698"/>
      <c r="U99" s="698"/>
      <c r="V99" s="698"/>
      <c r="W99" s="698"/>
      <c r="X99" s="698"/>
      <c r="Y99" s="698"/>
    </row>
    <row r="100" spans="2:25" x14ac:dyDescent="0.55000000000000004"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698"/>
      <c r="O100" s="698"/>
      <c r="P100" s="698"/>
      <c r="Q100" s="698"/>
      <c r="R100" s="698"/>
      <c r="S100" s="698"/>
      <c r="T100" s="698"/>
      <c r="U100" s="698"/>
      <c r="V100" s="698"/>
      <c r="W100" s="698"/>
      <c r="X100" s="698"/>
      <c r="Y100" s="698"/>
    </row>
    <row r="101" spans="2:25" x14ac:dyDescent="0.55000000000000004">
      <c r="B101" s="698"/>
      <c r="C101" s="698"/>
      <c r="D101" s="698"/>
      <c r="E101" s="698"/>
      <c r="F101" s="698"/>
      <c r="G101" s="698"/>
      <c r="H101" s="698"/>
      <c r="I101" s="698"/>
      <c r="J101" s="698"/>
      <c r="K101" s="698"/>
      <c r="L101" s="698"/>
      <c r="M101" s="698"/>
      <c r="N101" s="698"/>
      <c r="O101" s="698"/>
      <c r="P101" s="698"/>
      <c r="Q101" s="698"/>
      <c r="R101" s="698"/>
      <c r="S101" s="698"/>
      <c r="T101" s="698"/>
      <c r="U101" s="698"/>
      <c r="V101" s="698"/>
      <c r="W101" s="698"/>
      <c r="X101" s="698"/>
      <c r="Y101" s="698"/>
    </row>
    <row r="102" spans="2:25" x14ac:dyDescent="0.55000000000000004">
      <c r="B102" s="698"/>
      <c r="C102" s="698"/>
      <c r="D102" s="698"/>
      <c r="E102" s="698"/>
      <c r="F102" s="698"/>
      <c r="G102" s="698"/>
      <c r="H102" s="698"/>
      <c r="I102" s="698"/>
      <c r="J102" s="698"/>
      <c r="K102" s="698"/>
      <c r="L102" s="698"/>
      <c r="M102" s="698"/>
      <c r="N102" s="698"/>
      <c r="O102" s="698"/>
      <c r="P102" s="698"/>
      <c r="Q102" s="698"/>
      <c r="R102" s="698"/>
      <c r="S102" s="698"/>
      <c r="T102" s="698"/>
      <c r="U102" s="698"/>
      <c r="V102" s="698"/>
      <c r="W102" s="698"/>
      <c r="X102" s="698"/>
      <c r="Y102" s="698"/>
    </row>
    <row r="103" spans="2:25" x14ac:dyDescent="0.55000000000000004">
      <c r="B103" s="698"/>
      <c r="C103" s="698"/>
      <c r="D103" s="698"/>
      <c r="E103" s="698"/>
      <c r="F103" s="698"/>
      <c r="G103" s="698"/>
      <c r="H103" s="698"/>
      <c r="I103" s="698"/>
      <c r="J103" s="698"/>
      <c r="K103" s="698"/>
      <c r="L103" s="698"/>
      <c r="M103" s="698"/>
      <c r="N103" s="698"/>
      <c r="O103" s="698"/>
      <c r="P103" s="698"/>
      <c r="Q103" s="698"/>
      <c r="R103" s="698"/>
      <c r="S103" s="698"/>
      <c r="T103" s="698"/>
      <c r="U103" s="698"/>
      <c r="V103" s="698"/>
      <c r="W103" s="698"/>
      <c r="X103" s="698"/>
      <c r="Y103" s="698"/>
    </row>
    <row r="104" spans="2:25" x14ac:dyDescent="0.55000000000000004">
      <c r="B104" s="698"/>
      <c r="C104" s="698"/>
      <c r="D104" s="698"/>
      <c r="E104" s="698"/>
      <c r="F104" s="698"/>
      <c r="G104" s="698"/>
      <c r="H104" s="698"/>
      <c r="I104" s="698"/>
      <c r="J104" s="698"/>
      <c r="K104" s="698"/>
      <c r="L104" s="698"/>
      <c r="M104" s="698"/>
      <c r="N104" s="698"/>
      <c r="O104" s="698"/>
      <c r="P104" s="698"/>
      <c r="Q104" s="698"/>
      <c r="R104" s="698"/>
      <c r="S104" s="698"/>
      <c r="T104" s="698"/>
      <c r="U104" s="698"/>
      <c r="V104" s="698"/>
      <c r="W104" s="698"/>
      <c r="X104" s="698"/>
      <c r="Y104" s="698"/>
    </row>
    <row r="105" spans="2:25" x14ac:dyDescent="0.55000000000000004">
      <c r="B105" s="698"/>
      <c r="C105" s="698"/>
      <c r="D105" s="698"/>
      <c r="E105" s="698"/>
      <c r="F105" s="698"/>
      <c r="G105" s="698"/>
      <c r="H105" s="698"/>
      <c r="I105" s="698"/>
      <c r="J105" s="698"/>
      <c r="K105" s="698"/>
      <c r="L105" s="698"/>
      <c r="M105" s="698"/>
      <c r="N105" s="698"/>
      <c r="O105" s="698"/>
      <c r="P105" s="698"/>
      <c r="Q105" s="698"/>
      <c r="R105" s="698"/>
      <c r="S105" s="698"/>
      <c r="T105" s="698"/>
      <c r="U105" s="698"/>
      <c r="V105" s="698"/>
      <c r="W105" s="698"/>
      <c r="X105" s="698"/>
      <c r="Y105" s="698"/>
    </row>
    <row r="106" spans="2:25" x14ac:dyDescent="0.55000000000000004">
      <c r="B106" s="698"/>
      <c r="C106" s="698"/>
      <c r="D106" s="698"/>
      <c r="E106" s="698"/>
      <c r="F106" s="698"/>
      <c r="G106" s="698"/>
      <c r="H106" s="698"/>
      <c r="I106" s="698"/>
      <c r="J106" s="698"/>
      <c r="K106" s="698"/>
      <c r="L106" s="698"/>
      <c r="M106" s="698"/>
      <c r="N106" s="698"/>
      <c r="O106" s="698"/>
      <c r="P106" s="698"/>
      <c r="Q106" s="698"/>
      <c r="R106" s="698"/>
      <c r="S106" s="698"/>
      <c r="T106" s="698"/>
      <c r="U106" s="698"/>
      <c r="V106" s="698"/>
      <c r="W106" s="698"/>
      <c r="X106" s="698"/>
      <c r="Y106" s="698"/>
    </row>
    <row r="107" spans="2:25" x14ac:dyDescent="0.55000000000000004">
      <c r="B107" s="698"/>
      <c r="C107" s="698"/>
      <c r="D107" s="698"/>
      <c r="E107" s="698"/>
      <c r="F107" s="698"/>
      <c r="G107" s="698"/>
      <c r="H107" s="698"/>
      <c r="I107" s="698"/>
      <c r="J107" s="698"/>
      <c r="K107" s="698"/>
      <c r="L107" s="698"/>
      <c r="M107" s="698"/>
      <c r="N107" s="698"/>
      <c r="O107" s="698"/>
      <c r="P107" s="698"/>
      <c r="Q107" s="698"/>
      <c r="R107" s="698"/>
      <c r="S107" s="698"/>
      <c r="T107" s="698"/>
      <c r="U107" s="698"/>
      <c r="V107" s="698"/>
      <c r="W107" s="698"/>
      <c r="X107" s="698"/>
      <c r="Y107" s="698"/>
    </row>
    <row r="108" spans="2:25" x14ac:dyDescent="0.55000000000000004">
      <c r="B108" s="698"/>
      <c r="C108" s="698"/>
      <c r="D108" s="698"/>
      <c r="E108" s="698"/>
      <c r="F108" s="698"/>
      <c r="G108" s="698"/>
      <c r="H108" s="698"/>
      <c r="I108" s="698"/>
      <c r="J108" s="698"/>
      <c r="K108" s="698"/>
      <c r="L108" s="698"/>
      <c r="M108" s="698"/>
      <c r="N108" s="698"/>
      <c r="O108" s="698"/>
      <c r="P108" s="698"/>
      <c r="Q108" s="698"/>
      <c r="R108" s="698"/>
      <c r="S108" s="698"/>
      <c r="T108" s="698"/>
      <c r="U108" s="698"/>
      <c r="V108" s="698"/>
      <c r="W108" s="698"/>
      <c r="X108" s="698"/>
      <c r="Y108" s="698"/>
    </row>
    <row r="109" spans="2:25" x14ac:dyDescent="0.55000000000000004">
      <c r="B109" s="698"/>
      <c r="C109" s="698"/>
      <c r="D109" s="698"/>
      <c r="E109" s="698"/>
      <c r="F109" s="698"/>
      <c r="G109" s="698"/>
      <c r="H109" s="698"/>
      <c r="I109" s="698"/>
      <c r="J109" s="698"/>
      <c r="K109" s="698"/>
      <c r="L109" s="698"/>
      <c r="M109" s="698"/>
      <c r="N109" s="698"/>
      <c r="O109" s="698"/>
      <c r="P109" s="698"/>
      <c r="Q109" s="698"/>
      <c r="R109" s="698"/>
      <c r="S109" s="698"/>
      <c r="T109" s="698"/>
      <c r="U109" s="698"/>
      <c r="V109" s="698"/>
      <c r="W109" s="698"/>
      <c r="X109" s="698"/>
      <c r="Y109" s="698"/>
    </row>
    <row r="110" spans="2:25" x14ac:dyDescent="0.55000000000000004">
      <c r="B110" s="698"/>
      <c r="C110" s="698"/>
      <c r="D110" s="698"/>
      <c r="E110" s="698"/>
      <c r="F110" s="698"/>
      <c r="G110" s="698"/>
      <c r="H110" s="698"/>
      <c r="I110" s="698"/>
      <c r="J110" s="698"/>
      <c r="K110" s="698"/>
      <c r="L110" s="698"/>
      <c r="M110" s="698"/>
      <c r="N110" s="698"/>
      <c r="O110" s="698"/>
      <c r="P110" s="698"/>
      <c r="Q110" s="698"/>
      <c r="R110" s="698"/>
      <c r="S110" s="698"/>
      <c r="T110" s="698"/>
      <c r="U110" s="698"/>
      <c r="V110" s="698"/>
      <c r="W110" s="698"/>
      <c r="X110" s="698"/>
      <c r="Y110" s="698"/>
    </row>
    <row r="111" spans="2:25" x14ac:dyDescent="0.55000000000000004">
      <c r="B111" s="698"/>
      <c r="C111" s="698"/>
      <c r="D111" s="698"/>
      <c r="E111" s="698"/>
      <c r="F111" s="698"/>
      <c r="G111" s="698"/>
      <c r="H111" s="698"/>
      <c r="I111" s="698"/>
      <c r="J111" s="698"/>
      <c r="K111" s="698"/>
      <c r="L111" s="698"/>
      <c r="M111" s="698"/>
      <c r="N111" s="698"/>
      <c r="O111" s="698"/>
      <c r="P111" s="698"/>
      <c r="Q111" s="698"/>
      <c r="R111" s="698"/>
      <c r="S111" s="698"/>
      <c r="T111" s="698"/>
      <c r="U111" s="698"/>
      <c r="V111" s="698"/>
      <c r="W111" s="698"/>
      <c r="X111" s="698"/>
      <c r="Y111" s="698"/>
    </row>
    <row r="112" spans="2:25" x14ac:dyDescent="0.55000000000000004">
      <c r="B112" s="698"/>
      <c r="C112" s="698"/>
      <c r="D112" s="698"/>
      <c r="E112" s="698"/>
      <c r="F112" s="698"/>
      <c r="G112" s="698"/>
      <c r="H112" s="698"/>
      <c r="I112" s="698"/>
      <c r="J112" s="698"/>
      <c r="K112" s="698"/>
      <c r="L112" s="698"/>
      <c r="M112" s="698"/>
      <c r="N112" s="698"/>
      <c r="O112" s="698"/>
      <c r="P112" s="698"/>
      <c r="Q112" s="698"/>
      <c r="R112" s="698"/>
      <c r="S112" s="698"/>
      <c r="T112" s="698"/>
      <c r="U112" s="698"/>
      <c r="V112" s="698"/>
      <c r="W112" s="698"/>
      <c r="X112" s="698"/>
      <c r="Y112" s="698"/>
    </row>
    <row r="113" spans="2:25" x14ac:dyDescent="0.55000000000000004">
      <c r="B113" s="698"/>
      <c r="C113" s="698"/>
      <c r="D113" s="698"/>
      <c r="E113" s="698"/>
      <c r="F113" s="698"/>
      <c r="G113" s="698"/>
      <c r="H113" s="698"/>
      <c r="I113" s="698"/>
      <c r="J113" s="698"/>
      <c r="K113" s="698"/>
      <c r="L113" s="698"/>
      <c r="M113" s="698"/>
      <c r="N113" s="698"/>
      <c r="O113" s="698"/>
      <c r="P113" s="698"/>
      <c r="Q113" s="698"/>
      <c r="R113" s="698"/>
      <c r="S113" s="698"/>
      <c r="T113" s="698"/>
      <c r="U113" s="698"/>
      <c r="V113" s="698"/>
      <c r="W113" s="698"/>
      <c r="X113" s="698"/>
      <c r="Y113" s="698"/>
    </row>
    <row r="114" spans="2:25" x14ac:dyDescent="0.55000000000000004">
      <c r="B114" s="698"/>
      <c r="C114" s="698"/>
      <c r="D114" s="698"/>
      <c r="E114" s="698"/>
      <c r="F114" s="698"/>
      <c r="G114" s="698"/>
      <c r="H114" s="698"/>
      <c r="I114" s="698"/>
      <c r="J114" s="698"/>
      <c r="K114" s="698"/>
      <c r="L114" s="698"/>
      <c r="M114" s="698"/>
      <c r="N114" s="698"/>
      <c r="O114" s="698"/>
      <c r="P114" s="698"/>
      <c r="Q114" s="698"/>
      <c r="R114" s="698"/>
      <c r="S114" s="698"/>
      <c r="T114" s="698"/>
      <c r="U114" s="698"/>
      <c r="V114" s="698"/>
      <c r="W114" s="698"/>
      <c r="X114" s="698"/>
      <c r="Y114" s="698"/>
    </row>
    <row r="115" spans="2:25" x14ac:dyDescent="0.55000000000000004">
      <c r="B115" s="698"/>
      <c r="C115" s="698"/>
      <c r="D115" s="698"/>
      <c r="E115" s="698"/>
      <c r="F115" s="698"/>
      <c r="G115" s="698"/>
      <c r="H115" s="698"/>
      <c r="I115" s="698"/>
      <c r="J115" s="698"/>
      <c r="K115" s="698"/>
      <c r="L115" s="698"/>
      <c r="M115" s="698"/>
      <c r="N115" s="698"/>
      <c r="O115" s="698"/>
      <c r="P115" s="698"/>
      <c r="Q115" s="698"/>
      <c r="R115" s="698"/>
      <c r="S115" s="698"/>
      <c r="T115" s="698"/>
      <c r="U115" s="698"/>
      <c r="V115" s="698"/>
      <c r="W115" s="698"/>
      <c r="X115" s="698"/>
      <c r="Y115" s="698"/>
    </row>
    <row r="116" spans="2:25" x14ac:dyDescent="0.55000000000000004">
      <c r="B116" s="698"/>
      <c r="C116" s="698"/>
      <c r="D116" s="698"/>
      <c r="E116" s="698"/>
      <c r="F116" s="698"/>
      <c r="G116" s="698"/>
      <c r="H116" s="698"/>
      <c r="I116" s="698"/>
      <c r="J116" s="698"/>
      <c r="K116" s="698"/>
      <c r="L116" s="698"/>
      <c r="M116" s="698"/>
      <c r="N116" s="698"/>
      <c r="O116" s="698"/>
      <c r="P116" s="698"/>
      <c r="Q116" s="698"/>
      <c r="R116" s="698"/>
      <c r="S116" s="698"/>
      <c r="T116" s="698"/>
      <c r="U116" s="698"/>
      <c r="V116" s="698"/>
      <c r="W116" s="698"/>
      <c r="X116" s="698"/>
      <c r="Y116" s="698"/>
    </row>
    <row r="117" spans="2:25" x14ac:dyDescent="0.55000000000000004">
      <c r="B117" s="698"/>
      <c r="C117" s="698"/>
      <c r="D117" s="698"/>
      <c r="E117" s="698"/>
      <c r="F117" s="698"/>
      <c r="G117" s="698"/>
      <c r="H117" s="698"/>
      <c r="I117" s="698"/>
      <c r="J117" s="698"/>
      <c r="K117" s="698"/>
      <c r="L117" s="698"/>
      <c r="M117" s="698"/>
      <c r="N117" s="698"/>
      <c r="O117" s="698"/>
      <c r="P117" s="698"/>
      <c r="Q117" s="698"/>
      <c r="R117" s="698"/>
      <c r="S117" s="698"/>
      <c r="T117" s="698"/>
      <c r="U117" s="698"/>
      <c r="V117" s="698"/>
      <c r="W117" s="698"/>
      <c r="X117" s="698"/>
      <c r="Y117" s="698"/>
    </row>
  </sheetData>
  <mergeCells count="15">
    <mergeCell ref="B3:W3"/>
    <mergeCell ref="B33:B70"/>
    <mergeCell ref="T5:W5"/>
    <mergeCell ref="B7:B13"/>
    <mergeCell ref="B14:B31"/>
    <mergeCell ref="C17:C20"/>
    <mergeCell ref="C21:C23"/>
    <mergeCell ref="C24:C27"/>
    <mergeCell ref="C14:C16"/>
    <mergeCell ref="C10:C13"/>
    <mergeCell ref="C28:C31"/>
    <mergeCell ref="C7:C9"/>
    <mergeCell ref="B6:D6"/>
    <mergeCell ref="F5:K5"/>
    <mergeCell ref="M5:Q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0" fitToHeight="0" orientation="landscape" r:id="rId1"/>
  <headerFooter scaleWithDoc="0">
    <oddFooter>&amp;R&amp;"-,기울임꼴"&amp;8&amp;P &amp; 페이지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1">
    <tabColor theme="7" tint="0.79998168889431442"/>
  </sheetPr>
  <dimension ref="A1:CF433"/>
  <sheetViews>
    <sheetView showGridLines="0" zoomScale="40" zoomScaleNormal="40" workbookViewId="0">
      <pane xSplit="3" ySplit="3" topLeftCell="AJ233" activePane="bottomRight" state="frozen"/>
      <selection activeCell="V54" sqref="V54"/>
      <selection pane="topRight" activeCell="V54" sqref="V54"/>
      <selection pane="bottomLeft" activeCell="V54" sqref="V54"/>
      <selection pane="bottomRight" activeCell="BM244" sqref="BM244"/>
    </sheetView>
  </sheetViews>
  <sheetFormatPr defaultColWidth="9.140625" defaultRowHeight="15" outlineLevelCol="1" x14ac:dyDescent="0.55000000000000004"/>
  <cols>
    <col min="1" max="1" width="13.5" style="559" customWidth="1"/>
    <col min="2" max="2" width="8.92578125" style="2771" bestFit="1" customWidth="1"/>
    <col min="3" max="3" width="9.140625" style="559"/>
    <col min="4" max="15" width="8.85546875" style="581" hidden="1" customWidth="1" outlineLevel="1"/>
    <col min="16" max="16" width="9.85546875" style="581" bestFit="1" customWidth="1" collapsed="1"/>
    <col min="17" max="17" width="9.35546875" style="581" bestFit="1" customWidth="1"/>
    <col min="18" max="18" width="2.35546875" style="4689" customWidth="1"/>
    <col min="19" max="30" width="8.85546875" style="581" hidden="1" customWidth="1" outlineLevel="1"/>
    <col min="31" max="31" width="10.0703125" style="581" bestFit="1" customWidth="1" collapsed="1"/>
    <col min="32" max="32" width="9.35546875" style="581" bestFit="1" customWidth="1"/>
    <col min="33" max="33" width="2.35546875" style="4689" customWidth="1"/>
    <col min="34" max="45" width="8.85546875" style="581" customWidth="1" outlineLevel="1"/>
    <col min="46" max="46" width="10.5703125" style="581" bestFit="1" customWidth="1"/>
    <col min="47" max="47" width="9.0703125" style="581" bestFit="1" customWidth="1"/>
    <col min="48" max="48" width="4.42578125" style="559" customWidth="1"/>
    <col min="49" max="60" width="8.85546875" style="581" customWidth="1" outlineLevel="1"/>
    <col min="61" max="61" width="10.5703125" style="581" bestFit="1" customWidth="1"/>
    <col min="62" max="62" width="9.5703125" style="581" bestFit="1" customWidth="1"/>
    <col min="63" max="63" width="2.92578125" style="559" customWidth="1"/>
    <col min="64" max="75" width="8.85546875" style="581" customWidth="1" outlineLevel="1"/>
    <col min="76" max="76" width="9.2109375" style="581" bestFit="1" customWidth="1"/>
    <col min="77" max="77" width="9.5703125" style="2843" bestFit="1" customWidth="1"/>
    <col min="78" max="80" width="9.140625" style="559" customWidth="1"/>
    <col min="81" max="81" width="12.640625" style="559" customWidth="1"/>
    <col min="82" max="82" width="9.140625" style="559" customWidth="1"/>
    <col min="83" max="16384" width="9.140625" style="559"/>
  </cols>
  <sheetData>
    <row r="1" spans="1:82" x14ac:dyDescent="0.55000000000000004">
      <c r="A1" s="4516">
        <f>'0. 개요'!AE2</f>
        <v>46054</v>
      </c>
    </row>
    <row r="2" spans="1:82" x14ac:dyDescent="0.55000000000000004">
      <c r="B2" s="4393">
        <f>'※ 영기팀 작성_가입자'!B1</f>
        <v>11.000999999999999</v>
      </c>
      <c r="S2" s="3286">
        <v>1.0009999999999999</v>
      </c>
      <c r="T2" s="3286">
        <v>2.0009999999999999</v>
      </c>
      <c r="U2" s="3286">
        <v>3.0009999999999999</v>
      </c>
      <c r="V2" s="3286">
        <v>4.0010000000000003</v>
      </c>
      <c r="W2" s="3286">
        <v>5.0010000000000003</v>
      </c>
      <c r="X2" s="3286">
        <v>6.0010000000000003</v>
      </c>
      <c r="Y2" s="3286">
        <v>7.0010000000000003</v>
      </c>
      <c r="Z2" s="3286">
        <v>8.0009999999999994</v>
      </c>
      <c r="AA2" s="3286">
        <v>9.0009999999999994</v>
      </c>
      <c r="AB2" s="3286">
        <v>10.000999999999999</v>
      </c>
      <c r="AC2" s="3286">
        <v>11.000999999999999</v>
      </c>
      <c r="AD2" s="3286">
        <v>12.000999999999999</v>
      </c>
      <c r="AH2" s="3286">
        <v>1.0009999999999999</v>
      </c>
      <c r="AI2" s="3286">
        <v>2.0009999999999999</v>
      </c>
      <c r="AJ2" s="3286">
        <v>3.0009999999999999</v>
      </c>
      <c r="AK2" s="3286">
        <v>4.0010000000000003</v>
      </c>
      <c r="AL2" s="3286">
        <v>5.0010000000000003</v>
      </c>
      <c r="AM2" s="3286">
        <v>6.0010000000000003</v>
      </c>
      <c r="AN2" s="3286">
        <v>7.0010000000000003</v>
      </c>
      <c r="AO2" s="3286">
        <v>8.0009999999999994</v>
      </c>
      <c r="AP2" s="3286">
        <v>9.0009999999999994</v>
      </c>
      <c r="AQ2" s="3286">
        <v>10.000999999999999</v>
      </c>
      <c r="AR2" s="3286">
        <v>11.000999999999999</v>
      </c>
      <c r="AS2" s="3286">
        <v>12.000999999999999</v>
      </c>
      <c r="AW2" s="4477">
        <v>45658</v>
      </c>
      <c r="AX2" s="4477">
        <v>45689</v>
      </c>
      <c r="AY2" s="4477">
        <v>45717</v>
      </c>
      <c r="AZ2" s="4477">
        <v>45748</v>
      </c>
      <c r="BA2" s="4477">
        <v>45778</v>
      </c>
      <c r="BB2" s="4477">
        <v>45809</v>
      </c>
      <c r="BC2" s="4477">
        <v>45839</v>
      </c>
      <c r="BD2" s="4477">
        <v>45870</v>
      </c>
      <c r="BE2" s="4477">
        <v>45901</v>
      </c>
      <c r="BF2" s="4477">
        <v>45931</v>
      </c>
      <c r="BG2" s="4477">
        <v>45962</v>
      </c>
      <c r="BH2" s="4477">
        <v>45992</v>
      </c>
      <c r="BL2" s="4477">
        <v>46023</v>
      </c>
      <c r="BM2" s="4477">
        <v>46054</v>
      </c>
      <c r="BN2" s="4477">
        <v>46082</v>
      </c>
      <c r="BO2" s="4477">
        <v>46113</v>
      </c>
      <c r="BP2" s="4477">
        <v>46143</v>
      </c>
      <c r="BQ2" s="4477">
        <v>46174</v>
      </c>
      <c r="BR2" s="4477">
        <v>46204</v>
      </c>
      <c r="BS2" s="4477">
        <v>46235</v>
      </c>
      <c r="BT2" s="4477">
        <v>46266</v>
      </c>
      <c r="BU2" s="4477">
        <v>46296</v>
      </c>
      <c r="BV2" s="4477">
        <v>46327</v>
      </c>
      <c r="BW2" s="4477">
        <v>46357</v>
      </c>
    </row>
    <row r="3" spans="1:82" ht="16.75" thickBot="1" x14ac:dyDescent="0.6">
      <c r="D3" s="4484" t="s">
        <v>363</v>
      </c>
      <c r="E3" s="1155" t="s">
        <v>364</v>
      </c>
      <c r="F3" s="1155" t="s">
        <v>365</v>
      </c>
      <c r="G3" s="1155" t="s">
        <v>366</v>
      </c>
      <c r="H3" s="1155" t="s">
        <v>367</v>
      </c>
      <c r="I3" s="1155" t="s">
        <v>368</v>
      </c>
      <c r="J3" s="1155" t="s">
        <v>369</v>
      </c>
      <c r="K3" s="1155" t="s">
        <v>370</v>
      </c>
      <c r="L3" s="1155" t="s">
        <v>371</v>
      </c>
      <c r="M3" s="1155" t="s">
        <v>372</v>
      </c>
      <c r="N3" s="1155" t="s">
        <v>373</v>
      </c>
      <c r="O3" s="1155" t="s">
        <v>374</v>
      </c>
      <c r="P3" s="1155" t="s">
        <v>392</v>
      </c>
      <c r="Q3" s="1155" t="s">
        <v>350</v>
      </c>
      <c r="S3" s="1155" t="s">
        <v>351</v>
      </c>
      <c r="T3" s="1155" t="s">
        <v>352</v>
      </c>
      <c r="U3" s="1155" t="s">
        <v>353</v>
      </c>
      <c r="V3" s="1155" t="s">
        <v>354</v>
      </c>
      <c r="W3" s="1155" t="s">
        <v>355</v>
      </c>
      <c r="X3" s="1155" t="s">
        <v>356</v>
      </c>
      <c r="Y3" s="1155" t="s">
        <v>357</v>
      </c>
      <c r="Z3" s="1155" t="s">
        <v>358</v>
      </c>
      <c r="AA3" s="1155" t="s">
        <v>359</v>
      </c>
      <c r="AB3" s="1155" t="s">
        <v>360</v>
      </c>
      <c r="AC3" s="1155" t="s">
        <v>361</v>
      </c>
      <c r="AD3" s="1155" t="s">
        <v>362</v>
      </c>
      <c r="AE3" s="1155" t="s">
        <v>393</v>
      </c>
      <c r="AF3" s="1155" t="s">
        <v>350</v>
      </c>
      <c r="AH3" s="1155" t="s">
        <v>2</v>
      </c>
      <c r="AI3" s="1155" t="s">
        <v>3</v>
      </c>
      <c r="AJ3" s="1155" t="s">
        <v>154</v>
      </c>
      <c r="AK3" s="1155" t="s">
        <v>341</v>
      </c>
      <c r="AL3" s="1155" t="s">
        <v>342</v>
      </c>
      <c r="AM3" s="1155" t="s">
        <v>343</v>
      </c>
      <c r="AN3" s="1155" t="s">
        <v>344</v>
      </c>
      <c r="AO3" s="1155" t="s">
        <v>345</v>
      </c>
      <c r="AP3" s="1155" t="s">
        <v>346</v>
      </c>
      <c r="AQ3" s="1155" t="s">
        <v>347</v>
      </c>
      <c r="AR3" s="1155" t="s">
        <v>348</v>
      </c>
      <c r="AS3" s="1155" t="s">
        <v>349</v>
      </c>
      <c r="AT3" s="1155" t="s">
        <v>394</v>
      </c>
      <c r="AU3" s="1155" t="s">
        <v>350</v>
      </c>
      <c r="AW3" s="4684" t="s">
        <v>940</v>
      </c>
      <c r="AX3" s="1155" t="s">
        <v>942</v>
      </c>
      <c r="AY3" s="1155" t="s">
        <v>944</v>
      </c>
      <c r="AZ3" s="1155" t="s">
        <v>945</v>
      </c>
      <c r="BA3" s="1155" t="s">
        <v>946</v>
      </c>
      <c r="BB3" s="1155" t="s">
        <v>947</v>
      </c>
      <c r="BC3" s="1155" t="s">
        <v>948</v>
      </c>
      <c r="BD3" s="1155" t="s">
        <v>949</v>
      </c>
      <c r="BE3" s="1155" t="s">
        <v>950</v>
      </c>
      <c r="BF3" s="1155" t="s">
        <v>951</v>
      </c>
      <c r="BG3" s="1155" t="s">
        <v>952</v>
      </c>
      <c r="BH3" s="1155" t="s">
        <v>953</v>
      </c>
      <c r="BI3" s="1155" t="s">
        <v>956</v>
      </c>
      <c r="BJ3" s="1155" t="s">
        <v>350</v>
      </c>
      <c r="BL3" s="4685" t="s">
        <v>1122</v>
      </c>
      <c r="BM3" s="1155" t="s">
        <v>1072</v>
      </c>
      <c r="BN3" s="1155" t="s">
        <v>1073</v>
      </c>
      <c r="BO3" s="1155" t="s">
        <v>1074</v>
      </c>
      <c r="BP3" s="1155" t="s">
        <v>1075</v>
      </c>
      <c r="BQ3" s="1155" t="s">
        <v>1076</v>
      </c>
      <c r="BR3" s="1155" t="s">
        <v>1077</v>
      </c>
      <c r="BS3" s="1155" t="s">
        <v>1078</v>
      </c>
      <c r="BT3" s="1155" t="s">
        <v>1079</v>
      </c>
      <c r="BU3" s="1155" t="s">
        <v>1080</v>
      </c>
      <c r="BV3" s="1155" t="s">
        <v>1081</v>
      </c>
      <c r="BW3" s="1155" t="s">
        <v>1082</v>
      </c>
      <c r="BX3" s="1155" t="s">
        <v>1154</v>
      </c>
      <c r="BY3" s="6448" t="s">
        <v>350</v>
      </c>
      <c r="CA3" s="4481" t="s">
        <v>444</v>
      </c>
      <c r="CB3" s="4481" t="s">
        <v>445</v>
      </c>
      <c r="CC3" s="2856" t="s">
        <v>450</v>
      </c>
      <c r="CD3" s="4481" t="s">
        <v>130</v>
      </c>
    </row>
    <row r="4" spans="1:82" ht="17.600000000000001" x14ac:dyDescent="0.55000000000000004">
      <c r="A4" s="7385" t="s">
        <v>375</v>
      </c>
      <c r="B4" s="857" t="s">
        <v>242</v>
      </c>
      <c r="C4" s="858"/>
      <c r="D4" s="5236">
        <f>SUM(D5:D7)</f>
        <v>255</v>
      </c>
      <c r="E4" s="5237">
        <f t="shared" ref="E4:O4" si="0">SUM(E5:E7)</f>
        <v>256</v>
      </c>
      <c r="F4" s="5237">
        <f t="shared" si="0"/>
        <v>257</v>
      </c>
      <c r="G4" s="5237">
        <f t="shared" si="0"/>
        <v>261</v>
      </c>
      <c r="H4" s="5237">
        <f t="shared" si="0"/>
        <v>262</v>
      </c>
      <c r="I4" s="5237">
        <f t="shared" si="0"/>
        <v>258</v>
      </c>
      <c r="J4" s="5237">
        <f t="shared" si="0"/>
        <v>262</v>
      </c>
      <c r="K4" s="5237">
        <f t="shared" si="0"/>
        <v>261</v>
      </c>
      <c r="L4" s="5237">
        <f t="shared" si="0"/>
        <v>262</v>
      </c>
      <c r="M4" s="5237">
        <f t="shared" si="0"/>
        <v>261</v>
      </c>
      <c r="N4" s="5237">
        <f t="shared" si="0"/>
        <v>261</v>
      </c>
      <c r="O4" s="5237">
        <f t="shared" si="0"/>
        <v>256</v>
      </c>
      <c r="P4" s="5237">
        <f>AVERAGE(D4:O4)</f>
        <v>259.33333333333331</v>
      </c>
      <c r="Q4" s="5238">
        <f>P4</f>
        <v>259.33333333333331</v>
      </c>
      <c r="R4" s="2776"/>
      <c r="S4" s="5236">
        <f t="shared" ref="S4:AD4" si="1">SUM(S5:S7)</f>
        <v>259</v>
      </c>
      <c r="T4" s="5237">
        <f t="shared" si="1"/>
        <v>259</v>
      </c>
      <c r="U4" s="5237">
        <f t="shared" si="1"/>
        <v>254</v>
      </c>
      <c r="V4" s="5237">
        <f t="shared" si="1"/>
        <v>258</v>
      </c>
      <c r="W4" s="5237">
        <f t="shared" si="1"/>
        <v>258</v>
      </c>
      <c r="X4" s="5237">
        <f t="shared" si="1"/>
        <v>257</v>
      </c>
      <c r="Y4" s="5237">
        <f t="shared" si="1"/>
        <v>259</v>
      </c>
      <c r="Z4" s="5237">
        <f t="shared" si="1"/>
        <v>257</v>
      </c>
      <c r="AA4" s="5237">
        <f t="shared" si="1"/>
        <v>257</v>
      </c>
      <c r="AB4" s="5237">
        <f t="shared" si="1"/>
        <v>255</v>
      </c>
      <c r="AC4" s="5237">
        <f t="shared" si="1"/>
        <v>254</v>
      </c>
      <c r="AD4" s="5237">
        <f t="shared" si="1"/>
        <v>253</v>
      </c>
      <c r="AE4" s="5237">
        <f>SUM(S4:AD4)</f>
        <v>3080</v>
      </c>
      <c r="AF4" s="5238">
        <f>AE4/12</f>
        <v>256.66666666666669</v>
      </c>
      <c r="AG4" s="2776"/>
      <c r="AH4" s="5236">
        <f t="shared" ref="AH4:AM4" si="2">SUM(AH5:AH7)</f>
        <v>255</v>
      </c>
      <c r="AI4" s="5237">
        <f t="shared" si="2"/>
        <v>251</v>
      </c>
      <c r="AJ4" s="5237">
        <f t="shared" si="2"/>
        <v>260</v>
      </c>
      <c r="AK4" s="5237">
        <f t="shared" si="2"/>
        <v>261</v>
      </c>
      <c r="AL4" s="5237">
        <f t="shared" si="2"/>
        <v>266</v>
      </c>
      <c r="AM4" s="5237">
        <f t="shared" si="2"/>
        <v>269</v>
      </c>
      <c r="AN4" s="5237">
        <v>271</v>
      </c>
      <c r="AO4" s="5237">
        <f>SUM(AO5:AO7)</f>
        <v>271</v>
      </c>
      <c r="AP4" s="5237">
        <f>SUM(AP5:AP7)</f>
        <v>272</v>
      </c>
      <c r="AQ4" s="5237">
        <f>SUM(AQ5:AQ7)</f>
        <v>272</v>
      </c>
      <c r="AR4" s="5237">
        <v>272</v>
      </c>
      <c r="AS4" s="5237">
        <v>274</v>
      </c>
      <c r="AT4" s="5237">
        <f>AS4</f>
        <v>274</v>
      </c>
      <c r="AU4" s="5238">
        <f>SUM(AH4:AS4)/12</f>
        <v>266.16666666666669</v>
      </c>
      <c r="AV4" s="559" t="b">
        <v>1</v>
      </c>
      <c r="AW4" s="5239">
        <v>272</v>
      </c>
      <c r="AX4" s="5237">
        <v>269</v>
      </c>
      <c r="AY4" s="5237">
        <v>262</v>
      </c>
      <c r="AZ4" s="5237">
        <v>258</v>
      </c>
      <c r="BA4" s="5237">
        <v>257</v>
      </c>
      <c r="BB4" s="5237">
        <v>252</v>
      </c>
      <c r="BC4" s="5237">
        <v>254</v>
      </c>
      <c r="BD4" s="5237">
        <v>253</v>
      </c>
      <c r="BE4" s="5237">
        <v>253</v>
      </c>
      <c r="BF4" s="5237">
        <v>252</v>
      </c>
      <c r="BG4" s="5237">
        <v>252</v>
      </c>
      <c r="BH4" s="5237">
        <v>250</v>
      </c>
      <c r="BI4" s="5237">
        <f>SUM(AW4:BH4)</f>
        <v>3084</v>
      </c>
      <c r="BJ4" s="5238">
        <f>AVERAGE(AW4:BH4)</f>
        <v>257</v>
      </c>
      <c r="BK4" s="559" t="b">
        <v>1</v>
      </c>
      <c r="BL4" s="5239">
        <v>252</v>
      </c>
      <c r="BM4" s="5237">
        <v>253</v>
      </c>
      <c r="BN4" s="5237"/>
      <c r="BO4" s="5237"/>
      <c r="BP4" s="5237"/>
      <c r="BQ4" s="5237"/>
      <c r="BR4" s="5237"/>
      <c r="BS4" s="5237"/>
      <c r="BT4" s="5237"/>
      <c r="BU4" s="5237"/>
      <c r="BV4" s="5237"/>
      <c r="BW4" s="5237"/>
      <c r="BX4" s="5237">
        <f>SUM(BL4:BW4)</f>
        <v>505</v>
      </c>
      <c r="BY4" s="5238">
        <f t="shared" ref="BY4:BY35" si="3">SUM(BL4:BW4)/MONTH($A$1)</f>
        <v>252.5</v>
      </c>
      <c r="CA4" s="169">
        <f t="shared" ref="CA4:CA35" si="4">IFERROR(_xlfn.XLOOKUP($A$1,$2:$2,4:4)-_xlfn.XLOOKUP(EDATE($A$1,-12),$2:$2,4:4),"")</f>
        <v>-16</v>
      </c>
      <c r="CB4" s="169">
        <f>BJ4-AU4</f>
        <v>-9.1666666666666856</v>
      </c>
      <c r="CC4" s="169">
        <f>IFERROR(
  SUM(
    _xlfn.XLOOKUP(DATE(YEAR($A$1),1,1),$2:$2,4:4):
    _xlfn.XLOOKUP($A$1,$2:$2,4:4)
  )
 -SUM(
    _xlfn.XLOOKUP(DATE(YEAR($A$1)-1,1,1),$2:$2,4:4):
    _xlfn.XLOOKUP(EDATE($A$1,-12),$2:$2,4:4)
  ),"")</f>
        <v>-36</v>
      </c>
      <c r="CD4" s="4517">
        <f t="shared" ref="CD4:CD35" si="5">IFERROR(
  _xlfn.XLOOKUP($A$1,$2:$2,4:4)
 -_xlfn.XLOOKUP(EDATE($A$1,-1),$2:$2,4:4),"")</f>
        <v>1</v>
      </c>
    </row>
    <row r="5" spans="1:82" ht="17.600000000000001" x14ac:dyDescent="0.55000000000000004">
      <c r="A5" s="7386"/>
      <c r="B5" s="1168"/>
      <c r="C5" s="1534" t="s">
        <v>243</v>
      </c>
      <c r="D5" s="5240">
        <v>1</v>
      </c>
      <c r="E5" s="4451">
        <v>1</v>
      </c>
      <c r="F5" s="4451">
        <v>1</v>
      </c>
      <c r="G5" s="4451">
        <v>1</v>
      </c>
      <c r="H5" s="4451">
        <v>1</v>
      </c>
      <c r="I5" s="4451">
        <v>1</v>
      </c>
      <c r="J5" s="4451">
        <v>1</v>
      </c>
      <c r="K5" s="4451">
        <v>1</v>
      </c>
      <c r="L5" s="4451">
        <v>1</v>
      </c>
      <c r="M5" s="4451">
        <v>1</v>
      </c>
      <c r="N5" s="4451">
        <v>1</v>
      </c>
      <c r="O5" s="4451">
        <v>1</v>
      </c>
      <c r="P5" s="4451">
        <f t="shared" ref="P5:P60" si="6">AVERAGE(D5:O5)</f>
        <v>1</v>
      </c>
      <c r="Q5" s="5241">
        <f t="shared" ref="Q5:Q60" si="7">P5</f>
        <v>1</v>
      </c>
      <c r="R5" s="2776"/>
      <c r="S5" s="5240">
        <v>1</v>
      </c>
      <c r="T5" s="4451">
        <v>1</v>
      </c>
      <c r="U5" s="4451">
        <v>1</v>
      </c>
      <c r="V5" s="4451">
        <v>1</v>
      </c>
      <c r="W5" s="4451">
        <v>1</v>
      </c>
      <c r="X5" s="4451">
        <v>1</v>
      </c>
      <c r="Y5" s="4451">
        <v>1</v>
      </c>
      <c r="Z5" s="4451">
        <v>1</v>
      </c>
      <c r="AA5" s="4451">
        <v>1</v>
      </c>
      <c r="AB5" s="4451">
        <v>1</v>
      </c>
      <c r="AC5" s="4451">
        <v>1</v>
      </c>
      <c r="AD5" s="4451">
        <v>1</v>
      </c>
      <c r="AE5" s="4451">
        <f t="shared" ref="AE5:AE22" si="8">SUM(S5:AD5)</f>
        <v>12</v>
      </c>
      <c r="AF5" s="5241">
        <f t="shared" ref="AF5:AF22" si="9">AE5/12</f>
        <v>1</v>
      </c>
      <c r="AG5" s="2776"/>
      <c r="AH5" s="5240">
        <v>1</v>
      </c>
      <c r="AI5" s="4451">
        <v>1</v>
      </c>
      <c r="AJ5" s="4451">
        <v>1</v>
      </c>
      <c r="AK5" s="4451">
        <v>1</v>
      </c>
      <c r="AL5" s="4451">
        <v>1</v>
      </c>
      <c r="AM5" s="4451">
        <v>1</v>
      </c>
      <c r="AN5" s="4451">
        <v>1</v>
      </c>
      <c r="AO5" s="4451">
        <v>1</v>
      </c>
      <c r="AP5" s="4451">
        <v>1</v>
      </c>
      <c r="AQ5" s="4451">
        <v>1</v>
      </c>
      <c r="AR5" s="4451">
        <v>1</v>
      </c>
      <c r="AS5" s="4451">
        <v>1</v>
      </c>
      <c r="AT5" s="4451">
        <f t="shared" ref="AT5:AT22" si="10">AS5</f>
        <v>1</v>
      </c>
      <c r="AU5" s="5241">
        <f t="shared" ref="AU5:AU68" si="11">SUM(AH5:AS5)/12</f>
        <v>1</v>
      </c>
      <c r="AV5" s="559" t="b">
        <v>1</v>
      </c>
      <c r="AW5" s="5242">
        <v>1</v>
      </c>
      <c r="AX5" s="4451">
        <v>1</v>
      </c>
      <c r="AY5" s="4451">
        <v>1</v>
      </c>
      <c r="AZ5" s="4451">
        <v>1</v>
      </c>
      <c r="BA5" s="4451">
        <v>1</v>
      </c>
      <c r="BB5" s="4451">
        <v>1</v>
      </c>
      <c r="BC5" s="4451">
        <v>1</v>
      </c>
      <c r="BD5" s="4451">
        <v>1</v>
      </c>
      <c r="BE5" s="4451">
        <v>1</v>
      </c>
      <c r="BF5" s="4451">
        <v>1</v>
      </c>
      <c r="BG5" s="4451">
        <v>1</v>
      </c>
      <c r="BH5" s="4451">
        <v>1</v>
      </c>
      <c r="BI5" s="4451">
        <f t="shared" ref="BI5:BI22" si="12">SUM(AW5:BH5)</f>
        <v>12</v>
      </c>
      <c r="BJ5" s="5241">
        <f t="shared" ref="BJ5:BJ68" si="13">AVERAGE(AW5:BH5)</f>
        <v>1</v>
      </c>
      <c r="BK5" s="559" t="b">
        <v>1</v>
      </c>
      <c r="BL5" s="5242">
        <v>1</v>
      </c>
      <c r="BM5" s="4451">
        <v>1</v>
      </c>
      <c r="BN5" s="4451"/>
      <c r="BO5" s="4451"/>
      <c r="BP5" s="4451"/>
      <c r="BQ5" s="4451"/>
      <c r="BR5" s="4451"/>
      <c r="BS5" s="4451"/>
      <c r="BT5" s="4451"/>
      <c r="BU5" s="4451"/>
      <c r="BV5" s="4451"/>
      <c r="BW5" s="4451"/>
      <c r="BX5" s="4451">
        <f t="shared" ref="BX5:BX22" si="14">SUM(BL5:BW5)</f>
        <v>2</v>
      </c>
      <c r="BY5" s="5241">
        <f t="shared" si="3"/>
        <v>1</v>
      </c>
      <c r="CA5" s="169">
        <f t="shared" si="4"/>
        <v>0</v>
      </c>
      <c r="CB5" s="169">
        <f t="shared" ref="CB5:CB68" si="15">BJ5-AU5</f>
        <v>0</v>
      </c>
      <c r="CC5" s="169">
        <f>IFERROR(
  SUM(
    _xlfn.XLOOKUP(DATE(YEAR($A$1),1,1),$2:$2,5:5):
    _xlfn.XLOOKUP($A$1,$2:$2,5:5)
  )
 -SUM(
    _xlfn.XLOOKUP(DATE(YEAR($A$1)-1,1,1),$2:$2,5:5):
    _xlfn.XLOOKUP(EDATE($A$1,-12),$2:$2,5:5)
  ),"")</f>
        <v>0</v>
      </c>
      <c r="CD5" s="4517">
        <f t="shared" si="5"/>
        <v>0</v>
      </c>
    </row>
    <row r="6" spans="1:82" ht="17.600000000000001" x14ac:dyDescent="0.55000000000000004">
      <c r="A6" s="7386"/>
      <c r="B6" s="1168"/>
      <c r="C6" s="1534" t="s">
        <v>245</v>
      </c>
      <c r="D6" s="5240">
        <v>239</v>
      </c>
      <c r="E6" s="4451">
        <v>240</v>
      </c>
      <c r="F6" s="4451">
        <v>241</v>
      </c>
      <c r="G6" s="4451">
        <v>245</v>
      </c>
      <c r="H6" s="4451">
        <v>246</v>
      </c>
      <c r="I6" s="4451">
        <v>242</v>
      </c>
      <c r="J6" s="4451">
        <v>246</v>
      </c>
      <c r="K6" s="4451">
        <v>245</v>
      </c>
      <c r="L6" s="4451">
        <v>246</v>
      </c>
      <c r="M6" s="4451">
        <v>245</v>
      </c>
      <c r="N6" s="4451">
        <v>245</v>
      </c>
      <c r="O6" s="4451">
        <v>242</v>
      </c>
      <c r="P6" s="4451">
        <f t="shared" si="6"/>
        <v>243.5</v>
      </c>
      <c r="Q6" s="5241">
        <f t="shared" si="7"/>
        <v>243.5</v>
      </c>
      <c r="R6" s="2776"/>
      <c r="S6" s="5240">
        <v>245</v>
      </c>
      <c r="T6" s="4451">
        <v>245</v>
      </c>
      <c r="U6" s="4451">
        <v>240</v>
      </c>
      <c r="V6" s="4451">
        <v>244</v>
      </c>
      <c r="W6" s="4451">
        <v>244</v>
      </c>
      <c r="X6" s="4451">
        <v>243</v>
      </c>
      <c r="Y6" s="4451">
        <v>245</v>
      </c>
      <c r="Z6" s="4451">
        <v>243</v>
      </c>
      <c r="AA6" s="4451">
        <v>243</v>
      </c>
      <c r="AB6" s="4451">
        <v>242</v>
      </c>
      <c r="AC6" s="4451">
        <v>242</v>
      </c>
      <c r="AD6" s="4451">
        <v>241</v>
      </c>
      <c r="AE6" s="4451">
        <f t="shared" si="8"/>
        <v>2917</v>
      </c>
      <c r="AF6" s="5241">
        <f t="shared" si="9"/>
        <v>243.08333333333334</v>
      </c>
      <c r="AG6" s="2776"/>
      <c r="AH6" s="5240">
        <v>243</v>
      </c>
      <c r="AI6" s="4451">
        <v>239</v>
      </c>
      <c r="AJ6" s="4451">
        <v>248</v>
      </c>
      <c r="AK6" s="4451">
        <v>249</v>
      </c>
      <c r="AL6" s="4451">
        <v>255</v>
      </c>
      <c r="AM6" s="4451">
        <v>258</v>
      </c>
      <c r="AN6" s="4451">
        <v>260</v>
      </c>
      <c r="AO6" s="4451">
        <v>260</v>
      </c>
      <c r="AP6" s="4451">
        <v>261</v>
      </c>
      <c r="AQ6" s="4451">
        <v>261</v>
      </c>
      <c r="AR6" s="4451">
        <v>261</v>
      </c>
      <c r="AS6" s="4451">
        <v>264</v>
      </c>
      <c r="AT6" s="4451">
        <f t="shared" si="10"/>
        <v>264</v>
      </c>
      <c r="AU6" s="5241">
        <f t="shared" si="11"/>
        <v>254.91666666666666</v>
      </c>
      <c r="AV6" s="559" t="b">
        <v>1</v>
      </c>
      <c r="AW6" s="5242">
        <v>263</v>
      </c>
      <c r="AX6" s="4451">
        <v>260</v>
      </c>
      <c r="AY6" s="4451">
        <v>255</v>
      </c>
      <c r="AZ6" s="4451">
        <v>251</v>
      </c>
      <c r="BA6" s="4451">
        <v>250</v>
      </c>
      <c r="BB6" s="4451">
        <v>245</v>
      </c>
      <c r="BC6" s="4451">
        <v>247</v>
      </c>
      <c r="BD6" s="4451">
        <v>246</v>
      </c>
      <c r="BE6" s="4451">
        <v>245</v>
      </c>
      <c r="BF6" s="4451">
        <v>244</v>
      </c>
      <c r="BG6" s="4451">
        <v>244</v>
      </c>
      <c r="BH6" s="4451">
        <v>242</v>
      </c>
      <c r="BI6" s="4451">
        <f t="shared" si="12"/>
        <v>2992</v>
      </c>
      <c r="BJ6" s="5241">
        <f t="shared" si="13"/>
        <v>249.33333333333334</v>
      </c>
      <c r="BK6" s="559" t="b">
        <v>1</v>
      </c>
      <c r="BL6" s="5242">
        <v>7</v>
      </c>
      <c r="BM6" s="4451">
        <v>245</v>
      </c>
      <c r="BN6" s="4451"/>
      <c r="BO6" s="4451"/>
      <c r="BP6" s="4451"/>
      <c r="BQ6" s="4451"/>
      <c r="BR6" s="4451"/>
      <c r="BS6" s="4451"/>
      <c r="BT6" s="4451"/>
      <c r="BU6" s="4451"/>
      <c r="BV6" s="4451"/>
      <c r="BW6" s="4451"/>
      <c r="BX6" s="4451">
        <f t="shared" si="14"/>
        <v>252</v>
      </c>
      <c r="BY6" s="5241">
        <f t="shared" si="3"/>
        <v>126</v>
      </c>
      <c r="CA6" s="169">
        <f t="shared" si="4"/>
        <v>-15</v>
      </c>
      <c r="CB6" s="169">
        <f t="shared" si="15"/>
        <v>-5.5833333333333144</v>
      </c>
      <c r="CC6" s="169">
        <f>IFERROR(
  SUM(
    _xlfn.XLOOKUP(DATE(YEAR($A$1),1,1),$2:$2,6:6):
    _xlfn.XLOOKUP($A$1,$2:$2,6:6)
  )
 -SUM(
    _xlfn.XLOOKUP(DATE(YEAR($A$1)-1,1,1),$2:$2,6:6):
    _xlfn.XLOOKUP(EDATE($A$1,-12),$2:$2,6:6)
  ),"")</f>
        <v>-271</v>
      </c>
      <c r="CD6" s="4517">
        <f t="shared" si="5"/>
        <v>238</v>
      </c>
    </row>
    <row r="7" spans="1:82" ht="17.600000000000001" x14ac:dyDescent="0.55000000000000004">
      <c r="A7" s="7386"/>
      <c r="B7" s="1168"/>
      <c r="C7" s="1534" t="s">
        <v>244</v>
      </c>
      <c r="D7" s="5240">
        <v>15</v>
      </c>
      <c r="E7" s="4451">
        <v>15</v>
      </c>
      <c r="F7" s="4451">
        <v>15</v>
      </c>
      <c r="G7" s="4451">
        <v>15</v>
      </c>
      <c r="H7" s="4451">
        <v>15</v>
      </c>
      <c r="I7" s="4451">
        <v>15</v>
      </c>
      <c r="J7" s="4451">
        <v>15</v>
      </c>
      <c r="K7" s="4451">
        <v>15</v>
      </c>
      <c r="L7" s="4451">
        <v>15</v>
      </c>
      <c r="M7" s="4451">
        <v>15</v>
      </c>
      <c r="N7" s="4451">
        <v>15</v>
      </c>
      <c r="O7" s="4451">
        <v>13</v>
      </c>
      <c r="P7" s="4451">
        <f t="shared" si="6"/>
        <v>14.833333333333334</v>
      </c>
      <c r="Q7" s="5241">
        <f t="shared" si="7"/>
        <v>14.833333333333334</v>
      </c>
      <c r="R7" s="2776"/>
      <c r="S7" s="5240">
        <v>13</v>
      </c>
      <c r="T7" s="4451">
        <v>13</v>
      </c>
      <c r="U7" s="4451">
        <v>13</v>
      </c>
      <c r="V7" s="4451">
        <v>13</v>
      </c>
      <c r="W7" s="4451">
        <v>13</v>
      </c>
      <c r="X7" s="4451">
        <v>13</v>
      </c>
      <c r="Y7" s="4451">
        <v>13</v>
      </c>
      <c r="Z7" s="4451">
        <v>13</v>
      </c>
      <c r="AA7" s="4451">
        <v>13</v>
      </c>
      <c r="AB7" s="4451">
        <v>12</v>
      </c>
      <c r="AC7" s="4451">
        <v>11</v>
      </c>
      <c r="AD7" s="4451">
        <v>11</v>
      </c>
      <c r="AE7" s="4451">
        <f t="shared" si="8"/>
        <v>151</v>
      </c>
      <c r="AF7" s="5241">
        <f t="shared" si="9"/>
        <v>12.583333333333334</v>
      </c>
      <c r="AG7" s="2776"/>
      <c r="AH7" s="5240">
        <v>11</v>
      </c>
      <c r="AI7" s="4451">
        <v>11</v>
      </c>
      <c r="AJ7" s="4451">
        <v>11</v>
      </c>
      <c r="AK7" s="4451">
        <v>11</v>
      </c>
      <c r="AL7" s="4451">
        <v>10</v>
      </c>
      <c r="AM7" s="4451">
        <v>10</v>
      </c>
      <c r="AN7" s="4451">
        <v>10</v>
      </c>
      <c r="AO7" s="4451">
        <v>10</v>
      </c>
      <c r="AP7" s="4451">
        <v>10</v>
      </c>
      <c r="AQ7" s="4451">
        <v>10</v>
      </c>
      <c r="AR7" s="4451">
        <v>10</v>
      </c>
      <c r="AS7" s="4451">
        <v>9</v>
      </c>
      <c r="AT7" s="4451">
        <f t="shared" si="10"/>
        <v>9</v>
      </c>
      <c r="AU7" s="5241">
        <f t="shared" si="11"/>
        <v>10.25</v>
      </c>
      <c r="AV7" s="559" t="b">
        <v>1</v>
      </c>
      <c r="AW7" s="5242">
        <v>8</v>
      </c>
      <c r="AX7" s="4451">
        <v>8</v>
      </c>
      <c r="AY7" s="4451">
        <v>6</v>
      </c>
      <c r="AZ7" s="4451">
        <v>6</v>
      </c>
      <c r="BA7" s="4451">
        <v>6</v>
      </c>
      <c r="BB7" s="4451">
        <v>6</v>
      </c>
      <c r="BC7" s="4451">
        <v>6</v>
      </c>
      <c r="BD7" s="4451">
        <v>6</v>
      </c>
      <c r="BE7" s="4451">
        <v>7</v>
      </c>
      <c r="BF7" s="4451">
        <v>7</v>
      </c>
      <c r="BG7" s="4451">
        <v>7</v>
      </c>
      <c r="BH7" s="4451">
        <v>7</v>
      </c>
      <c r="BI7" s="4451">
        <f t="shared" si="12"/>
        <v>80</v>
      </c>
      <c r="BJ7" s="5241">
        <f t="shared" si="13"/>
        <v>6.666666666666667</v>
      </c>
      <c r="BK7" s="559" t="b">
        <v>1</v>
      </c>
      <c r="BL7" s="5242">
        <v>244</v>
      </c>
      <c r="BM7" s="4451">
        <v>7</v>
      </c>
      <c r="BN7" s="4451"/>
      <c r="BO7" s="4451"/>
      <c r="BP7" s="4451"/>
      <c r="BQ7" s="4451"/>
      <c r="BR7" s="4451"/>
      <c r="BS7" s="4451"/>
      <c r="BT7" s="4451"/>
      <c r="BU7" s="4451"/>
      <c r="BV7" s="4451"/>
      <c r="BW7" s="4451"/>
      <c r="BX7" s="4451">
        <f t="shared" si="14"/>
        <v>251</v>
      </c>
      <c r="BY7" s="5241">
        <f t="shared" si="3"/>
        <v>125.5</v>
      </c>
      <c r="CA7" s="169">
        <f t="shared" si="4"/>
        <v>-1</v>
      </c>
      <c r="CB7" s="169">
        <f t="shared" si="15"/>
        <v>-3.583333333333333</v>
      </c>
      <c r="CC7" s="169">
        <f>IFERROR(
  SUM(
    _xlfn.XLOOKUP(DATE(YEAR($A$1),1,1),$2:$2,7:7):
    _xlfn.XLOOKUP($A$1,$2:$2,7:7)
  )
 -SUM(
    _xlfn.XLOOKUP(DATE(YEAR($A$1)-1,1,1),$2:$2,7:7):
    _xlfn.XLOOKUP(EDATE($A$1,-12),$2:$2,7:7)
  ),"")</f>
        <v>235</v>
      </c>
      <c r="CD7" s="4517">
        <f t="shared" si="5"/>
        <v>-237</v>
      </c>
    </row>
    <row r="8" spans="1:82" ht="17.600000000000001" x14ac:dyDescent="0.55000000000000004">
      <c r="A8" s="7386"/>
      <c r="B8" s="2034" t="s">
        <v>206</v>
      </c>
      <c r="C8" s="1900"/>
      <c r="D8" s="5243">
        <f>D13+D14</f>
        <v>42</v>
      </c>
      <c r="E8" s="4414">
        <f t="shared" ref="E8:O8" si="16">E13+E14</f>
        <v>43</v>
      </c>
      <c r="F8" s="4414">
        <f t="shared" si="16"/>
        <v>43</v>
      </c>
      <c r="G8" s="4414">
        <f t="shared" si="16"/>
        <v>45</v>
      </c>
      <c r="H8" s="4414">
        <f t="shared" si="16"/>
        <v>45</v>
      </c>
      <c r="I8" s="4414">
        <f t="shared" si="16"/>
        <v>43</v>
      </c>
      <c r="J8" s="4414">
        <f t="shared" si="16"/>
        <v>45</v>
      </c>
      <c r="K8" s="4414">
        <f t="shared" si="16"/>
        <v>45</v>
      </c>
      <c r="L8" s="4414">
        <f t="shared" si="16"/>
        <v>45</v>
      </c>
      <c r="M8" s="4414">
        <f t="shared" si="16"/>
        <v>44</v>
      </c>
      <c r="N8" s="4414">
        <f t="shared" si="16"/>
        <v>44</v>
      </c>
      <c r="O8" s="4414">
        <f t="shared" si="16"/>
        <v>43</v>
      </c>
      <c r="P8" s="4414">
        <f t="shared" si="6"/>
        <v>43.916666666666664</v>
      </c>
      <c r="Q8" s="5244">
        <f t="shared" si="7"/>
        <v>43.916666666666664</v>
      </c>
      <c r="R8" s="2776"/>
      <c r="S8" s="5243">
        <f>S13+S14</f>
        <v>45</v>
      </c>
      <c r="T8" s="4414">
        <f t="shared" ref="T8:AD8" si="17">T13+T14</f>
        <v>45</v>
      </c>
      <c r="U8" s="4414">
        <f t="shared" si="17"/>
        <v>42</v>
      </c>
      <c r="V8" s="4414">
        <f t="shared" si="17"/>
        <v>44</v>
      </c>
      <c r="W8" s="4414">
        <f t="shared" si="17"/>
        <v>44</v>
      </c>
      <c r="X8" s="4414">
        <f t="shared" si="17"/>
        <v>43</v>
      </c>
      <c r="Y8" s="4414">
        <f t="shared" si="17"/>
        <v>46</v>
      </c>
      <c r="Z8" s="4414">
        <f t="shared" si="17"/>
        <v>46</v>
      </c>
      <c r="AA8" s="4414">
        <f t="shared" si="17"/>
        <v>46</v>
      </c>
      <c r="AB8" s="4414">
        <f t="shared" si="17"/>
        <v>45</v>
      </c>
      <c r="AC8" s="4414">
        <f t="shared" si="17"/>
        <v>45</v>
      </c>
      <c r="AD8" s="4414">
        <f t="shared" si="17"/>
        <v>43</v>
      </c>
      <c r="AE8" s="4414">
        <f t="shared" si="8"/>
        <v>534</v>
      </c>
      <c r="AF8" s="5244">
        <f t="shared" si="9"/>
        <v>44.5</v>
      </c>
      <c r="AG8" s="2776"/>
      <c r="AH8" s="5243">
        <f t="shared" ref="AH8:AM8" si="18">AH13+AH14</f>
        <v>46</v>
      </c>
      <c r="AI8" s="4414">
        <f t="shared" si="18"/>
        <v>42</v>
      </c>
      <c r="AJ8" s="4414">
        <f t="shared" si="18"/>
        <v>49</v>
      </c>
      <c r="AK8" s="4414">
        <f t="shared" si="18"/>
        <v>48</v>
      </c>
      <c r="AL8" s="4414">
        <f t="shared" si="18"/>
        <v>51</v>
      </c>
      <c r="AM8" s="4414">
        <f t="shared" si="18"/>
        <v>52</v>
      </c>
      <c r="AN8" s="4414">
        <v>52</v>
      </c>
      <c r="AO8" s="4414">
        <f>AO13+AO14</f>
        <v>52</v>
      </c>
      <c r="AP8" s="4414">
        <f>AP13+AP14</f>
        <v>53</v>
      </c>
      <c r="AQ8" s="4414">
        <f>AQ13+AQ14</f>
        <v>53</v>
      </c>
      <c r="AR8" s="4414">
        <v>53</v>
      </c>
      <c r="AS8" s="4414">
        <v>54</v>
      </c>
      <c r="AT8" s="4414">
        <f t="shared" si="10"/>
        <v>54</v>
      </c>
      <c r="AU8" s="5244">
        <f t="shared" si="11"/>
        <v>50.416666666666664</v>
      </c>
      <c r="AV8" s="559" t="b">
        <v>1</v>
      </c>
      <c r="AW8" s="5245">
        <v>54</v>
      </c>
      <c r="AX8" s="4414">
        <v>53</v>
      </c>
      <c r="AY8" s="4414">
        <v>50</v>
      </c>
      <c r="AZ8" s="4414">
        <v>50</v>
      </c>
      <c r="BA8" s="4414">
        <v>50</v>
      </c>
      <c r="BB8" s="4414">
        <v>49</v>
      </c>
      <c r="BC8" s="4414">
        <v>49</v>
      </c>
      <c r="BD8" s="4414">
        <v>49</v>
      </c>
      <c r="BE8" s="4414">
        <v>49</v>
      </c>
      <c r="BF8" s="4414">
        <v>49</v>
      </c>
      <c r="BG8" s="4414">
        <v>49</v>
      </c>
      <c r="BH8" s="4414">
        <v>48</v>
      </c>
      <c r="BI8" s="4414">
        <f t="shared" si="12"/>
        <v>599</v>
      </c>
      <c r="BJ8" s="5244">
        <f t="shared" si="13"/>
        <v>49.916666666666664</v>
      </c>
      <c r="BK8" s="559" t="b">
        <v>1</v>
      </c>
      <c r="BL8" s="5245">
        <v>49</v>
      </c>
      <c r="BM8" s="4414">
        <v>49</v>
      </c>
      <c r="BN8" s="4414"/>
      <c r="BO8" s="4414"/>
      <c r="BP8" s="4414"/>
      <c r="BQ8" s="4414"/>
      <c r="BR8" s="4414"/>
      <c r="BS8" s="4414"/>
      <c r="BT8" s="4414"/>
      <c r="BU8" s="4414"/>
      <c r="BV8" s="4414"/>
      <c r="BW8" s="4414"/>
      <c r="BX8" s="4414">
        <f t="shared" si="14"/>
        <v>98</v>
      </c>
      <c r="BY8" s="5244">
        <f t="shared" si="3"/>
        <v>49</v>
      </c>
      <c r="CA8" s="169">
        <f t="shared" si="4"/>
        <v>-4</v>
      </c>
      <c r="CB8" s="169">
        <f t="shared" si="15"/>
        <v>-0.5</v>
      </c>
      <c r="CC8" s="169">
        <f>IFERROR(
  SUM(
    _xlfn.XLOOKUP(DATE(YEAR($A$1),1,1),$2:$2,8:8):
    _xlfn.XLOOKUP($A$1,$2:$2,8:8)
  )
 -SUM(
    _xlfn.XLOOKUP(DATE(YEAR($A$1)-1,1,1),$2:$2,8:8):
    _xlfn.XLOOKUP(EDATE($A$1,-12),$2:$2,8:8)
  ),"")</f>
        <v>-9</v>
      </c>
      <c r="CD8" s="4517">
        <f t="shared" si="5"/>
        <v>0</v>
      </c>
    </row>
    <row r="9" spans="1:82" ht="17.600000000000001" x14ac:dyDescent="0.55000000000000004">
      <c r="A9" s="7386"/>
      <c r="B9" s="2041" t="s">
        <v>207</v>
      </c>
      <c r="C9" s="1576"/>
      <c r="D9" s="5246">
        <f>D15+D16</f>
        <v>43</v>
      </c>
      <c r="E9" s="2636">
        <f t="shared" ref="E9:O9" si="19">E15+E16</f>
        <v>42</v>
      </c>
      <c r="F9" s="2636">
        <f t="shared" si="19"/>
        <v>42</v>
      </c>
      <c r="G9" s="2636">
        <f t="shared" si="19"/>
        <v>42</v>
      </c>
      <c r="H9" s="2636">
        <f t="shared" si="19"/>
        <v>42</v>
      </c>
      <c r="I9" s="2636">
        <f t="shared" si="19"/>
        <v>42</v>
      </c>
      <c r="J9" s="2636">
        <f t="shared" si="19"/>
        <v>42</v>
      </c>
      <c r="K9" s="2636">
        <f t="shared" si="19"/>
        <v>42</v>
      </c>
      <c r="L9" s="2636">
        <f t="shared" si="19"/>
        <v>43</v>
      </c>
      <c r="M9" s="2636">
        <f t="shared" si="19"/>
        <v>43</v>
      </c>
      <c r="N9" s="2636">
        <f t="shared" si="19"/>
        <v>43</v>
      </c>
      <c r="O9" s="2636">
        <f t="shared" si="19"/>
        <v>41</v>
      </c>
      <c r="P9" s="2636">
        <f t="shared" si="6"/>
        <v>42.25</v>
      </c>
      <c r="Q9" s="5247">
        <f t="shared" si="7"/>
        <v>42.25</v>
      </c>
      <c r="R9" s="2776"/>
      <c r="S9" s="5246">
        <f>S15+S16</f>
        <v>41</v>
      </c>
      <c r="T9" s="2636">
        <f t="shared" ref="T9:AD9" si="20">T15+T16</f>
        <v>41</v>
      </c>
      <c r="U9" s="2636">
        <f t="shared" si="20"/>
        <v>41</v>
      </c>
      <c r="V9" s="2636">
        <f t="shared" si="20"/>
        <v>42</v>
      </c>
      <c r="W9" s="2636">
        <f t="shared" si="20"/>
        <v>42</v>
      </c>
      <c r="X9" s="2636">
        <f t="shared" si="20"/>
        <v>42</v>
      </c>
      <c r="Y9" s="2636">
        <f t="shared" si="20"/>
        <v>42</v>
      </c>
      <c r="Z9" s="2636">
        <f t="shared" si="20"/>
        <v>42</v>
      </c>
      <c r="AA9" s="2636">
        <f t="shared" si="20"/>
        <v>42</v>
      </c>
      <c r="AB9" s="2636">
        <f t="shared" si="20"/>
        <v>42</v>
      </c>
      <c r="AC9" s="2636">
        <f t="shared" si="20"/>
        <v>41</v>
      </c>
      <c r="AD9" s="2636">
        <f t="shared" si="20"/>
        <v>42</v>
      </c>
      <c r="AE9" s="2636">
        <f t="shared" si="8"/>
        <v>500</v>
      </c>
      <c r="AF9" s="5247">
        <f t="shared" si="9"/>
        <v>41.666666666666664</v>
      </c>
      <c r="AG9" s="2776"/>
      <c r="AH9" s="5246">
        <f t="shared" ref="AH9:AM9" si="21">AH15+AH16</f>
        <v>42</v>
      </c>
      <c r="AI9" s="2636">
        <f t="shared" si="21"/>
        <v>42</v>
      </c>
      <c r="AJ9" s="2636">
        <f t="shared" si="21"/>
        <v>42</v>
      </c>
      <c r="AK9" s="2636">
        <f t="shared" si="21"/>
        <v>43</v>
      </c>
      <c r="AL9" s="2636">
        <f t="shared" si="21"/>
        <v>43</v>
      </c>
      <c r="AM9" s="2636">
        <f t="shared" si="21"/>
        <v>45</v>
      </c>
      <c r="AN9" s="2636">
        <v>45</v>
      </c>
      <c r="AO9" s="2636">
        <f>AO15+AO16</f>
        <v>45</v>
      </c>
      <c r="AP9" s="2636">
        <f>AP15+AP16</f>
        <v>45</v>
      </c>
      <c r="AQ9" s="2636">
        <f>AQ15+AQ16</f>
        <v>45</v>
      </c>
      <c r="AR9" s="2636">
        <v>45</v>
      </c>
      <c r="AS9" s="2636">
        <v>45</v>
      </c>
      <c r="AT9" s="2636">
        <f t="shared" si="10"/>
        <v>45</v>
      </c>
      <c r="AU9" s="5247">
        <f t="shared" si="11"/>
        <v>43.916666666666664</v>
      </c>
      <c r="AV9" s="559" t="b">
        <v>1</v>
      </c>
      <c r="AW9" s="5248">
        <v>45</v>
      </c>
      <c r="AX9" s="2636">
        <v>45</v>
      </c>
      <c r="AY9" s="2636">
        <v>45</v>
      </c>
      <c r="AZ9" s="2636">
        <v>43</v>
      </c>
      <c r="BA9" s="2636">
        <v>42</v>
      </c>
      <c r="BB9" s="2636">
        <v>42</v>
      </c>
      <c r="BC9" s="2636">
        <v>42</v>
      </c>
      <c r="BD9" s="2636">
        <v>41</v>
      </c>
      <c r="BE9" s="2636">
        <v>41</v>
      </c>
      <c r="BF9" s="2636">
        <v>41</v>
      </c>
      <c r="BG9" s="2636">
        <v>41</v>
      </c>
      <c r="BH9" s="2636">
        <v>41</v>
      </c>
      <c r="BI9" s="2636">
        <f t="shared" si="12"/>
        <v>509</v>
      </c>
      <c r="BJ9" s="5247">
        <f t="shared" si="13"/>
        <v>42.416666666666664</v>
      </c>
      <c r="BK9" s="559" t="b">
        <v>1</v>
      </c>
      <c r="BL9" s="5248">
        <v>42</v>
      </c>
      <c r="BM9" s="2636">
        <v>42</v>
      </c>
      <c r="BN9" s="2636"/>
      <c r="BO9" s="2636"/>
      <c r="BP9" s="2636"/>
      <c r="BQ9" s="2636"/>
      <c r="BR9" s="2636"/>
      <c r="BS9" s="2636"/>
      <c r="BT9" s="2636"/>
      <c r="BU9" s="2636"/>
      <c r="BV9" s="2636"/>
      <c r="BW9" s="2636"/>
      <c r="BX9" s="2636">
        <f t="shared" si="14"/>
        <v>84</v>
      </c>
      <c r="BY9" s="5247">
        <f t="shared" si="3"/>
        <v>42</v>
      </c>
      <c r="CA9" s="169">
        <f t="shared" si="4"/>
        <v>-3</v>
      </c>
      <c r="CB9" s="169">
        <f t="shared" si="15"/>
        <v>-1.5</v>
      </c>
      <c r="CC9" s="169">
        <f>IFERROR(
  SUM(
    _xlfn.XLOOKUP(DATE(YEAR($A$1),1,1),$2:$2,9:9):
    _xlfn.XLOOKUP($A$1,$2:$2,9:9)
  )
 -SUM(
    _xlfn.XLOOKUP(DATE(YEAR($A$1)-1,1,1),$2:$2,9:9):
    _xlfn.XLOOKUP(EDATE($A$1,-12),$2:$2,9:9)
  ),"")</f>
        <v>-6</v>
      </c>
      <c r="CD9" s="4517">
        <f t="shared" si="5"/>
        <v>0</v>
      </c>
    </row>
    <row r="10" spans="1:82" ht="17.600000000000001" x14ac:dyDescent="0.55000000000000004">
      <c r="A10" s="7386"/>
      <c r="B10" s="2041" t="s">
        <v>208</v>
      </c>
      <c r="C10" s="1576"/>
      <c r="D10" s="5246">
        <f>D17+D18</f>
        <v>52</v>
      </c>
      <c r="E10" s="2636">
        <f t="shared" ref="E10:O10" si="22">E17+E18</f>
        <v>52</v>
      </c>
      <c r="F10" s="2636">
        <f t="shared" si="22"/>
        <v>52</v>
      </c>
      <c r="G10" s="2636">
        <f t="shared" si="22"/>
        <v>52</v>
      </c>
      <c r="H10" s="2636">
        <f t="shared" si="22"/>
        <v>52</v>
      </c>
      <c r="I10" s="2636">
        <f t="shared" si="22"/>
        <v>52</v>
      </c>
      <c r="J10" s="2636">
        <f t="shared" si="22"/>
        <v>53</v>
      </c>
      <c r="K10" s="2636">
        <f t="shared" si="22"/>
        <v>53</v>
      </c>
      <c r="L10" s="2636">
        <f t="shared" si="22"/>
        <v>53</v>
      </c>
      <c r="M10" s="2636">
        <f t="shared" si="22"/>
        <v>52</v>
      </c>
      <c r="N10" s="2636">
        <f t="shared" si="22"/>
        <v>52</v>
      </c>
      <c r="O10" s="2636">
        <f t="shared" si="22"/>
        <v>51</v>
      </c>
      <c r="P10" s="2636">
        <f t="shared" si="6"/>
        <v>52.166666666666664</v>
      </c>
      <c r="Q10" s="5247">
        <f t="shared" si="7"/>
        <v>52.166666666666664</v>
      </c>
      <c r="R10" s="2776"/>
      <c r="S10" s="5246">
        <f>S17+S18</f>
        <v>51</v>
      </c>
      <c r="T10" s="2636">
        <f t="shared" ref="T10:AD10" si="23">T17+T18</f>
        <v>51</v>
      </c>
      <c r="U10" s="2636">
        <f t="shared" si="23"/>
        <v>51</v>
      </c>
      <c r="V10" s="2636">
        <f t="shared" si="23"/>
        <v>52</v>
      </c>
      <c r="W10" s="2636">
        <f t="shared" si="23"/>
        <v>52</v>
      </c>
      <c r="X10" s="2636">
        <f t="shared" si="23"/>
        <v>52</v>
      </c>
      <c r="Y10" s="2636">
        <f t="shared" si="23"/>
        <v>52</v>
      </c>
      <c r="Z10" s="2636">
        <f t="shared" si="23"/>
        <v>51</v>
      </c>
      <c r="AA10" s="2636">
        <f t="shared" si="23"/>
        <v>51</v>
      </c>
      <c r="AB10" s="2636">
        <f t="shared" si="23"/>
        <v>51</v>
      </c>
      <c r="AC10" s="2636">
        <f t="shared" si="23"/>
        <v>51</v>
      </c>
      <c r="AD10" s="2636">
        <f t="shared" si="23"/>
        <v>51</v>
      </c>
      <c r="AE10" s="2636">
        <f t="shared" si="8"/>
        <v>616</v>
      </c>
      <c r="AF10" s="5247">
        <f t="shared" si="9"/>
        <v>51.333333333333336</v>
      </c>
      <c r="AG10" s="2776"/>
      <c r="AH10" s="5246">
        <f t="shared" ref="AH10:AM10" si="24">AH17+AH18</f>
        <v>51</v>
      </c>
      <c r="AI10" s="2636">
        <f t="shared" si="24"/>
        <v>51</v>
      </c>
      <c r="AJ10" s="2636">
        <f t="shared" si="24"/>
        <v>52</v>
      </c>
      <c r="AK10" s="2636">
        <f t="shared" si="24"/>
        <v>52</v>
      </c>
      <c r="AL10" s="2636">
        <f t="shared" si="24"/>
        <v>54</v>
      </c>
      <c r="AM10" s="2636">
        <f t="shared" si="24"/>
        <v>53</v>
      </c>
      <c r="AN10" s="2636">
        <v>55</v>
      </c>
      <c r="AO10" s="2636">
        <f>AO17+AO18</f>
        <v>55</v>
      </c>
      <c r="AP10" s="2636">
        <f>AP17+AP18</f>
        <v>55</v>
      </c>
      <c r="AQ10" s="2636">
        <f>AQ17+AQ18</f>
        <v>55</v>
      </c>
      <c r="AR10" s="2636">
        <v>55</v>
      </c>
      <c r="AS10" s="2636">
        <v>56</v>
      </c>
      <c r="AT10" s="2636">
        <f t="shared" si="10"/>
        <v>56</v>
      </c>
      <c r="AU10" s="5247">
        <f t="shared" si="11"/>
        <v>53.666666666666664</v>
      </c>
      <c r="AV10" s="559" t="b">
        <v>1</v>
      </c>
      <c r="AW10" s="5248">
        <v>56</v>
      </c>
      <c r="AX10" s="2636">
        <v>55</v>
      </c>
      <c r="AY10" s="2636">
        <v>53</v>
      </c>
      <c r="AZ10" s="2636">
        <v>53</v>
      </c>
      <c r="BA10" s="2636">
        <v>53</v>
      </c>
      <c r="BB10" s="2636">
        <v>50</v>
      </c>
      <c r="BC10" s="2636">
        <v>52</v>
      </c>
      <c r="BD10" s="2636">
        <v>52</v>
      </c>
      <c r="BE10" s="2636">
        <v>52</v>
      </c>
      <c r="BF10" s="2636">
        <v>52</v>
      </c>
      <c r="BG10" s="2636">
        <v>51</v>
      </c>
      <c r="BH10" s="2636">
        <v>50</v>
      </c>
      <c r="BI10" s="2636">
        <f t="shared" si="12"/>
        <v>629</v>
      </c>
      <c r="BJ10" s="5247">
        <f t="shared" si="13"/>
        <v>52.416666666666664</v>
      </c>
      <c r="BK10" s="559" t="b">
        <v>1</v>
      </c>
      <c r="BL10" s="5248">
        <v>50</v>
      </c>
      <c r="BM10" s="2636">
        <v>50</v>
      </c>
      <c r="BN10" s="2636"/>
      <c r="BO10" s="2636"/>
      <c r="BP10" s="2636"/>
      <c r="BQ10" s="2636"/>
      <c r="BR10" s="2636"/>
      <c r="BS10" s="2636"/>
      <c r="BT10" s="2636"/>
      <c r="BU10" s="2636"/>
      <c r="BV10" s="2636"/>
      <c r="BW10" s="2636"/>
      <c r="BX10" s="2636">
        <f t="shared" si="14"/>
        <v>100</v>
      </c>
      <c r="BY10" s="5247">
        <f t="shared" si="3"/>
        <v>50</v>
      </c>
      <c r="CA10" s="169">
        <f t="shared" si="4"/>
        <v>-5</v>
      </c>
      <c r="CB10" s="169">
        <f t="shared" si="15"/>
        <v>-1.25</v>
      </c>
      <c r="CC10" s="169">
        <f>IFERROR(
  SUM(
    _xlfn.XLOOKUP(DATE(YEAR($A$1),1,1),$2:$2,10:10):
    _xlfn.XLOOKUP($A$1,$2:$2,10:10)
  )
 -SUM(
    _xlfn.XLOOKUP(DATE(YEAR($A$1)-1,1,1),$2:$2,10:10):
    _xlfn.XLOOKUP(EDATE($A$1,-12),$2:$2,10:10)
  ),"")</f>
        <v>-11</v>
      </c>
      <c r="CD10" s="4517">
        <f t="shared" si="5"/>
        <v>0</v>
      </c>
    </row>
    <row r="11" spans="1:82" ht="17.600000000000001" x14ac:dyDescent="0.55000000000000004">
      <c r="A11" s="7386"/>
      <c r="B11" s="2041" t="s">
        <v>209</v>
      </c>
      <c r="C11" s="1576"/>
      <c r="D11" s="5246">
        <f>D19+D20</f>
        <v>61</v>
      </c>
      <c r="E11" s="2636">
        <f t="shared" ref="E11:O11" si="25">E19+E20</f>
        <v>62</v>
      </c>
      <c r="F11" s="2636">
        <f t="shared" si="25"/>
        <v>63</v>
      </c>
      <c r="G11" s="2636">
        <f t="shared" si="25"/>
        <v>64</v>
      </c>
      <c r="H11" s="2636">
        <f t="shared" si="25"/>
        <v>65</v>
      </c>
      <c r="I11" s="2636">
        <f t="shared" si="25"/>
        <v>65</v>
      </c>
      <c r="J11" s="2636">
        <f t="shared" si="25"/>
        <v>65</v>
      </c>
      <c r="K11" s="2636">
        <f t="shared" si="25"/>
        <v>64</v>
      </c>
      <c r="L11" s="2636">
        <f t="shared" si="25"/>
        <v>64</v>
      </c>
      <c r="M11" s="2636">
        <f t="shared" si="25"/>
        <v>65</v>
      </c>
      <c r="N11" s="2636">
        <f t="shared" si="25"/>
        <v>65</v>
      </c>
      <c r="O11" s="2636">
        <f t="shared" si="25"/>
        <v>64</v>
      </c>
      <c r="P11" s="2636">
        <f t="shared" si="6"/>
        <v>63.916666666666664</v>
      </c>
      <c r="Q11" s="5247">
        <f t="shared" si="7"/>
        <v>63.916666666666664</v>
      </c>
      <c r="R11" s="2776"/>
      <c r="S11" s="5246">
        <f>S19+S20</f>
        <v>65</v>
      </c>
      <c r="T11" s="2636">
        <f t="shared" ref="T11:AD11" si="26">T19+T20</f>
        <v>65</v>
      </c>
      <c r="U11" s="2636">
        <f t="shared" si="26"/>
        <v>63</v>
      </c>
      <c r="V11" s="2636">
        <f t="shared" si="26"/>
        <v>64</v>
      </c>
      <c r="W11" s="2636">
        <f t="shared" si="26"/>
        <v>64</v>
      </c>
      <c r="X11" s="2636">
        <f t="shared" si="26"/>
        <v>64</v>
      </c>
      <c r="Y11" s="2636">
        <f t="shared" si="26"/>
        <v>63</v>
      </c>
      <c r="Z11" s="2636">
        <f t="shared" si="26"/>
        <v>62</v>
      </c>
      <c r="AA11" s="2636">
        <f t="shared" si="26"/>
        <v>62</v>
      </c>
      <c r="AB11" s="2636">
        <f t="shared" si="26"/>
        <v>62</v>
      </c>
      <c r="AC11" s="2636">
        <f t="shared" si="26"/>
        <v>61</v>
      </c>
      <c r="AD11" s="2636">
        <f t="shared" si="26"/>
        <v>61</v>
      </c>
      <c r="AE11" s="2636">
        <f t="shared" si="8"/>
        <v>756</v>
      </c>
      <c r="AF11" s="5247">
        <f t="shared" si="9"/>
        <v>63</v>
      </c>
      <c r="AG11" s="2776"/>
      <c r="AH11" s="5246">
        <f t="shared" ref="AH11:AM11" si="27">AH19+AH20</f>
        <v>60</v>
      </c>
      <c r="AI11" s="2636">
        <f t="shared" si="27"/>
        <v>60</v>
      </c>
      <c r="AJ11" s="2636">
        <f t="shared" si="27"/>
        <v>61</v>
      </c>
      <c r="AK11" s="2636">
        <f t="shared" si="27"/>
        <v>60</v>
      </c>
      <c r="AL11" s="2636">
        <f t="shared" si="27"/>
        <v>61</v>
      </c>
      <c r="AM11" s="2636">
        <f t="shared" si="27"/>
        <v>61</v>
      </c>
      <c r="AN11" s="2636">
        <v>61</v>
      </c>
      <c r="AO11" s="2636">
        <f>AO19+AO20</f>
        <v>60</v>
      </c>
      <c r="AP11" s="2636">
        <f>AP19+AP20</f>
        <v>60</v>
      </c>
      <c r="AQ11" s="2636">
        <f>AQ19+AQ20</f>
        <v>60</v>
      </c>
      <c r="AR11" s="2636">
        <v>59</v>
      </c>
      <c r="AS11" s="2636">
        <v>60</v>
      </c>
      <c r="AT11" s="2636">
        <f t="shared" si="10"/>
        <v>60</v>
      </c>
      <c r="AU11" s="5247">
        <f t="shared" si="11"/>
        <v>60.25</v>
      </c>
      <c r="AV11" s="559" t="b">
        <v>1</v>
      </c>
      <c r="AW11" s="5248">
        <v>59</v>
      </c>
      <c r="AX11" s="2636">
        <v>58</v>
      </c>
      <c r="AY11" s="2636">
        <v>57</v>
      </c>
      <c r="AZ11" s="2636">
        <v>57</v>
      </c>
      <c r="BA11" s="2636">
        <v>57</v>
      </c>
      <c r="BB11" s="2636">
        <v>57</v>
      </c>
      <c r="BC11" s="2636">
        <v>57</v>
      </c>
      <c r="BD11" s="2636">
        <v>57</v>
      </c>
      <c r="BE11" s="2636">
        <v>57</v>
      </c>
      <c r="BF11" s="2636">
        <v>57</v>
      </c>
      <c r="BG11" s="2636">
        <v>57</v>
      </c>
      <c r="BH11" s="2636">
        <v>57</v>
      </c>
      <c r="BI11" s="2636">
        <f t="shared" si="12"/>
        <v>687</v>
      </c>
      <c r="BJ11" s="5247">
        <f t="shared" si="13"/>
        <v>57.25</v>
      </c>
      <c r="BK11" s="559" t="b">
        <v>1</v>
      </c>
      <c r="BL11" s="5248">
        <v>57</v>
      </c>
      <c r="BM11" s="2636">
        <v>58</v>
      </c>
      <c r="BN11" s="2636"/>
      <c r="BO11" s="2636"/>
      <c r="BP11" s="2636"/>
      <c r="BQ11" s="2636"/>
      <c r="BR11" s="2636"/>
      <c r="BS11" s="2636"/>
      <c r="BT11" s="2636"/>
      <c r="BU11" s="2636"/>
      <c r="BV11" s="2636"/>
      <c r="BW11" s="2636"/>
      <c r="BX11" s="2636">
        <f t="shared" si="14"/>
        <v>115</v>
      </c>
      <c r="BY11" s="5247">
        <f t="shared" si="3"/>
        <v>57.5</v>
      </c>
      <c r="CA11" s="169">
        <f t="shared" si="4"/>
        <v>0</v>
      </c>
      <c r="CB11" s="169">
        <f t="shared" si="15"/>
        <v>-3</v>
      </c>
      <c r="CC11" s="169">
        <f>IFERROR(
  SUM(
    _xlfn.XLOOKUP(DATE(YEAR($A$1),1,1),$2:$2,11:11):
    _xlfn.XLOOKUP($A$1,$2:$2,11:11)
  )
 -SUM(
    _xlfn.XLOOKUP(DATE(YEAR($A$1)-1,1,1),$2:$2,11:11):
    _xlfn.XLOOKUP(EDATE($A$1,-12),$2:$2,11:11)
  ),"")</f>
        <v>-2</v>
      </c>
      <c r="CD11" s="4517">
        <f t="shared" si="5"/>
        <v>1</v>
      </c>
    </row>
    <row r="12" spans="1:82" ht="17.600000000000001" x14ac:dyDescent="0.55000000000000004">
      <c r="A12" s="7386"/>
      <c r="B12" s="2048" t="s">
        <v>210</v>
      </c>
      <c r="C12" s="1929"/>
      <c r="D12" s="5249">
        <f>D21+D22</f>
        <v>57</v>
      </c>
      <c r="E12" s="5250">
        <f t="shared" ref="E12:O12" si="28">E21+E22</f>
        <v>57</v>
      </c>
      <c r="F12" s="5250">
        <f t="shared" si="28"/>
        <v>57</v>
      </c>
      <c r="G12" s="5250">
        <f t="shared" si="28"/>
        <v>58</v>
      </c>
      <c r="H12" s="5250">
        <f t="shared" si="28"/>
        <v>58</v>
      </c>
      <c r="I12" s="5250">
        <f t="shared" si="28"/>
        <v>56</v>
      </c>
      <c r="J12" s="5250">
        <f t="shared" si="28"/>
        <v>57</v>
      </c>
      <c r="K12" s="5250">
        <f t="shared" si="28"/>
        <v>57</v>
      </c>
      <c r="L12" s="5250">
        <f t="shared" si="28"/>
        <v>57</v>
      </c>
      <c r="M12" s="5250">
        <f t="shared" si="28"/>
        <v>57</v>
      </c>
      <c r="N12" s="5250">
        <f t="shared" si="28"/>
        <v>57</v>
      </c>
      <c r="O12" s="5250">
        <f t="shared" si="28"/>
        <v>57</v>
      </c>
      <c r="P12" s="5250">
        <f t="shared" si="6"/>
        <v>57.083333333333336</v>
      </c>
      <c r="Q12" s="5251">
        <f t="shared" si="7"/>
        <v>57.083333333333336</v>
      </c>
      <c r="R12" s="2776"/>
      <c r="S12" s="5249">
        <f>S21+S22</f>
        <v>57</v>
      </c>
      <c r="T12" s="5250">
        <f t="shared" ref="T12:AD12" si="29">T21+T22</f>
        <v>57</v>
      </c>
      <c r="U12" s="5250">
        <f t="shared" si="29"/>
        <v>57</v>
      </c>
      <c r="V12" s="5250">
        <f t="shared" si="29"/>
        <v>56</v>
      </c>
      <c r="W12" s="5250">
        <f t="shared" si="29"/>
        <v>56</v>
      </c>
      <c r="X12" s="5250">
        <f t="shared" si="29"/>
        <v>56</v>
      </c>
      <c r="Y12" s="5250">
        <f t="shared" si="29"/>
        <v>56</v>
      </c>
      <c r="Z12" s="5250">
        <f t="shared" si="29"/>
        <v>56</v>
      </c>
      <c r="AA12" s="5250">
        <f t="shared" si="29"/>
        <v>56</v>
      </c>
      <c r="AB12" s="5250">
        <f t="shared" si="29"/>
        <v>55</v>
      </c>
      <c r="AC12" s="5250">
        <f t="shared" si="29"/>
        <v>56</v>
      </c>
      <c r="AD12" s="5250">
        <f t="shared" si="29"/>
        <v>56</v>
      </c>
      <c r="AE12" s="5250">
        <f t="shared" si="8"/>
        <v>674</v>
      </c>
      <c r="AF12" s="5251">
        <f t="shared" si="9"/>
        <v>56.166666666666664</v>
      </c>
      <c r="AG12" s="2776"/>
      <c r="AH12" s="5249">
        <f t="shared" ref="AH12:AM12" si="30">AH21+AH22</f>
        <v>56</v>
      </c>
      <c r="AI12" s="5250">
        <f t="shared" si="30"/>
        <v>56</v>
      </c>
      <c r="AJ12" s="5250">
        <f t="shared" si="30"/>
        <v>56</v>
      </c>
      <c r="AK12" s="5250">
        <f t="shared" si="30"/>
        <v>58</v>
      </c>
      <c r="AL12" s="5250">
        <f t="shared" si="30"/>
        <v>57</v>
      </c>
      <c r="AM12" s="5250">
        <f t="shared" si="30"/>
        <v>58</v>
      </c>
      <c r="AN12" s="5250">
        <v>58</v>
      </c>
      <c r="AO12" s="5250">
        <f>AO21+AO22</f>
        <v>59</v>
      </c>
      <c r="AP12" s="5250">
        <f>AP21+AP22</f>
        <v>59</v>
      </c>
      <c r="AQ12" s="5250">
        <f>AQ21+AQ22</f>
        <v>59</v>
      </c>
      <c r="AR12" s="5250">
        <v>59</v>
      </c>
      <c r="AS12" s="5250">
        <v>59</v>
      </c>
      <c r="AT12" s="5250">
        <f t="shared" si="10"/>
        <v>59</v>
      </c>
      <c r="AU12" s="5251">
        <f t="shared" si="11"/>
        <v>57.833333333333336</v>
      </c>
      <c r="AV12" s="559" t="b">
        <v>1</v>
      </c>
      <c r="AW12" s="5252">
        <v>58</v>
      </c>
      <c r="AX12" s="5250">
        <v>58</v>
      </c>
      <c r="AY12" s="5250">
        <v>57</v>
      </c>
      <c r="AZ12" s="5250">
        <v>55</v>
      </c>
      <c r="BA12" s="5250">
        <v>55</v>
      </c>
      <c r="BB12" s="5250">
        <v>54</v>
      </c>
      <c r="BC12" s="5250">
        <v>54</v>
      </c>
      <c r="BD12" s="5250">
        <v>54</v>
      </c>
      <c r="BE12" s="5250">
        <v>54</v>
      </c>
      <c r="BF12" s="5250">
        <v>53</v>
      </c>
      <c r="BG12" s="5250">
        <v>54</v>
      </c>
      <c r="BH12" s="5250">
        <v>54</v>
      </c>
      <c r="BI12" s="5250">
        <f t="shared" si="12"/>
        <v>660</v>
      </c>
      <c r="BJ12" s="5251">
        <f t="shared" si="13"/>
        <v>55</v>
      </c>
      <c r="BK12" s="559" t="b">
        <v>1</v>
      </c>
      <c r="BL12" s="5252">
        <v>54</v>
      </c>
      <c r="BM12" s="5250">
        <v>54</v>
      </c>
      <c r="BN12" s="5250"/>
      <c r="BO12" s="5250"/>
      <c r="BP12" s="5250"/>
      <c r="BQ12" s="5250"/>
      <c r="BR12" s="5250"/>
      <c r="BS12" s="5250"/>
      <c r="BT12" s="5250"/>
      <c r="BU12" s="5250"/>
      <c r="BV12" s="5250"/>
      <c r="BW12" s="5250"/>
      <c r="BX12" s="5250">
        <f t="shared" si="14"/>
        <v>108</v>
      </c>
      <c r="BY12" s="5251">
        <f t="shared" si="3"/>
        <v>54</v>
      </c>
      <c r="CA12" s="169">
        <f t="shared" si="4"/>
        <v>-4</v>
      </c>
      <c r="CB12" s="169">
        <f t="shared" si="15"/>
        <v>-2.8333333333333357</v>
      </c>
      <c r="CC12" s="169">
        <f>IFERROR(
  SUM(
    _xlfn.XLOOKUP(DATE(YEAR($A$1),1,1),$2:$2,12:12):
    _xlfn.XLOOKUP($A$1,$2:$2,12:12)
  )
 -SUM(
    _xlfn.XLOOKUP(DATE(YEAR($A$1)-1,1,1),$2:$2,12:12):
    _xlfn.XLOOKUP(EDATE($A$1,-12),$2:$2,12:12)
  ),"")</f>
        <v>-8</v>
      </c>
      <c r="CD12" s="4517">
        <f t="shared" si="5"/>
        <v>0</v>
      </c>
    </row>
    <row r="13" spans="1:82" ht="17.600000000000001" x14ac:dyDescent="0.55000000000000004">
      <c r="A13" s="7386"/>
      <c r="B13" s="2055"/>
      <c r="C13" s="5253" t="s">
        <v>211</v>
      </c>
      <c r="D13" s="5254">
        <v>18</v>
      </c>
      <c r="E13" s="5255">
        <v>18</v>
      </c>
      <c r="F13" s="5255">
        <v>18</v>
      </c>
      <c r="G13" s="5255">
        <v>20</v>
      </c>
      <c r="H13" s="5255">
        <v>20</v>
      </c>
      <c r="I13" s="5255">
        <v>19</v>
      </c>
      <c r="J13" s="5255">
        <v>20</v>
      </c>
      <c r="K13" s="5255">
        <v>20</v>
      </c>
      <c r="L13" s="5255">
        <v>20</v>
      </c>
      <c r="M13" s="5255">
        <v>20</v>
      </c>
      <c r="N13" s="5255">
        <v>20</v>
      </c>
      <c r="O13" s="5255">
        <v>20</v>
      </c>
      <c r="P13" s="5255">
        <f t="shared" si="6"/>
        <v>19.416666666666668</v>
      </c>
      <c r="Q13" s="5256">
        <f t="shared" si="7"/>
        <v>19.416666666666668</v>
      </c>
      <c r="R13" s="2776"/>
      <c r="S13" s="5254">
        <v>30</v>
      </c>
      <c r="T13" s="5255">
        <v>30</v>
      </c>
      <c r="U13" s="5255">
        <v>28</v>
      </c>
      <c r="V13" s="5255">
        <v>30</v>
      </c>
      <c r="W13" s="5255">
        <v>30</v>
      </c>
      <c r="X13" s="5255">
        <v>29</v>
      </c>
      <c r="Y13" s="5255">
        <v>31</v>
      </c>
      <c r="Z13" s="5255">
        <v>31</v>
      </c>
      <c r="AA13" s="5255">
        <v>31</v>
      </c>
      <c r="AB13" s="5255">
        <v>30</v>
      </c>
      <c r="AC13" s="5255">
        <v>30</v>
      </c>
      <c r="AD13" s="5255">
        <v>20</v>
      </c>
      <c r="AE13" s="5255">
        <f t="shared" si="8"/>
        <v>350</v>
      </c>
      <c r="AF13" s="5256">
        <f t="shared" si="9"/>
        <v>29.166666666666668</v>
      </c>
      <c r="AG13" s="2776"/>
      <c r="AH13" s="5254">
        <v>22</v>
      </c>
      <c r="AI13" s="5255">
        <v>21</v>
      </c>
      <c r="AJ13" s="5255">
        <v>24</v>
      </c>
      <c r="AK13" s="5255">
        <v>23</v>
      </c>
      <c r="AL13" s="5255">
        <v>25</v>
      </c>
      <c r="AM13" s="5255">
        <v>26</v>
      </c>
      <c r="AN13" s="5255">
        <v>26</v>
      </c>
      <c r="AO13" s="5255">
        <v>26</v>
      </c>
      <c r="AP13" s="5255">
        <v>27</v>
      </c>
      <c r="AQ13" s="5255">
        <v>27</v>
      </c>
      <c r="AR13" s="5255">
        <v>27</v>
      </c>
      <c r="AS13" s="5255">
        <v>27</v>
      </c>
      <c r="AT13" s="5255">
        <f t="shared" si="10"/>
        <v>27</v>
      </c>
      <c r="AU13" s="5256">
        <f t="shared" si="11"/>
        <v>25.083333333333332</v>
      </c>
      <c r="AV13" s="559" t="b">
        <v>1</v>
      </c>
      <c r="AW13" s="5257">
        <v>27</v>
      </c>
      <c r="AX13" s="5255">
        <v>26</v>
      </c>
      <c r="AY13" s="5255">
        <v>25</v>
      </c>
      <c r="AZ13" s="5255">
        <v>25</v>
      </c>
      <c r="BA13" s="5255">
        <v>25</v>
      </c>
      <c r="BB13" s="5255">
        <v>24</v>
      </c>
      <c r="BC13" s="5255">
        <v>24</v>
      </c>
      <c r="BD13" s="5255">
        <v>24</v>
      </c>
      <c r="BE13" s="5255">
        <v>24</v>
      </c>
      <c r="BF13" s="5255">
        <v>24</v>
      </c>
      <c r="BG13" s="5255">
        <v>24</v>
      </c>
      <c r="BH13" s="5255">
        <v>23</v>
      </c>
      <c r="BI13" s="5255">
        <f t="shared" si="12"/>
        <v>295</v>
      </c>
      <c r="BJ13" s="5256">
        <f t="shared" si="13"/>
        <v>24.583333333333332</v>
      </c>
      <c r="BK13" s="559" t="b">
        <v>1</v>
      </c>
      <c r="BL13" s="5257">
        <v>23</v>
      </c>
      <c r="BM13" s="5255">
        <v>23</v>
      </c>
      <c r="BN13" s="5255"/>
      <c r="BO13" s="5255"/>
      <c r="BP13" s="5255"/>
      <c r="BQ13" s="5255"/>
      <c r="BR13" s="5255"/>
      <c r="BS13" s="5255"/>
      <c r="BT13" s="5255"/>
      <c r="BU13" s="5255"/>
      <c r="BV13" s="5255"/>
      <c r="BW13" s="5255"/>
      <c r="BX13" s="5255">
        <f t="shared" si="14"/>
        <v>46</v>
      </c>
      <c r="BY13" s="5256">
        <f t="shared" si="3"/>
        <v>23</v>
      </c>
      <c r="CA13" s="169">
        <f t="shared" si="4"/>
        <v>-3</v>
      </c>
      <c r="CB13" s="169">
        <f t="shared" si="15"/>
        <v>-0.5</v>
      </c>
      <c r="CC13" s="169">
        <f>IFERROR(
  SUM(
    _xlfn.XLOOKUP(DATE(YEAR($A$1),1,1),$2:$2,13:13):
    _xlfn.XLOOKUP($A$1,$2:$2,13:13)
  )
 -SUM(
    _xlfn.XLOOKUP(DATE(YEAR($A$1)-1,1,1),$2:$2,13:13):
    _xlfn.XLOOKUP(EDATE($A$1,-12),$2:$2,13:13)
  ),"")</f>
        <v>-7</v>
      </c>
      <c r="CD13" s="4517">
        <f t="shared" si="5"/>
        <v>0</v>
      </c>
    </row>
    <row r="14" spans="1:82" ht="17.600000000000001" x14ac:dyDescent="0.55000000000000004">
      <c r="A14" s="7386"/>
      <c r="B14" s="2062"/>
      <c r="C14" s="5258" t="s">
        <v>212</v>
      </c>
      <c r="D14" s="5259">
        <v>24</v>
      </c>
      <c r="E14" s="5260">
        <v>25</v>
      </c>
      <c r="F14" s="5260">
        <v>25</v>
      </c>
      <c r="G14" s="5260">
        <v>25</v>
      </c>
      <c r="H14" s="5260">
        <v>25</v>
      </c>
      <c r="I14" s="5260">
        <v>24</v>
      </c>
      <c r="J14" s="5260">
        <v>25</v>
      </c>
      <c r="K14" s="5260">
        <v>25</v>
      </c>
      <c r="L14" s="5260">
        <v>25</v>
      </c>
      <c r="M14" s="5260">
        <v>24</v>
      </c>
      <c r="N14" s="5260">
        <v>24</v>
      </c>
      <c r="O14" s="5260">
        <v>23</v>
      </c>
      <c r="P14" s="5260">
        <f t="shared" si="6"/>
        <v>24.5</v>
      </c>
      <c r="Q14" s="5261">
        <f t="shared" si="7"/>
        <v>24.5</v>
      </c>
      <c r="R14" s="2776"/>
      <c r="S14" s="5259">
        <v>15</v>
      </c>
      <c r="T14" s="5260">
        <v>15</v>
      </c>
      <c r="U14" s="5260">
        <v>14</v>
      </c>
      <c r="V14" s="5260">
        <v>14</v>
      </c>
      <c r="W14" s="5260">
        <v>14</v>
      </c>
      <c r="X14" s="5260">
        <v>14</v>
      </c>
      <c r="Y14" s="5260">
        <v>15</v>
      </c>
      <c r="Z14" s="5260">
        <v>15</v>
      </c>
      <c r="AA14" s="5260">
        <v>15</v>
      </c>
      <c r="AB14" s="5260">
        <v>15</v>
      </c>
      <c r="AC14" s="5260">
        <v>15</v>
      </c>
      <c r="AD14" s="5260">
        <v>23</v>
      </c>
      <c r="AE14" s="5260">
        <f t="shared" si="8"/>
        <v>184</v>
      </c>
      <c r="AF14" s="5261">
        <f t="shared" si="9"/>
        <v>15.333333333333334</v>
      </c>
      <c r="AG14" s="2776"/>
      <c r="AH14" s="5259">
        <v>24</v>
      </c>
      <c r="AI14" s="5260">
        <v>21</v>
      </c>
      <c r="AJ14" s="5260">
        <v>25</v>
      </c>
      <c r="AK14" s="5260">
        <v>25</v>
      </c>
      <c r="AL14" s="5260">
        <v>26</v>
      </c>
      <c r="AM14" s="5260">
        <v>26</v>
      </c>
      <c r="AN14" s="5260">
        <v>26</v>
      </c>
      <c r="AO14" s="5260">
        <v>26</v>
      </c>
      <c r="AP14" s="5260">
        <v>26</v>
      </c>
      <c r="AQ14" s="5260">
        <v>26</v>
      </c>
      <c r="AR14" s="5260">
        <v>26</v>
      </c>
      <c r="AS14" s="5260">
        <v>27</v>
      </c>
      <c r="AT14" s="5260">
        <f t="shared" si="10"/>
        <v>27</v>
      </c>
      <c r="AU14" s="5261">
        <f t="shared" si="11"/>
        <v>25.333333333333332</v>
      </c>
      <c r="AV14" s="559" t="b">
        <v>1</v>
      </c>
      <c r="AW14" s="5262">
        <v>27</v>
      </c>
      <c r="AX14" s="5260">
        <v>27</v>
      </c>
      <c r="AY14" s="5260">
        <v>25</v>
      </c>
      <c r="AZ14" s="5260">
        <v>25</v>
      </c>
      <c r="BA14" s="5260">
        <v>25</v>
      </c>
      <c r="BB14" s="5260">
        <v>25</v>
      </c>
      <c r="BC14" s="5260">
        <v>25</v>
      </c>
      <c r="BD14" s="5260">
        <v>25</v>
      </c>
      <c r="BE14" s="5260">
        <v>25</v>
      </c>
      <c r="BF14" s="5260">
        <v>25</v>
      </c>
      <c r="BG14" s="5260">
        <v>25</v>
      </c>
      <c r="BH14" s="5260">
        <v>25</v>
      </c>
      <c r="BI14" s="5260">
        <f t="shared" si="12"/>
        <v>304</v>
      </c>
      <c r="BJ14" s="5261">
        <f t="shared" si="13"/>
        <v>25.333333333333332</v>
      </c>
      <c r="BK14" s="559" t="b">
        <v>1</v>
      </c>
      <c r="BL14" s="5262">
        <v>26</v>
      </c>
      <c r="BM14" s="5260">
        <v>26</v>
      </c>
      <c r="BN14" s="5260"/>
      <c r="BO14" s="5260"/>
      <c r="BP14" s="5260"/>
      <c r="BQ14" s="5260"/>
      <c r="BR14" s="5260"/>
      <c r="BS14" s="5260"/>
      <c r="BT14" s="5260"/>
      <c r="BU14" s="5260"/>
      <c r="BV14" s="5260"/>
      <c r="BW14" s="5260"/>
      <c r="BX14" s="5260">
        <f t="shared" si="14"/>
        <v>52</v>
      </c>
      <c r="BY14" s="5261">
        <f t="shared" si="3"/>
        <v>26</v>
      </c>
      <c r="CA14" s="169">
        <f t="shared" si="4"/>
        <v>-1</v>
      </c>
      <c r="CB14" s="169">
        <f t="shared" si="15"/>
        <v>0</v>
      </c>
      <c r="CC14" s="169">
        <f>IFERROR(
  SUM(
    _xlfn.XLOOKUP(DATE(YEAR($A$1),1,1),$2:$2,14:14):
    _xlfn.XLOOKUP($A$1,$2:$2,14:14)
  )
 -SUM(
    _xlfn.XLOOKUP(DATE(YEAR($A$1)-1,1,1),$2:$2,14:14):
    _xlfn.XLOOKUP(EDATE($A$1,-12),$2:$2,14:14)
  ),"")</f>
        <v>-2</v>
      </c>
      <c r="CD14" s="4517">
        <f t="shared" si="5"/>
        <v>0</v>
      </c>
    </row>
    <row r="15" spans="1:82" ht="17.600000000000001" x14ac:dyDescent="0.55000000000000004">
      <c r="A15" s="7386"/>
      <c r="B15" s="2062"/>
      <c r="C15" s="5263" t="s">
        <v>213</v>
      </c>
      <c r="D15" s="5264">
        <v>18</v>
      </c>
      <c r="E15" s="5265">
        <v>17</v>
      </c>
      <c r="F15" s="5265">
        <v>17</v>
      </c>
      <c r="G15" s="5265">
        <v>17</v>
      </c>
      <c r="H15" s="5265">
        <v>17</v>
      </c>
      <c r="I15" s="5265">
        <v>17</v>
      </c>
      <c r="J15" s="5265">
        <v>17</v>
      </c>
      <c r="K15" s="5265">
        <v>17</v>
      </c>
      <c r="L15" s="5265">
        <v>18</v>
      </c>
      <c r="M15" s="5265">
        <v>18</v>
      </c>
      <c r="N15" s="5265">
        <v>18</v>
      </c>
      <c r="O15" s="5265">
        <v>16</v>
      </c>
      <c r="P15" s="5265">
        <f t="shared" si="6"/>
        <v>17.25</v>
      </c>
      <c r="Q15" s="5266">
        <f t="shared" si="7"/>
        <v>17.25</v>
      </c>
      <c r="R15" s="2776"/>
      <c r="S15" s="5264">
        <v>16</v>
      </c>
      <c r="T15" s="5265">
        <v>16</v>
      </c>
      <c r="U15" s="5265">
        <v>16</v>
      </c>
      <c r="V15" s="5265">
        <v>17</v>
      </c>
      <c r="W15" s="5265">
        <v>17</v>
      </c>
      <c r="X15" s="5265">
        <v>17</v>
      </c>
      <c r="Y15" s="5265">
        <v>17</v>
      </c>
      <c r="Z15" s="5265">
        <v>17</v>
      </c>
      <c r="AA15" s="5265">
        <v>17</v>
      </c>
      <c r="AB15" s="5265">
        <v>17</v>
      </c>
      <c r="AC15" s="5265">
        <v>17</v>
      </c>
      <c r="AD15" s="5265">
        <v>17</v>
      </c>
      <c r="AE15" s="5265">
        <f t="shared" si="8"/>
        <v>201</v>
      </c>
      <c r="AF15" s="5266">
        <f t="shared" si="9"/>
        <v>16.75</v>
      </c>
      <c r="AG15" s="2776"/>
      <c r="AH15" s="5264">
        <v>17</v>
      </c>
      <c r="AI15" s="5265">
        <v>17</v>
      </c>
      <c r="AJ15" s="5265">
        <v>16</v>
      </c>
      <c r="AK15" s="5265">
        <v>17</v>
      </c>
      <c r="AL15" s="5265">
        <v>17</v>
      </c>
      <c r="AM15" s="5265">
        <v>19</v>
      </c>
      <c r="AN15" s="5265">
        <v>19</v>
      </c>
      <c r="AO15" s="5265">
        <v>19</v>
      </c>
      <c r="AP15" s="5265">
        <v>19</v>
      </c>
      <c r="AQ15" s="5265">
        <v>19</v>
      </c>
      <c r="AR15" s="5265">
        <v>19</v>
      </c>
      <c r="AS15" s="5265">
        <v>19</v>
      </c>
      <c r="AT15" s="5265">
        <f t="shared" si="10"/>
        <v>19</v>
      </c>
      <c r="AU15" s="5266">
        <f t="shared" si="11"/>
        <v>18.083333333333332</v>
      </c>
      <c r="AV15" s="559" t="b">
        <v>1</v>
      </c>
      <c r="AW15" s="5267">
        <v>19</v>
      </c>
      <c r="AX15" s="5265">
        <v>19</v>
      </c>
      <c r="AY15" s="5265">
        <v>19</v>
      </c>
      <c r="AZ15" s="5265">
        <v>17</v>
      </c>
      <c r="BA15" s="5265">
        <v>17</v>
      </c>
      <c r="BB15" s="5265">
        <v>17</v>
      </c>
      <c r="BC15" s="5265">
        <v>17</v>
      </c>
      <c r="BD15" s="5265">
        <v>16</v>
      </c>
      <c r="BE15" s="5265">
        <v>16</v>
      </c>
      <c r="BF15" s="5265">
        <v>16</v>
      </c>
      <c r="BG15" s="5265">
        <v>16</v>
      </c>
      <c r="BH15" s="5265">
        <v>16</v>
      </c>
      <c r="BI15" s="5265">
        <f t="shared" si="12"/>
        <v>205</v>
      </c>
      <c r="BJ15" s="5266">
        <f t="shared" si="13"/>
        <v>17.083333333333332</v>
      </c>
      <c r="BK15" s="559" t="b">
        <v>1</v>
      </c>
      <c r="BL15" s="5267">
        <v>17</v>
      </c>
      <c r="BM15" s="5265">
        <v>17</v>
      </c>
      <c r="BN15" s="5265"/>
      <c r="BO15" s="5265"/>
      <c r="BP15" s="5265"/>
      <c r="BQ15" s="5265"/>
      <c r="BR15" s="5265"/>
      <c r="BS15" s="5265"/>
      <c r="BT15" s="5265"/>
      <c r="BU15" s="5265"/>
      <c r="BV15" s="5265"/>
      <c r="BW15" s="5265"/>
      <c r="BX15" s="5265">
        <f t="shared" si="14"/>
        <v>34</v>
      </c>
      <c r="BY15" s="5266">
        <f t="shared" si="3"/>
        <v>17</v>
      </c>
      <c r="CA15" s="169">
        <f t="shared" si="4"/>
        <v>-2</v>
      </c>
      <c r="CB15" s="169">
        <f t="shared" si="15"/>
        <v>-1</v>
      </c>
      <c r="CC15" s="169">
        <f>IFERROR(
  SUM(
    _xlfn.XLOOKUP(DATE(YEAR($A$1),1,1),$2:$2,15:15):
    _xlfn.XLOOKUP($A$1,$2:$2,15:15)
  )
 -SUM(
    _xlfn.XLOOKUP(DATE(YEAR($A$1)-1,1,1),$2:$2,15:15):
    _xlfn.XLOOKUP(EDATE($A$1,-12),$2:$2,15:15)
  ),"")</f>
        <v>-4</v>
      </c>
      <c r="CD15" s="4517">
        <f t="shared" si="5"/>
        <v>0</v>
      </c>
    </row>
    <row r="16" spans="1:82" ht="17.600000000000001" x14ac:dyDescent="0.55000000000000004">
      <c r="A16" s="7386"/>
      <c r="B16" s="2062"/>
      <c r="C16" s="5263" t="s">
        <v>214</v>
      </c>
      <c r="D16" s="5264">
        <v>25</v>
      </c>
      <c r="E16" s="5265">
        <v>25</v>
      </c>
      <c r="F16" s="5265">
        <v>25</v>
      </c>
      <c r="G16" s="5265">
        <v>25</v>
      </c>
      <c r="H16" s="5265">
        <v>25</v>
      </c>
      <c r="I16" s="5265">
        <v>25</v>
      </c>
      <c r="J16" s="5265">
        <v>25</v>
      </c>
      <c r="K16" s="5265">
        <v>25</v>
      </c>
      <c r="L16" s="5265">
        <v>25</v>
      </c>
      <c r="M16" s="5265">
        <v>25</v>
      </c>
      <c r="N16" s="5265">
        <v>25</v>
      </c>
      <c r="O16" s="5265">
        <v>25</v>
      </c>
      <c r="P16" s="5265">
        <f t="shared" si="6"/>
        <v>25</v>
      </c>
      <c r="Q16" s="5266">
        <f t="shared" si="7"/>
        <v>25</v>
      </c>
      <c r="R16" s="2776"/>
      <c r="S16" s="5264">
        <v>25</v>
      </c>
      <c r="T16" s="5265">
        <v>25</v>
      </c>
      <c r="U16" s="5265">
        <v>25</v>
      </c>
      <c r="V16" s="5265">
        <v>25</v>
      </c>
      <c r="W16" s="5265">
        <v>25</v>
      </c>
      <c r="X16" s="5265">
        <v>25</v>
      </c>
      <c r="Y16" s="5265">
        <v>25</v>
      </c>
      <c r="Z16" s="5265">
        <v>25</v>
      </c>
      <c r="AA16" s="5265">
        <v>25</v>
      </c>
      <c r="AB16" s="5265">
        <v>25</v>
      </c>
      <c r="AC16" s="5265">
        <v>24</v>
      </c>
      <c r="AD16" s="5265">
        <v>25</v>
      </c>
      <c r="AE16" s="5265">
        <f t="shared" si="8"/>
        <v>299</v>
      </c>
      <c r="AF16" s="5266">
        <f t="shared" si="9"/>
        <v>24.916666666666668</v>
      </c>
      <c r="AG16" s="2776"/>
      <c r="AH16" s="5264">
        <v>25</v>
      </c>
      <c r="AI16" s="5265">
        <v>25</v>
      </c>
      <c r="AJ16" s="5265">
        <v>26</v>
      </c>
      <c r="AK16" s="5265">
        <v>26</v>
      </c>
      <c r="AL16" s="5265">
        <v>26</v>
      </c>
      <c r="AM16" s="5265">
        <v>26</v>
      </c>
      <c r="AN16" s="5265">
        <v>26</v>
      </c>
      <c r="AO16" s="5265">
        <v>26</v>
      </c>
      <c r="AP16" s="5265">
        <v>26</v>
      </c>
      <c r="AQ16" s="5265">
        <v>26</v>
      </c>
      <c r="AR16" s="5265">
        <v>26</v>
      </c>
      <c r="AS16" s="5265">
        <v>26</v>
      </c>
      <c r="AT16" s="5265">
        <f t="shared" si="10"/>
        <v>26</v>
      </c>
      <c r="AU16" s="5266">
        <f t="shared" si="11"/>
        <v>25.833333333333332</v>
      </c>
      <c r="AV16" s="559" t="b">
        <v>1</v>
      </c>
      <c r="AW16" s="5267">
        <v>26</v>
      </c>
      <c r="AX16" s="5265">
        <v>26</v>
      </c>
      <c r="AY16" s="5265">
        <v>26</v>
      </c>
      <c r="AZ16" s="5265">
        <v>26</v>
      </c>
      <c r="BA16" s="5265">
        <v>25</v>
      </c>
      <c r="BB16" s="5265">
        <v>25</v>
      </c>
      <c r="BC16" s="5265">
        <v>25</v>
      </c>
      <c r="BD16" s="5265">
        <v>25</v>
      </c>
      <c r="BE16" s="5265">
        <v>25</v>
      </c>
      <c r="BF16" s="5265">
        <v>25</v>
      </c>
      <c r="BG16" s="5265">
        <v>25</v>
      </c>
      <c r="BH16" s="5265">
        <v>25</v>
      </c>
      <c r="BI16" s="5265">
        <f t="shared" si="12"/>
        <v>304</v>
      </c>
      <c r="BJ16" s="5266">
        <f t="shared" si="13"/>
        <v>25.333333333333332</v>
      </c>
      <c r="BK16" s="559" t="b">
        <v>1</v>
      </c>
      <c r="BL16" s="5267">
        <v>25</v>
      </c>
      <c r="BM16" s="5265">
        <v>25</v>
      </c>
      <c r="BN16" s="5265"/>
      <c r="BO16" s="5265"/>
      <c r="BP16" s="5265"/>
      <c r="BQ16" s="5265"/>
      <c r="BR16" s="5265"/>
      <c r="BS16" s="5265"/>
      <c r="BT16" s="5265"/>
      <c r="BU16" s="5265"/>
      <c r="BV16" s="5265"/>
      <c r="BW16" s="5265"/>
      <c r="BX16" s="5265">
        <f t="shared" si="14"/>
        <v>50</v>
      </c>
      <c r="BY16" s="5266">
        <f t="shared" si="3"/>
        <v>25</v>
      </c>
      <c r="CA16" s="169">
        <f t="shared" si="4"/>
        <v>-1</v>
      </c>
      <c r="CB16" s="169">
        <f t="shared" si="15"/>
        <v>-0.5</v>
      </c>
      <c r="CC16" s="169">
        <f>IFERROR(
  SUM(
    _xlfn.XLOOKUP(DATE(YEAR($A$1),1,1),$2:$2,16:16):
    _xlfn.XLOOKUP($A$1,$2:$2,16:16)
  )
 -SUM(
    _xlfn.XLOOKUP(DATE(YEAR($A$1)-1,1,1),$2:$2,16:16):
    _xlfn.XLOOKUP(EDATE($A$1,-12),$2:$2,16:16)
  ),"")</f>
        <v>-2</v>
      </c>
      <c r="CD16" s="4517">
        <f t="shared" si="5"/>
        <v>0</v>
      </c>
    </row>
    <row r="17" spans="1:82" ht="17.600000000000001" x14ac:dyDescent="0.55000000000000004">
      <c r="A17" s="7386"/>
      <c r="B17" s="2062"/>
      <c r="C17" s="5258" t="s">
        <v>215</v>
      </c>
      <c r="D17" s="5259">
        <v>31</v>
      </c>
      <c r="E17" s="5260">
        <v>31</v>
      </c>
      <c r="F17" s="5260">
        <v>31</v>
      </c>
      <c r="G17" s="5260">
        <v>31</v>
      </c>
      <c r="H17" s="5260">
        <v>31</v>
      </c>
      <c r="I17" s="5260">
        <v>31</v>
      </c>
      <c r="J17" s="5260">
        <v>32</v>
      </c>
      <c r="K17" s="5260">
        <v>32</v>
      </c>
      <c r="L17" s="5260">
        <v>32</v>
      </c>
      <c r="M17" s="5260">
        <v>31</v>
      </c>
      <c r="N17" s="5260">
        <v>31</v>
      </c>
      <c r="O17" s="5260">
        <v>30</v>
      </c>
      <c r="P17" s="5260">
        <f t="shared" si="6"/>
        <v>31.166666666666668</v>
      </c>
      <c r="Q17" s="5261">
        <f t="shared" si="7"/>
        <v>31.166666666666668</v>
      </c>
      <c r="R17" s="2776"/>
      <c r="S17" s="5259">
        <v>27</v>
      </c>
      <c r="T17" s="5260">
        <v>27</v>
      </c>
      <c r="U17" s="5260">
        <v>27</v>
      </c>
      <c r="V17" s="5260">
        <v>28</v>
      </c>
      <c r="W17" s="5260">
        <v>28</v>
      </c>
      <c r="X17" s="5260">
        <v>28</v>
      </c>
      <c r="Y17" s="5260">
        <v>28</v>
      </c>
      <c r="Z17" s="5260">
        <v>27</v>
      </c>
      <c r="AA17" s="5260">
        <v>27</v>
      </c>
      <c r="AB17" s="5260">
        <v>27</v>
      </c>
      <c r="AC17" s="5260">
        <v>27</v>
      </c>
      <c r="AD17" s="5260">
        <v>30</v>
      </c>
      <c r="AE17" s="5260">
        <f t="shared" si="8"/>
        <v>331</v>
      </c>
      <c r="AF17" s="5261">
        <f t="shared" si="9"/>
        <v>27.583333333333332</v>
      </c>
      <c r="AG17" s="2776"/>
      <c r="AH17" s="5259">
        <v>30</v>
      </c>
      <c r="AI17" s="5260">
        <v>30</v>
      </c>
      <c r="AJ17" s="5260">
        <v>30</v>
      </c>
      <c r="AK17" s="5260">
        <v>30</v>
      </c>
      <c r="AL17" s="5260">
        <v>32</v>
      </c>
      <c r="AM17" s="5260">
        <v>32</v>
      </c>
      <c r="AN17" s="5260">
        <v>33</v>
      </c>
      <c r="AO17" s="5260">
        <v>33</v>
      </c>
      <c r="AP17" s="5260">
        <v>33</v>
      </c>
      <c r="AQ17" s="5260">
        <v>33</v>
      </c>
      <c r="AR17" s="5260">
        <v>33</v>
      </c>
      <c r="AS17" s="5260">
        <v>34</v>
      </c>
      <c r="AT17" s="5260">
        <f t="shared" si="10"/>
        <v>34</v>
      </c>
      <c r="AU17" s="5261">
        <f t="shared" si="11"/>
        <v>31.916666666666668</v>
      </c>
      <c r="AV17" s="559" t="b">
        <v>1</v>
      </c>
      <c r="AW17" s="5262">
        <v>34</v>
      </c>
      <c r="AX17" s="5260">
        <v>33</v>
      </c>
      <c r="AY17" s="5260">
        <v>31</v>
      </c>
      <c r="AZ17" s="5260">
        <v>31</v>
      </c>
      <c r="BA17" s="5260">
        <v>31</v>
      </c>
      <c r="BB17" s="5260">
        <v>29</v>
      </c>
      <c r="BC17" s="5260">
        <v>31</v>
      </c>
      <c r="BD17" s="5260">
        <v>31</v>
      </c>
      <c r="BE17" s="5260">
        <v>31</v>
      </c>
      <c r="BF17" s="5260">
        <v>31</v>
      </c>
      <c r="BG17" s="5260">
        <v>30</v>
      </c>
      <c r="BH17" s="5260">
        <v>30</v>
      </c>
      <c r="BI17" s="5260">
        <f t="shared" si="12"/>
        <v>373</v>
      </c>
      <c r="BJ17" s="5261">
        <f t="shared" si="13"/>
        <v>31.083333333333332</v>
      </c>
      <c r="BK17" s="559" t="b">
        <v>1</v>
      </c>
      <c r="BL17" s="5262">
        <v>30</v>
      </c>
      <c r="BM17" s="5260">
        <v>30</v>
      </c>
      <c r="BN17" s="5260"/>
      <c r="BO17" s="5260"/>
      <c r="BP17" s="5260"/>
      <c r="BQ17" s="5260"/>
      <c r="BR17" s="5260"/>
      <c r="BS17" s="5260"/>
      <c r="BT17" s="5260"/>
      <c r="BU17" s="5260"/>
      <c r="BV17" s="5260"/>
      <c r="BW17" s="5260"/>
      <c r="BX17" s="5260">
        <f t="shared" si="14"/>
        <v>60</v>
      </c>
      <c r="BY17" s="5261">
        <f t="shared" si="3"/>
        <v>30</v>
      </c>
      <c r="CA17" s="169">
        <f t="shared" si="4"/>
        <v>-3</v>
      </c>
      <c r="CB17" s="169">
        <f t="shared" si="15"/>
        <v>-0.8333333333333357</v>
      </c>
      <c r="CC17" s="169">
        <f>IFERROR(
  SUM(
    _xlfn.XLOOKUP(DATE(YEAR($A$1),1,1),$2:$2,17:17):
    _xlfn.XLOOKUP($A$1,$2:$2,17:17)
  )
 -SUM(
    _xlfn.XLOOKUP(DATE(YEAR($A$1)-1,1,1),$2:$2,17:17):
    _xlfn.XLOOKUP(EDATE($A$1,-12),$2:$2,17:17)
  ),"")</f>
        <v>-7</v>
      </c>
      <c r="CD17" s="4517">
        <f t="shared" si="5"/>
        <v>0</v>
      </c>
    </row>
    <row r="18" spans="1:82" ht="17.600000000000001" x14ac:dyDescent="0.55000000000000004">
      <c r="A18" s="7386"/>
      <c r="B18" s="2062"/>
      <c r="C18" s="5258" t="s">
        <v>216</v>
      </c>
      <c r="D18" s="5259">
        <v>21</v>
      </c>
      <c r="E18" s="5260">
        <v>21</v>
      </c>
      <c r="F18" s="5260">
        <v>21</v>
      </c>
      <c r="G18" s="5260">
        <v>21</v>
      </c>
      <c r="H18" s="5260">
        <v>21</v>
      </c>
      <c r="I18" s="5260">
        <v>21</v>
      </c>
      <c r="J18" s="5260">
        <v>21</v>
      </c>
      <c r="K18" s="5260">
        <v>21</v>
      </c>
      <c r="L18" s="5260">
        <v>21</v>
      </c>
      <c r="M18" s="5260">
        <v>21</v>
      </c>
      <c r="N18" s="5260">
        <v>21</v>
      </c>
      <c r="O18" s="5260">
        <v>21</v>
      </c>
      <c r="P18" s="5260">
        <f t="shared" si="6"/>
        <v>21</v>
      </c>
      <c r="Q18" s="5261">
        <f t="shared" si="7"/>
        <v>21</v>
      </c>
      <c r="R18" s="2776"/>
      <c r="S18" s="5259">
        <v>24</v>
      </c>
      <c r="T18" s="5260">
        <v>24</v>
      </c>
      <c r="U18" s="5260">
        <v>24</v>
      </c>
      <c r="V18" s="5260">
        <v>24</v>
      </c>
      <c r="W18" s="5260">
        <v>24</v>
      </c>
      <c r="X18" s="5260">
        <v>24</v>
      </c>
      <c r="Y18" s="5260">
        <v>24</v>
      </c>
      <c r="Z18" s="5260">
        <v>24</v>
      </c>
      <c r="AA18" s="5260">
        <v>24</v>
      </c>
      <c r="AB18" s="5260">
        <v>24</v>
      </c>
      <c r="AC18" s="5260">
        <v>24</v>
      </c>
      <c r="AD18" s="5260">
        <v>21</v>
      </c>
      <c r="AE18" s="5260">
        <f t="shared" si="8"/>
        <v>285</v>
      </c>
      <c r="AF18" s="5261">
        <f t="shared" si="9"/>
        <v>23.75</v>
      </c>
      <c r="AG18" s="2776"/>
      <c r="AH18" s="5259">
        <v>21</v>
      </c>
      <c r="AI18" s="5260">
        <v>21</v>
      </c>
      <c r="AJ18" s="5260">
        <v>22</v>
      </c>
      <c r="AK18" s="5260">
        <v>22</v>
      </c>
      <c r="AL18" s="5260">
        <v>22</v>
      </c>
      <c r="AM18" s="5260">
        <v>21</v>
      </c>
      <c r="AN18" s="5260">
        <v>22</v>
      </c>
      <c r="AO18" s="5260">
        <v>22</v>
      </c>
      <c r="AP18" s="5260">
        <v>22</v>
      </c>
      <c r="AQ18" s="5260">
        <v>22</v>
      </c>
      <c r="AR18" s="5260">
        <v>22</v>
      </c>
      <c r="AS18" s="5260">
        <v>22</v>
      </c>
      <c r="AT18" s="5260">
        <f t="shared" si="10"/>
        <v>22</v>
      </c>
      <c r="AU18" s="5261">
        <f t="shared" si="11"/>
        <v>21.75</v>
      </c>
      <c r="AV18" s="559" t="b">
        <v>1</v>
      </c>
      <c r="AW18" s="5262">
        <v>22</v>
      </c>
      <c r="AX18" s="5260">
        <v>22</v>
      </c>
      <c r="AY18" s="5260">
        <v>22</v>
      </c>
      <c r="AZ18" s="5260">
        <v>22</v>
      </c>
      <c r="BA18" s="5260">
        <v>22</v>
      </c>
      <c r="BB18" s="5260">
        <v>21</v>
      </c>
      <c r="BC18" s="5260">
        <v>21</v>
      </c>
      <c r="BD18" s="5260">
        <v>21</v>
      </c>
      <c r="BE18" s="5260">
        <v>21</v>
      </c>
      <c r="BF18" s="5260">
        <v>21</v>
      </c>
      <c r="BG18" s="5260">
        <v>21</v>
      </c>
      <c r="BH18" s="5260">
        <v>20</v>
      </c>
      <c r="BI18" s="5260">
        <f t="shared" si="12"/>
        <v>256</v>
      </c>
      <c r="BJ18" s="5261">
        <f t="shared" si="13"/>
        <v>21.333333333333332</v>
      </c>
      <c r="BK18" s="559" t="b">
        <v>1</v>
      </c>
      <c r="BL18" s="5262">
        <v>20</v>
      </c>
      <c r="BM18" s="5260">
        <v>20</v>
      </c>
      <c r="BN18" s="5260"/>
      <c r="BO18" s="5260"/>
      <c r="BP18" s="5260"/>
      <c r="BQ18" s="5260"/>
      <c r="BR18" s="5260"/>
      <c r="BS18" s="5260"/>
      <c r="BT18" s="5260"/>
      <c r="BU18" s="5260"/>
      <c r="BV18" s="5260"/>
      <c r="BW18" s="5260"/>
      <c r="BX18" s="5260">
        <f t="shared" si="14"/>
        <v>40</v>
      </c>
      <c r="BY18" s="5261">
        <f t="shared" si="3"/>
        <v>20</v>
      </c>
      <c r="CA18" s="169">
        <f t="shared" si="4"/>
        <v>-2</v>
      </c>
      <c r="CB18" s="169">
        <f t="shared" si="15"/>
        <v>-0.41666666666666785</v>
      </c>
      <c r="CC18" s="169">
        <f>IFERROR(
  SUM(
    _xlfn.XLOOKUP(DATE(YEAR($A$1),1,1),$2:$2,18:18):
    _xlfn.XLOOKUP($A$1,$2:$2,18:18)
  )
 -SUM(
    _xlfn.XLOOKUP(DATE(YEAR($A$1)-1,1,1),$2:$2,18:18):
    _xlfn.XLOOKUP(EDATE($A$1,-12),$2:$2,18:18)
  ),"")</f>
        <v>-4</v>
      </c>
      <c r="CD18" s="4517">
        <f t="shared" si="5"/>
        <v>0</v>
      </c>
    </row>
    <row r="19" spans="1:82" ht="17.600000000000001" x14ac:dyDescent="0.55000000000000004">
      <c r="A19" s="7386"/>
      <c r="B19" s="2062"/>
      <c r="C19" s="5263" t="s">
        <v>217</v>
      </c>
      <c r="D19" s="5264">
        <v>31</v>
      </c>
      <c r="E19" s="5265">
        <v>31</v>
      </c>
      <c r="F19" s="5265">
        <v>32</v>
      </c>
      <c r="G19" s="5265">
        <v>32</v>
      </c>
      <c r="H19" s="5265">
        <v>33</v>
      </c>
      <c r="I19" s="5265">
        <v>32</v>
      </c>
      <c r="J19" s="5265">
        <v>33</v>
      </c>
      <c r="K19" s="5265">
        <v>32</v>
      </c>
      <c r="L19" s="5265">
        <v>32</v>
      </c>
      <c r="M19" s="5265">
        <v>32</v>
      </c>
      <c r="N19" s="5265">
        <v>32</v>
      </c>
      <c r="O19" s="5265">
        <v>31</v>
      </c>
      <c r="P19" s="5265">
        <f t="shared" si="6"/>
        <v>31.916666666666668</v>
      </c>
      <c r="Q19" s="5266">
        <f t="shared" si="7"/>
        <v>31.916666666666668</v>
      </c>
      <c r="R19" s="2776"/>
      <c r="S19" s="5264">
        <v>32</v>
      </c>
      <c r="T19" s="5265">
        <v>32</v>
      </c>
      <c r="U19" s="5265">
        <v>31</v>
      </c>
      <c r="V19" s="5265">
        <v>31</v>
      </c>
      <c r="W19" s="5265">
        <v>31</v>
      </c>
      <c r="X19" s="5265">
        <v>31</v>
      </c>
      <c r="Y19" s="5265">
        <v>31</v>
      </c>
      <c r="Z19" s="5265">
        <v>30</v>
      </c>
      <c r="AA19" s="5265">
        <v>30</v>
      </c>
      <c r="AB19" s="5265">
        <v>30</v>
      </c>
      <c r="AC19" s="5265">
        <v>29</v>
      </c>
      <c r="AD19" s="5265">
        <v>29</v>
      </c>
      <c r="AE19" s="5265">
        <f t="shared" si="8"/>
        <v>367</v>
      </c>
      <c r="AF19" s="5266">
        <f t="shared" si="9"/>
        <v>30.583333333333332</v>
      </c>
      <c r="AG19" s="2776"/>
      <c r="AH19" s="5264">
        <v>28</v>
      </c>
      <c r="AI19" s="5265">
        <v>28</v>
      </c>
      <c r="AJ19" s="5265">
        <v>29</v>
      </c>
      <c r="AK19" s="5265">
        <v>29</v>
      </c>
      <c r="AL19" s="5265">
        <v>30</v>
      </c>
      <c r="AM19" s="5265">
        <v>30</v>
      </c>
      <c r="AN19" s="5265">
        <v>30</v>
      </c>
      <c r="AO19" s="5265">
        <v>30</v>
      </c>
      <c r="AP19" s="5265">
        <v>30</v>
      </c>
      <c r="AQ19" s="5265">
        <v>30</v>
      </c>
      <c r="AR19" s="5265">
        <v>29</v>
      </c>
      <c r="AS19" s="5265">
        <v>30</v>
      </c>
      <c r="AT19" s="5265">
        <f t="shared" si="10"/>
        <v>30</v>
      </c>
      <c r="AU19" s="5266">
        <f t="shared" si="11"/>
        <v>29.416666666666668</v>
      </c>
      <c r="AV19" s="559" t="b">
        <v>1</v>
      </c>
      <c r="AW19" s="5267">
        <v>30</v>
      </c>
      <c r="AX19" s="5265">
        <v>29</v>
      </c>
      <c r="AY19" s="5265">
        <v>28</v>
      </c>
      <c r="AZ19" s="5265">
        <v>28</v>
      </c>
      <c r="BA19" s="5265">
        <v>28</v>
      </c>
      <c r="BB19" s="5265">
        <v>28</v>
      </c>
      <c r="BC19" s="5265">
        <v>28</v>
      </c>
      <c r="BD19" s="5265">
        <v>28</v>
      </c>
      <c r="BE19" s="5265">
        <v>28</v>
      </c>
      <c r="BF19" s="5265">
        <v>28</v>
      </c>
      <c r="BG19" s="5265">
        <v>28</v>
      </c>
      <c r="BH19" s="5265">
        <v>28</v>
      </c>
      <c r="BI19" s="5265">
        <f t="shared" si="12"/>
        <v>339</v>
      </c>
      <c r="BJ19" s="5266">
        <f t="shared" si="13"/>
        <v>28.25</v>
      </c>
      <c r="BK19" s="559" t="b">
        <v>1</v>
      </c>
      <c r="BL19" s="5267">
        <v>28</v>
      </c>
      <c r="BM19" s="5265">
        <v>29</v>
      </c>
      <c r="BN19" s="5265"/>
      <c r="BO19" s="5265"/>
      <c r="BP19" s="5265"/>
      <c r="BQ19" s="5265"/>
      <c r="BR19" s="5265"/>
      <c r="BS19" s="5265"/>
      <c r="BT19" s="5265"/>
      <c r="BU19" s="5265"/>
      <c r="BV19" s="5265"/>
      <c r="BW19" s="5265"/>
      <c r="BX19" s="5265">
        <f t="shared" si="14"/>
        <v>57</v>
      </c>
      <c r="BY19" s="5266">
        <f t="shared" si="3"/>
        <v>28.5</v>
      </c>
      <c r="CA19" s="169">
        <f t="shared" si="4"/>
        <v>0</v>
      </c>
      <c r="CB19" s="169">
        <f t="shared" si="15"/>
        <v>-1.1666666666666679</v>
      </c>
      <c r="CC19" s="169">
        <f>IFERROR(
  SUM(
    _xlfn.XLOOKUP(DATE(YEAR($A$1),1,1),$2:$2,19:19):
    _xlfn.XLOOKUP($A$1,$2:$2,19:19)
  )
 -SUM(
    _xlfn.XLOOKUP(DATE(YEAR($A$1)-1,1,1),$2:$2,19:19):
    _xlfn.XLOOKUP(EDATE($A$1,-12),$2:$2,19:19)
  ),"")</f>
        <v>-2</v>
      </c>
      <c r="CD19" s="4517">
        <f t="shared" si="5"/>
        <v>1</v>
      </c>
    </row>
    <row r="20" spans="1:82" ht="17.600000000000001" x14ac:dyDescent="0.55000000000000004">
      <c r="A20" s="7386"/>
      <c r="B20" s="2062"/>
      <c r="C20" s="5263" t="s">
        <v>218</v>
      </c>
      <c r="D20" s="5264">
        <v>30</v>
      </c>
      <c r="E20" s="5265">
        <v>31</v>
      </c>
      <c r="F20" s="5265">
        <v>31</v>
      </c>
      <c r="G20" s="5265">
        <v>32</v>
      </c>
      <c r="H20" s="5265">
        <v>32</v>
      </c>
      <c r="I20" s="5265">
        <v>33</v>
      </c>
      <c r="J20" s="5265">
        <v>32</v>
      </c>
      <c r="K20" s="5265">
        <v>32</v>
      </c>
      <c r="L20" s="5265">
        <v>32</v>
      </c>
      <c r="M20" s="5265">
        <v>33</v>
      </c>
      <c r="N20" s="5265">
        <v>33</v>
      </c>
      <c r="O20" s="5265">
        <v>33</v>
      </c>
      <c r="P20" s="5265">
        <f t="shared" si="6"/>
        <v>32</v>
      </c>
      <c r="Q20" s="5266">
        <f t="shared" si="7"/>
        <v>32</v>
      </c>
      <c r="R20" s="2776"/>
      <c r="S20" s="5264">
        <v>33</v>
      </c>
      <c r="T20" s="5265">
        <v>33</v>
      </c>
      <c r="U20" s="5265">
        <v>32</v>
      </c>
      <c r="V20" s="5265">
        <v>33</v>
      </c>
      <c r="W20" s="5265">
        <v>33</v>
      </c>
      <c r="X20" s="5265">
        <v>33</v>
      </c>
      <c r="Y20" s="5265">
        <v>32</v>
      </c>
      <c r="Z20" s="5265">
        <v>32</v>
      </c>
      <c r="AA20" s="5265">
        <v>32</v>
      </c>
      <c r="AB20" s="5265">
        <v>32</v>
      </c>
      <c r="AC20" s="5265">
        <v>32</v>
      </c>
      <c r="AD20" s="5265">
        <v>32</v>
      </c>
      <c r="AE20" s="5265">
        <f t="shared" si="8"/>
        <v>389</v>
      </c>
      <c r="AF20" s="5266">
        <f t="shared" si="9"/>
        <v>32.416666666666664</v>
      </c>
      <c r="AG20" s="2776"/>
      <c r="AH20" s="5264">
        <v>32</v>
      </c>
      <c r="AI20" s="5265">
        <v>32</v>
      </c>
      <c r="AJ20" s="5265">
        <v>32</v>
      </c>
      <c r="AK20" s="5265">
        <v>31</v>
      </c>
      <c r="AL20" s="5265">
        <v>31</v>
      </c>
      <c r="AM20" s="5265">
        <v>31</v>
      </c>
      <c r="AN20" s="5265">
        <v>31</v>
      </c>
      <c r="AO20" s="5265">
        <v>30</v>
      </c>
      <c r="AP20" s="5265">
        <v>30</v>
      </c>
      <c r="AQ20" s="5265">
        <v>30</v>
      </c>
      <c r="AR20" s="5265">
        <v>30</v>
      </c>
      <c r="AS20" s="5265">
        <v>30</v>
      </c>
      <c r="AT20" s="5265">
        <f t="shared" si="10"/>
        <v>30</v>
      </c>
      <c r="AU20" s="5266">
        <f t="shared" si="11"/>
        <v>30.833333333333332</v>
      </c>
      <c r="AV20" s="559" t="b">
        <v>1</v>
      </c>
      <c r="AW20" s="5267">
        <v>29</v>
      </c>
      <c r="AX20" s="5265">
        <v>29</v>
      </c>
      <c r="AY20" s="5265">
        <v>29</v>
      </c>
      <c r="AZ20" s="5265">
        <v>29</v>
      </c>
      <c r="BA20" s="5265">
        <v>29</v>
      </c>
      <c r="BB20" s="5265">
        <v>29</v>
      </c>
      <c r="BC20" s="5265">
        <v>29</v>
      </c>
      <c r="BD20" s="5265">
        <v>29</v>
      </c>
      <c r="BE20" s="5265">
        <v>29</v>
      </c>
      <c r="BF20" s="5265">
        <v>29</v>
      </c>
      <c r="BG20" s="5265">
        <v>29</v>
      </c>
      <c r="BH20" s="5265">
        <v>29</v>
      </c>
      <c r="BI20" s="5265">
        <f t="shared" si="12"/>
        <v>348</v>
      </c>
      <c r="BJ20" s="5266">
        <f t="shared" si="13"/>
        <v>29</v>
      </c>
      <c r="BK20" s="559" t="b">
        <v>1</v>
      </c>
      <c r="BL20" s="5267">
        <v>29</v>
      </c>
      <c r="BM20" s="5265">
        <v>29</v>
      </c>
      <c r="BN20" s="5265"/>
      <c r="BO20" s="5265"/>
      <c r="BP20" s="5265"/>
      <c r="BQ20" s="5265"/>
      <c r="BR20" s="5265"/>
      <c r="BS20" s="5265"/>
      <c r="BT20" s="5265"/>
      <c r="BU20" s="5265"/>
      <c r="BV20" s="5265"/>
      <c r="BW20" s="5265"/>
      <c r="BX20" s="5265">
        <f t="shared" si="14"/>
        <v>58</v>
      </c>
      <c r="BY20" s="5266">
        <f t="shared" si="3"/>
        <v>29</v>
      </c>
      <c r="CA20" s="169">
        <f t="shared" si="4"/>
        <v>0</v>
      </c>
      <c r="CB20" s="169">
        <f t="shared" si="15"/>
        <v>-1.8333333333333321</v>
      </c>
      <c r="CC20" s="169">
        <f>IFERROR(
  SUM(
    _xlfn.XLOOKUP(DATE(YEAR($A$1),1,1),$2:$2,20:20):
    _xlfn.XLOOKUP($A$1,$2:$2,20:20)
  )
 -SUM(
    _xlfn.XLOOKUP(DATE(YEAR($A$1)-1,1,1),$2:$2,20:20):
    _xlfn.XLOOKUP(EDATE($A$1,-12),$2:$2,20:20)
  ),"")</f>
        <v>0</v>
      </c>
      <c r="CD20" s="4517">
        <f t="shared" si="5"/>
        <v>0</v>
      </c>
    </row>
    <row r="21" spans="1:82" ht="17.600000000000001" x14ac:dyDescent="0.55000000000000004">
      <c r="A21" s="7386"/>
      <c r="B21" s="2062"/>
      <c r="C21" s="5258" t="s">
        <v>219</v>
      </c>
      <c r="D21" s="5259">
        <v>28</v>
      </c>
      <c r="E21" s="5260">
        <v>28</v>
      </c>
      <c r="F21" s="5260">
        <v>28</v>
      </c>
      <c r="G21" s="5260">
        <v>29</v>
      </c>
      <c r="H21" s="5260">
        <v>29</v>
      </c>
      <c r="I21" s="5260">
        <v>29</v>
      </c>
      <c r="J21" s="5260">
        <v>29</v>
      </c>
      <c r="K21" s="5260">
        <v>29</v>
      </c>
      <c r="L21" s="5260">
        <v>29</v>
      </c>
      <c r="M21" s="5260">
        <v>29</v>
      </c>
      <c r="N21" s="5260">
        <v>29</v>
      </c>
      <c r="O21" s="5260">
        <v>29</v>
      </c>
      <c r="P21" s="5260">
        <f t="shared" si="6"/>
        <v>28.75</v>
      </c>
      <c r="Q21" s="5261">
        <f t="shared" si="7"/>
        <v>28.75</v>
      </c>
      <c r="R21" s="2776"/>
      <c r="S21" s="5259">
        <v>28</v>
      </c>
      <c r="T21" s="5260">
        <v>28</v>
      </c>
      <c r="U21" s="5260">
        <v>28</v>
      </c>
      <c r="V21" s="5260">
        <v>28</v>
      </c>
      <c r="W21" s="5260">
        <v>28</v>
      </c>
      <c r="X21" s="5260">
        <v>28</v>
      </c>
      <c r="Y21" s="5260">
        <v>28</v>
      </c>
      <c r="Z21" s="5260">
        <v>28</v>
      </c>
      <c r="AA21" s="5260">
        <v>28</v>
      </c>
      <c r="AB21" s="5260">
        <v>28</v>
      </c>
      <c r="AC21" s="5260">
        <v>28</v>
      </c>
      <c r="AD21" s="5260">
        <v>28</v>
      </c>
      <c r="AE21" s="5260">
        <f t="shared" si="8"/>
        <v>336</v>
      </c>
      <c r="AF21" s="5261">
        <f t="shared" si="9"/>
        <v>28</v>
      </c>
      <c r="AG21" s="2776"/>
      <c r="AH21" s="5259">
        <v>28</v>
      </c>
      <c r="AI21" s="5260">
        <v>28</v>
      </c>
      <c r="AJ21" s="5260">
        <v>28</v>
      </c>
      <c r="AK21" s="5260">
        <v>29</v>
      </c>
      <c r="AL21" s="5260">
        <v>28</v>
      </c>
      <c r="AM21" s="5260">
        <v>28</v>
      </c>
      <c r="AN21" s="5260">
        <v>28</v>
      </c>
      <c r="AO21" s="5260">
        <v>29</v>
      </c>
      <c r="AP21" s="5260">
        <v>29</v>
      </c>
      <c r="AQ21" s="5260">
        <v>29</v>
      </c>
      <c r="AR21" s="5260">
        <v>30</v>
      </c>
      <c r="AS21" s="5260">
        <v>30</v>
      </c>
      <c r="AT21" s="5260">
        <f t="shared" si="10"/>
        <v>30</v>
      </c>
      <c r="AU21" s="5261">
        <f t="shared" si="11"/>
        <v>28.666666666666668</v>
      </c>
      <c r="AV21" s="559" t="b">
        <v>1</v>
      </c>
      <c r="AW21" s="5262">
        <v>29</v>
      </c>
      <c r="AX21" s="5260">
        <v>29</v>
      </c>
      <c r="AY21" s="5260">
        <v>28</v>
      </c>
      <c r="AZ21" s="5260">
        <v>28</v>
      </c>
      <c r="BA21" s="5260">
        <v>28</v>
      </c>
      <c r="BB21" s="5260">
        <v>27</v>
      </c>
      <c r="BC21" s="5260">
        <v>27</v>
      </c>
      <c r="BD21" s="5260">
        <v>27</v>
      </c>
      <c r="BE21" s="5260">
        <v>27</v>
      </c>
      <c r="BF21" s="5260">
        <v>27</v>
      </c>
      <c r="BG21" s="5260">
        <v>27</v>
      </c>
      <c r="BH21" s="5260">
        <v>27</v>
      </c>
      <c r="BI21" s="5260">
        <f t="shared" si="12"/>
        <v>331</v>
      </c>
      <c r="BJ21" s="5261">
        <f t="shared" si="13"/>
        <v>27.583333333333332</v>
      </c>
      <c r="BK21" s="559" t="b">
        <v>1</v>
      </c>
      <c r="BL21" s="5262">
        <v>27</v>
      </c>
      <c r="BM21" s="5260">
        <v>27</v>
      </c>
      <c r="BN21" s="5260"/>
      <c r="BO21" s="5260"/>
      <c r="BP21" s="5260"/>
      <c r="BQ21" s="5260"/>
      <c r="BR21" s="5260"/>
      <c r="BS21" s="5260"/>
      <c r="BT21" s="5260"/>
      <c r="BU21" s="5260"/>
      <c r="BV21" s="5260"/>
      <c r="BW21" s="5260"/>
      <c r="BX21" s="5260">
        <f t="shared" si="14"/>
        <v>54</v>
      </c>
      <c r="BY21" s="5261">
        <f t="shared" si="3"/>
        <v>27</v>
      </c>
      <c r="CA21" s="169">
        <f t="shared" si="4"/>
        <v>-2</v>
      </c>
      <c r="CB21" s="169">
        <f t="shared" si="15"/>
        <v>-1.0833333333333357</v>
      </c>
      <c r="CC21" s="169">
        <f>IFERROR(
  SUM(
    _xlfn.XLOOKUP(DATE(YEAR($A$1),1,1),$2:$2,21:21):
    _xlfn.XLOOKUP($A$1,$2:$2,21:21)
  )
 -SUM(
    _xlfn.XLOOKUP(DATE(YEAR($A$1)-1,1,1),$2:$2,21:21):
    _xlfn.XLOOKUP(EDATE($A$1,-12),$2:$2,21:21)
  ),"")</f>
        <v>-4</v>
      </c>
      <c r="CD21" s="4517">
        <f t="shared" si="5"/>
        <v>0</v>
      </c>
    </row>
    <row r="22" spans="1:82" ht="18" thickBot="1" x14ac:dyDescent="0.6">
      <c r="A22" s="7387"/>
      <c r="B22" s="5268"/>
      <c r="C22" s="5269" t="s">
        <v>220</v>
      </c>
      <c r="D22" s="5270">
        <v>29</v>
      </c>
      <c r="E22" s="5271">
        <v>29</v>
      </c>
      <c r="F22" s="5271">
        <v>29</v>
      </c>
      <c r="G22" s="5271">
        <v>29</v>
      </c>
      <c r="H22" s="5271">
        <v>29</v>
      </c>
      <c r="I22" s="5271">
        <v>27</v>
      </c>
      <c r="J22" s="5271">
        <v>28</v>
      </c>
      <c r="K22" s="5271">
        <v>28</v>
      </c>
      <c r="L22" s="5271">
        <v>28</v>
      </c>
      <c r="M22" s="5271">
        <v>28</v>
      </c>
      <c r="N22" s="5271">
        <v>28</v>
      </c>
      <c r="O22" s="5271">
        <v>28</v>
      </c>
      <c r="P22" s="5271">
        <f t="shared" si="6"/>
        <v>28.333333333333332</v>
      </c>
      <c r="Q22" s="5272">
        <f t="shared" si="7"/>
        <v>28.333333333333332</v>
      </c>
      <c r="R22" s="2776"/>
      <c r="S22" s="5270">
        <v>29</v>
      </c>
      <c r="T22" s="5271">
        <v>29</v>
      </c>
      <c r="U22" s="5271">
        <v>29</v>
      </c>
      <c r="V22" s="5271">
        <v>28</v>
      </c>
      <c r="W22" s="5271">
        <v>28</v>
      </c>
      <c r="X22" s="5271">
        <v>28</v>
      </c>
      <c r="Y22" s="5271">
        <v>28</v>
      </c>
      <c r="Z22" s="5271">
        <v>28</v>
      </c>
      <c r="AA22" s="5271">
        <v>28</v>
      </c>
      <c r="AB22" s="5271">
        <v>27</v>
      </c>
      <c r="AC22" s="5271">
        <v>28</v>
      </c>
      <c r="AD22" s="5271">
        <v>28</v>
      </c>
      <c r="AE22" s="5271">
        <f t="shared" si="8"/>
        <v>338</v>
      </c>
      <c r="AF22" s="5272">
        <f t="shared" si="9"/>
        <v>28.166666666666668</v>
      </c>
      <c r="AG22" s="2776"/>
      <c r="AH22" s="5270">
        <v>28</v>
      </c>
      <c r="AI22" s="5271">
        <v>28</v>
      </c>
      <c r="AJ22" s="5271">
        <v>28</v>
      </c>
      <c r="AK22" s="5271">
        <v>29</v>
      </c>
      <c r="AL22" s="5271">
        <v>29</v>
      </c>
      <c r="AM22" s="5271">
        <v>30</v>
      </c>
      <c r="AN22" s="5271">
        <v>30</v>
      </c>
      <c r="AO22" s="5271">
        <v>30</v>
      </c>
      <c r="AP22" s="5271">
        <v>30</v>
      </c>
      <c r="AQ22" s="5271">
        <v>30</v>
      </c>
      <c r="AR22" s="5271">
        <v>30</v>
      </c>
      <c r="AS22" s="5271">
        <v>29</v>
      </c>
      <c r="AT22" s="5271">
        <f t="shared" si="10"/>
        <v>29</v>
      </c>
      <c r="AU22" s="5272">
        <f t="shared" si="11"/>
        <v>29.25</v>
      </c>
      <c r="AV22" s="559" t="b">
        <v>1</v>
      </c>
      <c r="AW22" s="5273">
        <v>29</v>
      </c>
      <c r="AX22" s="5271">
        <v>29</v>
      </c>
      <c r="AY22" s="5271">
        <v>29</v>
      </c>
      <c r="AZ22" s="5271">
        <v>27</v>
      </c>
      <c r="BA22" s="5271">
        <v>27</v>
      </c>
      <c r="BB22" s="5271">
        <v>27</v>
      </c>
      <c r="BC22" s="5271">
        <v>27</v>
      </c>
      <c r="BD22" s="5271">
        <v>27</v>
      </c>
      <c r="BE22" s="5271">
        <v>27</v>
      </c>
      <c r="BF22" s="5271">
        <v>26</v>
      </c>
      <c r="BG22" s="5271">
        <v>27</v>
      </c>
      <c r="BH22" s="5271">
        <v>27</v>
      </c>
      <c r="BI22" s="5271">
        <f t="shared" si="12"/>
        <v>329</v>
      </c>
      <c r="BJ22" s="5272">
        <f t="shared" si="13"/>
        <v>27.416666666666668</v>
      </c>
      <c r="BK22" s="559" t="b">
        <v>1</v>
      </c>
      <c r="BL22" s="5273">
        <v>27</v>
      </c>
      <c r="BM22" s="5271">
        <v>27</v>
      </c>
      <c r="BN22" s="5271"/>
      <c r="BO22" s="5271"/>
      <c r="BP22" s="5271"/>
      <c r="BQ22" s="5271"/>
      <c r="BR22" s="5271"/>
      <c r="BS22" s="5271"/>
      <c r="BT22" s="5271"/>
      <c r="BU22" s="5271"/>
      <c r="BV22" s="5271"/>
      <c r="BW22" s="5271"/>
      <c r="BX22" s="5271">
        <f t="shared" si="14"/>
        <v>54</v>
      </c>
      <c r="BY22" s="5272">
        <f t="shared" si="3"/>
        <v>27</v>
      </c>
      <c r="CA22" s="169">
        <f t="shared" si="4"/>
        <v>-2</v>
      </c>
      <c r="CB22" s="169">
        <f t="shared" si="15"/>
        <v>-1.8333333333333321</v>
      </c>
      <c r="CC22" s="169">
        <f>IFERROR(
  SUM(
    _xlfn.XLOOKUP(DATE(YEAR($A$1),1,1),$2:$2,22:22):
    _xlfn.XLOOKUP($A$1,$2:$2,22:22)
  )
 -SUM(
    _xlfn.XLOOKUP(DATE(YEAR($A$1)-1,1,1),$2:$2,22:22):
    _xlfn.XLOOKUP(EDATE($A$1,-12),$2:$2,22:22)
  ),"")</f>
        <v>-4</v>
      </c>
      <c r="CD22" s="4517">
        <f t="shared" si="5"/>
        <v>0</v>
      </c>
    </row>
    <row r="23" spans="1:82" ht="17.600000000000001" x14ac:dyDescent="0.55000000000000004">
      <c r="A23" s="7382" t="s">
        <v>234</v>
      </c>
      <c r="B23" s="857" t="s">
        <v>242</v>
      </c>
      <c r="C23" s="858"/>
      <c r="D23" s="5236">
        <f t="shared" ref="D23:O23" si="31">SUM(D24:D26)</f>
        <v>1</v>
      </c>
      <c r="E23" s="5237">
        <f t="shared" si="31"/>
        <v>3</v>
      </c>
      <c r="F23" s="5237">
        <f t="shared" si="31"/>
        <v>1</v>
      </c>
      <c r="G23" s="5237">
        <f t="shared" si="31"/>
        <v>5</v>
      </c>
      <c r="H23" s="5237">
        <f t="shared" si="31"/>
        <v>1</v>
      </c>
      <c r="I23" s="5237">
        <f t="shared" si="31"/>
        <v>1</v>
      </c>
      <c r="J23" s="5237">
        <f t="shared" si="31"/>
        <v>6</v>
      </c>
      <c r="K23" s="5237">
        <f t="shared" si="31"/>
        <v>2</v>
      </c>
      <c r="L23" s="5237">
        <f t="shared" si="31"/>
        <v>1</v>
      </c>
      <c r="M23" s="5237">
        <f t="shared" si="31"/>
        <v>0</v>
      </c>
      <c r="N23" s="5237">
        <f t="shared" si="31"/>
        <v>0</v>
      </c>
      <c r="O23" s="5237">
        <f t="shared" si="31"/>
        <v>0</v>
      </c>
      <c r="P23" s="5237">
        <f t="shared" si="6"/>
        <v>1.75</v>
      </c>
      <c r="Q23" s="5238">
        <f t="shared" si="7"/>
        <v>1.75</v>
      </c>
      <c r="R23" s="2776"/>
      <c r="S23" s="5236">
        <f t="shared" ref="S23:AD23" si="32">SUM(S24:S26)</f>
        <v>4</v>
      </c>
      <c r="T23" s="5237">
        <f t="shared" si="32"/>
        <v>0</v>
      </c>
      <c r="U23" s="5237">
        <f t="shared" si="32"/>
        <v>0</v>
      </c>
      <c r="V23" s="5237">
        <f t="shared" si="32"/>
        <v>5</v>
      </c>
      <c r="W23" s="5237">
        <f t="shared" si="32"/>
        <v>1</v>
      </c>
      <c r="X23" s="5237">
        <f t="shared" si="32"/>
        <v>0</v>
      </c>
      <c r="Y23" s="5237">
        <f t="shared" si="32"/>
        <v>3</v>
      </c>
      <c r="Z23" s="5237">
        <f t="shared" si="32"/>
        <v>0</v>
      </c>
      <c r="AA23" s="5237">
        <f t="shared" si="32"/>
        <v>1</v>
      </c>
      <c r="AB23" s="5237">
        <f t="shared" si="32"/>
        <v>0</v>
      </c>
      <c r="AC23" s="5237">
        <f t="shared" si="32"/>
        <v>2</v>
      </c>
      <c r="AD23" s="5237">
        <f t="shared" si="32"/>
        <v>1</v>
      </c>
      <c r="AE23" s="5237">
        <f>SUM(S23:AD23)</f>
        <v>17</v>
      </c>
      <c r="AF23" s="5238">
        <f>AE23/12</f>
        <v>1.4166666666666667</v>
      </c>
      <c r="AG23" s="2776"/>
      <c r="AH23" s="5236">
        <f t="shared" ref="AH23:AM23" si="33">SUM(AH24:AH26)</f>
        <v>3</v>
      </c>
      <c r="AI23" s="5237">
        <f t="shared" si="33"/>
        <v>0</v>
      </c>
      <c r="AJ23" s="5237">
        <f t="shared" si="33"/>
        <v>10</v>
      </c>
      <c r="AK23" s="5237">
        <f t="shared" si="33"/>
        <v>3</v>
      </c>
      <c r="AL23" s="5237">
        <f t="shared" si="33"/>
        <v>7</v>
      </c>
      <c r="AM23" s="5237">
        <f t="shared" si="33"/>
        <v>4</v>
      </c>
      <c r="AN23" s="5237">
        <v>2</v>
      </c>
      <c r="AO23" s="5237">
        <f>SUM(AO24:AO26)</f>
        <v>2</v>
      </c>
      <c r="AP23" s="5237">
        <f>SUM(AP24:AP26)</f>
        <v>1</v>
      </c>
      <c r="AQ23" s="5237">
        <f>SUM(AQ24:AQ26)</f>
        <v>1</v>
      </c>
      <c r="AR23" s="5237">
        <f>SUM(AR24:AR26)</f>
        <v>2</v>
      </c>
      <c r="AS23" s="5237">
        <v>4</v>
      </c>
      <c r="AT23" s="5237">
        <f>SUM(AH23:AS23)</f>
        <v>39</v>
      </c>
      <c r="AU23" s="5238">
        <f t="shared" si="11"/>
        <v>3.25</v>
      </c>
      <c r="AV23" s="559" t="b">
        <v>1</v>
      </c>
      <c r="AW23" s="5239">
        <v>0</v>
      </c>
      <c r="AX23" s="5237">
        <v>0</v>
      </c>
      <c r="AY23" s="5237">
        <v>0</v>
      </c>
      <c r="AZ23" s="5237">
        <v>0</v>
      </c>
      <c r="BA23" s="5237">
        <v>0</v>
      </c>
      <c r="BB23" s="5237">
        <v>0</v>
      </c>
      <c r="BC23" s="5237">
        <v>2</v>
      </c>
      <c r="BD23" s="5237">
        <v>0</v>
      </c>
      <c r="BE23" s="5237">
        <v>1</v>
      </c>
      <c r="BF23" s="5237">
        <v>0</v>
      </c>
      <c r="BG23" s="5237">
        <v>1</v>
      </c>
      <c r="BH23" s="5237">
        <v>1</v>
      </c>
      <c r="BI23" s="5237">
        <f>SUM(AW23:BH23)</f>
        <v>5</v>
      </c>
      <c r="BJ23" s="5238">
        <f t="shared" si="13"/>
        <v>0.41666666666666669</v>
      </c>
      <c r="BK23" s="559" t="b">
        <v>1</v>
      </c>
      <c r="BL23" s="5239">
        <v>2</v>
      </c>
      <c r="BM23" s="5237">
        <v>1</v>
      </c>
      <c r="BN23" s="5237"/>
      <c r="BO23" s="5237"/>
      <c r="BP23" s="5237"/>
      <c r="BQ23" s="5237"/>
      <c r="BR23" s="5237"/>
      <c r="BS23" s="5237"/>
      <c r="BT23" s="5237"/>
      <c r="BU23" s="5237"/>
      <c r="BV23" s="5237"/>
      <c r="BW23" s="5237"/>
      <c r="BX23" s="5237">
        <f>SUM(BL23:BW23)</f>
        <v>3</v>
      </c>
      <c r="BY23" s="5238">
        <f t="shared" si="3"/>
        <v>1.5</v>
      </c>
      <c r="CA23" s="169">
        <f t="shared" si="4"/>
        <v>1</v>
      </c>
      <c r="CB23" s="169">
        <f t="shared" si="15"/>
        <v>-2.8333333333333335</v>
      </c>
      <c r="CC23" s="169">
        <f>IFERROR(
  SUM(
    _xlfn.XLOOKUP(DATE(YEAR($A$1),1,1),$2:$2,23:23):
    _xlfn.XLOOKUP($A$1,$2:$2,23:23)
  )
 -SUM(
    _xlfn.XLOOKUP(DATE(YEAR($A$1)-1,1,1),$2:$2,23:23):
    _xlfn.XLOOKUP(EDATE($A$1,-12),$2:$2,23:23)
  ),"")</f>
        <v>3</v>
      </c>
      <c r="CD23" s="4517">
        <f t="shared" si="5"/>
        <v>-1</v>
      </c>
    </row>
    <row r="24" spans="1:82" ht="17.600000000000001" x14ac:dyDescent="0.55000000000000004">
      <c r="A24" s="7383"/>
      <c r="B24" s="1168"/>
      <c r="C24" s="1534" t="s">
        <v>243</v>
      </c>
      <c r="D24" s="5240">
        <v>0</v>
      </c>
      <c r="E24" s="4451">
        <v>0</v>
      </c>
      <c r="F24" s="4451">
        <v>0</v>
      </c>
      <c r="G24" s="4451">
        <v>0</v>
      </c>
      <c r="H24" s="4451">
        <v>0</v>
      </c>
      <c r="I24" s="4451">
        <v>0</v>
      </c>
      <c r="J24" s="4451">
        <v>0</v>
      </c>
      <c r="K24" s="4451">
        <v>0</v>
      </c>
      <c r="L24" s="4451">
        <v>0</v>
      </c>
      <c r="M24" s="4451">
        <v>0</v>
      </c>
      <c r="N24" s="4451">
        <v>0</v>
      </c>
      <c r="O24" s="4451">
        <v>0</v>
      </c>
      <c r="P24" s="4451">
        <f t="shared" si="6"/>
        <v>0</v>
      </c>
      <c r="Q24" s="5241">
        <f t="shared" si="7"/>
        <v>0</v>
      </c>
      <c r="R24" s="2776"/>
      <c r="S24" s="5240">
        <v>0</v>
      </c>
      <c r="T24" s="4451">
        <v>0</v>
      </c>
      <c r="U24" s="4451">
        <v>0</v>
      </c>
      <c r="V24" s="4451">
        <v>0</v>
      </c>
      <c r="W24" s="4451">
        <v>0</v>
      </c>
      <c r="X24" s="4451">
        <v>0</v>
      </c>
      <c r="Y24" s="4451">
        <v>0</v>
      </c>
      <c r="Z24" s="4451">
        <v>0</v>
      </c>
      <c r="AA24" s="4451">
        <v>0</v>
      </c>
      <c r="AB24" s="4451">
        <v>0</v>
      </c>
      <c r="AC24" s="4451">
        <v>0</v>
      </c>
      <c r="AD24" s="4451">
        <v>0</v>
      </c>
      <c r="AE24" s="4451">
        <f t="shared" ref="AE24:AE41" si="34">SUM(S24:AD24)</f>
        <v>0</v>
      </c>
      <c r="AF24" s="5241">
        <f t="shared" ref="AF24:AF41" si="35">AE24/12</f>
        <v>0</v>
      </c>
      <c r="AG24" s="2776"/>
      <c r="AH24" s="5240">
        <v>0</v>
      </c>
      <c r="AI24" s="4451">
        <v>0</v>
      </c>
      <c r="AJ24" s="4451">
        <v>0</v>
      </c>
      <c r="AK24" s="4451">
        <v>0</v>
      </c>
      <c r="AL24" s="4451">
        <v>0</v>
      </c>
      <c r="AM24" s="4451">
        <v>0</v>
      </c>
      <c r="AN24" s="4451">
        <v>0</v>
      </c>
      <c r="AO24" s="4451">
        <v>0</v>
      </c>
      <c r="AP24" s="4451">
        <v>0</v>
      </c>
      <c r="AQ24" s="4451">
        <v>0</v>
      </c>
      <c r="AR24" s="4451">
        <v>0</v>
      </c>
      <c r="AS24" s="4451">
        <v>0</v>
      </c>
      <c r="AT24" s="4451">
        <f t="shared" ref="AT24:AT87" si="36">SUM(AH24:AS24)</f>
        <v>0</v>
      </c>
      <c r="AU24" s="5241">
        <f t="shared" si="11"/>
        <v>0</v>
      </c>
      <c r="AV24" s="559" t="b">
        <v>1</v>
      </c>
      <c r="AW24" s="5242">
        <v>0</v>
      </c>
      <c r="AX24" s="4451">
        <v>0</v>
      </c>
      <c r="AY24" s="4451">
        <v>0</v>
      </c>
      <c r="AZ24" s="4451">
        <v>0</v>
      </c>
      <c r="BA24" s="4451">
        <v>0</v>
      </c>
      <c r="BB24" s="4451">
        <v>0</v>
      </c>
      <c r="BC24" s="4451">
        <v>0</v>
      </c>
      <c r="BD24" s="4451">
        <v>0</v>
      </c>
      <c r="BE24" s="4451">
        <v>0</v>
      </c>
      <c r="BF24" s="4451">
        <v>0</v>
      </c>
      <c r="BG24" s="4451">
        <v>0</v>
      </c>
      <c r="BH24" s="4451"/>
      <c r="BI24" s="4451">
        <f t="shared" ref="BI24:BI41" si="37">SUM(AW24:BH24)</f>
        <v>0</v>
      </c>
      <c r="BJ24" s="5241">
        <f t="shared" si="13"/>
        <v>0</v>
      </c>
      <c r="BK24" s="559" t="b">
        <v>1</v>
      </c>
      <c r="BL24" s="5242">
        <v>0</v>
      </c>
      <c r="BM24" s="4451">
        <v>0</v>
      </c>
      <c r="BN24" s="4451"/>
      <c r="BO24" s="4451"/>
      <c r="BP24" s="4451"/>
      <c r="BQ24" s="4451"/>
      <c r="BR24" s="4451"/>
      <c r="BS24" s="4451"/>
      <c r="BT24" s="4451"/>
      <c r="BU24" s="4451"/>
      <c r="BV24" s="4451"/>
      <c r="BW24" s="4451"/>
      <c r="BX24" s="4451">
        <f t="shared" ref="BX24:BX41" si="38">SUM(BL24:BW24)</f>
        <v>0</v>
      </c>
      <c r="BY24" s="5241">
        <f t="shared" si="3"/>
        <v>0</v>
      </c>
      <c r="CA24" s="169">
        <f t="shared" si="4"/>
        <v>0</v>
      </c>
      <c r="CB24" s="169">
        <f t="shared" si="15"/>
        <v>0</v>
      </c>
      <c r="CC24" s="169">
        <f>IFERROR(
  SUM(
    _xlfn.XLOOKUP(DATE(YEAR($A$1),1,1),$2:$2,24:24):
    _xlfn.XLOOKUP($A$1,$2:$2,24:24)
  )
 -SUM(
    _xlfn.XLOOKUP(DATE(YEAR($A$1)-1,1,1),$2:$2,24:24):
    _xlfn.XLOOKUP(EDATE($A$1,-12),$2:$2,24:24)
  ),"")</f>
        <v>0</v>
      </c>
      <c r="CD24" s="4517">
        <f t="shared" si="5"/>
        <v>0</v>
      </c>
    </row>
    <row r="25" spans="1:82" ht="17.600000000000001" x14ac:dyDescent="0.55000000000000004">
      <c r="A25" s="7383"/>
      <c r="B25" s="1168"/>
      <c r="C25" s="1534" t="s">
        <v>245</v>
      </c>
      <c r="D25" s="5240">
        <v>1</v>
      </c>
      <c r="E25" s="4451">
        <v>3</v>
      </c>
      <c r="F25" s="4451">
        <v>1</v>
      </c>
      <c r="G25" s="4451">
        <v>5</v>
      </c>
      <c r="H25" s="4451">
        <v>1</v>
      </c>
      <c r="I25" s="4451">
        <v>1</v>
      </c>
      <c r="J25" s="4451">
        <v>6</v>
      </c>
      <c r="K25" s="4451">
        <v>2</v>
      </c>
      <c r="L25" s="4451">
        <v>1</v>
      </c>
      <c r="M25" s="4451">
        <v>0</v>
      </c>
      <c r="N25" s="4451">
        <v>0</v>
      </c>
      <c r="O25" s="4451">
        <v>0</v>
      </c>
      <c r="P25" s="4451">
        <f t="shared" si="6"/>
        <v>1.75</v>
      </c>
      <c r="Q25" s="5241">
        <f t="shared" si="7"/>
        <v>1.75</v>
      </c>
      <c r="R25" s="2776"/>
      <c r="S25" s="5240">
        <v>4</v>
      </c>
      <c r="T25" s="4451">
        <v>0</v>
      </c>
      <c r="U25" s="4451">
        <v>0</v>
      </c>
      <c r="V25" s="4451">
        <v>5</v>
      </c>
      <c r="W25" s="4451">
        <v>1</v>
      </c>
      <c r="X25" s="4451">
        <v>0</v>
      </c>
      <c r="Y25" s="4451">
        <v>3</v>
      </c>
      <c r="Z25" s="4451">
        <v>0</v>
      </c>
      <c r="AA25" s="4451">
        <v>1</v>
      </c>
      <c r="AB25" s="4451">
        <v>0</v>
      </c>
      <c r="AC25" s="4451">
        <v>2</v>
      </c>
      <c r="AD25" s="4451">
        <v>1</v>
      </c>
      <c r="AE25" s="4451">
        <f t="shared" si="34"/>
        <v>17</v>
      </c>
      <c r="AF25" s="5241">
        <f t="shared" si="35"/>
        <v>1.4166666666666667</v>
      </c>
      <c r="AG25" s="2776"/>
      <c r="AH25" s="5240">
        <v>3</v>
      </c>
      <c r="AI25" s="4451">
        <v>0</v>
      </c>
      <c r="AJ25" s="4451">
        <v>10</v>
      </c>
      <c r="AK25" s="4451">
        <v>3</v>
      </c>
      <c r="AL25" s="4451">
        <v>7</v>
      </c>
      <c r="AM25" s="4451">
        <v>4</v>
      </c>
      <c r="AN25" s="4451">
        <v>2</v>
      </c>
      <c r="AO25" s="4451">
        <v>2</v>
      </c>
      <c r="AP25" s="4451">
        <v>1</v>
      </c>
      <c r="AQ25" s="4451">
        <v>1</v>
      </c>
      <c r="AR25" s="4451">
        <v>2</v>
      </c>
      <c r="AS25" s="4451">
        <v>4</v>
      </c>
      <c r="AT25" s="4451">
        <f t="shared" si="36"/>
        <v>39</v>
      </c>
      <c r="AU25" s="5241">
        <f t="shared" si="11"/>
        <v>3.25</v>
      </c>
      <c r="AV25" s="559" t="b">
        <v>1</v>
      </c>
      <c r="AW25" s="5242">
        <v>0</v>
      </c>
      <c r="AX25" s="4451">
        <v>0</v>
      </c>
      <c r="AY25" s="4451">
        <v>0</v>
      </c>
      <c r="AZ25" s="4451">
        <v>0</v>
      </c>
      <c r="BA25" s="4451">
        <v>0</v>
      </c>
      <c r="BB25" s="4451">
        <v>0</v>
      </c>
      <c r="BC25" s="4451">
        <v>2</v>
      </c>
      <c r="BD25" s="4451">
        <v>0</v>
      </c>
      <c r="BE25" s="4451">
        <v>0</v>
      </c>
      <c r="BF25" s="4451">
        <v>0</v>
      </c>
      <c r="BG25" s="4451">
        <v>1</v>
      </c>
      <c r="BH25" s="4451">
        <v>1</v>
      </c>
      <c r="BI25" s="4451">
        <f t="shared" si="37"/>
        <v>4</v>
      </c>
      <c r="BJ25" s="5241">
        <f t="shared" si="13"/>
        <v>0.33333333333333331</v>
      </c>
      <c r="BK25" s="559" t="b">
        <v>1</v>
      </c>
      <c r="BL25" s="5242">
        <v>2</v>
      </c>
      <c r="BM25" s="4451">
        <v>1</v>
      </c>
      <c r="BN25" s="4451"/>
      <c r="BO25" s="4451"/>
      <c r="BP25" s="4451"/>
      <c r="BQ25" s="4451"/>
      <c r="BR25" s="4451"/>
      <c r="BS25" s="4451"/>
      <c r="BT25" s="4451"/>
      <c r="BU25" s="4451"/>
      <c r="BV25" s="4451"/>
      <c r="BW25" s="4451"/>
      <c r="BX25" s="4451">
        <f t="shared" si="38"/>
        <v>3</v>
      </c>
      <c r="BY25" s="5241">
        <f t="shared" si="3"/>
        <v>1.5</v>
      </c>
      <c r="CA25" s="169">
        <f t="shared" si="4"/>
        <v>1</v>
      </c>
      <c r="CB25" s="169">
        <f t="shared" si="15"/>
        <v>-2.9166666666666665</v>
      </c>
      <c r="CC25" s="169">
        <f>IFERROR(
  SUM(
    _xlfn.XLOOKUP(DATE(YEAR($A$1),1,1),$2:$2,25:25):
    _xlfn.XLOOKUP($A$1,$2:$2,25:25)
  )
 -SUM(
    _xlfn.XLOOKUP(DATE(YEAR($A$1)-1,1,1),$2:$2,25:25):
    _xlfn.XLOOKUP(EDATE($A$1,-12),$2:$2,25:25)
  ),"")</f>
        <v>3</v>
      </c>
      <c r="CD25" s="4517">
        <f t="shared" si="5"/>
        <v>-1</v>
      </c>
    </row>
    <row r="26" spans="1:82" ht="17.600000000000001" x14ac:dyDescent="0.55000000000000004">
      <c r="A26" s="7383"/>
      <c r="B26" s="1168"/>
      <c r="C26" s="1534" t="s">
        <v>244</v>
      </c>
      <c r="D26" s="5240">
        <v>0</v>
      </c>
      <c r="E26" s="4451">
        <v>0</v>
      </c>
      <c r="F26" s="4451">
        <v>0</v>
      </c>
      <c r="G26" s="4451">
        <v>0</v>
      </c>
      <c r="H26" s="4451">
        <v>0</v>
      </c>
      <c r="I26" s="4451">
        <v>0</v>
      </c>
      <c r="J26" s="4451">
        <v>0</v>
      </c>
      <c r="K26" s="4451">
        <v>0</v>
      </c>
      <c r="L26" s="4451">
        <v>0</v>
      </c>
      <c r="M26" s="4451">
        <v>0</v>
      </c>
      <c r="N26" s="4451">
        <v>0</v>
      </c>
      <c r="O26" s="4451">
        <v>0</v>
      </c>
      <c r="P26" s="4451">
        <f t="shared" si="6"/>
        <v>0</v>
      </c>
      <c r="Q26" s="5241">
        <f t="shared" si="7"/>
        <v>0</v>
      </c>
      <c r="R26" s="2776"/>
      <c r="S26" s="5240">
        <v>0</v>
      </c>
      <c r="T26" s="4451">
        <v>0</v>
      </c>
      <c r="U26" s="4451">
        <v>0</v>
      </c>
      <c r="V26" s="4451">
        <v>0</v>
      </c>
      <c r="W26" s="4451">
        <v>0</v>
      </c>
      <c r="X26" s="4451">
        <v>0</v>
      </c>
      <c r="Y26" s="4451">
        <v>0</v>
      </c>
      <c r="Z26" s="4451">
        <v>0</v>
      </c>
      <c r="AA26" s="4451">
        <v>0</v>
      </c>
      <c r="AB26" s="4451">
        <v>0</v>
      </c>
      <c r="AC26" s="4451">
        <v>0</v>
      </c>
      <c r="AD26" s="4451">
        <v>0</v>
      </c>
      <c r="AE26" s="4451">
        <f t="shared" si="34"/>
        <v>0</v>
      </c>
      <c r="AF26" s="5241">
        <f t="shared" si="35"/>
        <v>0</v>
      </c>
      <c r="AG26" s="2776"/>
      <c r="AH26" s="5240">
        <v>0</v>
      </c>
      <c r="AI26" s="4451">
        <v>0</v>
      </c>
      <c r="AJ26" s="4451">
        <v>0</v>
      </c>
      <c r="AK26" s="4451">
        <v>0</v>
      </c>
      <c r="AL26" s="4451">
        <v>0</v>
      </c>
      <c r="AM26" s="4451">
        <v>0</v>
      </c>
      <c r="AN26" s="4451">
        <v>0</v>
      </c>
      <c r="AO26" s="4451"/>
      <c r="AP26" s="4451">
        <v>0</v>
      </c>
      <c r="AQ26" s="4451">
        <v>0</v>
      </c>
      <c r="AR26" s="4451">
        <v>0</v>
      </c>
      <c r="AS26" s="4451">
        <v>0</v>
      </c>
      <c r="AT26" s="4451">
        <f t="shared" si="36"/>
        <v>0</v>
      </c>
      <c r="AU26" s="5241">
        <f t="shared" si="11"/>
        <v>0</v>
      </c>
      <c r="AV26" s="559" t="b">
        <v>1</v>
      </c>
      <c r="AW26" s="5242">
        <v>0</v>
      </c>
      <c r="AX26" s="4451">
        <v>0</v>
      </c>
      <c r="AY26" s="4451">
        <v>0</v>
      </c>
      <c r="AZ26" s="4451">
        <v>0</v>
      </c>
      <c r="BA26" s="4451">
        <v>0</v>
      </c>
      <c r="BB26" s="4451">
        <v>0</v>
      </c>
      <c r="BC26" s="4451">
        <v>0</v>
      </c>
      <c r="BD26" s="4451">
        <v>0</v>
      </c>
      <c r="BE26" s="4451">
        <v>1</v>
      </c>
      <c r="BF26" s="4451">
        <v>0</v>
      </c>
      <c r="BG26" s="4451">
        <v>0</v>
      </c>
      <c r="BH26" s="4451"/>
      <c r="BI26" s="4451">
        <f t="shared" si="37"/>
        <v>1</v>
      </c>
      <c r="BJ26" s="5241">
        <f t="shared" si="13"/>
        <v>9.0909090909090912E-2</v>
      </c>
      <c r="BK26" s="559" t="b">
        <v>1</v>
      </c>
      <c r="BL26" s="5242">
        <v>0</v>
      </c>
      <c r="BM26" s="4451">
        <v>0</v>
      </c>
      <c r="BN26" s="4451"/>
      <c r="BO26" s="4451"/>
      <c r="BP26" s="4451"/>
      <c r="BQ26" s="4451"/>
      <c r="BR26" s="4451"/>
      <c r="BS26" s="4451"/>
      <c r="BT26" s="4451"/>
      <c r="BU26" s="4451"/>
      <c r="BV26" s="4451"/>
      <c r="BW26" s="4451"/>
      <c r="BX26" s="4451">
        <f t="shared" si="38"/>
        <v>0</v>
      </c>
      <c r="BY26" s="5241">
        <f t="shared" si="3"/>
        <v>0</v>
      </c>
      <c r="CA26" s="169">
        <f t="shared" si="4"/>
        <v>0</v>
      </c>
      <c r="CB26" s="169">
        <f t="shared" si="15"/>
        <v>9.0909090909090912E-2</v>
      </c>
      <c r="CC26" s="169">
        <f>IFERROR(
  SUM(
    _xlfn.XLOOKUP(DATE(YEAR($A$1),1,1),$2:$2,26:26):
    _xlfn.XLOOKUP($A$1,$2:$2,26:26)
  )
 -SUM(
    _xlfn.XLOOKUP(DATE(YEAR($A$1)-1,1,1),$2:$2,26:26):
    _xlfn.XLOOKUP(EDATE($A$1,-12),$2:$2,26:26)
  ),"")</f>
        <v>0</v>
      </c>
      <c r="CD26" s="4517">
        <f t="shared" si="5"/>
        <v>0</v>
      </c>
    </row>
    <row r="27" spans="1:82" ht="17.600000000000001" x14ac:dyDescent="0.55000000000000004">
      <c r="A27" s="7383"/>
      <c r="B27" s="2034" t="s">
        <v>206</v>
      </c>
      <c r="C27" s="1900"/>
      <c r="D27" s="5243">
        <f>D32+D33</f>
        <v>0</v>
      </c>
      <c r="E27" s="4414">
        <f t="shared" ref="E27:O27" si="39">E32+E33</f>
        <v>1</v>
      </c>
      <c r="F27" s="4414">
        <f t="shared" si="39"/>
        <v>0</v>
      </c>
      <c r="G27" s="4414">
        <f t="shared" si="39"/>
        <v>2</v>
      </c>
      <c r="H27" s="4414">
        <f t="shared" si="39"/>
        <v>0</v>
      </c>
      <c r="I27" s="4414">
        <f t="shared" si="39"/>
        <v>0</v>
      </c>
      <c r="J27" s="4414">
        <f t="shared" si="39"/>
        <v>3</v>
      </c>
      <c r="K27" s="4414">
        <f t="shared" si="39"/>
        <v>1</v>
      </c>
      <c r="L27" s="4414">
        <f t="shared" si="39"/>
        <v>0</v>
      </c>
      <c r="M27" s="4414">
        <f t="shared" si="39"/>
        <v>0</v>
      </c>
      <c r="N27" s="4414">
        <f t="shared" si="39"/>
        <v>0</v>
      </c>
      <c r="O27" s="4414">
        <f t="shared" si="39"/>
        <v>0</v>
      </c>
      <c r="P27" s="4414">
        <f t="shared" si="6"/>
        <v>0.58333333333333337</v>
      </c>
      <c r="Q27" s="5244">
        <f t="shared" si="7"/>
        <v>0.58333333333333337</v>
      </c>
      <c r="R27" s="2776"/>
      <c r="S27" s="5243">
        <f>S32+S33</f>
        <v>2</v>
      </c>
      <c r="T27" s="4414">
        <f t="shared" ref="T27:AD27" si="40">T32+T33</f>
        <v>0</v>
      </c>
      <c r="U27" s="4414">
        <f t="shared" si="40"/>
        <v>0</v>
      </c>
      <c r="V27" s="4414">
        <f t="shared" si="40"/>
        <v>2</v>
      </c>
      <c r="W27" s="4414">
        <f t="shared" si="40"/>
        <v>0</v>
      </c>
      <c r="X27" s="4414">
        <f t="shared" si="40"/>
        <v>0</v>
      </c>
      <c r="Y27" s="4414">
        <f t="shared" si="40"/>
        <v>3</v>
      </c>
      <c r="Z27" s="4414">
        <f t="shared" si="40"/>
        <v>0</v>
      </c>
      <c r="AA27" s="4414">
        <f t="shared" si="40"/>
        <v>0</v>
      </c>
      <c r="AB27" s="4414">
        <f t="shared" si="40"/>
        <v>0</v>
      </c>
      <c r="AC27" s="4414">
        <f t="shared" si="40"/>
        <v>0</v>
      </c>
      <c r="AD27" s="4414">
        <f t="shared" si="40"/>
        <v>0</v>
      </c>
      <c r="AE27" s="4414">
        <f t="shared" si="34"/>
        <v>7</v>
      </c>
      <c r="AF27" s="5244">
        <f t="shared" si="35"/>
        <v>0.58333333333333337</v>
      </c>
      <c r="AG27" s="2776"/>
      <c r="AH27" s="5243">
        <f t="shared" ref="AH27:AM27" si="41">AH32+AH33</f>
        <v>3</v>
      </c>
      <c r="AI27" s="4414">
        <f t="shared" si="41"/>
        <v>0</v>
      </c>
      <c r="AJ27" s="4414">
        <f t="shared" si="41"/>
        <v>7</v>
      </c>
      <c r="AK27" s="4414">
        <f t="shared" si="41"/>
        <v>0</v>
      </c>
      <c r="AL27" s="4414">
        <f t="shared" si="41"/>
        <v>4</v>
      </c>
      <c r="AM27" s="4414">
        <f t="shared" si="41"/>
        <v>1</v>
      </c>
      <c r="AN27" s="4414">
        <v>0</v>
      </c>
      <c r="AO27" s="4414">
        <f>AO32+AO33</f>
        <v>0</v>
      </c>
      <c r="AP27" s="4414">
        <f>AP32+AP33</f>
        <v>1</v>
      </c>
      <c r="AQ27" s="4414">
        <f>AQ32+AQ33</f>
        <v>1</v>
      </c>
      <c r="AR27" s="4414">
        <v>0</v>
      </c>
      <c r="AS27" s="4414">
        <v>1</v>
      </c>
      <c r="AT27" s="4414">
        <f t="shared" si="36"/>
        <v>18</v>
      </c>
      <c r="AU27" s="5244">
        <f t="shared" si="11"/>
        <v>1.5</v>
      </c>
      <c r="AV27" s="559" t="b">
        <v>1</v>
      </c>
      <c r="AW27" s="5245">
        <v>0</v>
      </c>
      <c r="AX27" s="4414">
        <v>0</v>
      </c>
      <c r="AY27" s="4414">
        <v>0</v>
      </c>
      <c r="AZ27" s="4414">
        <v>0</v>
      </c>
      <c r="BA27" s="4414">
        <v>0</v>
      </c>
      <c r="BB27" s="4414">
        <v>0</v>
      </c>
      <c r="BC27" s="4414">
        <v>0</v>
      </c>
      <c r="BD27" s="4414">
        <v>0</v>
      </c>
      <c r="BE27" s="4414">
        <v>1</v>
      </c>
      <c r="BF27" s="4414">
        <v>0</v>
      </c>
      <c r="BG27" s="4414">
        <v>0</v>
      </c>
      <c r="BH27" s="4414">
        <v>1</v>
      </c>
      <c r="BI27" s="4414">
        <f t="shared" si="37"/>
        <v>2</v>
      </c>
      <c r="BJ27" s="5244">
        <f t="shared" si="13"/>
        <v>0.16666666666666666</v>
      </c>
      <c r="BK27" s="559" t="b">
        <v>1</v>
      </c>
      <c r="BL27" s="5245">
        <v>1</v>
      </c>
      <c r="BM27" s="4414">
        <v>0</v>
      </c>
      <c r="BN27" s="4414"/>
      <c r="BO27" s="4414"/>
      <c r="BP27" s="4414"/>
      <c r="BQ27" s="4414"/>
      <c r="BR27" s="4414"/>
      <c r="BS27" s="4414"/>
      <c r="BT27" s="4414"/>
      <c r="BU27" s="4414"/>
      <c r="BV27" s="4414"/>
      <c r="BW27" s="4414"/>
      <c r="BX27" s="4414">
        <f t="shared" si="38"/>
        <v>1</v>
      </c>
      <c r="BY27" s="5244">
        <f t="shared" si="3"/>
        <v>0.5</v>
      </c>
      <c r="CA27" s="169">
        <f t="shared" si="4"/>
        <v>0</v>
      </c>
      <c r="CB27" s="169">
        <f t="shared" si="15"/>
        <v>-1.3333333333333333</v>
      </c>
      <c r="CC27" s="169">
        <f>IFERROR(
  SUM(
    _xlfn.XLOOKUP(DATE(YEAR($A$1),1,1),$2:$2,27:27):
    _xlfn.XLOOKUP($A$1,$2:$2,27:27)
  )
 -SUM(
    _xlfn.XLOOKUP(DATE(YEAR($A$1)-1,1,1),$2:$2,27:27):
    _xlfn.XLOOKUP(EDATE($A$1,-12),$2:$2,27:27)
  ),"")</f>
        <v>1</v>
      </c>
      <c r="CD27" s="4517">
        <f t="shared" si="5"/>
        <v>-1</v>
      </c>
    </row>
    <row r="28" spans="1:82" ht="17.600000000000001" x14ac:dyDescent="0.55000000000000004">
      <c r="A28" s="7383"/>
      <c r="B28" s="2041" t="s">
        <v>207</v>
      </c>
      <c r="C28" s="1576"/>
      <c r="D28" s="5246">
        <f>D34+D35</f>
        <v>1</v>
      </c>
      <c r="E28" s="2636">
        <f t="shared" ref="E28:O28" si="42">E34+E35</f>
        <v>0</v>
      </c>
      <c r="F28" s="2636">
        <f t="shared" si="42"/>
        <v>0</v>
      </c>
      <c r="G28" s="2636">
        <f t="shared" si="42"/>
        <v>0</v>
      </c>
      <c r="H28" s="2636">
        <f t="shared" si="42"/>
        <v>0</v>
      </c>
      <c r="I28" s="2636">
        <f t="shared" si="42"/>
        <v>0</v>
      </c>
      <c r="J28" s="2636">
        <f t="shared" si="42"/>
        <v>0</v>
      </c>
      <c r="K28" s="2636">
        <f t="shared" si="42"/>
        <v>1</v>
      </c>
      <c r="L28" s="2636">
        <f t="shared" si="42"/>
        <v>0</v>
      </c>
      <c r="M28" s="2636">
        <f t="shared" si="42"/>
        <v>0</v>
      </c>
      <c r="N28" s="2636">
        <f t="shared" si="42"/>
        <v>0</v>
      </c>
      <c r="O28" s="2636">
        <f t="shared" si="42"/>
        <v>0</v>
      </c>
      <c r="P28" s="2636">
        <f t="shared" si="6"/>
        <v>0.16666666666666666</v>
      </c>
      <c r="Q28" s="5247">
        <f t="shared" si="7"/>
        <v>0.16666666666666666</v>
      </c>
      <c r="R28" s="2776"/>
      <c r="S28" s="5246">
        <f>S34+S35</f>
        <v>0</v>
      </c>
      <c r="T28" s="2636">
        <f t="shared" ref="T28:AD28" si="43">T34+T35</f>
        <v>0</v>
      </c>
      <c r="U28" s="2636">
        <f t="shared" si="43"/>
        <v>0</v>
      </c>
      <c r="V28" s="2636">
        <f t="shared" si="43"/>
        <v>1</v>
      </c>
      <c r="W28" s="2636">
        <f t="shared" si="43"/>
        <v>0</v>
      </c>
      <c r="X28" s="2636">
        <f t="shared" si="43"/>
        <v>0</v>
      </c>
      <c r="Y28" s="2636">
        <f t="shared" si="43"/>
        <v>0</v>
      </c>
      <c r="Z28" s="2636">
        <f t="shared" si="43"/>
        <v>0</v>
      </c>
      <c r="AA28" s="2636">
        <f t="shared" si="43"/>
        <v>0</v>
      </c>
      <c r="AB28" s="2636">
        <f t="shared" si="43"/>
        <v>0</v>
      </c>
      <c r="AC28" s="2636">
        <f t="shared" si="43"/>
        <v>0</v>
      </c>
      <c r="AD28" s="2636">
        <f t="shared" si="43"/>
        <v>1</v>
      </c>
      <c r="AE28" s="2636">
        <f t="shared" si="34"/>
        <v>2</v>
      </c>
      <c r="AF28" s="5247">
        <f t="shared" si="35"/>
        <v>0.16666666666666666</v>
      </c>
      <c r="AG28" s="2776"/>
      <c r="AH28" s="5246">
        <f t="shared" ref="AH28:AM28" si="44">AH34+AH35</f>
        <v>0</v>
      </c>
      <c r="AI28" s="2636">
        <f t="shared" si="44"/>
        <v>0</v>
      </c>
      <c r="AJ28" s="2636">
        <f t="shared" si="44"/>
        <v>1</v>
      </c>
      <c r="AK28" s="2636">
        <f t="shared" si="44"/>
        <v>1</v>
      </c>
      <c r="AL28" s="2636">
        <f t="shared" si="44"/>
        <v>0</v>
      </c>
      <c r="AM28" s="2636">
        <f t="shared" si="44"/>
        <v>2</v>
      </c>
      <c r="AN28" s="2636">
        <v>0</v>
      </c>
      <c r="AO28" s="2636">
        <f>AO34+AO35</f>
        <v>0</v>
      </c>
      <c r="AP28" s="2636">
        <f>AP34+AP35</f>
        <v>0</v>
      </c>
      <c r="AQ28" s="2636">
        <f>AQ34+AQ35</f>
        <v>0</v>
      </c>
      <c r="AR28" s="2636">
        <v>1</v>
      </c>
      <c r="AS28" s="2636">
        <v>1</v>
      </c>
      <c r="AT28" s="2636">
        <f t="shared" si="36"/>
        <v>6</v>
      </c>
      <c r="AU28" s="5247">
        <f t="shared" si="11"/>
        <v>0.5</v>
      </c>
      <c r="AV28" s="559" t="b">
        <v>1</v>
      </c>
      <c r="AW28" s="5248">
        <v>0</v>
      </c>
      <c r="AX28" s="2636">
        <v>0</v>
      </c>
      <c r="AY28" s="2636">
        <v>0</v>
      </c>
      <c r="AZ28" s="2636">
        <v>0</v>
      </c>
      <c r="BA28" s="2636">
        <v>0</v>
      </c>
      <c r="BB28" s="2636">
        <v>0</v>
      </c>
      <c r="BC28" s="2636">
        <v>0</v>
      </c>
      <c r="BD28" s="2636">
        <v>0</v>
      </c>
      <c r="BE28" s="2636">
        <v>0</v>
      </c>
      <c r="BF28" s="2636">
        <v>0</v>
      </c>
      <c r="BG28" s="2636">
        <v>0</v>
      </c>
      <c r="BH28" s="2636">
        <v>0</v>
      </c>
      <c r="BI28" s="2636">
        <f t="shared" si="37"/>
        <v>0</v>
      </c>
      <c r="BJ28" s="5247">
        <f t="shared" si="13"/>
        <v>0</v>
      </c>
      <c r="BK28" s="559" t="b">
        <v>1</v>
      </c>
      <c r="BL28" s="5248">
        <v>1</v>
      </c>
      <c r="BM28" s="2636">
        <v>0</v>
      </c>
      <c r="BN28" s="2636"/>
      <c r="BO28" s="2636"/>
      <c r="BP28" s="2636"/>
      <c r="BQ28" s="2636"/>
      <c r="BR28" s="2636"/>
      <c r="BS28" s="2636"/>
      <c r="BT28" s="2636"/>
      <c r="BU28" s="2636"/>
      <c r="BV28" s="2636"/>
      <c r="BW28" s="2636"/>
      <c r="BX28" s="2636">
        <f t="shared" si="38"/>
        <v>1</v>
      </c>
      <c r="BY28" s="5247">
        <f t="shared" si="3"/>
        <v>0.5</v>
      </c>
      <c r="CA28" s="169">
        <f t="shared" si="4"/>
        <v>0</v>
      </c>
      <c r="CB28" s="169">
        <f t="shared" si="15"/>
        <v>-0.5</v>
      </c>
      <c r="CC28" s="169">
        <f>IFERROR(
  SUM(
    _xlfn.XLOOKUP(DATE(YEAR($A$1),1,1),$2:$2,28:28):
    _xlfn.XLOOKUP($A$1,$2:$2,28:28)
  )
 -SUM(
    _xlfn.XLOOKUP(DATE(YEAR($A$1)-1,1,1),$2:$2,28:28):
    _xlfn.XLOOKUP(EDATE($A$1,-12),$2:$2,28:28)
  ),"")</f>
        <v>1</v>
      </c>
      <c r="CD28" s="4517">
        <f t="shared" si="5"/>
        <v>-1</v>
      </c>
    </row>
    <row r="29" spans="1:82" ht="17.600000000000001" x14ac:dyDescent="0.55000000000000004">
      <c r="A29" s="7383"/>
      <c r="B29" s="2041" t="s">
        <v>208</v>
      </c>
      <c r="C29" s="1576"/>
      <c r="D29" s="5246">
        <f>D36+D37</f>
        <v>0</v>
      </c>
      <c r="E29" s="2636">
        <f t="shared" ref="E29:O29" si="45">E36+E37</f>
        <v>0</v>
      </c>
      <c r="F29" s="2636">
        <f t="shared" si="45"/>
        <v>0</v>
      </c>
      <c r="G29" s="2636">
        <f t="shared" si="45"/>
        <v>0</v>
      </c>
      <c r="H29" s="2636">
        <f t="shared" si="45"/>
        <v>0</v>
      </c>
      <c r="I29" s="2636">
        <f t="shared" si="45"/>
        <v>0</v>
      </c>
      <c r="J29" s="2636">
        <f t="shared" si="45"/>
        <v>1</v>
      </c>
      <c r="K29" s="2636">
        <f t="shared" si="45"/>
        <v>0</v>
      </c>
      <c r="L29" s="2636">
        <f t="shared" si="45"/>
        <v>0</v>
      </c>
      <c r="M29" s="2636">
        <f t="shared" si="45"/>
        <v>0</v>
      </c>
      <c r="N29" s="2636">
        <f t="shared" si="45"/>
        <v>0</v>
      </c>
      <c r="O29" s="2636">
        <f t="shared" si="45"/>
        <v>0</v>
      </c>
      <c r="P29" s="2636">
        <f t="shared" si="6"/>
        <v>8.3333333333333329E-2</v>
      </c>
      <c r="Q29" s="5247">
        <f t="shared" si="7"/>
        <v>8.3333333333333329E-2</v>
      </c>
      <c r="R29" s="2776"/>
      <c r="S29" s="5246">
        <f>S36+S37</f>
        <v>0</v>
      </c>
      <c r="T29" s="2636">
        <f t="shared" ref="T29:AD29" si="46">T36+T37</f>
        <v>0</v>
      </c>
      <c r="U29" s="2636">
        <f t="shared" si="46"/>
        <v>0</v>
      </c>
      <c r="V29" s="2636">
        <f t="shared" si="46"/>
        <v>1</v>
      </c>
      <c r="W29" s="2636">
        <f t="shared" si="46"/>
        <v>1</v>
      </c>
      <c r="X29" s="2636">
        <f t="shared" si="46"/>
        <v>0</v>
      </c>
      <c r="Y29" s="2636">
        <f t="shared" si="46"/>
        <v>0</v>
      </c>
      <c r="Z29" s="2636">
        <f t="shared" si="46"/>
        <v>0</v>
      </c>
      <c r="AA29" s="2636">
        <f t="shared" si="46"/>
        <v>0</v>
      </c>
      <c r="AB29" s="2636">
        <f t="shared" si="46"/>
        <v>0</v>
      </c>
      <c r="AC29" s="2636">
        <f t="shared" si="46"/>
        <v>0</v>
      </c>
      <c r="AD29" s="2636">
        <f t="shared" si="46"/>
        <v>0</v>
      </c>
      <c r="AE29" s="2636">
        <f t="shared" si="34"/>
        <v>2</v>
      </c>
      <c r="AF29" s="5247">
        <f t="shared" si="35"/>
        <v>0.16666666666666666</v>
      </c>
      <c r="AG29" s="2776"/>
      <c r="AH29" s="5246">
        <f t="shared" ref="AH29:AM29" si="47">AH36+AH37</f>
        <v>0</v>
      </c>
      <c r="AI29" s="2636">
        <f t="shared" si="47"/>
        <v>0</v>
      </c>
      <c r="AJ29" s="2636">
        <f t="shared" si="47"/>
        <v>1</v>
      </c>
      <c r="AK29" s="2636">
        <f t="shared" si="47"/>
        <v>0</v>
      </c>
      <c r="AL29" s="2636">
        <f t="shared" si="47"/>
        <v>2</v>
      </c>
      <c r="AM29" s="2636">
        <f t="shared" si="47"/>
        <v>0</v>
      </c>
      <c r="AN29" s="2636">
        <v>2</v>
      </c>
      <c r="AO29" s="2636">
        <f>AO36+AO37</f>
        <v>0</v>
      </c>
      <c r="AP29" s="2636">
        <f>AP36+AP37</f>
        <v>0</v>
      </c>
      <c r="AQ29" s="2636">
        <f>AQ36+AQ37</f>
        <v>0</v>
      </c>
      <c r="AR29" s="2636">
        <v>0</v>
      </c>
      <c r="AS29" s="2636">
        <v>1</v>
      </c>
      <c r="AT29" s="2636">
        <f t="shared" si="36"/>
        <v>6</v>
      </c>
      <c r="AU29" s="5247">
        <f t="shared" si="11"/>
        <v>0.5</v>
      </c>
      <c r="AV29" s="559" t="b">
        <v>1</v>
      </c>
      <c r="AW29" s="5248">
        <v>0</v>
      </c>
      <c r="AX29" s="2636">
        <v>0</v>
      </c>
      <c r="AY29" s="2636">
        <v>0</v>
      </c>
      <c r="AZ29" s="2636">
        <v>0</v>
      </c>
      <c r="BA29" s="2636">
        <v>0</v>
      </c>
      <c r="BB29" s="2636">
        <v>0</v>
      </c>
      <c r="BC29" s="2636">
        <v>2</v>
      </c>
      <c r="BD29" s="2636">
        <v>0</v>
      </c>
      <c r="BE29" s="2636">
        <v>0</v>
      </c>
      <c r="BF29" s="2636">
        <v>0</v>
      </c>
      <c r="BG29" s="2636">
        <v>0</v>
      </c>
      <c r="BH29" s="2636">
        <v>0</v>
      </c>
      <c r="BI29" s="2636">
        <f t="shared" si="37"/>
        <v>2</v>
      </c>
      <c r="BJ29" s="5247">
        <f t="shared" si="13"/>
        <v>0.16666666666666666</v>
      </c>
      <c r="BK29" s="559" t="b">
        <v>1</v>
      </c>
      <c r="BL29" s="5248">
        <v>0</v>
      </c>
      <c r="BM29" s="2636">
        <v>0</v>
      </c>
      <c r="BN29" s="2636"/>
      <c r="BO29" s="2636"/>
      <c r="BP29" s="2636"/>
      <c r="BQ29" s="2636"/>
      <c r="BR29" s="2636"/>
      <c r="BS29" s="2636"/>
      <c r="BT29" s="2636"/>
      <c r="BU29" s="2636"/>
      <c r="BV29" s="2636"/>
      <c r="BW29" s="2636"/>
      <c r="BX29" s="2636">
        <f t="shared" si="38"/>
        <v>0</v>
      </c>
      <c r="BY29" s="5247">
        <f t="shared" si="3"/>
        <v>0</v>
      </c>
      <c r="CA29" s="169">
        <f t="shared" si="4"/>
        <v>0</v>
      </c>
      <c r="CB29" s="169">
        <f t="shared" si="15"/>
        <v>-0.33333333333333337</v>
      </c>
      <c r="CC29" s="169">
        <f>IFERROR(
  SUM(
    _xlfn.XLOOKUP(DATE(YEAR($A$1),1,1),$2:$2,29:29):
    _xlfn.XLOOKUP($A$1,$2:$2,29:29)
  )
 -SUM(
    _xlfn.XLOOKUP(DATE(YEAR($A$1)-1,1,1),$2:$2,29:29):
    _xlfn.XLOOKUP(EDATE($A$1,-12),$2:$2,29:29)
  ),"")</f>
        <v>0</v>
      </c>
      <c r="CD29" s="4517">
        <f t="shared" si="5"/>
        <v>0</v>
      </c>
    </row>
    <row r="30" spans="1:82" ht="17.600000000000001" x14ac:dyDescent="0.55000000000000004">
      <c r="A30" s="7383"/>
      <c r="B30" s="2041" t="s">
        <v>209</v>
      </c>
      <c r="C30" s="1576"/>
      <c r="D30" s="5246">
        <f>D38+D39</f>
        <v>0</v>
      </c>
      <c r="E30" s="2636">
        <f t="shared" ref="E30:O30" si="48">E38+E39</f>
        <v>2</v>
      </c>
      <c r="F30" s="2636">
        <f t="shared" si="48"/>
        <v>1</v>
      </c>
      <c r="G30" s="2636">
        <f t="shared" si="48"/>
        <v>2</v>
      </c>
      <c r="H30" s="2636">
        <f t="shared" si="48"/>
        <v>1</v>
      </c>
      <c r="I30" s="2636">
        <f t="shared" si="48"/>
        <v>1</v>
      </c>
      <c r="J30" s="2636">
        <f t="shared" si="48"/>
        <v>1</v>
      </c>
      <c r="K30" s="2636">
        <f t="shared" si="48"/>
        <v>0</v>
      </c>
      <c r="L30" s="2636">
        <f t="shared" si="48"/>
        <v>1</v>
      </c>
      <c r="M30" s="2636">
        <f t="shared" si="48"/>
        <v>0</v>
      </c>
      <c r="N30" s="2636">
        <f t="shared" si="48"/>
        <v>0</v>
      </c>
      <c r="O30" s="2636">
        <f t="shared" si="48"/>
        <v>0</v>
      </c>
      <c r="P30" s="2636">
        <f t="shared" si="6"/>
        <v>0.75</v>
      </c>
      <c r="Q30" s="5247">
        <f t="shared" si="7"/>
        <v>0.75</v>
      </c>
      <c r="R30" s="2776"/>
      <c r="S30" s="5246">
        <f>S38+S39</f>
        <v>1</v>
      </c>
      <c r="T30" s="2636">
        <f t="shared" ref="T30:AD30" si="49">T38+T39</f>
        <v>0</v>
      </c>
      <c r="U30" s="2636">
        <f t="shared" si="49"/>
        <v>0</v>
      </c>
      <c r="V30" s="2636">
        <f t="shared" si="49"/>
        <v>1</v>
      </c>
      <c r="W30" s="2636">
        <f t="shared" si="49"/>
        <v>0</v>
      </c>
      <c r="X30" s="2636">
        <f t="shared" si="49"/>
        <v>0</v>
      </c>
      <c r="Y30" s="2636">
        <f t="shared" si="49"/>
        <v>0</v>
      </c>
      <c r="Z30" s="2636">
        <f t="shared" si="49"/>
        <v>0</v>
      </c>
      <c r="AA30" s="2636">
        <f t="shared" si="49"/>
        <v>1</v>
      </c>
      <c r="AB30" s="2636">
        <f t="shared" si="49"/>
        <v>0</v>
      </c>
      <c r="AC30" s="2636">
        <f t="shared" si="49"/>
        <v>1</v>
      </c>
      <c r="AD30" s="2636">
        <f t="shared" si="49"/>
        <v>0</v>
      </c>
      <c r="AE30" s="2636">
        <f t="shared" si="34"/>
        <v>4</v>
      </c>
      <c r="AF30" s="5247">
        <f t="shared" si="35"/>
        <v>0.33333333333333331</v>
      </c>
      <c r="AG30" s="2776"/>
      <c r="AH30" s="5246">
        <f t="shared" ref="AH30:AM30" si="50">AH38+AH39</f>
        <v>0</v>
      </c>
      <c r="AI30" s="2636">
        <f t="shared" si="50"/>
        <v>0</v>
      </c>
      <c r="AJ30" s="2636">
        <f t="shared" si="50"/>
        <v>1</v>
      </c>
      <c r="AK30" s="2636">
        <f t="shared" si="50"/>
        <v>0</v>
      </c>
      <c r="AL30" s="2636">
        <f t="shared" si="50"/>
        <v>1</v>
      </c>
      <c r="AM30" s="2636">
        <f t="shared" si="50"/>
        <v>0</v>
      </c>
      <c r="AN30" s="2636">
        <v>0</v>
      </c>
      <c r="AO30" s="2636">
        <f>AO38+AO39</f>
        <v>1</v>
      </c>
      <c r="AP30" s="2636">
        <f>AP38+AP39</f>
        <v>0</v>
      </c>
      <c r="AQ30" s="2636">
        <f>AQ38+AQ39</f>
        <v>0</v>
      </c>
      <c r="AR30" s="2636">
        <v>0</v>
      </c>
      <c r="AS30" s="2636">
        <v>1</v>
      </c>
      <c r="AT30" s="2636">
        <f t="shared" si="36"/>
        <v>4</v>
      </c>
      <c r="AU30" s="5247">
        <f t="shared" si="11"/>
        <v>0.33333333333333331</v>
      </c>
      <c r="AV30" s="559" t="b">
        <v>1</v>
      </c>
      <c r="AW30" s="5248">
        <v>0</v>
      </c>
      <c r="AX30" s="2636">
        <v>0</v>
      </c>
      <c r="AY30" s="2636">
        <v>0</v>
      </c>
      <c r="AZ30" s="2636">
        <v>0</v>
      </c>
      <c r="BA30" s="2636">
        <v>0</v>
      </c>
      <c r="BB30" s="2636">
        <v>0</v>
      </c>
      <c r="BC30" s="2636">
        <v>0</v>
      </c>
      <c r="BD30" s="2636">
        <v>0</v>
      </c>
      <c r="BE30" s="2636">
        <v>0</v>
      </c>
      <c r="BF30" s="2636">
        <v>0</v>
      </c>
      <c r="BG30" s="2636">
        <v>0</v>
      </c>
      <c r="BH30" s="2636">
        <v>0</v>
      </c>
      <c r="BI30" s="2636">
        <f t="shared" si="37"/>
        <v>0</v>
      </c>
      <c r="BJ30" s="5247">
        <f t="shared" si="13"/>
        <v>0</v>
      </c>
      <c r="BK30" s="559" t="b">
        <v>1</v>
      </c>
      <c r="BL30" s="5248">
        <v>0</v>
      </c>
      <c r="BM30" s="2636">
        <v>1</v>
      </c>
      <c r="BN30" s="2636"/>
      <c r="BO30" s="2636"/>
      <c r="BP30" s="2636"/>
      <c r="BQ30" s="2636"/>
      <c r="BR30" s="2636"/>
      <c r="BS30" s="2636"/>
      <c r="BT30" s="2636"/>
      <c r="BU30" s="2636"/>
      <c r="BV30" s="2636"/>
      <c r="BW30" s="2636"/>
      <c r="BX30" s="2636">
        <f t="shared" si="38"/>
        <v>1</v>
      </c>
      <c r="BY30" s="5247">
        <f t="shared" si="3"/>
        <v>0.5</v>
      </c>
      <c r="CA30" s="169">
        <f t="shared" si="4"/>
        <v>1</v>
      </c>
      <c r="CB30" s="169">
        <f t="shared" si="15"/>
        <v>-0.33333333333333331</v>
      </c>
      <c r="CC30" s="169">
        <f>IFERROR(
  SUM(
    _xlfn.XLOOKUP(DATE(YEAR($A$1),1,1),$2:$2,30:30):
    _xlfn.XLOOKUP($A$1,$2:$2,30:30)
  )
 -SUM(
    _xlfn.XLOOKUP(DATE(YEAR($A$1)-1,1,1),$2:$2,30:30):
    _xlfn.XLOOKUP(EDATE($A$1,-12),$2:$2,30:30)
  ),"")</f>
        <v>1</v>
      </c>
      <c r="CD30" s="4517">
        <f t="shared" si="5"/>
        <v>1</v>
      </c>
    </row>
    <row r="31" spans="1:82" ht="17.600000000000001" x14ac:dyDescent="0.55000000000000004">
      <c r="A31" s="7383"/>
      <c r="B31" s="2048" t="s">
        <v>210</v>
      </c>
      <c r="C31" s="1929"/>
      <c r="D31" s="5249">
        <f>D40+D41</f>
        <v>0</v>
      </c>
      <c r="E31" s="5250">
        <f t="shared" ref="E31:O31" si="51">E40+E41</f>
        <v>0</v>
      </c>
      <c r="F31" s="5250">
        <f t="shared" si="51"/>
        <v>0</v>
      </c>
      <c r="G31" s="5250">
        <f t="shared" si="51"/>
        <v>1</v>
      </c>
      <c r="H31" s="5250">
        <f t="shared" si="51"/>
        <v>0</v>
      </c>
      <c r="I31" s="5250">
        <f t="shared" si="51"/>
        <v>0</v>
      </c>
      <c r="J31" s="5250">
        <f t="shared" si="51"/>
        <v>1</v>
      </c>
      <c r="K31" s="5250">
        <f t="shared" si="51"/>
        <v>0</v>
      </c>
      <c r="L31" s="5250">
        <f t="shared" si="51"/>
        <v>0</v>
      </c>
      <c r="M31" s="5250">
        <f t="shared" si="51"/>
        <v>0</v>
      </c>
      <c r="N31" s="5250">
        <f t="shared" si="51"/>
        <v>0</v>
      </c>
      <c r="O31" s="5250">
        <f t="shared" si="51"/>
        <v>0</v>
      </c>
      <c r="P31" s="5250">
        <f t="shared" si="6"/>
        <v>0.16666666666666666</v>
      </c>
      <c r="Q31" s="5251">
        <f t="shared" si="7"/>
        <v>0.16666666666666666</v>
      </c>
      <c r="R31" s="2776"/>
      <c r="S31" s="5249">
        <f>S40+S41</f>
        <v>1</v>
      </c>
      <c r="T31" s="5250">
        <f t="shared" ref="T31:AD31" si="52">T40+T41</f>
        <v>0</v>
      </c>
      <c r="U31" s="5250">
        <f t="shared" si="52"/>
        <v>0</v>
      </c>
      <c r="V31" s="5250">
        <f t="shared" si="52"/>
        <v>0</v>
      </c>
      <c r="W31" s="5250">
        <f t="shared" si="52"/>
        <v>0</v>
      </c>
      <c r="X31" s="5250">
        <f t="shared" si="52"/>
        <v>0</v>
      </c>
      <c r="Y31" s="5250">
        <f t="shared" si="52"/>
        <v>0</v>
      </c>
      <c r="Z31" s="5250">
        <f t="shared" si="52"/>
        <v>0</v>
      </c>
      <c r="AA31" s="5250">
        <f t="shared" si="52"/>
        <v>0</v>
      </c>
      <c r="AB31" s="5250">
        <f t="shared" si="52"/>
        <v>0</v>
      </c>
      <c r="AC31" s="5250">
        <f t="shared" si="52"/>
        <v>1</v>
      </c>
      <c r="AD31" s="5250">
        <f t="shared" si="52"/>
        <v>0</v>
      </c>
      <c r="AE31" s="5250">
        <f t="shared" si="34"/>
        <v>2</v>
      </c>
      <c r="AF31" s="5251">
        <f t="shared" si="35"/>
        <v>0.16666666666666666</v>
      </c>
      <c r="AG31" s="2776"/>
      <c r="AH31" s="5249">
        <f t="shared" ref="AH31:AM31" si="53">AH40+AH41</f>
        <v>0</v>
      </c>
      <c r="AI31" s="5250">
        <f t="shared" si="53"/>
        <v>0</v>
      </c>
      <c r="AJ31" s="5250">
        <f t="shared" si="53"/>
        <v>0</v>
      </c>
      <c r="AK31" s="5250">
        <f t="shared" si="53"/>
        <v>2</v>
      </c>
      <c r="AL31" s="5250">
        <f t="shared" si="53"/>
        <v>0</v>
      </c>
      <c r="AM31" s="5250">
        <f t="shared" si="53"/>
        <v>1</v>
      </c>
      <c r="AN31" s="5250">
        <v>0</v>
      </c>
      <c r="AO31" s="5250">
        <f>AO40+AO41</f>
        <v>1</v>
      </c>
      <c r="AP31" s="5250">
        <f>AP40+AP41</f>
        <v>0</v>
      </c>
      <c r="AQ31" s="5250">
        <f>AQ40+AQ41</f>
        <v>0</v>
      </c>
      <c r="AR31" s="5250">
        <v>1</v>
      </c>
      <c r="AS31" s="5250">
        <v>0</v>
      </c>
      <c r="AT31" s="5250">
        <f t="shared" si="36"/>
        <v>5</v>
      </c>
      <c r="AU31" s="5251">
        <f t="shared" si="11"/>
        <v>0.41666666666666669</v>
      </c>
      <c r="AV31" s="559" t="b">
        <v>1</v>
      </c>
      <c r="AW31" s="5252">
        <v>0</v>
      </c>
      <c r="AX31" s="5250">
        <v>0</v>
      </c>
      <c r="AY31" s="5250">
        <v>0</v>
      </c>
      <c r="AZ31" s="5250">
        <v>0</v>
      </c>
      <c r="BA31" s="5250">
        <v>0</v>
      </c>
      <c r="BB31" s="5250">
        <v>0</v>
      </c>
      <c r="BC31" s="5250">
        <v>0</v>
      </c>
      <c r="BD31" s="5250">
        <v>0</v>
      </c>
      <c r="BE31" s="5250">
        <v>0</v>
      </c>
      <c r="BF31" s="5250">
        <v>0</v>
      </c>
      <c r="BG31" s="5250">
        <v>1</v>
      </c>
      <c r="BH31" s="5250">
        <v>0</v>
      </c>
      <c r="BI31" s="5250">
        <f t="shared" si="37"/>
        <v>1</v>
      </c>
      <c r="BJ31" s="5251">
        <f t="shared" si="13"/>
        <v>8.3333333333333329E-2</v>
      </c>
      <c r="BK31" s="559" t="b">
        <v>1</v>
      </c>
      <c r="BL31" s="5252">
        <v>0</v>
      </c>
      <c r="BM31" s="5250">
        <v>0</v>
      </c>
      <c r="BN31" s="5250"/>
      <c r="BO31" s="5250"/>
      <c r="BP31" s="5250"/>
      <c r="BQ31" s="5250"/>
      <c r="BR31" s="5250"/>
      <c r="BS31" s="5250"/>
      <c r="BT31" s="5250"/>
      <c r="BU31" s="5250"/>
      <c r="BV31" s="5250"/>
      <c r="BW31" s="5250"/>
      <c r="BX31" s="5250">
        <f t="shared" si="38"/>
        <v>0</v>
      </c>
      <c r="BY31" s="5251">
        <f t="shared" si="3"/>
        <v>0</v>
      </c>
      <c r="CA31" s="169">
        <f t="shared" si="4"/>
        <v>0</v>
      </c>
      <c r="CB31" s="169">
        <f t="shared" si="15"/>
        <v>-0.33333333333333337</v>
      </c>
      <c r="CC31" s="169">
        <f>IFERROR(
  SUM(
    _xlfn.XLOOKUP(DATE(YEAR($A$1),1,1),$2:$2,31:31):
    _xlfn.XLOOKUP($A$1,$2:$2,31:31)
  )
 -SUM(
    _xlfn.XLOOKUP(DATE(YEAR($A$1)-1,1,1),$2:$2,31:31):
    _xlfn.XLOOKUP(EDATE($A$1,-12),$2:$2,31:31)
  ),"")</f>
        <v>0</v>
      </c>
      <c r="CD31" s="4517">
        <f t="shared" si="5"/>
        <v>0</v>
      </c>
    </row>
    <row r="32" spans="1:82" ht="17.600000000000001" x14ac:dyDescent="0.55000000000000004">
      <c r="A32" s="7383"/>
      <c r="B32" s="2055"/>
      <c r="C32" s="5253" t="s">
        <v>211</v>
      </c>
      <c r="D32" s="5254">
        <v>0</v>
      </c>
      <c r="E32" s="5255">
        <v>0</v>
      </c>
      <c r="F32" s="5255">
        <v>0</v>
      </c>
      <c r="G32" s="5255">
        <v>2</v>
      </c>
      <c r="H32" s="5255">
        <v>0</v>
      </c>
      <c r="I32" s="5255">
        <v>0</v>
      </c>
      <c r="J32" s="5255">
        <v>1</v>
      </c>
      <c r="K32" s="5255">
        <v>1</v>
      </c>
      <c r="L32" s="5255">
        <v>0</v>
      </c>
      <c r="M32" s="5255">
        <v>0</v>
      </c>
      <c r="N32" s="5255">
        <v>0</v>
      </c>
      <c r="O32" s="5255">
        <v>0</v>
      </c>
      <c r="P32" s="5255">
        <f t="shared" si="6"/>
        <v>0.33333333333333331</v>
      </c>
      <c r="Q32" s="5256">
        <f t="shared" si="7"/>
        <v>0.33333333333333331</v>
      </c>
      <c r="R32" s="2776">
        <v>0</v>
      </c>
      <c r="S32" s="5254">
        <v>1</v>
      </c>
      <c r="T32" s="5255">
        <v>0</v>
      </c>
      <c r="U32" s="5255">
        <v>0</v>
      </c>
      <c r="V32" s="5255">
        <v>2</v>
      </c>
      <c r="W32" s="5255">
        <v>0</v>
      </c>
      <c r="X32" s="5255">
        <v>0</v>
      </c>
      <c r="Y32" s="5255">
        <v>2</v>
      </c>
      <c r="Z32" s="5255">
        <v>0</v>
      </c>
      <c r="AA32" s="5255">
        <v>0</v>
      </c>
      <c r="AB32" s="5255">
        <v>0</v>
      </c>
      <c r="AC32" s="5255">
        <v>0</v>
      </c>
      <c r="AD32" s="5255">
        <v>0</v>
      </c>
      <c r="AE32" s="5255">
        <f t="shared" si="34"/>
        <v>5</v>
      </c>
      <c r="AF32" s="5256">
        <f t="shared" si="35"/>
        <v>0.41666666666666669</v>
      </c>
      <c r="AG32" s="2776"/>
      <c r="AH32" s="5254">
        <v>2</v>
      </c>
      <c r="AI32" s="5255"/>
      <c r="AJ32" s="5255">
        <v>3</v>
      </c>
      <c r="AK32" s="5255"/>
      <c r="AL32" s="5255">
        <v>2</v>
      </c>
      <c r="AM32" s="5255">
        <v>1</v>
      </c>
      <c r="AN32" s="5255">
        <v>0</v>
      </c>
      <c r="AO32" s="5255"/>
      <c r="AP32" s="5255">
        <v>1</v>
      </c>
      <c r="AQ32" s="5255">
        <v>0</v>
      </c>
      <c r="AR32" s="5255"/>
      <c r="AS32" s="5255"/>
      <c r="AT32" s="5255">
        <f t="shared" si="36"/>
        <v>9</v>
      </c>
      <c r="AU32" s="5256">
        <f t="shared" si="11"/>
        <v>0.75</v>
      </c>
      <c r="AV32" s="559" t="b">
        <v>1</v>
      </c>
      <c r="AW32" s="5257">
        <v>0</v>
      </c>
      <c r="AX32" s="5255">
        <v>0</v>
      </c>
      <c r="AY32" s="5255">
        <v>0</v>
      </c>
      <c r="AZ32" s="5255">
        <v>0</v>
      </c>
      <c r="BA32" s="5255">
        <v>0</v>
      </c>
      <c r="BB32" s="5255">
        <v>0</v>
      </c>
      <c r="BC32" s="5255">
        <v>0</v>
      </c>
      <c r="BD32" s="5255">
        <v>0</v>
      </c>
      <c r="BE32" s="5255">
        <v>1</v>
      </c>
      <c r="BF32" s="5255">
        <v>0</v>
      </c>
      <c r="BG32" s="5255">
        <v>0</v>
      </c>
      <c r="BH32" s="5255">
        <v>0</v>
      </c>
      <c r="BI32" s="5255">
        <f t="shared" si="37"/>
        <v>1</v>
      </c>
      <c r="BJ32" s="5256">
        <f t="shared" si="13"/>
        <v>8.3333333333333329E-2</v>
      </c>
      <c r="BK32" s="559" t="b">
        <v>1</v>
      </c>
      <c r="BL32" s="5257">
        <v>0</v>
      </c>
      <c r="BM32" s="5255">
        <v>0</v>
      </c>
      <c r="BN32" s="5255"/>
      <c r="BO32" s="5255"/>
      <c r="BP32" s="5255"/>
      <c r="BQ32" s="5255"/>
      <c r="BR32" s="5255"/>
      <c r="BS32" s="5255"/>
      <c r="BT32" s="5255"/>
      <c r="BU32" s="5255"/>
      <c r="BV32" s="5255"/>
      <c r="BW32" s="5255"/>
      <c r="BX32" s="5255">
        <f t="shared" si="38"/>
        <v>0</v>
      </c>
      <c r="BY32" s="5256">
        <f t="shared" si="3"/>
        <v>0</v>
      </c>
      <c r="CA32" s="169">
        <f t="shared" si="4"/>
        <v>0</v>
      </c>
      <c r="CB32" s="169">
        <f t="shared" si="15"/>
        <v>-0.66666666666666663</v>
      </c>
      <c r="CC32" s="169">
        <f>IFERROR(
  SUM(
    _xlfn.XLOOKUP(DATE(YEAR($A$1),1,1),$2:$2,32:32):
    _xlfn.XLOOKUP($A$1,$2:$2,32:32)
  )
 -SUM(
    _xlfn.XLOOKUP(DATE(YEAR($A$1)-1,1,1),$2:$2,32:32):
    _xlfn.XLOOKUP(EDATE($A$1,-12),$2:$2,32:32)
  ),"")</f>
        <v>0</v>
      </c>
      <c r="CD32" s="4517">
        <f t="shared" si="5"/>
        <v>0</v>
      </c>
    </row>
    <row r="33" spans="1:82" ht="17.600000000000001" x14ac:dyDescent="0.55000000000000004">
      <c r="A33" s="7383"/>
      <c r="B33" s="2062"/>
      <c r="C33" s="5258" t="s">
        <v>212</v>
      </c>
      <c r="D33" s="5259">
        <v>0</v>
      </c>
      <c r="E33" s="5260">
        <v>1</v>
      </c>
      <c r="F33" s="5260">
        <v>0</v>
      </c>
      <c r="G33" s="5260">
        <v>0</v>
      </c>
      <c r="H33" s="5260">
        <v>0</v>
      </c>
      <c r="I33" s="5260">
        <v>0</v>
      </c>
      <c r="J33" s="5260">
        <v>2</v>
      </c>
      <c r="K33" s="5260">
        <v>0</v>
      </c>
      <c r="L33" s="5260">
        <v>0</v>
      </c>
      <c r="M33" s="5260">
        <v>0</v>
      </c>
      <c r="N33" s="5260">
        <v>0</v>
      </c>
      <c r="O33" s="5260">
        <v>0</v>
      </c>
      <c r="P33" s="5260">
        <f t="shared" si="6"/>
        <v>0.25</v>
      </c>
      <c r="Q33" s="5261">
        <f t="shared" si="7"/>
        <v>0.25</v>
      </c>
      <c r="R33" s="2776">
        <v>0</v>
      </c>
      <c r="S33" s="5259">
        <v>1</v>
      </c>
      <c r="T33" s="5260">
        <v>0</v>
      </c>
      <c r="U33" s="5260">
        <v>0</v>
      </c>
      <c r="V33" s="5260">
        <v>0</v>
      </c>
      <c r="W33" s="5260">
        <v>0</v>
      </c>
      <c r="X33" s="5260">
        <v>0</v>
      </c>
      <c r="Y33" s="5260">
        <v>1</v>
      </c>
      <c r="Z33" s="5260">
        <v>0</v>
      </c>
      <c r="AA33" s="5260">
        <v>0</v>
      </c>
      <c r="AB33" s="5260">
        <v>0</v>
      </c>
      <c r="AC33" s="5260">
        <v>0</v>
      </c>
      <c r="AD33" s="5260">
        <v>0</v>
      </c>
      <c r="AE33" s="5260">
        <f t="shared" si="34"/>
        <v>2</v>
      </c>
      <c r="AF33" s="5261">
        <f t="shared" si="35"/>
        <v>0.16666666666666666</v>
      </c>
      <c r="AG33" s="2776"/>
      <c r="AH33" s="5259">
        <v>1</v>
      </c>
      <c r="AI33" s="5260"/>
      <c r="AJ33" s="5260">
        <v>4</v>
      </c>
      <c r="AK33" s="5260"/>
      <c r="AL33" s="5260">
        <v>2</v>
      </c>
      <c r="AM33" s="5260">
        <v>0</v>
      </c>
      <c r="AN33" s="5260">
        <v>0</v>
      </c>
      <c r="AO33" s="5260"/>
      <c r="AP33" s="5260"/>
      <c r="AQ33" s="5260">
        <v>1</v>
      </c>
      <c r="AR33" s="5260"/>
      <c r="AS33" s="5260">
        <v>1</v>
      </c>
      <c r="AT33" s="5260">
        <f t="shared" si="36"/>
        <v>9</v>
      </c>
      <c r="AU33" s="5261">
        <f t="shared" si="11"/>
        <v>0.75</v>
      </c>
      <c r="AV33" s="559" t="b">
        <v>1</v>
      </c>
      <c r="AW33" s="5262">
        <v>0</v>
      </c>
      <c r="AX33" s="5260">
        <v>0</v>
      </c>
      <c r="AY33" s="5260">
        <v>0</v>
      </c>
      <c r="AZ33" s="5260">
        <v>0</v>
      </c>
      <c r="BA33" s="5260">
        <v>0</v>
      </c>
      <c r="BB33" s="5260">
        <v>0</v>
      </c>
      <c r="BC33" s="5260">
        <v>0</v>
      </c>
      <c r="BD33" s="5260">
        <v>0</v>
      </c>
      <c r="BE33" s="5260">
        <v>0</v>
      </c>
      <c r="BF33" s="5260">
        <v>0</v>
      </c>
      <c r="BG33" s="5260">
        <v>0</v>
      </c>
      <c r="BH33" s="5260">
        <v>1</v>
      </c>
      <c r="BI33" s="5260">
        <f t="shared" si="37"/>
        <v>1</v>
      </c>
      <c r="BJ33" s="5261">
        <f t="shared" si="13"/>
        <v>8.3333333333333329E-2</v>
      </c>
      <c r="BK33" s="559" t="b">
        <v>1</v>
      </c>
      <c r="BL33" s="5262">
        <v>1</v>
      </c>
      <c r="BM33" s="5260">
        <v>0</v>
      </c>
      <c r="BN33" s="5260"/>
      <c r="BO33" s="5260"/>
      <c r="BP33" s="5260"/>
      <c r="BQ33" s="5260"/>
      <c r="BR33" s="5260"/>
      <c r="BS33" s="5260"/>
      <c r="BT33" s="5260"/>
      <c r="BU33" s="5260"/>
      <c r="BV33" s="5260"/>
      <c r="BW33" s="5260"/>
      <c r="BX33" s="5260">
        <f t="shared" si="38"/>
        <v>1</v>
      </c>
      <c r="BY33" s="5261">
        <f t="shared" si="3"/>
        <v>0.5</v>
      </c>
      <c r="CA33" s="169">
        <f t="shared" si="4"/>
        <v>0</v>
      </c>
      <c r="CB33" s="169">
        <f t="shared" si="15"/>
        <v>-0.66666666666666663</v>
      </c>
      <c r="CC33" s="169">
        <f>IFERROR(
  SUM(
    _xlfn.XLOOKUP(DATE(YEAR($A$1),1,1),$2:$2,33:33):
    _xlfn.XLOOKUP($A$1,$2:$2,33:33)
  )
 -SUM(
    _xlfn.XLOOKUP(DATE(YEAR($A$1)-1,1,1),$2:$2,33:33):
    _xlfn.XLOOKUP(EDATE($A$1,-12),$2:$2,33:33)
  ),"")</f>
        <v>1</v>
      </c>
      <c r="CD33" s="4517">
        <f t="shared" si="5"/>
        <v>-1</v>
      </c>
    </row>
    <row r="34" spans="1:82" ht="17.600000000000001" x14ac:dyDescent="0.55000000000000004">
      <c r="A34" s="7383"/>
      <c r="B34" s="2062"/>
      <c r="C34" s="5263" t="s">
        <v>213</v>
      </c>
      <c r="D34" s="5264">
        <v>1</v>
      </c>
      <c r="E34" s="5265">
        <v>0</v>
      </c>
      <c r="F34" s="5265">
        <v>0</v>
      </c>
      <c r="G34" s="5265">
        <v>0</v>
      </c>
      <c r="H34" s="5265">
        <v>0</v>
      </c>
      <c r="I34" s="5265">
        <v>0</v>
      </c>
      <c r="J34" s="5265">
        <v>0</v>
      </c>
      <c r="K34" s="5265">
        <v>1</v>
      </c>
      <c r="L34" s="5265">
        <v>0</v>
      </c>
      <c r="M34" s="5265">
        <v>0</v>
      </c>
      <c r="N34" s="5265">
        <v>0</v>
      </c>
      <c r="O34" s="5265">
        <v>0</v>
      </c>
      <c r="P34" s="5265">
        <f t="shared" si="6"/>
        <v>0.16666666666666666</v>
      </c>
      <c r="Q34" s="5266">
        <f t="shared" si="7"/>
        <v>0.16666666666666666</v>
      </c>
      <c r="R34" s="2776">
        <v>0</v>
      </c>
      <c r="S34" s="5264">
        <v>0</v>
      </c>
      <c r="T34" s="5265">
        <v>0</v>
      </c>
      <c r="U34" s="5265">
        <v>0</v>
      </c>
      <c r="V34" s="5265">
        <v>1</v>
      </c>
      <c r="W34" s="5265">
        <v>0</v>
      </c>
      <c r="X34" s="5265">
        <v>0</v>
      </c>
      <c r="Y34" s="5265">
        <v>0</v>
      </c>
      <c r="Z34" s="5265">
        <v>0</v>
      </c>
      <c r="AA34" s="5265">
        <v>0</v>
      </c>
      <c r="AB34" s="5265">
        <v>0</v>
      </c>
      <c r="AC34" s="5265">
        <v>0</v>
      </c>
      <c r="AD34" s="5265">
        <v>0</v>
      </c>
      <c r="AE34" s="5265">
        <f t="shared" si="34"/>
        <v>1</v>
      </c>
      <c r="AF34" s="5266">
        <f t="shared" si="35"/>
        <v>8.3333333333333329E-2</v>
      </c>
      <c r="AG34" s="2776"/>
      <c r="AH34" s="5264"/>
      <c r="AI34" s="5265"/>
      <c r="AJ34" s="5265"/>
      <c r="AK34" s="5265">
        <v>1</v>
      </c>
      <c r="AL34" s="5265">
        <v>0</v>
      </c>
      <c r="AM34" s="5265">
        <v>2</v>
      </c>
      <c r="AN34" s="5265">
        <v>0</v>
      </c>
      <c r="AO34" s="5265"/>
      <c r="AP34" s="5265"/>
      <c r="AQ34" s="5265">
        <v>0</v>
      </c>
      <c r="AR34" s="5265">
        <v>1</v>
      </c>
      <c r="AS34" s="5265">
        <v>1</v>
      </c>
      <c r="AT34" s="5265">
        <f t="shared" si="36"/>
        <v>5</v>
      </c>
      <c r="AU34" s="5266">
        <f t="shared" si="11"/>
        <v>0.41666666666666669</v>
      </c>
      <c r="AV34" s="559" t="b">
        <v>1</v>
      </c>
      <c r="AW34" s="5267">
        <v>0</v>
      </c>
      <c r="AX34" s="5265">
        <v>0</v>
      </c>
      <c r="AY34" s="5265">
        <v>0</v>
      </c>
      <c r="AZ34" s="5265">
        <v>0</v>
      </c>
      <c r="BA34" s="5265">
        <v>0</v>
      </c>
      <c r="BB34" s="5265">
        <v>0</v>
      </c>
      <c r="BC34" s="5265">
        <v>0</v>
      </c>
      <c r="BD34" s="5265">
        <v>0</v>
      </c>
      <c r="BE34" s="5265">
        <v>0</v>
      </c>
      <c r="BF34" s="5265">
        <v>0</v>
      </c>
      <c r="BG34" s="5265">
        <v>0</v>
      </c>
      <c r="BH34" s="5265">
        <v>0</v>
      </c>
      <c r="BI34" s="5265">
        <f t="shared" si="37"/>
        <v>0</v>
      </c>
      <c r="BJ34" s="5266">
        <f t="shared" si="13"/>
        <v>0</v>
      </c>
      <c r="BK34" s="559" t="b">
        <v>1</v>
      </c>
      <c r="BL34" s="5267">
        <v>1</v>
      </c>
      <c r="BM34" s="5265">
        <v>0</v>
      </c>
      <c r="BN34" s="5265"/>
      <c r="BO34" s="5265"/>
      <c r="BP34" s="5265"/>
      <c r="BQ34" s="5265"/>
      <c r="BR34" s="5265"/>
      <c r="BS34" s="5265"/>
      <c r="BT34" s="5265"/>
      <c r="BU34" s="5265"/>
      <c r="BV34" s="5265"/>
      <c r="BW34" s="5265"/>
      <c r="BX34" s="5265">
        <f t="shared" si="38"/>
        <v>1</v>
      </c>
      <c r="BY34" s="5266">
        <f t="shared" si="3"/>
        <v>0.5</v>
      </c>
      <c r="CA34" s="169">
        <f t="shared" si="4"/>
        <v>0</v>
      </c>
      <c r="CB34" s="169">
        <f t="shared" si="15"/>
        <v>-0.41666666666666669</v>
      </c>
      <c r="CC34" s="169">
        <f>IFERROR(
  SUM(
    _xlfn.XLOOKUP(DATE(YEAR($A$1),1,1),$2:$2,34:34):
    _xlfn.XLOOKUP($A$1,$2:$2,34:34)
  )
 -SUM(
    _xlfn.XLOOKUP(DATE(YEAR($A$1)-1,1,1),$2:$2,34:34):
    _xlfn.XLOOKUP(EDATE($A$1,-12),$2:$2,34:34)
  ),"")</f>
        <v>1</v>
      </c>
      <c r="CD34" s="4517">
        <f t="shared" si="5"/>
        <v>-1</v>
      </c>
    </row>
    <row r="35" spans="1:82" ht="17.600000000000001" x14ac:dyDescent="0.55000000000000004">
      <c r="A35" s="7383"/>
      <c r="B35" s="2062"/>
      <c r="C35" s="5263" t="s">
        <v>214</v>
      </c>
      <c r="D35" s="5264">
        <v>0</v>
      </c>
      <c r="E35" s="5265">
        <v>0</v>
      </c>
      <c r="F35" s="5265">
        <v>0</v>
      </c>
      <c r="G35" s="5265">
        <v>0</v>
      </c>
      <c r="H35" s="5265">
        <v>0</v>
      </c>
      <c r="I35" s="5265">
        <v>0</v>
      </c>
      <c r="J35" s="5265">
        <v>0</v>
      </c>
      <c r="K35" s="5265">
        <v>0</v>
      </c>
      <c r="L35" s="5265">
        <v>0</v>
      </c>
      <c r="M35" s="5265">
        <v>0</v>
      </c>
      <c r="N35" s="5265">
        <v>0</v>
      </c>
      <c r="O35" s="5265">
        <v>0</v>
      </c>
      <c r="P35" s="5265">
        <f t="shared" si="6"/>
        <v>0</v>
      </c>
      <c r="Q35" s="5266">
        <f t="shared" si="7"/>
        <v>0</v>
      </c>
      <c r="R35" s="2776">
        <v>0</v>
      </c>
      <c r="S35" s="5264">
        <v>0</v>
      </c>
      <c r="T35" s="5265">
        <v>0</v>
      </c>
      <c r="U35" s="5265">
        <v>0</v>
      </c>
      <c r="V35" s="5265">
        <v>0</v>
      </c>
      <c r="W35" s="5265">
        <v>0</v>
      </c>
      <c r="X35" s="5265">
        <v>0</v>
      </c>
      <c r="Y35" s="5265">
        <v>0</v>
      </c>
      <c r="Z35" s="5265">
        <v>0</v>
      </c>
      <c r="AA35" s="5265">
        <v>0</v>
      </c>
      <c r="AB35" s="5265">
        <v>0</v>
      </c>
      <c r="AC35" s="5265">
        <v>0</v>
      </c>
      <c r="AD35" s="5265">
        <v>1</v>
      </c>
      <c r="AE35" s="5265">
        <f t="shared" si="34"/>
        <v>1</v>
      </c>
      <c r="AF35" s="5266">
        <f t="shared" si="35"/>
        <v>8.3333333333333329E-2</v>
      </c>
      <c r="AG35" s="2776"/>
      <c r="AH35" s="5264"/>
      <c r="AI35" s="5265"/>
      <c r="AJ35" s="5265">
        <v>1</v>
      </c>
      <c r="AK35" s="5265"/>
      <c r="AL35" s="5265">
        <v>0</v>
      </c>
      <c r="AM35" s="5265">
        <v>0</v>
      </c>
      <c r="AN35" s="5265">
        <v>0</v>
      </c>
      <c r="AO35" s="5265"/>
      <c r="AP35" s="5265"/>
      <c r="AQ35" s="5265">
        <v>0</v>
      </c>
      <c r="AR35" s="5265"/>
      <c r="AS35" s="5265"/>
      <c r="AT35" s="5265">
        <f t="shared" si="36"/>
        <v>1</v>
      </c>
      <c r="AU35" s="5266">
        <f t="shared" si="11"/>
        <v>8.3333333333333329E-2</v>
      </c>
      <c r="AV35" s="559" t="b">
        <v>1</v>
      </c>
      <c r="AW35" s="5267">
        <v>0</v>
      </c>
      <c r="AX35" s="5265">
        <v>0</v>
      </c>
      <c r="AY35" s="5265">
        <v>0</v>
      </c>
      <c r="AZ35" s="5265">
        <v>0</v>
      </c>
      <c r="BA35" s="5265">
        <v>0</v>
      </c>
      <c r="BB35" s="5265">
        <v>0</v>
      </c>
      <c r="BC35" s="5265">
        <v>0</v>
      </c>
      <c r="BD35" s="5265">
        <v>0</v>
      </c>
      <c r="BE35" s="5265">
        <v>0</v>
      </c>
      <c r="BF35" s="5265">
        <v>0</v>
      </c>
      <c r="BG35" s="5265">
        <v>0</v>
      </c>
      <c r="BH35" s="5265">
        <v>0</v>
      </c>
      <c r="BI35" s="5265">
        <f t="shared" si="37"/>
        <v>0</v>
      </c>
      <c r="BJ35" s="5266">
        <f t="shared" si="13"/>
        <v>0</v>
      </c>
      <c r="BK35" s="559" t="b">
        <v>1</v>
      </c>
      <c r="BL35" s="5267">
        <v>0</v>
      </c>
      <c r="BM35" s="5265">
        <v>0</v>
      </c>
      <c r="BN35" s="5265"/>
      <c r="BO35" s="5265"/>
      <c r="BP35" s="5265"/>
      <c r="BQ35" s="5265"/>
      <c r="BR35" s="5265"/>
      <c r="BS35" s="5265"/>
      <c r="BT35" s="5265"/>
      <c r="BU35" s="5265"/>
      <c r="BV35" s="5265"/>
      <c r="BW35" s="5265"/>
      <c r="BX35" s="5265">
        <f t="shared" si="38"/>
        <v>0</v>
      </c>
      <c r="BY35" s="5266">
        <f t="shared" si="3"/>
        <v>0</v>
      </c>
      <c r="CA35" s="169">
        <f t="shared" si="4"/>
        <v>0</v>
      </c>
      <c r="CB35" s="169">
        <f t="shared" si="15"/>
        <v>-8.3333333333333329E-2</v>
      </c>
      <c r="CC35" s="169">
        <f>IFERROR(
  SUM(
    _xlfn.XLOOKUP(DATE(YEAR($A$1),1,1),$2:$2,35:35):
    _xlfn.XLOOKUP($A$1,$2:$2,35:35)
  )
 -SUM(
    _xlfn.XLOOKUP(DATE(YEAR($A$1)-1,1,1),$2:$2,35:35):
    _xlfn.XLOOKUP(EDATE($A$1,-12),$2:$2,35:35)
  ),"")</f>
        <v>0</v>
      </c>
      <c r="CD35" s="4517">
        <f t="shared" si="5"/>
        <v>0</v>
      </c>
    </row>
    <row r="36" spans="1:82" ht="17.600000000000001" x14ac:dyDescent="0.55000000000000004">
      <c r="A36" s="7383"/>
      <c r="B36" s="2062"/>
      <c r="C36" s="5258" t="s">
        <v>215</v>
      </c>
      <c r="D36" s="5259">
        <v>0</v>
      </c>
      <c r="E36" s="5260">
        <v>0</v>
      </c>
      <c r="F36" s="5260">
        <v>0</v>
      </c>
      <c r="G36" s="5260">
        <v>0</v>
      </c>
      <c r="H36" s="5260">
        <v>0</v>
      </c>
      <c r="I36" s="5260">
        <v>0</v>
      </c>
      <c r="J36" s="5260">
        <v>1</v>
      </c>
      <c r="K36" s="5260">
        <v>0</v>
      </c>
      <c r="L36" s="5260">
        <v>0</v>
      </c>
      <c r="M36" s="5260">
        <v>0</v>
      </c>
      <c r="N36" s="5260">
        <v>0</v>
      </c>
      <c r="O36" s="5260">
        <v>0</v>
      </c>
      <c r="P36" s="5260">
        <f t="shared" si="6"/>
        <v>8.3333333333333329E-2</v>
      </c>
      <c r="Q36" s="5261">
        <f t="shared" si="7"/>
        <v>8.3333333333333329E-2</v>
      </c>
      <c r="R36" s="2776">
        <v>0</v>
      </c>
      <c r="S36" s="5259">
        <v>0</v>
      </c>
      <c r="T36" s="5260">
        <v>0</v>
      </c>
      <c r="U36" s="5260">
        <v>0</v>
      </c>
      <c r="V36" s="5260">
        <v>1</v>
      </c>
      <c r="W36" s="5260">
        <v>1</v>
      </c>
      <c r="X36" s="5260">
        <v>0</v>
      </c>
      <c r="Y36" s="5260">
        <v>0</v>
      </c>
      <c r="Z36" s="5260">
        <v>0</v>
      </c>
      <c r="AA36" s="5260">
        <v>0</v>
      </c>
      <c r="AB36" s="5260">
        <v>0</v>
      </c>
      <c r="AC36" s="5260">
        <v>0</v>
      </c>
      <c r="AD36" s="5260">
        <v>0</v>
      </c>
      <c r="AE36" s="5260">
        <f t="shared" si="34"/>
        <v>2</v>
      </c>
      <c r="AF36" s="5261">
        <f t="shared" si="35"/>
        <v>0.16666666666666666</v>
      </c>
      <c r="AG36" s="2776"/>
      <c r="AH36" s="5259"/>
      <c r="AI36" s="5260"/>
      <c r="AJ36" s="5260"/>
      <c r="AK36" s="5260"/>
      <c r="AL36" s="5260">
        <v>2</v>
      </c>
      <c r="AM36" s="5260">
        <v>0</v>
      </c>
      <c r="AN36" s="5260">
        <v>1</v>
      </c>
      <c r="AO36" s="5260"/>
      <c r="AP36" s="5260"/>
      <c r="AQ36" s="5260">
        <v>0</v>
      </c>
      <c r="AR36" s="5260"/>
      <c r="AS36" s="5260">
        <v>1</v>
      </c>
      <c r="AT36" s="5260">
        <f t="shared" si="36"/>
        <v>4</v>
      </c>
      <c r="AU36" s="5261">
        <f t="shared" si="11"/>
        <v>0.33333333333333331</v>
      </c>
      <c r="AV36" s="559" t="b">
        <v>1</v>
      </c>
      <c r="AW36" s="5262">
        <v>0</v>
      </c>
      <c r="AX36" s="5260">
        <v>0</v>
      </c>
      <c r="AY36" s="5260">
        <v>0</v>
      </c>
      <c r="AZ36" s="5260">
        <v>0</v>
      </c>
      <c r="BA36" s="5260">
        <v>0</v>
      </c>
      <c r="BB36" s="5260">
        <v>0</v>
      </c>
      <c r="BC36" s="5260">
        <v>2</v>
      </c>
      <c r="BD36" s="5260">
        <v>0</v>
      </c>
      <c r="BE36" s="5260">
        <v>0</v>
      </c>
      <c r="BF36" s="5260">
        <v>0</v>
      </c>
      <c r="BG36" s="5260">
        <v>0</v>
      </c>
      <c r="BH36" s="5260">
        <v>0</v>
      </c>
      <c r="BI36" s="5260">
        <f t="shared" si="37"/>
        <v>2</v>
      </c>
      <c r="BJ36" s="5261">
        <f t="shared" si="13"/>
        <v>0.16666666666666666</v>
      </c>
      <c r="BK36" s="559" t="b">
        <v>1</v>
      </c>
      <c r="BL36" s="5262">
        <v>0</v>
      </c>
      <c r="BM36" s="5260">
        <v>0</v>
      </c>
      <c r="BN36" s="5260"/>
      <c r="BO36" s="5260"/>
      <c r="BP36" s="5260"/>
      <c r="BQ36" s="5260"/>
      <c r="BR36" s="5260"/>
      <c r="BS36" s="5260"/>
      <c r="BT36" s="5260"/>
      <c r="BU36" s="5260"/>
      <c r="BV36" s="5260"/>
      <c r="BW36" s="5260"/>
      <c r="BX36" s="5260">
        <f t="shared" si="38"/>
        <v>0</v>
      </c>
      <c r="BY36" s="5261">
        <f t="shared" ref="BY36:BY60" si="54">SUM(BL36:BW36)/MONTH($A$1)</f>
        <v>0</v>
      </c>
      <c r="CA36" s="169">
        <f t="shared" ref="CA36:CA67" si="55">IFERROR(_xlfn.XLOOKUP($A$1,$2:$2,36:36)-_xlfn.XLOOKUP(EDATE($A$1,-12),$2:$2,36:36),"")</f>
        <v>0</v>
      </c>
      <c r="CB36" s="169">
        <f t="shared" si="15"/>
        <v>-0.16666666666666666</v>
      </c>
      <c r="CC36" s="169">
        <f>IFERROR(
  SUM(
    _xlfn.XLOOKUP(DATE(YEAR($A$1),1,1),$2:$2,36:36):
    _xlfn.XLOOKUP($A$1,$2:$2,36:36)
  )
 -SUM(
    _xlfn.XLOOKUP(DATE(YEAR($A$1)-1,1,1),$2:$2,36:36):
    _xlfn.XLOOKUP(EDATE($A$1,-12),$2:$2,36:36)
  ),"")</f>
        <v>0</v>
      </c>
      <c r="CD36" s="4517">
        <f t="shared" ref="CD36:CD67" si="56">IFERROR(
  _xlfn.XLOOKUP($A$1,$2:$2,36:36)
 -_xlfn.XLOOKUP(EDATE($A$1,-1),$2:$2,36:36),"")</f>
        <v>0</v>
      </c>
    </row>
    <row r="37" spans="1:82" ht="17.600000000000001" x14ac:dyDescent="0.55000000000000004">
      <c r="A37" s="7383"/>
      <c r="B37" s="2062"/>
      <c r="C37" s="5258" t="s">
        <v>216</v>
      </c>
      <c r="D37" s="5259">
        <v>0</v>
      </c>
      <c r="E37" s="5260">
        <v>0</v>
      </c>
      <c r="F37" s="5260">
        <v>0</v>
      </c>
      <c r="G37" s="5260">
        <v>0</v>
      </c>
      <c r="H37" s="5260">
        <v>0</v>
      </c>
      <c r="I37" s="5260">
        <v>0</v>
      </c>
      <c r="J37" s="5260">
        <v>0</v>
      </c>
      <c r="K37" s="5260">
        <v>0</v>
      </c>
      <c r="L37" s="5260">
        <v>0</v>
      </c>
      <c r="M37" s="5260">
        <v>0</v>
      </c>
      <c r="N37" s="5260">
        <v>0</v>
      </c>
      <c r="O37" s="5260">
        <v>0</v>
      </c>
      <c r="P37" s="5260">
        <f t="shared" si="6"/>
        <v>0</v>
      </c>
      <c r="Q37" s="5261">
        <f t="shared" si="7"/>
        <v>0</v>
      </c>
      <c r="R37" s="2776">
        <v>0</v>
      </c>
      <c r="S37" s="5259">
        <v>0</v>
      </c>
      <c r="T37" s="5260">
        <v>0</v>
      </c>
      <c r="U37" s="5260">
        <v>0</v>
      </c>
      <c r="V37" s="5260">
        <v>0</v>
      </c>
      <c r="W37" s="5260">
        <v>0</v>
      </c>
      <c r="X37" s="5260">
        <v>0</v>
      </c>
      <c r="Y37" s="5260">
        <v>0</v>
      </c>
      <c r="Z37" s="5260">
        <v>0</v>
      </c>
      <c r="AA37" s="5260">
        <v>0</v>
      </c>
      <c r="AB37" s="5260">
        <v>0</v>
      </c>
      <c r="AC37" s="5260">
        <v>0</v>
      </c>
      <c r="AD37" s="5260">
        <v>0</v>
      </c>
      <c r="AE37" s="5260">
        <f t="shared" si="34"/>
        <v>0</v>
      </c>
      <c r="AF37" s="5261">
        <f t="shared" si="35"/>
        <v>0</v>
      </c>
      <c r="AG37" s="2776"/>
      <c r="AH37" s="5259"/>
      <c r="AI37" s="5260"/>
      <c r="AJ37" s="5260">
        <v>1</v>
      </c>
      <c r="AK37" s="5260"/>
      <c r="AL37" s="5260">
        <v>0</v>
      </c>
      <c r="AM37" s="5260">
        <v>0</v>
      </c>
      <c r="AN37" s="5260">
        <v>1</v>
      </c>
      <c r="AO37" s="5260"/>
      <c r="AP37" s="5260"/>
      <c r="AQ37" s="5260">
        <v>0</v>
      </c>
      <c r="AR37" s="5260"/>
      <c r="AS37" s="5260"/>
      <c r="AT37" s="5260">
        <f t="shared" si="36"/>
        <v>2</v>
      </c>
      <c r="AU37" s="5261">
        <f t="shared" si="11"/>
        <v>0.16666666666666666</v>
      </c>
      <c r="AV37" s="559" t="b">
        <v>1</v>
      </c>
      <c r="AW37" s="5262">
        <v>0</v>
      </c>
      <c r="AX37" s="5260">
        <v>0</v>
      </c>
      <c r="AY37" s="5260">
        <v>0</v>
      </c>
      <c r="AZ37" s="5260">
        <v>0</v>
      </c>
      <c r="BA37" s="5260">
        <v>0</v>
      </c>
      <c r="BB37" s="5260">
        <v>0</v>
      </c>
      <c r="BC37" s="5260">
        <v>0</v>
      </c>
      <c r="BD37" s="5260">
        <v>0</v>
      </c>
      <c r="BE37" s="5260">
        <v>0</v>
      </c>
      <c r="BF37" s="5260">
        <v>0</v>
      </c>
      <c r="BG37" s="5260">
        <v>0</v>
      </c>
      <c r="BH37" s="5260">
        <v>0</v>
      </c>
      <c r="BI37" s="5260">
        <f t="shared" si="37"/>
        <v>0</v>
      </c>
      <c r="BJ37" s="5261">
        <f t="shared" si="13"/>
        <v>0</v>
      </c>
      <c r="BK37" s="559" t="b">
        <v>1</v>
      </c>
      <c r="BL37" s="5262">
        <v>0</v>
      </c>
      <c r="BM37" s="5260">
        <v>0</v>
      </c>
      <c r="BN37" s="5260"/>
      <c r="BO37" s="5260"/>
      <c r="BP37" s="5260"/>
      <c r="BQ37" s="5260"/>
      <c r="BR37" s="5260"/>
      <c r="BS37" s="5260"/>
      <c r="BT37" s="5260"/>
      <c r="BU37" s="5260"/>
      <c r="BV37" s="5260"/>
      <c r="BW37" s="5260"/>
      <c r="BX37" s="5260">
        <f t="shared" si="38"/>
        <v>0</v>
      </c>
      <c r="BY37" s="5261">
        <f t="shared" si="54"/>
        <v>0</v>
      </c>
      <c r="CA37" s="169">
        <f t="shared" si="55"/>
        <v>0</v>
      </c>
      <c r="CB37" s="169">
        <f t="shared" si="15"/>
        <v>-0.16666666666666666</v>
      </c>
      <c r="CC37" s="169">
        <f>IFERROR(
  SUM(
    _xlfn.XLOOKUP(DATE(YEAR($A$1),1,1),$2:$2,37:37):
    _xlfn.XLOOKUP($A$1,$2:$2,37:37)
  )
 -SUM(
    _xlfn.XLOOKUP(DATE(YEAR($A$1)-1,1,1),$2:$2,37:37):
    _xlfn.XLOOKUP(EDATE($A$1,-12),$2:$2,37:37)
  ),"")</f>
        <v>0</v>
      </c>
      <c r="CD37" s="4517">
        <f t="shared" si="56"/>
        <v>0</v>
      </c>
    </row>
    <row r="38" spans="1:82" ht="17.600000000000001" x14ac:dyDescent="0.55000000000000004">
      <c r="A38" s="7383"/>
      <c r="B38" s="2062"/>
      <c r="C38" s="5263" t="s">
        <v>217</v>
      </c>
      <c r="D38" s="5264">
        <v>0</v>
      </c>
      <c r="E38" s="5265">
        <v>0</v>
      </c>
      <c r="F38" s="5265">
        <v>1</v>
      </c>
      <c r="G38" s="5265">
        <v>1</v>
      </c>
      <c r="H38" s="5265">
        <v>1</v>
      </c>
      <c r="I38" s="5265">
        <v>0</v>
      </c>
      <c r="J38" s="5265">
        <v>1</v>
      </c>
      <c r="K38" s="5265">
        <v>0</v>
      </c>
      <c r="L38" s="5265">
        <v>0</v>
      </c>
      <c r="M38" s="5265">
        <v>0</v>
      </c>
      <c r="N38" s="5265">
        <v>0</v>
      </c>
      <c r="O38" s="5265">
        <v>0</v>
      </c>
      <c r="P38" s="5265">
        <f t="shared" si="6"/>
        <v>0.33333333333333331</v>
      </c>
      <c r="Q38" s="5266">
        <f t="shared" si="7"/>
        <v>0.33333333333333331</v>
      </c>
      <c r="R38" s="2776">
        <v>0</v>
      </c>
      <c r="S38" s="5264">
        <v>1</v>
      </c>
      <c r="T38" s="5265">
        <v>0</v>
      </c>
      <c r="U38" s="5265">
        <v>0</v>
      </c>
      <c r="V38" s="5265">
        <v>0</v>
      </c>
      <c r="W38" s="5265">
        <v>0</v>
      </c>
      <c r="X38" s="5265">
        <v>0</v>
      </c>
      <c r="Y38" s="5265">
        <v>0</v>
      </c>
      <c r="Z38" s="5265">
        <v>0</v>
      </c>
      <c r="AA38" s="5265">
        <v>1</v>
      </c>
      <c r="AB38" s="5265">
        <v>0</v>
      </c>
      <c r="AC38" s="5265">
        <v>1</v>
      </c>
      <c r="AD38" s="5265">
        <v>0</v>
      </c>
      <c r="AE38" s="5265">
        <f t="shared" si="34"/>
        <v>3</v>
      </c>
      <c r="AF38" s="5266">
        <f t="shared" si="35"/>
        <v>0.25</v>
      </c>
      <c r="AG38" s="2776"/>
      <c r="AH38" s="5264"/>
      <c r="AI38" s="5265"/>
      <c r="AJ38" s="5265">
        <v>1</v>
      </c>
      <c r="AK38" s="5265"/>
      <c r="AL38" s="5265">
        <v>1</v>
      </c>
      <c r="AM38" s="5265">
        <v>0</v>
      </c>
      <c r="AN38" s="5265">
        <v>0</v>
      </c>
      <c r="AO38" s="5265">
        <v>1</v>
      </c>
      <c r="AP38" s="5265"/>
      <c r="AQ38" s="5265">
        <v>0</v>
      </c>
      <c r="AR38" s="5265"/>
      <c r="AS38" s="5265">
        <v>1</v>
      </c>
      <c r="AT38" s="5265">
        <f t="shared" si="36"/>
        <v>4</v>
      </c>
      <c r="AU38" s="5266">
        <f t="shared" si="11"/>
        <v>0.33333333333333331</v>
      </c>
      <c r="AV38" s="559" t="b">
        <v>1</v>
      </c>
      <c r="AW38" s="5267">
        <v>0</v>
      </c>
      <c r="AX38" s="5265">
        <v>0</v>
      </c>
      <c r="AY38" s="5265">
        <v>0</v>
      </c>
      <c r="AZ38" s="5265">
        <v>0</v>
      </c>
      <c r="BA38" s="5265">
        <v>0</v>
      </c>
      <c r="BB38" s="5265">
        <v>0</v>
      </c>
      <c r="BC38" s="5265">
        <v>0</v>
      </c>
      <c r="BD38" s="5265">
        <v>0</v>
      </c>
      <c r="BE38" s="5265">
        <v>0</v>
      </c>
      <c r="BF38" s="5265">
        <v>0</v>
      </c>
      <c r="BG38" s="5265">
        <v>0</v>
      </c>
      <c r="BH38" s="5265">
        <v>0</v>
      </c>
      <c r="BI38" s="5265">
        <f t="shared" si="37"/>
        <v>0</v>
      </c>
      <c r="BJ38" s="5266">
        <f t="shared" si="13"/>
        <v>0</v>
      </c>
      <c r="BK38" s="559" t="b">
        <v>1</v>
      </c>
      <c r="BL38" s="5267">
        <v>0</v>
      </c>
      <c r="BM38" s="5265">
        <v>1</v>
      </c>
      <c r="BN38" s="5265"/>
      <c r="BO38" s="5265"/>
      <c r="BP38" s="5265"/>
      <c r="BQ38" s="5265"/>
      <c r="BR38" s="5265"/>
      <c r="BS38" s="5265"/>
      <c r="BT38" s="5265"/>
      <c r="BU38" s="5265"/>
      <c r="BV38" s="5265"/>
      <c r="BW38" s="5265"/>
      <c r="BX38" s="5265">
        <f t="shared" si="38"/>
        <v>1</v>
      </c>
      <c r="BY38" s="5266">
        <f t="shared" si="54"/>
        <v>0.5</v>
      </c>
      <c r="CA38" s="169">
        <f t="shared" si="55"/>
        <v>1</v>
      </c>
      <c r="CB38" s="169">
        <f t="shared" si="15"/>
        <v>-0.33333333333333331</v>
      </c>
      <c r="CC38" s="169">
        <f>IFERROR(
  SUM(
    _xlfn.XLOOKUP(DATE(YEAR($A$1),1,1),$2:$2,38:38):
    _xlfn.XLOOKUP($A$1,$2:$2,38:38)
  )
 -SUM(
    _xlfn.XLOOKUP(DATE(YEAR($A$1)-1,1,1),$2:$2,38:38):
    _xlfn.XLOOKUP(EDATE($A$1,-12),$2:$2,38:38)
  ),"")</f>
        <v>1</v>
      </c>
      <c r="CD38" s="4517">
        <f t="shared" si="56"/>
        <v>1</v>
      </c>
    </row>
    <row r="39" spans="1:82" ht="17.600000000000001" x14ac:dyDescent="0.55000000000000004">
      <c r="A39" s="7383"/>
      <c r="B39" s="2062"/>
      <c r="C39" s="5263" t="s">
        <v>218</v>
      </c>
      <c r="D39" s="5264">
        <v>0</v>
      </c>
      <c r="E39" s="5265">
        <v>2</v>
      </c>
      <c r="F39" s="5265">
        <v>0</v>
      </c>
      <c r="G39" s="5265">
        <v>1</v>
      </c>
      <c r="H39" s="5265">
        <v>0</v>
      </c>
      <c r="I39" s="5265">
        <v>1</v>
      </c>
      <c r="J39" s="5265">
        <v>0</v>
      </c>
      <c r="K39" s="5265">
        <v>0</v>
      </c>
      <c r="L39" s="5265">
        <v>1</v>
      </c>
      <c r="M39" s="5265">
        <v>0</v>
      </c>
      <c r="N39" s="5265">
        <v>0</v>
      </c>
      <c r="O39" s="5265">
        <v>0</v>
      </c>
      <c r="P39" s="5265">
        <f t="shared" si="6"/>
        <v>0.41666666666666669</v>
      </c>
      <c r="Q39" s="5266">
        <f t="shared" si="7"/>
        <v>0.41666666666666669</v>
      </c>
      <c r="R39" s="2776">
        <v>0</v>
      </c>
      <c r="S39" s="5264">
        <v>0</v>
      </c>
      <c r="T39" s="5265">
        <v>0</v>
      </c>
      <c r="U39" s="5265">
        <v>0</v>
      </c>
      <c r="V39" s="5265">
        <v>1</v>
      </c>
      <c r="W39" s="5265">
        <v>0</v>
      </c>
      <c r="X39" s="5265">
        <v>0</v>
      </c>
      <c r="Y39" s="5265">
        <v>0</v>
      </c>
      <c r="Z39" s="5265">
        <v>0</v>
      </c>
      <c r="AA39" s="5265">
        <v>0</v>
      </c>
      <c r="AB39" s="5265">
        <v>0</v>
      </c>
      <c r="AC39" s="5265">
        <v>0</v>
      </c>
      <c r="AD39" s="5265">
        <v>0</v>
      </c>
      <c r="AE39" s="5265">
        <f t="shared" si="34"/>
        <v>1</v>
      </c>
      <c r="AF39" s="5266">
        <f t="shared" si="35"/>
        <v>8.3333333333333329E-2</v>
      </c>
      <c r="AG39" s="2776"/>
      <c r="AH39" s="5264"/>
      <c r="AI39" s="5265"/>
      <c r="AJ39" s="5265"/>
      <c r="AK39" s="5265"/>
      <c r="AL39" s="5265">
        <v>0</v>
      </c>
      <c r="AM39" s="5265">
        <v>0</v>
      </c>
      <c r="AN39" s="5265">
        <v>0</v>
      </c>
      <c r="AO39" s="5265"/>
      <c r="AP39" s="5265"/>
      <c r="AQ39" s="5265">
        <v>0</v>
      </c>
      <c r="AR39" s="5265"/>
      <c r="AS39" s="5265"/>
      <c r="AT39" s="5265">
        <f t="shared" si="36"/>
        <v>0</v>
      </c>
      <c r="AU39" s="5266">
        <f t="shared" si="11"/>
        <v>0</v>
      </c>
      <c r="AV39" s="559" t="b">
        <v>1</v>
      </c>
      <c r="AW39" s="5267">
        <v>0</v>
      </c>
      <c r="AX39" s="5265">
        <v>0</v>
      </c>
      <c r="AY39" s="5265">
        <v>0</v>
      </c>
      <c r="AZ39" s="5265">
        <v>0</v>
      </c>
      <c r="BA39" s="5265">
        <v>0</v>
      </c>
      <c r="BB39" s="5265">
        <v>0</v>
      </c>
      <c r="BC39" s="5265">
        <v>0</v>
      </c>
      <c r="BD39" s="5265">
        <v>0</v>
      </c>
      <c r="BE39" s="5265">
        <v>0</v>
      </c>
      <c r="BF39" s="5265">
        <v>0</v>
      </c>
      <c r="BG39" s="5265">
        <v>0</v>
      </c>
      <c r="BH39" s="5265">
        <v>0</v>
      </c>
      <c r="BI39" s="5265">
        <f t="shared" si="37"/>
        <v>0</v>
      </c>
      <c r="BJ39" s="5266">
        <f t="shared" si="13"/>
        <v>0</v>
      </c>
      <c r="BK39" s="559" t="b">
        <v>1</v>
      </c>
      <c r="BL39" s="5267">
        <v>0</v>
      </c>
      <c r="BM39" s="5265">
        <v>0</v>
      </c>
      <c r="BN39" s="5265"/>
      <c r="BO39" s="5265"/>
      <c r="BP39" s="5265"/>
      <c r="BQ39" s="5265"/>
      <c r="BR39" s="5265"/>
      <c r="BS39" s="5265"/>
      <c r="BT39" s="5265"/>
      <c r="BU39" s="5265"/>
      <c r="BV39" s="5265"/>
      <c r="BW39" s="5265"/>
      <c r="BX39" s="5265">
        <f t="shared" si="38"/>
        <v>0</v>
      </c>
      <c r="BY39" s="5266">
        <f t="shared" si="54"/>
        <v>0</v>
      </c>
      <c r="CA39" s="169">
        <f t="shared" si="55"/>
        <v>0</v>
      </c>
      <c r="CB39" s="169">
        <f t="shared" si="15"/>
        <v>0</v>
      </c>
      <c r="CC39" s="169">
        <f>IFERROR(
  SUM(
    _xlfn.XLOOKUP(DATE(YEAR($A$1),1,1),$2:$2,39:39):
    _xlfn.XLOOKUP($A$1,$2:$2,39:39)
  )
 -SUM(
    _xlfn.XLOOKUP(DATE(YEAR($A$1)-1,1,1),$2:$2,39:39):
    _xlfn.XLOOKUP(EDATE($A$1,-12),$2:$2,39:39)
  ),"")</f>
        <v>0</v>
      </c>
      <c r="CD39" s="4517">
        <f t="shared" si="56"/>
        <v>0</v>
      </c>
    </row>
    <row r="40" spans="1:82" ht="17.600000000000001" x14ac:dyDescent="0.55000000000000004">
      <c r="A40" s="7383"/>
      <c r="B40" s="2062"/>
      <c r="C40" s="5258" t="s">
        <v>219</v>
      </c>
      <c r="D40" s="5259">
        <v>0</v>
      </c>
      <c r="E40" s="5260">
        <v>0</v>
      </c>
      <c r="F40" s="5260">
        <v>0</v>
      </c>
      <c r="G40" s="5260">
        <v>1</v>
      </c>
      <c r="H40" s="5260">
        <v>0</v>
      </c>
      <c r="I40" s="5260">
        <v>0</v>
      </c>
      <c r="J40" s="5260">
        <v>0</v>
      </c>
      <c r="K40" s="5260">
        <v>0</v>
      </c>
      <c r="L40" s="5260">
        <v>0</v>
      </c>
      <c r="M40" s="5260">
        <v>0</v>
      </c>
      <c r="N40" s="5260">
        <v>0</v>
      </c>
      <c r="O40" s="5260">
        <v>0</v>
      </c>
      <c r="P40" s="5260">
        <f t="shared" si="6"/>
        <v>8.3333333333333329E-2</v>
      </c>
      <c r="Q40" s="5261">
        <f t="shared" si="7"/>
        <v>8.3333333333333329E-2</v>
      </c>
      <c r="R40" s="2776">
        <v>0</v>
      </c>
      <c r="S40" s="5259">
        <v>0</v>
      </c>
      <c r="T40" s="5260">
        <v>0</v>
      </c>
      <c r="U40" s="5260">
        <v>0</v>
      </c>
      <c r="V40" s="5260">
        <v>0</v>
      </c>
      <c r="W40" s="5260">
        <v>0</v>
      </c>
      <c r="X40" s="5260">
        <v>0</v>
      </c>
      <c r="Y40" s="5260">
        <v>0</v>
      </c>
      <c r="Z40" s="5260">
        <v>0</v>
      </c>
      <c r="AA40" s="5260">
        <v>0</v>
      </c>
      <c r="AB40" s="5260">
        <v>0</v>
      </c>
      <c r="AC40" s="5260">
        <v>0</v>
      </c>
      <c r="AD40" s="5260">
        <v>0</v>
      </c>
      <c r="AE40" s="5260">
        <f t="shared" si="34"/>
        <v>0</v>
      </c>
      <c r="AF40" s="5261">
        <f t="shared" si="35"/>
        <v>0</v>
      </c>
      <c r="AG40" s="2776"/>
      <c r="AH40" s="5259"/>
      <c r="AI40" s="5260"/>
      <c r="AJ40" s="5260"/>
      <c r="AK40" s="5260">
        <v>1</v>
      </c>
      <c r="AL40" s="5260">
        <v>0</v>
      </c>
      <c r="AM40" s="5260">
        <v>0</v>
      </c>
      <c r="AN40" s="5260">
        <v>0</v>
      </c>
      <c r="AO40" s="5260">
        <v>1</v>
      </c>
      <c r="AP40" s="5260"/>
      <c r="AQ40" s="5260">
        <v>0</v>
      </c>
      <c r="AR40" s="5260">
        <v>1</v>
      </c>
      <c r="AS40" s="5260"/>
      <c r="AT40" s="5260">
        <f t="shared" si="36"/>
        <v>3</v>
      </c>
      <c r="AU40" s="5261">
        <f t="shared" si="11"/>
        <v>0.25</v>
      </c>
      <c r="AV40" s="559" t="b">
        <v>1</v>
      </c>
      <c r="AW40" s="5262">
        <v>0</v>
      </c>
      <c r="AX40" s="5260">
        <v>0</v>
      </c>
      <c r="AY40" s="5260">
        <v>0</v>
      </c>
      <c r="AZ40" s="5260">
        <v>0</v>
      </c>
      <c r="BA40" s="5260">
        <v>0</v>
      </c>
      <c r="BB40" s="5260">
        <v>0</v>
      </c>
      <c r="BC40" s="5260">
        <v>0</v>
      </c>
      <c r="BD40" s="5260">
        <v>0</v>
      </c>
      <c r="BE40" s="5260">
        <v>0</v>
      </c>
      <c r="BF40" s="5260">
        <v>0</v>
      </c>
      <c r="BG40" s="5260">
        <v>0</v>
      </c>
      <c r="BH40" s="5260">
        <v>0</v>
      </c>
      <c r="BI40" s="5260">
        <f t="shared" si="37"/>
        <v>0</v>
      </c>
      <c r="BJ40" s="5261">
        <f t="shared" si="13"/>
        <v>0</v>
      </c>
      <c r="BK40" s="559" t="b">
        <v>1</v>
      </c>
      <c r="BL40" s="5262">
        <v>0</v>
      </c>
      <c r="BM40" s="5260">
        <v>0</v>
      </c>
      <c r="BN40" s="5260"/>
      <c r="BO40" s="5260"/>
      <c r="BP40" s="5260"/>
      <c r="BQ40" s="5260"/>
      <c r="BR40" s="5260"/>
      <c r="BS40" s="5260"/>
      <c r="BT40" s="5260"/>
      <c r="BU40" s="5260"/>
      <c r="BV40" s="5260"/>
      <c r="BW40" s="5260"/>
      <c r="BX40" s="5260">
        <f t="shared" si="38"/>
        <v>0</v>
      </c>
      <c r="BY40" s="5261">
        <f t="shared" si="54"/>
        <v>0</v>
      </c>
      <c r="CA40" s="169">
        <f t="shared" si="55"/>
        <v>0</v>
      </c>
      <c r="CB40" s="169">
        <f t="shared" si="15"/>
        <v>-0.25</v>
      </c>
      <c r="CC40" s="169">
        <f>IFERROR(
  SUM(
    _xlfn.XLOOKUP(DATE(YEAR($A$1),1,1),$2:$2,40:40):
    _xlfn.XLOOKUP($A$1,$2:$2,40:40)
  )
 -SUM(
    _xlfn.XLOOKUP(DATE(YEAR($A$1)-1,1,1),$2:$2,40:40):
    _xlfn.XLOOKUP(EDATE($A$1,-12),$2:$2,40:40)
  ),"")</f>
        <v>0</v>
      </c>
      <c r="CD40" s="4517">
        <f t="shared" si="56"/>
        <v>0</v>
      </c>
    </row>
    <row r="41" spans="1:82" ht="18" thickBot="1" x14ac:dyDescent="0.6">
      <c r="A41" s="7384"/>
      <c r="B41" s="5268"/>
      <c r="C41" s="5269" t="s">
        <v>220</v>
      </c>
      <c r="D41" s="5270">
        <v>0</v>
      </c>
      <c r="E41" s="5271">
        <v>0</v>
      </c>
      <c r="F41" s="5271">
        <v>0</v>
      </c>
      <c r="G41" s="5271">
        <v>0</v>
      </c>
      <c r="H41" s="5271">
        <v>0</v>
      </c>
      <c r="I41" s="5271">
        <v>0</v>
      </c>
      <c r="J41" s="5271">
        <v>1</v>
      </c>
      <c r="K41" s="5271">
        <v>0</v>
      </c>
      <c r="L41" s="5271">
        <v>0</v>
      </c>
      <c r="M41" s="5271">
        <v>0</v>
      </c>
      <c r="N41" s="5271">
        <v>0</v>
      </c>
      <c r="O41" s="5271">
        <v>0</v>
      </c>
      <c r="P41" s="5271">
        <f t="shared" si="6"/>
        <v>8.3333333333333329E-2</v>
      </c>
      <c r="Q41" s="5272">
        <f t="shared" si="7"/>
        <v>8.3333333333333329E-2</v>
      </c>
      <c r="R41" s="2776">
        <v>0</v>
      </c>
      <c r="S41" s="5270">
        <v>1</v>
      </c>
      <c r="T41" s="5271">
        <v>0</v>
      </c>
      <c r="U41" s="5271">
        <v>0</v>
      </c>
      <c r="V41" s="5271">
        <v>0</v>
      </c>
      <c r="W41" s="5271">
        <v>0</v>
      </c>
      <c r="X41" s="5271">
        <v>0</v>
      </c>
      <c r="Y41" s="5271">
        <v>0</v>
      </c>
      <c r="Z41" s="5271">
        <v>0</v>
      </c>
      <c r="AA41" s="5271">
        <v>0</v>
      </c>
      <c r="AB41" s="5271">
        <v>0</v>
      </c>
      <c r="AC41" s="5271">
        <v>1</v>
      </c>
      <c r="AD41" s="5271">
        <v>0</v>
      </c>
      <c r="AE41" s="5271">
        <f t="shared" si="34"/>
        <v>2</v>
      </c>
      <c r="AF41" s="5272">
        <f t="shared" si="35"/>
        <v>0.16666666666666666</v>
      </c>
      <c r="AG41" s="2776"/>
      <c r="AH41" s="5270"/>
      <c r="AI41" s="5271"/>
      <c r="AJ41" s="5271"/>
      <c r="AK41" s="5271">
        <v>1</v>
      </c>
      <c r="AL41" s="5271">
        <v>0</v>
      </c>
      <c r="AM41" s="5271">
        <v>1</v>
      </c>
      <c r="AN41" s="5271">
        <v>0</v>
      </c>
      <c r="AO41" s="5271"/>
      <c r="AP41" s="5271"/>
      <c r="AQ41" s="5271">
        <v>0</v>
      </c>
      <c r="AR41" s="5271"/>
      <c r="AS41" s="5271"/>
      <c r="AT41" s="5271">
        <f t="shared" si="36"/>
        <v>2</v>
      </c>
      <c r="AU41" s="5272">
        <f t="shared" si="11"/>
        <v>0.16666666666666666</v>
      </c>
      <c r="AV41" s="559" t="b">
        <v>1</v>
      </c>
      <c r="AW41" s="5273">
        <v>0</v>
      </c>
      <c r="AX41" s="5271">
        <v>0</v>
      </c>
      <c r="AY41" s="5271">
        <v>0</v>
      </c>
      <c r="AZ41" s="5271">
        <v>0</v>
      </c>
      <c r="BA41" s="5271">
        <v>0</v>
      </c>
      <c r="BB41" s="5271">
        <v>0</v>
      </c>
      <c r="BC41" s="5271">
        <v>0</v>
      </c>
      <c r="BD41" s="5271">
        <v>0</v>
      </c>
      <c r="BE41" s="5271">
        <v>0</v>
      </c>
      <c r="BF41" s="5271">
        <v>0</v>
      </c>
      <c r="BG41" s="5271">
        <v>1</v>
      </c>
      <c r="BH41" s="5271">
        <v>0</v>
      </c>
      <c r="BI41" s="5271">
        <f t="shared" si="37"/>
        <v>1</v>
      </c>
      <c r="BJ41" s="5272">
        <f t="shared" si="13"/>
        <v>8.3333333333333329E-2</v>
      </c>
      <c r="BK41" s="559" t="b">
        <v>1</v>
      </c>
      <c r="BL41" s="5273">
        <v>0</v>
      </c>
      <c r="BM41" s="5271">
        <v>0</v>
      </c>
      <c r="BN41" s="5271"/>
      <c r="BO41" s="5271"/>
      <c r="BP41" s="5271"/>
      <c r="BQ41" s="5271"/>
      <c r="BR41" s="5271"/>
      <c r="BS41" s="5271"/>
      <c r="BT41" s="5271"/>
      <c r="BU41" s="5271"/>
      <c r="BV41" s="5271"/>
      <c r="BW41" s="5271"/>
      <c r="BX41" s="5271">
        <f t="shared" si="38"/>
        <v>0</v>
      </c>
      <c r="BY41" s="5272">
        <f t="shared" si="54"/>
        <v>0</v>
      </c>
      <c r="CA41" s="169">
        <f t="shared" si="55"/>
        <v>0</v>
      </c>
      <c r="CB41" s="169">
        <f t="shared" si="15"/>
        <v>-8.3333333333333329E-2</v>
      </c>
      <c r="CC41" s="169">
        <f>IFERROR(
  SUM(
    _xlfn.XLOOKUP(DATE(YEAR($A$1),1,1),$2:$2,41:41):
    _xlfn.XLOOKUP($A$1,$2:$2,41:41)
  )
 -SUM(
    _xlfn.XLOOKUP(DATE(YEAR($A$1)-1,1,1),$2:$2,41:41):
    _xlfn.XLOOKUP(EDATE($A$1,-12),$2:$2,41:41)
  ),"")</f>
        <v>0</v>
      </c>
      <c r="CD41" s="4517">
        <f t="shared" si="56"/>
        <v>0</v>
      </c>
    </row>
    <row r="42" spans="1:82" ht="17.600000000000001" x14ac:dyDescent="0.55000000000000004">
      <c r="A42" s="7382" t="s">
        <v>376</v>
      </c>
      <c r="B42" s="857" t="s">
        <v>242</v>
      </c>
      <c r="C42" s="858"/>
      <c r="D42" s="5236">
        <f t="shared" ref="D42:O42" si="57">SUM(D43:D45)</f>
        <v>0</v>
      </c>
      <c r="E42" s="5237">
        <f t="shared" si="57"/>
        <v>2</v>
      </c>
      <c r="F42" s="5237">
        <f t="shared" si="57"/>
        <v>0</v>
      </c>
      <c r="G42" s="5237">
        <f t="shared" si="57"/>
        <v>1</v>
      </c>
      <c r="H42" s="5237">
        <f t="shared" si="57"/>
        <v>0</v>
      </c>
      <c r="I42" s="5237">
        <f t="shared" si="57"/>
        <v>5</v>
      </c>
      <c r="J42" s="5237">
        <f t="shared" si="57"/>
        <v>2</v>
      </c>
      <c r="K42" s="5237">
        <f t="shared" si="57"/>
        <v>2</v>
      </c>
      <c r="L42" s="5237">
        <f t="shared" si="57"/>
        <v>0</v>
      </c>
      <c r="M42" s="5237">
        <f t="shared" si="57"/>
        <v>2</v>
      </c>
      <c r="N42" s="5237">
        <f t="shared" si="57"/>
        <v>0</v>
      </c>
      <c r="O42" s="5237">
        <f t="shared" si="57"/>
        <v>5</v>
      </c>
      <c r="P42" s="5237">
        <f t="shared" si="6"/>
        <v>1.5833333333333333</v>
      </c>
      <c r="Q42" s="5238">
        <f t="shared" si="7"/>
        <v>1.5833333333333333</v>
      </c>
      <c r="R42" s="2776"/>
      <c r="S42" s="5236">
        <f t="shared" ref="S42:AD42" si="58">SUM(S43:S45)</f>
        <v>1</v>
      </c>
      <c r="T42" s="5237">
        <f t="shared" si="58"/>
        <v>0</v>
      </c>
      <c r="U42" s="5237">
        <f t="shared" si="58"/>
        <v>5</v>
      </c>
      <c r="V42" s="5237">
        <f t="shared" si="58"/>
        <v>1</v>
      </c>
      <c r="W42" s="5237">
        <f t="shared" si="58"/>
        <v>1</v>
      </c>
      <c r="X42" s="5237">
        <f t="shared" si="58"/>
        <v>1</v>
      </c>
      <c r="Y42" s="5237">
        <f t="shared" si="58"/>
        <v>1</v>
      </c>
      <c r="Z42" s="5237">
        <f t="shared" si="58"/>
        <v>2</v>
      </c>
      <c r="AA42" s="5237">
        <f t="shared" si="58"/>
        <v>1</v>
      </c>
      <c r="AB42" s="5237">
        <f t="shared" si="58"/>
        <v>2</v>
      </c>
      <c r="AC42" s="5237">
        <f t="shared" si="58"/>
        <v>3</v>
      </c>
      <c r="AD42" s="5237">
        <f t="shared" si="58"/>
        <v>2</v>
      </c>
      <c r="AE42" s="5237">
        <f>SUM(S42:AD42)</f>
        <v>20</v>
      </c>
      <c r="AF42" s="5238">
        <f>AE42/12</f>
        <v>1.6666666666666667</v>
      </c>
      <c r="AG42" s="2776"/>
      <c r="AH42" s="5236">
        <f t="shared" ref="AH42:AM42" si="59">SUM(AH43:AH45)</f>
        <v>1</v>
      </c>
      <c r="AI42" s="5237">
        <f t="shared" si="59"/>
        <v>4</v>
      </c>
      <c r="AJ42" s="5237">
        <f t="shared" si="59"/>
        <v>1</v>
      </c>
      <c r="AK42" s="5237">
        <f t="shared" si="59"/>
        <v>2</v>
      </c>
      <c r="AL42" s="5237">
        <f t="shared" si="59"/>
        <v>2</v>
      </c>
      <c r="AM42" s="5237">
        <f t="shared" si="59"/>
        <v>1</v>
      </c>
      <c r="AN42" s="5237">
        <v>1</v>
      </c>
      <c r="AO42" s="5237">
        <f>SUM(AO43:AO45)</f>
        <v>2</v>
      </c>
      <c r="AP42" s="5237">
        <f>SUM(AP43:AP45)</f>
        <v>0</v>
      </c>
      <c r="AQ42" s="5237">
        <f>SUM(AQ43:AQ45)</f>
        <v>1</v>
      </c>
      <c r="AR42" s="5237">
        <f>SUM(AR43:AR45)</f>
        <v>2</v>
      </c>
      <c r="AS42" s="5237">
        <v>1</v>
      </c>
      <c r="AT42" s="5237">
        <f t="shared" si="36"/>
        <v>18</v>
      </c>
      <c r="AU42" s="5238">
        <f t="shared" si="11"/>
        <v>1.5</v>
      </c>
      <c r="AV42" s="559" t="b">
        <v>1</v>
      </c>
      <c r="AW42" s="5239">
        <v>2</v>
      </c>
      <c r="AX42" s="5237">
        <v>3</v>
      </c>
      <c r="AY42" s="5237">
        <v>7</v>
      </c>
      <c r="AZ42" s="5237">
        <v>4</v>
      </c>
      <c r="BA42" s="5237">
        <v>1</v>
      </c>
      <c r="BB42" s="5237">
        <v>5</v>
      </c>
      <c r="BC42" s="5237">
        <v>0</v>
      </c>
      <c r="BD42" s="5237">
        <v>1</v>
      </c>
      <c r="BE42" s="5237">
        <v>1</v>
      </c>
      <c r="BF42" s="5237">
        <v>1</v>
      </c>
      <c r="BG42" s="5237">
        <v>1</v>
      </c>
      <c r="BH42" s="5237">
        <v>3</v>
      </c>
      <c r="BI42" s="5237">
        <f>SUM(AW42:BH42)</f>
        <v>29</v>
      </c>
      <c r="BJ42" s="5238">
        <f t="shared" si="13"/>
        <v>2.4166666666666665</v>
      </c>
      <c r="BK42" s="559" t="b">
        <v>1</v>
      </c>
      <c r="BL42" s="5239">
        <v>0</v>
      </c>
      <c r="BM42" s="5237">
        <v>0</v>
      </c>
      <c r="BN42" s="5237"/>
      <c r="BO42" s="5237"/>
      <c r="BP42" s="5237"/>
      <c r="BQ42" s="5237"/>
      <c r="BR42" s="5237"/>
      <c r="BS42" s="5237"/>
      <c r="BT42" s="5237"/>
      <c r="BU42" s="5237"/>
      <c r="BV42" s="5237"/>
      <c r="BW42" s="5237"/>
      <c r="BX42" s="5237">
        <f>SUM(BL42:BW42)</f>
        <v>0</v>
      </c>
      <c r="BY42" s="5238">
        <f t="shared" si="54"/>
        <v>0</v>
      </c>
      <c r="CA42" s="169">
        <f t="shared" si="55"/>
        <v>-3</v>
      </c>
      <c r="CB42" s="169">
        <f t="shared" si="15"/>
        <v>0.91666666666666652</v>
      </c>
      <c r="CC42" s="169">
        <f>IFERROR(
  SUM(
    _xlfn.XLOOKUP(DATE(YEAR($A$1),1,1),$2:$2,42:42):
    _xlfn.XLOOKUP($A$1,$2:$2,42:42)
  )
 -SUM(
    _xlfn.XLOOKUP(DATE(YEAR($A$1)-1,1,1),$2:$2,42:42):
    _xlfn.XLOOKUP(EDATE($A$1,-12),$2:$2,42:42)
  ),"")</f>
        <v>-5</v>
      </c>
      <c r="CD42" s="4517">
        <f t="shared" si="56"/>
        <v>0</v>
      </c>
    </row>
    <row r="43" spans="1:82" ht="17.600000000000001" x14ac:dyDescent="0.55000000000000004">
      <c r="A43" s="7383"/>
      <c r="B43" s="1168"/>
      <c r="C43" s="1534" t="s">
        <v>243</v>
      </c>
      <c r="D43" s="5240">
        <v>0</v>
      </c>
      <c r="E43" s="4451">
        <v>0</v>
      </c>
      <c r="F43" s="4451">
        <v>0</v>
      </c>
      <c r="G43" s="4451">
        <v>0</v>
      </c>
      <c r="H43" s="4451">
        <v>0</v>
      </c>
      <c r="I43" s="4451">
        <v>0</v>
      </c>
      <c r="J43" s="4451">
        <v>0</v>
      </c>
      <c r="K43" s="4451">
        <v>0</v>
      </c>
      <c r="L43" s="4451">
        <v>0</v>
      </c>
      <c r="M43" s="4451">
        <v>0</v>
      </c>
      <c r="N43" s="4451">
        <v>0</v>
      </c>
      <c r="O43" s="4451">
        <v>0</v>
      </c>
      <c r="P43" s="4451">
        <f t="shared" si="6"/>
        <v>0</v>
      </c>
      <c r="Q43" s="5241">
        <f t="shared" si="7"/>
        <v>0</v>
      </c>
      <c r="R43" s="2776"/>
      <c r="S43" s="5240">
        <v>0</v>
      </c>
      <c r="T43" s="4451">
        <v>0</v>
      </c>
      <c r="U43" s="4451">
        <v>0</v>
      </c>
      <c r="V43" s="4451">
        <v>0</v>
      </c>
      <c r="W43" s="4451">
        <v>0</v>
      </c>
      <c r="X43" s="4451">
        <v>0</v>
      </c>
      <c r="Y43" s="4451">
        <v>0</v>
      </c>
      <c r="Z43" s="4451">
        <v>0</v>
      </c>
      <c r="AA43" s="4451">
        <v>0</v>
      </c>
      <c r="AB43" s="4451">
        <v>0</v>
      </c>
      <c r="AC43" s="4451">
        <v>0</v>
      </c>
      <c r="AD43" s="4451">
        <v>0</v>
      </c>
      <c r="AE43" s="4451">
        <f t="shared" ref="AE43:AE60" si="60">SUM(S43:AD43)</f>
        <v>0</v>
      </c>
      <c r="AF43" s="5241">
        <f t="shared" ref="AF43:AF60" si="61">AE43/12</f>
        <v>0</v>
      </c>
      <c r="AG43" s="2776"/>
      <c r="AH43" s="5240">
        <v>0</v>
      </c>
      <c r="AI43" s="4451">
        <v>0</v>
      </c>
      <c r="AJ43" s="4451">
        <v>0</v>
      </c>
      <c r="AK43" s="4451">
        <v>0</v>
      </c>
      <c r="AL43" s="4451">
        <v>0</v>
      </c>
      <c r="AM43" s="4451">
        <v>0</v>
      </c>
      <c r="AN43" s="4451">
        <v>0</v>
      </c>
      <c r="AO43" s="4451"/>
      <c r="AP43" s="4451"/>
      <c r="AQ43" s="4451">
        <v>0</v>
      </c>
      <c r="AR43" s="4451">
        <v>0</v>
      </c>
      <c r="AS43" s="4451">
        <v>0</v>
      </c>
      <c r="AT43" s="4451">
        <f t="shared" si="36"/>
        <v>0</v>
      </c>
      <c r="AU43" s="5241">
        <f t="shared" si="11"/>
        <v>0</v>
      </c>
      <c r="AV43" s="559" t="b">
        <v>1</v>
      </c>
      <c r="AW43" s="5242">
        <v>0</v>
      </c>
      <c r="AX43" s="4451">
        <v>0</v>
      </c>
      <c r="AY43" s="4451">
        <v>0</v>
      </c>
      <c r="AZ43" s="4451">
        <v>0</v>
      </c>
      <c r="BA43" s="4451">
        <v>0</v>
      </c>
      <c r="BB43" s="4451">
        <v>0</v>
      </c>
      <c r="BC43" s="4451">
        <v>0</v>
      </c>
      <c r="BD43" s="4451">
        <v>0</v>
      </c>
      <c r="BE43" s="4451">
        <v>0</v>
      </c>
      <c r="BF43" s="4451">
        <v>0</v>
      </c>
      <c r="BG43" s="4451">
        <v>0</v>
      </c>
      <c r="BH43" s="4451">
        <v>0</v>
      </c>
      <c r="BI43" s="4451">
        <f t="shared" ref="BI43:BI60" si="62">SUM(AW43:BH43)</f>
        <v>0</v>
      </c>
      <c r="BJ43" s="5241">
        <f t="shared" si="13"/>
        <v>0</v>
      </c>
      <c r="BK43" s="559" t="b">
        <v>1</v>
      </c>
      <c r="BL43" s="5242">
        <v>0</v>
      </c>
      <c r="BM43" s="4451">
        <v>0</v>
      </c>
      <c r="BN43" s="4451"/>
      <c r="BO43" s="4451"/>
      <c r="BP43" s="4451"/>
      <c r="BQ43" s="4451"/>
      <c r="BR43" s="4451"/>
      <c r="BS43" s="4451"/>
      <c r="BT43" s="4451"/>
      <c r="BU43" s="4451"/>
      <c r="BV43" s="4451"/>
      <c r="BW43" s="4451"/>
      <c r="BX43" s="4451">
        <f t="shared" ref="BX43:BX60" si="63">SUM(BL43:BW43)</f>
        <v>0</v>
      </c>
      <c r="BY43" s="5241">
        <f t="shared" si="54"/>
        <v>0</v>
      </c>
      <c r="CA43" s="169">
        <f t="shared" si="55"/>
        <v>0</v>
      </c>
      <c r="CB43" s="169">
        <f t="shared" si="15"/>
        <v>0</v>
      </c>
      <c r="CC43" s="169">
        <f>IFERROR(
  SUM(
    _xlfn.XLOOKUP(DATE(YEAR($A$1),1,1),$2:$2,43:43):
    _xlfn.XLOOKUP($A$1,$2:$2,43:43)
  )
 -SUM(
    _xlfn.XLOOKUP(DATE(YEAR($A$1)-1,1,1),$2:$2,43:43):
    _xlfn.XLOOKUP(EDATE($A$1,-12),$2:$2,43:43)
  ),"")</f>
        <v>0</v>
      </c>
      <c r="CD43" s="4517">
        <f t="shared" si="56"/>
        <v>0</v>
      </c>
    </row>
    <row r="44" spans="1:82" ht="17.600000000000001" x14ac:dyDescent="0.55000000000000004">
      <c r="A44" s="7383"/>
      <c r="B44" s="1168"/>
      <c r="C44" s="1534" t="s">
        <v>245</v>
      </c>
      <c r="D44" s="5240">
        <v>0</v>
      </c>
      <c r="E44" s="4451">
        <v>2</v>
      </c>
      <c r="F44" s="4451">
        <v>0</v>
      </c>
      <c r="G44" s="4451">
        <v>1</v>
      </c>
      <c r="H44" s="4451">
        <v>0</v>
      </c>
      <c r="I44" s="4451">
        <v>5</v>
      </c>
      <c r="J44" s="4451">
        <v>2</v>
      </c>
      <c r="K44" s="4451">
        <v>2</v>
      </c>
      <c r="L44" s="4451">
        <v>0</v>
      </c>
      <c r="M44" s="4451">
        <v>2</v>
      </c>
      <c r="N44" s="4451">
        <v>0</v>
      </c>
      <c r="O44" s="4451">
        <v>4</v>
      </c>
      <c r="P44" s="4451">
        <f t="shared" si="6"/>
        <v>1.5</v>
      </c>
      <c r="Q44" s="5241">
        <f t="shared" si="7"/>
        <v>1.5</v>
      </c>
      <c r="R44" s="2776"/>
      <c r="S44" s="5240">
        <v>1</v>
      </c>
      <c r="T44" s="4451">
        <v>0</v>
      </c>
      <c r="U44" s="4451">
        <v>5</v>
      </c>
      <c r="V44" s="4451">
        <v>1</v>
      </c>
      <c r="W44" s="4451">
        <v>1</v>
      </c>
      <c r="X44" s="4451">
        <v>1</v>
      </c>
      <c r="Y44" s="4451">
        <v>1</v>
      </c>
      <c r="Z44" s="4451">
        <v>2</v>
      </c>
      <c r="AA44" s="4451">
        <v>1</v>
      </c>
      <c r="AB44" s="4451">
        <v>1</v>
      </c>
      <c r="AC44" s="4451">
        <v>2</v>
      </c>
      <c r="AD44" s="4451">
        <v>1</v>
      </c>
      <c r="AE44" s="4451">
        <f t="shared" si="60"/>
        <v>17</v>
      </c>
      <c r="AF44" s="5241">
        <f t="shared" si="61"/>
        <v>1.4166666666666667</v>
      </c>
      <c r="AG44" s="2776"/>
      <c r="AH44" s="5240">
        <v>1</v>
      </c>
      <c r="AI44" s="4451">
        <v>4</v>
      </c>
      <c r="AJ44" s="4451">
        <v>1</v>
      </c>
      <c r="AK44" s="4451">
        <v>2</v>
      </c>
      <c r="AL44" s="4451">
        <v>1</v>
      </c>
      <c r="AM44" s="4451">
        <v>1</v>
      </c>
      <c r="AN44" s="4451">
        <v>1</v>
      </c>
      <c r="AO44" s="4451">
        <v>2</v>
      </c>
      <c r="AP44" s="4451"/>
      <c r="AQ44" s="4451">
        <v>1</v>
      </c>
      <c r="AR44" s="4451">
        <v>2</v>
      </c>
      <c r="AS44" s="4451">
        <v>0</v>
      </c>
      <c r="AT44" s="4451">
        <f t="shared" si="36"/>
        <v>16</v>
      </c>
      <c r="AU44" s="5241">
        <f t="shared" si="11"/>
        <v>1.3333333333333333</v>
      </c>
      <c r="AV44" s="559" t="b">
        <v>1</v>
      </c>
      <c r="AW44" s="5242">
        <v>1</v>
      </c>
      <c r="AX44" s="4451">
        <v>3</v>
      </c>
      <c r="AY44" s="4451">
        <v>5</v>
      </c>
      <c r="AZ44" s="4451">
        <v>4</v>
      </c>
      <c r="BA44" s="4451">
        <v>1</v>
      </c>
      <c r="BB44" s="4451">
        <v>5</v>
      </c>
      <c r="BC44" s="4451">
        <v>0</v>
      </c>
      <c r="BD44" s="4451">
        <v>1</v>
      </c>
      <c r="BE44" s="4451">
        <v>1</v>
      </c>
      <c r="BF44" s="4451">
        <v>1</v>
      </c>
      <c r="BG44" s="4451">
        <v>1</v>
      </c>
      <c r="BH44" s="4451">
        <v>3</v>
      </c>
      <c r="BI44" s="4451">
        <f t="shared" si="62"/>
        <v>26</v>
      </c>
      <c r="BJ44" s="5241">
        <f t="shared" si="13"/>
        <v>2.1666666666666665</v>
      </c>
      <c r="BK44" s="559" t="b">
        <v>1</v>
      </c>
      <c r="BL44" s="5242">
        <v>0</v>
      </c>
      <c r="BM44" s="4451">
        <v>0</v>
      </c>
      <c r="BN44" s="4451"/>
      <c r="BO44" s="4451"/>
      <c r="BP44" s="4451"/>
      <c r="BQ44" s="4451"/>
      <c r="BR44" s="4451"/>
      <c r="BS44" s="4451"/>
      <c r="BT44" s="4451"/>
      <c r="BU44" s="4451"/>
      <c r="BV44" s="4451"/>
      <c r="BW44" s="4451"/>
      <c r="BX44" s="4451">
        <f t="shared" si="63"/>
        <v>0</v>
      </c>
      <c r="BY44" s="5241">
        <f t="shared" si="54"/>
        <v>0</v>
      </c>
      <c r="CA44" s="169">
        <f t="shared" si="55"/>
        <v>-3</v>
      </c>
      <c r="CB44" s="169">
        <f t="shared" si="15"/>
        <v>0.83333333333333326</v>
      </c>
      <c r="CC44" s="169">
        <f>IFERROR(
  SUM(
    _xlfn.XLOOKUP(DATE(YEAR($A$1),1,1),$2:$2,44:44):
    _xlfn.XLOOKUP($A$1,$2:$2,44:44)
  )
 -SUM(
    _xlfn.XLOOKUP(DATE(YEAR($A$1)-1,1,1),$2:$2,44:44):
    _xlfn.XLOOKUP(EDATE($A$1,-12),$2:$2,44:44)
  ),"")</f>
        <v>-4</v>
      </c>
      <c r="CD44" s="4517">
        <f t="shared" si="56"/>
        <v>0</v>
      </c>
    </row>
    <row r="45" spans="1:82" ht="17.600000000000001" x14ac:dyDescent="0.55000000000000004">
      <c r="A45" s="7383"/>
      <c r="B45" s="1168"/>
      <c r="C45" s="1534" t="s">
        <v>244</v>
      </c>
      <c r="D45" s="5240">
        <v>0</v>
      </c>
      <c r="E45" s="4451">
        <v>0</v>
      </c>
      <c r="F45" s="4451">
        <v>0</v>
      </c>
      <c r="G45" s="4451">
        <v>0</v>
      </c>
      <c r="H45" s="4451">
        <v>0</v>
      </c>
      <c r="I45" s="4451">
        <v>0</v>
      </c>
      <c r="J45" s="4451">
        <v>0</v>
      </c>
      <c r="K45" s="4451">
        <v>0</v>
      </c>
      <c r="L45" s="4451">
        <v>0</v>
      </c>
      <c r="M45" s="4451">
        <v>0</v>
      </c>
      <c r="N45" s="4451">
        <v>0</v>
      </c>
      <c r="O45" s="4451">
        <v>1</v>
      </c>
      <c r="P45" s="4451">
        <f t="shared" si="6"/>
        <v>8.3333333333333329E-2</v>
      </c>
      <c r="Q45" s="5241">
        <f t="shared" si="7"/>
        <v>8.3333333333333329E-2</v>
      </c>
      <c r="R45" s="2776"/>
      <c r="S45" s="5240">
        <v>0</v>
      </c>
      <c r="T45" s="4451">
        <v>0</v>
      </c>
      <c r="U45" s="4451">
        <v>0</v>
      </c>
      <c r="V45" s="4451">
        <v>0</v>
      </c>
      <c r="W45" s="4451">
        <v>0</v>
      </c>
      <c r="X45" s="4451">
        <v>0</v>
      </c>
      <c r="Y45" s="4451">
        <v>0</v>
      </c>
      <c r="Z45" s="4451">
        <v>0</v>
      </c>
      <c r="AA45" s="4451">
        <v>0</v>
      </c>
      <c r="AB45" s="4451">
        <v>1</v>
      </c>
      <c r="AC45" s="4451">
        <v>1</v>
      </c>
      <c r="AD45" s="4451">
        <v>1</v>
      </c>
      <c r="AE45" s="4451">
        <f t="shared" si="60"/>
        <v>3</v>
      </c>
      <c r="AF45" s="5241">
        <f t="shared" si="61"/>
        <v>0.25</v>
      </c>
      <c r="AG45" s="2776"/>
      <c r="AH45" s="5240">
        <v>0</v>
      </c>
      <c r="AI45" s="4451">
        <v>0</v>
      </c>
      <c r="AJ45" s="4451">
        <v>0</v>
      </c>
      <c r="AK45" s="4451">
        <v>0</v>
      </c>
      <c r="AL45" s="4451">
        <v>1</v>
      </c>
      <c r="AM45" s="4451">
        <v>0</v>
      </c>
      <c r="AN45" s="4451">
        <v>0</v>
      </c>
      <c r="AO45" s="4451"/>
      <c r="AP45" s="4451"/>
      <c r="AQ45" s="4451">
        <v>0</v>
      </c>
      <c r="AR45" s="4451">
        <v>0</v>
      </c>
      <c r="AS45" s="4451">
        <v>1</v>
      </c>
      <c r="AT45" s="4451">
        <f t="shared" si="36"/>
        <v>2</v>
      </c>
      <c r="AU45" s="5241">
        <f t="shared" si="11"/>
        <v>0.16666666666666666</v>
      </c>
      <c r="AV45" s="559" t="b">
        <v>1</v>
      </c>
      <c r="AW45" s="5242">
        <v>1</v>
      </c>
      <c r="AX45" s="4451">
        <v>0</v>
      </c>
      <c r="AY45" s="4451">
        <v>2</v>
      </c>
      <c r="AZ45" s="4451">
        <v>0</v>
      </c>
      <c r="BA45" s="4451">
        <v>0</v>
      </c>
      <c r="BB45" s="4451">
        <v>0</v>
      </c>
      <c r="BC45" s="4451">
        <v>0</v>
      </c>
      <c r="BD45" s="4451">
        <v>0</v>
      </c>
      <c r="BE45" s="4451">
        <v>0</v>
      </c>
      <c r="BF45" s="4451">
        <v>0</v>
      </c>
      <c r="BG45" s="4451">
        <v>0</v>
      </c>
      <c r="BH45" s="4451">
        <v>0</v>
      </c>
      <c r="BI45" s="4451">
        <f t="shared" si="62"/>
        <v>3</v>
      </c>
      <c r="BJ45" s="5241">
        <f t="shared" si="13"/>
        <v>0.25</v>
      </c>
      <c r="BK45" s="559" t="b">
        <v>1</v>
      </c>
      <c r="BL45" s="5242">
        <v>0</v>
      </c>
      <c r="BM45" s="4451">
        <v>0</v>
      </c>
      <c r="BN45" s="4451"/>
      <c r="BO45" s="4451"/>
      <c r="BP45" s="4451"/>
      <c r="BQ45" s="4451"/>
      <c r="BR45" s="4451"/>
      <c r="BS45" s="4451"/>
      <c r="BT45" s="4451"/>
      <c r="BU45" s="4451"/>
      <c r="BV45" s="4451"/>
      <c r="BW45" s="4451"/>
      <c r="BX45" s="4451">
        <f t="shared" si="63"/>
        <v>0</v>
      </c>
      <c r="BY45" s="5241">
        <f t="shared" si="54"/>
        <v>0</v>
      </c>
      <c r="CA45" s="169">
        <f t="shared" si="55"/>
        <v>0</v>
      </c>
      <c r="CB45" s="169">
        <f t="shared" si="15"/>
        <v>8.3333333333333343E-2</v>
      </c>
      <c r="CC45" s="169">
        <f>IFERROR(
  SUM(
    _xlfn.XLOOKUP(DATE(YEAR($A$1),1,1),$2:$2,45:45):
    _xlfn.XLOOKUP($A$1,$2:$2,45:45)
  )
 -SUM(
    _xlfn.XLOOKUP(DATE(YEAR($A$1)-1,1,1),$2:$2,45:45):
    _xlfn.XLOOKUP(EDATE($A$1,-12),$2:$2,45:45)
  ),"")</f>
        <v>-1</v>
      </c>
      <c r="CD45" s="4517">
        <f t="shared" si="56"/>
        <v>0</v>
      </c>
    </row>
    <row r="46" spans="1:82" ht="17.600000000000001" x14ac:dyDescent="0.55000000000000004">
      <c r="A46" s="7383"/>
      <c r="B46" s="2034" t="s">
        <v>206</v>
      </c>
      <c r="C46" s="1900"/>
      <c r="D46" s="5243">
        <f>D51+D52</f>
        <v>0</v>
      </c>
      <c r="E46" s="4414">
        <f t="shared" ref="E46:O46" si="64">E51+E52</f>
        <v>0</v>
      </c>
      <c r="F46" s="4414">
        <f t="shared" si="64"/>
        <v>0</v>
      </c>
      <c r="G46" s="4414">
        <f t="shared" si="64"/>
        <v>0</v>
      </c>
      <c r="H46" s="4414">
        <f t="shared" si="64"/>
        <v>0</v>
      </c>
      <c r="I46" s="4414">
        <f t="shared" si="64"/>
        <v>2</v>
      </c>
      <c r="J46" s="4414">
        <f t="shared" si="64"/>
        <v>1</v>
      </c>
      <c r="K46" s="4414">
        <f t="shared" si="64"/>
        <v>1</v>
      </c>
      <c r="L46" s="4414">
        <f t="shared" si="64"/>
        <v>0</v>
      </c>
      <c r="M46" s="4414">
        <f t="shared" si="64"/>
        <v>1</v>
      </c>
      <c r="N46" s="4414">
        <f t="shared" si="64"/>
        <v>0</v>
      </c>
      <c r="O46" s="4414">
        <f t="shared" si="64"/>
        <v>1</v>
      </c>
      <c r="P46" s="4414">
        <f t="shared" si="6"/>
        <v>0.5</v>
      </c>
      <c r="Q46" s="5244">
        <f t="shared" si="7"/>
        <v>0.5</v>
      </c>
      <c r="R46" s="2776"/>
      <c r="S46" s="5243">
        <f>S51+S52</f>
        <v>0</v>
      </c>
      <c r="T46" s="4414">
        <f t="shared" ref="T46:AD46" si="65">T51+T52</f>
        <v>0</v>
      </c>
      <c r="U46" s="4414">
        <f t="shared" si="65"/>
        <v>3</v>
      </c>
      <c r="V46" s="4414">
        <f t="shared" si="65"/>
        <v>0</v>
      </c>
      <c r="W46" s="4414">
        <f t="shared" si="65"/>
        <v>0</v>
      </c>
      <c r="X46" s="4414">
        <f t="shared" si="65"/>
        <v>1</v>
      </c>
      <c r="Y46" s="4414">
        <f t="shared" si="65"/>
        <v>0</v>
      </c>
      <c r="Z46" s="4414">
        <f t="shared" si="65"/>
        <v>0</v>
      </c>
      <c r="AA46" s="4414">
        <f t="shared" si="65"/>
        <v>0</v>
      </c>
      <c r="AB46" s="4414">
        <f t="shared" si="65"/>
        <v>1</v>
      </c>
      <c r="AC46" s="4414">
        <f t="shared" si="65"/>
        <v>0</v>
      </c>
      <c r="AD46" s="4414">
        <f t="shared" si="65"/>
        <v>2</v>
      </c>
      <c r="AE46" s="4414">
        <f t="shared" si="60"/>
        <v>7</v>
      </c>
      <c r="AF46" s="5244">
        <f t="shared" si="61"/>
        <v>0.58333333333333337</v>
      </c>
      <c r="AG46" s="2776"/>
      <c r="AH46" s="5243">
        <f t="shared" ref="AH46:AM46" si="66">AH51+AH52</f>
        <v>0</v>
      </c>
      <c r="AI46" s="4414">
        <f t="shared" si="66"/>
        <v>4</v>
      </c>
      <c r="AJ46" s="4414">
        <f t="shared" si="66"/>
        <v>0</v>
      </c>
      <c r="AK46" s="4414">
        <f t="shared" si="66"/>
        <v>1</v>
      </c>
      <c r="AL46" s="4414">
        <f t="shared" si="66"/>
        <v>1</v>
      </c>
      <c r="AM46" s="4414">
        <f t="shared" si="66"/>
        <v>0</v>
      </c>
      <c r="AN46" s="4414">
        <v>0</v>
      </c>
      <c r="AO46" s="4414">
        <f>AO51+AO52</f>
        <v>0</v>
      </c>
      <c r="AP46" s="4414">
        <f>AP51+AP52</f>
        <v>0</v>
      </c>
      <c r="AQ46" s="4414">
        <f>AQ51+AQ52</f>
        <v>1</v>
      </c>
      <c r="AR46" s="4414">
        <f>AR51+AR52</f>
        <v>0</v>
      </c>
      <c r="AS46" s="4414">
        <v>0</v>
      </c>
      <c r="AT46" s="4414">
        <f t="shared" si="36"/>
        <v>7</v>
      </c>
      <c r="AU46" s="5244">
        <f t="shared" si="11"/>
        <v>0.58333333333333337</v>
      </c>
      <c r="AV46" s="559" t="b">
        <v>1</v>
      </c>
      <c r="AW46" s="5245">
        <v>0</v>
      </c>
      <c r="AX46" s="4414">
        <v>1</v>
      </c>
      <c r="AY46" s="4414">
        <v>3</v>
      </c>
      <c r="AZ46" s="4414">
        <v>0</v>
      </c>
      <c r="BA46" s="4414">
        <v>0</v>
      </c>
      <c r="BB46" s="4414">
        <v>1</v>
      </c>
      <c r="BC46" s="4414">
        <v>0</v>
      </c>
      <c r="BD46" s="4414">
        <v>0</v>
      </c>
      <c r="BE46" s="4414">
        <v>1</v>
      </c>
      <c r="BF46" s="4414">
        <v>0</v>
      </c>
      <c r="BG46" s="4414">
        <v>0</v>
      </c>
      <c r="BH46" s="4414">
        <v>2</v>
      </c>
      <c r="BI46" s="4414">
        <f t="shared" si="62"/>
        <v>8</v>
      </c>
      <c r="BJ46" s="5244">
        <f t="shared" si="13"/>
        <v>0.66666666666666663</v>
      </c>
      <c r="BK46" s="559" t="b">
        <v>1</v>
      </c>
      <c r="BL46" s="5245">
        <v>0</v>
      </c>
      <c r="BM46" s="4414">
        <v>0</v>
      </c>
      <c r="BN46" s="4414"/>
      <c r="BO46" s="4414"/>
      <c r="BP46" s="4414"/>
      <c r="BQ46" s="4414"/>
      <c r="BR46" s="4414"/>
      <c r="BS46" s="4414"/>
      <c r="BT46" s="4414"/>
      <c r="BU46" s="4414"/>
      <c r="BV46" s="4414"/>
      <c r="BW46" s="4414"/>
      <c r="BX46" s="4414">
        <f t="shared" si="63"/>
        <v>0</v>
      </c>
      <c r="BY46" s="5244">
        <f t="shared" si="54"/>
        <v>0</v>
      </c>
      <c r="CA46" s="169">
        <f t="shared" si="55"/>
        <v>-1</v>
      </c>
      <c r="CB46" s="169">
        <f t="shared" si="15"/>
        <v>8.3333333333333259E-2</v>
      </c>
      <c r="CC46" s="169">
        <f>IFERROR(
  SUM(
    _xlfn.XLOOKUP(DATE(YEAR($A$1),1,1),$2:$2,46:46):
    _xlfn.XLOOKUP($A$1,$2:$2,46:46)
  )
 -SUM(
    _xlfn.XLOOKUP(DATE(YEAR($A$1)-1,1,1),$2:$2,46:46):
    _xlfn.XLOOKUP(EDATE($A$1,-12),$2:$2,46:46)
  ),"")</f>
        <v>-1</v>
      </c>
      <c r="CD46" s="4517">
        <f t="shared" si="56"/>
        <v>0</v>
      </c>
    </row>
    <row r="47" spans="1:82" ht="17.600000000000001" x14ac:dyDescent="0.55000000000000004">
      <c r="A47" s="7383"/>
      <c r="B47" s="2041" t="s">
        <v>207</v>
      </c>
      <c r="C47" s="1576"/>
      <c r="D47" s="5246">
        <f>D53+D54</f>
        <v>0</v>
      </c>
      <c r="E47" s="2636">
        <f t="shared" ref="E47:O47" si="67">E53+E54</f>
        <v>1</v>
      </c>
      <c r="F47" s="2636">
        <f t="shared" si="67"/>
        <v>0</v>
      </c>
      <c r="G47" s="2636">
        <f t="shared" si="67"/>
        <v>0</v>
      </c>
      <c r="H47" s="2636">
        <f t="shared" si="67"/>
        <v>0</v>
      </c>
      <c r="I47" s="2636">
        <f t="shared" si="67"/>
        <v>0</v>
      </c>
      <c r="J47" s="2636">
        <f t="shared" si="67"/>
        <v>0</v>
      </c>
      <c r="K47" s="2636">
        <f t="shared" si="67"/>
        <v>0</v>
      </c>
      <c r="L47" s="2636">
        <f t="shared" si="67"/>
        <v>0</v>
      </c>
      <c r="M47" s="2636">
        <f t="shared" si="67"/>
        <v>0</v>
      </c>
      <c r="N47" s="2636">
        <f t="shared" si="67"/>
        <v>0</v>
      </c>
      <c r="O47" s="2636">
        <f t="shared" si="67"/>
        <v>2</v>
      </c>
      <c r="P47" s="2636">
        <f t="shared" si="6"/>
        <v>0.25</v>
      </c>
      <c r="Q47" s="5247">
        <f t="shared" si="7"/>
        <v>0.25</v>
      </c>
      <c r="R47" s="2776"/>
      <c r="S47" s="5246">
        <f>S53+S54</f>
        <v>0</v>
      </c>
      <c r="T47" s="2636">
        <f t="shared" ref="T47:AD47" si="68">T53+T54</f>
        <v>0</v>
      </c>
      <c r="U47" s="2636">
        <f t="shared" si="68"/>
        <v>0</v>
      </c>
      <c r="V47" s="2636">
        <f t="shared" si="68"/>
        <v>0</v>
      </c>
      <c r="W47" s="2636">
        <f t="shared" si="68"/>
        <v>0</v>
      </c>
      <c r="X47" s="2636">
        <f t="shared" si="68"/>
        <v>0</v>
      </c>
      <c r="Y47" s="2636">
        <f t="shared" si="68"/>
        <v>0</v>
      </c>
      <c r="Z47" s="2636">
        <f t="shared" si="68"/>
        <v>0</v>
      </c>
      <c r="AA47" s="2636">
        <f t="shared" si="68"/>
        <v>0</v>
      </c>
      <c r="AB47" s="2636">
        <f t="shared" si="68"/>
        <v>0</v>
      </c>
      <c r="AC47" s="2636">
        <f t="shared" si="68"/>
        <v>1</v>
      </c>
      <c r="AD47" s="2636">
        <f t="shared" si="68"/>
        <v>0</v>
      </c>
      <c r="AE47" s="2636">
        <f t="shared" si="60"/>
        <v>1</v>
      </c>
      <c r="AF47" s="5247">
        <f t="shared" si="61"/>
        <v>8.3333333333333329E-2</v>
      </c>
      <c r="AG47" s="2776"/>
      <c r="AH47" s="5246">
        <f t="shared" ref="AH47:AM47" si="69">AH53+AH54</f>
        <v>0</v>
      </c>
      <c r="AI47" s="2636">
        <f t="shared" si="69"/>
        <v>0</v>
      </c>
      <c r="AJ47" s="2636">
        <f t="shared" si="69"/>
        <v>1</v>
      </c>
      <c r="AK47" s="2636">
        <f t="shared" si="69"/>
        <v>0</v>
      </c>
      <c r="AL47" s="2636">
        <f t="shared" si="69"/>
        <v>0</v>
      </c>
      <c r="AM47" s="2636">
        <f t="shared" si="69"/>
        <v>0</v>
      </c>
      <c r="AN47" s="2636">
        <v>0</v>
      </c>
      <c r="AO47" s="2636">
        <f>AO53+AO54</f>
        <v>0</v>
      </c>
      <c r="AP47" s="2636">
        <f>AP53+AP54</f>
        <v>0</v>
      </c>
      <c r="AQ47" s="2636">
        <f>AQ53+AQ54</f>
        <v>0</v>
      </c>
      <c r="AR47" s="2636">
        <f>AR53+AR54</f>
        <v>1</v>
      </c>
      <c r="AS47" s="2636">
        <v>1</v>
      </c>
      <c r="AT47" s="2636">
        <f t="shared" si="36"/>
        <v>3</v>
      </c>
      <c r="AU47" s="5247">
        <f t="shared" si="11"/>
        <v>0.25</v>
      </c>
      <c r="AV47" s="559" t="b">
        <v>1</v>
      </c>
      <c r="AW47" s="5248">
        <v>0</v>
      </c>
      <c r="AX47" s="2636">
        <v>0</v>
      </c>
      <c r="AY47" s="2636">
        <v>0</v>
      </c>
      <c r="AZ47" s="2636">
        <v>2</v>
      </c>
      <c r="BA47" s="2636">
        <v>1</v>
      </c>
      <c r="BB47" s="2636">
        <v>0</v>
      </c>
      <c r="BC47" s="2636">
        <v>0</v>
      </c>
      <c r="BD47" s="2636">
        <v>1</v>
      </c>
      <c r="BE47" s="2636">
        <v>0</v>
      </c>
      <c r="BF47" s="2636">
        <v>0</v>
      </c>
      <c r="BG47" s="2636">
        <v>0</v>
      </c>
      <c r="BH47" s="2636">
        <v>0</v>
      </c>
      <c r="BI47" s="2636">
        <f t="shared" si="62"/>
        <v>4</v>
      </c>
      <c r="BJ47" s="5247">
        <f t="shared" si="13"/>
        <v>0.33333333333333331</v>
      </c>
      <c r="BK47" s="559" t="b">
        <v>1</v>
      </c>
      <c r="BL47" s="5248">
        <v>0</v>
      </c>
      <c r="BM47" s="2636">
        <v>0</v>
      </c>
      <c r="BN47" s="2636"/>
      <c r="BO47" s="2636"/>
      <c r="BP47" s="2636"/>
      <c r="BQ47" s="2636"/>
      <c r="BR47" s="2636"/>
      <c r="BS47" s="2636"/>
      <c r="BT47" s="2636"/>
      <c r="BU47" s="2636"/>
      <c r="BV47" s="2636"/>
      <c r="BW47" s="2636"/>
      <c r="BX47" s="2636">
        <f t="shared" si="63"/>
        <v>0</v>
      </c>
      <c r="BY47" s="5247">
        <f t="shared" si="54"/>
        <v>0</v>
      </c>
      <c r="CA47" s="169">
        <f t="shared" si="55"/>
        <v>0</v>
      </c>
      <c r="CB47" s="169">
        <f t="shared" si="15"/>
        <v>8.3333333333333315E-2</v>
      </c>
      <c r="CC47" s="169">
        <f>IFERROR(
  SUM(
    _xlfn.XLOOKUP(DATE(YEAR($A$1),1,1),$2:$2,47:47):
    _xlfn.XLOOKUP($A$1,$2:$2,47:47)
  )
 -SUM(
    _xlfn.XLOOKUP(DATE(YEAR($A$1)-1,1,1),$2:$2,47:47):
    _xlfn.XLOOKUP(EDATE($A$1,-12),$2:$2,47:47)
  ),"")</f>
        <v>0</v>
      </c>
      <c r="CD47" s="4517">
        <f t="shared" si="56"/>
        <v>0</v>
      </c>
    </row>
    <row r="48" spans="1:82" ht="17.600000000000001" x14ac:dyDescent="0.55000000000000004">
      <c r="A48" s="7383"/>
      <c r="B48" s="2041" t="s">
        <v>208</v>
      </c>
      <c r="C48" s="1576"/>
      <c r="D48" s="5246">
        <f>D55+D56</f>
        <v>0</v>
      </c>
      <c r="E48" s="2636">
        <f t="shared" ref="E48:O48" si="70">E55+E56</f>
        <v>0</v>
      </c>
      <c r="F48" s="2636">
        <f t="shared" si="70"/>
        <v>0</v>
      </c>
      <c r="G48" s="2636">
        <f t="shared" si="70"/>
        <v>0</v>
      </c>
      <c r="H48" s="2636">
        <f t="shared" si="70"/>
        <v>0</v>
      </c>
      <c r="I48" s="2636">
        <f t="shared" si="70"/>
        <v>0</v>
      </c>
      <c r="J48" s="2636">
        <f t="shared" si="70"/>
        <v>0</v>
      </c>
      <c r="K48" s="2636">
        <f t="shared" si="70"/>
        <v>0</v>
      </c>
      <c r="L48" s="2636">
        <f t="shared" si="70"/>
        <v>0</v>
      </c>
      <c r="M48" s="2636">
        <f t="shared" si="70"/>
        <v>1</v>
      </c>
      <c r="N48" s="2636">
        <f t="shared" si="70"/>
        <v>0</v>
      </c>
      <c r="O48" s="2636">
        <f t="shared" si="70"/>
        <v>1</v>
      </c>
      <c r="P48" s="2636">
        <f t="shared" si="6"/>
        <v>0.16666666666666666</v>
      </c>
      <c r="Q48" s="5247">
        <f t="shared" si="7"/>
        <v>0.16666666666666666</v>
      </c>
      <c r="R48" s="2776"/>
      <c r="S48" s="5246">
        <f>S55+S56</f>
        <v>0</v>
      </c>
      <c r="T48" s="2636">
        <f t="shared" ref="T48:AD48" si="71">T55+T56</f>
        <v>0</v>
      </c>
      <c r="U48" s="2636">
        <f t="shared" si="71"/>
        <v>0</v>
      </c>
      <c r="V48" s="2636">
        <f t="shared" si="71"/>
        <v>0</v>
      </c>
      <c r="W48" s="2636">
        <f t="shared" si="71"/>
        <v>1</v>
      </c>
      <c r="X48" s="2636">
        <f t="shared" si="71"/>
        <v>0</v>
      </c>
      <c r="Y48" s="2636">
        <f t="shared" si="71"/>
        <v>0</v>
      </c>
      <c r="Z48" s="2636">
        <f t="shared" si="71"/>
        <v>1</v>
      </c>
      <c r="AA48" s="2636">
        <f t="shared" si="71"/>
        <v>0</v>
      </c>
      <c r="AB48" s="2636">
        <f t="shared" si="71"/>
        <v>0</v>
      </c>
      <c r="AC48" s="2636">
        <f t="shared" si="71"/>
        <v>0</v>
      </c>
      <c r="AD48" s="2636">
        <f t="shared" si="71"/>
        <v>0</v>
      </c>
      <c r="AE48" s="2636">
        <f t="shared" si="60"/>
        <v>2</v>
      </c>
      <c r="AF48" s="5247">
        <f t="shared" si="61"/>
        <v>0.16666666666666666</v>
      </c>
      <c r="AG48" s="2776"/>
      <c r="AH48" s="5246">
        <f t="shared" ref="AH48:AM48" si="72">AH55+AH56</f>
        <v>0</v>
      </c>
      <c r="AI48" s="2636">
        <f t="shared" si="72"/>
        <v>0</v>
      </c>
      <c r="AJ48" s="2636">
        <f t="shared" si="72"/>
        <v>0</v>
      </c>
      <c r="AK48" s="2636">
        <f t="shared" si="72"/>
        <v>0</v>
      </c>
      <c r="AL48" s="2636">
        <f t="shared" si="72"/>
        <v>0</v>
      </c>
      <c r="AM48" s="2636">
        <f t="shared" si="72"/>
        <v>1</v>
      </c>
      <c r="AN48" s="2636">
        <v>0</v>
      </c>
      <c r="AO48" s="2636">
        <f>AO55+AO56</f>
        <v>0</v>
      </c>
      <c r="AP48" s="2636">
        <f>AP55+AP56</f>
        <v>0</v>
      </c>
      <c r="AQ48" s="2636">
        <f>AQ55+AQ56</f>
        <v>0</v>
      </c>
      <c r="AR48" s="2636">
        <f>AR55+AR56</f>
        <v>0</v>
      </c>
      <c r="AS48" s="2636">
        <v>0</v>
      </c>
      <c r="AT48" s="2636">
        <f t="shared" si="36"/>
        <v>1</v>
      </c>
      <c r="AU48" s="5247">
        <f t="shared" si="11"/>
        <v>8.3333333333333329E-2</v>
      </c>
      <c r="AV48" s="559" t="b">
        <v>1</v>
      </c>
      <c r="AW48" s="5248">
        <v>0</v>
      </c>
      <c r="AX48" s="2636">
        <v>1</v>
      </c>
      <c r="AY48" s="2636">
        <v>2</v>
      </c>
      <c r="AZ48" s="2636">
        <v>0</v>
      </c>
      <c r="BA48" s="2636">
        <v>0</v>
      </c>
      <c r="BB48" s="2636">
        <v>3</v>
      </c>
      <c r="BC48" s="2636">
        <v>0</v>
      </c>
      <c r="BD48" s="2636">
        <v>0</v>
      </c>
      <c r="BE48" s="2636">
        <v>0</v>
      </c>
      <c r="BF48" s="2636">
        <v>0</v>
      </c>
      <c r="BG48" s="2636">
        <v>1</v>
      </c>
      <c r="BH48" s="2636">
        <v>1</v>
      </c>
      <c r="BI48" s="2636">
        <f t="shared" si="62"/>
        <v>8</v>
      </c>
      <c r="BJ48" s="5247">
        <f t="shared" si="13"/>
        <v>0.66666666666666663</v>
      </c>
      <c r="BK48" s="559" t="b">
        <v>1</v>
      </c>
      <c r="BL48" s="5248">
        <v>0</v>
      </c>
      <c r="BM48" s="2636">
        <v>0</v>
      </c>
      <c r="BN48" s="2636"/>
      <c r="BO48" s="2636"/>
      <c r="BP48" s="2636"/>
      <c r="BQ48" s="2636"/>
      <c r="BR48" s="2636"/>
      <c r="BS48" s="2636"/>
      <c r="BT48" s="2636"/>
      <c r="BU48" s="2636"/>
      <c r="BV48" s="2636"/>
      <c r="BW48" s="2636"/>
      <c r="BX48" s="2636">
        <f t="shared" si="63"/>
        <v>0</v>
      </c>
      <c r="BY48" s="5247">
        <f t="shared" si="54"/>
        <v>0</v>
      </c>
      <c r="CA48" s="169">
        <f t="shared" si="55"/>
        <v>-1</v>
      </c>
      <c r="CB48" s="169">
        <f t="shared" si="15"/>
        <v>0.58333333333333326</v>
      </c>
      <c r="CC48" s="169">
        <f>IFERROR(
  SUM(
    _xlfn.XLOOKUP(DATE(YEAR($A$1),1,1),$2:$2,48:48):
    _xlfn.XLOOKUP($A$1,$2:$2,48:48)
  )
 -SUM(
    _xlfn.XLOOKUP(DATE(YEAR($A$1)-1,1,1),$2:$2,48:48):
    _xlfn.XLOOKUP(EDATE($A$1,-12),$2:$2,48:48)
  ),"")</f>
        <v>-1</v>
      </c>
      <c r="CD48" s="4517">
        <f t="shared" si="56"/>
        <v>0</v>
      </c>
    </row>
    <row r="49" spans="1:82" ht="17.600000000000001" x14ac:dyDescent="0.55000000000000004">
      <c r="A49" s="7383"/>
      <c r="B49" s="2041" t="s">
        <v>209</v>
      </c>
      <c r="C49" s="1576"/>
      <c r="D49" s="5246">
        <f>D57+D58</f>
        <v>0</v>
      </c>
      <c r="E49" s="2636">
        <f t="shared" ref="E49:O49" si="73">E57+E58</f>
        <v>1</v>
      </c>
      <c r="F49" s="2636">
        <f t="shared" si="73"/>
        <v>0</v>
      </c>
      <c r="G49" s="2636">
        <f t="shared" si="73"/>
        <v>1</v>
      </c>
      <c r="H49" s="2636">
        <f t="shared" si="73"/>
        <v>0</v>
      </c>
      <c r="I49" s="2636">
        <f t="shared" si="73"/>
        <v>1</v>
      </c>
      <c r="J49" s="2636">
        <f t="shared" si="73"/>
        <v>1</v>
      </c>
      <c r="K49" s="2636">
        <f t="shared" si="73"/>
        <v>1</v>
      </c>
      <c r="L49" s="2636">
        <f t="shared" si="73"/>
        <v>0</v>
      </c>
      <c r="M49" s="2636">
        <f t="shared" si="73"/>
        <v>0</v>
      </c>
      <c r="N49" s="2636">
        <f t="shared" si="73"/>
        <v>0</v>
      </c>
      <c r="O49" s="2636">
        <f t="shared" si="73"/>
        <v>1</v>
      </c>
      <c r="P49" s="2636">
        <f t="shared" si="6"/>
        <v>0.5</v>
      </c>
      <c r="Q49" s="5247">
        <f t="shared" si="7"/>
        <v>0.5</v>
      </c>
      <c r="R49" s="2776"/>
      <c r="S49" s="5246">
        <f>S57+S58</f>
        <v>0</v>
      </c>
      <c r="T49" s="2636">
        <f t="shared" ref="T49:AD49" si="74">T57+T58</f>
        <v>0</v>
      </c>
      <c r="U49" s="2636">
        <f t="shared" si="74"/>
        <v>2</v>
      </c>
      <c r="V49" s="2636">
        <f t="shared" si="74"/>
        <v>0</v>
      </c>
      <c r="W49" s="2636">
        <f t="shared" si="74"/>
        <v>0</v>
      </c>
      <c r="X49" s="2636">
        <f t="shared" si="74"/>
        <v>0</v>
      </c>
      <c r="Y49" s="2636">
        <f t="shared" si="74"/>
        <v>1</v>
      </c>
      <c r="Z49" s="2636">
        <f t="shared" si="74"/>
        <v>1</v>
      </c>
      <c r="AA49" s="2636">
        <f t="shared" si="74"/>
        <v>1</v>
      </c>
      <c r="AB49" s="2636">
        <f t="shared" si="74"/>
        <v>0</v>
      </c>
      <c r="AC49" s="2636">
        <f t="shared" si="74"/>
        <v>2</v>
      </c>
      <c r="AD49" s="2636">
        <f t="shared" si="74"/>
        <v>0</v>
      </c>
      <c r="AE49" s="2636">
        <f t="shared" si="60"/>
        <v>7</v>
      </c>
      <c r="AF49" s="5247">
        <f t="shared" si="61"/>
        <v>0.58333333333333337</v>
      </c>
      <c r="AG49" s="2776"/>
      <c r="AH49" s="5246">
        <f t="shared" ref="AH49:AM49" si="75">AH57+AH58</f>
        <v>1</v>
      </c>
      <c r="AI49" s="2636">
        <f t="shared" si="75"/>
        <v>0</v>
      </c>
      <c r="AJ49" s="2636">
        <f t="shared" si="75"/>
        <v>0</v>
      </c>
      <c r="AK49" s="2636">
        <f t="shared" si="75"/>
        <v>1</v>
      </c>
      <c r="AL49" s="2636">
        <f t="shared" si="75"/>
        <v>0</v>
      </c>
      <c r="AM49" s="2636">
        <f t="shared" si="75"/>
        <v>0</v>
      </c>
      <c r="AN49" s="2636">
        <v>0</v>
      </c>
      <c r="AO49" s="2636">
        <f>AO57+AO58</f>
        <v>2</v>
      </c>
      <c r="AP49" s="2636">
        <f>AP57+AP58</f>
        <v>0</v>
      </c>
      <c r="AQ49" s="2636">
        <f>AQ57+AQ58</f>
        <v>0</v>
      </c>
      <c r="AR49" s="2636">
        <f>AR57+AR58</f>
        <v>1</v>
      </c>
      <c r="AS49" s="2636">
        <v>0</v>
      </c>
      <c r="AT49" s="2636">
        <f t="shared" si="36"/>
        <v>5</v>
      </c>
      <c r="AU49" s="5247">
        <f t="shared" si="11"/>
        <v>0.41666666666666669</v>
      </c>
      <c r="AV49" s="559" t="b">
        <v>1</v>
      </c>
      <c r="AW49" s="5248">
        <v>1</v>
      </c>
      <c r="AX49" s="2636">
        <v>1</v>
      </c>
      <c r="AY49" s="2636">
        <v>1</v>
      </c>
      <c r="AZ49" s="2636">
        <v>0</v>
      </c>
      <c r="BA49" s="2636">
        <v>0</v>
      </c>
      <c r="BB49" s="2636">
        <v>0</v>
      </c>
      <c r="BC49" s="2636">
        <v>0</v>
      </c>
      <c r="BD49" s="2636">
        <v>0</v>
      </c>
      <c r="BE49" s="2636">
        <v>0</v>
      </c>
      <c r="BF49" s="2636">
        <v>0</v>
      </c>
      <c r="BG49" s="2636">
        <v>0</v>
      </c>
      <c r="BH49" s="2636">
        <v>0</v>
      </c>
      <c r="BI49" s="2636">
        <f t="shared" si="62"/>
        <v>3</v>
      </c>
      <c r="BJ49" s="5247">
        <f t="shared" si="13"/>
        <v>0.25</v>
      </c>
      <c r="BK49" s="559" t="b">
        <v>1</v>
      </c>
      <c r="BL49" s="5248">
        <v>0</v>
      </c>
      <c r="BM49" s="2636">
        <v>0</v>
      </c>
      <c r="BN49" s="2636"/>
      <c r="BO49" s="2636"/>
      <c r="BP49" s="2636"/>
      <c r="BQ49" s="2636"/>
      <c r="BR49" s="2636"/>
      <c r="BS49" s="2636"/>
      <c r="BT49" s="2636"/>
      <c r="BU49" s="2636"/>
      <c r="BV49" s="2636"/>
      <c r="BW49" s="2636"/>
      <c r="BX49" s="2636">
        <f t="shared" si="63"/>
        <v>0</v>
      </c>
      <c r="BY49" s="5247">
        <f t="shared" si="54"/>
        <v>0</v>
      </c>
      <c r="CA49" s="169">
        <f t="shared" si="55"/>
        <v>-1</v>
      </c>
      <c r="CB49" s="169">
        <f t="shared" si="15"/>
        <v>-0.16666666666666669</v>
      </c>
      <c r="CC49" s="169">
        <f>IFERROR(
  SUM(
    _xlfn.XLOOKUP(DATE(YEAR($A$1),1,1),$2:$2,49:49):
    _xlfn.XLOOKUP($A$1,$2:$2,49:49)
  )
 -SUM(
    _xlfn.XLOOKUP(DATE(YEAR($A$1)-1,1,1),$2:$2,49:49):
    _xlfn.XLOOKUP(EDATE($A$1,-12),$2:$2,49:49)
  ),"")</f>
        <v>-2</v>
      </c>
      <c r="CD49" s="4517">
        <f t="shared" si="56"/>
        <v>0</v>
      </c>
    </row>
    <row r="50" spans="1:82" ht="17.600000000000001" x14ac:dyDescent="0.55000000000000004">
      <c r="A50" s="7383"/>
      <c r="B50" s="2048" t="s">
        <v>210</v>
      </c>
      <c r="C50" s="1929"/>
      <c r="D50" s="5249">
        <f>D59+D60</f>
        <v>0</v>
      </c>
      <c r="E50" s="5250">
        <f t="shared" ref="E50:O50" si="76">E59+E60</f>
        <v>0</v>
      </c>
      <c r="F50" s="5250">
        <f t="shared" si="76"/>
        <v>0</v>
      </c>
      <c r="G50" s="5250">
        <f t="shared" si="76"/>
        <v>0</v>
      </c>
      <c r="H50" s="5250">
        <f t="shared" si="76"/>
        <v>0</v>
      </c>
      <c r="I50" s="5250">
        <f t="shared" si="76"/>
        <v>2</v>
      </c>
      <c r="J50" s="5250">
        <f t="shared" si="76"/>
        <v>0</v>
      </c>
      <c r="K50" s="5250">
        <f t="shared" si="76"/>
        <v>0</v>
      </c>
      <c r="L50" s="5250">
        <f t="shared" si="76"/>
        <v>0</v>
      </c>
      <c r="M50" s="5250">
        <f t="shared" si="76"/>
        <v>0</v>
      </c>
      <c r="N50" s="5250">
        <f t="shared" si="76"/>
        <v>0</v>
      </c>
      <c r="O50" s="5250">
        <f t="shared" si="76"/>
        <v>0</v>
      </c>
      <c r="P50" s="5250">
        <f t="shared" si="6"/>
        <v>0.16666666666666666</v>
      </c>
      <c r="Q50" s="5251">
        <f t="shared" si="7"/>
        <v>0.16666666666666666</v>
      </c>
      <c r="R50" s="2776"/>
      <c r="S50" s="5249">
        <f>S59+S60</f>
        <v>1</v>
      </c>
      <c r="T50" s="5250">
        <f t="shared" ref="T50:AD50" si="77">T59+T60</f>
        <v>0</v>
      </c>
      <c r="U50" s="5250">
        <f t="shared" si="77"/>
        <v>0</v>
      </c>
      <c r="V50" s="5250">
        <f t="shared" si="77"/>
        <v>1</v>
      </c>
      <c r="W50" s="5250">
        <f t="shared" si="77"/>
        <v>0</v>
      </c>
      <c r="X50" s="5250">
        <f t="shared" si="77"/>
        <v>0</v>
      </c>
      <c r="Y50" s="5250">
        <f t="shared" si="77"/>
        <v>0</v>
      </c>
      <c r="Z50" s="5250">
        <f t="shared" si="77"/>
        <v>0</v>
      </c>
      <c r="AA50" s="5250">
        <f t="shared" si="77"/>
        <v>0</v>
      </c>
      <c r="AB50" s="5250">
        <f t="shared" si="77"/>
        <v>1</v>
      </c>
      <c r="AC50" s="5250">
        <f t="shared" si="77"/>
        <v>0</v>
      </c>
      <c r="AD50" s="5250">
        <f t="shared" si="77"/>
        <v>0</v>
      </c>
      <c r="AE50" s="5250">
        <f t="shared" si="60"/>
        <v>3</v>
      </c>
      <c r="AF50" s="5251">
        <f t="shared" si="61"/>
        <v>0.25</v>
      </c>
      <c r="AG50" s="2776"/>
      <c r="AH50" s="5249">
        <f t="shared" ref="AH50:AM50" si="78">AH59+AH60</f>
        <v>0</v>
      </c>
      <c r="AI50" s="5250">
        <f t="shared" si="78"/>
        <v>0</v>
      </c>
      <c r="AJ50" s="5250">
        <f t="shared" si="78"/>
        <v>0</v>
      </c>
      <c r="AK50" s="5250">
        <f t="shared" si="78"/>
        <v>0</v>
      </c>
      <c r="AL50" s="5250">
        <f t="shared" si="78"/>
        <v>1</v>
      </c>
      <c r="AM50" s="5250">
        <f t="shared" si="78"/>
        <v>0</v>
      </c>
      <c r="AN50" s="5250">
        <v>0</v>
      </c>
      <c r="AO50" s="5250">
        <f>AO59+AO60</f>
        <v>0</v>
      </c>
      <c r="AP50" s="5250">
        <f>AP59+AP60</f>
        <v>0</v>
      </c>
      <c r="AQ50" s="5250">
        <f>AQ59+AQ60</f>
        <v>0</v>
      </c>
      <c r="AR50" s="5250">
        <f>AR59+AR60</f>
        <v>0</v>
      </c>
      <c r="AS50" s="5250">
        <v>0</v>
      </c>
      <c r="AT50" s="5250">
        <f t="shared" si="36"/>
        <v>1</v>
      </c>
      <c r="AU50" s="5251">
        <f t="shared" si="11"/>
        <v>8.3333333333333329E-2</v>
      </c>
      <c r="AV50" s="559" t="b">
        <v>1</v>
      </c>
      <c r="AW50" s="5252">
        <v>1</v>
      </c>
      <c r="AX50" s="5250">
        <v>0</v>
      </c>
      <c r="AY50" s="5250">
        <v>1</v>
      </c>
      <c r="AZ50" s="5250">
        <v>2</v>
      </c>
      <c r="BA50" s="5250">
        <v>0</v>
      </c>
      <c r="BB50" s="5250">
        <v>1</v>
      </c>
      <c r="BC50" s="5250">
        <v>0</v>
      </c>
      <c r="BD50" s="5250">
        <v>0</v>
      </c>
      <c r="BE50" s="5250">
        <v>0</v>
      </c>
      <c r="BF50" s="5250">
        <v>1</v>
      </c>
      <c r="BG50" s="5250">
        <v>0</v>
      </c>
      <c r="BH50" s="5250">
        <v>0</v>
      </c>
      <c r="BI50" s="5250">
        <f t="shared" si="62"/>
        <v>6</v>
      </c>
      <c r="BJ50" s="5251">
        <f t="shared" si="13"/>
        <v>0.5</v>
      </c>
      <c r="BK50" s="559" t="b">
        <v>1</v>
      </c>
      <c r="BL50" s="5252">
        <v>0</v>
      </c>
      <c r="BM50" s="5250">
        <v>0</v>
      </c>
      <c r="BN50" s="5250"/>
      <c r="BO50" s="5250"/>
      <c r="BP50" s="5250"/>
      <c r="BQ50" s="5250"/>
      <c r="BR50" s="5250"/>
      <c r="BS50" s="5250"/>
      <c r="BT50" s="5250"/>
      <c r="BU50" s="5250"/>
      <c r="BV50" s="5250"/>
      <c r="BW50" s="5250"/>
      <c r="BX50" s="5250">
        <f t="shared" si="63"/>
        <v>0</v>
      </c>
      <c r="BY50" s="5251">
        <f t="shared" si="54"/>
        <v>0</v>
      </c>
      <c r="CA50" s="169">
        <f t="shared" si="55"/>
        <v>0</v>
      </c>
      <c r="CB50" s="169">
        <f t="shared" si="15"/>
        <v>0.41666666666666669</v>
      </c>
      <c r="CC50" s="169">
        <f>IFERROR(
  SUM(
    _xlfn.XLOOKUP(DATE(YEAR($A$1),1,1),$2:$2,50:50):
    _xlfn.XLOOKUP($A$1,$2:$2,50:50)
  )
 -SUM(
    _xlfn.XLOOKUP(DATE(YEAR($A$1)-1,1,1),$2:$2,50:50):
    _xlfn.XLOOKUP(EDATE($A$1,-12),$2:$2,50:50)
  ),"")</f>
        <v>-1</v>
      </c>
      <c r="CD50" s="4517">
        <f t="shared" si="56"/>
        <v>0</v>
      </c>
    </row>
    <row r="51" spans="1:82" ht="17.600000000000001" x14ac:dyDescent="0.55000000000000004">
      <c r="A51" s="7383"/>
      <c r="B51" s="2055"/>
      <c r="C51" s="5253" t="s">
        <v>211</v>
      </c>
      <c r="D51" s="5255">
        <v>0</v>
      </c>
      <c r="E51" s="5255">
        <v>0</v>
      </c>
      <c r="F51" s="5255">
        <v>0</v>
      </c>
      <c r="G51" s="5255">
        <v>0</v>
      </c>
      <c r="H51" s="5255">
        <v>0</v>
      </c>
      <c r="I51" s="5255">
        <v>1</v>
      </c>
      <c r="J51" s="5255">
        <v>0</v>
      </c>
      <c r="K51" s="5255">
        <v>1</v>
      </c>
      <c r="L51" s="5255">
        <v>0</v>
      </c>
      <c r="M51" s="5255">
        <v>0</v>
      </c>
      <c r="N51" s="5255">
        <v>0</v>
      </c>
      <c r="O51" s="5255">
        <v>0</v>
      </c>
      <c r="P51" s="5255">
        <f t="shared" si="6"/>
        <v>0.16666666666666666</v>
      </c>
      <c r="Q51" s="5256">
        <f t="shared" si="7"/>
        <v>0.16666666666666666</v>
      </c>
      <c r="R51" s="2776">
        <v>0</v>
      </c>
      <c r="S51" s="5274">
        <v>0</v>
      </c>
      <c r="T51" s="5255">
        <v>0</v>
      </c>
      <c r="U51" s="5255">
        <v>2</v>
      </c>
      <c r="V51" s="5255">
        <v>0</v>
      </c>
      <c r="W51" s="5255">
        <v>0</v>
      </c>
      <c r="X51" s="5255">
        <v>1</v>
      </c>
      <c r="Y51" s="5255">
        <v>0</v>
      </c>
      <c r="Z51" s="5255">
        <v>0</v>
      </c>
      <c r="AA51" s="5255">
        <v>0</v>
      </c>
      <c r="AB51" s="5255">
        <v>0</v>
      </c>
      <c r="AC51" s="5255">
        <v>0</v>
      </c>
      <c r="AD51" s="5255">
        <v>2</v>
      </c>
      <c r="AE51" s="5255">
        <f t="shared" si="60"/>
        <v>5</v>
      </c>
      <c r="AF51" s="5256">
        <f t="shared" si="61"/>
        <v>0.41666666666666669</v>
      </c>
      <c r="AG51" s="2776"/>
      <c r="AH51" s="5254"/>
      <c r="AI51" s="5255">
        <v>1</v>
      </c>
      <c r="AJ51" s="5255"/>
      <c r="AK51" s="5255">
        <v>1</v>
      </c>
      <c r="AL51" s="5255">
        <v>0</v>
      </c>
      <c r="AM51" s="5255">
        <v>0</v>
      </c>
      <c r="AN51" s="5255">
        <v>0</v>
      </c>
      <c r="AO51" s="5255"/>
      <c r="AP51" s="5255"/>
      <c r="AQ51" s="5255">
        <v>0</v>
      </c>
      <c r="AR51" s="5255"/>
      <c r="AS51" s="5255"/>
      <c r="AT51" s="5255">
        <f t="shared" si="36"/>
        <v>2</v>
      </c>
      <c r="AU51" s="5256">
        <f t="shared" si="11"/>
        <v>0.16666666666666666</v>
      </c>
      <c r="AV51" s="559" t="b">
        <v>1</v>
      </c>
      <c r="AW51" s="5257">
        <v>0</v>
      </c>
      <c r="AX51" s="5255">
        <v>1</v>
      </c>
      <c r="AY51" s="5255">
        <v>1</v>
      </c>
      <c r="AZ51" s="5255">
        <v>0</v>
      </c>
      <c r="BA51" s="5255">
        <v>0</v>
      </c>
      <c r="BB51" s="5255">
        <v>1</v>
      </c>
      <c r="BC51" s="5255">
        <v>0</v>
      </c>
      <c r="BD51" s="5255">
        <v>0</v>
      </c>
      <c r="BE51" s="5255">
        <v>1</v>
      </c>
      <c r="BF51" s="5255">
        <v>0</v>
      </c>
      <c r="BG51" s="5255">
        <v>0</v>
      </c>
      <c r="BH51" s="5255">
        <v>1</v>
      </c>
      <c r="BI51" s="5255">
        <f t="shared" si="62"/>
        <v>5</v>
      </c>
      <c r="BJ51" s="5256">
        <f t="shared" si="13"/>
        <v>0.41666666666666669</v>
      </c>
      <c r="BK51" s="559" t="b">
        <v>1</v>
      </c>
      <c r="BL51" s="5257">
        <v>0</v>
      </c>
      <c r="BM51" s="5255">
        <v>0</v>
      </c>
      <c r="BN51" s="5255"/>
      <c r="BO51" s="5255"/>
      <c r="BP51" s="5255"/>
      <c r="BQ51" s="5255"/>
      <c r="BR51" s="5255"/>
      <c r="BS51" s="5255"/>
      <c r="BT51" s="5255"/>
      <c r="BU51" s="5255"/>
      <c r="BV51" s="5255"/>
      <c r="BW51" s="5255"/>
      <c r="BX51" s="5255">
        <f t="shared" si="63"/>
        <v>0</v>
      </c>
      <c r="BY51" s="5256">
        <f t="shared" si="54"/>
        <v>0</v>
      </c>
      <c r="CA51" s="169">
        <f t="shared" si="55"/>
        <v>-1</v>
      </c>
      <c r="CB51" s="169">
        <f t="shared" si="15"/>
        <v>0.25</v>
      </c>
      <c r="CC51" s="169">
        <f>IFERROR(
  SUM(
    _xlfn.XLOOKUP(DATE(YEAR($A$1),1,1),$2:$2,51:51):
    _xlfn.XLOOKUP($A$1,$2:$2,51:51)
  )
 -SUM(
    _xlfn.XLOOKUP(DATE(YEAR($A$1)-1,1,1),$2:$2,51:51):
    _xlfn.XLOOKUP(EDATE($A$1,-12),$2:$2,51:51)
  ),"")</f>
        <v>-1</v>
      </c>
      <c r="CD51" s="4517">
        <f t="shared" si="56"/>
        <v>0</v>
      </c>
    </row>
    <row r="52" spans="1:82" ht="17.600000000000001" x14ac:dyDescent="0.55000000000000004">
      <c r="A52" s="7383"/>
      <c r="B52" s="2062"/>
      <c r="C52" s="5258" t="s">
        <v>212</v>
      </c>
      <c r="D52" s="5260">
        <v>0</v>
      </c>
      <c r="E52" s="5260">
        <v>0</v>
      </c>
      <c r="F52" s="5260">
        <v>0</v>
      </c>
      <c r="G52" s="5260">
        <v>0</v>
      </c>
      <c r="H52" s="5260">
        <v>0</v>
      </c>
      <c r="I52" s="5260">
        <v>1</v>
      </c>
      <c r="J52" s="5260">
        <v>1</v>
      </c>
      <c r="K52" s="5260">
        <v>0</v>
      </c>
      <c r="L52" s="5260">
        <v>0</v>
      </c>
      <c r="M52" s="5260">
        <v>1</v>
      </c>
      <c r="N52" s="5260">
        <v>0</v>
      </c>
      <c r="O52" s="5260">
        <v>1</v>
      </c>
      <c r="P52" s="5260">
        <f t="shared" si="6"/>
        <v>0.33333333333333331</v>
      </c>
      <c r="Q52" s="5261">
        <f t="shared" si="7"/>
        <v>0.33333333333333331</v>
      </c>
      <c r="R52" s="2776">
        <v>0</v>
      </c>
      <c r="S52" s="5275">
        <v>0</v>
      </c>
      <c r="T52" s="5260">
        <v>0</v>
      </c>
      <c r="U52" s="5260">
        <v>1</v>
      </c>
      <c r="V52" s="5260">
        <v>0</v>
      </c>
      <c r="W52" s="5260">
        <v>0</v>
      </c>
      <c r="X52" s="5260">
        <v>0</v>
      </c>
      <c r="Y52" s="5260">
        <v>0</v>
      </c>
      <c r="Z52" s="5260">
        <v>0</v>
      </c>
      <c r="AA52" s="5260">
        <v>0</v>
      </c>
      <c r="AB52" s="5260">
        <v>1</v>
      </c>
      <c r="AC52" s="5260">
        <v>0</v>
      </c>
      <c r="AD52" s="5260">
        <v>0</v>
      </c>
      <c r="AE52" s="5260">
        <f t="shared" si="60"/>
        <v>2</v>
      </c>
      <c r="AF52" s="5261">
        <f t="shared" si="61"/>
        <v>0.16666666666666666</v>
      </c>
      <c r="AG52" s="2776"/>
      <c r="AH52" s="5259"/>
      <c r="AI52" s="5260">
        <v>3</v>
      </c>
      <c r="AJ52" s="5260"/>
      <c r="AK52" s="5260"/>
      <c r="AL52" s="5260">
        <v>1</v>
      </c>
      <c r="AM52" s="5260">
        <v>0</v>
      </c>
      <c r="AN52" s="5260">
        <v>0</v>
      </c>
      <c r="AO52" s="5260"/>
      <c r="AP52" s="5260"/>
      <c r="AQ52" s="5260">
        <v>1</v>
      </c>
      <c r="AR52" s="5260"/>
      <c r="AS52" s="5260"/>
      <c r="AT52" s="5260">
        <f t="shared" si="36"/>
        <v>5</v>
      </c>
      <c r="AU52" s="5261">
        <f t="shared" si="11"/>
        <v>0.41666666666666669</v>
      </c>
      <c r="AV52" s="559" t="b">
        <v>1</v>
      </c>
      <c r="AW52" s="5262">
        <v>0</v>
      </c>
      <c r="AX52" s="5260">
        <v>0</v>
      </c>
      <c r="AY52" s="5260">
        <v>2</v>
      </c>
      <c r="AZ52" s="5260">
        <v>0</v>
      </c>
      <c r="BA52" s="5260">
        <v>0</v>
      </c>
      <c r="BB52" s="5260">
        <v>0</v>
      </c>
      <c r="BC52" s="5260">
        <v>0</v>
      </c>
      <c r="BD52" s="5260">
        <v>0</v>
      </c>
      <c r="BE52" s="5260">
        <v>0</v>
      </c>
      <c r="BF52" s="5260">
        <v>0</v>
      </c>
      <c r="BG52" s="5260">
        <v>0</v>
      </c>
      <c r="BH52" s="5260">
        <v>1</v>
      </c>
      <c r="BI52" s="5260">
        <f t="shared" si="62"/>
        <v>3</v>
      </c>
      <c r="BJ52" s="5261">
        <f t="shared" si="13"/>
        <v>0.25</v>
      </c>
      <c r="BK52" s="559" t="b">
        <v>1</v>
      </c>
      <c r="BL52" s="5262">
        <v>0</v>
      </c>
      <c r="BM52" s="5260">
        <v>0</v>
      </c>
      <c r="BN52" s="5260"/>
      <c r="BO52" s="5260"/>
      <c r="BP52" s="5260"/>
      <c r="BQ52" s="5260"/>
      <c r="BR52" s="5260"/>
      <c r="BS52" s="5260"/>
      <c r="BT52" s="5260"/>
      <c r="BU52" s="5260"/>
      <c r="BV52" s="5260"/>
      <c r="BW52" s="5260"/>
      <c r="BX52" s="5260">
        <f t="shared" si="63"/>
        <v>0</v>
      </c>
      <c r="BY52" s="5261">
        <f t="shared" si="54"/>
        <v>0</v>
      </c>
      <c r="CA52" s="169">
        <f t="shared" si="55"/>
        <v>0</v>
      </c>
      <c r="CB52" s="169">
        <f t="shared" si="15"/>
        <v>-0.16666666666666669</v>
      </c>
      <c r="CC52" s="169">
        <f>IFERROR(
  SUM(
    _xlfn.XLOOKUP(DATE(YEAR($A$1),1,1),$2:$2,52:52):
    _xlfn.XLOOKUP($A$1,$2:$2,52:52)
  )
 -SUM(
    _xlfn.XLOOKUP(DATE(YEAR($A$1)-1,1,1),$2:$2,52:52):
    _xlfn.XLOOKUP(EDATE($A$1,-12),$2:$2,52:52)
  ),"")</f>
        <v>0</v>
      </c>
      <c r="CD52" s="4517">
        <f t="shared" si="56"/>
        <v>0</v>
      </c>
    </row>
    <row r="53" spans="1:82" ht="17.600000000000001" x14ac:dyDescent="0.55000000000000004">
      <c r="A53" s="7383"/>
      <c r="B53" s="2062"/>
      <c r="C53" s="5263" t="s">
        <v>213</v>
      </c>
      <c r="D53" s="5265">
        <v>0</v>
      </c>
      <c r="E53" s="5265">
        <v>1</v>
      </c>
      <c r="F53" s="5265">
        <v>0</v>
      </c>
      <c r="G53" s="5265">
        <v>0</v>
      </c>
      <c r="H53" s="5265">
        <v>0</v>
      </c>
      <c r="I53" s="5265">
        <v>0</v>
      </c>
      <c r="J53" s="5265">
        <v>0</v>
      </c>
      <c r="K53" s="5265">
        <v>0</v>
      </c>
      <c r="L53" s="5265">
        <v>0</v>
      </c>
      <c r="M53" s="5265">
        <v>0</v>
      </c>
      <c r="N53" s="5265">
        <v>0</v>
      </c>
      <c r="O53" s="5265">
        <v>2</v>
      </c>
      <c r="P53" s="5265">
        <f t="shared" si="6"/>
        <v>0.25</v>
      </c>
      <c r="Q53" s="5266">
        <f t="shared" si="7"/>
        <v>0.25</v>
      </c>
      <c r="R53" s="2776">
        <v>0</v>
      </c>
      <c r="S53" s="5276">
        <v>0</v>
      </c>
      <c r="T53" s="5265">
        <v>0</v>
      </c>
      <c r="U53" s="5265">
        <v>0</v>
      </c>
      <c r="V53" s="5265">
        <v>0</v>
      </c>
      <c r="W53" s="5265">
        <v>0</v>
      </c>
      <c r="X53" s="5265">
        <v>0</v>
      </c>
      <c r="Y53" s="5265">
        <v>0</v>
      </c>
      <c r="Z53" s="5265">
        <v>0</v>
      </c>
      <c r="AA53" s="5265">
        <v>0</v>
      </c>
      <c r="AB53" s="5265">
        <v>0</v>
      </c>
      <c r="AC53" s="5265">
        <v>0</v>
      </c>
      <c r="AD53" s="5265">
        <v>0</v>
      </c>
      <c r="AE53" s="5265">
        <f t="shared" si="60"/>
        <v>0</v>
      </c>
      <c r="AF53" s="5266">
        <f t="shared" si="61"/>
        <v>0</v>
      </c>
      <c r="AG53" s="2776"/>
      <c r="AH53" s="5264"/>
      <c r="AI53" s="5265"/>
      <c r="AJ53" s="5265">
        <v>1</v>
      </c>
      <c r="AK53" s="5265"/>
      <c r="AL53" s="5265">
        <v>0</v>
      </c>
      <c r="AM53" s="5265">
        <v>0</v>
      </c>
      <c r="AN53" s="5265">
        <v>0</v>
      </c>
      <c r="AO53" s="5265"/>
      <c r="AP53" s="5265"/>
      <c r="AQ53" s="5265">
        <v>0</v>
      </c>
      <c r="AR53" s="5265">
        <v>1</v>
      </c>
      <c r="AS53" s="5265">
        <v>1</v>
      </c>
      <c r="AT53" s="5265">
        <f t="shared" si="36"/>
        <v>3</v>
      </c>
      <c r="AU53" s="5266">
        <f t="shared" si="11"/>
        <v>0.25</v>
      </c>
      <c r="AV53" s="559" t="b">
        <v>1</v>
      </c>
      <c r="AW53" s="5267">
        <v>0</v>
      </c>
      <c r="AX53" s="5265">
        <v>0</v>
      </c>
      <c r="AY53" s="5265">
        <v>0</v>
      </c>
      <c r="AZ53" s="5265">
        <v>2</v>
      </c>
      <c r="BA53" s="5265">
        <v>0</v>
      </c>
      <c r="BB53" s="5265">
        <v>0</v>
      </c>
      <c r="BC53" s="5265">
        <v>0</v>
      </c>
      <c r="BD53" s="5265">
        <v>1</v>
      </c>
      <c r="BE53" s="5265">
        <v>0</v>
      </c>
      <c r="BF53" s="5265">
        <v>0</v>
      </c>
      <c r="BG53" s="5265">
        <v>0</v>
      </c>
      <c r="BH53" s="5265">
        <v>0</v>
      </c>
      <c r="BI53" s="5265">
        <f t="shared" si="62"/>
        <v>3</v>
      </c>
      <c r="BJ53" s="5266">
        <f t="shared" si="13"/>
        <v>0.25</v>
      </c>
      <c r="BK53" s="559" t="b">
        <v>1</v>
      </c>
      <c r="BL53" s="5267">
        <v>0</v>
      </c>
      <c r="BM53" s="5265">
        <v>0</v>
      </c>
      <c r="BN53" s="5265"/>
      <c r="BO53" s="5265"/>
      <c r="BP53" s="5265"/>
      <c r="BQ53" s="5265"/>
      <c r="BR53" s="5265"/>
      <c r="BS53" s="5265"/>
      <c r="BT53" s="5265"/>
      <c r="BU53" s="5265"/>
      <c r="BV53" s="5265"/>
      <c r="BW53" s="5265"/>
      <c r="BX53" s="5265">
        <f t="shared" si="63"/>
        <v>0</v>
      </c>
      <c r="BY53" s="5266">
        <f t="shared" si="54"/>
        <v>0</v>
      </c>
      <c r="CA53" s="169">
        <f t="shared" si="55"/>
        <v>0</v>
      </c>
      <c r="CB53" s="169">
        <f t="shared" si="15"/>
        <v>0</v>
      </c>
      <c r="CC53" s="169">
        <f>IFERROR(
  SUM(
    _xlfn.XLOOKUP(DATE(YEAR($A$1),1,1),$2:$2,53:53):
    _xlfn.XLOOKUP($A$1,$2:$2,53:53)
  )
 -SUM(
    _xlfn.XLOOKUP(DATE(YEAR($A$1)-1,1,1),$2:$2,53:53):
    _xlfn.XLOOKUP(EDATE($A$1,-12),$2:$2,53:53)
  ),"")</f>
        <v>0</v>
      </c>
      <c r="CD53" s="4517">
        <f t="shared" si="56"/>
        <v>0</v>
      </c>
    </row>
    <row r="54" spans="1:82" ht="17.600000000000001" x14ac:dyDescent="0.55000000000000004">
      <c r="A54" s="7383"/>
      <c r="B54" s="2062"/>
      <c r="C54" s="5263" t="s">
        <v>214</v>
      </c>
      <c r="D54" s="5265">
        <v>0</v>
      </c>
      <c r="E54" s="5265">
        <v>0</v>
      </c>
      <c r="F54" s="5265">
        <v>0</v>
      </c>
      <c r="G54" s="5265">
        <v>0</v>
      </c>
      <c r="H54" s="5265">
        <v>0</v>
      </c>
      <c r="I54" s="5265">
        <v>0</v>
      </c>
      <c r="J54" s="5265">
        <v>0</v>
      </c>
      <c r="K54" s="5265">
        <v>0</v>
      </c>
      <c r="L54" s="5265">
        <v>0</v>
      </c>
      <c r="M54" s="5265">
        <v>0</v>
      </c>
      <c r="N54" s="5265">
        <v>0</v>
      </c>
      <c r="O54" s="5265">
        <v>0</v>
      </c>
      <c r="P54" s="5265">
        <f t="shared" si="6"/>
        <v>0</v>
      </c>
      <c r="Q54" s="5266">
        <f t="shared" si="7"/>
        <v>0</v>
      </c>
      <c r="R54" s="2776">
        <v>0</v>
      </c>
      <c r="S54" s="5276">
        <v>0</v>
      </c>
      <c r="T54" s="5265">
        <v>0</v>
      </c>
      <c r="U54" s="5265">
        <v>0</v>
      </c>
      <c r="V54" s="5265">
        <v>0</v>
      </c>
      <c r="W54" s="5265">
        <v>0</v>
      </c>
      <c r="X54" s="5265">
        <v>0</v>
      </c>
      <c r="Y54" s="5265">
        <v>0</v>
      </c>
      <c r="Z54" s="5265">
        <v>0</v>
      </c>
      <c r="AA54" s="5265">
        <v>0</v>
      </c>
      <c r="AB54" s="5265">
        <v>0</v>
      </c>
      <c r="AC54" s="5265">
        <v>1</v>
      </c>
      <c r="AD54" s="5265">
        <v>0</v>
      </c>
      <c r="AE54" s="5265">
        <f t="shared" si="60"/>
        <v>1</v>
      </c>
      <c r="AF54" s="5266">
        <f t="shared" si="61"/>
        <v>8.3333333333333329E-2</v>
      </c>
      <c r="AG54" s="2776"/>
      <c r="AH54" s="5264"/>
      <c r="AI54" s="5265"/>
      <c r="AJ54" s="5265"/>
      <c r="AK54" s="5265"/>
      <c r="AL54" s="5265">
        <v>0</v>
      </c>
      <c r="AM54" s="5265">
        <v>0</v>
      </c>
      <c r="AN54" s="5265">
        <v>0</v>
      </c>
      <c r="AO54" s="5265"/>
      <c r="AP54" s="5265"/>
      <c r="AQ54" s="5265">
        <v>0</v>
      </c>
      <c r="AR54" s="5265"/>
      <c r="AS54" s="5265"/>
      <c r="AT54" s="5265">
        <f t="shared" si="36"/>
        <v>0</v>
      </c>
      <c r="AU54" s="5266">
        <f t="shared" si="11"/>
        <v>0</v>
      </c>
      <c r="AV54" s="559" t="b">
        <v>1</v>
      </c>
      <c r="AW54" s="5267">
        <v>0</v>
      </c>
      <c r="AX54" s="5265">
        <v>0</v>
      </c>
      <c r="AY54" s="5265">
        <v>0</v>
      </c>
      <c r="AZ54" s="5265">
        <v>0</v>
      </c>
      <c r="BA54" s="5265">
        <v>1</v>
      </c>
      <c r="BB54" s="5265">
        <v>0</v>
      </c>
      <c r="BC54" s="5265">
        <v>0</v>
      </c>
      <c r="BD54" s="5265">
        <v>0</v>
      </c>
      <c r="BE54" s="5265">
        <v>0</v>
      </c>
      <c r="BF54" s="5265">
        <v>0</v>
      </c>
      <c r="BG54" s="5265">
        <v>0</v>
      </c>
      <c r="BH54" s="5265">
        <v>0</v>
      </c>
      <c r="BI54" s="5265">
        <f t="shared" si="62"/>
        <v>1</v>
      </c>
      <c r="BJ54" s="5266">
        <f t="shared" si="13"/>
        <v>8.3333333333333329E-2</v>
      </c>
      <c r="BK54" s="559" t="b">
        <v>1</v>
      </c>
      <c r="BL54" s="5267">
        <v>0</v>
      </c>
      <c r="BM54" s="5265">
        <v>0</v>
      </c>
      <c r="BN54" s="5265"/>
      <c r="BO54" s="5265"/>
      <c r="BP54" s="5265"/>
      <c r="BQ54" s="5265"/>
      <c r="BR54" s="5265"/>
      <c r="BS54" s="5265"/>
      <c r="BT54" s="5265"/>
      <c r="BU54" s="5265"/>
      <c r="BV54" s="5265"/>
      <c r="BW54" s="5265"/>
      <c r="BX54" s="5265">
        <f t="shared" si="63"/>
        <v>0</v>
      </c>
      <c r="BY54" s="5266">
        <f t="shared" si="54"/>
        <v>0</v>
      </c>
      <c r="CA54" s="169">
        <f t="shared" si="55"/>
        <v>0</v>
      </c>
      <c r="CB54" s="169">
        <f t="shared" si="15"/>
        <v>8.3333333333333329E-2</v>
      </c>
      <c r="CC54" s="169">
        <f>IFERROR(
  SUM(
    _xlfn.XLOOKUP(DATE(YEAR($A$1),1,1),$2:$2,54:54):
    _xlfn.XLOOKUP($A$1,$2:$2,54:54)
  )
 -SUM(
    _xlfn.XLOOKUP(DATE(YEAR($A$1)-1,1,1),$2:$2,54:54):
    _xlfn.XLOOKUP(EDATE($A$1,-12),$2:$2,54:54)
  ),"")</f>
        <v>0</v>
      </c>
      <c r="CD54" s="4517">
        <f t="shared" si="56"/>
        <v>0</v>
      </c>
    </row>
    <row r="55" spans="1:82" ht="17.600000000000001" x14ac:dyDescent="0.55000000000000004">
      <c r="A55" s="7383"/>
      <c r="B55" s="2062"/>
      <c r="C55" s="5258" t="s">
        <v>215</v>
      </c>
      <c r="D55" s="5260">
        <v>0</v>
      </c>
      <c r="E55" s="5260">
        <v>0</v>
      </c>
      <c r="F55" s="5260">
        <v>0</v>
      </c>
      <c r="G55" s="5260">
        <v>0</v>
      </c>
      <c r="H55" s="5260">
        <v>0</v>
      </c>
      <c r="I55" s="5260">
        <v>0</v>
      </c>
      <c r="J55" s="5260">
        <v>0</v>
      </c>
      <c r="K55" s="5260">
        <v>0</v>
      </c>
      <c r="L55" s="5260">
        <v>0</v>
      </c>
      <c r="M55" s="5260">
        <v>1</v>
      </c>
      <c r="N55" s="5260">
        <v>0</v>
      </c>
      <c r="O55" s="5260">
        <v>1</v>
      </c>
      <c r="P55" s="5260">
        <f t="shared" si="6"/>
        <v>0.16666666666666666</v>
      </c>
      <c r="Q55" s="5261">
        <f t="shared" si="7"/>
        <v>0.16666666666666666</v>
      </c>
      <c r="R55" s="2776">
        <v>0</v>
      </c>
      <c r="S55" s="5275">
        <v>0</v>
      </c>
      <c r="T55" s="5260">
        <v>0</v>
      </c>
      <c r="U55" s="5260">
        <v>0</v>
      </c>
      <c r="V55" s="5260">
        <v>0</v>
      </c>
      <c r="W55" s="5260">
        <v>1</v>
      </c>
      <c r="X55" s="5260">
        <v>0</v>
      </c>
      <c r="Y55" s="5260">
        <v>0</v>
      </c>
      <c r="Z55" s="5260">
        <v>1</v>
      </c>
      <c r="AA55" s="5260">
        <v>0</v>
      </c>
      <c r="AB55" s="5260">
        <v>0</v>
      </c>
      <c r="AC55" s="5260">
        <v>0</v>
      </c>
      <c r="AD55" s="5260">
        <v>0</v>
      </c>
      <c r="AE55" s="5260">
        <f t="shared" si="60"/>
        <v>2</v>
      </c>
      <c r="AF55" s="5261">
        <f t="shared" si="61"/>
        <v>0.16666666666666666</v>
      </c>
      <c r="AG55" s="2776"/>
      <c r="AH55" s="5259"/>
      <c r="AI55" s="5260"/>
      <c r="AJ55" s="5260"/>
      <c r="AK55" s="5260"/>
      <c r="AL55" s="5260">
        <v>0</v>
      </c>
      <c r="AM55" s="5260">
        <v>0</v>
      </c>
      <c r="AN55" s="5260">
        <v>0</v>
      </c>
      <c r="AO55" s="5260"/>
      <c r="AP55" s="5260"/>
      <c r="AQ55" s="5260">
        <v>0</v>
      </c>
      <c r="AR55" s="5260"/>
      <c r="AS55" s="5260"/>
      <c r="AT55" s="5260">
        <f>SUM(AH55:AS55)</f>
        <v>0</v>
      </c>
      <c r="AU55" s="5261">
        <f t="shared" si="11"/>
        <v>0</v>
      </c>
      <c r="AV55" s="559" t="b">
        <v>1</v>
      </c>
      <c r="AW55" s="5262">
        <v>0</v>
      </c>
      <c r="AX55" s="5260">
        <v>1</v>
      </c>
      <c r="AY55" s="5260">
        <v>2</v>
      </c>
      <c r="AZ55" s="5260">
        <v>0</v>
      </c>
      <c r="BA55" s="5260">
        <v>0</v>
      </c>
      <c r="BB55" s="5260">
        <v>2</v>
      </c>
      <c r="BC55" s="5260">
        <v>0</v>
      </c>
      <c r="BD55" s="5260">
        <v>0</v>
      </c>
      <c r="BE55" s="5260">
        <v>0</v>
      </c>
      <c r="BF55" s="5260">
        <v>0</v>
      </c>
      <c r="BG55" s="5260">
        <v>1</v>
      </c>
      <c r="BH55" s="5260">
        <v>0</v>
      </c>
      <c r="BI55" s="5260">
        <f t="shared" si="62"/>
        <v>6</v>
      </c>
      <c r="BJ55" s="5261">
        <f t="shared" si="13"/>
        <v>0.5</v>
      </c>
      <c r="BK55" s="559" t="b">
        <v>1</v>
      </c>
      <c r="BL55" s="5262">
        <v>0</v>
      </c>
      <c r="BM55" s="5260">
        <v>0</v>
      </c>
      <c r="BN55" s="5260"/>
      <c r="BO55" s="5260"/>
      <c r="BP55" s="5260"/>
      <c r="BQ55" s="5260"/>
      <c r="BR55" s="5260"/>
      <c r="BS55" s="5260"/>
      <c r="BT55" s="5260"/>
      <c r="BU55" s="5260"/>
      <c r="BV55" s="5260"/>
      <c r="BW55" s="5260"/>
      <c r="BX55" s="5260">
        <f t="shared" si="63"/>
        <v>0</v>
      </c>
      <c r="BY55" s="5261">
        <f t="shared" si="54"/>
        <v>0</v>
      </c>
      <c r="CA55" s="169">
        <f t="shared" si="55"/>
        <v>-1</v>
      </c>
      <c r="CB55" s="169">
        <f t="shared" si="15"/>
        <v>0.5</v>
      </c>
      <c r="CC55" s="169">
        <f>IFERROR(
  SUM(
    _xlfn.XLOOKUP(DATE(YEAR($A$1),1,1),$2:$2,55:55):
    _xlfn.XLOOKUP($A$1,$2:$2,55:55)
  )
 -SUM(
    _xlfn.XLOOKUP(DATE(YEAR($A$1)-1,1,1),$2:$2,55:55):
    _xlfn.XLOOKUP(EDATE($A$1,-12),$2:$2,55:55)
  ),"")</f>
        <v>-1</v>
      </c>
      <c r="CD55" s="4517">
        <f t="shared" si="56"/>
        <v>0</v>
      </c>
    </row>
    <row r="56" spans="1:82" ht="17.600000000000001" x14ac:dyDescent="0.55000000000000004">
      <c r="A56" s="7383"/>
      <c r="B56" s="2062"/>
      <c r="C56" s="5258" t="s">
        <v>216</v>
      </c>
      <c r="D56" s="5260">
        <v>0</v>
      </c>
      <c r="E56" s="5260">
        <v>0</v>
      </c>
      <c r="F56" s="5260">
        <v>0</v>
      </c>
      <c r="G56" s="5260">
        <v>0</v>
      </c>
      <c r="H56" s="5260">
        <v>0</v>
      </c>
      <c r="I56" s="5260">
        <v>0</v>
      </c>
      <c r="J56" s="5260">
        <v>0</v>
      </c>
      <c r="K56" s="5260">
        <v>0</v>
      </c>
      <c r="L56" s="5260">
        <v>0</v>
      </c>
      <c r="M56" s="5260">
        <v>0</v>
      </c>
      <c r="N56" s="5260">
        <v>0</v>
      </c>
      <c r="O56" s="5260">
        <v>0</v>
      </c>
      <c r="P56" s="5260">
        <f t="shared" si="6"/>
        <v>0</v>
      </c>
      <c r="Q56" s="5261">
        <f t="shared" si="7"/>
        <v>0</v>
      </c>
      <c r="R56" s="2776">
        <v>0</v>
      </c>
      <c r="S56" s="5275">
        <v>0</v>
      </c>
      <c r="T56" s="5260">
        <v>0</v>
      </c>
      <c r="U56" s="5260">
        <v>0</v>
      </c>
      <c r="V56" s="5260">
        <v>0</v>
      </c>
      <c r="W56" s="5260">
        <v>0</v>
      </c>
      <c r="X56" s="5260">
        <v>0</v>
      </c>
      <c r="Y56" s="5260">
        <v>0</v>
      </c>
      <c r="Z56" s="5260">
        <v>0</v>
      </c>
      <c r="AA56" s="5260">
        <v>0</v>
      </c>
      <c r="AB56" s="5260">
        <v>0</v>
      </c>
      <c r="AC56" s="5260">
        <v>0</v>
      </c>
      <c r="AD56" s="5260">
        <v>0</v>
      </c>
      <c r="AE56" s="5260">
        <f t="shared" si="60"/>
        <v>0</v>
      </c>
      <c r="AF56" s="5261">
        <f t="shared" si="61"/>
        <v>0</v>
      </c>
      <c r="AG56" s="2776"/>
      <c r="AH56" s="5259"/>
      <c r="AI56" s="5260"/>
      <c r="AJ56" s="5260"/>
      <c r="AK56" s="5260"/>
      <c r="AL56" s="5260">
        <v>0</v>
      </c>
      <c r="AM56" s="5260">
        <v>1</v>
      </c>
      <c r="AN56" s="5260">
        <v>0</v>
      </c>
      <c r="AO56" s="5260"/>
      <c r="AP56" s="5260"/>
      <c r="AQ56" s="5260">
        <v>0</v>
      </c>
      <c r="AR56" s="5260"/>
      <c r="AS56" s="5260"/>
      <c r="AT56" s="5260">
        <f t="shared" si="36"/>
        <v>1</v>
      </c>
      <c r="AU56" s="5261">
        <f t="shared" si="11"/>
        <v>8.3333333333333329E-2</v>
      </c>
      <c r="AV56" s="559" t="b">
        <v>1</v>
      </c>
      <c r="AW56" s="5262">
        <v>0</v>
      </c>
      <c r="AX56" s="5260">
        <v>0</v>
      </c>
      <c r="AY56" s="5260">
        <v>0</v>
      </c>
      <c r="AZ56" s="5260">
        <v>0</v>
      </c>
      <c r="BA56" s="5260">
        <v>0</v>
      </c>
      <c r="BB56" s="5260">
        <v>1</v>
      </c>
      <c r="BC56" s="5260">
        <v>0</v>
      </c>
      <c r="BD56" s="5260">
        <v>0</v>
      </c>
      <c r="BE56" s="5260">
        <v>0</v>
      </c>
      <c r="BF56" s="5260">
        <v>0</v>
      </c>
      <c r="BG56" s="5260">
        <v>0</v>
      </c>
      <c r="BH56" s="5260">
        <v>1</v>
      </c>
      <c r="BI56" s="5260">
        <f t="shared" si="62"/>
        <v>2</v>
      </c>
      <c r="BJ56" s="5261">
        <f t="shared" si="13"/>
        <v>0.16666666666666666</v>
      </c>
      <c r="BK56" s="559" t="b">
        <v>1</v>
      </c>
      <c r="BL56" s="5262">
        <v>0</v>
      </c>
      <c r="BM56" s="5260">
        <v>0</v>
      </c>
      <c r="BN56" s="5260"/>
      <c r="BO56" s="5260"/>
      <c r="BP56" s="5260"/>
      <c r="BQ56" s="5260"/>
      <c r="BR56" s="5260"/>
      <c r="BS56" s="5260"/>
      <c r="BT56" s="5260"/>
      <c r="BU56" s="5260"/>
      <c r="BV56" s="5260"/>
      <c r="BW56" s="5260"/>
      <c r="BX56" s="5260">
        <f t="shared" si="63"/>
        <v>0</v>
      </c>
      <c r="BY56" s="5261">
        <f t="shared" si="54"/>
        <v>0</v>
      </c>
      <c r="CA56" s="169">
        <f t="shared" si="55"/>
        <v>0</v>
      </c>
      <c r="CB56" s="169">
        <f t="shared" si="15"/>
        <v>8.3333333333333329E-2</v>
      </c>
      <c r="CC56" s="169">
        <f>IFERROR(
  SUM(
    _xlfn.XLOOKUP(DATE(YEAR($A$1),1,1),$2:$2,56:56):
    _xlfn.XLOOKUP($A$1,$2:$2,56:56)
  )
 -SUM(
    _xlfn.XLOOKUP(DATE(YEAR($A$1)-1,1,1),$2:$2,56:56):
    _xlfn.XLOOKUP(EDATE($A$1,-12),$2:$2,56:56)
  ),"")</f>
        <v>0</v>
      </c>
      <c r="CD56" s="4517">
        <f t="shared" si="56"/>
        <v>0</v>
      </c>
    </row>
    <row r="57" spans="1:82" ht="17.600000000000001" x14ac:dyDescent="0.55000000000000004">
      <c r="A57" s="7383"/>
      <c r="B57" s="2062"/>
      <c r="C57" s="5263" t="s">
        <v>217</v>
      </c>
      <c r="D57" s="5265">
        <v>0</v>
      </c>
      <c r="E57" s="5265">
        <v>0</v>
      </c>
      <c r="F57" s="5265">
        <v>0</v>
      </c>
      <c r="G57" s="5265">
        <v>1</v>
      </c>
      <c r="H57" s="5265">
        <v>0</v>
      </c>
      <c r="I57" s="5265">
        <v>1</v>
      </c>
      <c r="J57" s="5265">
        <v>0</v>
      </c>
      <c r="K57" s="5265">
        <v>1</v>
      </c>
      <c r="L57" s="5265">
        <v>0</v>
      </c>
      <c r="M57" s="5265">
        <v>0</v>
      </c>
      <c r="N57" s="5265">
        <v>0</v>
      </c>
      <c r="O57" s="5265">
        <v>1</v>
      </c>
      <c r="P57" s="5265">
        <f t="shared" si="6"/>
        <v>0.33333333333333331</v>
      </c>
      <c r="Q57" s="5266">
        <f t="shared" si="7"/>
        <v>0.33333333333333331</v>
      </c>
      <c r="R57" s="2776">
        <v>0</v>
      </c>
      <c r="S57" s="5276">
        <v>0</v>
      </c>
      <c r="T57" s="5265">
        <v>0</v>
      </c>
      <c r="U57" s="5265">
        <v>1</v>
      </c>
      <c r="V57" s="5265">
        <v>0</v>
      </c>
      <c r="W57" s="5265">
        <v>0</v>
      </c>
      <c r="X57" s="5265">
        <v>0</v>
      </c>
      <c r="Y57" s="5265">
        <v>0</v>
      </c>
      <c r="Z57" s="5265">
        <v>1</v>
      </c>
      <c r="AA57" s="5265">
        <v>1</v>
      </c>
      <c r="AB57" s="5265">
        <v>0</v>
      </c>
      <c r="AC57" s="5265">
        <v>2</v>
      </c>
      <c r="AD57" s="5265">
        <v>0</v>
      </c>
      <c r="AE57" s="5265">
        <f t="shared" si="60"/>
        <v>5</v>
      </c>
      <c r="AF57" s="5266">
        <f t="shared" si="61"/>
        <v>0.41666666666666669</v>
      </c>
      <c r="AG57" s="2776"/>
      <c r="AH57" s="5264">
        <v>1</v>
      </c>
      <c r="AI57" s="5265"/>
      <c r="AJ57" s="5265"/>
      <c r="AK57" s="5265"/>
      <c r="AL57" s="5265">
        <v>0</v>
      </c>
      <c r="AM57" s="5265">
        <v>0</v>
      </c>
      <c r="AN57" s="5265">
        <v>0</v>
      </c>
      <c r="AO57" s="5265">
        <v>1</v>
      </c>
      <c r="AP57" s="5265"/>
      <c r="AQ57" s="5265">
        <v>0</v>
      </c>
      <c r="AR57" s="5265">
        <v>1</v>
      </c>
      <c r="AS57" s="5265"/>
      <c r="AT57" s="5265">
        <f t="shared" si="36"/>
        <v>3</v>
      </c>
      <c r="AU57" s="5266">
        <f t="shared" si="11"/>
        <v>0.25</v>
      </c>
      <c r="AV57" s="559" t="b">
        <v>1</v>
      </c>
      <c r="AW57" s="5267">
        <v>0</v>
      </c>
      <c r="AX57" s="5265">
        <v>1</v>
      </c>
      <c r="AY57" s="5265">
        <v>1</v>
      </c>
      <c r="AZ57" s="5265">
        <v>0</v>
      </c>
      <c r="BA57" s="5265">
        <v>0</v>
      </c>
      <c r="BB57" s="5265">
        <v>0</v>
      </c>
      <c r="BC57" s="5265">
        <v>0</v>
      </c>
      <c r="BD57" s="5265">
        <v>0</v>
      </c>
      <c r="BE57" s="5265">
        <v>0</v>
      </c>
      <c r="BF57" s="5265">
        <v>0</v>
      </c>
      <c r="BG57" s="5265">
        <v>0</v>
      </c>
      <c r="BH57" s="5265">
        <v>0</v>
      </c>
      <c r="BI57" s="5265">
        <f t="shared" si="62"/>
        <v>2</v>
      </c>
      <c r="BJ57" s="5266">
        <f t="shared" si="13"/>
        <v>0.16666666666666666</v>
      </c>
      <c r="BK57" s="559" t="b">
        <v>1</v>
      </c>
      <c r="BL57" s="5267">
        <v>0</v>
      </c>
      <c r="BM57" s="5265">
        <v>0</v>
      </c>
      <c r="BN57" s="5265"/>
      <c r="BO57" s="5265"/>
      <c r="BP57" s="5265"/>
      <c r="BQ57" s="5265"/>
      <c r="BR57" s="5265"/>
      <c r="BS57" s="5265"/>
      <c r="BT57" s="5265"/>
      <c r="BU57" s="5265"/>
      <c r="BV57" s="5265"/>
      <c r="BW57" s="5265"/>
      <c r="BX57" s="5265">
        <f t="shared" si="63"/>
        <v>0</v>
      </c>
      <c r="BY57" s="5266">
        <f t="shared" si="54"/>
        <v>0</v>
      </c>
      <c r="CA57" s="169">
        <f t="shared" si="55"/>
        <v>-1</v>
      </c>
      <c r="CB57" s="169">
        <f t="shared" si="15"/>
        <v>-8.3333333333333343E-2</v>
      </c>
      <c r="CC57" s="169">
        <f>IFERROR(
  SUM(
    _xlfn.XLOOKUP(DATE(YEAR($A$1),1,1),$2:$2,57:57):
    _xlfn.XLOOKUP($A$1,$2:$2,57:57)
  )
 -SUM(
    _xlfn.XLOOKUP(DATE(YEAR($A$1)-1,1,1),$2:$2,57:57):
    _xlfn.XLOOKUP(EDATE($A$1,-12),$2:$2,57:57)
  ),"")</f>
        <v>-1</v>
      </c>
      <c r="CD57" s="4517">
        <f t="shared" si="56"/>
        <v>0</v>
      </c>
    </row>
    <row r="58" spans="1:82" ht="17.600000000000001" x14ac:dyDescent="0.55000000000000004">
      <c r="A58" s="7383"/>
      <c r="B58" s="2062"/>
      <c r="C58" s="5263" t="s">
        <v>218</v>
      </c>
      <c r="D58" s="5265">
        <v>0</v>
      </c>
      <c r="E58" s="5265">
        <v>1</v>
      </c>
      <c r="F58" s="5265">
        <v>0</v>
      </c>
      <c r="G58" s="5265">
        <v>0</v>
      </c>
      <c r="H58" s="5265">
        <v>0</v>
      </c>
      <c r="I58" s="5265">
        <v>0</v>
      </c>
      <c r="J58" s="5265">
        <v>1</v>
      </c>
      <c r="K58" s="5265">
        <v>0</v>
      </c>
      <c r="L58" s="5265">
        <v>0</v>
      </c>
      <c r="M58" s="5265">
        <v>0</v>
      </c>
      <c r="N58" s="5265">
        <v>0</v>
      </c>
      <c r="O58" s="5265">
        <v>0</v>
      </c>
      <c r="P58" s="5265">
        <f t="shared" si="6"/>
        <v>0.16666666666666666</v>
      </c>
      <c r="Q58" s="5266">
        <f t="shared" si="7"/>
        <v>0.16666666666666666</v>
      </c>
      <c r="R58" s="2776">
        <v>0</v>
      </c>
      <c r="S58" s="5276">
        <v>0</v>
      </c>
      <c r="T58" s="5265">
        <v>0</v>
      </c>
      <c r="U58" s="5265">
        <v>1</v>
      </c>
      <c r="V58" s="5265">
        <v>0</v>
      </c>
      <c r="W58" s="5265">
        <v>0</v>
      </c>
      <c r="X58" s="5265">
        <v>0</v>
      </c>
      <c r="Y58" s="5265">
        <v>1</v>
      </c>
      <c r="Z58" s="5265">
        <v>0</v>
      </c>
      <c r="AA58" s="5265">
        <v>0</v>
      </c>
      <c r="AB58" s="5265">
        <v>0</v>
      </c>
      <c r="AC58" s="5265">
        <v>0</v>
      </c>
      <c r="AD58" s="5265">
        <v>0</v>
      </c>
      <c r="AE58" s="5265">
        <f t="shared" si="60"/>
        <v>2</v>
      </c>
      <c r="AF58" s="5266">
        <f t="shared" si="61"/>
        <v>0.16666666666666666</v>
      </c>
      <c r="AG58" s="2776"/>
      <c r="AH58" s="5264"/>
      <c r="AI58" s="5265"/>
      <c r="AJ58" s="5265"/>
      <c r="AK58" s="5265">
        <v>1</v>
      </c>
      <c r="AL58" s="5265">
        <v>0</v>
      </c>
      <c r="AM58" s="5265">
        <v>0</v>
      </c>
      <c r="AN58" s="5265">
        <v>0</v>
      </c>
      <c r="AO58" s="5265">
        <v>1</v>
      </c>
      <c r="AP58" s="5265"/>
      <c r="AQ58" s="5265">
        <v>0</v>
      </c>
      <c r="AR58" s="5265"/>
      <c r="AS58" s="5265"/>
      <c r="AT58" s="5265">
        <f t="shared" si="36"/>
        <v>2</v>
      </c>
      <c r="AU58" s="5266">
        <f t="shared" si="11"/>
        <v>0.16666666666666666</v>
      </c>
      <c r="AV58" s="559" t="b">
        <v>1</v>
      </c>
      <c r="AW58" s="5267">
        <v>1</v>
      </c>
      <c r="AX58" s="5265">
        <v>0</v>
      </c>
      <c r="AY58" s="5265">
        <v>0</v>
      </c>
      <c r="AZ58" s="5265">
        <v>0</v>
      </c>
      <c r="BA58" s="5265">
        <v>0</v>
      </c>
      <c r="BB58" s="5265">
        <v>0</v>
      </c>
      <c r="BC58" s="5265">
        <v>0</v>
      </c>
      <c r="BD58" s="5265">
        <v>0</v>
      </c>
      <c r="BE58" s="5265">
        <v>0</v>
      </c>
      <c r="BF58" s="5265">
        <v>0</v>
      </c>
      <c r="BG58" s="5265">
        <v>0</v>
      </c>
      <c r="BH58" s="5265">
        <v>0</v>
      </c>
      <c r="BI58" s="5265">
        <f t="shared" si="62"/>
        <v>1</v>
      </c>
      <c r="BJ58" s="5266">
        <f t="shared" si="13"/>
        <v>8.3333333333333329E-2</v>
      </c>
      <c r="BK58" s="559" t="b">
        <v>1</v>
      </c>
      <c r="BL58" s="5267">
        <v>0</v>
      </c>
      <c r="BM58" s="5265">
        <v>0</v>
      </c>
      <c r="BN58" s="5265"/>
      <c r="BO58" s="5265"/>
      <c r="BP58" s="5265"/>
      <c r="BQ58" s="5265"/>
      <c r="BR58" s="5265"/>
      <c r="BS58" s="5265"/>
      <c r="BT58" s="5265"/>
      <c r="BU58" s="5265"/>
      <c r="BV58" s="5265"/>
      <c r="BW58" s="5265"/>
      <c r="BX58" s="5265">
        <f t="shared" si="63"/>
        <v>0</v>
      </c>
      <c r="BY58" s="5266">
        <f t="shared" si="54"/>
        <v>0</v>
      </c>
      <c r="CA58" s="169">
        <f t="shared" si="55"/>
        <v>0</v>
      </c>
      <c r="CB58" s="169">
        <f t="shared" si="15"/>
        <v>-8.3333333333333329E-2</v>
      </c>
      <c r="CC58" s="169">
        <f>IFERROR(
  SUM(
    _xlfn.XLOOKUP(DATE(YEAR($A$1),1,1),$2:$2,58:58):
    _xlfn.XLOOKUP($A$1,$2:$2,58:58)
  )
 -SUM(
    _xlfn.XLOOKUP(DATE(YEAR($A$1)-1,1,1),$2:$2,58:58):
    _xlfn.XLOOKUP(EDATE($A$1,-12),$2:$2,58:58)
  ),"")</f>
        <v>-1</v>
      </c>
      <c r="CD58" s="4517">
        <f t="shared" si="56"/>
        <v>0</v>
      </c>
    </row>
    <row r="59" spans="1:82" ht="17.600000000000001" x14ac:dyDescent="0.55000000000000004">
      <c r="A59" s="7383"/>
      <c r="B59" s="2062"/>
      <c r="C59" s="5258" t="s">
        <v>219</v>
      </c>
      <c r="D59" s="5260">
        <v>0</v>
      </c>
      <c r="E59" s="5260">
        <v>0</v>
      </c>
      <c r="F59" s="5260">
        <v>0</v>
      </c>
      <c r="G59" s="5260">
        <v>0</v>
      </c>
      <c r="H59" s="5260">
        <v>0</v>
      </c>
      <c r="I59" s="5260">
        <v>0</v>
      </c>
      <c r="J59" s="5260">
        <v>0</v>
      </c>
      <c r="K59" s="5260">
        <v>0</v>
      </c>
      <c r="L59" s="5260">
        <v>0</v>
      </c>
      <c r="M59" s="5260">
        <v>0</v>
      </c>
      <c r="N59" s="5260">
        <v>0</v>
      </c>
      <c r="O59" s="5260">
        <v>0</v>
      </c>
      <c r="P59" s="5260">
        <f t="shared" si="6"/>
        <v>0</v>
      </c>
      <c r="Q59" s="5261">
        <f t="shared" si="7"/>
        <v>0</v>
      </c>
      <c r="R59" s="2776">
        <v>0</v>
      </c>
      <c r="S59" s="5275">
        <v>1</v>
      </c>
      <c r="T59" s="5260">
        <v>0</v>
      </c>
      <c r="U59" s="5260">
        <v>0</v>
      </c>
      <c r="V59" s="5260">
        <v>0</v>
      </c>
      <c r="W59" s="5260">
        <v>0</v>
      </c>
      <c r="X59" s="5260">
        <v>0</v>
      </c>
      <c r="Y59" s="5260">
        <v>0</v>
      </c>
      <c r="Z59" s="5260">
        <v>0</v>
      </c>
      <c r="AA59" s="5260">
        <v>0</v>
      </c>
      <c r="AB59" s="5260">
        <v>0</v>
      </c>
      <c r="AC59" s="5260">
        <v>0</v>
      </c>
      <c r="AD59" s="5260">
        <v>0</v>
      </c>
      <c r="AE59" s="5260">
        <f t="shared" si="60"/>
        <v>1</v>
      </c>
      <c r="AF59" s="5261">
        <f t="shared" si="61"/>
        <v>8.3333333333333329E-2</v>
      </c>
      <c r="AG59" s="2776"/>
      <c r="AH59" s="5259"/>
      <c r="AI59" s="5260"/>
      <c r="AJ59" s="5260"/>
      <c r="AK59" s="5260"/>
      <c r="AL59" s="5260">
        <v>1</v>
      </c>
      <c r="AM59" s="5260">
        <v>0</v>
      </c>
      <c r="AN59" s="5260">
        <v>0</v>
      </c>
      <c r="AO59" s="5260"/>
      <c r="AP59" s="5260"/>
      <c r="AQ59" s="5260">
        <v>0</v>
      </c>
      <c r="AR59" s="5260"/>
      <c r="AS59" s="5260"/>
      <c r="AT59" s="5260">
        <f t="shared" si="36"/>
        <v>1</v>
      </c>
      <c r="AU59" s="5261">
        <f t="shared" si="11"/>
        <v>8.3333333333333329E-2</v>
      </c>
      <c r="AV59" s="559" t="b">
        <v>1</v>
      </c>
      <c r="AW59" s="5262">
        <v>1</v>
      </c>
      <c r="AX59" s="5260">
        <v>0</v>
      </c>
      <c r="AY59" s="5260">
        <v>1</v>
      </c>
      <c r="AZ59" s="5260">
        <v>0</v>
      </c>
      <c r="BA59" s="5260">
        <v>0</v>
      </c>
      <c r="BB59" s="5260">
        <v>1</v>
      </c>
      <c r="BC59" s="5260">
        <v>0</v>
      </c>
      <c r="BD59" s="5260">
        <v>0</v>
      </c>
      <c r="BE59" s="5260">
        <v>0</v>
      </c>
      <c r="BF59" s="5260">
        <v>0</v>
      </c>
      <c r="BG59" s="5260">
        <v>0</v>
      </c>
      <c r="BH59" s="5260">
        <v>0</v>
      </c>
      <c r="BI59" s="5260">
        <f t="shared" si="62"/>
        <v>3</v>
      </c>
      <c r="BJ59" s="5261">
        <f t="shared" si="13"/>
        <v>0.25</v>
      </c>
      <c r="BK59" s="559" t="b">
        <v>1</v>
      </c>
      <c r="BL59" s="5262">
        <v>0</v>
      </c>
      <c r="BM59" s="5260">
        <v>0</v>
      </c>
      <c r="BN59" s="5260"/>
      <c r="BO59" s="5260"/>
      <c r="BP59" s="5260"/>
      <c r="BQ59" s="5260"/>
      <c r="BR59" s="5260"/>
      <c r="BS59" s="5260"/>
      <c r="BT59" s="5260"/>
      <c r="BU59" s="5260"/>
      <c r="BV59" s="5260"/>
      <c r="BW59" s="5260"/>
      <c r="BX59" s="5260">
        <f t="shared" si="63"/>
        <v>0</v>
      </c>
      <c r="BY59" s="5261">
        <f t="shared" si="54"/>
        <v>0</v>
      </c>
      <c r="CA59" s="169">
        <f t="shared" si="55"/>
        <v>0</v>
      </c>
      <c r="CB59" s="169">
        <f t="shared" si="15"/>
        <v>0.16666666666666669</v>
      </c>
      <c r="CC59" s="169">
        <f>IFERROR(
  SUM(
    _xlfn.XLOOKUP(DATE(YEAR($A$1),1,1),$2:$2,59:59):
    _xlfn.XLOOKUP($A$1,$2:$2,59:59)
  )
 -SUM(
    _xlfn.XLOOKUP(DATE(YEAR($A$1)-1,1,1),$2:$2,59:59):
    _xlfn.XLOOKUP(EDATE($A$1,-12),$2:$2,59:59)
  ),"")</f>
        <v>-1</v>
      </c>
      <c r="CD59" s="4517">
        <f t="shared" si="56"/>
        <v>0</v>
      </c>
    </row>
    <row r="60" spans="1:82" ht="18" thickBot="1" x14ac:dyDescent="0.6">
      <c r="A60" s="7384"/>
      <c r="B60" s="5268"/>
      <c r="C60" s="5269" t="s">
        <v>220</v>
      </c>
      <c r="D60" s="5271">
        <v>0</v>
      </c>
      <c r="E60" s="5271">
        <v>0</v>
      </c>
      <c r="F60" s="5271">
        <v>0</v>
      </c>
      <c r="G60" s="5271">
        <v>0</v>
      </c>
      <c r="H60" s="5271">
        <v>0</v>
      </c>
      <c r="I60" s="5271">
        <v>2</v>
      </c>
      <c r="J60" s="5271">
        <v>0</v>
      </c>
      <c r="K60" s="5271">
        <v>0</v>
      </c>
      <c r="L60" s="5271">
        <v>0</v>
      </c>
      <c r="M60" s="5271">
        <v>0</v>
      </c>
      <c r="N60" s="5271">
        <v>0</v>
      </c>
      <c r="O60" s="5271">
        <v>0</v>
      </c>
      <c r="P60" s="5271">
        <f t="shared" si="6"/>
        <v>0.16666666666666666</v>
      </c>
      <c r="Q60" s="5272">
        <f t="shared" si="7"/>
        <v>0.16666666666666666</v>
      </c>
      <c r="R60" s="2776">
        <v>0</v>
      </c>
      <c r="S60" s="5277">
        <v>0</v>
      </c>
      <c r="T60" s="5271">
        <v>0</v>
      </c>
      <c r="U60" s="5271">
        <v>0</v>
      </c>
      <c r="V60" s="5271">
        <v>1</v>
      </c>
      <c r="W60" s="5271">
        <v>0</v>
      </c>
      <c r="X60" s="5271">
        <v>0</v>
      </c>
      <c r="Y60" s="5271">
        <v>0</v>
      </c>
      <c r="Z60" s="5271">
        <v>0</v>
      </c>
      <c r="AA60" s="5271">
        <v>0</v>
      </c>
      <c r="AB60" s="5271">
        <v>1</v>
      </c>
      <c r="AC60" s="5271">
        <v>0</v>
      </c>
      <c r="AD60" s="5271">
        <v>0</v>
      </c>
      <c r="AE60" s="5271">
        <f t="shared" si="60"/>
        <v>2</v>
      </c>
      <c r="AF60" s="5272">
        <f t="shared" si="61"/>
        <v>0.16666666666666666</v>
      </c>
      <c r="AG60" s="2776"/>
      <c r="AH60" s="5270"/>
      <c r="AI60" s="5271"/>
      <c r="AJ60" s="5271"/>
      <c r="AK60" s="5271"/>
      <c r="AL60" s="5271">
        <v>0</v>
      </c>
      <c r="AM60" s="5271">
        <v>0</v>
      </c>
      <c r="AN60" s="5271">
        <v>0</v>
      </c>
      <c r="AO60" s="5271"/>
      <c r="AP60" s="5271"/>
      <c r="AQ60" s="5271">
        <v>0</v>
      </c>
      <c r="AR60" s="5271"/>
      <c r="AS60" s="5271"/>
      <c r="AT60" s="5271">
        <f t="shared" si="36"/>
        <v>0</v>
      </c>
      <c r="AU60" s="5272">
        <f t="shared" si="11"/>
        <v>0</v>
      </c>
      <c r="AV60" s="559" t="b">
        <v>1</v>
      </c>
      <c r="AW60" s="5273">
        <v>0</v>
      </c>
      <c r="AX60" s="5271">
        <v>0</v>
      </c>
      <c r="AY60" s="5271">
        <v>0</v>
      </c>
      <c r="AZ60" s="5271">
        <v>2</v>
      </c>
      <c r="BA60" s="5271">
        <v>0</v>
      </c>
      <c r="BB60" s="5271">
        <v>0</v>
      </c>
      <c r="BC60" s="5271">
        <v>0</v>
      </c>
      <c r="BD60" s="5271">
        <v>0</v>
      </c>
      <c r="BE60" s="5271">
        <v>0</v>
      </c>
      <c r="BF60" s="5271">
        <v>1</v>
      </c>
      <c r="BG60" s="5271">
        <v>0</v>
      </c>
      <c r="BH60" s="5271">
        <v>0</v>
      </c>
      <c r="BI60" s="5271">
        <f t="shared" si="62"/>
        <v>3</v>
      </c>
      <c r="BJ60" s="5272">
        <f t="shared" si="13"/>
        <v>0.25</v>
      </c>
      <c r="BK60" s="559" t="b">
        <v>1</v>
      </c>
      <c r="BL60" s="5273">
        <v>0</v>
      </c>
      <c r="BM60" s="5271">
        <v>0</v>
      </c>
      <c r="BN60" s="5271"/>
      <c r="BO60" s="5271"/>
      <c r="BP60" s="5271"/>
      <c r="BQ60" s="5271"/>
      <c r="BR60" s="5271"/>
      <c r="BS60" s="5271"/>
      <c r="BT60" s="5271"/>
      <c r="BU60" s="5271"/>
      <c r="BV60" s="5271"/>
      <c r="BW60" s="5271"/>
      <c r="BX60" s="5271">
        <f t="shared" si="63"/>
        <v>0</v>
      </c>
      <c r="BY60" s="5272">
        <f t="shared" si="54"/>
        <v>0</v>
      </c>
      <c r="CA60" s="169">
        <f t="shared" si="55"/>
        <v>0</v>
      </c>
      <c r="CB60" s="169">
        <f t="shared" si="15"/>
        <v>0.25</v>
      </c>
      <c r="CC60" s="169">
        <f>IFERROR(
  SUM(
    _xlfn.XLOOKUP(DATE(YEAR($A$1),1,1),$2:$2,60:60):
    _xlfn.XLOOKUP($A$1,$2:$2,60:60)
  )
 -SUM(
    _xlfn.XLOOKUP(DATE(YEAR($A$1)-1,1,1),$2:$2,60:60):
    _xlfn.XLOOKUP(EDATE($A$1,-12),$2:$2,60:60)
  ),"")</f>
        <v>0</v>
      </c>
      <c r="CD60" s="4517">
        <f t="shared" si="56"/>
        <v>0</v>
      </c>
    </row>
    <row r="61" spans="1:82" ht="17.600000000000001" x14ac:dyDescent="0.55000000000000004">
      <c r="A61" s="7382" t="s">
        <v>377</v>
      </c>
      <c r="B61" s="857" t="s">
        <v>242</v>
      </c>
      <c r="C61" s="858"/>
      <c r="D61" s="5278">
        <f>D23-D42</f>
        <v>1</v>
      </c>
      <c r="E61" s="5279">
        <f t="shared" ref="E61:Q61" si="79">E23-E42</f>
        <v>1</v>
      </c>
      <c r="F61" s="5279">
        <f t="shared" si="79"/>
        <v>1</v>
      </c>
      <c r="G61" s="5279">
        <f t="shared" si="79"/>
        <v>4</v>
      </c>
      <c r="H61" s="5279">
        <f t="shared" si="79"/>
        <v>1</v>
      </c>
      <c r="I61" s="5279">
        <f t="shared" si="79"/>
        <v>-4</v>
      </c>
      <c r="J61" s="5279">
        <f t="shared" si="79"/>
        <v>4</v>
      </c>
      <c r="K61" s="5279">
        <f t="shared" si="79"/>
        <v>0</v>
      </c>
      <c r="L61" s="5279">
        <f t="shared" si="79"/>
        <v>1</v>
      </c>
      <c r="M61" s="5279">
        <f t="shared" si="79"/>
        <v>-2</v>
      </c>
      <c r="N61" s="5279">
        <f t="shared" si="79"/>
        <v>0</v>
      </c>
      <c r="O61" s="5279">
        <f t="shared" si="79"/>
        <v>-5</v>
      </c>
      <c r="P61" s="5279">
        <f t="shared" si="79"/>
        <v>0.16666666666666674</v>
      </c>
      <c r="Q61" s="5280">
        <f t="shared" si="79"/>
        <v>0.16666666666666674</v>
      </c>
      <c r="R61" s="5281"/>
      <c r="S61" s="5282">
        <f t="shared" ref="S61:AF61" si="80">S23-S42</f>
        <v>3</v>
      </c>
      <c r="T61" s="5279">
        <f t="shared" si="80"/>
        <v>0</v>
      </c>
      <c r="U61" s="5279">
        <f t="shared" si="80"/>
        <v>-5</v>
      </c>
      <c r="V61" s="5279">
        <f t="shared" si="80"/>
        <v>4</v>
      </c>
      <c r="W61" s="5279">
        <f t="shared" si="80"/>
        <v>0</v>
      </c>
      <c r="X61" s="5279">
        <f t="shared" si="80"/>
        <v>-1</v>
      </c>
      <c r="Y61" s="5279">
        <f t="shared" si="80"/>
        <v>2</v>
      </c>
      <c r="Z61" s="5279">
        <f t="shared" si="80"/>
        <v>-2</v>
      </c>
      <c r="AA61" s="5279">
        <f t="shared" si="80"/>
        <v>0</v>
      </c>
      <c r="AB61" s="5279">
        <f t="shared" si="80"/>
        <v>-2</v>
      </c>
      <c r="AC61" s="5279">
        <f t="shared" si="80"/>
        <v>-1</v>
      </c>
      <c r="AD61" s="5279">
        <f t="shared" si="80"/>
        <v>-1</v>
      </c>
      <c r="AE61" s="5279">
        <f t="shared" si="80"/>
        <v>-3</v>
      </c>
      <c r="AF61" s="5280">
        <f t="shared" si="80"/>
        <v>-0.25</v>
      </c>
      <c r="AG61" s="5281"/>
      <c r="AH61" s="5282">
        <f t="shared" ref="AH61:AS61" si="81">AH23-AH42</f>
        <v>2</v>
      </c>
      <c r="AI61" s="5279">
        <f t="shared" si="81"/>
        <v>-4</v>
      </c>
      <c r="AJ61" s="5279">
        <f t="shared" si="81"/>
        <v>9</v>
      </c>
      <c r="AK61" s="5279">
        <f t="shared" si="81"/>
        <v>1</v>
      </c>
      <c r="AL61" s="5279">
        <f t="shared" si="81"/>
        <v>5</v>
      </c>
      <c r="AM61" s="5279">
        <f t="shared" si="81"/>
        <v>3</v>
      </c>
      <c r="AN61" s="5279">
        <f t="shared" si="81"/>
        <v>1</v>
      </c>
      <c r="AO61" s="5279">
        <f t="shared" si="81"/>
        <v>0</v>
      </c>
      <c r="AP61" s="5279">
        <f t="shared" si="81"/>
        <v>1</v>
      </c>
      <c r="AQ61" s="5279">
        <f t="shared" si="81"/>
        <v>0</v>
      </c>
      <c r="AR61" s="5279">
        <f t="shared" si="81"/>
        <v>0</v>
      </c>
      <c r="AS61" s="5279">
        <f t="shared" si="81"/>
        <v>3</v>
      </c>
      <c r="AT61" s="5279">
        <f t="shared" si="36"/>
        <v>21</v>
      </c>
      <c r="AU61" s="5280">
        <f t="shared" si="11"/>
        <v>1.75</v>
      </c>
      <c r="AV61" s="559" t="b">
        <v>1</v>
      </c>
      <c r="AW61" s="5282">
        <v>-2</v>
      </c>
      <c r="AX61" s="5279">
        <f>AX23-AX42</f>
        <v>-3</v>
      </c>
      <c r="AY61" s="5279">
        <f t="shared" ref="AY61:BB61" si="82">AY23-AY42</f>
        <v>-7</v>
      </c>
      <c r="AZ61" s="5279">
        <f t="shared" si="82"/>
        <v>-4</v>
      </c>
      <c r="BA61" s="5279">
        <f t="shared" si="82"/>
        <v>-1</v>
      </c>
      <c r="BB61" s="5279">
        <f t="shared" si="82"/>
        <v>-5</v>
      </c>
      <c r="BC61" s="5279">
        <f t="shared" ref="BC61:BD61" si="83">BC23-BC42</f>
        <v>2</v>
      </c>
      <c r="BD61" s="5279">
        <f t="shared" si="83"/>
        <v>-1</v>
      </c>
      <c r="BE61" s="5279">
        <f t="shared" ref="BE61:BF61" si="84">BE23-BE42</f>
        <v>0</v>
      </c>
      <c r="BF61" s="5279">
        <f t="shared" si="84"/>
        <v>-1</v>
      </c>
      <c r="BG61" s="5279">
        <f t="shared" ref="BG61" si="85">BG23-BG42</f>
        <v>0</v>
      </c>
      <c r="BH61" s="5279">
        <v>-2</v>
      </c>
      <c r="BI61" s="5279">
        <f t="shared" ref="BI61:BI79" si="86">BI23-BI42</f>
        <v>-24</v>
      </c>
      <c r="BJ61" s="5280">
        <f t="shared" si="13"/>
        <v>-2</v>
      </c>
      <c r="BK61" s="559" t="b">
        <v>1</v>
      </c>
      <c r="BL61" s="5282">
        <v>2</v>
      </c>
      <c r="BM61" s="5279">
        <v>1</v>
      </c>
      <c r="BN61" s="5279"/>
      <c r="BO61" s="5279"/>
      <c r="BP61" s="5279"/>
      <c r="BQ61" s="5279"/>
      <c r="BR61" s="5279"/>
      <c r="BS61" s="5279"/>
      <c r="BT61" s="5279"/>
      <c r="BU61" s="5279"/>
      <c r="BV61" s="5279"/>
      <c r="BW61" s="5279"/>
      <c r="BX61" s="5279">
        <f t="shared" ref="BX61:BX79" si="87">BX23-BX42</f>
        <v>3</v>
      </c>
      <c r="BY61" s="6449">
        <f t="shared" ref="BY61:BY79" si="88">BX61/MONTH($A$1)</f>
        <v>1.5</v>
      </c>
      <c r="CA61" s="169">
        <f t="shared" si="55"/>
        <v>4</v>
      </c>
      <c r="CB61" s="169">
        <f t="shared" si="15"/>
        <v>-3.75</v>
      </c>
      <c r="CC61" s="169">
        <f>IFERROR(
  SUM(
    _xlfn.XLOOKUP(DATE(YEAR($A$1),1,1),$2:$2,61:61):
    _xlfn.XLOOKUP($A$1,$2:$2,61:61)
  )
 -SUM(
    _xlfn.XLOOKUP(DATE(YEAR($A$1)-1,1,1),$2:$2,61:61):
    _xlfn.XLOOKUP(EDATE($A$1,-12),$2:$2,61:61)
  ),"")</f>
        <v>8</v>
      </c>
      <c r="CD61" s="4517">
        <f t="shared" si="56"/>
        <v>-1</v>
      </c>
    </row>
    <row r="62" spans="1:82" ht="17.600000000000001" x14ac:dyDescent="0.55000000000000004">
      <c r="A62" s="7383"/>
      <c r="B62" s="1168"/>
      <c r="C62" s="1534" t="s">
        <v>243</v>
      </c>
      <c r="D62" s="5283">
        <f t="shared" ref="D62:Q79" si="89">D24-D43</f>
        <v>0</v>
      </c>
      <c r="E62" s="5284">
        <f t="shared" si="89"/>
        <v>0</v>
      </c>
      <c r="F62" s="5284">
        <f t="shared" si="89"/>
        <v>0</v>
      </c>
      <c r="G62" s="5284">
        <f t="shared" si="89"/>
        <v>0</v>
      </c>
      <c r="H62" s="5284">
        <f t="shared" si="89"/>
        <v>0</v>
      </c>
      <c r="I62" s="5284">
        <f t="shared" si="89"/>
        <v>0</v>
      </c>
      <c r="J62" s="5284">
        <f t="shared" si="89"/>
        <v>0</v>
      </c>
      <c r="K62" s="5284">
        <f t="shared" si="89"/>
        <v>0</v>
      </c>
      <c r="L62" s="5284">
        <f t="shared" si="89"/>
        <v>0</v>
      </c>
      <c r="M62" s="5284">
        <f t="shared" si="89"/>
        <v>0</v>
      </c>
      <c r="N62" s="5284">
        <f t="shared" si="89"/>
        <v>0</v>
      </c>
      <c r="O62" s="5284">
        <f t="shared" si="89"/>
        <v>0</v>
      </c>
      <c r="P62" s="5284">
        <f t="shared" si="89"/>
        <v>0</v>
      </c>
      <c r="Q62" s="5285">
        <f t="shared" si="89"/>
        <v>0</v>
      </c>
      <c r="R62" s="5281"/>
      <c r="S62" s="5286">
        <f t="shared" ref="S62:AF62" si="90">S24-S43</f>
        <v>0</v>
      </c>
      <c r="T62" s="5284">
        <f t="shared" si="90"/>
        <v>0</v>
      </c>
      <c r="U62" s="5284">
        <f t="shared" si="90"/>
        <v>0</v>
      </c>
      <c r="V62" s="5284">
        <f t="shared" si="90"/>
        <v>0</v>
      </c>
      <c r="W62" s="5284">
        <f t="shared" si="90"/>
        <v>0</v>
      </c>
      <c r="X62" s="5284">
        <f t="shared" si="90"/>
        <v>0</v>
      </c>
      <c r="Y62" s="5284">
        <f t="shared" si="90"/>
        <v>0</v>
      </c>
      <c r="Z62" s="5284">
        <f t="shared" si="90"/>
        <v>0</v>
      </c>
      <c r="AA62" s="5284">
        <f t="shared" si="90"/>
        <v>0</v>
      </c>
      <c r="AB62" s="5284">
        <f t="shared" si="90"/>
        <v>0</v>
      </c>
      <c r="AC62" s="5284">
        <f t="shared" si="90"/>
        <v>0</v>
      </c>
      <c r="AD62" s="5284">
        <f t="shared" si="90"/>
        <v>0</v>
      </c>
      <c r="AE62" s="5284">
        <f t="shared" si="90"/>
        <v>0</v>
      </c>
      <c r="AF62" s="5285">
        <f t="shared" si="90"/>
        <v>0</v>
      </c>
      <c r="AG62" s="5281"/>
      <c r="AH62" s="5286">
        <f t="shared" ref="AH62:AM62" si="91">AH24-AH43</f>
        <v>0</v>
      </c>
      <c r="AI62" s="5284">
        <f t="shared" si="91"/>
        <v>0</v>
      </c>
      <c r="AJ62" s="5284">
        <f t="shared" si="91"/>
        <v>0</v>
      </c>
      <c r="AK62" s="5284">
        <f t="shared" si="91"/>
        <v>0</v>
      </c>
      <c r="AL62" s="5284">
        <f t="shared" si="91"/>
        <v>0</v>
      </c>
      <c r="AM62" s="5284">
        <f t="shared" si="91"/>
        <v>0</v>
      </c>
      <c r="AN62" s="5284">
        <v>0</v>
      </c>
      <c r="AO62" s="5284">
        <f t="shared" ref="AO62:AR79" si="92">AO24-AO43</f>
        <v>0</v>
      </c>
      <c r="AP62" s="5284">
        <f t="shared" si="92"/>
        <v>0</v>
      </c>
      <c r="AQ62" s="5284">
        <f t="shared" si="92"/>
        <v>0</v>
      </c>
      <c r="AR62" s="5284">
        <f t="shared" si="92"/>
        <v>0</v>
      </c>
      <c r="AS62" s="5284">
        <v>0</v>
      </c>
      <c r="AT62" s="5284">
        <f t="shared" si="36"/>
        <v>0</v>
      </c>
      <c r="AU62" s="5285">
        <f t="shared" si="11"/>
        <v>0</v>
      </c>
      <c r="AV62" s="559" t="b">
        <v>1</v>
      </c>
      <c r="AW62" s="5286">
        <v>0</v>
      </c>
      <c r="AX62" s="5284">
        <f t="shared" ref="AX62:AX79" si="93">AX24-AX43</f>
        <v>0</v>
      </c>
      <c r="AY62" s="5284">
        <f t="shared" ref="AY62:BB62" si="94">AY24-AY43</f>
        <v>0</v>
      </c>
      <c r="AZ62" s="5284">
        <f t="shared" si="94"/>
        <v>0</v>
      </c>
      <c r="BA62" s="5284">
        <f t="shared" si="94"/>
        <v>0</v>
      </c>
      <c r="BB62" s="5284">
        <f t="shared" si="94"/>
        <v>0</v>
      </c>
      <c r="BC62" s="5284">
        <f t="shared" ref="BC62:BD62" si="95">BC24-BC43</f>
        <v>0</v>
      </c>
      <c r="BD62" s="5284">
        <f t="shared" si="95"/>
        <v>0</v>
      </c>
      <c r="BE62" s="5284">
        <f t="shared" ref="BE62:BF62" si="96">BE24-BE43</f>
        <v>0</v>
      </c>
      <c r="BF62" s="5284">
        <f t="shared" si="96"/>
        <v>0</v>
      </c>
      <c r="BG62" s="5284">
        <f t="shared" ref="BG62" si="97">BG24-BG43</f>
        <v>0</v>
      </c>
      <c r="BH62" s="5284">
        <v>0</v>
      </c>
      <c r="BI62" s="5284">
        <f t="shared" si="86"/>
        <v>0</v>
      </c>
      <c r="BJ62" s="5285">
        <f t="shared" si="13"/>
        <v>0</v>
      </c>
      <c r="BK62" s="559" t="b">
        <v>1</v>
      </c>
      <c r="BL62" s="5286">
        <v>0</v>
      </c>
      <c r="BM62" s="5284">
        <v>0</v>
      </c>
      <c r="BN62" s="5284"/>
      <c r="BO62" s="5284"/>
      <c r="BP62" s="5284"/>
      <c r="BQ62" s="5284"/>
      <c r="BR62" s="5284"/>
      <c r="BS62" s="5284"/>
      <c r="BT62" s="5284"/>
      <c r="BU62" s="5284"/>
      <c r="BV62" s="5284"/>
      <c r="BW62" s="5284"/>
      <c r="BX62" s="5284">
        <f t="shared" si="87"/>
        <v>0</v>
      </c>
      <c r="BY62" s="6450">
        <f t="shared" si="88"/>
        <v>0</v>
      </c>
      <c r="CA62" s="169">
        <f t="shared" si="55"/>
        <v>0</v>
      </c>
      <c r="CB62" s="169">
        <f t="shared" si="15"/>
        <v>0</v>
      </c>
      <c r="CC62" s="169">
        <f>IFERROR(
  SUM(
    _xlfn.XLOOKUP(DATE(YEAR($A$1),1,1),$2:$2,62:62):
    _xlfn.XLOOKUP($A$1,$2:$2,62:62)
  )
 -SUM(
    _xlfn.XLOOKUP(DATE(YEAR($A$1)-1,1,1),$2:$2,62:62):
    _xlfn.XLOOKUP(EDATE($A$1,-12),$2:$2,62:62)
  ),"")</f>
        <v>0</v>
      </c>
      <c r="CD62" s="4517">
        <f t="shared" si="56"/>
        <v>0</v>
      </c>
    </row>
    <row r="63" spans="1:82" ht="17.600000000000001" x14ac:dyDescent="0.55000000000000004">
      <c r="A63" s="7383"/>
      <c r="B63" s="1168"/>
      <c r="C63" s="1534" t="s">
        <v>245</v>
      </c>
      <c r="D63" s="5283">
        <f t="shared" si="89"/>
        <v>1</v>
      </c>
      <c r="E63" s="5284">
        <f t="shared" si="89"/>
        <v>1</v>
      </c>
      <c r="F63" s="5284">
        <f t="shared" si="89"/>
        <v>1</v>
      </c>
      <c r="G63" s="5284">
        <f t="shared" si="89"/>
        <v>4</v>
      </c>
      <c r="H63" s="5284">
        <f t="shared" si="89"/>
        <v>1</v>
      </c>
      <c r="I63" s="5284">
        <f t="shared" si="89"/>
        <v>-4</v>
      </c>
      <c r="J63" s="5284">
        <f t="shared" si="89"/>
        <v>4</v>
      </c>
      <c r="K63" s="5284">
        <f t="shared" si="89"/>
        <v>0</v>
      </c>
      <c r="L63" s="5284">
        <f t="shared" si="89"/>
        <v>1</v>
      </c>
      <c r="M63" s="5284">
        <f t="shared" si="89"/>
        <v>-2</v>
      </c>
      <c r="N63" s="5284">
        <f t="shared" si="89"/>
        <v>0</v>
      </c>
      <c r="O63" s="5284">
        <f t="shared" si="89"/>
        <v>-4</v>
      </c>
      <c r="P63" s="5284">
        <f t="shared" si="89"/>
        <v>0.25</v>
      </c>
      <c r="Q63" s="5285">
        <f t="shared" si="89"/>
        <v>0.25</v>
      </c>
      <c r="R63" s="5281"/>
      <c r="S63" s="5286">
        <f t="shared" ref="S63:AF63" si="98">S25-S44</f>
        <v>3</v>
      </c>
      <c r="T63" s="5284">
        <f t="shared" si="98"/>
        <v>0</v>
      </c>
      <c r="U63" s="5284">
        <f t="shared" si="98"/>
        <v>-5</v>
      </c>
      <c r="V63" s="5284">
        <f t="shared" si="98"/>
        <v>4</v>
      </c>
      <c r="W63" s="5284">
        <f t="shared" si="98"/>
        <v>0</v>
      </c>
      <c r="X63" s="5284">
        <f t="shared" si="98"/>
        <v>-1</v>
      </c>
      <c r="Y63" s="5284">
        <f t="shared" si="98"/>
        <v>2</v>
      </c>
      <c r="Z63" s="5284">
        <f t="shared" si="98"/>
        <v>-2</v>
      </c>
      <c r="AA63" s="5284">
        <f t="shared" si="98"/>
        <v>0</v>
      </c>
      <c r="AB63" s="5284">
        <f t="shared" si="98"/>
        <v>-1</v>
      </c>
      <c r="AC63" s="5284">
        <f t="shared" si="98"/>
        <v>0</v>
      </c>
      <c r="AD63" s="5284">
        <f t="shared" si="98"/>
        <v>0</v>
      </c>
      <c r="AE63" s="5284">
        <f t="shared" si="98"/>
        <v>0</v>
      </c>
      <c r="AF63" s="5285">
        <f t="shared" si="98"/>
        <v>0</v>
      </c>
      <c r="AG63" s="5281"/>
      <c r="AH63" s="5286">
        <f t="shared" ref="AH63:AM63" si="99">AH25-AH44</f>
        <v>2</v>
      </c>
      <c r="AI63" s="5284">
        <f t="shared" si="99"/>
        <v>-4</v>
      </c>
      <c r="AJ63" s="5284">
        <f t="shared" si="99"/>
        <v>9</v>
      </c>
      <c r="AK63" s="5284">
        <f t="shared" si="99"/>
        <v>1</v>
      </c>
      <c r="AL63" s="5284">
        <f t="shared" si="99"/>
        <v>6</v>
      </c>
      <c r="AM63" s="5284">
        <f t="shared" si="99"/>
        <v>3</v>
      </c>
      <c r="AN63" s="5284">
        <v>1</v>
      </c>
      <c r="AO63" s="5284">
        <f t="shared" si="92"/>
        <v>0</v>
      </c>
      <c r="AP63" s="5284">
        <f t="shared" si="92"/>
        <v>1</v>
      </c>
      <c r="AQ63" s="5284">
        <f t="shared" si="92"/>
        <v>0</v>
      </c>
      <c r="AR63" s="5284">
        <f t="shared" si="92"/>
        <v>0</v>
      </c>
      <c r="AS63" s="5284">
        <v>3</v>
      </c>
      <c r="AT63" s="5284">
        <f t="shared" si="36"/>
        <v>22</v>
      </c>
      <c r="AU63" s="5285">
        <f t="shared" si="11"/>
        <v>1.8333333333333333</v>
      </c>
      <c r="AV63" s="559" t="b">
        <v>1</v>
      </c>
      <c r="AW63" s="5286">
        <v>-1</v>
      </c>
      <c r="AX63" s="5284">
        <f t="shared" si="93"/>
        <v>-3</v>
      </c>
      <c r="AY63" s="5284">
        <f t="shared" ref="AY63:BB63" si="100">AY25-AY44</f>
        <v>-5</v>
      </c>
      <c r="AZ63" s="5284">
        <f t="shared" si="100"/>
        <v>-4</v>
      </c>
      <c r="BA63" s="5284">
        <f t="shared" si="100"/>
        <v>-1</v>
      </c>
      <c r="BB63" s="5284">
        <f t="shared" si="100"/>
        <v>-5</v>
      </c>
      <c r="BC63" s="5284">
        <f t="shared" ref="BC63:BD63" si="101">BC25-BC44</f>
        <v>2</v>
      </c>
      <c r="BD63" s="5284">
        <f t="shared" si="101"/>
        <v>-1</v>
      </c>
      <c r="BE63" s="5284">
        <f>BE25-BE44</f>
        <v>-1</v>
      </c>
      <c r="BF63" s="5284">
        <f>BF25-BF44</f>
        <v>-1</v>
      </c>
      <c r="BG63" s="5284">
        <f>BG25-BG44</f>
        <v>0</v>
      </c>
      <c r="BH63" s="5284">
        <v>-2</v>
      </c>
      <c r="BI63" s="5284">
        <f t="shared" si="86"/>
        <v>-22</v>
      </c>
      <c r="BJ63" s="5285">
        <f t="shared" si="13"/>
        <v>-1.8333333333333333</v>
      </c>
      <c r="BK63" s="559" t="b">
        <v>1</v>
      </c>
      <c r="BL63" s="5286">
        <v>2</v>
      </c>
      <c r="BM63" s="5284">
        <v>1</v>
      </c>
      <c r="BN63" s="5284"/>
      <c r="BO63" s="5284"/>
      <c r="BP63" s="5284"/>
      <c r="BQ63" s="5284"/>
      <c r="BR63" s="5284"/>
      <c r="BS63" s="5284"/>
      <c r="BT63" s="5284"/>
      <c r="BU63" s="5284"/>
      <c r="BV63" s="5284"/>
      <c r="BW63" s="5284"/>
      <c r="BX63" s="5284">
        <f t="shared" si="87"/>
        <v>3</v>
      </c>
      <c r="BY63" s="6450">
        <f t="shared" si="88"/>
        <v>1.5</v>
      </c>
      <c r="CA63" s="169">
        <f t="shared" si="55"/>
        <v>4</v>
      </c>
      <c r="CB63" s="169">
        <f t="shared" si="15"/>
        <v>-3.6666666666666665</v>
      </c>
      <c r="CC63" s="169">
        <f>IFERROR(
  SUM(
    _xlfn.XLOOKUP(DATE(YEAR($A$1),1,1),$2:$2,63:63):
    _xlfn.XLOOKUP($A$1,$2:$2,63:63)
  )
 -SUM(
    _xlfn.XLOOKUP(DATE(YEAR($A$1)-1,1,1),$2:$2,63:63):
    _xlfn.XLOOKUP(EDATE($A$1,-12),$2:$2,63:63)
  ),"")</f>
        <v>7</v>
      </c>
      <c r="CD63" s="4517">
        <f t="shared" si="56"/>
        <v>-1</v>
      </c>
    </row>
    <row r="64" spans="1:82" ht="17.600000000000001" x14ac:dyDescent="0.55000000000000004">
      <c r="A64" s="7383"/>
      <c r="B64" s="1168"/>
      <c r="C64" s="1534" t="s">
        <v>244</v>
      </c>
      <c r="D64" s="5283">
        <f t="shared" si="89"/>
        <v>0</v>
      </c>
      <c r="E64" s="5284">
        <f t="shared" si="89"/>
        <v>0</v>
      </c>
      <c r="F64" s="5284">
        <f t="shared" si="89"/>
        <v>0</v>
      </c>
      <c r="G64" s="5284">
        <f t="shared" si="89"/>
        <v>0</v>
      </c>
      <c r="H64" s="5284">
        <f t="shared" si="89"/>
        <v>0</v>
      </c>
      <c r="I64" s="5284">
        <f t="shared" si="89"/>
        <v>0</v>
      </c>
      <c r="J64" s="5284">
        <f t="shared" si="89"/>
        <v>0</v>
      </c>
      <c r="K64" s="5284">
        <f t="shared" si="89"/>
        <v>0</v>
      </c>
      <c r="L64" s="5284">
        <f t="shared" si="89"/>
        <v>0</v>
      </c>
      <c r="M64" s="5284">
        <f t="shared" si="89"/>
        <v>0</v>
      </c>
      <c r="N64" s="5284">
        <f t="shared" si="89"/>
        <v>0</v>
      </c>
      <c r="O64" s="5284">
        <f t="shared" si="89"/>
        <v>-1</v>
      </c>
      <c r="P64" s="5284">
        <f t="shared" si="89"/>
        <v>-8.3333333333333329E-2</v>
      </c>
      <c r="Q64" s="5285">
        <f t="shared" si="89"/>
        <v>-8.3333333333333329E-2</v>
      </c>
      <c r="R64" s="5281"/>
      <c r="S64" s="5286">
        <f t="shared" ref="S64:AF64" si="102">S26-S45</f>
        <v>0</v>
      </c>
      <c r="T64" s="5284">
        <f t="shared" si="102"/>
        <v>0</v>
      </c>
      <c r="U64" s="5284">
        <f t="shared" si="102"/>
        <v>0</v>
      </c>
      <c r="V64" s="5284">
        <f t="shared" si="102"/>
        <v>0</v>
      </c>
      <c r="W64" s="5284">
        <f t="shared" si="102"/>
        <v>0</v>
      </c>
      <c r="X64" s="5284">
        <f t="shared" si="102"/>
        <v>0</v>
      </c>
      <c r="Y64" s="5284">
        <f t="shared" si="102"/>
        <v>0</v>
      </c>
      <c r="Z64" s="5284">
        <f t="shared" si="102"/>
        <v>0</v>
      </c>
      <c r="AA64" s="5284">
        <f t="shared" si="102"/>
        <v>0</v>
      </c>
      <c r="AB64" s="5284">
        <f t="shared" si="102"/>
        <v>-1</v>
      </c>
      <c r="AC64" s="5284">
        <f t="shared" si="102"/>
        <v>-1</v>
      </c>
      <c r="AD64" s="5284">
        <f t="shared" si="102"/>
        <v>-1</v>
      </c>
      <c r="AE64" s="5284">
        <f t="shared" si="102"/>
        <v>-3</v>
      </c>
      <c r="AF64" s="5285">
        <f t="shared" si="102"/>
        <v>-0.25</v>
      </c>
      <c r="AG64" s="5281"/>
      <c r="AH64" s="5286">
        <f t="shared" ref="AH64:AM64" si="103">AH26-AH45</f>
        <v>0</v>
      </c>
      <c r="AI64" s="5284">
        <f t="shared" si="103"/>
        <v>0</v>
      </c>
      <c r="AJ64" s="5284">
        <f t="shared" si="103"/>
        <v>0</v>
      </c>
      <c r="AK64" s="5284">
        <f t="shared" si="103"/>
        <v>0</v>
      </c>
      <c r="AL64" s="5284">
        <f t="shared" si="103"/>
        <v>-1</v>
      </c>
      <c r="AM64" s="5284">
        <f t="shared" si="103"/>
        <v>0</v>
      </c>
      <c r="AN64" s="5284">
        <v>0</v>
      </c>
      <c r="AO64" s="5284">
        <f t="shared" si="92"/>
        <v>0</v>
      </c>
      <c r="AP64" s="5284">
        <f t="shared" si="92"/>
        <v>0</v>
      </c>
      <c r="AQ64" s="5284">
        <f t="shared" si="92"/>
        <v>0</v>
      </c>
      <c r="AR64" s="5284">
        <f t="shared" si="92"/>
        <v>0</v>
      </c>
      <c r="AS64" s="5284">
        <v>-1</v>
      </c>
      <c r="AT64" s="5284">
        <f t="shared" si="36"/>
        <v>-2</v>
      </c>
      <c r="AU64" s="5285">
        <f t="shared" si="11"/>
        <v>-0.16666666666666666</v>
      </c>
      <c r="AV64" s="559" t="b">
        <v>1</v>
      </c>
      <c r="AW64" s="5286">
        <v>-1</v>
      </c>
      <c r="AX64" s="5284">
        <f t="shared" si="93"/>
        <v>0</v>
      </c>
      <c r="AY64" s="5284">
        <f t="shared" ref="AY64:BB64" si="104">AY26-AY45</f>
        <v>-2</v>
      </c>
      <c r="AZ64" s="5284">
        <f t="shared" si="104"/>
        <v>0</v>
      </c>
      <c r="BA64" s="5284">
        <f t="shared" si="104"/>
        <v>0</v>
      </c>
      <c r="BB64" s="5284">
        <f t="shared" si="104"/>
        <v>0</v>
      </c>
      <c r="BC64" s="5284">
        <f t="shared" ref="BC64:BD64" si="105">BC26-BC45</f>
        <v>0</v>
      </c>
      <c r="BD64" s="5284">
        <f t="shared" si="105"/>
        <v>0</v>
      </c>
      <c r="BE64" s="5284">
        <f t="shared" ref="BE64:BF64" si="106">BE26-BE45</f>
        <v>1</v>
      </c>
      <c r="BF64" s="5284">
        <f t="shared" si="106"/>
        <v>0</v>
      </c>
      <c r="BG64" s="5284">
        <f t="shared" ref="BG64" si="107">BG26-BG45</f>
        <v>0</v>
      </c>
      <c r="BH64" s="5284">
        <v>0</v>
      </c>
      <c r="BI64" s="5284">
        <f t="shared" si="86"/>
        <v>-2</v>
      </c>
      <c r="BJ64" s="5285">
        <f t="shared" si="13"/>
        <v>-0.16666666666666666</v>
      </c>
      <c r="BK64" s="559" t="b">
        <v>1</v>
      </c>
      <c r="BL64" s="5286">
        <v>0</v>
      </c>
      <c r="BM64" s="5284">
        <v>0</v>
      </c>
      <c r="BN64" s="5284"/>
      <c r="BO64" s="5284"/>
      <c r="BP64" s="5284"/>
      <c r="BQ64" s="5284"/>
      <c r="BR64" s="5284"/>
      <c r="BS64" s="5284"/>
      <c r="BT64" s="5284"/>
      <c r="BU64" s="5284"/>
      <c r="BV64" s="5284"/>
      <c r="BW64" s="5284"/>
      <c r="BX64" s="5284">
        <f t="shared" si="87"/>
        <v>0</v>
      </c>
      <c r="BY64" s="6450">
        <f t="shared" si="88"/>
        <v>0</v>
      </c>
      <c r="CA64" s="169">
        <f t="shared" si="55"/>
        <v>0</v>
      </c>
      <c r="CB64" s="169">
        <f t="shared" si="15"/>
        <v>0</v>
      </c>
      <c r="CC64" s="169">
        <f>IFERROR(
  SUM(
    _xlfn.XLOOKUP(DATE(YEAR($A$1),1,1),$2:$2,64:64):
    _xlfn.XLOOKUP($A$1,$2:$2,64:64)
  )
 -SUM(
    _xlfn.XLOOKUP(DATE(YEAR($A$1)-1,1,1),$2:$2,64:64):
    _xlfn.XLOOKUP(EDATE($A$1,-12),$2:$2,64:64)
  ),"")</f>
        <v>1</v>
      </c>
      <c r="CD64" s="4517">
        <f t="shared" si="56"/>
        <v>0</v>
      </c>
    </row>
    <row r="65" spans="1:82" ht="17.600000000000001" x14ac:dyDescent="0.55000000000000004">
      <c r="A65" s="7383"/>
      <c r="B65" s="2034" t="s">
        <v>206</v>
      </c>
      <c r="C65" s="1900"/>
      <c r="D65" s="5287">
        <f t="shared" si="89"/>
        <v>0</v>
      </c>
      <c r="E65" s="5288">
        <f t="shared" si="89"/>
        <v>1</v>
      </c>
      <c r="F65" s="5288">
        <f t="shared" si="89"/>
        <v>0</v>
      </c>
      <c r="G65" s="5288">
        <f t="shared" si="89"/>
        <v>2</v>
      </c>
      <c r="H65" s="5288">
        <f t="shared" si="89"/>
        <v>0</v>
      </c>
      <c r="I65" s="5288">
        <f t="shared" si="89"/>
        <v>-2</v>
      </c>
      <c r="J65" s="5288">
        <f t="shared" si="89"/>
        <v>2</v>
      </c>
      <c r="K65" s="5288">
        <f t="shared" si="89"/>
        <v>0</v>
      </c>
      <c r="L65" s="5288">
        <f t="shared" si="89"/>
        <v>0</v>
      </c>
      <c r="M65" s="5288">
        <f t="shared" si="89"/>
        <v>-1</v>
      </c>
      <c r="N65" s="5288">
        <f t="shared" si="89"/>
        <v>0</v>
      </c>
      <c r="O65" s="5288">
        <f t="shared" si="89"/>
        <v>-1</v>
      </c>
      <c r="P65" s="5288">
        <f t="shared" si="89"/>
        <v>8.333333333333337E-2</v>
      </c>
      <c r="Q65" s="5289">
        <f t="shared" si="89"/>
        <v>8.333333333333337E-2</v>
      </c>
      <c r="R65" s="5281"/>
      <c r="S65" s="5290">
        <f t="shared" ref="S65:AF65" si="108">S27-S46</f>
        <v>2</v>
      </c>
      <c r="T65" s="5288">
        <f t="shared" si="108"/>
        <v>0</v>
      </c>
      <c r="U65" s="5288">
        <f t="shared" si="108"/>
        <v>-3</v>
      </c>
      <c r="V65" s="5288">
        <f t="shared" si="108"/>
        <v>2</v>
      </c>
      <c r="W65" s="5288">
        <f t="shared" si="108"/>
        <v>0</v>
      </c>
      <c r="X65" s="5288">
        <f t="shared" si="108"/>
        <v>-1</v>
      </c>
      <c r="Y65" s="5288">
        <f t="shared" si="108"/>
        <v>3</v>
      </c>
      <c r="Z65" s="5288">
        <f t="shared" si="108"/>
        <v>0</v>
      </c>
      <c r="AA65" s="5288">
        <f t="shared" si="108"/>
        <v>0</v>
      </c>
      <c r="AB65" s="5288">
        <f t="shared" si="108"/>
        <v>-1</v>
      </c>
      <c r="AC65" s="5288">
        <f t="shared" si="108"/>
        <v>0</v>
      </c>
      <c r="AD65" s="5288">
        <f t="shared" si="108"/>
        <v>-2</v>
      </c>
      <c r="AE65" s="5288">
        <f t="shared" si="108"/>
        <v>0</v>
      </c>
      <c r="AF65" s="5289">
        <f t="shared" si="108"/>
        <v>0</v>
      </c>
      <c r="AG65" s="5281"/>
      <c r="AH65" s="5290">
        <f t="shared" ref="AH65:AM65" si="109">AH27-AH46</f>
        <v>3</v>
      </c>
      <c r="AI65" s="5288">
        <f t="shared" si="109"/>
        <v>-4</v>
      </c>
      <c r="AJ65" s="5288">
        <f t="shared" si="109"/>
        <v>7</v>
      </c>
      <c r="AK65" s="5288">
        <f t="shared" si="109"/>
        <v>-1</v>
      </c>
      <c r="AL65" s="5288">
        <f t="shared" si="109"/>
        <v>3</v>
      </c>
      <c r="AM65" s="5288">
        <f t="shared" si="109"/>
        <v>1</v>
      </c>
      <c r="AN65" s="5288">
        <v>0</v>
      </c>
      <c r="AO65" s="5288">
        <f t="shared" si="92"/>
        <v>0</v>
      </c>
      <c r="AP65" s="5288">
        <f t="shared" si="92"/>
        <v>1</v>
      </c>
      <c r="AQ65" s="5288">
        <f t="shared" si="92"/>
        <v>0</v>
      </c>
      <c r="AR65" s="5288">
        <f t="shared" si="92"/>
        <v>0</v>
      </c>
      <c r="AS65" s="5288">
        <v>1</v>
      </c>
      <c r="AT65" s="5288">
        <f t="shared" si="36"/>
        <v>11</v>
      </c>
      <c r="AU65" s="5289">
        <f t="shared" si="11"/>
        <v>0.91666666666666663</v>
      </c>
      <c r="AV65" s="559" t="b">
        <v>1</v>
      </c>
      <c r="AW65" s="5290">
        <v>0</v>
      </c>
      <c r="AX65" s="5288">
        <f t="shared" si="93"/>
        <v>-1</v>
      </c>
      <c r="AY65" s="5288">
        <f t="shared" ref="AY65:BB65" si="110">AY27-AY46</f>
        <v>-3</v>
      </c>
      <c r="AZ65" s="5288">
        <f t="shared" si="110"/>
        <v>0</v>
      </c>
      <c r="BA65" s="5288">
        <f t="shared" si="110"/>
        <v>0</v>
      </c>
      <c r="BB65" s="5288">
        <f t="shared" si="110"/>
        <v>-1</v>
      </c>
      <c r="BC65" s="5288">
        <f t="shared" ref="BC65:BD65" si="111">BC27-BC46</f>
        <v>0</v>
      </c>
      <c r="BD65" s="5288">
        <f t="shared" si="111"/>
        <v>0</v>
      </c>
      <c r="BE65" s="5288">
        <f t="shared" ref="BE65:BF65" si="112">BE27-BE46</f>
        <v>0</v>
      </c>
      <c r="BF65" s="5288">
        <f t="shared" si="112"/>
        <v>0</v>
      </c>
      <c r="BG65" s="5288">
        <f t="shared" ref="BG65" si="113">BG27-BG46</f>
        <v>0</v>
      </c>
      <c r="BH65" s="5288">
        <v>-1</v>
      </c>
      <c r="BI65" s="5288">
        <f t="shared" si="86"/>
        <v>-6</v>
      </c>
      <c r="BJ65" s="5289">
        <f t="shared" si="13"/>
        <v>-0.5</v>
      </c>
      <c r="BK65" s="559" t="b">
        <v>1</v>
      </c>
      <c r="BL65" s="5290">
        <v>1</v>
      </c>
      <c r="BM65" s="5288">
        <v>0</v>
      </c>
      <c r="BN65" s="5288"/>
      <c r="BO65" s="5288"/>
      <c r="BP65" s="5288"/>
      <c r="BQ65" s="5288"/>
      <c r="BR65" s="5288"/>
      <c r="BS65" s="5288"/>
      <c r="BT65" s="5288"/>
      <c r="BU65" s="5288"/>
      <c r="BV65" s="5288"/>
      <c r="BW65" s="5288"/>
      <c r="BX65" s="5288">
        <f t="shared" si="87"/>
        <v>1</v>
      </c>
      <c r="BY65" s="6451">
        <f t="shared" si="88"/>
        <v>0.5</v>
      </c>
      <c r="CA65" s="169">
        <f t="shared" si="55"/>
        <v>1</v>
      </c>
      <c r="CB65" s="169">
        <f t="shared" si="15"/>
        <v>-1.4166666666666665</v>
      </c>
      <c r="CC65" s="169">
        <f>IFERROR(
  SUM(
    _xlfn.XLOOKUP(DATE(YEAR($A$1),1,1),$2:$2,65:65):
    _xlfn.XLOOKUP($A$1,$2:$2,65:65)
  )
 -SUM(
    _xlfn.XLOOKUP(DATE(YEAR($A$1)-1,1,1),$2:$2,65:65):
    _xlfn.XLOOKUP(EDATE($A$1,-12),$2:$2,65:65)
  ),"")</f>
        <v>2</v>
      </c>
      <c r="CD65" s="4517">
        <f t="shared" si="56"/>
        <v>-1</v>
      </c>
    </row>
    <row r="66" spans="1:82" ht="17.600000000000001" x14ac:dyDescent="0.55000000000000004">
      <c r="A66" s="7383"/>
      <c r="B66" s="2041" t="s">
        <v>207</v>
      </c>
      <c r="C66" s="1576"/>
      <c r="D66" s="5291">
        <f t="shared" si="89"/>
        <v>1</v>
      </c>
      <c r="E66" s="5292">
        <f t="shared" si="89"/>
        <v>-1</v>
      </c>
      <c r="F66" s="5292">
        <f t="shared" si="89"/>
        <v>0</v>
      </c>
      <c r="G66" s="5292">
        <f t="shared" si="89"/>
        <v>0</v>
      </c>
      <c r="H66" s="5292">
        <f t="shared" si="89"/>
        <v>0</v>
      </c>
      <c r="I66" s="5292">
        <f t="shared" si="89"/>
        <v>0</v>
      </c>
      <c r="J66" s="5292">
        <f t="shared" si="89"/>
        <v>0</v>
      </c>
      <c r="K66" s="5292">
        <f t="shared" si="89"/>
        <v>1</v>
      </c>
      <c r="L66" s="5292">
        <f t="shared" si="89"/>
        <v>0</v>
      </c>
      <c r="M66" s="5292">
        <f t="shared" si="89"/>
        <v>0</v>
      </c>
      <c r="N66" s="5292">
        <f t="shared" si="89"/>
        <v>0</v>
      </c>
      <c r="O66" s="5292">
        <f t="shared" si="89"/>
        <v>-2</v>
      </c>
      <c r="P66" s="5292">
        <f t="shared" si="89"/>
        <v>-8.3333333333333343E-2</v>
      </c>
      <c r="Q66" s="5293">
        <f t="shared" si="89"/>
        <v>-8.3333333333333343E-2</v>
      </c>
      <c r="R66" s="5281"/>
      <c r="S66" s="5294">
        <f t="shared" ref="S66:AF66" si="114">S28-S47</f>
        <v>0</v>
      </c>
      <c r="T66" s="5292">
        <f t="shared" si="114"/>
        <v>0</v>
      </c>
      <c r="U66" s="5292">
        <f t="shared" si="114"/>
        <v>0</v>
      </c>
      <c r="V66" s="5292">
        <f t="shared" si="114"/>
        <v>1</v>
      </c>
      <c r="W66" s="5292">
        <f t="shared" si="114"/>
        <v>0</v>
      </c>
      <c r="X66" s="5292">
        <f t="shared" si="114"/>
        <v>0</v>
      </c>
      <c r="Y66" s="5292">
        <f t="shared" si="114"/>
        <v>0</v>
      </c>
      <c r="Z66" s="5292">
        <f t="shared" si="114"/>
        <v>0</v>
      </c>
      <c r="AA66" s="5292">
        <f t="shared" si="114"/>
        <v>0</v>
      </c>
      <c r="AB66" s="5292">
        <f t="shared" si="114"/>
        <v>0</v>
      </c>
      <c r="AC66" s="5292">
        <f t="shared" si="114"/>
        <v>-1</v>
      </c>
      <c r="AD66" s="5292">
        <f t="shared" si="114"/>
        <v>1</v>
      </c>
      <c r="AE66" s="5292">
        <f t="shared" si="114"/>
        <v>1</v>
      </c>
      <c r="AF66" s="5293">
        <f t="shared" si="114"/>
        <v>8.3333333333333329E-2</v>
      </c>
      <c r="AG66" s="5281"/>
      <c r="AH66" s="5294">
        <f t="shared" ref="AH66:AM66" si="115">AH28-AH47</f>
        <v>0</v>
      </c>
      <c r="AI66" s="5292">
        <f t="shared" si="115"/>
        <v>0</v>
      </c>
      <c r="AJ66" s="5292">
        <f t="shared" si="115"/>
        <v>0</v>
      </c>
      <c r="AK66" s="5292">
        <f t="shared" si="115"/>
        <v>1</v>
      </c>
      <c r="AL66" s="5292">
        <f t="shared" si="115"/>
        <v>0</v>
      </c>
      <c r="AM66" s="5292">
        <f t="shared" si="115"/>
        <v>2</v>
      </c>
      <c r="AN66" s="5292">
        <v>0</v>
      </c>
      <c r="AO66" s="5292">
        <f t="shared" si="92"/>
        <v>0</v>
      </c>
      <c r="AP66" s="5292">
        <f t="shared" si="92"/>
        <v>0</v>
      </c>
      <c r="AQ66" s="5292">
        <f t="shared" si="92"/>
        <v>0</v>
      </c>
      <c r="AR66" s="5292">
        <f t="shared" si="92"/>
        <v>0</v>
      </c>
      <c r="AS66" s="5292">
        <v>0</v>
      </c>
      <c r="AT66" s="5292">
        <f t="shared" si="36"/>
        <v>3</v>
      </c>
      <c r="AU66" s="5293">
        <f t="shared" si="11"/>
        <v>0.25</v>
      </c>
      <c r="AV66" s="559" t="b">
        <v>1</v>
      </c>
      <c r="AW66" s="5294">
        <v>0</v>
      </c>
      <c r="AX66" s="5292">
        <f t="shared" si="93"/>
        <v>0</v>
      </c>
      <c r="AY66" s="5292">
        <f t="shared" ref="AY66:BB66" si="116">AY28-AY47</f>
        <v>0</v>
      </c>
      <c r="AZ66" s="5292">
        <f t="shared" si="116"/>
        <v>-2</v>
      </c>
      <c r="BA66" s="5292">
        <f t="shared" si="116"/>
        <v>-1</v>
      </c>
      <c r="BB66" s="5292">
        <f t="shared" si="116"/>
        <v>0</v>
      </c>
      <c r="BC66" s="5292">
        <f t="shared" ref="BC66:BD66" si="117">BC28-BC47</f>
        <v>0</v>
      </c>
      <c r="BD66" s="5292">
        <f t="shared" si="117"/>
        <v>-1</v>
      </c>
      <c r="BE66" s="5292">
        <f t="shared" ref="BE66:BF66" si="118">BE28-BE47</f>
        <v>0</v>
      </c>
      <c r="BF66" s="5292">
        <f t="shared" si="118"/>
        <v>0</v>
      </c>
      <c r="BG66" s="5292">
        <f t="shared" ref="BG66" si="119">BG28-BG47</f>
        <v>0</v>
      </c>
      <c r="BH66" s="5292">
        <v>0</v>
      </c>
      <c r="BI66" s="5292">
        <f t="shared" si="86"/>
        <v>-4</v>
      </c>
      <c r="BJ66" s="5293">
        <f t="shared" si="13"/>
        <v>-0.33333333333333331</v>
      </c>
      <c r="BK66" s="559" t="b">
        <v>1</v>
      </c>
      <c r="BL66" s="5294">
        <v>1</v>
      </c>
      <c r="BM66" s="5292">
        <v>0</v>
      </c>
      <c r="BN66" s="5292"/>
      <c r="BO66" s="5292"/>
      <c r="BP66" s="5292"/>
      <c r="BQ66" s="5292"/>
      <c r="BR66" s="5292"/>
      <c r="BS66" s="5292"/>
      <c r="BT66" s="5292"/>
      <c r="BU66" s="5292"/>
      <c r="BV66" s="5292"/>
      <c r="BW66" s="5292"/>
      <c r="BX66" s="5292">
        <f t="shared" si="87"/>
        <v>1</v>
      </c>
      <c r="BY66" s="6452">
        <f t="shared" si="88"/>
        <v>0.5</v>
      </c>
      <c r="CA66" s="169">
        <f t="shared" si="55"/>
        <v>0</v>
      </c>
      <c r="CB66" s="169">
        <f t="shared" si="15"/>
        <v>-0.58333333333333326</v>
      </c>
      <c r="CC66" s="169">
        <f>IFERROR(
  SUM(
    _xlfn.XLOOKUP(DATE(YEAR($A$1),1,1),$2:$2,66:66):
    _xlfn.XLOOKUP($A$1,$2:$2,66:66)
  )
 -SUM(
    _xlfn.XLOOKUP(DATE(YEAR($A$1)-1,1,1),$2:$2,66:66):
    _xlfn.XLOOKUP(EDATE($A$1,-12),$2:$2,66:66)
  ),"")</f>
        <v>1</v>
      </c>
      <c r="CD66" s="4517">
        <f t="shared" si="56"/>
        <v>-1</v>
      </c>
    </row>
    <row r="67" spans="1:82" ht="17.600000000000001" x14ac:dyDescent="0.55000000000000004">
      <c r="A67" s="7383"/>
      <c r="B67" s="2041" t="s">
        <v>208</v>
      </c>
      <c r="C67" s="1576"/>
      <c r="D67" s="5291">
        <f t="shared" si="89"/>
        <v>0</v>
      </c>
      <c r="E67" s="5292">
        <f t="shared" si="89"/>
        <v>0</v>
      </c>
      <c r="F67" s="5292">
        <f t="shared" si="89"/>
        <v>0</v>
      </c>
      <c r="G67" s="5292">
        <f t="shared" si="89"/>
        <v>0</v>
      </c>
      <c r="H67" s="5292">
        <f t="shared" si="89"/>
        <v>0</v>
      </c>
      <c r="I67" s="5292">
        <f t="shared" si="89"/>
        <v>0</v>
      </c>
      <c r="J67" s="5292">
        <f t="shared" si="89"/>
        <v>1</v>
      </c>
      <c r="K67" s="5292">
        <f t="shared" si="89"/>
        <v>0</v>
      </c>
      <c r="L67" s="5292">
        <f t="shared" si="89"/>
        <v>0</v>
      </c>
      <c r="M67" s="5292">
        <f t="shared" si="89"/>
        <v>-1</v>
      </c>
      <c r="N67" s="5292">
        <f t="shared" si="89"/>
        <v>0</v>
      </c>
      <c r="O67" s="5292">
        <f t="shared" si="89"/>
        <v>-1</v>
      </c>
      <c r="P67" s="5292">
        <f t="shared" si="89"/>
        <v>-8.3333333333333329E-2</v>
      </c>
      <c r="Q67" s="5293">
        <f t="shared" si="89"/>
        <v>-8.3333333333333329E-2</v>
      </c>
      <c r="R67" s="5281"/>
      <c r="S67" s="5294">
        <f t="shared" ref="S67:AF67" si="120">S29-S48</f>
        <v>0</v>
      </c>
      <c r="T67" s="5292">
        <f t="shared" si="120"/>
        <v>0</v>
      </c>
      <c r="U67" s="5292">
        <f t="shared" si="120"/>
        <v>0</v>
      </c>
      <c r="V67" s="5292">
        <f t="shared" si="120"/>
        <v>1</v>
      </c>
      <c r="W67" s="5292">
        <f t="shared" si="120"/>
        <v>0</v>
      </c>
      <c r="X67" s="5292">
        <f t="shared" si="120"/>
        <v>0</v>
      </c>
      <c r="Y67" s="5292">
        <f t="shared" si="120"/>
        <v>0</v>
      </c>
      <c r="Z67" s="5292">
        <f t="shared" si="120"/>
        <v>-1</v>
      </c>
      <c r="AA67" s="5292">
        <f t="shared" si="120"/>
        <v>0</v>
      </c>
      <c r="AB67" s="5292">
        <f t="shared" si="120"/>
        <v>0</v>
      </c>
      <c r="AC67" s="5292">
        <f t="shared" si="120"/>
        <v>0</v>
      </c>
      <c r="AD67" s="5292">
        <f t="shared" si="120"/>
        <v>0</v>
      </c>
      <c r="AE67" s="5292">
        <f t="shared" si="120"/>
        <v>0</v>
      </c>
      <c r="AF67" s="5293">
        <f t="shared" si="120"/>
        <v>0</v>
      </c>
      <c r="AG67" s="5281"/>
      <c r="AH67" s="5294">
        <f t="shared" ref="AH67:AM67" si="121">AH29-AH48</f>
        <v>0</v>
      </c>
      <c r="AI67" s="5292">
        <f t="shared" si="121"/>
        <v>0</v>
      </c>
      <c r="AJ67" s="5292">
        <f t="shared" si="121"/>
        <v>1</v>
      </c>
      <c r="AK67" s="5292">
        <f t="shared" si="121"/>
        <v>0</v>
      </c>
      <c r="AL67" s="5292">
        <f t="shared" si="121"/>
        <v>2</v>
      </c>
      <c r="AM67" s="5292">
        <f t="shared" si="121"/>
        <v>-1</v>
      </c>
      <c r="AN67" s="5292">
        <v>2</v>
      </c>
      <c r="AO67" s="5292">
        <f t="shared" si="92"/>
        <v>0</v>
      </c>
      <c r="AP67" s="5292">
        <f t="shared" si="92"/>
        <v>0</v>
      </c>
      <c r="AQ67" s="5292">
        <f t="shared" si="92"/>
        <v>0</v>
      </c>
      <c r="AR67" s="5292">
        <f t="shared" si="92"/>
        <v>0</v>
      </c>
      <c r="AS67" s="5292">
        <v>1</v>
      </c>
      <c r="AT67" s="5292">
        <f t="shared" si="36"/>
        <v>5</v>
      </c>
      <c r="AU67" s="5293">
        <f t="shared" si="11"/>
        <v>0.41666666666666669</v>
      </c>
      <c r="AV67" s="559" t="b">
        <v>1</v>
      </c>
      <c r="AW67" s="5294">
        <v>0</v>
      </c>
      <c r="AX67" s="5292">
        <f t="shared" si="93"/>
        <v>-1</v>
      </c>
      <c r="AY67" s="5292">
        <f t="shared" ref="AY67:BB67" si="122">AY29-AY48</f>
        <v>-2</v>
      </c>
      <c r="AZ67" s="5292">
        <f t="shared" si="122"/>
        <v>0</v>
      </c>
      <c r="BA67" s="5292">
        <f>BA29-BA48</f>
        <v>0</v>
      </c>
      <c r="BB67" s="5292">
        <f t="shared" si="122"/>
        <v>-3</v>
      </c>
      <c r="BC67" s="5292">
        <f t="shared" ref="BC67:BD67" si="123">BC29-BC48</f>
        <v>2</v>
      </c>
      <c r="BD67" s="5292">
        <f t="shared" si="123"/>
        <v>0</v>
      </c>
      <c r="BE67" s="5292">
        <f t="shared" ref="BE67:BF67" si="124">BE29-BE48</f>
        <v>0</v>
      </c>
      <c r="BF67" s="5292">
        <f t="shared" si="124"/>
        <v>0</v>
      </c>
      <c r="BG67" s="5292">
        <f t="shared" ref="BG67" si="125">BG29-BG48</f>
        <v>-1</v>
      </c>
      <c r="BH67" s="5292">
        <v>-1</v>
      </c>
      <c r="BI67" s="5292">
        <f t="shared" si="86"/>
        <v>-6</v>
      </c>
      <c r="BJ67" s="5293">
        <f t="shared" si="13"/>
        <v>-0.5</v>
      </c>
      <c r="BK67" s="559" t="b">
        <v>1</v>
      </c>
      <c r="BL67" s="5294">
        <v>0</v>
      </c>
      <c r="BM67" s="5292">
        <v>0</v>
      </c>
      <c r="BN67" s="5292"/>
      <c r="BO67" s="5292"/>
      <c r="BP67" s="5292"/>
      <c r="BQ67" s="5292"/>
      <c r="BR67" s="5292"/>
      <c r="BS67" s="5292"/>
      <c r="BT67" s="5292"/>
      <c r="BU67" s="5292"/>
      <c r="BV67" s="5292"/>
      <c r="BW67" s="5292"/>
      <c r="BX67" s="5292">
        <f t="shared" si="87"/>
        <v>0</v>
      </c>
      <c r="BY67" s="6452">
        <f t="shared" si="88"/>
        <v>0</v>
      </c>
      <c r="CA67" s="169">
        <f t="shared" si="55"/>
        <v>1</v>
      </c>
      <c r="CB67" s="169">
        <f t="shared" si="15"/>
        <v>-0.91666666666666674</v>
      </c>
      <c r="CC67" s="169">
        <f>IFERROR(
  SUM(
    _xlfn.XLOOKUP(DATE(YEAR($A$1),1,1),$2:$2,67:67):
    _xlfn.XLOOKUP($A$1,$2:$2,67:67)
  )
 -SUM(
    _xlfn.XLOOKUP(DATE(YEAR($A$1)-1,1,1),$2:$2,67:67):
    _xlfn.XLOOKUP(EDATE($A$1,-12),$2:$2,67:67)
  ),"")</f>
        <v>1</v>
      </c>
      <c r="CD67" s="4517">
        <f t="shared" si="56"/>
        <v>0</v>
      </c>
    </row>
    <row r="68" spans="1:82" ht="17.600000000000001" x14ac:dyDescent="0.55000000000000004">
      <c r="A68" s="7383"/>
      <c r="B68" s="2041" t="s">
        <v>209</v>
      </c>
      <c r="C68" s="1576"/>
      <c r="D68" s="5291">
        <f t="shared" si="89"/>
        <v>0</v>
      </c>
      <c r="E68" s="5292">
        <f t="shared" si="89"/>
        <v>1</v>
      </c>
      <c r="F68" s="5292">
        <f t="shared" si="89"/>
        <v>1</v>
      </c>
      <c r="G68" s="5292">
        <f t="shared" si="89"/>
        <v>1</v>
      </c>
      <c r="H68" s="5292">
        <f t="shared" si="89"/>
        <v>1</v>
      </c>
      <c r="I68" s="5292">
        <f t="shared" si="89"/>
        <v>0</v>
      </c>
      <c r="J68" s="5292">
        <f t="shared" si="89"/>
        <v>0</v>
      </c>
      <c r="K68" s="5292">
        <f t="shared" si="89"/>
        <v>-1</v>
      </c>
      <c r="L68" s="5292">
        <f t="shared" si="89"/>
        <v>1</v>
      </c>
      <c r="M68" s="5292">
        <f t="shared" si="89"/>
        <v>0</v>
      </c>
      <c r="N68" s="5292">
        <f t="shared" si="89"/>
        <v>0</v>
      </c>
      <c r="O68" s="5292">
        <f t="shared" si="89"/>
        <v>-1</v>
      </c>
      <c r="P68" s="5292">
        <f t="shared" si="89"/>
        <v>0.25</v>
      </c>
      <c r="Q68" s="5293">
        <f t="shared" si="89"/>
        <v>0.25</v>
      </c>
      <c r="R68" s="5281"/>
      <c r="S68" s="5294">
        <f t="shared" ref="S68:AF68" si="126">S30-S49</f>
        <v>1</v>
      </c>
      <c r="T68" s="5292">
        <f t="shared" si="126"/>
        <v>0</v>
      </c>
      <c r="U68" s="5292">
        <f t="shared" si="126"/>
        <v>-2</v>
      </c>
      <c r="V68" s="5292">
        <f t="shared" si="126"/>
        <v>1</v>
      </c>
      <c r="W68" s="5292">
        <f t="shared" si="126"/>
        <v>0</v>
      </c>
      <c r="X68" s="5292">
        <f t="shared" si="126"/>
        <v>0</v>
      </c>
      <c r="Y68" s="5292">
        <f t="shared" si="126"/>
        <v>-1</v>
      </c>
      <c r="Z68" s="5292">
        <f t="shared" si="126"/>
        <v>-1</v>
      </c>
      <c r="AA68" s="5292">
        <f t="shared" si="126"/>
        <v>0</v>
      </c>
      <c r="AB68" s="5292">
        <f t="shared" si="126"/>
        <v>0</v>
      </c>
      <c r="AC68" s="5292">
        <f t="shared" si="126"/>
        <v>-1</v>
      </c>
      <c r="AD68" s="5292">
        <f t="shared" si="126"/>
        <v>0</v>
      </c>
      <c r="AE68" s="5292">
        <f t="shared" si="126"/>
        <v>-3</v>
      </c>
      <c r="AF68" s="5293">
        <f t="shared" si="126"/>
        <v>-0.25000000000000006</v>
      </c>
      <c r="AG68" s="5281"/>
      <c r="AH68" s="5294">
        <f t="shared" ref="AH68:AM68" si="127">AH30-AH49</f>
        <v>-1</v>
      </c>
      <c r="AI68" s="5292">
        <f t="shared" si="127"/>
        <v>0</v>
      </c>
      <c r="AJ68" s="5292">
        <f t="shared" si="127"/>
        <v>1</v>
      </c>
      <c r="AK68" s="5292">
        <f t="shared" si="127"/>
        <v>-1</v>
      </c>
      <c r="AL68" s="5292">
        <f t="shared" si="127"/>
        <v>1</v>
      </c>
      <c r="AM68" s="5292">
        <f t="shared" si="127"/>
        <v>0</v>
      </c>
      <c r="AN68" s="5292">
        <v>0</v>
      </c>
      <c r="AO68" s="5292">
        <f t="shared" si="92"/>
        <v>-1</v>
      </c>
      <c r="AP68" s="5292">
        <f t="shared" si="92"/>
        <v>0</v>
      </c>
      <c r="AQ68" s="5292">
        <f t="shared" si="92"/>
        <v>0</v>
      </c>
      <c r="AR68" s="5292">
        <f>AR30-AR49</f>
        <v>-1</v>
      </c>
      <c r="AS68" s="5292">
        <v>1</v>
      </c>
      <c r="AT68" s="5292">
        <f t="shared" si="36"/>
        <v>-1</v>
      </c>
      <c r="AU68" s="5293">
        <f t="shared" si="11"/>
        <v>-8.3333333333333329E-2</v>
      </c>
      <c r="AV68" s="559" t="b">
        <v>1</v>
      </c>
      <c r="AW68" s="5294">
        <v>-1</v>
      </c>
      <c r="AX68" s="5292">
        <f t="shared" si="93"/>
        <v>-1</v>
      </c>
      <c r="AY68" s="5292">
        <f t="shared" ref="AY68:BB68" si="128">AY30-AY49</f>
        <v>-1</v>
      </c>
      <c r="AZ68" s="5292">
        <f t="shared" si="128"/>
        <v>0</v>
      </c>
      <c r="BA68" s="5292">
        <f t="shared" si="128"/>
        <v>0</v>
      </c>
      <c r="BB68" s="5292">
        <f t="shared" si="128"/>
        <v>0</v>
      </c>
      <c r="BC68" s="5292">
        <f t="shared" ref="BC68:BD68" si="129">BC30-BC49</f>
        <v>0</v>
      </c>
      <c r="BD68" s="5292">
        <f t="shared" si="129"/>
        <v>0</v>
      </c>
      <c r="BE68" s="5292">
        <f t="shared" ref="BE68:BF68" si="130">BE30-BE49</f>
        <v>0</v>
      </c>
      <c r="BF68" s="5292">
        <f t="shared" si="130"/>
        <v>0</v>
      </c>
      <c r="BG68" s="5292">
        <f t="shared" ref="BG68" si="131">BG30-BG49</f>
        <v>0</v>
      </c>
      <c r="BH68" s="5292">
        <v>0</v>
      </c>
      <c r="BI68" s="5292">
        <f t="shared" si="86"/>
        <v>-3</v>
      </c>
      <c r="BJ68" s="5293">
        <f t="shared" si="13"/>
        <v>-0.25</v>
      </c>
      <c r="BK68" s="559" t="b">
        <v>1</v>
      </c>
      <c r="BL68" s="5294">
        <v>0</v>
      </c>
      <c r="BM68" s="5292">
        <v>1</v>
      </c>
      <c r="BN68" s="5292"/>
      <c r="BO68" s="5292"/>
      <c r="BP68" s="5292"/>
      <c r="BQ68" s="5292"/>
      <c r="BR68" s="5292"/>
      <c r="BS68" s="5292"/>
      <c r="BT68" s="5292"/>
      <c r="BU68" s="5292"/>
      <c r="BV68" s="5292"/>
      <c r="BW68" s="5292"/>
      <c r="BX68" s="5292">
        <f t="shared" si="87"/>
        <v>1</v>
      </c>
      <c r="BY68" s="6452">
        <f t="shared" si="88"/>
        <v>0.5</v>
      </c>
      <c r="CA68" s="169">
        <f t="shared" ref="CA68:CA99" si="132">IFERROR(_xlfn.XLOOKUP($A$1,$2:$2,68:68)-_xlfn.XLOOKUP(EDATE($A$1,-12),$2:$2,68:68),"")</f>
        <v>2</v>
      </c>
      <c r="CB68" s="169">
        <f t="shared" si="15"/>
        <v>-0.16666666666666669</v>
      </c>
      <c r="CC68" s="169">
        <f>IFERROR(
  SUM(
    _xlfn.XLOOKUP(DATE(YEAR($A$1),1,1),$2:$2,68:68):
    _xlfn.XLOOKUP($A$1,$2:$2,68:68)
  )
 -SUM(
    _xlfn.XLOOKUP(DATE(YEAR($A$1)-1,1,1),$2:$2,68:68):
    _xlfn.XLOOKUP(EDATE($A$1,-12),$2:$2,68:68)
  ),"")</f>
        <v>3</v>
      </c>
      <c r="CD68" s="4517">
        <f t="shared" ref="CD68:CD99" si="133">IFERROR(
  _xlfn.XLOOKUP($A$1,$2:$2,68:68)
 -_xlfn.XLOOKUP(EDATE($A$1,-1),$2:$2,68:68),"")</f>
        <v>1</v>
      </c>
    </row>
    <row r="69" spans="1:82" ht="17.600000000000001" x14ac:dyDescent="0.55000000000000004">
      <c r="A69" s="7383"/>
      <c r="B69" s="2048" t="s">
        <v>210</v>
      </c>
      <c r="C69" s="1929"/>
      <c r="D69" s="5295">
        <f t="shared" si="89"/>
        <v>0</v>
      </c>
      <c r="E69" s="5296">
        <f t="shared" si="89"/>
        <v>0</v>
      </c>
      <c r="F69" s="5296">
        <f t="shared" si="89"/>
        <v>0</v>
      </c>
      <c r="G69" s="5296">
        <f t="shared" si="89"/>
        <v>1</v>
      </c>
      <c r="H69" s="5296">
        <f t="shared" si="89"/>
        <v>0</v>
      </c>
      <c r="I69" s="5296">
        <f t="shared" si="89"/>
        <v>-2</v>
      </c>
      <c r="J69" s="5296">
        <f t="shared" si="89"/>
        <v>1</v>
      </c>
      <c r="K69" s="5296">
        <f t="shared" si="89"/>
        <v>0</v>
      </c>
      <c r="L69" s="5296">
        <f t="shared" si="89"/>
        <v>0</v>
      </c>
      <c r="M69" s="5296">
        <f t="shared" si="89"/>
        <v>0</v>
      </c>
      <c r="N69" s="5296">
        <f t="shared" si="89"/>
        <v>0</v>
      </c>
      <c r="O69" s="5296">
        <f t="shared" si="89"/>
        <v>0</v>
      </c>
      <c r="P69" s="5296">
        <f t="shared" si="89"/>
        <v>0</v>
      </c>
      <c r="Q69" s="5297">
        <f t="shared" si="89"/>
        <v>0</v>
      </c>
      <c r="R69" s="5281"/>
      <c r="S69" s="5298">
        <f t="shared" ref="S69:AF69" si="134">S31-S50</f>
        <v>0</v>
      </c>
      <c r="T69" s="5296">
        <f t="shared" si="134"/>
        <v>0</v>
      </c>
      <c r="U69" s="5296">
        <f t="shared" si="134"/>
        <v>0</v>
      </c>
      <c r="V69" s="5296">
        <f t="shared" si="134"/>
        <v>-1</v>
      </c>
      <c r="W69" s="5296">
        <f t="shared" si="134"/>
        <v>0</v>
      </c>
      <c r="X69" s="5296">
        <f t="shared" si="134"/>
        <v>0</v>
      </c>
      <c r="Y69" s="5296">
        <f t="shared" si="134"/>
        <v>0</v>
      </c>
      <c r="Z69" s="5296">
        <f t="shared" si="134"/>
        <v>0</v>
      </c>
      <c r="AA69" s="5296">
        <f t="shared" si="134"/>
        <v>0</v>
      </c>
      <c r="AB69" s="5296">
        <f t="shared" si="134"/>
        <v>-1</v>
      </c>
      <c r="AC69" s="5296">
        <f t="shared" si="134"/>
        <v>1</v>
      </c>
      <c r="AD69" s="5296">
        <f t="shared" si="134"/>
        <v>0</v>
      </c>
      <c r="AE69" s="5296">
        <f t="shared" si="134"/>
        <v>-1</v>
      </c>
      <c r="AF69" s="5297">
        <f t="shared" si="134"/>
        <v>-8.3333333333333343E-2</v>
      </c>
      <c r="AG69" s="5281"/>
      <c r="AH69" s="5298">
        <f t="shared" ref="AH69:AM69" si="135">AH31-AH50</f>
        <v>0</v>
      </c>
      <c r="AI69" s="5296">
        <f t="shared" si="135"/>
        <v>0</v>
      </c>
      <c r="AJ69" s="5296">
        <f t="shared" si="135"/>
        <v>0</v>
      </c>
      <c r="AK69" s="5296">
        <f t="shared" si="135"/>
        <v>2</v>
      </c>
      <c r="AL69" s="5296">
        <f t="shared" si="135"/>
        <v>-1</v>
      </c>
      <c r="AM69" s="5296">
        <f t="shared" si="135"/>
        <v>1</v>
      </c>
      <c r="AN69" s="5296">
        <v>0</v>
      </c>
      <c r="AO69" s="5296">
        <f t="shared" si="92"/>
        <v>1</v>
      </c>
      <c r="AP69" s="5296">
        <f t="shared" si="92"/>
        <v>0</v>
      </c>
      <c r="AQ69" s="5296">
        <f t="shared" si="92"/>
        <v>0</v>
      </c>
      <c r="AR69" s="5296">
        <f t="shared" si="92"/>
        <v>1</v>
      </c>
      <c r="AS69" s="5296">
        <v>-1</v>
      </c>
      <c r="AT69" s="5296">
        <f t="shared" si="36"/>
        <v>3</v>
      </c>
      <c r="AU69" s="5297">
        <f t="shared" ref="AU69:AU132" si="136">SUM(AH69:AS69)/12</f>
        <v>0.25</v>
      </c>
      <c r="AV69" s="559" t="b">
        <v>1</v>
      </c>
      <c r="AW69" s="5298">
        <v>-1</v>
      </c>
      <c r="AX69" s="5296">
        <f t="shared" si="93"/>
        <v>0</v>
      </c>
      <c r="AY69" s="5296">
        <f t="shared" ref="AY69:BB69" si="137">AY31-AY50</f>
        <v>-1</v>
      </c>
      <c r="AZ69" s="5296">
        <f t="shared" si="137"/>
        <v>-2</v>
      </c>
      <c r="BA69" s="5296">
        <f t="shared" si="137"/>
        <v>0</v>
      </c>
      <c r="BB69" s="5296">
        <f t="shared" si="137"/>
        <v>-1</v>
      </c>
      <c r="BC69" s="5296">
        <f t="shared" ref="BC69:BD69" si="138">BC31-BC50</f>
        <v>0</v>
      </c>
      <c r="BD69" s="5296">
        <f t="shared" si="138"/>
        <v>0</v>
      </c>
      <c r="BE69" s="5296">
        <f t="shared" ref="BE69:BF69" si="139">BE31-BE50</f>
        <v>0</v>
      </c>
      <c r="BF69" s="5296">
        <f t="shared" si="139"/>
        <v>-1</v>
      </c>
      <c r="BG69" s="5296">
        <f t="shared" ref="BG69" si="140">BG31-BG50</f>
        <v>1</v>
      </c>
      <c r="BH69" s="5296">
        <v>0</v>
      </c>
      <c r="BI69" s="5296">
        <f t="shared" si="86"/>
        <v>-5</v>
      </c>
      <c r="BJ69" s="5297">
        <f t="shared" ref="BJ69:BJ132" si="141">AVERAGE(AW69:BH69)</f>
        <v>-0.41666666666666669</v>
      </c>
      <c r="BK69" s="559" t="b">
        <v>1</v>
      </c>
      <c r="BL69" s="5298">
        <v>0</v>
      </c>
      <c r="BM69" s="5296">
        <v>0</v>
      </c>
      <c r="BN69" s="5296"/>
      <c r="BO69" s="5296"/>
      <c r="BP69" s="5296"/>
      <c r="BQ69" s="5296"/>
      <c r="BR69" s="5296"/>
      <c r="BS69" s="5296"/>
      <c r="BT69" s="5296"/>
      <c r="BU69" s="5296"/>
      <c r="BV69" s="5296"/>
      <c r="BW69" s="5296"/>
      <c r="BX69" s="5296">
        <f t="shared" si="87"/>
        <v>0</v>
      </c>
      <c r="BY69" s="6453">
        <f t="shared" si="88"/>
        <v>0</v>
      </c>
      <c r="CA69" s="169">
        <f t="shared" si="132"/>
        <v>0</v>
      </c>
      <c r="CB69" s="169">
        <f t="shared" ref="CB69:CB78" si="142">BJ69-AU69</f>
        <v>-0.66666666666666674</v>
      </c>
      <c r="CC69" s="169">
        <f>IFERROR(
  SUM(
    _xlfn.XLOOKUP(DATE(YEAR($A$1),1,1),$2:$2,69:69):
    _xlfn.XLOOKUP($A$1,$2:$2,69:69)
  )
 -SUM(
    _xlfn.XLOOKUP(DATE(YEAR($A$1)-1,1,1),$2:$2,69:69):
    _xlfn.XLOOKUP(EDATE($A$1,-12),$2:$2,69:69)
  ),"")</f>
        <v>1</v>
      </c>
      <c r="CD69" s="4517">
        <f t="shared" si="133"/>
        <v>0</v>
      </c>
    </row>
    <row r="70" spans="1:82" ht="15.9" customHeight="1" x14ac:dyDescent="0.55000000000000004">
      <c r="A70" s="7383"/>
      <c r="B70" s="2055"/>
      <c r="C70" s="5253" t="s">
        <v>211</v>
      </c>
      <c r="D70" s="5299">
        <f t="shared" si="89"/>
        <v>0</v>
      </c>
      <c r="E70" s="5299">
        <f t="shared" si="89"/>
        <v>0</v>
      </c>
      <c r="F70" s="5299">
        <f t="shared" si="89"/>
        <v>0</v>
      </c>
      <c r="G70" s="5299">
        <f t="shared" si="89"/>
        <v>2</v>
      </c>
      <c r="H70" s="5299">
        <f t="shared" si="89"/>
        <v>0</v>
      </c>
      <c r="I70" s="5299">
        <f t="shared" si="89"/>
        <v>-1</v>
      </c>
      <c r="J70" s="5299">
        <f t="shared" si="89"/>
        <v>1</v>
      </c>
      <c r="K70" s="5299">
        <f t="shared" si="89"/>
        <v>0</v>
      </c>
      <c r="L70" s="5299">
        <f t="shared" si="89"/>
        <v>0</v>
      </c>
      <c r="M70" s="5299">
        <f t="shared" si="89"/>
        <v>0</v>
      </c>
      <c r="N70" s="5299">
        <f t="shared" si="89"/>
        <v>0</v>
      </c>
      <c r="O70" s="5299">
        <f t="shared" si="89"/>
        <v>0</v>
      </c>
      <c r="P70" s="5299">
        <f t="shared" si="89"/>
        <v>0.16666666666666666</v>
      </c>
      <c r="Q70" s="5300">
        <f t="shared" si="89"/>
        <v>0.16666666666666666</v>
      </c>
      <c r="R70" s="5281"/>
      <c r="S70" s="5301">
        <f t="shared" ref="S70:AF70" si="143">S32-S51</f>
        <v>1</v>
      </c>
      <c r="T70" s="5299">
        <f t="shared" si="143"/>
        <v>0</v>
      </c>
      <c r="U70" s="5299">
        <f t="shared" si="143"/>
        <v>-2</v>
      </c>
      <c r="V70" s="5299">
        <f t="shared" si="143"/>
        <v>2</v>
      </c>
      <c r="W70" s="5299">
        <f t="shared" si="143"/>
        <v>0</v>
      </c>
      <c r="X70" s="5299">
        <f t="shared" si="143"/>
        <v>-1</v>
      </c>
      <c r="Y70" s="5299">
        <f t="shared" si="143"/>
        <v>2</v>
      </c>
      <c r="Z70" s="5299">
        <f t="shared" si="143"/>
        <v>0</v>
      </c>
      <c r="AA70" s="5299">
        <f t="shared" si="143"/>
        <v>0</v>
      </c>
      <c r="AB70" s="5299">
        <f t="shared" si="143"/>
        <v>0</v>
      </c>
      <c r="AC70" s="5299">
        <f t="shared" si="143"/>
        <v>0</v>
      </c>
      <c r="AD70" s="5299">
        <f t="shared" si="143"/>
        <v>-2</v>
      </c>
      <c r="AE70" s="5299">
        <f t="shared" si="143"/>
        <v>0</v>
      </c>
      <c r="AF70" s="5300">
        <f t="shared" si="143"/>
        <v>0</v>
      </c>
      <c r="AG70" s="5281"/>
      <c r="AH70" s="5301">
        <f t="shared" ref="AH70:AM70" si="144">AH32-AH51</f>
        <v>2</v>
      </c>
      <c r="AI70" s="5299">
        <f t="shared" si="144"/>
        <v>-1</v>
      </c>
      <c r="AJ70" s="5299">
        <f t="shared" si="144"/>
        <v>3</v>
      </c>
      <c r="AK70" s="5299">
        <f t="shared" si="144"/>
        <v>-1</v>
      </c>
      <c r="AL70" s="5299">
        <f t="shared" si="144"/>
        <v>2</v>
      </c>
      <c r="AM70" s="5299">
        <f t="shared" si="144"/>
        <v>1</v>
      </c>
      <c r="AN70" s="5299">
        <v>0</v>
      </c>
      <c r="AO70" s="5299">
        <f t="shared" si="92"/>
        <v>0</v>
      </c>
      <c r="AP70" s="5299">
        <f t="shared" si="92"/>
        <v>1</v>
      </c>
      <c r="AQ70" s="5299">
        <f t="shared" si="92"/>
        <v>0</v>
      </c>
      <c r="AR70" s="5299">
        <f t="shared" si="92"/>
        <v>0</v>
      </c>
      <c r="AS70" s="5299">
        <v>0</v>
      </c>
      <c r="AT70" s="5299">
        <f t="shared" si="36"/>
        <v>7</v>
      </c>
      <c r="AU70" s="5300">
        <f t="shared" si="136"/>
        <v>0.58333333333333337</v>
      </c>
      <c r="AV70" s="559" t="b">
        <v>1</v>
      </c>
      <c r="AW70" s="5301">
        <v>0</v>
      </c>
      <c r="AX70" s="5299">
        <f t="shared" si="93"/>
        <v>-1</v>
      </c>
      <c r="AY70" s="5299">
        <f t="shared" ref="AY70:BB70" si="145">AY32-AY51</f>
        <v>-1</v>
      </c>
      <c r="AZ70" s="5299">
        <f t="shared" si="145"/>
        <v>0</v>
      </c>
      <c r="BA70" s="5299">
        <f t="shared" si="145"/>
        <v>0</v>
      </c>
      <c r="BB70" s="5299">
        <f t="shared" si="145"/>
        <v>-1</v>
      </c>
      <c r="BC70" s="5299">
        <f t="shared" ref="BC70:BD70" si="146">BC32-BC51</f>
        <v>0</v>
      </c>
      <c r="BD70" s="5299">
        <f t="shared" si="146"/>
        <v>0</v>
      </c>
      <c r="BE70" s="5299">
        <f t="shared" ref="BE70:BF70" si="147">BE32-BE51</f>
        <v>0</v>
      </c>
      <c r="BF70" s="5299">
        <f t="shared" si="147"/>
        <v>0</v>
      </c>
      <c r="BG70" s="5299">
        <f t="shared" ref="BG70" si="148">BG32-BG51</f>
        <v>0</v>
      </c>
      <c r="BH70" s="5299">
        <v>-1</v>
      </c>
      <c r="BI70" s="5299">
        <f t="shared" si="86"/>
        <v>-4</v>
      </c>
      <c r="BJ70" s="5300">
        <f t="shared" si="141"/>
        <v>-0.33333333333333331</v>
      </c>
      <c r="BK70" s="559" t="b">
        <v>1</v>
      </c>
      <c r="BL70" s="5301">
        <v>0</v>
      </c>
      <c r="BM70" s="5299">
        <v>0</v>
      </c>
      <c r="BN70" s="5299"/>
      <c r="BO70" s="5299"/>
      <c r="BP70" s="5299"/>
      <c r="BQ70" s="5299"/>
      <c r="BR70" s="5299"/>
      <c r="BS70" s="5299"/>
      <c r="BT70" s="5299"/>
      <c r="BU70" s="5299"/>
      <c r="BV70" s="5299"/>
      <c r="BW70" s="5299"/>
      <c r="BX70" s="5299">
        <f t="shared" si="87"/>
        <v>0</v>
      </c>
      <c r="BY70" s="6454">
        <f t="shared" si="88"/>
        <v>0</v>
      </c>
      <c r="CA70" s="169">
        <f t="shared" si="132"/>
        <v>1</v>
      </c>
      <c r="CB70" s="169">
        <f t="shared" si="142"/>
        <v>-0.91666666666666674</v>
      </c>
      <c r="CC70" s="169">
        <f>IFERROR(
  SUM(
    _xlfn.XLOOKUP(DATE(YEAR($A$1),1,1),$2:$2,70:70):
    _xlfn.XLOOKUP($A$1,$2:$2,70:70)
  )
 -SUM(
    _xlfn.XLOOKUP(DATE(YEAR($A$1)-1,1,1),$2:$2,70:70):
    _xlfn.XLOOKUP(EDATE($A$1,-12),$2:$2,70:70)
  ),"")</f>
        <v>1</v>
      </c>
      <c r="CD70" s="4517">
        <f t="shared" si="133"/>
        <v>0</v>
      </c>
    </row>
    <row r="71" spans="1:82" ht="17.600000000000001" x14ac:dyDescent="0.55000000000000004">
      <c r="A71" s="7383"/>
      <c r="B71" s="2062"/>
      <c r="C71" s="5258" t="s">
        <v>212</v>
      </c>
      <c r="D71" s="5302">
        <f t="shared" si="89"/>
        <v>0</v>
      </c>
      <c r="E71" s="5302">
        <f t="shared" si="89"/>
        <v>1</v>
      </c>
      <c r="F71" s="5302">
        <f t="shared" si="89"/>
        <v>0</v>
      </c>
      <c r="G71" s="5302">
        <f t="shared" si="89"/>
        <v>0</v>
      </c>
      <c r="H71" s="5302">
        <f t="shared" si="89"/>
        <v>0</v>
      </c>
      <c r="I71" s="5302">
        <f t="shared" ref="I71:Q71" si="149">I33-I52</f>
        <v>-1</v>
      </c>
      <c r="J71" s="5302">
        <f t="shared" si="149"/>
        <v>1</v>
      </c>
      <c r="K71" s="5302">
        <f t="shared" si="149"/>
        <v>0</v>
      </c>
      <c r="L71" s="5302">
        <f t="shared" si="149"/>
        <v>0</v>
      </c>
      <c r="M71" s="5302">
        <f t="shared" si="149"/>
        <v>-1</v>
      </c>
      <c r="N71" s="5302">
        <f t="shared" si="149"/>
        <v>0</v>
      </c>
      <c r="O71" s="5302">
        <f t="shared" si="149"/>
        <v>-1</v>
      </c>
      <c r="P71" s="5302">
        <f t="shared" si="149"/>
        <v>-8.3333333333333315E-2</v>
      </c>
      <c r="Q71" s="5303">
        <f t="shared" si="149"/>
        <v>-8.3333333333333315E-2</v>
      </c>
      <c r="R71" s="5281"/>
      <c r="S71" s="5304">
        <f t="shared" ref="S71:AB71" si="150">S33-S52</f>
        <v>1</v>
      </c>
      <c r="T71" s="5302">
        <f t="shared" si="150"/>
        <v>0</v>
      </c>
      <c r="U71" s="5302">
        <f t="shared" si="150"/>
        <v>-1</v>
      </c>
      <c r="V71" s="5302">
        <f t="shared" si="150"/>
        <v>0</v>
      </c>
      <c r="W71" s="5302">
        <f t="shared" si="150"/>
        <v>0</v>
      </c>
      <c r="X71" s="5302">
        <f t="shared" si="150"/>
        <v>0</v>
      </c>
      <c r="Y71" s="5302">
        <f t="shared" si="150"/>
        <v>1</v>
      </c>
      <c r="Z71" s="5302">
        <f t="shared" si="150"/>
        <v>0</v>
      </c>
      <c r="AA71" s="5302">
        <f t="shared" si="150"/>
        <v>0</v>
      </c>
      <c r="AB71" s="5302">
        <f t="shared" si="150"/>
        <v>-1</v>
      </c>
      <c r="AC71" s="5302">
        <f t="shared" ref="AC71:AF75" si="151">AC33-AC52</f>
        <v>0</v>
      </c>
      <c r="AD71" s="5302">
        <f t="shared" si="151"/>
        <v>0</v>
      </c>
      <c r="AE71" s="5302">
        <f t="shared" si="151"/>
        <v>0</v>
      </c>
      <c r="AF71" s="5303">
        <f t="shared" si="151"/>
        <v>0</v>
      </c>
      <c r="AG71" s="5281"/>
      <c r="AH71" s="5304">
        <f t="shared" ref="AH71:AM71" si="152">AH33-AH52</f>
        <v>1</v>
      </c>
      <c r="AI71" s="5302">
        <f t="shared" si="152"/>
        <v>-3</v>
      </c>
      <c r="AJ71" s="5302">
        <f t="shared" si="152"/>
        <v>4</v>
      </c>
      <c r="AK71" s="5302">
        <f t="shared" si="152"/>
        <v>0</v>
      </c>
      <c r="AL71" s="5302">
        <f t="shared" si="152"/>
        <v>1</v>
      </c>
      <c r="AM71" s="5302">
        <f t="shared" si="152"/>
        <v>0</v>
      </c>
      <c r="AN71" s="5302">
        <v>0</v>
      </c>
      <c r="AO71" s="5302">
        <f t="shared" si="92"/>
        <v>0</v>
      </c>
      <c r="AP71" s="5302">
        <f t="shared" si="92"/>
        <v>0</v>
      </c>
      <c r="AQ71" s="5302">
        <f t="shared" si="92"/>
        <v>0</v>
      </c>
      <c r="AR71" s="5302">
        <f t="shared" si="92"/>
        <v>0</v>
      </c>
      <c r="AS71" s="5302">
        <v>1</v>
      </c>
      <c r="AT71" s="5302">
        <f t="shared" si="36"/>
        <v>4</v>
      </c>
      <c r="AU71" s="5303">
        <f t="shared" si="136"/>
        <v>0.33333333333333331</v>
      </c>
      <c r="AV71" s="559" t="b">
        <v>1</v>
      </c>
      <c r="AW71" s="5304">
        <v>0</v>
      </c>
      <c r="AX71" s="5302">
        <f t="shared" si="93"/>
        <v>0</v>
      </c>
      <c r="AY71" s="5302">
        <f t="shared" ref="AY71:BB71" si="153">AY33-AY52</f>
        <v>-2</v>
      </c>
      <c r="AZ71" s="5302">
        <f t="shared" si="153"/>
        <v>0</v>
      </c>
      <c r="BA71" s="5302">
        <f t="shared" si="153"/>
        <v>0</v>
      </c>
      <c r="BB71" s="5302">
        <f t="shared" si="153"/>
        <v>0</v>
      </c>
      <c r="BC71" s="5302">
        <f t="shared" ref="BC71:BD71" si="154">BC33-BC52</f>
        <v>0</v>
      </c>
      <c r="BD71" s="5302">
        <f t="shared" si="154"/>
        <v>0</v>
      </c>
      <c r="BE71" s="5302">
        <f t="shared" ref="BE71:BF71" si="155">BE33-BE52</f>
        <v>0</v>
      </c>
      <c r="BF71" s="5302">
        <f t="shared" si="155"/>
        <v>0</v>
      </c>
      <c r="BG71" s="5302">
        <f t="shared" ref="BG71" si="156">BG33-BG52</f>
        <v>0</v>
      </c>
      <c r="BH71" s="5302">
        <v>0</v>
      </c>
      <c r="BI71" s="5302">
        <f t="shared" si="86"/>
        <v>-2</v>
      </c>
      <c r="BJ71" s="5303">
        <f t="shared" si="141"/>
        <v>-0.16666666666666666</v>
      </c>
      <c r="BK71" s="559" t="b">
        <v>1</v>
      </c>
      <c r="BL71" s="5304">
        <v>1</v>
      </c>
      <c r="BM71" s="5302">
        <v>0</v>
      </c>
      <c r="BN71" s="5302"/>
      <c r="BO71" s="5302"/>
      <c r="BP71" s="5302"/>
      <c r="BQ71" s="5302"/>
      <c r="BR71" s="5302"/>
      <c r="BS71" s="5302"/>
      <c r="BT71" s="5302"/>
      <c r="BU71" s="5302"/>
      <c r="BV71" s="5302"/>
      <c r="BW71" s="5302"/>
      <c r="BX71" s="5302">
        <f t="shared" si="87"/>
        <v>1</v>
      </c>
      <c r="BY71" s="6455">
        <f t="shared" si="88"/>
        <v>0.5</v>
      </c>
      <c r="CA71" s="169">
        <f t="shared" si="132"/>
        <v>0</v>
      </c>
      <c r="CB71" s="169">
        <f t="shared" si="142"/>
        <v>-0.5</v>
      </c>
      <c r="CC71" s="169">
        <f>IFERROR(
  SUM(
    _xlfn.XLOOKUP(DATE(YEAR($A$1),1,1),$2:$2,71:71):
    _xlfn.XLOOKUP($A$1,$2:$2,71:71)
  )
 -SUM(
    _xlfn.XLOOKUP(DATE(YEAR($A$1)-1,1,1),$2:$2,71:71):
    _xlfn.XLOOKUP(EDATE($A$1,-12),$2:$2,71:71)
  ),"")</f>
        <v>1</v>
      </c>
      <c r="CD71" s="4517">
        <f t="shared" si="133"/>
        <v>-1</v>
      </c>
    </row>
    <row r="72" spans="1:82" ht="17.600000000000001" x14ac:dyDescent="0.55000000000000004">
      <c r="A72" s="7383"/>
      <c r="B72" s="2062"/>
      <c r="C72" s="5263" t="s">
        <v>213</v>
      </c>
      <c r="D72" s="5305">
        <f t="shared" si="89"/>
        <v>1</v>
      </c>
      <c r="E72" s="5305">
        <f t="shared" si="89"/>
        <v>-1</v>
      </c>
      <c r="F72" s="5305">
        <f t="shared" si="89"/>
        <v>0</v>
      </c>
      <c r="G72" s="5305">
        <f t="shared" si="89"/>
        <v>0</v>
      </c>
      <c r="H72" s="5305">
        <f t="shared" si="89"/>
        <v>0</v>
      </c>
      <c r="I72" s="5305">
        <f t="shared" si="89"/>
        <v>0</v>
      </c>
      <c r="J72" s="5305">
        <f t="shared" si="89"/>
        <v>0</v>
      </c>
      <c r="K72" s="5305">
        <f t="shared" si="89"/>
        <v>1</v>
      </c>
      <c r="L72" s="5305">
        <f t="shared" si="89"/>
        <v>0</v>
      </c>
      <c r="M72" s="5305">
        <f t="shared" si="89"/>
        <v>0</v>
      </c>
      <c r="N72" s="5305">
        <f t="shared" si="89"/>
        <v>0</v>
      </c>
      <c r="O72" s="5305">
        <f t="shared" si="89"/>
        <v>-2</v>
      </c>
      <c r="P72" s="5305">
        <f t="shared" si="89"/>
        <v>-8.3333333333333343E-2</v>
      </c>
      <c r="Q72" s="5306">
        <f t="shared" si="89"/>
        <v>-8.3333333333333343E-2</v>
      </c>
      <c r="R72" s="5281"/>
      <c r="S72" s="5307">
        <f t="shared" ref="S72:AB72" si="157">S34-S53</f>
        <v>0</v>
      </c>
      <c r="T72" s="5305">
        <f t="shared" si="157"/>
        <v>0</v>
      </c>
      <c r="U72" s="5305">
        <f t="shared" si="157"/>
        <v>0</v>
      </c>
      <c r="V72" s="5305">
        <f t="shared" si="157"/>
        <v>1</v>
      </c>
      <c r="W72" s="5305">
        <f t="shared" si="157"/>
        <v>0</v>
      </c>
      <c r="X72" s="5305">
        <f t="shared" si="157"/>
        <v>0</v>
      </c>
      <c r="Y72" s="5305">
        <f t="shared" si="157"/>
        <v>0</v>
      </c>
      <c r="Z72" s="5305">
        <f t="shared" si="157"/>
        <v>0</v>
      </c>
      <c r="AA72" s="5305">
        <f t="shared" si="157"/>
        <v>0</v>
      </c>
      <c r="AB72" s="5305">
        <f t="shared" si="157"/>
        <v>0</v>
      </c>
      <c r="AC72" s="5305">
        <f t="shared" si="151"/>
        <v>0</v>
      </c>
      <c r="AD72" s="5305">
        <f t="shared" si="151"/>
        <v>0</v>
      </c>
      <c r="AE72" s="5305">
        <f t="shared" si="151"/>
        <v>1</v>
      </c>
      <c r="AF72" s="5306">
        <f t="shared" si="151"/>
        <v>8.3333333333333329E-2</v>
      </c>
      <c r="AG72" s="5281"/>
      <c r="AH72" s="5307">
        <f t="shared" ref="AH72:AM72" si="158">AH34-AH53</f>
        <v>0</v>
      </c>
      <c r="AI72" s="5305">
        <f t="shared" si="158"/>
        <v>0</v>
      </c>
      <c r="AJ72" s="5305">
        <f t="shared" si="158"/>
        <v>-1</v>
      </c>
      <c r="AK72" s="5305">
        <f t="shared" si="158"/>
        <v>1</v>
      </c>
      <c r="AL72" s="5305">
        <f t="shared" si="158"/>
        <v>0</v>
      </c>
      <c r="AM72" s="5305">
        <f t="shared" si="158"/>
        <v>2</v>
      </c>
      <c r="AN72" s="5305">
        <v>0</v>
      </c>
      <c r="AO72" s="5305">
        <f t="shared" si="92"/>
        <v>0</v>
      </c>
      <c r="AP72" s="5305">
        <f t="shared" si="92"/>
        <v>0</v>
      </c>
      <c r="AQ72" s="5305">
        <f t="shared" si="92"/>
        <v>0</v>
      </c>
      <c r="AR72" s="5305">
        <f t="shared" si="92"/>
        <v>0</v>
      </c>
      <c r="AS72" s="5305">
        <v>0</v>
      </c>
      <c r="AT72" s="5305">
        <f t="shared" si="36"/>
        <v>2</v>
      </c>
      <c r="AU72" s="5306">
        <f t="shared" si="136"/>
        <v>0.16666666666666666</v>
      </c>
      <c r="AV72" s="559" t="b">
        <v>1</v>
      </c>
      <c r="AW72" s="5307">
        <v>0</v>
      </c>
      <c r="AX72" s="5305">
        <f t="shared" si="93"/>
        <v>0</v>
      </c>
      <c r="AY72" s="5305">
        <f t="shared" ref="AY72:BB72" si="159">AY34-AY53</f>
        <v>0</v>
      </c>
      <c r="AZ72" s="5305">
        <f t="shared" si="159"/>
        <v>-2</v>
      </c>
      <c r="BA72" s="5305">
        <f t="shared" si="159"/>
        <v>0</v>
      </c>
      <c r="BB72" s="5305">
        <f t="shared" si="159"/>
        <v>0</v>
      </c>
      <c r="BC72" s="5305">
        <f t="shared" ref="BC72:BD72" si="160">BC34-BC53</f>
        <v>0</v>
      </c>
      <c r="BD72" s="5305">
        <f t="shared" si="160"/>
        <v>-1</v>
      </c>
      <c r="BE72" s="5305">
        <f t="shared" ref="BE72:BF72" si="161">BE34-BE53</f>
        <v>0</v>
      </c>
      <c r="BF72" s="5305">
        <f t="shared" si="161"/>
        <v>0</v>
      </c>
      <c r="BG72" s="5305">
        <f t="shared" ref="BG72" si="162">BG34-BG53</f>
        <v>0</v>
      </c>
      <c r="BH72" s="5305">
        <v>0</v>
      </c>
      <c r="BI72" s="5305">
        <f t="shared" si="86"/>
        <v>-3</v>
      </c>
      <c r="BJ72" s="5306">
        <f t="shared" si="141"/>
        <v>-0.25</v>
      </c>
      <c r="BK72" s="559" t="b">
        <v>1</v>
      </c>
      <c r="BL72" s="5307">
        <v>1</v>
      </c>
      <c r="BM72" s="5305">
        <v>0</v>
      </c>
      <c r="BN72" s="5305"/>
      <c r="BO72" s="5305"/>
      <c r="BP72" s="5305"/>
      <c r="BQ72" s="5305"/>
      <c r="BR72" s="5305"/>
      <c r="BS72" s="5305"/>
      <c r="BT72" s="5305"/>
      <c r="BU72" s="5305"/>
      <c r="BV72" s="5305"/>
      <c r="BW72" s="5305"/>
      <c r="BX72" s="5305">
        <f t="shared" si="87"/>
        <v>1</v>
      </c>
      <c r="BY72" s="6456">
        <f t="shared" si="88"/>
        <v>0.5</v>
      </c>
      <c r="CA72" s="169">
        <f t="shared" si="132"/>
        <v>0</v>
      </c>
      <c r="CB72" s="169">
        <f t="shared" si="142"/>
        <v>-0.41666666666666663</v>
      </c>
      <c r="CC72" s="169">
        <f>IFERROR(
  SUM(
    _xlfn.XLOOKUP(DATE(YEAR($A$1),1,1),$2:$2,72:72):
    _xlfn.XLOOKUP($A$1,$2:$2,72:72)
  )
 -SUM(
    _xlfn.XLOOKUP(DATE(YEAR($A$1)-1,1,1),$2:$2,72:72):
    _xlfn.XLOOKUP(EDATE($A$1,-12),$2:$2,72:72)
  ),"")</f>
        <v>1</v>
      </c>
      <c r="CD72" s="4517">
        <f t="shared" si="133"/>
        <v>-1</v>
      </c>
    </row>
    <row r="73" spans="1:82" ht="17.600000000000001" x14ac:dyDescent="0.55000000000000004">
      <c r="A73" s="7383"/>
      <c r="B73" s="2062"/>
      <c r="C73" s="5263" t="s">
        <v>214</v>
      </c>
      <c r="D73" s="5305">
        <f t="shared" si="89"/>
        <v>0</v>
      </c>
      <c r="E73" s="5305">
        <f t="shared" si="89"/>
        <v>0</v>
      </c>
      <c r="F73" s="5305">
        <f t="shared" si="89"/>
        <v>0</v>
      </c>
      <c r="G73" s="5305">
        <f t="shared" si="89"/>
        <v>0</v>
      </c>
      <c r="H73" s="5305">
        <f t="shared" si="89"/>
        <v>0</v>
      </c>
      <c r="I73" s="5305">
        <f t="shared" si="89"/>
        <v>0</v>
      </c>
      <c r="J73" s="5305">
        <f t="shared" si="89"/>
        <v>0</v>
      </c>
      <c r="K73" s="5305">
        <f t="shared" si="89"/>
        <v>0</v>
      </c>
      <c r="L73" s="5305">
        <f t="shared" si="89"/>
        <v>0</v>
      </c>
      <c r="M73" s="5305">
        <f t="shared" si="89"/>
        <v>0</v>
      </c>
      <c r="N73" s="5305">
        <f t="shared" si="89"/>
        <v>0</v>
      </c>
      <c r="O73" s="5305">
        <f t="shared" si="89"/>
        <v>0</v>
      </c>
      <c r="P73" s="5305">
        <f t="shared" si="89"/>
        <v>0</v>
      </c>
      <c r="Q73" s="5306">
        <f t="shared" si="89"/>
        <v>0</v>
      </c>
      <c r="R73" s="5281"/>
      <c r="S73" s="5307">
        <f t="shared" ref="S73:AB73" si="163">S35-S54</f>
        <v>0</v>
      </c>
      <c r="T73" s="5305">
        <f t="shared" si="163"/>
        <v>0</v>
      </c>
      <c r="U73" s="5305">
        <f t="shared" si="163"/>
        <v>0</v>
      </c>
      <c r="V73" s="5305">
        <f t="shared" si="163"/>
        <v>0</v>
      </c>
      <c r="W73" s="5305">
        <f t="shared" si="163"/>
        <v>0</v>
      </c>
      <c r="X73" s="5305">
        <f t="shared" si="163"/>
        <v>0</v>
      </c>
      <c r="Y73" s="5305">
        <f t="shared" si="163"/>
        <v>0</v>
      </c>
      <c r="Z73" s="5305">
        <f t="shared" si="163"/>
        <v>0</v>
      </c>
      <c r="AA73" s="5305">
        <f t="shared" si="163"/>
        <v>0</v>
      </c>
      <c r="AB73" s="5305">
        <f t="shared" si="163"/>
        <v>0</v>
      </c>
      <c r="AC73" s="5305">
        <f t="shared" si="151"/>
        <v>-1</v>
      </c>
      <c r="AD73" s="5305">
        <f t="shared" si="151"/>
        <v>1</v>
      </c>
      <c r="AE73" s="5305">
        <f t="shared" si="151"/>
        <v>0</v>
      </c>
      <c r="AF73" s="5306">
        <f t="shared" si="151"/>
        <v>0</v>
      </c>
      <c r="AG73" s="5281"/>
      <c r="AH73" s="5307">
        <f t="shared" ref="AH73:AM73" si="164">AH35-AH54</f>
        <v>0</v>
      </c>
      <c r="AI73" s="5305">
        <f t="shared" si="164"/>
        <v>0</v>
      </c>
      <c r="AJ73" s="5305">
        <f t="shared" si="164"/>
        <v>1</v>
      </c>
      <c r="AK73" s="5305">
        <f t="shared" si="164"/>
        <v>0</v>
      </c>
      <c r="AL73" s="5305">
        <f t="shared" si="164"/>
        <v>0</v>
      </c>
      <c r="AM73" s="5305">
        <f t="shared" si="164"/>
        <v>0</v>
      </c>
      <c r="AN73" s="5305">
        <v>0</v>
      </c>
      <c r="AO73" s="5305">
        <f t="shared" si="92"/>
        <v>0</v>
      </c>
      <c r="AP73" s="5305">
        <f t="shared" si="92"/>
        <v>0</v>
      </c>
      <c r="AQ73" s="5305">
        <f t="shared" si="92"/>
        <v>0</v>
      </c>
      <c r="AR73" s="5305">
        <f t="shared" si="92"/>
        <v>0</v>
      </c>
      <c r="AS73" s="5305">
        <v>0</v>
      </c>
      <c r="AT73" s="5305">
        <f t="shared" si="36"/>
        <v>1</v>
      </c>
      <c r="AU73" s="5306">
        <f t="shared" si="136"/>
        <v>8.3333333333333329E-2</v>
      </c>
      <c r="AV73" s="559" t="b">
        <v>1</v>
      </c>
      <c r="AW73" s="5307">
        <v>0</v>
      </c>
      <c r="AX73" s="5305">
        <f t="shared" si="93"/>
        <v>0</v>
      </c>
      <c r="AY73" s="5305">
        <f t="shared" ref="AY73:BB73" si="165">AY35-AY54</f>
        <v>0</v>
      </c>
      <c r="AZ73" s="5305">
        <f t="shared" si="165"/>
        <v>0</v>
      </c>
      <c r="BA73" s="5305">
        <f t="shared" si="165"/>
        <v>-1</v>
      </c>
      <c r="BB73" s="5305">
        <f t="shared" si="165"/>
        <v>0</v>
      </c>
      <c r="BC73" s="5305">
        <f t="shared" ref="BC73:BD73" si="166">BC35-BC54</f>
        <v>0</v>
      </c>
      <c r="BD73" s="5305">
        <f t="shared" si="166"/>
        <v>0</v>
      </c>
      <c r="BE73" s="5305">
        <f t="shared" ref="BE73:BF73" si="167">BE35-BE54</f>
        <v>0</v>
      </c>
      <c r="BF73" s="5305">
        <f t="shared" si="167"/>
        <v>0</v>
      </c>
      <c r="BG73" s="5305">
        <f t="shared" ref="BG73" si="168">BG35-BG54</f>
        <v>0</v>
      </c>
      <c r="BH73" s="5305">
        <v>0</v>
      </c>
      <c r="BI73" s="5305">
        <f t="shared" si="86"/>
        <v>-1</v>
      </c>
      <c r="BJ73" s="5306">
        <f t="shared" si="141"/>
        <v>-8.3333333333333329E-2</v>
      </c>
      <c r="BK73" s="559" t="b">
        <v>1</v>
      </c>
      <c r="BL73" s="5307">
        <v>0</v>
      </c>
      <c r="BM73" s="5305">
        <v>0</v>
      </c>
      <c r="BN73" s="5305"/>
      <c r="BO73" s="5305"/>
      <c r="BP73" s="5305"/>
      <c r="BQ73" s="5305"/>
      <c r="BR73" s="5305"/>
      <c r="BS73" s="5305"/>
      <c r="BT73" s="5305"/>
      <c r="BU73" s="5305"/>
      <c r="BV73" s="5305"/>
      <c r="BW73" s="5305"/>
      <c r="BX73" s="5305">
        <f t="shared" si="87"/>
        <v>0</v>
      </c>
      <c r="BY73" s="6456">
        <f t="shared" si="88"/>
        <v>0</v>
      </c>
      <c r="CA73" s="169">
        <f t="shared" si="132"/>
        <v>0</v>
      </c>
      <c r="CB73" s="169">
        <f t="shared" si="142"/>
        <v>-0.16666666666666666</v>
      </c>
      <c r="CC73" s="169">
        <f>IFERROR(
  SUM(
    _xlfn.XLOOKUP(DATE(YEAR($A$1),1,1),$2:$2,73:73):
    _xlfn.XLOOKUP($A$1,$2:$2,73:73)
  )
 -SUM(
    _xlfn.XLOOKUP(DATE(YEAR($A$1)-1,1,1),$2:$2,73:73):
    _xlfn.XLOOKUP(EDATE($A$1,-12),$2:$2,73:73)
  ),"")</f>
        <v>0</v>
      </c>
      <c r="CD73" s="4517">
        <f t="shared" si="133"/>
        <v>0</v>
      </c>
    </row>
    <row r="74" spans="1:82" ht="17.600000000000001" x14ac:dyDescent="0.55000000000000004">
      <c r="A74" s="7383"/>
      <c r="B74" s="2062"/>
      <c r="C74" s="5258" t="s">
        <v>215</v>
      </c>
      <c r="D74" s="5302">
        <f t="shared" si="89"/>
        <v>0</v>
      </c>
      <c r="E74" s="5302">
        <f t="shared" si="89"/>
        <v>0</v>
      </c>
      <c r="F74" s="5302">
        <f t="shared" si="89"/>
        <v>0</v>
      </c>
      <c r="G74" s="5302">
        <f t="shared" si="89"/>
        <v>0</v>
      </c>
      <c r="H74" s="5302">
        <f t="shared" si="89"/>
        <v>0</v>
      </c>
      <c r="I74" s="5302">
        <f t="shared" si="89"/>
        <v>0</v>
      </c>
      <c r="J74" s="5302">
        <f t="shared" si="89"/>
        <v>1</v>
      </c>
      <c r="K74" s="5302">
        <f t="shared" si="89"/>
        <v>0</v>
      </c>
      <c r="L74" s="5302">
        <f t="shared" si="89"/>
        <v>0</v>
      </c>
      <c r="M74" s="5302">
        <f t="shared" si="89"/>
        <v>-1</v>
      </c>
      <c r="N74" s="5302">
        <f t="shared" si="89"/>
        <v>0</v>
      </c>
      <c r="O74" s="5302">
        <f t="shared" si="89"/>
        <v>-1</v>
      </c>
      <c r="P74" s="5302">
        <f t="shared" si="89"/>
        <v>-8.3333333333333329E-2</v>
      </c>
      <c r="Q74" s="5303">
        <f t="shared" si="89"/>
        <v>-8.3333333333333329E-2</v>
      </c>
      <c r="R74" s="5281"/>
      <c r="S74" s="5304">
        <f t="shared" ref="S74:AB74" si="169">S36-S55</f>
        <v>0</v>
      </c>
      <c r="T74" s="5302">
        <f t="shared" si="169"/>
        <v>0</v>
      </c>
      <c r="U74" s="5302">
        <f t="shared" si="169"/>
        <v>0</v>
      </c>
      <c r="V74" s="5302">
        <f t="shared" si="169"/>
        <v>1</v>
      </c>
      <c r="W74" s="5302">
        <f t="shared" si="169"/>
        <v>0</v>
      </c>
      <c r="X74" s="5302">
        <f t="shared" si="169"/>
        <v>0</v>
      </c>
      <c r="Y74" s="5302">
        <f t="shared" si="169"/>
        <v>0</v>
      </c>
      <c r="Z74" s="5302">
        <f t="shared" si="169"/>
        <v>-1</v>
      </c>
      <c r="AA74" s="5302">
        <f t="shared" si="169"/>
        <v>0</v>
      </c>
      <c r="AB74" s="5302">
        <f t="shared" si="169"/>
        <v>0</v>
      </c>
      <c r="AC74" s="5302">
        <f t="shared" si="151"/>
        <v>0</v>
      </c>
      <c r="AD74" s="5302">
        <f t="shared" si="151"/>
        <v>0</v>
      </c>
      <c r="AE74" s="5302">
        <f t="shared" si="151"/>
        <v>0</v>
      </c>
      <c r="AF74" s="5303">
        <f t="shared" si="151"/>
        <v>0</v>
      </c>
      <c r="AG74" s="5281"/>
      <c r="AH74" s="5304">
        <f t="shared" ref="AH74:AM74" si="170">AH36-AH55</f>
        <v>0</v>
      </c>
      <c r="AI74" s="5302">
        <f t="shared" si="170"/>
        <v>0</v>
      </c>
      <c r="AJ74" s="5302">
        <f t="shared" si="170"/>
        <v>0</v>
      </c>
      <c r="AK74" s="5302">
        <f t="shared" si="170"/>
        <v>0</v>
      </c>
      <c r="AL74" s="5302">
        <f t="shared" si="170"/>
        <v>2</v>
      </c>
      <c r="AM74" s="5302">
        <f t="shared" si="170"/>
        <v>0</v>
      </c>
      <c r="AN74" s="5302">
        <v>1</v>
      </c>
      <c r="AO74" s="5302">
        <f t="shared" si="92"/>
        <v>0</v>
      </c>
      <c r="AP74" s="5302">
        <f t="shared" si="92"/>
        <v>0</v>
      </c>
      <c r="AQ74" s="5302">
        <f t="shared" si="92"/>
        <v>0</v>
      </c>
      <c r="AR74" s="5302">
        <f t="shared" si="92"/>
        <v>0</v>
      </c>
      <c r="AS74" s="5302">
        <v>1</v>
      </c>
      <c r="AT74" s="5302">
        <f t="shared" si="36"/>
        <v>4</v>
      </c>
      <c r="AU74" s="5303">
        <f t="shared" si="136"/>
        <v>0.33333333333333331</v>
      </c>
      <c r="AV74" s="559" t="b">
        <v>1</v>
      </c>
      <c r="AW74" s="5304">
        <v>0</v>
      </c>
      <c r="AX74" s="5302">
        <f t="shared" si="93"/>
        <v>-1</v>
      </c>
      <c r="AY74" s="5302">
        <f t="shared" ref="AY74:BB74" si="171">AY36-AY55</f>
        <v>-2</v>
      </c>
      <c r="AZ74" s="5302">
        <f t="shared" si="171"/>
        <v>0</v>
      </c>
      <c r="BA74" s="5302">
        <f t="shared" si="171"/>
        <v>0</v>
      </c>
      <c r="BB74" s="5302">
        <f t="shared" si="171"/>
        <v>-2</v>
      </c>
      <c r="BC74" s="5302">
        <f t="shared" ref="BC74:BD74" si="172">BC36-BC55</f>
        <v>2</v>
      </c>
      <c r="BD74" s="5302">
        <f t="shared" si="172"/>
        <v>0</v>
      </c>
      <c r="BE74" s="5302">
        <f t="shared" ref="BE74:BF74" si="173">BE36-BE55</f>
        <v>0</v>
      </c>
      <c r="BF74" s="5302">
        <f t="shared" si="173"/>
        <v>0</v>
      </c>
      <c r="BG74" s="5302">
        <f t="shared" ref="BG74" si="174">BG36-BG55</f>
        <v>-1</v>
      </c>
      <c r="BH74" s="5302">
        <v>0</v>
      </c>
      <c r="BI74" s="5302">
        <f t="shared" si="86"/>
        <v>-4</v>
      </c>
      <c r="BJ74" s="5303">
        <f t="shared" si="141"/>
        <v>-0.33333333333333331</v>
      </c>
      <c r="BK74" s="559" t="b">
        <v>1</v>
      </c>
      <c r="BL74" s="5304">
        <v>0</v>
      </c>
      <c r="BM74" s="5302">
        <v>0</v>
      </c>
      <c r="BN74" s="5302"/>
      <c r="BO74" s="5302"/>
      <c r="BP74" s="5302"/>
      <c r="BQ74" s="5302"/>
      <c r="BR74" s="5302"/>
      <c r="BS74" s="5302"/>
      <c r="BT74" s="5302"/>
      <c r="BU74" s="5302"/>
      <c r="BV74" s="5302"/>
      <c r="BW74" s="5302"/>
      <c r="BX74" s="5302">
        <f t="shared" si="87"/>
        <v>0</v>
      </c>
      <c r="BY74" s="6455">
        <f t="shared" si="88"/>
        <v>0</v>
      </c>
      <c r="CA74" s="169">
        <f t="shared" si="132"/>
        <v>1</v>
      </c>
      <c r="CB74" s="169">
        <f t="shared" si="142"/>
        <v>-0.66666666666666663</v>
      </c>
      <c r="CC74" s="169">
        <f>IFERROR(
  SUM(
    _xlfn.XLOOKUP(DATE(YEAR($A$1),1,1),$2:$2,74:74):
    _xlfn.XLOOKUP($A$1,$2:$2,74:74)
  )
 -SUM(
    _xlfn.XLOOKUP(DATE(YEAR($A$1)-1,1,1),$2:$2,74:74):
    _xlfn.XLOOKUP(EDATE($A$1,-12),$2:$2,74:74)
  ),"")</f>
        <v>1</v>
      </c>
      <c r="CD74" s="4517">
        <f t="shared" si="133"/>
        <v>0</v>
      </c>
    </row>
    <row r="75" spans="1:82" ht="17.600000000000001" x14ac:dyDescent="0.55000000000000004">
      <c r="A75" s="7383"/>
      <c r="B75" s="2062"/>
      <c r="C75" s="5258" t="s">
        <v>216</v>
      </c>
      <c r="D75" s="5302">
        <f t="shared" si="89"/>
        <v>0</v>
      </c>
      <c r="E75" s="5302">
        <f t="shared" si="89"/>
        <v>0</v>
      </c>
      <c r="F75" s="5302">
        <f t="shared" si="89"/>
        <v>0</v>
      </c>
      <c r="G75" s="5302">
        <f t="shared" si="89"/>
        <v>0</v>
      </c>
      <c r="H75" s="5302">
        <f t="shared" si="89"/>
        <v>0</v>
      </c>
      <c r="I75" s="5302">
        <f t="shared" si="89"/>
        <v>0</v>
      </c>
      <c r="J75" s="5302">
        <f t="shared" si="89"/>
        <v>0</v>
      </c>
      <c r="K75" s="5302">
        <f t="shared" si="89"/>
        <v>0</v>
      </c>
      <c r="L75" s="5302">
        <f t="shared" si="89"/>
        <v>0</v>
      </c>
      <c r="M75" s="5302">
        <f t="shared" si="89"/>
        <v>0</v>
      </c>
      <c r="N75" s="5302">
        <f t="shared" si="89"/>
        <v>0</v>
      </c>
      <c r="O75" s="5302">
        <f t="shared" si="89"/>
        <v>0</v>
      </c>
      <c r="P75" s="5302">
        <f t="shared" si="89"/>
        <v>0</v>
      </c>
      <c r="Q75" s="5303">
        <f t="shared" si="89"/>
        <v>0</v>
      </c>
      <c r="R75" s="5281"/>
      <c r="S75" s="5304">
        <f t="shared" ref="S75:AB75" si="175">S37-S56</f>
        <v>0</v>
      </c>
      <c r="T75" s="5302">
        <f t="shared" si="175"/>
        <v>0</v>
      </c>
      <c r="U75" s="5302">
        <f t="shared" si="175"/>
        <v>0</v>
      </c>
      <c r="V75" s="5302">
        <f t="shared" si="175"/>
        <v>0</v>
      </c>
      <c r="W75" s="5302">
        <f t="shared" si="175"/>
        <v>0</v>
      </c>
      <c r="X75" s="5302">
        <f t="shared" si="175"/>
        <v>0</v>
      </c>
      <c r="Y75" s="5302">
        <f t="shared" si="175"/>
        <v>0</v>
      </c>
      <c r="Z75" s="5302">
        <f t="shared" si="175"/>
        <v>0</v>
      </c>
      <c r="AA75" s="5302">
        <f t="shared" si="175"/>
        <v>0</v>
      </c>
      <c r="AB75" s="5302">
        <f t="shared" si="175"/>
        <v>0</v>
      </c>
      <c r="AC75" s="5302">
        <f t="shared" si="151"/>
        <v>0</v>
      </c>
      <c r="AD75" s="5302">
        <f t="shared" si="151"/>
        <v>0</v>
      </c>
      <c r="AE75" s="5302">
        <f t="shared" si="151"/>
        <v>0</v>
      </c>
      <c r="AF75" s="5303">
        <f t="shared" si="151"/>
        <v>0</v>
      </c>
      <c r="AG75" s="5281"/>
      <c r="AH75" s="5304">
        <f t="shared" ref="AH75:AM75" si="176">AH37-AH56</f>
        <v>0</v>
      </c>
      <c r="AI75" s="5302">
        <f t="shared" si="176"/>
        <v>0</v>
      </c>
      <c r="AJ75" s="5302">
        <f t="shared" si="176"/>
        <v>1</v>
      </c>
      <c r="AK75" s="5302">
        <f t="shared" si="176"/>
        <v>0</v>
      </c>
      <c r="AL75" s="5302">
        <f t="shared" si="176"/>
        <v>0</v>
      </c>
      <c r="AM75" s="5302">
        <f t="shared" si="176"/>
        <v>-1</v>
      </c>
      <c r="AN75" s="5302">
        <v>1</v>
      </c>
      <c r="AO75" s="5302">
        <f t="shared" si="92"/>
        <v>0</v>
      </c>
      <c r="AP75" s="5302">
        <f t="shared" si="92"/>
        <v>0</v>
      </c>
      <c r="AQ75" s="5302">
        <f t="shared" si="92"/>
        <v>0</v>
      </c>
      <c r="AR75" s="5302">
        <f t="shared" si="92"/>
        <v>0</v>
      </c>
      <c r="AS75" s="5302">
        <v>0</v>
      </c>
      <c r="AT75" s="5302">
        <f t="shared" si="36"/>
        <v>1</v>
      </c>
      <c r="AU75" s="5303">
        <f t="shared" si="136"/>
        <v>8.3333333333333329E-2</v>
      </c>
      <c r="AV75" s="559" t="b">
        <v>1</v>
      </c>
      <c r="AW75" s="5304">
        <v>0</v>
      </c>
      <c r="AX75" s="5302">
        <f t="shared" si="93"/>
        <v>0</v>
      </c>
      <c r="AY75" s="5302">
        <f t="shared" ref="AY75:BB75" si="177">AY37-AY56</f>
        <v>0</v>
      </c>
      <c r="AZ75" s="5302">
        <f t="shared" si="177"/>
        <v>0</v>
      </c>
      <c r="BA75" s="5302">
        <f t="shared" si="177"/>
        <v>0</v>
      </c>
      <c r="BB75" s="5302">
        <f t="shared" si="177"/>
        <v>-1</v>
      </c>
      <c r="BC75" s="5302">
        <f t="shared" ref="BC75:BD75" si="178">BC37-BC56</f>
        <v>0</v>
      </c>
      <c r="BD75" s="5302">
        <f t="shared" si="178"/>
        <v>0</v>
      </c>
      <c r="BE75" s="5302">
        <f t="shared" ref="BE75:BF75" si="179">BE37-BE56</f>
        <v>0</v>
      </c>
      <c r="BF75" s="5302">
        <f t="shared" si="179"/>
        <v>0</v>
      </c>
      <c r="BG75" s="5302">
        <f t="shared" ref="BG75" si="180">BG37-BG56</f>
        <v>0</v>
      </c>
      <c r="BH75" s="5302">
        <v>-1</v>
      </c>
      <c r="BI75" s="5302">
        <f t="shared" si="86"/>
        <v>-2</v>
      </c>
      <c r="BJ75" s="5303">
        <f t="shared" si="141"/>
        <v>-0.16666666666666666</v>
      </c>
      <c r="BK75" s="559" t="b">
        <v>1</v>
      </c>
      <c r="BL75" s="5304">
        <v>0</v>
      </c>
      <c r="BM75" s="5302">
        <v>0</v>
      </c>
      <c r="BN75" s="5302"/>
      <c r="BO75" s="5302"/>
      <c r="BP75" s="5302"/>
      <c r="BQ75" s="5302"/>
      <c r="BR75" s="5302"/>
      <c r="BS75" s="5302"/>
      <c r="BT75" s="5302"/>
      <c r="BU75" s="5302"/>
      <c r="BV75" s="5302"/>
      <c r="BW75" s="5302"/>
      <c r="BX75" s="5302">
        <f t="shared" si="87"/>
        <v>0</v>
      </c>
      <c r="BY75" s="6455">
        <f t="shared" si="88"/>
        <v>0</v>
      </c>
      <c r="CA75" s="169">
        <f t="shared" si="132"/>
        <v>0</v>
      </c>
      <c r="CB75" s="169">
        <f t="shared" si="142"/>
        <v>-0.25</v>
      </c>
      <c r="CC75" s="169">
        <f>IFERROR(
  SUM(
    _xlfn.XLOOKUP(DATE(YEAR($A$1),1,1),$2:$2,75:75):
    _xlfn.XLOOKUP($A$1,$2:$2,75:75)
  )
 -SUM(
    _xlfn.XLOOKUP(DATE(YEAR($A$1)-1,1,1),$2:$2,75:75):
    _xlfn.XLOOKUP(EDATE($A$1,-12),$2:$2,75:75)
  ),"")</f>
        <v>0</v>
      </c>
      <c r="CD75" s="4517">
        <f t="shared" si="133"/>
        <v>0</v>
      </c>
    </row>
    <row r="76" spans="1:82" ht="17.600000000000001" x14ac:dyDescent="0.55000000000000004">
      <c r="A76" s="7383"/>
      <c r="B76" s="2062"/>
      <c r="C76" s="5263" t="s">
        <v>217</v>
      </c>
      <c r="D76" s="5305">
        <f t="shared" si="89"/>
        <v>0</v>
      </c>
      <c r="E76" s="5305">
        <f t="shared" si="89"/>
        <v>0</v>
      </c>
      <c r="F76" s="5305">
        <f t="shared" si="89"/>
        <v>1</v>
      </c>
      <c r="G76" s="5305">
        <f t="shared" si="89"/>
        <v>0</v>
      </c>
      <c r="H76" s="5305">
        <f t="shared" si="89"/>
        <v>1</v>
      </c>
      <c r="I76" s="5305">
        <f t="shared" si="89"/>
        <v>-1</v>
      </c>
      <c r="J76" s="5305">
        <f t="shared" si="89"/>
        <v>1</v>
      </c>
      <c r="K76" s="5305">
        <f t="shared" si="89"/>
        <v>-1</v>
      </c>
      <c r="L76" s="5305">
        <f t="shared" si="89"/>
        <v>0</v>
      </c>
      <c r="M76" s="5305">
        <f t="shared" si="89"/>
        <v>0</v>
      </c>
      <c r="N76" s="5305">
        <f t="shared" si="89"/>
        <v>0</v>
      </c>
      <c r="O76" s="5305">
        <f t="shared" si="89"/>
        <v>-1</v>
      </c>
      <c r="P76" s="5305">
        <f t="shared" si="89"/>
        <v>0</v>
      </c>
      <c r="Q76" s="5306">
        <f t="shared" si="89"/>
        <v>0</v>
      </c>
      <c r="R76" s="5281"/>
      <c r="S76" s="5307">
        <f t="shared" ref="S76:AF76" si="181">S38-S57</f>
        <v>1</v>
      </c>
      <c r="T76" s="5305">
        <f t="shared" si="181"/>
        <v>0</v>
      </c>
      <c r="U76" s="5305">
        <f t="shared" si="181"/>
        <v>-1</v>
      </c>
      <c r="V76" s="5305">
        <f t="shared" si="181"/>
        <v>0</v>
      </c>
      <c r="W76" s="5305">
        <f t="shared" si="181"/>
        <v>0</v>
      </c>
      <c r="X76" s="5305">
        <f t="shared" si="181"/>
        <v>0</v>
      </c>
      <c r="Y76" s="5305">
        <f t="shared" si="181"/>
        <v>0</v>
      </c>
      <c r="Z76" s="5305">
        <f t="shared" si="181"/>
        <v>-1</v>
      </c>
      <c r="AA76" s="5305">
        <f t="shared" si="181"/>
        <v>0</v>
      </c>
      <c r="AB76" s="5305">
        <f t="shared" si="181"/>
        <v>0</v>
      </c>
      <c r="AC76" s="5305">
        <f t="shared" si="181"/>
        <v>-1</v>
      </c>
      <c r="AD76" s="5305">
        <f t="shared" si="181"/>
        <v>0</v>
      </c>
      <c r="AE76" s="5305">
        <f t="shared" si="181"/>
        <v>-2</v>
      </c>
      <c r="AF76" s="5306">
        <f t="shared" si="181"/>
        <v>-0.16666666666666669</v>
      </c>
      <c r="AG76" s="5281"/>
      <c r="AH76" s="5307">
        <f t="shared" ref="AH76:AM76" si="182">AH38-AH57</f>
        <v>-1</v>
      </c>
      <c r="AI76" s="5305">
        <f t="shared" si="182"/>
        <v>0</v>
      </c>
      <c r="AJ76" s="5305">
        <f t="shared" si="182"/>
        <v>1</v>
      </c>
      <c r="AK76" s="5305">
        <f t="shared" si="182"/>
        <v>0</v>
      </c>
      <c r="AL76" s="5305">
        <f t="shared" si="182"/>
        <v>1</v>
      </c>
      <c r="AM76" s="5305">
        <f t="shared" si="182"/>
        <v>0</v>
      </c>
      <c r="AN76" s="5305">
        <v>0</v>
      </c>
      <c r="AO76" s="5305">
        <f t="shared" si="92"/>
        <v>0</v>
      </c>
      <c r="AP76" s="5305">
        <f t="shared" si="92"/>
        <v>0</v>
      </c>
      <c r="AQ76" s="5305">
        <f t="shared" si="92"/>
        <v>0</v>
      </c>
      <c r="AR76" s="5305">
        <f t="shared" si="92"/>
        <v>-1</v>
      </c>
      <c r="AS76" s="5305">
        <v>1</v>
      </c>
      <c r="AT76" s="5305">
        <f t="shared" si="36"/>
        <v>1</v>
      </c>
      <c r="AU76" s="5306">
        <f t="shared" si="136"/>
        <v>8.3333333333333329E-2</v>
      </c>
      <c r="AV76" s="559" t="b">
        <v>1</v>
      </c>
      <c r="AW76" s="5307">
        <v>0</v>
      </c>
      <c r="AX76" s="5305">
        <f t="shared" si="93"/>
        <v>-1</v>
      </c>
      <c r="AY76" s="5305">
        <f t="shared" ref="AY76:BB76" si="183">AY38-AY57</f>
        <v>-1</v>
      </c>
      <c r="AZ76" s="5305">
        <f t="shared" si="183"/>
        <v>0</v>
      </c>
      <c r="BA76" s="5305">
        <f t="shared" si="183"/>
        <v>0</v>
      </c>
      <c r="BB76" s="5305">
        <f t="shared" si="183"/>
        <v>0</v>
      </c>
      <c r="BC76" s="5305">
        <f t="shared" ref="BC76:BD76" si="184">BC38-BC57</f>
        <v>0</v>
      </c>
      <c r="BD76" s="5305">
        <f t="shared" si="184"/>
        <v>0</v>
      </c>
      <c r="BE76" s="5305">
        <f t="shared" ref="BE76:BF76" si="185">BE38-BE57</f>
        <v>0</v>
      </c>
      <c r="BF76" s="5305">
        <f t="shared" si="185"/>
        <v>0</v>
      </c>
      <c r="BG76" s="5305">
        <f t="shared" ref="BG76" si="186">BG38-BG57</f>
        <v>0</v>
      </c>
      <c r="BH76" s="5305">
        <v>0</v>
      </c>
      <c r="BI76" s="5305">
        <f t="shared" si="86"/>
        <v>-2</v>
      </c>
      <c r="BJ76" s="5306">
        <f t="shared" si="141"/>
        <v>-0.16666666666666666</v>
      </c>
      <c r="BK76" s="559" t="b">
        <v>1</v>
      </c>
      <c r="BL76" s="5307">
        <v>0</v>
      </c>
      <c r="BM76" s="5305">
        <v>1</v>
      </c>
      <c r="BN76" s="5305"/>
      <c r="BO76" s="5305"/>
      <c r="BP76" s="5305"/>
      <c r="BQ76" s="5305"/>
      <c r="BR76" s="5305"/>
      <c r="BS76" s="5305"/>
      <c r="BT76" s="5305"/>
      <c r="BU76" s="5305"/>
      <c r="BV76" s="5305"/>
      <c r="BW76" s="5305"/>
      <c r="BX76" s="5305">
        <f t="shared" si="87"/>
        <v>1</v>
      </c>
      <c r="BY76" s="6456">
        <f t="shared" si="88"/>
        <v>0.5</v>
      </c>
      <c r="CA76" s="169">
        <f t="shared" si="132"/>
        <v>2</v>
      </c>
      <c r="CB76" s="169">
        <f t="shared" si="142"/>
        <v>-0.25</v>
      </c>
      <c r="CC76" s="169">
        <f>IFERROR(
  SUM(
    _xlfn.XLOOKUP(DATE(YEAR($A$1),1,1),$2:$2,76:76):
    _xlfn.XLOOKUP($A$1,$2:$2,76:76)
  )
 -SUM(
    _xlfn.XLOOKUP(DATE(YEAR($A$1)-1,1,1),$2:$2,76:76):
    _xlfn.XLOOKUP(EDATE($A$1,-12),$2:$2,76:76)
  ),"")</f>
        <v>2</v>
      </c>
      <c r="CD76" s="4517">
        <f t="shared" si="133"/>
        <v>1</v>
      </c>
    </row>
    <row r="77" spans="1:82" ht="17.600000000000001" x14ac:dyDescent="0.55000000000000004">
      <c r="A77" s="7383"/>
      <c r="B77" s="2062"/>
      <c r="C77" s="5263" t="s">
        <v>218</v>
      </c>
      <c r="D77" s="5305">
        <f t="shared" si="89"/>
        <v>0</v>
      </c>
      <c r="E77" s="5305">
        <f t="shared" si="89"/>
        <v>1</v>
      </c>
      <c r="F77" s="5305">
        <f t="shared" si="89"/>
        <v>0</v>
      </c>
      <c r="G77" s="5305">
        <f t="shared" si="89"/>
        <v>1</v>
      </c>
      <c r="H77" s="5305">
        <f t="shared" si="89"/>
        <v>0</v>
      </c>
      <c r="I77" s="5305">
        <f t="shared" si="89"/>
        <v>1</v>
      </c>
      <c r="J77" s="5305">
        <f t="shared" si="89"/>
        <v>-1</v>
      </c>
      <c r="K77" s="5305">
        <f t="shared" si="89"/>
        <v>0</v>
      </c>
      <c r="L77" s="5305">
        <f t="shared" si="89"/>
        <v>1</v>
      </c>
      <c r="M77" s="5305">
        <f t="shared" si="89"/>
        <v>0</v>
      </c>
      <c r="N77" s="5305">
        <f t="shared" si="89"/>
        <v>0</v>
      </c>
      <c r="O77" s="5305">
        <f t="shared" si="89"/>
        <v>0</v>
      </c>
      <c r="P77" s="5305">
        <f t="shared" si="89"/>
        <v>0.25</v>
      </c>
      <c r="Q77" s="5306">
        <f t="shared" si="89"/>
        <v>0.25</v>
      </c>
      <c r="R77" s="5281"/>
      <c r="S77" s="5307">
        <f t="shared" ref="S77:AF77" si="187">S39-S58</f>
        <v>0</v>
      </c>
      <c r="T77" s="5305">
        <f t="shared" si="187"/>
        <v>0</v>
      </c>
      <c r="U77" s="5305">
        <f t="shared" si="187"/>
        <v>-1</v>
      </c>
      <c r="V77" s="5305">
        <f t="shared" si="187"/>
        <v>1</v>
      </c>
      <c r="W77" s="5305">
        <f t="shared" si="187"/>
        <v>0</v>
      </c>
      <c r="X77" s="5305">
        <f t="shared" si="187"/>
        <v>0</v>
      </c>
      <c r="Y77" s="5305">
        <f t="shared" si="187"/>
        <v>-1</v>
      </c>
      <c r="Z77" s="5305">
        <f t="shared" si="187"/>
        <v>0</v>
      </c>
      <c r="AA77" s="5305">
        <f t="shared" si="187"/>
        <v>0</v>
      </c>
      <c r="AB77" s="5305">
        <f t="shared" si="187"/>
        <v>0</v>
      </c>
      <c r="AC77" s="5305">
        <f t="shared" si="187"/>
        <v>0</v>
      </c>
      <c r="AD77" s="5305">
        <f t="shared" si="187"/>
        <v>0</v>
      </c>
      <c r="AE77" s="5305">
        <f t="shared" si="187"/>
        <v>-1</v>
      </c>
      <c r="AF77" s="5306">
        <f t="shared" si="187"/>
        <v>-8.3333333333333329E-2</v>
      </c>
      <c r="AG77" s="5281"/>
      <c r="AH77" s="5307">
        <f t="shared" ref="AH77:AM77" si="188">AH39-AH58</f>
        <v>0</v>
      </c>
      <c r="AI77" s="5305">
        <f t="shared" si="188"/>
        <v>0</v>
      </c>
      <c r="AJ77" s="5305">
        <f t="shared" si="188"/>
        <v>0</v>
      </c>
      <c r="AK77" s="5305">
        <f t="shared" si="188"/>
        <v>-1</v>
      </c>
      <c r="AL77" s="5305">
        <f t="shared" si="188"/>
        <v>0</v>
      </c>
      <c r="AM77" s="5305">
        <f t="shared" si="188"/>
        <v>0</v>
      </c>
      <c r="AN77" s="5305">
        <v>0</v>
      </c>
      <c r="AO77" s="5305">
        <f t="shared" si="92"/>
        <v>-1</v>
      </c>
      <c r="AP77" s="5305">
        <f t="shared" si="92"/>
        <v>0</v>
      </c>
      <c r="AQ77" s="5305">
        <f t="shared" si="92"/>
        <v>0</v>
      </c>
      <c r="AR77" s="5305">
        <f t="shared" si="92"/>
        <v>0</v>
      </c>
      <c r="AS77" s="5305">
        <v>0</v>
      </c>
      <c r="AT77" s="5305">
        <f t="shared" si="36"/>
        <v>-2</v>
      </c>
      <c r="AU77" s="5306">
        <f t="shared" si="136"/>
        <v>-0.16666666666666666</v>
      </c>
      <c r="AV77" s="559" t="b">
        <v>1</v>
      </c>
      <c r="AW77" s="5307">
        <v>-1</v>
      </c>
      <c r="AX77" s="5305">
        <f t="shared" si="93"/>
        <v>0</v>
      </c>
      <c r="AY77" s="5305">
        <f t="shared" ref="AY77:BB77" si="189">AY39-AY58</f>
        <v>0</v>
      </c>
      <c r="AZ77" s="5305">
        <f t="shared" si="189"/>
        <v>0</v>
      </c>
      <c r="BA77" s="5305">
        <f t="shared" si="189"/>
        <v>0</v>
      </c>
      <c r="BB77" s="5305">
        <f t="shared" si="189"/>
        <v>0</v>
      </c>
      <c r="BC77" s="5305">
        <f t="shared" ref="BC77:BD77" si="190">BC39-BC58</f>
        <v>0</v>
      </c>
      <c r="BD77" s="5305">
        <f t="shared" si="190"/>
        <v>0</v>
      </c>
      <c r="BE77" s="5305">
        <f t="shared" ref="BE77:BF77" si="191">BE39-BE58</f>
        <v>0</v>
      </c>
      <c r="BF77" s="5305">
        <f t="shared" si="191"/>
        <v>0</v>
      </c>
      <c r="BG77" s="5305">
        <f t="shared" ref="BG77" si="192">BG39-BG58</f>
        <v>0</v>
      </c>
      <c r="BH77" s="5305">
        <v>0</v>
      </c>
      <c r="BI77" s="5305">
        <f t="shared" si="86"/>
        <v>-1</v>
      </c>
      <c r="BJ77" s="5306">
        <f t="shared" si="141"/>
        <v>-8.3333333333333329E-2</v>
      </c>
      <c r="BK77" s="559" t="b">
        <v>1</v>
      </c>
      <c r="BL77" s="5307">
        <v>0</v>
      </c>
      <c r="BM77" s="5305">
        <v>0</v>
      </c>
      <c r="BN77" s="5305"/>
      <c r="BO77" s="5305"/>
      <c r="BP77" s="5305"/>
      <c r="BQ77" s="5305"/>
      <c r="BR77" s="5305"/>
      <c r="BS77" s="5305"/>
      <c r="BT77" s="5305"/>
      <c r="BU77" s="5305"/>
      <c r="BV77" s="5305"/>
      <c r="BW77" s="5305"/>
      <c r="BX77" s="5305">
        <f t="shared" si="87"/>
        <v>0</v>
      </c>
      <c r="BY77" s="6456">
        <f t="shared" si="88"/>
        <v>0</v>
      </c>
      <c r="CA77" s="169">
        <f t="shared" si="132"/>
        <v>0</v>
      </c>
      <c r="CB77" s="169">
        <f t="shared" si="142"/>
        <v>8.3333333333333329E-2</v>
      </c>
      <c r="CC77" s="169">
        <f>IFERROR(
  SUM(
    _xlfn.XLOOKUP(DATE(YEAR($A$1),1,1),$2:$2,77:77):
    _xlfn.XLOOKUP($A$1,$2:$2,77:77)
  )
 -SUM(
    _xlfn.XLOOKUP(DATE(YEAR($A$1)-1,1,1),$2:$2,77:77):
    _xlfn.XLOOKUP(EDATE($A$1,-12),$2:$2,77:77)
  ),"")</f>
        <v>1</v>
      </c>
      <c r="CD77" s="4517">
        <f t="shared" si="133"/>
        <v>0</v>
      </c>
    </row>
    <row r="78" spans="1:82" ht="17.600000000000001" x14ac:dyDescent="0.55000000000000004">
      <c r="A78" s="7383"/>
      <c r="B78" s="2062"/>
      <c r="C78" s="5258" t="s">
        <v>219</v>
      </c>
      <c r="D78" s="5302">
        <f t="shared" si="89"/>
        <v>0</v>
      </c>
      <c r="E78" s="5302">
        <f t="shared" si="89"/>
        <v>0</v>
      </c>
      <c r="F78" s="5302">
        <f t="shared" si="89"/>
        <v>0</v>
      </c>
      <c r="G78" s="5302">
        <f t="shared" si="89"/>
        <v>1</v>
      </c>
      <c r="H78" s="5302">
        <f t="shared" si="89"/>
        <v>0</v>
      </c>
      <c r="I78" s="5302">
        <f t="shared" si="89"/>
        <v>0</v>
      </c>
      <c r="J78" s="5302">
        <f t="shared" si="89"/>
        <v>0</v>
      </c>
      <c r="K78" s="5302">
        <f t="shared" si="89"/>
        <v>0</v>
      </c>
      <c r="L78" s="5302">
        <f t="shared" si="89"/>
        <v>0</v>
      </c>
      <c r="M78" s="5302">
        <f t="shared" si="89"/>
        <v>0</v>
      </c>
      <c r="N78" s="5302">
        <f t="shared" si="89"/>
        <v>0</v>
      </c>
      <c r="O78" s="5302">
        <f t="shared" si="89"/>
        <v>0</v>
      </c>
      <c r="P78" s="5302">
        <f t="shared" si="89"/>
        <v>8.3333333333333329E-2</v>
      </c>
      <c r="Q78" s="5303">
        <f t="shared" si="89"/>
        <v>8.3333333333333329E-2</v>
      </c>
      <c r="R78" s="5281"/>
      <c r="S78" s="5304">
        <f t="shared" ref="S78:AF78" si="193">S40-S59</f>
        <v>-1</v>
      </c>
      <c r="T78" s="5302">
        <f t="shared" si="193"/>
        <v>0</v>
      </c>
      <c r="U78" s="5302">
        <f t="shared" si="193"/>
        <v>0</v>
      </c>
      <c r="V78" s="5302">
        <f t="shared" si="193"/>
        <v>0</v>
      </c>
      <c r="W78" s="5302">
        <f t="shared" si="193"/>
        <v>0</v>
      </c>
      <c r="X78" s="5302">
        <f t="shared" si="193"/>
        <v>0</v>
      </c>
      <c r="Y78" s="5302">
        <f t="shared" si="193"/>
        <v>0</v>
      </c>
      <c r="Z78" s="5302">
        <f t="shared" si="193"/>
        <v>0</v>
      </c>
      <c r="AA78" s="5302">
        <f t="shared" si="193"/>
        <v>0</v>
      </c>
      <c r="AB78" s="5302">
        <f t="shared" si="193"/>
        <v>0</v>
      </c>
      <c r="AC78" s="5302">
        <f t="shared" si="193"/>
        <v>0</v>
      </c>
      <c r="AD78" s="5302">
        <f t="shared" si="193"/>
        <v>0</v>
      </c>
      <c r="AE78" s="5302">
        <f t="shared" si="193"/>
        <v>-1</v>
      </c>
      <c r="AF78" s="5303">
        <f t="shared" si="193"/>
        <v>-8.3333333333333329E-2</v>
      </c>
      <c r="AG78" s="5281"/>
      <c r="AH78" s="5304">
        <f t="shared" ref="AH78:AM78" si="194">AH40-AH59</f>
        <v>0</v>
      </c>
      <c r="AI78" s="5302">
        <f t="shared" si="194"/>
        <v>0</v>
      </c>
      <c r="AJ78" s="5302">
        <f t="shared" si="194"/>
        <v>0</v>
      </c>
      <c r="AK78" s="5302">
        <f t="shared" si="194"/>
        <v>1</v>
      </c>
      <c r="AL78" s="5302">
        <f t="shared" si="194"/>
        <v>-1</v>
      </c>
      <c r="AM78" s="5302">
        <f t="shared" si="194"/>
        <v>0</v>
      </c>
      <c r="AN78" s="5302">
        <v>0</v>
      </c>
      <c r="AO78" s="5302">
        <f t="shared" si="92"/>
        <v>1</v>
      </c>
      <c r="AP78" s="5302">
        <f t="shared" si="92"/>
        <v>0</v>
      </c>
      <c r="AQ78" s="5302">
        <f t="shared" si="92"/>
        <v>0</v>
      </c>
      <c r="AR78" s="5302">
        <f t="shared" si="92"/>
        <v>1</v>
      </c>
      <c r="AS78" s="5302">
        <v>0</v>
      </c>
      <c r="AT78" s="5302">
        <f t="shared" si="36"/>
        <v>2</v>
      </c>
      <c r="AU78" s="5303">
        <f t="shared" si="136"/>
        <v>0.16666666666666666</v>
      </c>
      <c r="AV78" s="559" t="b">
        <v>1</v>
      </c>
      <c r="AW78" s="5304">
        <v>-1</v>
      </c>
      <c r="AX78" s="5302">
        <f t="shared" si="93"/>
        <v>0</v>
      </c>
      <c r="AY78" s="5302">
        <f t="shared" ref="AY78:BB78" si="195">AY40-AY59</f>
        <v>-1</v>
      </c>
      <c r="AZ78" s="5302">
        <f t="shared" si="195"/>
        <v>0</v>
      </c>
      <c r="BA78" s="5302">
        <f t="shared" si="195"/>
        <v>0</v>
      </c>
      <c r="BB78" s="5302">
        <f t="shared" si="195"/>
        <v>-1</v>
      </c>
      <c r="BC78" s="5302">
        <f t="shared" ref="BC78:BD78" si="196">BC40-BC59</f>
        <v>0</v>
      </c>
      <c r="BD78" s="5302">
        <f t="shared" si="196"/>
        <v>0</v>
      </c>
      <c r="BE78" s="5302">
        <f t="shared" ref="BE78:BF78" si="197">BE40-BE59</f>
        <v>0</v>
      </c>
      <c r="BF78" s="5302">
        <f t="shared" si="197"/>
        <v>0</v>
      </c>
      <c r="BG78" s="5302">
        <f t="shared" ref="BG78" si="198">BG40-BG59</f>
        <v>0</v>
      </c>
      <c r="BH78" s="5302">
        <v>0</v>
      </c>
      <c r="BI78" s="5302">
        <f t="shared" si="86"/>
        <v>-3</v>
      </c>
      <c r="BJ78" s="5303">
        <f t="shared" si="141"/>
        <v>-0.25</v>
      </c>
      <c r="BK78" s="559" t="b">
        <v>1</v>
      </c>
      <c r="BL78" s="5304">
        <v>0</v>
      </c>
      <c r="BM78" s="5302">
        <v>0</v>
      </c>
      <c r="BN78" s="5302"/>
      <c r="BO78" s="5302"/>
      <c r="BP78" s="5302"/>
      <c r="BQ78" s="5302"/>
      <c r="BR78" s="5302"/>
      <c r="BS78" s="5302"/>
      <c r="BT78" s="5302"/>
      <c r="BU78" s="5302"/>
      <c r="BV78" s="5302"/>
      <c r="BW78" s="5302"/>
      <c r="BX78" s="5302">
        <f t="shared" si="87"/>
        <v>0</v>
      </c>
      <c r="BY78" s="6455">
        <f t="shared" si="88"/>
        <v>0</v>
      </c>
      <c r="CA78" s="169">
        <f t="shared" si="132"/>
        <v>0</v>
      </c>
      <c r="CB78" s="169">
        <f t="shared" si="142"/>
        <v>-0.41666666666666663</v>
      </c>
      <c r="CC78" s="169">
        <f>IFERROR(
  SUM(
    _xlfn.XLOOKUP(DATE(YEAR($A$1),1,1),$2:$2,78:78):
    _xlfn.XLOOKUP($A$1,$2:$2,78:78)
  )
 -SUM(
    _xlfn.XLOOKUP(DATE(YEAR($A$1)-1,1,1),$2:$2,78:78):
    _xlfn.XLOOKUP(EDATE($A$1,-12),$2:$2,78:78)
  ),"")</f>
        <v>1</v>
      </c>
      <c r="CD78" s="4517">
        <f t="shared" si="133"/>
        <v>0</v>
      </c>
    </row>
    <row r="79" spans="1:82" ht="18" thickBot="1" x14ac:dyDescent="0.6">
      <c r="A79" s="7384"/>
      <c r="B79" s="5268"/>
      <c r="C79" s="5269" t="s">
        <v>220</v>
      </c>
      <c r="D79" s="5308">
        <f t="shared" si="89"/>
        <v>0</v>
      </c>
      <c r="E79" s="5308">
        <f t="shared" si="89"/>
        <v>0</v>
      </c>
      <c r="F79" s="5308">
        <f t="shared" si="89"/>
        <v>0</v>
      </c>
      <c r="G79" s="5308">
        <f t="shared" si="89"/>
        <v>0</v>
      </c>
      <c r="H79" s="5308">
        <f t="shared" si="89"/>
        <v>0</v>
      </c>
      <c r="I79" s="5308">
        <f t="shared" si="89"/>
        <v>-2</v>
      </c>
      <c r="J79" s="5308">
        <f t="shared" si="89"/>
        <v>1</v>
      </c>
      <c r="K79" s="5308">
        <f t="shared" si="89"/>
        <v>0</v>
      </c>
      <c r="L79" s="5308">
        <f t="shared" si="89"/>
        <v>0</v>
      </c>
      <c r="M79" s="5308">
        <f t="shared" si="89"/>
        <v>0</v>
      </c>
      <c r="N79" s="5308">
        <f t="shared" si="89"/>
        <v>0</v>
      </c>
      <c r="O79" s="5308">
        <f t="shared" si="89"/>
        <v>0</v>
      </c>
      <c r="P79" s="5308">
        <f t="shared" si="89"/>
        <v>-8.3333333333333329E-2</v>
      </c>
      <c r="Q79" s="5309">
        <f t="shared" si="89"/>
        <v>-8.3333333333333329E-2</v>
      </c>
      <c r="R79" s="5281"/>
      <c r="S79" s="5310">
        <f t="shared" ref="S79:AF79" si="199">S41-S60</f>
        <v>1</v>
      </c>
      <c r="T79" s="5308">
        <f t="shared" si="199"/>
        <v>0</v>
      </c>
      <c r="U79" s="5308">
        <f t="shared" si="199"/>
        <v>0</v>
      </c>
      <c r="V79" s="5308">
        <f t="shared" si="199"/>
        <v>-1</v>
      </c>
      <c r="W79" s="5308">
        <f t="shared" si="199"/>
        <v>0</v>
      </c>
      <c r="X79" s="5308">
        <f t="shared" si="199"/>
        <v>0</v>
      </c>
      <c r="Y79" s="5308">
        <f t="shared" si="199"/>
        <v>0</v>
      </c>
      <c r="Z79" s="5308">
        <f t="shared" si="199"/>
        <v>0</v>
      </c>
      <c r="AA79" s="5308">
        <f t="shared" si="199"/>
        <v>0</v>
      </c>
      <c r="AB79" s="5308">
        <f t="shared" si="199"/>
        <v>-1</v>
      </c>
      <c r="AC79" s="5308">
        <f t="shared" si="199"/>
        <v>1</v>
      </c>
      <c r="AD79" s="5308">
        <f t="shared" si="199"/>
        <v>0</v>
      </c>
      <c r="AE79" s="5308">
        <f t="shared" si="199"/>
        <v>0</v>
      </c>
      <c r="AF79" s="5309">
        <f t="shared" si="199"/>
        <v>0</v>
      </c>
      <c r="AG79" s="5281"/>
      <c r="AH79" s="5310">
        <f t="shared" ref="AH79:AM79" si="200">AH41-AH60</f>
        <v>0</v>
      </c>
      <c r="AI79" s="5308">
        <f t="shared" si="200"/>
        <v>0</v>
      </c>
      <c r="AJ79" s="5308">
        <f t="shared" si="200"/>
        <v>0</v>
      </c>
      <c r="AK79" s="5308">
        <f t="shared" si="200"/>
        <v>1</v>
      </c>
      <c r="AL79" s="5308">
        <f t="shared" si="200"/>
        <v>0</v>
      </c>
      <c r="AM79" s="5308">
        <f t="shared" si="200"/>
        <v>1</v>
      </c>
      <c r="AN79" s="5308">
        <v>0</v>
      </c>
      <c r="AO79" s="5308">
        <f t="shared" si="92"/>
        <v>0</v>
      </c>
      <c r="AP79" s="5308">
        <f t="shared" si="92"/>
        <v>0</v>
      </c>
      <c r="AQ79" s="5308">
        <f t="shared" si="92"/>
        <v>0</v>
      </c>
      <c r="AR79" s="5308">
        <f t="shared" si="92"/>
        <v>0</v>
      </c>
      <c r="AS79" s="5308">
        <v>-1</v>
      </c>
      <c r="AT79" s="5308">
        <f t="shared" si="36"/>
        <v>1</v>
      </c>
      <c r="AU79" s="5309">
        <f t="shared" si="136"/>
        <v>8.3333333333333329E-2</v>
      </c>
      <c r="AV79" s="559" t="b">
        <v>1</v>
      </c>
      <c r="AW79" s="5310">
        <v>0</v>
      </c>
      <c r="AX79" s="5308">
        <f t="shared" si="93"/>
        <v>0</v>
      </c>
      <c r="AY79" s="5308">
        <f t="shared" ref="AY79:BB79" si="201">AY41-AY60</f>
        <v>0</v>
      </c>
      <c r="AZ79" s="5308">
        <f t="shared" si="201"/>
        <v>-2</v>
      </c>
      <c r="BA79" s="5308">
        <f t="shared" si="201"/>
        <v>0</v>
      </c>
      <c r="BB79" s="5308">
        <f t="shared" si="201"/>
        <v>0</v>
      </c>
      <c r="BC79" s="5308">
        <f t="shared" ref="BC79:BD79" si="202">BC41-BC60</f>
        <v>0</v>
      </c>
      <c r="BD79" s="5308">
        <f t="shared" si="202"/>
        <v>0</v>
      </c>
      <c r="BE79" s="5308">
        <f t="shared" ref="BE79:BF79" si="203">BE41-BE60</f>
        <v>0</v>
      </c>
      <c r="BF79" s="5308">
        <f t="shared" si="203"/>
        <v>-1</v>
      </c>
      <c r="BG79" s="5308">
        <f t="shared" ref="BG79" si="204">BG41-BG60</f>
        <v>1</v>
      </c>
      <c r="BH79" s="5308">
        <v>0</v>
      </c>
      <c r="BI79" s="5308">
        <f t="shared" si="86"/>
        <v>-2</v>
      </c>
      <c r="BJ79" s="5309">
        <f t="shared" si="141"/>
        <v>-0.16666666666666666</v>
      </c>
      <c r="BK79" s="559" t="b">
        <v>1</v>
      </c>
      <c r="BL79" s="5310">
        <v>0</v>
      </c>
      <c r="BM79" s="5308">
        <v>0</v>
      </c>
      <c r="BN79" s="5308"/>
      <c r="BO79" s="5308"/>
      <c r="BP79" s="5308"/>
      <c r="BQ79" s="5308"/>
      <c r="BR79" s="5308"/>
      <c r="BS79" s="5308"/>
      <c r="BT79" s="5308"/>
      <c r="BU79" s="5308"/>
      <c r="BV79" s="5308"/>
      <c r="BW79" s="5308"/>
      <c r="BX79" s="5308">
        <f t="shared" si="87"/>
        <v>0</v>
      </c>
      <c r="BY79" s="6457">
        <f t="shared" si="88"/>
        <v>0</v>
      </c>
      <c r="CA79" s="169">
        <f t="shared" si="132"/>
        <v>0</v>
      </c>
      <c r="CB79" s="169">
        <f t="shared" ref="CB79:CB142" si="205">BJ79-AU79</f>
        <v>-0.25</v>
      </c>
      <c r="CC79" s="169">
        <f>IFERROR(
  SUM(
    _xlfn.XLOOKUP(DATE(YEAR($A$1),1,1),$2:$2,79:79):
    _xlfn.XLOOKUP($A$1,$2:$2,79:79)
  )
 -SUM(
    _xlfn.XLOOKUP(DATE(YEAR($A$1)-1,1,1),$2:$2,79:79):
    _xlfn.XLOOKUP(EDATE($A$1,-12),$2:$2,79:79)
  ),"")</f>
        <v>0</v>
      </c>
      <c r="CD79" s="4517">
        <f t="shared" si="133"/>
        <v>0</v>
      </c>
    </row>
    <row r="80" spans="1:82" ht="3.65" customHeight="1" thickBot="1" x14ac:dyDescent="0.6">
      <c r="D80" s="2843"/>
      <c r="E80" s="2843"/>
      <c r="F80" s="2843"/>
      <c r="G80" s="2843"/>
      <c r="H80" s="2843"/>
      <c r="I80" s="2843"/>
      <c r="J80" s="2843"/>
      <c r="K80" s="2843"/>
      <c r="L80" s="2843"/>
      <c r="M80" s="2843"/>
      <c r="N80" s="2843"/>
      <c r="O80" s="2843"/>
      <c r="P80" s="2843"/>
      <c r="Q80" s="2843"/>
      <c r="R80" s="2776"/>
      <c r="S80" s="2843"/>
      <c r="T80" s="2843"/>
      <c r="U80" s="2843"/>
      <c r="V80" s="2843"/>
      <c r="W80" s="2843"/>
      <c r="X80" s="2843"/>
      <c r="Y80" s="2843"/>
      <c r="Z80" s="2843"/>
      <c r="AA80" s="2843"/>
      <c r="AB80" s="2843"/>
      <c r="AC80" s="2843"/>
      <c r="AD80" s="2843"/>
      <c r="AE80" s="2843"/>
      <c r="AF80" s="2843"/>
      <c r="AG80" s="2776"/>
      <c r="AH80" s="2843"/>
      <c r="AI80" s="2843"/>
      <c r="AJ80" s="2843"/>
      <c r="AK80" s="2843"/>
      <c r="AL80" s="2843"/>
      <c r="AM80" s="2843"/>
      <c r="AN80" s="2843"/>
      <c r="AO80" s="2843"/>
      <c r="AP80" s="2843"/>
      <c r="AQ80" s="2843"/>
      <c r="AR80" s="2843"/>
      <c r="AS80" s="2843"/>
      <c r="AT80" s="2843">
        <f t="shared" si="36"/>
        <v>0</v>
      </c>
      <c r="AU80" s="2843">
        <f t="shared" si="136"/>
        <v>0</v>
      </c>
      <c r="AW80" s="2843"/>
      <c r="AX80" s="2843"/>
      <c r="AY80" s="2843"/>
      <c r="AZ80" s="2843"/>
      <c r="BA80" s="2843"/>
      <c r="BB80" s="2843"/>
      <c r="BC80" s="2843"/>
      <c r="BD80" s="2843"/>
      <c r="BE80" s="2843"/>
      <c r="BF80" s="2843"/>
      <c r="BG80" s="2843"/>
      <c r="BH80" s="2843"/>
      <c r="BI80" s="2843"/>
      <c r="BJ80" s="2843" t="e">
        <f t="shared" si="141"/>
        <v>#DIV/0!</v>
      </c>
      <c r="BL80" s="2843"/>
      <c r="BM80" s="2843"/>
      <c r="BN80" s="2843"/>
      <c r="BO80" s="2843"/>
      <c r="BP80" s="2843"/>
      <c r="BQ80" s="2843"/>
      <c r="BR80" s="2843"/>
      <c r="BS80" s="2843"/>
      <c r="BT80" s="2843"/>
      <c r="BU80" s="2843"/>
      <c r="BV80" s="2843"/>
      <c r="BW80" s="2843"/>
      <c r="BX80" s="2843"/>
      <c r="CA80" s="169">
        <f t="shared" si="132"/>
        <v>0</v>
      </c>
      <c r="CB80" s="169" t="e">
        <f t="shared" si="205"/>
        <v>#DIV/0!</v>
      </c>
      <c r="CC80" s="169">
        <f>IFERROR(
  SUM(
    _xlfn.XLOOKUP(DATE(YEAR($A$1),1,1),$2:$2,80:80):
    _xlfn.XLOOKUP($A$1,$2:$2,80:80)
  )
 -SUM(
    _xlfn.XLOOKUP(DATE(YEAR($A$1)-1,1,1),$2:$2,80:80):
    _xlfn.XLOOKUP(EDATE($A$1,-12),$2:$2,80:80)
  ),"")</f>
        <v>0</v>
      </c>
      <c r="CD80" s="4517">
        <f t="shared" si="133"/>
        <v>0</v>
      </c>
    </row>
    <row r="81" spans="1:82" ht="17.600000000000001" x14ac:dyDescent="0.55000000000000004">
      <c r="A81" s="7382" t="s">
        <v>378</v>
      </c>
      <c r="B81" s="857" t="s">
        <v>242</v>
      </c>
      <c r="C81" s="858"/>
      <c r="D81" s="5236">
        <f t="shared" ref="D81:O81" si="206">SUM(D82:D84)</f>
        <v>0</v>
      </c>
      <c r="E81" s="5237">
        <f t="shared" si="206"/>
        <v>0</v>
      </c>
      <c r="F81" s="5237">
        <f t="shared" si="206"/>
        <v>0</v>
      </c>
      <c r="G81" s="5237">
        <f t="shared" si="206"/>
        <v>0</v>
      </c>
      <c r="H81" s="5237">
        <f t="shared" si="206"/>
        <v>0</v>
      </c>
      <c r="I81" s="5237">
        <f t="shared" si="206"/>
        <v>0</v>
      </c>
      <c r="J81" s="5237">
        <f t="shared" si="206"/>
        <v>0</v>
      </c>
      <c r="K81" s="5237">
        <f t="shared" si="206"/>
        <v>0</v>
      </c>
      <c r="L81" s="5237">
        <f t="shared" si="206"/>
        <v>0</v>
      </c>
      <c r="M81" s="5237">
        <f t="shared" si="206"/>
        <v>0</v>
      </c>
      <c r="N81" s="5237">
        <f t="shared" si="206"/>
        <v>0</v>
      </c>
      <c r="O81" s="5237">
        <f t="shared" si="206"/>
        <v>0</v>
      </c>
      <c r="P81" s="5237">
        <f>SUM(D81:O81)</f>
        <v>0</v>
      </c>
      <c r="Q81" s="5238">
        <f>P81/12</f>
        <v>0</v>
      </c>
      <c r="R81" s="2776"/>
      <c r="S81" s="5236">
        <f t="shared" ref="S81:AD81" si="207">SUM(S82:S84)</f>
        <v>0</v>
      </c>
      <c r="T81" s="5237">
        <f t="shared" si="207"/>
        <v>0</v>
      </c>
      <c r="U81" s="5237">
        <f t="shared" si="207"/>
        <v>0</v>
      </c>
      <c r="V81" s="5237">
        <f t="shared" si="207"/>
        <v>0</v>
      </c>
      <c r="W81" s="5237">
        <f t="shared" si="207"/>
        <v>0</v>
      </c>
      <c r="X81" s="5237">
        <f t="shared" si="207"/>
        <v>0</v>
      </c>
      <c r="Y81" s="5237">
        <f t="shared" si="207"/>
        <v>0</v>
      </c>
      <c r="Z81" s="5237">
        <f t="shared" si="207"/>
        <v>0</v>
      </c>
      <c r="AA81" s="5237">
        <f t="shared" si="207"/>
        <v>0</v>
      </c>
      <c r="AB81" s="5237">
        <f t="shared" si="207"/>
        <v>0</v>
      </c>
      <c r="AC81" s="5237">
        <f t="shared" si="207"/>
        <v>0</v>
      </c>
      <c r="AD81" s="5237">
        <f t="shared" si="207"/>
        <v>0</v>
      </c>
      <c r="AE81" s="5237">
        <f>SUM(S81:AD81)</f>
        <v>0</v>
      </c>
      <c r="AF81" s="5238">
        <f>AE81/12</f>
        <v>0</v>
      </c>
      <c r="AG81" s="2776"/>
      <c r="AH81" s="5236">
        <f t="shared" ref="AH81:AM81" si="208">SUM(AH82:AH84)</f>
        <v>1050</v>
      </c>
      <c r="AI81" s="5237">
        <f t="shared" si="208"/>
        <v>1050</v>
      </c>
      <c r="AJ81" s="5237">
        <f t="shared" si="208"/>
        <v>1073</v>
      </c>
      <c r="AK81" s="5237">
        <f t="shared" si="208"/>
        <v>1080</v>
      </c>
      <c r="AL81" s="5237">
        <f t="shared" si="208"/>
        <v>1093</v>
      </c>
      <c r="AM81" s="5237">
        <f t="shared" si="208"/>
        <v>1107</v>
      </c>
      <c r="AN81" s="5237">
        <f>SUM(AN82:AN84)</f>
        <v>1108</v>
      </c>
      <c r="AO81" s="5237">
        <v>1080</v>
      </c>
      <c r="AP81" s="5237">
        <f>SUM(AP82:AP84)</f>
        <v>1116</v>
      </c>
      <c r="AQ81" s="5237">
        <f>SUM(AQ82:AQ84)</f>
        <v>1116</v>
      </c>
      <c r="AR81" s="5237">
        <v>1108</v>
      </c>
      <c r="AS81" s="5237">
        <v>1123</v>
      </c>
      <c r="AT81" s="5237">
        <f t="shared" si="36"/>
        <v>13104</v>
      </c>
      <c r="AU81" s="5238">
        <f t="shared" si="136"/>
        <v>1092</v>
      </c>
      <c r="AW81" s="5236">
        <v>1110</v>
      </c>
      <c r="AX81" s="5237">
        <v>1098</v>
      </c>
      <c r="AY81" s="5237">
        <v>1080</v>
      </c>
      <c r="AZ81" s="5237">
        <v>1074</v>
      </c>
      <c r="BA81" s="5237">
        <v>1070</v>
      </c>
      <c r="BB81" s="5237">
        <v>1052</v>
      </c>
      <c r="BC81" s="5237">
        <v>1059</v>
      </c>
      <c r="BD81" s="5237">
        <v>1058</v>
      </c>
      <c r="BE81" s="5237">
        <v>1060</v>
      </c>
      <c r="BF81" s="5237">
        <v>1057</v>
      </c>
      <c r="BG81" s="5237">
        <v>1057</v>
      </c>
      <c r="BH81" s="5237">
        <v>1049</v>
      </c>
      <c r="BI81" s="5237">
        <f t="shared" ref="BI81:BI137" si="209">SUM(AW81:BH81)</f>
        <v>12824</v>
      </c>
      <c r="BJ81" s="5238">
        <f t="shared" si="141"/>
        <v>1068.6666666666667</v>
      </c>
      <c r="BL81" s="5239">
        <v>1057</v>
      </c>
      <c r="BM81" s="5237">
        <v>1066</v>
      </c>
      <c r="BN81" s="5237"/>
      <c r="BO81" s="5237"/>
      <c r="BP81" s="5237"/>
      <c r="BQ81" s="5237"/>
      <c r="BR81" s="5237"/>
      <c r="BS81" s="5237"/>
      <c r="BT81" s="5237"/>
      <c r="BU81" s="5237"/>
      <c r="BV81" s="5237"/>
      <c r="BW81" s="5237"/>
      <c r="BX81" s="5237">
        <f t="shared" ref="BX81:BX137" si="210">SUM(BL81:BW81)</f>
        <v>2123</v>
      </c>
      <c r="BY81" s="5238">
        <f t="shared" ref="BY81:BY112" si="211">SUM(BL81:BW81)/MONTH($A$1)</f>
        <v>1061.5</v>
      </c>
      <c r="CA81" s="169">
        <f t="shared" si="132"/>
        <v>-32</v>
      </c>
      <c r="CB81" s="169">
        <f t="shared" si="205"/>
        <v>-23.333333333333258</v>
      </c>
      <c r="CC81" s="169">
        <f>IFERROR(
  SUM(
    _xlfn.XLOOKUP(DATE(YEAR($A$1),1,1),$2:$2,81:81):
    _xlfn.XLOOKUP($A$1,$2:$2,81:81)
  )
 -SUM(
    _xlfn.XLOOKUP(DATE(YEAR($A$1)-1,1,1),$2:$2,81:81):
    _xlfn.XLOOKUP(EDATE($A$1,-12),$2:$2,81:81)
  ),"")</f>
        <v>-85</v>
      </c>
      <c r="CD81" s="4517">
        <f t="shared" si="133"/>
        <v>9</v>
      </c>
    </row>
    <row r="82" spans="1:82" ht="17.600000000000001" x14ac:dyDescent="0.55000000000000004">
      <c r="A82" s="7383"/>
      <c r="B82" s="1168"/>
      <c r="C82" s="1534" t="s">
        <v>243</v>
      </c>
      <c r="D82" s="5240">
        <v>0</v>
      </c>
      <c r="E82" s="4451">
        <v>0</v>
      </c>
      <c r="F82" s="4451">
        <v>0</v>
      </c>
      <c r="G82" s="4451">
        <v>0</v>
      </c>
      <c r="H82" s="4451">
        <v>0</v>
      </c>
      <c r="I82" s="4451">
        <v>0</v>
      </c>
      <c r="J82" s="4451">
        <v>0</v>
      </c>
      <c r="K82" s="4451">
        <v>0</v>
      </c>
      <c r="L82" s="4451">
        <v>0</v>
      </c>
      <c r="M82" s="4451">
        <v>0</v>
      </c>
      <c r="N82" s="4451">
        <v>0</v>
      </c>
      <c r="O82" s="4451">
        <v>0</v>
      </c>
      <c r="P82" s="4451">
        <f t="shared" ref="P82:P99" si="212">SUM(D82:O82)</f>
        <v>0</v>
      </c>
      <c r="Q82" s="5241">
        <f t="shared" ref="Q82:Q99" si="213">P82/12</f>
        <v>0</v>
      </c>
      <c r="R82" s="2776">
        <v>0</v>
      </c>
      <c r="S82" s="5240">
        <v>0</v>
      </c>
      <c r="T82" s="4451">
        <v>0</v>
      </c>
      <c r="U82" s="4451">
        <v>0</v>
      </c>
      <c r="V82" s="4451">
        <v>0</v>
      </c>
      <c r="W82" s="4451">
        <v>0</v>
      </c>
      <c r="X82" s="4451">
        <v>0</v>
      </c>
      <c r="Y82" s="4451">
        <v>0</v>
      </c>
      <c r="Z82" s="4451">
        <v>0</v>
      </c>
      <c r="AA82" s="4451">
        <v>0</v>
      </c>
      <c r="AB82" s="4451">
        <v>0</v>
      </c>
      <c r="AC82" s="4451">
        <v>0</v>
      </c>
      <c r="AD82" s="4451">
        <v>0</v>
      </c>
      <c r="AE82" s="4451">
        <f t="shared" ref="AE82:AE99" si="214">SUM(S82:AD82)</f>
        <v>0</v>
      </c>
      <c r="AF82" s="5241">
        <f t="shared" ref="AF82:AF99" si="215">AE82/12</f>
        <v>0</v>
      </c>
      <c r="AG82" s="2776"/>
      <c r="AH82" s="5240">
        <v>8</v>
      </c>
      <c r="AI82" s="4451">
        <v>8</v>
      </c>
      <c r="AJ82" s="4451">
        <v>8</v>
      </c>
      <c r="AK82" s="4451">
        <v>8</v>
      </c>
      <c r="AL82" s="4451">
        <v>8</v>
      </c>
      <c r="AM82" s="4451">
        <v>8</v>
      </c>
      <c r="AN82" s="4451">
        <v>8</v>
      </c>
      <c r="AO82" s="4451">
        <v>8</v>
      </c>
      <c r="AP82" s="4451">
        <v>8</v>
      </c>
      <c r="AQ82" s="4451">
        <v>8</v>
      </c>
      <c r="AR82" s="4451">
        <v>8</v>
      </c>
      <c r="AS82" s="4451">
        <v>8</v>
      </c>
      <c r="AT82" s="4451">
        <f t="shared" si="36"/>
        <v>96</v>
      </c>
      <c r="AU82" s="5241">
        <f t="shared" si="136"/>
        <v>8</v>
      </c>
      <c r="AW82" s="5240">
        <v>8</v>
      </c>
      <c r="AX82" s="4451">
        <v>8</v>
      </c>
      <c r="AY82" s="4451">
        <v>8</v>
      </c>
      <c r="AZ82" s="4451">
        <v>8</v>
      </c>
      <c r="BA82" s="4451">
        <v>8</v>
      </c>
      <c r="BB82" s="4451">
        <v>8</v>
      </c>
      <c r="BC82" s="4451">
        <v>8</v>
      </c>
      <c r="BD82" s="4451">
        <v>8</v>
      </c>
      <c r="BE82" s="4451">
        <v>8</v>
      </c>
      <c r="BF82" s="4451">
        <v>8</v>
      </c>
      <c r="BG82" s="4451">
        <v>8</v>
      </c>
      <c r="BH82" s="4451">
        <v>8</v>
      </c>
      <c r="BI82" s="4451">
        <f t="shared" si="209"/>
        <v>96</v>
      </c>
      <c r="BJ82" s="5241">
        <f t="shared" si="141"/>
        <v>8</v>
      </c>
      <c r="BL82" s="5242">
        <v>8</v>
      </c>
      <c r="BM82" s="4451">
        <v>8</v>
      </c>
      <c r="BN82" s="4451"/>
      <c r="BO82" s="4451"/>
      <c r="BP82" s="4451"/>
      <c r="BQ82" s="4451"/>
      <c r="BR82" s="4451"/>
      <c r="BS82" s="4451"/>
      <c r="BT82" s="4451"/>
      <c r="BU82" s="4451"/>
      <c r="BV82" s="4451"/>
      <c r="BW82" s="4451"/>
      <c r="BX82" s="4451">
        <f t="shared" si="210"/>
        <v>16</v>
      </c>
      <c r="BY82" s="5241">
        <f t="shared" si="211"/>
        <v>8</v>
      </c>
      <c r="CA82" s="169">
        <f t="shared" si="132"/>
        <v>0</v>
      </c>
      <c r="CB82" s="169">
        <f t="shared" si="205"/>
        <v>0</v>
      </c>
      <c r="CC82" s="169">
        <f>IFERROR(
  SUM(
    _xlfn.XLOOKUP(DATE(YEAR($A$1),1,1),$2:$2,82:82):
    _xlfn.XLOOKUP($A$1,$2:$2,82:82)
  )
 -SUM(
    _xlfn.XLOOKUP(DATE(YEAR($A$1)-1,1,1),$2:$2,82:82):
    _xlfn.XLOOKUP(EDATE($A$1,-12),$2:$2,82:82)
  ),"")</f>
        <v>0</v>
      </c>
      <c r="CD82" s="4517">
        <f t="shared" si="133"/>
        <v>0</v>
      </c>
    </row>
    <row r="83" spans="1:82" ht="17.600000000000001" x14ac:dyDescent="0.55000000000000004">
      <c r="A83" s="7383"/>
      <c r="B83" s="1168"/>
      <c r="C83" s="1534" t="s">
        <v>245</v>
      </c>
      <c r="D83" s="5240">
        <v>0</v>
      </c>
      <c r="E83" s="4451">
        <v>0</v>
      </c>
      <c r="F83" s="4451">
        <v>0</v>
      </c>
      <c r="G83" s="4451">
        <v>0</v>
      </c>
      <c r="H83" s="4451">
        <v>0</v>
      </c>
      <c r="I83" s="4451">
        <v>0</v>
      </c>
      <c r="J83" s="4451">
        <v>0</v>
      </c>
      <c r="K83" s="4451">
        <v>0</v>
      </c>
      <c r="L83" s="4451">
        <v>0</v>
      </c>
      <c r="M83" s="4451">
        <v>0</v>
      </c>
      <c r="N83" s="4451">
        <v>0</v>
      </c>
      <c r="O83" s="4451">
        <v>0</v>
      </c>
      <c r="P83" s="4451">
        <f t="shared" si="212"/>
        <v>0</v>
      </c>
      <c r="Q83" s="5241">
        <f t="shared" si="213"/>
        <v>0</v>
      </c>
      <c r="R83" s="2776">
        <v>0</v>
      </c>
      <c r="S83" s="5240">
        <v>0</v>
      </c>
      <c r="T83" s="4451">
        <v>0</v>
      </c>
      <c r="U83" s="4451">
        <v>0</v>
      </c>
      <c r="V83" s="4451">
        <v>0</v>
      </c>
      <c r="W83" s="4451">
        <v>0</v>
      </c>
      <c r="X83" s="4451">
        <v>0</v>
      </c>
      <c r="Y83" s="4451">
        <v>0</v>
      </c>
      <c r="Z83" s="4451">
        <v>0</v>
      </c>
      <c r="AA83" s="4451">
        <v>0</v>
      </c>
      <c r="AB83" s="4451">
        <v>0</v>
      </c>
      <c r="AC83" s="4451">
        <v>0</v>
      </c>
      <c r="AD83" s="4451">
        <v>0</v>
      </c>
      <c r="AE83" s="4451">
        <f t="shared" si="214"/>
        <v>0</v>
      </c>
      <c r="AF83" s="5241">
        <f t="shared" si="215"/>
        <v>0</v>
      </c>
      <c r="AG83" s="2776"/>
      <c r="AH83" s="5240">
        <v>1004</v>
      </c>
      <c r="AI83" s="4451">
        <v>1004</v>
      </c>
      <c r="AJ83" s="4451">
        <v>1027</v>
      </c>
      <c r="AK83" s="4451">
        <v>1034</v>
      </c>
      <c r="AL83" s="4451">
        <v>1051</v>
      </c>
      <c r="AM83" s="4451">
        <v>1065</v>
      </c>
      <c r="AN83" s="4451">
        <v>1066</v>
      </c>
      <c r="AO83" s="4451">
        <v>1038</v>
      </c>
      <c r="AP83" s="4451">
        <v>1074</v>
      </c>
      <c r="AQ83" s="4451">
        <v>1074</v>
      </c>
      <c r="AR83" s="4451">
        <f>AR81-AR82-AR84</f>
        <v>1066</v>
      </c>
      <c r="AS83" s="4451">
        <f>AS81-AS82-AS84</f>
        <v>1081</v>
      </c>
      <c r="AT83" s="4451">
        <f t="shared" si="36"/>
        <v>12584</v>
      </c>
      <c r="AU83" s="5241">
        <f t="shared" si="136"/>
        <v>1048.6666666666667</v>
      </c>
      <c r="AW83" s="5240">
        <v>1074</v>
      </c>
      <c r="AX83" s="4451">
        <v>1062</v>
      </c>
      <c r="AY83" s="4451">
        <v>1051</v>
      </c>
      <c r="AZ83" s="4451">
        <v>1044</v>
      </c>
      <c r="BA83" s="4451">
        <v>1040</v>
      </c>
      <c r="BB83" s="4451">
        <v>1022</v>
      </c>
      <c r="BC83" s="4451">
        <v>1029</v>
      </c>
      <c r="BD83" s="4451">
        <v>1028</v>
      </c>
      <c r="BE83" s="4451">
        <v>1024</v>
      </c>
      <c r="BF83" s="4451">
        <v>1021</v>
      </c>
      <c r="BG83" s="4451">
        <v>1021</v>
      </c>
      <c r="BH83" s="4451">
        <v>1013</v>
      </c>
      <c r="BI83" s="4451">
        <f t="shared" si="209"/>
        <v>12429</v>
      </c>
      <c r="BJ83" s="5241">
        <f t="shared" si="141"/>
        <v>1035.75</v>
      </c>
      <c r="BL83" s="5242">
        <v>1021</v>
      </c>
      <c r="BM83" s="4451">
        <v>1030</v>
      </c>
      <c r="BN83" s="4451"/>
      <c r="BO83" s="4451"/>
      <c r="BP83" s="4451"/>
      <c r="BQ83" s="4451"/>
      <c r="BR83" s="4451"/>
      <c r="BS83" s="4451"/>
      <c r="BT83" s="4451"/>
      <c r="BU83" s="4451"/>
      <c r="BV83" s="4451"/>
      <c r="BW83" s="4451"/>
      <c r="BX83" s="4451">
        <f t="shared" si="210"/>
        <v>2051</v>
      </c>
      <c r="BY83" s="5241">
        <f t="shared" si="211"/>
        <v>1025.5</v>
      </c>
      <c r="CA83" s="169">
        <f t="shared" si="132"/>
        <v>-32</v>
      </c>
      <c r="CB83" s="169">
        <f t="shared" si="205"/>
        <v>-12.916666666666742</v>
      </c>
      <c r="CC83" s="169">
        <f>IFERROR(
  SUM(
    _xlfn.XLOOKUP(DATE(YEAR($A$1),1,1),$2:$2,83:83):
    _xlfn.XLOOKUP($A$1,$2:$2,83:83)
  )
 -SUM(
    _xlfn.XLOOKUP(DATE(YEAR($A$1)-1,1,1),$2:$2,83:83):
    _xlfn.XLOOKUP(EDATE($A$1,-12),$2:$2,83:83)
  ),"")</f>
        <v>-85</v>
      </c>
      <c r="CD83" s="4517">
        <f t="shared" si="133"/>
        <v>9</v>
      </c>
    </row>
    <row r="84" spans="1:82" ht="17.600000000000001" x14ac:dyDescent="0.55000000000000004">
      <c r="A84" s="7383"/>
      <c r="B84" s="1168"/>
      <c r="C84" s="1534" t="s">
        <v>244</v>
      </c>
      <c r="D84" s="5240">
        <v>0</v>
      </c>
      <c r="E84" s="4451">
        <v>0</v>
      </c>
      <c r="F84" s="4451">
        <v>0</v>
      </c>
      <c r="G84" s="4451">
        <v>0</v>
      </c>
      <c r="H84" s="4451">
        <v>0</v>
      </c>
      <c r="I84" s="4451">
        <v>0</v>
      </c>
      <c r="J84" s="4451">
        <v>0</v>
      </c>
      <c r="K84" s="4451">
        <v>0</v>
      </c>
      <c r="L84" s="4451">
        <v>0</v>
      </c>
      <c r="M84" s="4451">
        <v>0</v>
      </c>
      <c r="N84" s="4451">
        <v>0</v>
      </c>
      <c r="O84" s="4451">
        <v>0</v>
      </c>
      <c r="P84" s="4451">
        <f t="shared" si="212"/>
        <v>0</v>
      </c>
      <c r="Q84" s="5241">
        <f t="shared" si="213"/>
        <v>0</v>
      </c>
      <c r="R84" s="2776">
        <v>0</v>
      </c>
      <c r="S84" s="5240">
        <v>0</v>
      </c>
      <c r="T84" s="4451">
        <v>0</v>
      </c>
      <c r="U84" s="4451">
        <v>0</v>
      </c>
      <c r="V84" s="4451">
        <v>0</v>
      </c>
      <c r="W84" s="4451">
        <v>0</v>
      </c>
      <c r="X84" s="4451">
        <v>0</v>
      </c>
      <c r="Y84" s="4451">
        <v>0</v>
      </c>
      <c r="Z84" s="4451">
        <v>0</v>
      </c>
      <c r="AA84" s="4451">
        <v>0</v>
      </c>
      <c r="AB84" s="4451">
        <v>0</v>
      </c>
      <c r="AC84" s="4451">
        <v>0</v>
      </c>
      <c r="AD84" s="4451">
        <v>0</v>
      </c>
      <c r="AE84" s="4451">
        <f t="shared" si="214"/>
        <v>0</v>
      </c>
      <c r="AF84" s="5241">
        <f t="shared" si="215"/>
        <v>0</v>
      </c>
      <c r="AG84" s="2776"/>
      <c r="AH84" s="5240">
        <v>38</v>
      </c>
      <c r="AI84" s="4451">
        <v>38</v>
      </c>
      <c r="AJ84" s="4451">
        <v>38</v>
      </c>
      <c r="AK84" s="4451">
        <v>38</v>
      </c>
      <c r="AL84" s="4451">
        <v>34</v>
      </c>
      <c r="AM84" s="4451">
        <v>34</v>
      </c>
      <c r="AN84" s="4451">
        <v>34</v>
      </c>
      <c r="AO84" s="4451">
        <v>34</v>
      </c>
      <c r="AP84" s="4451">
        <v>34</v>
      </c>
      <c r="AQ84" s="4451">
        <v>34</v>
      </c>
      <c r="AR84" s="4451">
        <v>34</v>
      </c>
      <c r="AS84" s="4451">
        <v>34</v>
      </c>
      <c r="AT84" s="4451">
        <f t="shared" si="36"/>
        <v>424</v>
      </c>
      <c r="AU84" s="5241">
        <f t="shared" si="136"/>
        <v>35.333333333333336</v>
      </c>
      <c r="AW84" s="5240">
        <v>28</v>
      </c>
      <c r="AX84" s="4451">
        <v>28</v>
      </c>
      <c r="AY84" s="4451">
        <v>21</v>
      </c>
      <c r="AZ84" s="4451">
        <v>22</v>
      </c>
      <c r="BA84" s="4451">
        <v>22</v>
      </c>
      <c r="BB84" s="4451">
        <v>22</v>
      </c>
      <c r="BC84" s="4451">
        <v>22</v>
      </c>
      <c r="BD84" s="4451">
        <v>22</v>
      </c>
      <c r="BE84" s="4451">
        <v>28</v>
      </c>
      <c r="BF84" s="4451">
        <v>28</v>
      </c>
      <c r="BG84" s="4451">
        <v>28</v>
      </c>
      <c r="BH84" s="4451">
        <v>28</v>
      </c>
      <c r="BI84" s="4451">
        <f t="shared" si="209"/>
        <v>299</v>
      </c>
      <c r="BJ84" s="5241">
        <f t="shared" si="141"/>
        <v>24.916666666666668</v>
      </c>
      <c r="BL84" s="5242">
        <v>28</v>
      </c>
      <c r="BM84" s="4451">
        <v>28</v>
      </c>
      <c r="BN84" s="4451"/>
      <c r="BO84" s="4451"/>
      <c r="BP84" s="4451"/>
      <c r="BQ84" s="4451"/>
      <c r="BR84" s="4451"/>
      <c r="BS84" s="4451"/>
      <c r="BT84" s="4451"/>
      <c r="BU84" s="4451"/>
      <c r="BV84" s="4451"/>
      <c r="BW84" s="4451"/>
      <c r="BX84" s="4451">
        <f t="shared" si="210"/>
        <v>56</v>
      </c>
      <c r="BY84" s="5241">
        <f t="shared" si="211"/>
        <v>28</v>
      </c>
      <c r="CA84" s="169">
        <f t="shared" si="132"/>
        <v>0</v>
      </c>
      <c r="CB84" s="169">
        <f t="shared" si="205"/>
        <v>-10.416666666666668</v>
      </c>
      <c r="CC84" s="169">
        <f>IFERROR(
  SUM(
    _xlfn.XLOOKUP(DATE(YEAR($A$1),1,1),$2:$2,84:84):
    _xlfn.XLOOKUP($A$1,$2:$2,84:84)
  )
 -SUM(
    _xlfn.XLOOKUP(DATE(YEAR($A$1)-1,1,1),$2:$2,84:84):
    _xlfn.XLOOKUP(EDATE($A$1,-12),$2:$2,84:84)
  ),"")</f>
        <v>0</v>
      </c>
      <c r="CD84" s="4517">
        <f t="shared" si="133"/>
        <v>0</v>
      </c>
    </row>
    <row r="85" spans="1:82" ht="17.600000000000001" x14ac:dyDescent="0.55000000000000004">
      <c r="A85" s="7383"/>
      <c r="B85" s="2034" t="s">
        <v>206</v>
      </c>
      <c r="C85" s="1900"/>
      <c r="D85" s="5243">
        <f>D90+D91</f>
        <v>0</v>
      </c>
      <c r="E85" s="4414">
        <f t="shared" ref="E85:O85" si="216">E90+E91</f>
        <v>0</v>
      </c>
      <c r="F85" s="4414">
        <f t="shared" si="216"/>
        <v>0</v>
      </c>
      <c r="G85" s="4414">
        <f t="shared" si="216"/>
        <v>0</v>
      </c>
      <c r="H85" s="4414">
        <f t="shared" si="216"/>
        <v>0</v>
      </c>
      <c r="I85" s="4414">
        <f t="shared" si="216"/>
        <v>0</v>
      </c>
      <c r="J85" s="4414">
        <f t="shared" si="216"/>
        <v>0</v>
      </c>
      <c r="K85" s="4414">
        <f t="shared" si="216"/>
        <v>0</v>
      </c>
      <c r="L85" s="4414">
        <f t="shared" si="216"/>
        <v>0</v>
      </c>
      <c r="M85" s="4414">
        <f t="shared" si="216"/>
        <v>0</v>
      </c>
      <c r="N85" s="4414">
        <f t="shared" si="216"/>
        <v>0</v>
      </c>
      <c r="O85" s="4414">
        <f t="shared" si="216"/>
        <v>0</v>
      </c>
      <c r="P85" s="4414">
        <f t="shared" si="212"/>
        <v>0</v>
      </c>
      <c r="Q85" s="5244">
        <f t="shared" si="213"/>
        <v>0</v>
      </c>
      <c r="R85" s="2776">
        <v>0</v>
      </c>
      <c r="S85" s="5243">
        <f>S90+S91</f>
        <v>0</v>
      </c>
      <c r="T85" s="4414">
        <f t="shared" ref="T85:AD85" si="217">T90+T91</f>
        <v>0</v>
      </c>
      <c r="U85" s="4414">
        <f t="shared" si="217"/>
        <v>0</v>
      </c>
      <c r="V85" s="4414">
        <f t="shared" si="217"/>
        <v>0</v>
      </c>
      <c r="W85" s="4414">
        <f t="shared" si="217"/>
        <v>0</v>
      </c>
      <c r="X85" s="4414">
        <f t="shared" si="217"/>
        <v>0</v>
      </c>
      <c r="Y85" s="4414">
        <f t="shared" si="217"/>
        <v>0</v>
      </c>
      <c r="Z85" s="4414">
        <f t="shared" si="217"/>
        <v>0</v>
      </c>
      <c r="AA85" s="4414">
        <f t="shared" si="217"/>
        <v>0</v>
      </c>
      <c r="AB85" s="4414">
        <f t="shared" si="217"/>
        <v>0</v>
      </c>
      <c r="AC85" s="4414">
        <f t="shared" si="217"/>
        <v>0</v>
      </c>
      <c r="AD85" s="4414">
        <f t="shared" si="217"/>
        <v>0</v>
      </c>
      <c r="AE85" s="4414">
        <f t="shared" si="214"/>
        <v>0</v>
      </c>
      <c r="AF85" s="5244">
        <f t="shared" si="215"/>
        <v>0</v>
      </c>
      <c r="AG85" s="2776"/>
      <c r="AH85" s="5243">
        <f>AH90+AH91</f>
        <v>188</v>
      </c>
      <c r="AI85" s="4414">
        <f t="shared" ref="AI85:AQ85" si="218">AI90+AI91</f>
        <v>188</v>
      </c>
      <c r="AJ85" s="4414">
        <f t="shared" si="218"/>
        <v>199</v>
      </c>
      <c r="AK85" s="4414">
        <f t="shared" si="218"/>
        <v>199</v>
      </c>
      <c r="AL85" s="4414">
        <f t="shared" si="218"/>
        <v>208</v>
      </c>
      <c r="AM85" s="4414">
        <f t="shared" si="218"/>
        <v>212</v>
      </c>
      <c r="AN85" s="4414">
        <f t="shared" si="218"/>
        <v>212</v>
      </c>
      <c r="AO85" s="4414">
        <f t="shared" si="218"/>
        <v>204</v>
      </c>
      <c r="AP85" s="4414">
        <f t="shared" si="218"/>
        <v>215</v>
      </c>
      <c r="AQ85" s="4414">
        <f t="shared" si="218"/>
        <v>215</v>
      </c>
      <c r="AR85" s="4414">
        <v>212</v>
      </c>
      <c r="AS85" s="4414">
        <v>218</v>
      </c>
      <c r="AT85" s="4414">
        <f t="shared" si="36"/>
        <v>2470</v>
      </c>
      <c r="AU85" s="5244">
        <f t="shared" si="136"/>
        <v>205.83333333333334</v>
      </c>
      <c r="AW85" s="5243">
        <v>215</v>
      </c>
      <c r="AX85" s="4414">
        <v>211</v>
      </c>
      <c r="AY85" s="4414">
        <v>204</v>
      </c>
      <c r="AZ85" s="4414">
        <v>206</v>
      </c>
      <c r="BA85" s="4414">
        <v>206</v>
      </c>
      <c r="BB85" s="4414">
        <v>202</v>
      </c>
      <c r="BC85" s="4414">
        <v>202</v>
      </c>
      <c r="BD85" s="4414">
        <v>202</v>
      </c>
      <c r="BE85" s="4414">
        <v>204</v>
      </c>
      <c r="BF85" s="4414">
        <v>204</v>
      </c>
      <c r="BG85" s="4414">
        <v>204</v>
      </c>
      <c r="BH85" s="4414">
        <v>200</v>
      </c>
      <c r="BI85" s="4414">
        <f t="shared" si="209"/>
        <v>2460</v>
      </c>
      <c r="BJ85" s="5244">
        <f t="shared" si="141"/>
        <v>205</v>
      </c>
      <c r="BL85" s="5245">
        <v>204</v>
      </c>
      <c r="BM85" s="4414">
        <v>204</v>
      </c>
      <c r="BN85" s="4414"/>
      <c r="BO85" s="4414"/>
      <c r="BP85" s="4414"/>
      <c r="BQ85" s="4414"/>
      <c r="BR85" s="4414"/>
      <c r="BS85" s="4414"/>
      <c r="BT85" s="4414"/>
      <c r="BU85" s="4414"/>
      <c r="BV85" s="4414"/>
      <c r="BW85" s="4414"/>
      <c r="BX85" s="4414">
        <f t="shared" si="210"/>
        <v>408</v>
      </c>
      <c r="BY85" s="5244">
        <f t="shared" si="211"/>
        <v>204</v>
      </c>
      <c r="CA85" s="169">
        <f t="shared" si="132"/>
        <v>-7</v>
      </c>
      <c r="CB85" s="169">
        <f t="shared" si="205"/>
        <v>-0.83333333333334281</v>
      </c>
      <c r="CC85" s="169">
        <f>IFERROR(
  SUM(
    _xlfn.XLOOKUP(DATE(YEAR($A$1),1,1),$2:$2,85:85):
    _xlfn.XLOOKUP($A$1,$2:$2,85:85)
  )
 -SUM(
    _xlfn.XLOOKUP(DATE(YEAR($A$1)-1,1,1),$2:$2,85:85):
    _xlfn.XLOOKUP(EDATE($A$1,-12),$2:$2,85:85)
  ),"")</f>
        <v>-18</v>
      </c>
      <c r="CD85" s="4517">
        <f t="shared" si="133"/>
        <v>0</v>
      </c>
    </row>
    <row r="86" spans="1:82" ht="17.600000000000001" x14ac:dyDescent="0.55000000000000004">
      <c r="A86" s="7383"/>
      <c r="B86" s="2041" t="s">
        <v>207</v>
      </c>
      <c r="C86" s="1576"/>
      <c r="D86" s="5246">
        <f>D92+D93</f>
        <v>0</v>
      </c>
      <c r="E86" s="2636">
        <f t="shared" ref="E86:O86" si="219">E92+E93</f>
        <v>0</v>
      </c>
      <c r="F86" s="2636">
        <f t="shared" si="219"/>
        <v>0</v>
      </c>
      <c r="G86" s="2636">
        <f t="shared" si="219"/>
        <v>0</v>
      </c>
      <c r="H86" s="2636">
        <f t="shared" si="219"/>
        <v>0</v>
      </c>
      <c r="I86" s="2636">
        <f t="shared" si="219"/>
        <v>0</v>
      </c>
      <c r="J86" s="2636">
        <f t="shared" si="219"/>
        <v>0</v>
      </c>
      <c r="K86" s="2636">
        <f t="shared" si="219"/>
        <v>0</v>
      </c>
      <c r="L86" s="2636">
        <f t="shared" si="219"/>
        <v>0</v>
      </c>
      <c r="M86" s="2636">
        <f t="shared" si="219"/>
        <v>0</v>
      </c>
      <c r="N86" s="2636">
        <f t="shared" si="219"/>
        <v>0</v>
      </c>
      <c r="O86" s="2636">
        <f t="shared" si="219"/>
        <v>0</v>
      </c>
      <c r="P86" s="2636">
        <f t="shared" si="212"/>
        <v>0</v>
      </c>
      <c r="Q86" s="5247">
        <f t="shared" si="213"/>
        <v>0</v>
      </c>
      <c r="R86" s="2776">
        <v>0</v>
      </c>
      <c r="S86" s="5246">
        <f>S92+S93</f>
        <v>0</v>
      </c>
      <c r="T86" s="2636">
        <f t="shared" ref="T86:AD86" si="220">T92+T93</f>
        <v>0</v>
      </c>
      <c r="U86" s="2636">
        <f t="shared" si="220"/>
        <v>0</v>
      </c>
      <c r="V86" s="2636">
        <f t="shared" si="220"/>
        <v>0</v>
      </c>
      <c r="W86" s="2636">
        <f t="shared" si="220"/>
        <v>0</v>
      </c>
      <c r="X86" s="2636">
        <f t="shared" si="220"/>
        <v>0</v>
      </c>
      <c r="Y86" s="2636">
        <f t="shared" si="220"/>
        <v>0</v>
      </c>
      <c r="Z86" s="2636">
        <f t="shared" si="220"/>
        <v>0</v>
      </c>
      <c r="AA86" s="2636">
        <f t="shared" si="220"/>
        <v>0</v>
      </c>
      <c r="AB86" s="2636">
        <f t="shared" si="220"/>
        <v>0</v>
      </c>
      <c r="AC86" s="2636">
        <f t="shared" si="220"/>
        <v>0</v>
      </c>
      <c r="AD86" s="2636">
        <f t="shared" si="220"/>
        <v>0</v>
      </c>
      <c r="AE86" s="2636">
        <f t="shared" si="214"/>
        <v>0</v>
      </c>
      <c r="AF86" s="5247">
        <f t="shared" si="215"/>
        <v>0</v>
      </c>
      <c r="AG86" s="2776"/>
      <c r="AH86" s="5246">
        <f>AH92+AH93</f>
        <v>174</v>
      </c>
      <c r="AI86" s="2636">
        <f t="shared" ref="AI86:AQ86" si="221">AI92+AI93</f>
        <v>174</v>
      </c>
      <c r="AJ86" s="2636">
        <f t="shared" si="221"/>
        <v>178</v>
      </c>
      <c r="AK86" s="2636">
        <f t="shared" si="221"/>
        <v>179</v>
      </c>
      <c r="AL86" s="2636">
        <f t="shared" si="221"/>
        <v>179</v>
      </c>
      <c r="AM86" s="2636">
        <f t="shared" si="221"/>
        <v>186</v>
      </c>
      <c r="AN86" s="2636">
        <f t="shared" si="221"/>
        <v>186</v>
      </c>
      <c r="AO86" s="2636">
        <f t="shared" si="221"/>
        <v>182</v>
      </c>
      <c r="AP86" s="2636">
        <f t="shared" si="221"/>
        <v>186</v>
      </c>
      <c r="AQ86" s="2636">
        <f t="shared" si="221"/>
        <v>186</v>
      </c>
      <c r="AR86" s="2636">
        <v>186</v>
      </c>
      <c r="AS86" s="2636">
        <v>186</v>
      </c>
      <c r="AT86" s="2636">
        <f t="shared" si="36"/>
        <v>2182</v>
      </c>
      <c r="AU86" s="5247">
        <f t="shared" si="136"/>
        <v>181.83333333333334</v>
      </c>
      <c r="AW86" s="5246">
        <v>186</v>
      </c>
      <c r="AX86" s="2636">
        <v>186</v>
      </c>
      <c r="AY86" s="2636">
        <v>186</v>
      </c>
      <c r="AZ86" s="2636">
        <v>178</v>
      </c>
      <c r="BA86" s="2636">
        <v>174</v>
      </c>
      <c r="BB86" s="2636">
        <v>174</v>
      </c>
      <c r="BC86" s="2636">
        <v>174</v>
      </c>
      <c r="BD86" s="2636">
        <v>173</v>
      </c>
      <c r="BE86" s="2636">
        <v>173</v>
      </c>
      <c r="BF86" s="2636">
        <v>173</v>
      </c>
      <c r="BG86" s="2636">
        <v>173</v>
      </c>
      <c r="BH86" s="2636">
        <v>173</v>
      </c>
      <c r="BI86" s="2636">
        <f t="shared" si="209"/>
        <v>2123</v>
      </c>
      <c r="BJ86" s="5247">
        <f t="shared" si="141"/>
        <v>176.91666666666666</v>
      </c>
      <c r="BL86" s="5248">
        <v>177</v>
      </c>
      <c r="BM86" s="2636">
        <v>177</v>
      </c>
      <c r="BN86" s="2636"/>
      <c r="BO86" s="2636"/>
      <c r="BP86" s="2636"/>
      <c r="BQ86" s="2636"/>
      <c r="BR86" s="2636"/>
      <c r="BS86" s="2636"/>
      <c r="BT86" s="2636"/>
      <c r="BU86" s="2636"/>
      <c r="BV86" s="2636"/>
      <c r="BW86" s="2636"/>
      <c r="BX86" s="2636">
        <f t="shared" si="210"/>
        <v>354</v>
      </c>
      <c r="BY86" s="5247">
        <f t="shared" si="211"/>
        <v>177</v>
      </c>
      <c r="CA86" s="169">
        <f t="shared" si="132"/>
        <v>-9</v>
      </c>
      <c r="CB86" s="169">
        <f t="shared" si="205"/>
        <v>-4.9166666666666856</v>
      </c>
      <c r="CC86" s="169">
        <f>IFERROR(
  SUM(
    _xlfn.XLOOKUP(DATE(YEAR($A$1),1,1),$2:$2,86:86):
    _xlfn.XLOOKUP($A$1,$2:$2,86:86)
  )
 -SUM(
    _xlfn.XLOOKUP(DATE(YEAR($A$1)-1,1,1),$2:$2,86:86):
    _xlfn.XLOOKUP(EDATE($A$1,-12),$2:$2,86:86)
  ),"")</f>
        <v>-18</v>
      </c>
      <c r="CD86" s="4517">
        <f t="shared" si="133"/>
        <v>0</v>
      </c>
    </row>
    <row r="87" spans="1:82" ht="17.600000000000001" x14ac:dyDescent="0.55000000000000004">
      <c r="A87" s="7383"/>
      <c r="B87" s="2041" t="s">
        <v>208</v>
      </c>
      <c r="C87" s="1576"/>
      <c r="D87" s="5246">
        <f>D94+D95</f>
        <v>0</v>
      </c>
      <c r="E87" s="2636">
        <f t="shared" ref="E87:O87" si="222">E94+E95</f>
        <v>0</v>
      </c>
      <c r="F87" s="2636">
        <f t="shared" si="222"/>
        <v>0</v>
      </c>
      <c r="G87" s="2636">
        <f t="shared" si="222"/>
        <v>0</v>
      </c>
      <c r="H87" s="2636">
        <f t="shared" si="222"/>
        <v>0</v>
      </c>
      <c r="I87" s="2636">
        <f t="shared" si="222"/>
        <v>0</v>
      </c>
      <c r="J87" s="2636">
        <f t="shared" si="222"/>
        <v>0</v>
      </c>
      <c r="K87" s="2636">
        <f t="shared" si="222"/>
        <v>0</v>
      </c>
      <c r="L87" s="2636">
        <f t="shared" si="222"/>
        <v>0</v>
      </c>
      <c r="M87" s="2636">
        <f t="shared" si="222"/>
        <v>0</v>
      </c>
      <c r="N87" s="2636">
        <f t="shared" si="222"/>
        <v>0</v>
      </c>
      <c r="O87" s="2636">
        <f t="shared" si="222"/>
        <v>0</v>
      </c>
      <c r="P87" s="2636">
        <f t="shared" si="212"/>
        <v>0</v>
      </c>
      <c r="Q87" s="5247">
        <f t="shared" si="213"/>
        <v>0</v>
      </c>
      <c r="R87" s="2776">
        <v>0</v>
      </c>
      <c r="S87" s="5246">
        <f>S94+S95</f>
        <v>0</v>
      </c>
      <c r="T87" s="2636">
        <f t="shared" ref="T87:AD87" si="223">T94+T95</f>
        <v>0</v>
      </c>
      <c r="U87" s="2636">
        <f t="shared" si="223"/>
        <v>0</v>
      </c>
      <c r="V87" s="2636">
        <f t="shared" si="223"/>
        <v>0</v>
      </c>
      <c r="W87" s="2636">
        <f t="shared" si="223"/>
        <v>0</v>
      </c>
      <c r="X87" s="2636">
        <f t="shared" si="223"/>
        <v>0</v>
      </c>
      <c r="Y87" s="2636">
        <f t="shared" si="223"/>
        <v>0</v>
      </c>
      <c r="Z87" s="2636">
        <f t="shared" si="223"/>
        <v>0</v>
      </c>
      <c r="AA87" s="2636">
        <f t="shared" si="223"/>
        <v>0</v>
      </c>
      <c r="AB87" s="2636">
        <f t="shared" si="223"/>
        <v>0</v>
      </c>
      <c r="AC87" s="2636">
        <f t="shared" si="223"/>
        <v>0</v>
      </c>
      <c r="AD87" s="2636">
        <f t="shared" si="223"/>
        <v>0</v>
      </c>
      <c r="AE87" s="2636">
        <f t="shared" si="214"/>
        <v>0</v>
      </c>
      <c r="AF87" s="5247">
        <f t="shared" si="215"/>
        <v>0</v>
      </c>
      <c r="AG87" s="2776"/>
      <c r="AH87" s="5246">
        <f>AH94+AH95</f>
        <v>218</v>
      </c>
      <c r="AI87" s="2636">
        <f t="shared" ref="AI87:AN87" si="224">AI94+AI95</f>
        <v>218</v>
      </c>
      <c r="AJ87" s="2636">
        <f t="shared" si="224"/>
        <v>222</v>
      </c>
      <c r="AK87" s="2636">
        <f t="shared" si="224"/>
        <v>222</v>
      </c>
      <c r="AL87" s="2636">
        <f t="shared" si="224"/>
        <v>230</v>
      </c>
      <c r="AM87" s="2636">
        <f t="shared" si="224"/>
        <v>230</v>
      </c>
      <c r="AN87" s="2636">
        <f t="shared" si="224"/>
        <v>235</v>
      </c>
      <c r="AO87" s="2636">
        <f>AO94+AO95</f>
        <v>240</v>
      </c>
      <c r="AP87" s="2636">
        <f>AP94+AP95</f>
        <v>235</v>
      </c>
      <c r="AQ87" s="2636">
        <f>AQ94+AQ95</f>
        <v>235</v>
      </c>
      <c r="AR87" s="2636">
        <v>235</v>
      </c>
      <c r="AS87" s="2636">
        <v>238</v>
      </c>
      <c r="AT87" s="2636">
        <f t="shared" si="36"/>
        <v>2758</v>
      </c>
      <c r="AU87" s="5247">
        <f t="shared" si="136"/>
        <v>229.83333333333334</v>
      </c>
      <c r="AW87" s="5246">
        <v>235</v>
      </c>
      <c r="AX87" s="2636">
        <v>231</v>
      </c>
      <c r="AY87" s="2636">
        <v>227</v>
      </c>
      <c r="AZ87" s="2636">
        <v>233</v>
      </c>
      <c r="BA87" s="2636">
        <v>233</v>
      </c>
      <c r="BB87" s="2636">
        <v>222</v>
      </c>
      <c r="BC87" s="2636">
        <v>229</v>
      </c>
      <c r="BD87" s="2636">
        <v>229</v>
      </c>
      <c r="BE87" s="2636">
        <v>229</v>
      </c>
      <c r="BF87" s="2636">
        <v>229</v>
      </c>
      <c r="BG87" s="2636">
        <v>225</v>
      </c>
      <c r="BH87" s="2636">
        <v>221</v>
      </c>
      <c r="BI87" s="2636">
        <f t="shared" si="209"/>
        <v>2743</v>
      </c>
      <c r="BJ87" s="5247">
        <f t="shared" si="141"/>
        <v>228.58333333333334</v>
      </c>
      <c r="BL87" s="5248">
        <v>221</v>
      </c>
      <c r="BM87" s="2636">
        <v>221</v>
      </c>
      <c r="BN87" s="2636"/>
      <c r="BO87" s="2636"/>
      <c r="BP87" s="2636"/>
      <c r="BQ87" s="2636"/>
      <c r="BR87" s="2636"/>
      <c r="BS87" s="2636"/>
      <c r="BT87" s="2636"/>
      <c r="BU87" s="2636"/>
      <c r="BV87" s="2636"/>
      <c r="BW87" s="2636"/>
      <c r="BX87" s="2636">
        <f t="shared" si="210"/>
        <v>442</v>
      </c>
      <c r="BY87" s="5247">
        <f t="shared" si="211"/>
        <v>221</v>
      </c>
      <c r="CA87" s="169">
        <f t="shared" si="132"/>
        <v>-10</v>
      </c>
      <c r="CB87" s="169">
        <f t="shared" si="205"/>
        <v>-1.25</v>
      </c>
      <c r="CC87" s="169">
        <f>IFERROR(
  SUM(
    _xlfn.XLOOKUP(DATE(YEAR($A$1),1,1),$2:$2,87:87):
    _xlfn.XLOOKUP($A$1,$2:$2,87:87)
  )
 -SUM(
    _xlfn.XLOOKUP(DATE(YEAR($A$1)-1,1,1),$2:$2,87:87):
    _xlfn.XLOOKUP(EDATE($A$1,-12),$2:$2,87:87)
  ),"")</f>
        <v>-24</v>
      </c>
      <c r="CD87" s="4517">
        <f t="shared" si="133"/>
        <v>0</v>
      </c>
    </row>
    <row r="88" spans="1:82" ht="17.600000000000001" x14ac:dyDescent="0.55000000000000004">
      <c r="A88" s="7383"/>
      <c r="B88" s="2041" t="s">
        <v>209</v>
      </c>
      <c r="C88" s="1576"/>
      <c r="D88" s="5246">
        <f>D96+D97</f>
        <v>0</v>
      </c>
      <c r="E88" s="2636">
        <f t="shared" ref="E88:O88" si="225">E96+E97</f>
        <v>0</v>
      </c>
      <c r="F88" s="2636">
        <f t="shared" si="225"/>
        <v>0</v>
      </c>
      <c r="G88" s="2636">
        <f t="shared" si="225"/>
        <v>0</v>
      </c>
      <c r="H88" s="2636">
        <f t="shared" si="225"/>
        <v>0</v>
      </c>
      <c r="I88" s="2636">
        <f t="shared" si="225"/>
        <v>0</v>
      </c>
      <c r="J88" s="2636">
        <f t="shared" si="225"/>
        <v>0</v>
      </c>
      <c r="K88" s="2636">
        <f t="shared" si="225"/>
        <v>0</v>
      </c>
      <c r="L88" s="2636">
        <f t="shared" si="225"/>
        <v>0</v>
      </c>
      <c r="M88" s="2636">
        <f t="shared" si="225"/>
        <v>0</v>
      </c>
      <c r="N88" s="2636">
        <f t="shared" si="225"/>
        <v>0</v>
      </c>
      <c r="O88" s="2636">
        <f t="shared" si="225"/>
        <v>0</v>
      </c>
      <c r="P88" s="2636">
        <f t="shared" si="212"/>
        <v>0</v>
      </c>
      <c r="Q88" s="5247">
        <f t="shared" si="213"/>
        <v>0</v>
      </c>
      <c r="R88" s="2776">
        <v>0</v>
      </c>
      <c r="S88" s="5246">
        <f>S96+S97</f>
        <v>0</v>
      </c>
      <c r="T88" s="2636">
        <f t="shared" ref="T88:AD88" si="226">T96+T97</f>
        <v>0</v>
      </c>
      <c r="U88" s="2636">
        <f t="shared" si="226"/>
        <v>0</v>
      </c>
      <c r="V88" s="2636">
        <f t="shared" si="226"/>
        <v>0</v>
      </c>
      <c r="W88" s="2636">
        <f t="shared" si="226"/>
        <v>0</v>
      </c>
      <c r="X88" s="2636">
        <f t="shared" si="226"/>
        <v>0</v>
      </c>
      <c r="Y88" s="2636">
        <f t="shared" si="226"/>
        <v>0</v>
      </c>
      <c r="Z88" s="2636">
        <f t="shared" si="226"/>
        <v>0</v>
      </c>
      <c r="AA88" s="2636">
        <f t="shared" si="226"/>
        <v>0</v>
      </c>
      <c r="AB88" s="2636">
        <f t="shared" si="226"/>
        <v>0</v>
      </c>
      <c r="AC88" s="2636">
        <f t="shared" si="226"/>
        <v>0</v>
      </c>
      <c r="AD88" s="2636">
        <f t="shared" si="226"/>
        <v>0</v>
      </c>
      <c r="AE88" s="2636">
        <f t="shared" si="214"/>
        <v>0</v>
      </c>
      <c r="AF88" s="5247">
        <f t="shared" si="215"/>
        <v>0</v>
      </c>
      <c r="AG88" s="2776"/>
      <c r="AH88" s="5246">
        <f>AH96+AH97</f>
        <v>250</v>
      </c>
      <c r="AI88" s="2636">
        <f t="shared" ref="AI88:AQ88" si="227">AI96+AI97</f>
        <v>250</v>
      </c>
      <c r="AJ88" s="2636">
        <f t="shared" si="227"/>
        <v>254</v>
      </c>
      <c r="AK88" s="2636">
        <f t="shared" si="227"/>
        <v>254</v>
      </c>
      <c r="AL88" s="2636">
        <f t="shared" si="227"/>
        <v>254</v>
      </c>
      <c r="AM88" s="2636">
        <f t="shared" si="227"/>
        <v>254</v>
      </c>
      <c r="AN88" s="2636">
        <f t="shared" si="227"/>
        <v>250</v>
      </c>
      <c r="AO88" s="2636">
        <f t="shared" si="227"/>
        <v>235</v>
      </c>
      <c r="AP88" s="2636">
        <f t="shared" si="227"/>
        <v>251</v>
      </c>
      <c r="AQ88" s="2636">
        <f t="shared" si="227"/>
        <v>251</v>
      </c>
      <c r="AR88" s="2636">
        <v>250</v>
      </c>
      <c r="AS88" s="2636">
        <v>251</v>
      </c>
      <c r="AT88" s="2636">
        <f t="shared" ref="AT88:AT151" si="228">SUM(AH88:AS88)</f>
        <v>3004</v>
      </c>
      <c r="AU88" s="5247">
        <f t="shared" si="136"/>
        <v>250.33333333333334</v>
      </c>
      <c r="AW88" s="5246">
        <v>247</v>
      </c>
      <c r="AX88" s="2636">
        <v>243</v>
      </c>
      <c r="AY88" s="2636">
        <v>239</v>
      </c>
      <c r="AZ88" s="2636">
        <v>239</v>
      </c>
      <c r="BA88" s="2636">
        <v>239</v>
      </c>
      <c r="BB88" s="2636">
        <v>239</v>
      </c>
      <c r="BC88" s="2636">
        <v>239</v>
      </c>
      <c r="BD88" s="2636">
        <v>239</v>
      </c>
      <c r="BE88" s="2636">
        <v>239</v>
      </c>
      <c r="BF88" s="2636">
        <v>239</v>
      </c>
      <c r="BG88" s="2636">
        <v>239</v>
      </c>
      <c r="BH88" s="2636">
        <v>239</v>
      </c>
      <c r="BI88" s="2636">
        <f t="shared" si="209"/>
        <v>2880</v>
      </c>
      <c r="BJ88" s="5247">
        <f t="shared" si="141"/>
        <v>240</v>
      </c>
      <c r="BL88" s="5248">
        <v>239</v>
      </c>
      <c r="BM88" s="2636">
        <v>248</v>
      </c>
      <c r="BN88" s="2636"/>
      <c r="BO88" s="2636"/>
      <c r="BP88" s="2636"/>
      <c r="BQ88" s="2636"/>
      <c r="BR88" s="2636"/>
      <c r="BS88" s="2636"/>
      <c r="BT88" s="2636"/>
      <c r="BU88" s="2636"/>
      <c r="BV88" s="2636"/>
      <c r="BW88" s="2636"/>
      <c r="BX88" s="2636">
        <f t="shared" si="210"/>
        <v>487</v>
      </c>
      <c r="BY88" s="5247">
        <f t="shared" si="211"/>
        <v>243.5</v>
      </c>
      <c r="CA88" s="169">
        <f t="shared" si="132"/>
        <v>5</v>
      </c>
      <c r="CB88" s="169">
        <f t="shared" si="205"/>
        <v>-10.333333333333343</v>
      </c>
      <c r="CC88" s="169">
        <f>IFERROR(
  SUM(
    _xlfn.XLOOKUP(DATE(YEAR($A$1),1,1),$2:$2,88:88):
    _xlfn.XLOOKUP($A$1,$2:$2,88:88)
  )
 -SUM(
    _xlfn.XLOOKUP(DATE(YEAR($A$1)-1,1,1),$2:$2,88:88):
    _xlfn.XLOOKUP(EDATE($A$1,-12),$2:$2,88:88)
  ),"")</f>
        <v>-3</v>
      </c>
      <c r="CD88" s="4517">
        <f t="shared" si="133"/>
        <v>9</v>
      </c>
    </row>
    <row r="89" spans="1:82" ht="17.600000000000001" x14ac:dyDescent="0.55000000000000004">
      <c r="A89" s="7383"/>
      <c r="B89" s="2048" t="s">
        <v>210</v>
      </c>
      <c r="C89" s="1929"/>
      <c r="D89" s="5249">
        <f>D98+D99</f>
        <v>0</v>
      </c>
      <c r="E89" s="5250">
        <f t="shared" ref="E89:O89" si="229">E98+E99</f>
        <v>0</v>
      </c>
      <c r="F89" s="5250">
        <f t="shared" si="229"/>
        <v>0</v>
      </c>
      <c r="G89" s="5250">
        <f t="shared" si="229"/>
        <v>0</v>
      </c>
      <c r="H89" s="5250">
        <f t="shared" si="229"/>
        <v>0</v>
      </c>
      <c r="I89" s="5250">
        <f t="shared" si="229"/>
        <v>0</v>
      </c>
      <c r="J89" s="5250">
        <f t="shared" si="229"/>
        <v>0</v>
      </c>
      <c r="K89" s="5250">
        <f t="shared" si="229"/>
        <v>0</v>
      </c>
      <c r="L89" s="5250">
        <f t="shared" si="229"/>
        <v>0</v>
      </c>
      <c r="M89" s="5250">
        <f t="shared" si="229"/>
        <v>0</v>
      </c>
      <c r="N89" s="5250">
        <f t="shared" si="229"/>
        <v>0</v>
      </c>
      <c r="O89" s="5250">
        <f t="shared" si="229"/>
        <v>0</v>
      </c>
      <c r="P89" s="5250">
        <f t="shared" si="212"/>
        <v>0</v>
      </c>
      <c r="Q89" s="5251">
        <f t="shared" si="213"/>
        <v>0</v>
      </c>
      <c r="R89" s="2776">
        <v>0</v>
      </c>
      <c r="S89" s="5249">
        <f>S98+S99</f>
        <v>0</v>
      </c>
      <c r="T89" s="5250">
        <f t="shared" ref="T89:AD89" si="230">T98+T99</f>
        <v>0</v>
      </c>
      <c r="U89" s="5250">
        <f t="shared" si="230"/>
        <v>0</v>
      </c>
      <c r="V89" s="5250">
        <f t="shared" si="230"/>
        <v>0</v>
      </c>
      <c r="W89" s="5250">
        <f t="shared" si="230"/>
        <v>0</v>
      </c>
      <c r="X89" s="5250">
        <f t="shared" si="230"/>
        <v>0</v>
      </c>
      <c r="Y89" s="5250">
        <f t="shared" si="230"/>
        <v>0</v>
      </c>
      <c r="Z89" s="5250">
        <f t="shared" si="230"/>
        <v>0</v>
      </c>
      <c r="AA89" s="5250">
        <f t="shared" si="230"/>
        <v>0</v>
      </c>
      <c r="AB89" s="5250">
        <f t="shared" si="230"/>
        <v>0</v>
      </c>
      <c r="AC89" s="5250">
        <f t="shared" si="230"/>
        <v>0</v>
      </c>
      <c r="AD89" s="5250">
        <f t="shared" si="230"/>
        <v>0</v>
      </c>
      <c r="AE89" s="5250">
        <f t="shared" si="214"/>
        <v>0</v>
      </c>
      <c r="AF89" s="5251">
        <f t="shared" si="215"/>
        <v>0</v>
      </c>
      <c r="AG89" s="2776"/>
      <c r="AH89" s="5249">
        <f>AH98+AH99</f>
        <v>220</v>
      </c>
      <c r="AI89" s="5250">
        <f t="shared" ref="AI89:AQ89" si="231">AI98+AI99</f>
        <v>220</v>
      </c>
      <c r="AJ89" s="5250">
        <f t="shared" si="231"/>
        <v>220</v>
      </c>
      <c r="AK89" s="5250">
        <f t="shared" si="231"/>
        <v>226</v>
      </c>
      <c r="AL89" s="5250">
        <f t="shared" si="231"/>
        <v>222</v>
      </c>
      <c r="AM89" s="5250">
        <f t="shared" si="231"/>
        <v>225</v>
      </c>
      <c r="AN89" s="5250">
        <f t="shared" si="231"/>
        <v>225</v>
      </c>
      <c r="AO89" s="5250">
        <f t="shared" si="231"/>
        <v>219</v>
      </c>
      <c r="AP89" s="5250">
        <f t="shared" si="231"/>
        <v>229</v>
      </c>
      <c r="AQ89" s="5250">
        <f t="shared" si="231"/>
        <v>229</v>
      </c>
      <c r="AR89" s="5250">
        <v>225</v>
      </c>
      <c r="AS89" s="5250">
        <v>230</v>
      </c>
      <c r="AT89" s="5250">
        <f t="shared" si="228"/>
        <v>2690</v>
      </c>
      <c r="AU89" s="5251">
        <f t="shared" si="136"/>
        <v>224.16666666666666</v>
      </c>
      <c r="AW89" s="5249">
        <v>227</v>
      </c>
      <c r="AX89" s="5250">
        <v>227</v>
      </c>
      <c r="AY89" s="5250">
        <v>224</v>
      </c>
      <c r="AZ89" s="5250">
        <v>218</v>
      </c>
      <c r="BA89" s="5250">
        <v>218</v>
      </c>
      <c r="BB89" s="5250">
        <v>215</v>
      </c>
      <c r="BC89" s="5250">
        <v>215</v>
      </c>
      <c r="BD89" s="5250">
        <v>215</v>
      </c>
      <c r="BE89" s="5250">
        <v>215</v>
      </c>
      <c r="BF89" s="5250">
        <v>212</v>
      </c>
      <c r="BG89" s="5250">
        <v>216</v>
      </c>
      <c r="BH89" s="5250">
        <v>216</v>
      </c>
      <c r="BI89" s="5250">
        <f t="shared" si="209"/>
        <v>2618</v>
      </c>
      <c r="BJ89" s="5251">
        <f t="shared" si="141"/>
        <v>218.16666666666666</v>
      </c>
      <c r="BL89" s="5252">
        <v>216</v>
      </c>
      <c r="BM89" s="5250">
        <v>216</v>
      </c>
      <c r="BN89" s="5250"/>
      <c r="BO89" s="5250"/>
      <c r="BP89" s="5250"/>
      <c r="BQ89" s="5250"/>
      <c r="BR89" s="5250"/>
      <c r="BS89" s="5250"/>
      <c r="BT89" s="5250"/>
      <c r="BU89" s="5250"/>
      <c r="BV89" s="5250"/>
      <c r="BW89" s="5250"/>
      <c r="BX89" s="5250">
        <f t="shared" si="210"/>
        <v>432</v>
      </c>
      <c r="BY89" s="5251">
        <f t="shared" si="211"/>
        <v>216</v>
      </c>
      <c r="CA89" s="169">
        <f t="shared" si="132"/>
        <v>-11</v>
      </c>
      <c r="CB89" s="169">
        <f t="shared" si="205"/>
        <v>-6</v>
      </c>
      <c r="CC89" s="169">
        <f>IFERROR(
  SUM(
    _xlfn.XLOOKUP(DATE(YEAR($A$1),1,1),$2:$2,89:89):
    _xlfn.XLOOKUP($A$1,$2:$2,89:89)
  )
 -SUM(
    _xlfn.XLOOKUP(DATE(YEAR($A$1)-1,1,1),$2:$2,89:89):
    _xlfn.XLOOKUP(EDATE($A$1,-12),$2:$2,89:89)
  ),"")</f>
        <v>-22</v>
      </c>
      <c r="CD89" s="4517">
        <f t="shared" si="133"/>
        <v>0</v>
      </c>
    </row>
    <row r="90" spans="1:82" ht="17.600000000000001" x14ac:dyDescent="0.55000000000000004">
      <c r="A90" s="7383"/>
      <c r="B90" s="2055"/>
      <c r="C90" s="5253" t="s">
        <v>211</v>
      </c>
      <c r="D90" s="5255">
        <v>0</v>
      </c>
      <c r="E90" s="5255">
        <v>0</v>
      </c>
      <c r="F90" s="5255">
        <v>0</v>
      </c>
      <c r="G90" s="5255">
        <v>0</v>
      </c>
      <c r="H90" s="5255">
        <v>0</v>
      </c>
      <c r="I90" s="5255">
        <v>0</v>
      </c>
      <c r="J90" s="5255">
        <v>0</v>
      </c>
      <c r="K90" s="5255">
        <v>0</v>
      </c>
      <c r="L90" s="5255">
        <v>0</v>
      </c>
      <c r="M90" s="5255">
        <v>0</v>
      </c>
      <c r="N90" s="5255">
        <v>0</v>
      </c>
      <c r="O90" s="5255">
        <v>0</v>
      </c>
      <c r="P90" s="5255">
        <f t="shared" si="212"/>
        <v>0</v>
      </c>
      <c r="Q90" s="5256">
        <f t="shared" si="213"/>
        <v>0</v>
      </c>
      <c r="R90" s="2776">
        <v>0</v>
      </c>
      <c r="S90" s="5274">
        <v>0</v>
      </c>
      <c r="T90" s="5255">
        <v>0</v>
      </c>
      <c r="U90" s="5255">
        <v>0</v>
      </c>
      <c r="V90" s="5255">
        <v>0</v>
      </c>
      <c r="W90" s="5255">
        <v>0</v>
      </c>
      <c r="X90" s="5255">
        <v>0</v>
      </c>
      <c r="Y90" s="5255">
        <v>0</v>
      </c>
      <c r="Z90" s="5255">
        <v>0</v>
      </c>
      <c r="AA90" s="5255">
        <v>0</v>
      </c>
      <c r="AB90" s="5255">
        <v>0</v>
      </c>
      <c r="AC90" s="5255">
        <v>0</v>
      </c>
      <c r="AD90" s="5255">
        <v>0</v>
      </c>
      <c r="AE90" s="5255">
        <f t="shared" si="214"/>
        <v>0</v>
      </c>
      <c r="AF90" s="5256">
        <f t="shared" si="215"/>
        <v>0</v>
      </c>
      <c r="AG90" s="2776"/>
      <c r="AH90" s="5274">
        <v>93</v>
      </c>
      <c r="AI90" s="5255">
        <v>93</v>
      </c>
      <c r="AJ90" s="5255">
        <v>101</v>
      </c>
      <c r="AK90" s="5255">
        <v>101</v>
      </c>
      <c r="AL90" s="5255">
        <v>105</v>
      </c>
      <c r="AM90" s="5255">
        <v>109</v>
      </c>
      <c r="AN90" s="5255">
        <v>109</v>
      </c>
      <c r="AO90" s="5255">
        <v>101</v>
      </c>
      <c r="AP90" s="5255">
        <v>112</v>
      </c>
      <c r="AQ90" s="5255">
        <v>112</v>
      </c>
      <c r="AR90" s="5255">
        <v>109</v>
      </c>
      <c r="AS90" s="5255">
        <v>112</v>
      </c>
      <c r="AT90" s="5255">
        <f t="shared" si="228"/>
        <v>1257</v>
      </c>
      <c r="AU90" s="5256">
        <f t="shared" si="136"/>
        <v>104.75</v>
      </c>
      <c r="AW90" s="5274">
        <v>112</v>
      </c>
      <c r="AX90" s="5255">
        <v>108</v>
      </c>
      <c r="AY90" s="5255">
        <v>104</v>
      </c>
      <c r="AZ90" s="5255">
        <v>102</v>
      </c>
      <c r="BA90" s="5255">
        <v>102</v>
      </c>
      <c r="BB90" s="5255">
        <v>98</v>
      </c>
      <c r="BC90" s="5255">
        <v>98</v>
      </c>
      <c r="BD90" s="5255">
        <v>98</v>
      </c>
      <c r="BE90" s="5255">
        <v>100</v>
      </c>
      <c r="BF90" s="5255">
        <v>100</v>
      </c>
      <c r="BG90" s="5255">
        <v>100</v>
      </c>
      <c r="BH90" s="5255">
        <v>96</v>
      </c>
      <c r="BI90" s="5255">
        <f t="shared" si="209"/>
        <v>1218</v>
      </c>
      <c r="BJ90" s="5256">
        <f t="shared" si="141"/>
        <v>101.5</v>
      </c>
      <c r="BL90" s="5257">
        <v>96</v>
      </c>
      <c r="BM90" s="5255">
        <v>96</v>
      </c>
      <c r="BN90" s="5255"/>
      <c r="BO90" s="5255"/>
      <c r="BP90" s="5255"/>
      <c r="BQ90" s="5255"/>
      <c r="BR90" s="5255"/>
      <c r="BS90" s="5255"/>
      <c r="BT90" s="5255"/>
      <c r="BU90" s="5255"/>
      <c r="BV90" s="5255"/>
      <c r="BW90" s="5255"/>
      <c r="BX90" s="5255">
        <f t="shared" si="210"/>
        <v>192</v>
      </c>
      <c r="BY90" s="5256">
        <f t="shared" si="211"/>
        <v>96</v>
      </c>
      <c r="CA90" s="169">
        <f t="shared" si="132"/>
        <v>-12</v>
      </c>
      <c r="CB90" s="169">
        <f t="shared" si="205"/>
        <v>-3.25</v>
      </c>
      <c r="CC90" s="169">
        <f>IFERROR(
  SUM(
    _xlfn.XLOOKUP(DATE(YEAR($A$1),1,1),$2:$2,90:90):
    _xlfn.XLOOKUP($A$1,$2:$2,90:90)
  )
 -SUM(
    _xlfn.XLOOKUP(DATE(YEAR($A$1)-1,1,1),$2:$2,90:90):
    _xlfn.XLOOKUP(EDATE($A$1,-12),$2:$2,90:90)
  ),"")</f>
        <v>-28</v>
      </c>
      <c r="CD90" s="4517">
        <f t="shared" si="133"/>
        <v>0</v>
      </c>
    </row>
    <row r="91" spans="1:82" ht="17.600000000000001" x14ac:dyDescent="0.55000000000000004">
      <c r="A91" s="7383"/>
      <c r="B91" s="2062"/>
      <c r="C91" s="5258" t="s">
        <v>212</v>
      </c>
      <c r="D91" s="5260">
        <v>0</v>
      </c>
      <c r="E91" s="5260">
        <v>0</v>
      </c>
      <c r="F91" s="5260">
        <v>0</v>
      </c>
      <c r="G91" s="5260">
        <v>0</v>
      </c>
      <c r="H91" s="5260">
        <v>0</v>
      </c>
      <c r="I91" s="5260">
        <v>0</v>
      </c>
      <c r="J91" s="5260">
        <v>0</v>
      </c>
      <c r="K91" s="5260">
        <v>0</v>
      </c>
      <c r="L91" s="5260">
        <v>0</v>
      </c>
      <c r="M91" s="5260">
        <v>0</v>
      </c>
      <c r="N91" s="5260">
        <v>0</v>
      </c>
      <c r="O91" s="5260">
        <v>0</v>
      </c>
      <c r="P91" s="5260">
        <f t="shared" si="212"/>
        <v>0</v>
      </c>
      <c r="Q91" s="5261">
        <f t="shared" si="213"/>
        <v>0</v>
      </c>
      <c r="R91" s="2776">
        <v>0</v>
      </c>
      <c r="S91" s="5275">
        <v>0</v>
      </c>
      <c r="T91" s="5260">
        <v>0</v>
      </c>
      <c r="U91" s="5260">
        <v>0</v>
      </c>
      <c r="V91" s="5260">
        <v>0</v>
      </c>
      <c r="W91" s="5260">
        <v>0</v>
      </c>
      <c r="X91" s="5260">
        <v>0</v>
      </c>
      <c r="Y91" s="5260">
        <v>0</v>
      </c>
      <c r="Z91" s="5260">
        <v>0</v>
      </c>
      <c r="AA91" s="5260">
        <v>0</v>
      </c>
      <c r="AB91" s="5260">
        <v>0</v>
      </c>
      <c r="AC91" s="5260">
        <v>0</v>
      </c>
      <c r="AD91" s="5260">
        <v>0</v>
      </c>
      <c r="AE91" s="5260">
        <f t="shared" si="214"/>
        <v>0</v>
      </c>
      <c r="AF91" s="5261">
        <f t="shared" si="215"/>
        <v>0</v>
      </c>
      <c r="AG91" s="2776"/>
      <c r="AH91" s="5275">
        <v>95</v>
      </c>
      <c r="AI91" s="5260">
        <v>95</v>
      </c>
      <c r="AJ91" s="5260">
        <v>98</v>
      </c>
      <c r="AK91" s="5260">
        <v>98</v>
      </c>
      <c r="AL91" s="5260">
        <v>103</v>
      </c>
      <c r="AM91" s="5260">
        <v>103</v>
      </c>
      <c r="AN91" s="5260">
        <v>103</v>
      </c>
      <c r="AO91" s="5260">
        <v>103</v>
      </c>
      <c r="AP91" s="5260">
        <v>103</v>
      </c>
      <c r="AQ91" s="5260">
        <v>103</v>
      </c>
      <c r="AR91" s="5260">
        <v>103</v>
      </c>
      <c r="AS91" s="5260">
        <v>106</v>
      </c>
      <c r="AT91" s="5260">
        <f t="shared" si="228"/>
        <v>1213</v>
      </c>
      <c r="AU91" s="5261">
        <f t="shared" si="136"/>
        <v>101.08333333333333</v>
      </c>
      <c r="AW91" s="5275">
        <v>103</v>
      </c>
      <c r="AX91" s="5260">
        <v>103</v>
      </c>
      <c r="AY91" s="5260">
        <v>100</v>
      </c>
      <c r="AZ91" s="5260">
        <v>104</v>
      </c>
      <c r="BA91" s="5260">
        <v>104</v>
      </c>
      <c r="BB91" s="5260">
        <v>104</v>
      </c>
      <c r="BC91" s="5260">
        <v>104</v>
      </c>
      <c r="BD91" s="5260">
        <v>104</v>
      </c>
      <c r="BE91" s="5260">
        <v>104</v>
      </c>
      <c r="BF91" s="5260">
        <v>104</v>
      </c>
      <c r="BG91" s="5260">
        <v>104</v>
      </c>
      <c r="BH91" s="5260">
        <v>104</v>
      </c>
      <c r="BI91" s="5260">
        <f t="shared" si="209"/>
        <v>1242</v>
      </c>
      <c r="BJ91" s="5261">
        <f t="shared" si="141"/>
        <v>103.5</v>
      </c>
      <c r="BL91" s="5262">
        <v>108</v>
      </c>
      <c r="BM91" s="5260">
        <v>108</v>
      </c>
      <c r="BN91" s="5260"/>
      <c r="BO91" s="5260"/>
      <c r="BP91" s="5260"/>
      <c r="BQ91" s="5260"/>
      <c r="BR91" s="5260"/>
      <c r="BS91" s="5260"/>
      <c r="BT91" s="5260"/>
      <c r="BU91" s="5260"/>
      <c r="BV91" s="5260"/>
      <c r="BW91" s="5260"/>
      <c r="BX91" s="5260">
        <f t="shared" si="210"/>
        <v>216</v>
      </c>
      <c r="BY91" s="5261">
        <f t="shared" si="211"/>
        <v>108</v>
      </c>
      <c r="CA91" s="169">
        <f t="shared" si="132"/>
        <v>5</v>
      </c>
      <c r="CB91" s="169">
        <f t="shared" si="205"/>
        <v>2.4166666666666714</v>
      </c>
      <c r="CC91" s="169">
        <f>IFERROR(
  SUM(
    _xlfn.XLOOKUP(DATE(YEAR($A$1),1,1),$2:$2,91:91):
    _xlfn.XLOOKUP($A$1,$2:$2,91:91)
  )
 -SUM(
    _xlfn.XLOOKUP(DATE(YEAR($A$1)-1,1,1),$2:$2,91:91):
    _xlfn.XLOOKUP(EDATE($A$1,-12),$2:$2,91:91)
  ),"")</f>
        <v>10</v>
      </c>
      <c r="CD91" s="4517">
        <f t="shared" si="133"/>
        <v>0</v>
      </c>
    </row>
    <row r="92" spans="1:82" ht="17.600000000000001" x14ac:dyDescent="0.55000000000000004">
      <c r="A92" s="7383"/>
      <c r="B92" s="2062"/>
      <c r="C92" s="5263" t="s">
        <v>213</v>
      </c>
      <c r="D92" s="5265">
        <v>0</v>
      </c>
      <c r="E92" s="5265">
        <v>0</v>
      </c>
      <c r="F92" s="5265">
        <v>0</v>
      </c>
      <c r="G92" s="5265">
        <v>0</v>
      </c>
      <c r="H92" s="5265">
        <v>0</v>
      </c>
      <c r="I92" s="5265">
        <v>0</v>
      </c>
      <c r="J92" s="5265">
        <v>0</v>
      </c>
      <c r="K92" s="5265">
        <v>0</v>
      </c>
      <c r="L92" s="5265">
        <v>0</v>
      </c>
      <c r="M92" s="5265">
        <v>0</v>
      </c>
      <c r="N92" s="5265">
        <v>0</v>
      </c>
      <c r="O92" s="5265">
        <v>0</v>
      </c>
      <c r="P92" s="5265">
        <f t="shared" si="212"/>
        <v>0</v>
      </c>
      <c r="Q92" s="5266">
        <f t="shared" si="213"/>
        <v>0</v>
      </c>
      <c r="R92" s="2776">
        <v>0</v>
      </c>
      <c r="S92" s="5276">
        <v>0</v>
      </c>
      <c r="T92" s="5265">
        <v>0</v>
      </c>
      <c r="U92" s="5265">
        <v>0</v>
      </c>
      <c r="V92" s="5265">
        <v>0</v>
      </c>
      <c r="W92" s="5265">
        <v>0</v>
      </c>
      <c r="X92" s="5265">
        <v>0</v>
      </c>
      <c r="Y92" s="5265">
        <v>0</v>
      </c>
      <c r="Z92" s="5265">
        <v>0</v>
      </c>
      <c r="AA92" s="5265">
        <v>0</v>
      </c>
      <c r="AB92" s="5265">
        <v>0</v>
      </c>
      <c r="AC92" s="5265">
        <v>0</v>
      </c>
      <c r="AD92" s="5265">
        <v>0</v>
      </c>
      <c r="AE92" s="5265">
        <f t="shared" si="214"/>
        <v>0</v>
      </c>
      <c r="AF92" s="5266">
        <f t="shared" si="215"/>
        <v>0</v>
      </c>
      <c r="AG92" s="2776"/>
      <c r="AH92" s="5276">
        <v>74</v>
      </c>
      <c r="AI92" s="5265">
        <v>74</v>
      </c>
      <c r="AJ92" s="5265">
        <v>74</v>
      </c>
      <c r="AK92" s="5265">
        <v>75</v>
      </c>
      <c r="AL92" s="5265">
        <v>75</v>
      </c>
      <c r="AM92" s="5265">
        <v>82</v>
      </c>
      <c r="AN92" s="5265">
        <v>82</v>
      </c>
      <c r="AO92" s="5265">
        <v>78</v>
      </c>
      <c r="AP92" s="5265">
        <v>82</v>
      </c>
      <c r="AQ92" s="5265">
        <v>82</v>
      </c>
      <c r="AR92" s="5265">
        <v>82</v>
      </c>
      <c r="AS92" s="5265">
        <v>82</v>
      </c>
      <c r="AT92" s="5265">
        <f t="shared" si="228"/>
        <v>942</v>
      </c>
      <c r="AU92" s="5266">
        <f t="shared" si="136"/>
        <v>78.5</v>
      </c>
      <c r="AW92" s="5276">
        <v>82</v>
      </c>
      <c r="AX92" s="5265">
        <v>82</v>
      </c>
      <c r="AY92" s="5265">
        <v>82</v>
      </c>
      <c r="AZ92" s="5265">
        <v>74</v>
      </c>
      <c r="BA92" s="5265">
        <v>74</v>
      </c>
      <c r="BB92" s="5265">
        <v>74</v>
      </c>
      <c r="BC92" s="5265">
        <v>74</v>
      </c>
      <c r="BD92" s="5265">
        <v>71</v>
      </c>
      <c r="BE92" s="5265">
        <v>71</v>
      </c>
      <c r="BF92" s="5265">
        <v>71</v>
      </c>
      <c r="BG92" s="5265">
        <v>71</v>
      </c>
      <c r="BH92" s="5265">
        <v>71</v>
      </c>
      <c r="BI92" s="5265">
        <f t="shared" si="209"/>
        <v>897</v>
      </c>
      <c r="BJ92" s="5266">
        <f t="shared" si="141"/>
        <v>74.75</v>
      </c>
      <c r="BL92" s="5267">
        <v>75</v>
      </c>
      <c r="BM92" s="5265">
        <v>75</v>
      </c>
      <c r="BN92" s="5265"/>
      <c r="BO92" s="5265"/>
      <c r="BP92" s="5265"/>
      <c r="BQ92" s="5265"/>
      <c r="BR92" s="5265"/>
      <c r="BS92" s="5265"/>
      <c r="BT92" s="5265"/>
      <c r="BU92" s="5265"/>
      <c r="BV92" s="5265"/>
      <c r="BW92" s="5265"/>
      <c r="BX92" s="5265">
        <f t="shared" si="210"/>
        <v>150</v>
      </c>
      <c r="BY92" s="5266">
        <f t="shared" si="211"/>
        <v>75</v>
      </c>
      <c r="CA92" s="169">
        <f t="shared" si="132"/>
        <v>-7</v>
      </c>
      <c r="CB92" s="169">
        <f t="shared" si="205"/>
        <v>-3.75</v>
      </c>
      <c r="CC92" s="169">
        <f>IFERROR(
  SUM(
    _xlfn.XLOOKUP(DATE(YEAR($A$1),1,1),$2:$2,92:92):
    _xlfn.XLOOKUP($A$1,$2:$2,92:92)
  )
 -SUM(
    _xlfn.XLOOKUP(DATE(YEAR($A$1)-1,1,1),$2:$2,92:92):
    _xlfn.XLOOKUP(EDATE($A$1,-12),$2:$2,92:92)
  ),"")</f>
        <v>-14</v>
      </c>
      <c r="CD92" s="4517">
        <f t="shared" si="133"/>
        <v>0</v>
      </c>
    </row>
    <row r="93" spans="1:82" ht="17.600000000000001" x14ac:dyDescent="0.55000000000000004">
      <c r="A93" s="7383"/>
      <c r="B93" s="2062"/>
      <c r="C93" s="5263" t="s">
        <v>214</v>
      </c>
      <c r="D93" s="5265">
        <v>0</v>
      </c>
      <c r="E93" s="5265">
        <v>0</v>
      </c>
      <c r="F93" s="5265">
        <v>0</v>
      </c>
      <c r="G93" s="5265">
        <v>0</v>
      </c>
      <c r="H93" s="5265">
        <v>0</v>
      </c>
      <c r="I93" s="5265">
        <v>0</v>
      </c>
      <c r="J93" s="5265">
        <v>0</v>
      </c>
      <c r="K93" s="5265">
        <v>0</v>
      </c>
      <c r="L93" s="5265">
        <v>0</v>
      </c>
      <c r="M93" s="5265">
        <v>0</v>
      </c>
      <c r="N93" s="5265">
        <v>0</v>
      </c>
      <c r="O93" s="5265">
        <v>0</v>
      </c>
      <c r="P93" s="5265">
        <f t="shared" si="212"/>
        <v>0</v>
      </c>
      <c r="Q93" s="5266">
        <f t="shared" si="213"/>
        <v>0</v>
      </c>
      <c r="R93" s="2776">
        <v>0</v>
      </c>
      <c r="S93" s="5276">
        <v>0</v>
      </c>
      <c r="T93" s="5265">
        <v>0</v>
      </c>
      <c r="U93" s="5265">
        <v>0</v>
      </c>
      <c r="V93" s="5265">
        <v>0</v>
      </c>
      <c r="W93" s="5265">
        <v>0</v>
      </c>
      <c r="X93" s="5265">
        <v>0</v>
      </c>
      <c r="Y93" s="5265">
        <v>0</v>
      </c>
      <c r="Z93" s="5265">
        <v>0</v>
      </c>
      <c r="AA93" s="5265">
        <v>0</v>
      </c>
      <c r="AB93" s="5265">
        <v>0</v>
      </c>
      <c r="AC93" s="5265">
        <v>0</v>
      </c>
      <c r="AD93" s="5265">
        <v>0</v>
      </c>
      <c r="AE93" s="5265">
        <f t="shared" si="214"/>
        <v>0</v>
      </c>
      <c r="AF93" s="5266">
        <f t="shared" si="215"/>
        <v>0</v>
      </c>
      <c r="AG93" s="2776"/>
      <c r="AH93" s="5276">
        <v>100</v>
      </c>
      <c r="AI93" s="5265">
        <v>100</v>
      </c>
      <c r="AJ93" s="5265">
        <v>104</v>
      </c>
      <c r="AK93" s="5265">
        <v>104</v>
      </c>
      <c r="AL93" s="5265">
        <v>104</v>
      </c>
      <c r="AM93" s="5265">
        <v>104</v>
      </c>
      <c r="AN93" s="5265">
        <v>104</v>
      </c>
      <c r="AO93" s="5265">
        <v>104</v>
      </c>
      <c r="AP93" s="5265">
        <v>104</v>
      </c>
      <c r="AQ93" s="5265">
        <v>104</v>
      </c>
      <c r="AR93" s="5265">
        <v>104</v>
      </c>
      <c r="AS93" s="5265">
        <v>104</v>
      </c>
      <c r="AT93" s="5265">
        <f t="shared" si="228"/>
        <v>1240</v>
      </c>
      <c r="AU93" s="5266">
        <f t="shared" si="136"/>
        <v>103.33333333333333</v>
      </c>
      <c r="AW93" s="5276">
        <v>104</v>
      </c>
      <c r="AX93" s="5265">
        <v>104</v>
      </c>
      <c r="AY93" s="5265">
        <v>104</v>
      </c>
      <c r="AZ93" s="5265">
        <v>104</v>
      </c>
      <c r="BA93" s="5265">
        <v>100</v>
      </c>
      <c r="BB93" s="5265">
        <v>100</v>
      </c>
      <c r="BC93" s="5265">
        <v>100</v>
      </c>
      <c r="BD93" s="5265">
        <v>102</v>
      </c>
      <c r="BE93" s="5265">
        <v>102</v>
      </c>
      <c r="BF93" s="5265">
        <v>102</v>
      </c>
      <c r="BG93" s="5265">
        <v>102</v>
      </c>
      <c r="BH93" s="5265">
        <v>102</v>
      </c>
      <c r="BI93" s="5265">
        <f t="shared" si="209"/>
        <v>1226</v>
      </c>
      <c r="BJ93" s="5266">
        <f t="shared" si="141"/>
        <v>102.16666666666667</v>
      </c>
      <c r="BL93" s="5267">
        <v>102</v>
      </c>
      <c r="BM93" s="5265">
        <v>102</v>
      </c>
      <c r="BN93" s="5265"/>
      <c r="BO93" s="5265"/>
      <c r="BP93" s="5265"/>
      <c r="BQ93" s="5265"/>
      <c r="BR93" s="5265"/>
      <c r="BS93" s="5265"/>
      <c r="BT93" s="5265"/>
      <c r="BU93" s="5265"/>
      <c r="BV93" s="5265"/>
      <c r="BW93" s="5265"/>
      <c r="BX93" s="5265">
        <f t="shared" si="210"/>
        <v>204</v>
      </c>
      <c r="BY93" s="5266">
        <f t="shared" si="211"/>
        <v>102</v>
      </c>
      <c r="CA93" s="169">
        <f t="shared" si="132"/>
        <v>-2</v>
      </c>
      <c r="CB93" s="169">
        <f t="shared" si="205"/>
        <v>-1.1666666666666572</v>
      </c>
      <c r="CC93" s="169">
        <f>IFERROR(
  SUM(
    _xlfn.XLOOKUP(DATE(YEAR($A$1),1,1),$2:$2,93:93):
    _xlfn.XLOOKUP($A$1,$2:$2,93:93)
  )
 -SUM(
    _xlfn.XLOOKUP(DATE(YEAR($A$1)-1,1,1),$2:$2,93:93):
    _xlfn.XLOOKUP(EDATE($A$1,-12),$2:$2,93:93)
  ),"")</f>
        <v>-4</v>
      </c>
      <c r="CD93" s="4517">
        <f t="shared" si="133"/>
        <v>0</v>
      </c>
    </row>
    <row r="94" spans="1:82" ht="17.600000000000001" x14ac:dyDescent="0.55000000000000004">
      <c r="A94" s="7383"/>
      <c r="B94" s="2062"/>
      <c r="C94" s="5258" t="s">
        <v>215</v>
      </c>
      <c r="D94" s="5260">
        <v>0</v>
      </c>
      <c r="E94" s="5260">
        <v>0</v>
      </c>
      <c r="F94" s="5260">
        <v>0</v>
      </c>
      <c r="G94" s="5260">
        <v>0</v>
      </c>
      <c r="H94" s="5260">
        <v>0</v>
      </c>
      <c r="I94" s="5260">
        <v>0</v>
      </c>
      <c r="J94" s="5260">
        <v>0</v>
      </c>
      <c r="K94" s="5260">
        <v>0</v>
      </c>
      <c r="L94" s="5260">
        <v>0</v>
      </c>
      <c r="M94" s="5260">
        <v>0</v>
      </c>
      <c r="N94" s="5260">
        <v>0</v>
      </c>
      <c r="O94" s="5260">
        <v>0</v>
      </c>
      <c r="P94" s="5260">
        <f t="shared" si="212"/>
        <v>0</v>
      </c>
      <c r="Q94" s="5261">
        <f t="shared" si="213"/>
        <v>0</v>
      </c>
      <c r="R94" s="2776">
        <v>0</v>
      </c>
      <c r="S94" s="5275">
        <v>0</v>
      </c>
      <c r="T94" s="5260">
        <v>0</v>
      </c>
      <c r="U94" s="5260">
        <v>0</v>
      </c>
      <c r="V94" s="5260">
        <v>0</v>
      </c>
      <c r="W94" s="5260">
        <v>0</v>
      </c>
      <c r="X94" s="5260">
        <v>0</v>
      </c>
      <c r="Y94" s="5260">
        <v>0</v>
      </c>
      <c r="Z94" s="5260">
        <v>0</v>
      </c>
      <c r="AA94" s="5260">
        <v>0</v>
      </c>
      <c r="AB94" s="5260">
        <v>0</v>
      </c>
      <c r="AC94" s="5260">
        <v>0</v>
      </c>
      <c r="AD94" s="5260">
        <v>0</v>
      </c>
      <c r="AE94" s="5260">
        <f t="shared" si="214"/>
        <v>0</v>
      </c>
      <c r="AF94" s="5261">
        <f t="shared" si="215"/>
        <v>0</v>
      </c>
      <c r="AG94" s="2776"/>
      <c r="AH94" s="5275">
        <v>131</v>
      </c>
      <c r="AI94" s="5260">
        <v>131</v>
      </c>
      <c r="AJ94" s="5260">
        <v>131</v>
      </c>
      <c r="AK94" s="5260">
        <v>131</v>
      </c>
      <c r="AL94" s="5260">
        <v>139</v>
      </c>
      <c r="AM94" s="5260">
        <v>139</v>
      </c>
      <c r="AN94" s="5260">
        <v>143</v>
      </c>
      <c r="AO94" s="5260">
        <v>150</v>
      </c>
      <c r="AP94" s="5260">
        <v>143</v>
      </c>
      <c r="AQ94" s="5260">
        <v>143</v>
      </c>
      <c r="AR94" s="5260">
        <v>143</v>
      </c>
      <c r="AS94" s="5260">
        <v>146</v>
      </c>
      <c r="AT94" s="5260">
        <f t="shared" si="228"/>
        <v>1670</v>
      </c>
      <c r="AU94" s="5261">
        <f t="shared" si="136"/>
        <v>139.16666666666666</v>
      </c>
      <c r="AW94" s="5275">
        <v>143</v>
      </c>
      <c r="AX94" s="5260">
        <v>139</v>
      </c>
      <c r="AY94" s="5260">
        <v>135</v>
      </c>
      <c r="AZ94" s="5260">
        <v>139</v>
      </c>
      <c r="BA94" s="5260">
        <v>139</v>
      </c>
      <c r="BB94" s="5260">
        <v>132</v>
      </c>
      <c r="BC94" s="5260">
        <v>139</v>
      </c>
      <c r="BD94" s="5260">
        <v>139</v>
      </c>
      <c r="BE94" s="5260">
        <v>139</v>
      </c>
      <c r="BF94" s="5260">
        <v>139</v>
      </c>
      <c r="BG94" s="5260">
        <v>135</v>
      </c>
      <c r="BH94" s="5260">
        <v>135</v>
      </c>
      <c r="BI94" s="5260">
        <f t="shared" si="209"/>
        <v>1653</v>
      </c>
      <c r="BJ94" s="5261">
        <f t="shared" si="141"/>
        <v>137.75</v>
      </c>
      <c r="BL94" s="5262">
        <v>135</v>
      </c>
      <c r="BM94" s="5260">
        <v>135</v>
      </c>
      <c r="BN94" s="5260"/>
      <c r="BO94" s="5260"/>
      <c r="BP94" s="5260"/>
      <c r="BQ94" s="5260"/>
      <c r="BR94" s="5260"/>
      <c r="BS94" s="5260"/>
      <c r="BT94" s="5260"/>
      <c r="BU94" s="5260"/>
      <c r="BV94" s="5260"/>
      <c r="BW94" s="5260"/>
      <c r="BX94" s="5260">
        <f t="shared" si="210"/>
        <v>270</v>
      </c>
      <c r="BY94" s="5261">
        <f t="shared" si="211"/>
        <v>135</v>
      </c>
      <c r="CA94" s="169">
        <f t="shared" si="132"/>
        <v>-4</v>
      </c>
      <c r="CB94" s="169">
        <f t="shared" si="205"/>
        <v>-1.4166666666666572</v>
      </c>
      <c r="CC94" s="169">
        <f>IFERROR(
  SUM(
    _xlfn.XLOOKUP(DATE(YEAR($A$1),1,1),$2:$2,94:94):
    _xlfn.XLOOKUP($A$1,$2:$2,94:94)
  )
 -SUM(
    _xlfn.XLOOKUP(DATE(YEAR($A$1)-1,1,1),$2:$2,94:94):
    _xlfn.XLOOKUP(EDATE($A$1,-12),$2:$2,94:94)
  ),"")</f>
        <v>-12</v>
      </c>
      <c r="CD94" s="4517">
        <f t="shared" si="133"/>
        <v>0</v>
      </c>
    </row>
    <row r="95" spans="1:82" ht="17.600000000000001" x14ac:dyDescent="0.55000000000000004">
      <c r="A95" s="7383"/>
      <c r="B95" s="2062"/>
      <c r="C95" s="5258" t="s">
        <v>216</v>
      </c>
      <c r="D95" s="5260">
        <v>0</v>
      </c>
      <c r="E95" s="5260">
        <v>0</v>
      </c>
      <c r="F95" s="5260">
        <v>0</v>
      </c>
      <c r="G95" s="5260">
        <v>0</v>
      </c>
      <c r="H95" s="5260">
        <v>0</v>
      </c>
      <c r="I95" s="5260">
        <v>0</v>
      </c>
      <c r="J95" s="5260">
        <v>0</v>
      </c>
      <c r="K95" s="5260">
        <v>0</v>
      </c>
      <c r="L95" s="5260">
        <v>0</v>
      </c>
      <c r="M95" s="5260">
        <v>0</v>
      </c>
      <c r="N95" s="5260">
        <v>0</v>
      </c>
      <c r="O95" s="5260">
        <v>0</v>
      </c>
      <c r="P95" s="5260">
        <f t="shared" si="212"/>
        <v>0</v>
      </c>
      <c r="Q95" s="5261">
        <f t="shared" si="213"/>
        <v>0</v>
      </c>
      <c r="R95" s="2776">
        <v>0</v>
      </c>
      <c r="S95" s="5275">
        <v>0</v>
      </c>
      <c r="T95" s="5260">
        <v>0</v>
      </c>
      <c r="U95" s="5260">
        <v>0</v>
      </c>
      <c r="V95" s="5260">
        <v>0</v>
      </c>
      <c r="W95" s="5260">
        <v>0</v>
      </c>
      <c r="X95" s="5260">
        <v>0</v>
      </c>
      <c r="Y95" s="5260">
        <v>0</v>
      </c>
      <c r="Z95" s="5260">
        <v>0</v>
      </c>
      <c r="AA95" s="5260">
        <v>0</v>
      </c>
      <c r="AB95" s="5260">
        <v>0</v>
      </c>
      <c r="AC95" s="5260">
        <v>0</v>
      </c>
      <c r="AD95" s="5260">
        <v>0</v>
      </c>
      <c r="AE95" s="5260">
        <f t="shared" si="214"/>
        <v>0</v>
      </c>
      <c r="AF95" s="5261">
        <f t="shared" si="215"/>
        <v>0</v>
      </c>
      <c r="AG95" s="2776"/>
      <c r="AH95" s="5275">
        <v>87</v>
      </c>
      <c r="AI95" s="5260">
        <v>87</v>
      </c>
      <c r="AJ95" s="5260">
        <v>91</v>
      </c>
      <c r="AK95" s="5260">
        <v>91</v>
      </c>
      <c r="AL95" s="5260">
        <v>91</v>
      </c>
      <c r="AM95" s="5260">
        <v>91</v>
      </c>
      <c r="AN95" s="5260">
        <v>92</v>
      </c>
      <c r="AO95" s="5260">
        <v>90</v>
      </c>
      <c r="AP95" s="5260">
        <v>92</v>
      </c>
      <c r="AQ95" s="5260">
        <v>92</v>
      </c>
      <c r="AR95" s="5260">
        <v>92</v>
      </c>
      <c r="AS95" s="5260">
        <v>92</v>
      </c>
      <c r="AT95" s="5260">
        <f t="shared" si="228"/>
        <v>1088</v>
      </c>
      <c r="AU95" s="5261">
        <f t="shared" si="136"/>
        <v>90.666666666666671</v>
      </c>
      <c r="AW95" s="5275">
        <v>92</v>
      </c>
      <c r="AX95" s="5260">
        <v>92</v>
      </c>
      <c r="AY95" s="5260">
        <v>92</v>
      </c>
      <c r="AZ95" s="5260">
        <v>94</v>
      </c>
      <c r="BA95" s="5260">
        <v>94</v>
      </c>
      <c r="BB95" s="5260">
        <v>90</v>
      </c>
      <c r="BC95" s="5260">
        <v>90</v>
      </c>
      <c r="BD95" s="5260">
        <v>90</v>
      </c>
      <c r="BE95" s="5260">
        <v>90</v>
      </c>
      <c r="BF95" s="5260">
        <v>90</v>
      </c>
      <c r="BG95" s="5260">
        <v>90</v>
      </c>
      <c r="BH95" s="5260">
        <v>86</v>
      </c>
      <c r="BI95" s="5260">
        <f t="shared" si="209"/>
        <v>1090</v>
      </c>
      <c r="BJ95" s="5261">
        <f t="shared" si="141"/>
        <v>90.833333333333329</v>
      </c>
      <c r="BL95" s="5262">
        <v>86</v>
      </c>
      <c r="BM95" s="5260">
        <v>86</v>
      </c>
      <c r="BN95" s="5260"/>
      <c r="BO95" s="5260"/>
      <c r="BP95" s="5260"/>
      <c r="BQ95" s="5260"/>
      <c r="BR95" s="5260"/>
      <c r="BS95" s="5260"/>
      <c r="BT95" s="5260"/>
      <c r="BU95" s="5260"/>
      <c r="BV95" s="5260"/>
      <c r="BW95" s="5260"/>
      <c r="BX95" s="5260">
        <f t="shared" si="210"/>
        <v>172</v>
      </c>
      <c r="BY95" s="5261">
        <f t="shared" si="211"/>
        <v>86</v>
      </c>
      <c r="CA95" s="169">
        <f t="shared" si="132"/>
        <v>-6</v>
      </c>
      <c r="CB95" s="169">
        <f t="shared" si="205"/>
        <v>0.16666666666665719</v>
      </c>
      <c r="CC95" s="169">
        <f>IFERROR(
  SUM(
    _xlfn.XLOOKUP(DATE(YEAR($A$1),1,1),$2:$2,95:95):
    _xlfn.XLOOKUP($A$1,$2:$2,95:95)
  )
 -SUM(
    _xlfn.XLOOKUP(DATE(YEAR($A$1)-1,1,1),$2:$2,95:95):
    _xlfn.XLOOKUP(EDATE($A$1,-12),$2:$2,95:95)
  ),"")</f>
        <v>-12</v>
      </c>
      <c r="CD95" s="4517">
        <f t="shared" si="133"/>
        <v>0</v>
      </c>
    </row>
    <row r="96" spans="1:82" ht="17.600000000000001" x14ac:dyDescent="0.55000000000000004">
      <c r="A96" s="7383"/>
      <c r="B96" s="2062"/>
      <c r="C96" s="5263" t="s">
        <v>217</v>
      </c>
      <c r="D96" s="5265">
        <v>0</v>
      </c>
      <c r="E96" s="5265">
        <v>0</v>
      </c>
      <c r="F96" s="5265">
        <v>0</v>
      </c>
      <c r="G96" s="5265">
        <v>0</v>
      </c>
      <c r="H96" s="5265">
        <v>0</v>
      </c>
      <c r="I96" s="5265">
        <v>0</v>
      </c>
      <c r="J96" s="5265">
        <v>0</v>
      </c>
      <c r="K96" s="5265">
        <v>0</v>
      </c>
      <c r="L96" s="5265">
        <v>0</v>
      </c>
      <c r="M96" s="5265">
        <v>0</v>
      </c>
      <c r="N96" s="5265">
        <v>0</v>
      </c>
      <c r="O96" s="5265">
        <v>0</v>
      </c>
      <c r="P96" s="5265">
        <f t="shared" si="212"/>
        <v>0</v>
      </c>
      <c r="Q96" s="5266">
        <f t="shared" si="213"/>
        <v>0</v>
      </c>
      <c r="R96" s="2776">
        <v>0</v>
      </c>
      <c r="S96" s="5276">
        <v>0</v>
      </c>
      <c r="T96" s="5265">
        <v>0</v>
      </c>
      <c r="U96" s="5265">
        <v>0</v>
      </c>
      <c r="V96" s="5265">
        <v>0</v>
      </c>
      <c r="W96" s="5265">
        <v>0</v>
      </c>
      <c r="X96" s="5265">
        <v>0</v>
      </c>
      <c r="Y96" s="5265">
        <v>0</v>
      </c>
      <c r="Z96" s="5265">
        <v>0</v>
      </c>
      <c r="AA96" s="5265">
        <v>0</v>
      </c>
      <c r="AB96" s="5265">
        <v>0</v>
      </c>
      <c r="AC96" s="5265">
        <v>0</v>
      </c>
      <c r="AD96" s="5265">
        <v>0</v>
      </c>
      <c r="AE96" s="5265">
        <f t="shared" si="214"/>
        <v>0</v>
      </c>
      <c r="AF96" s="5266">
        <f t="shared" si="215"/>
        <v>0</v>
      </c>
      <c r="AG96" s="2776"/>
      <c r="AH96" s="5276">
        <v>119</v>
      </c>
      <c r="AI96" s="5265">
        <v>119</v>
      </c>
      <c r="AJ96" s="5265">
        <v>123</v>
      </c>
      <c r="AK96" s="5265">
        <v>123</v>
      </c>
      <c r="AL96" s="5265">
        <v>127</v>
      </c>
      <c r="AM96" s="5265">
        <v>127</v>
      </c>
      <c r="AN96" s="5265">
        <v>123</v>
      </c>
      <c r="AO96" s="5265">
        <v>118</v>
      </c>
      <c r="AP96" s="5265">
        <v>127</v>
      </c>
      <c r="AQ96" s="5265">
        <v>127</v>
      </c>
      <c r="AR96" s="5265">
        <v>123</v>
      </c>
      <c r="AS96" s="5265">
        <v>127</v>
      </c>
      <c r="AT96" s="5265">
        <f t="shared" si="228"/>
        <v>1483</v>
      </c>
      <c r="AU96" s="5266">
        <f t="shared" si="136"/>
        <v>123.58333333333333</v>
      </c>
      <c r="AW96" s="5276">
        <v>127</v>
      </c>
      <c r="AX96" s="5265">
        <v>123</v>
      </c>
      <c r="AY96" s="5265">
        <v>119</v>
      </c>
      <c r="AZ96" s="5265">
        <v>119</v>
      </c>
      <c r="BA96" s="5265">
        <v>119</v>
      </c>
      <c r="BB96" s="5265">
        <v>119</v>
      </c>
      <c r="BC96" s="5265">
        <v>119</v>
      </c>
      <c r="BD96" s="5265">
        <v>119</v>
      </c>
      <c r="BE96" s="5265">
        <v>119</v>
      </c>
      <c r="BF96" s="5265">
        <v>119</v>
      </c>
      <c r="BG96" s="5265">
        <v>119</v>
      </c>
      <c r="BH96" s="5265">
        <v>119</v>
      </c>
      <c r="BI96" s="5265">
        <f t="shared" si="209"/>
        <v>1440</v>
      </c>
      <c r="BJ96" s="5266">
        <f t="shared" si="141"/>
        <v>120</v>
      </c>
      <c r="BL96" s="5267">
        <v>119</v>
      </c>
      <c r="BM96" s="5265">
        <v>128</v>
      </c>
      <c r="BN96" s="5265"/>
      <c r="BO96" s="5265"/>
      <c r="BP96" s="5265"/>
      <c r="BQ96" s="5265"/>
      <c r="BR96" s="5265"/>
      <c r="BS96" s="5265"/>
      <c r="BT96" s="5265"/>
      <c r="BU96" s="5265"/>
      <c r="BV96" s="5265"/>
      <c r="BW96" s="5265"/>
      <c r="BX96" s="5265">
        <f t="shared" si="210"/>
        <v>247</v>
      </c>
      <c r="BY96" s="5266">
        <f t="shared" si="211"/>
        <v>123.5</v>
      </c>
      <c r="CA96" s="169">
        <f t="shared" si="132"/>
        <v>5</v>
      </c>
      <c r="CB96" s="169">
        <f t="shared" si="205"/>
        <v>-3.5833333333333286</v>
      </c>
      <c r="CC96" s="169">
        <f>IFERROR(
  SUM(
    _xlfn.XLOOKUP(DATE(YEAR($A$1),1,1),$2:$2,96:96):
    _xlfn.XLOOKUP($A$1,$2:$2,96:96)
  )
 -SUM(
    _xlfn.XLOOKUP(DATE(YEAR($A$1)-1,1,1),$2:$2,96:96):
    _xlfn.XLOOKUP(EDATE($A$1,-12),$2:$2,96:96)
  ),"")</f>
        <v>-3</v>
      </c>
      <c r="CD96" s="4517">
        <f t="shared" si="133"/>
        <v>9</v>
      </c>
    </row>
    <row r="97" spans="1:82" ht="17.600000000000001" x14ac:dyDescent="0.55000000000000004">
      <c r="A97" s="7383"/>
      <c r="B97" s="2062"/>
      <c r="C97" s="5263" t="s">
        <v>218</v>
      </c>
      <c r="D97" s="5265">
        <v>0</v>
      </c>
      <c r="E97" s="5265">
        <v>0</v>
      </c>
      <c r="F97" s="5265">
        <v>0</v>
      </c>
      <c r="G97" s="5265">
        <v>0</v>
      </c>
      <c r="H97" s="5265">
        <v>0</v>
      </c>
      <c r="I97" s="5265">
        <v>0</v>
      </c>
      <c r="J97" s="5265">
        <v>0</v>
      </c>
      <c r="K97" s="5265">
        <v>0</v>
      </c>
      <c r="L97" s="5265">
        <v>0</v>
      </c>
      <c r="M97" s="5265">
        <v>0</v>
      </c>
      <c r="N97" s="5265">
        <v>0</v>
      </c>
      <c r="O97" s="5265">
        <v>0</v>
      </c>
      <c r="P97" s="5265">
        <f t="shared" si="212"/>
        <v>0</v>
      </c>
      <c r="Q97" s="5266">
        <f t="shared" si="213"/>
        <v>0</v>
      </c>
      <c r="R97" s="2776">
        <v>0</v>
      </c>
      <c r="S97" s="5276">
        <v>0</v>
      </c>
      <c r="T97" s="5265">
        <v>0</v>
      </c>
      <c r="U97" s="5265">
        <v>0</v>
      </c>
      <c r="V97" s="5265">
        <v>0</v>
      </c>
      <c r="W97" s="5265">
        <v>0</v>
      </c>
      <c r="X97" s="5265">
        <v>0</v>
      </c>
      <c r="Y97" s="5265">
        <v>0</v>
      </c>
      <c r="Z97" s="5265">
        <v>0</v>
      </c>
      <c r="AA97" s="5265">
        <v>0</v>
      </c>
      <c r="AB97" s="5265">
        <v>0</v>
      </c>
      <c r="AC97" s="5265">
        <v>0</v>
      </c>
      <c r="AD97" s="5265">
        <v>0</v>
      </c>
      <c r="AE97" s="5265">
        <f t="shared" si="214"/>
        <v>0</v>
      </c>
      <c r="AF97" s="5266">
        <f t="shared" si="215"/>
        <v>0</v>
      </c>
      <c r="AG97" s="2776"/>
      <c r="AH97" s="5276">
        <v>131</v>
      </c>
      <c r="AI97" s="5265">
        <v>131</v>
      </c>
      <c r="AJ97" s="5265">
        <v>131</v>
      </c>
      <c r="AK97" s="5265">
        <v>131</v>
      </c>
      <c r="AL97" s="5265">
        <v>127</v>
      </c>
      <c r="AM97" s="5265">
        <v>127</v>
      </c>
      <c r="AN97" s="5265">
        <v>127</v>
      </c>
      <c r="AO97" s="5265">
        <v>117</v>
      </c>
      <c r="AP97" s="5265">
        <v>124</v>
      </c>
      <c r="AQ97" s="5265">
        <v>124</v>
      </c>
      <c r="AR97" s="5265">
        <v>127</v>
      </c>
      <c r="AS97" s="5265">
        <v>124</v>
      </c>
      <c r="AT97" s="5265">
        <f t="shared" si="228"/>
        <v>1521</v>
      </c>
      <c r="AU97" s="5266">
        <f t="shared" si="136"/>
        <v>126.75</v>
      </c>
      <c r="AW97" s="5276">
        <v>120</v>
      </c>
      <c r="AX97" s="5265">
        <v>120</v>
      </c>
      <c r="AY97" s="5265">
        <v>120</v>
      </c>
      <c r="AZ97" s="5265">
        <v>120</v>
      </c>
      <c r="BA97" s="5265">
        <v>120</v>
      </c>
      <c r="BB97" s="5265">
        <v>120</v>
      </c>
      <c r="BC97" s="5265">
        <v>120</v>
      </c>
      <c r="BD97" s="5265">
        <v>120</v>
      </c>
      <c r="BE97" s="5265">
        <v>120</v>
      </c>
      <c r="BF97" s="5265">
        <v>120</v>
      </c>
      <c r="BG97" s="5265">
        <v>120</v>
      </c>
      <c r="BH97" s="5265">
        <v>120</v>
      </c>
      <c r="BI97" s="5265">
        <f t="shared" si="209"/>
        <v>1440</v>
      </c>
      <c r="BJ97" s="5266">
        <f t="shared" si="141"/>
        <v>120</v>
      </c>
      <c r="BL97" s="5267">
        <v>120</v>
      </c>
      <c r="BM97" s="5265">
        <v>120</v>
      </c>
      <c r="BN97" s="5265"/>
      <c r="BO97" s="5265"/>
      <c r="BP97" s="5265"/>
      <c r="BQ97" s="5265"/>
      <c r="BR97" s="5265"/>
      <c r="BS97" s="5265"/>
      <c r="BT97" s="5265"/>
      <c r="BU97" s="5265"/>
      <c r="BV97" s="5265"/>
      <c r="BW97" s="5265"/>
      <c r="BX97" s="5265">
        <f t="shared" si="210"/>
        <v>240</v>
      </c>
      <c r="BY97" s="5266">
        <f t="shared" si="211"/>
        <v>120</v>
      </c>
      <c r="CA97" s="169">
        <f t="shared" si="132"/>
        <v>0</v>
      </c>
      <c r="CB97" s="169">
        <f t="shared" si="205"/>
        <v>-6.75</v>
      </c>
      <c r="CC97" s="169">
        <f>IFERROR(
  SUM(
    _xlfn.XLOOKUP(DATE(YEAR($A$1),1,1),$2:$2,97:97):
    _xlfn.XLOOKUP($A$1,$2:$2,97:97)
  )
 -SUM(
    _xlfn.XLOOKUP(DATE(YEAR($A$1)-1,1,1),$2:$2,97:97):
    _xlfn.XLOOKUP(EDATE($A$1,-12),$2:$2,97:97)
  ),"")</f>
        <v>0</v>
      </c>
      <c r="CD97" s="4517">
        <f t="shared" si="133"/>
        <v>0</v>
      </c>
    </row>
    <row r="98" spans="1:82" ht="17.600000000000001" x14ac:dyDescent="0.55000000000000004">
      <c r="A98" s="7383"/>
      <c r="B98" s="2062"/>
      <c r="C98" s="5258" t="s">
        <v>219</v>
      </c>
      <c r="D98" s="5260">
        <v>0</v>
      </c>
      <c r="E98" s="5260">
        <v>0</v>
      </c>
      <c r="F98" s="5260">
        <v>0</v>
      </c>
      <c r="G98" s="5260">
        <v>0</v>
      </c>
      <c r="H98" s="5260">
        <v>0</v>
      </c>
      <c r="I98" s="5260">
        <v>0</v>
      </c>
      <c r="J98" s="5260">
        <v>0</v>
      </c>
      <c r="K98" s="5260">
        <v>0</v>
      </c>
      <c r="L98" s="5260">
        <v>0</v>
      </c>
      <c r="M98" s="5260">
        <v>0</v>
      </c>
      <c r="N98" s="5260">
        <v>0</v>
      </c>
      <c r="O98" s="5260">
        <v>0</v>
      </c>
      <c r="P98" s="5260">
        <f t="shared" si="212"/>
        <v>0</v>
      </c>
      <c r="Q98" s="5261">
        <f t="shared" si="213"/>
        <v>0</v>
      </c>
      <c r="R98" s="2776">
        <v>0</v>
      </c>
      <c r="S98" s="5275">
        <v>0</v>
      </c>
      <c r="T98" s="5260">
        <v>0</v>
      </c>
      <c r="U98" s="5260">
        <v>0</v>
      </c>
      <c r="V98" s="5260">
        <v>0</v>
      </c>
      <c r="W98" s="5260">
        <v>0</v>
      </c>
      <c r="X98" s="5260">
        <v>0</v>
      </c>
      <c r="Y98" s="5260">
        <v>0</v>
      </c>
      <c r="Z98" s="5260">
        <v>0</v>
      </c>
      <c r="AA98" s="5260">
        <v>0</v>
      </c>
      <c r="AB98" s="5260">
        <v>0</v>
      </c>
      <c r="AC98" s="5260">
        <v>0</v>
      </c>
      <c r="AD98" s="5260">
        <v>0</v>
      </c>
      <c r="AE98" s="5260">
        <f t="shared" si="214"/>
        <v>0</v>
      </c>
      <c r="AF98" s="5261">
        <f t="shared" si="215"/>
        <v>0</v>
      </c>
      <c r="AG98" s="2776"/>
      <c r="AH98" s="5275">
        <v>110</v>
      </c>
      <c r="AI98" s="5260">
        <v>110</v>
      </c>
      <c r="AJ98" s="5260">
        <v>110</v>
      </c>
      <c r="AK98" s="5260">
        <v>113</v>
      </c>
      <c r="AL98" s="5260">
        <v>109</v>
      </c>
      <c r="AM98" s="5260">
        <v>109</v>
      </c>
      <c r="AN98" s="5260">
        <v>109</v>
      </c>
      <c r="AO98" s="5260">
        <v>103</v>
      </c>
      <c r="AP98" s="5260">
        <v>113</v>
      </c>
      <c r="AQ98" s="5260">
        <v>113</v>
      </c>
      <c r="AR98" s="5260">
        <v>109</v>
      </c>
      <c r="AS98" s="5260">
        <v>117</v>
      </c>
      <c r="AT98" s="5260">
        <f t="shared" si="228"/>
        <v>1325</v>
      </c>
      <c r="AU98" s="5261">
        <f t="shared" si="136"/>
        <v>110.41666666666667</v>
      </c>
      <c r="AW98" s="5275">
        <v>114</v>
      </c>
      <c r="AX98" s="5260">
        <v>114</v>
      </c>
      <c r="AY98" s="5260">
        <v>111</v>
      </c>
      <c r="AZ98" s="5260">
        <v>111</v>
      </c>
      <c r="BA98" s="5260">
        <v>111</v>
      </c>
      <c r="BB98" s="5260">
        <v>108</v>
      </c>
      <c r="BC98" s="5260">
        <v>108</v>
      </c>
      <c r="BD98" s="5260">
        <v>108</v>
      </c>
      <c r="BE98" s="5260">
        <v>108</v>
      </c>
      <c r="BF98" s="5260">
        <v>108</v>
      </c>
      <c r="BG98" s="5260">
        <v>108</v>
      </c>
      <c r="BH98" s="5260">
        <v>108</v>
      </c>
      <c r="BI98" s="5260">
        <f t="shared" si="209"/>
        <v>1317</v>
      </c>
      <c r="BJ98" s="5261">
        <f t="shared" si="141"/>
        <v>109.75</v>
      </c>
      <c r="BL98" s="5262">
        <v>108</v>
      </c>
      <c r="BM98" s="5260">
        <v>108</v>
      </c>
      <c r="BN98" s="5260"/>
      <c r="BO98" s="5260"/>
      <c r="BP98" s="5260"/>
      <c r="BQ98" s="5260"/>
      <c r="BR98" s="5260"/>
      <c r="BS98" s="5260"/>
      <c r="BT98" s="5260"/>
      <c r="BU98" s="5260"/>
      <c r="BV98" s="5260"/>
      <c r="BW98" s="5260"/>
      <c r="BX98" s="5260">
        <f t="shared" si="210"/>
        <v>216</v>
      </c>
      <c r="BY98" s="5261">
        <f t="shared" si="211"/>
        <v>108</v>
      </c>
      <c r="CA98" s="169">
        <f t="shared" si="132"/>
        <v>-6</v>
      </c>
      <c r="CB98" s="169">
        <f t="shared" si="205"/>
        <v>-0.6666666666666714</v>
      </c>
      <c r="CC98" s="169">
        <f>IFERROR(
  SUM(
    _xlfn.XLOOKUP(DATE(YEAR($A$1),1,1),$2:$2,98:98):
    _xlfn.XLOOKUP($A$1,$2:$2,98:98)
  )
 -SUM(
    _xlfn.XLOOKUP(DATE(YEAR($A$1)-1,1,1),$2:$2,98:98):
    _xlfn.XLOOKUP(EDATE($A$1,-12),$2:$2,98:98)
  ),"")</f>
        <v>-12</v>
      </c>
      <c r="CD98" s="4517">
        <f t="shared" si="133"/>
        <v>0</v>
      </c>
    </row>
    <row r="99" spans="1:82" ht="18" thickBot="1" x14ac:dyDescent="0.6">
      <c r="A99" s="7384"/>
      <c r="B99" s="5268"/>
      <c r="C99" s="5269" t="s">
        <v>220</v>
      </c>
      <c r="D99" s="5271">
        <v>0</v>
      </c>
      <c r="E99" s="5271">
        <v>0</v>
      </c>
      <c r="F99" s="5271">
        <v>0</v>
      </c>
      <c r="G99" s="5271">
        <v>0</v>
      </c>
      <c r="H99" s="5271">
        <v>0</v>
      </c>
      <c r="I99" s="5271">
        <v>0</v>
      </c>
      <c r="J99" s="5271">
        <v>0</v>
      </c>
      <c r="K99" s="5271">
        <v>0</v>
      </c>
      <c r="L99" s="5271">
        <v>0</v>
      </c>
      <c r="M99" s="5271">
        <v>0</v>
      </c>
      <c r="N99" s="5271">
        <v>0</v>
      </c>
      <c r="O99" s="5271">
        <v>0</v>
      </c>
      <c r="P99" s="5271">
        <f t="shared" si="212"/>
        <v>0</v>
      </c>
      <c r="Q99" s="5272">
        <f t="shared" si="213"/>
        <v>0</v>
      </c>
      <c r="R99" s="2776">
        <v>0</v>
      </c>
      <c r="S99" s="5277">
        <v>0</v>
      </c>
      <c r="T99" s="5271">
        <v>0</v>
      </c>
      <c r="U99" s="5271">
        <v>0</v>
      </c>
      <c r="V99" s="5271">
        <v>0</v>
      </c>
      <c r="W99" s="5271">
        <v>0</v>
      </c>
      <c r="X99" s="5271">
        <v>0</v>
      </c>
      <c r="Y99" s="5271">
        <v>0</v>
      </c>
      <c r="Z99" s="5271">
        <v>0</v>
      </c>
      <c r="AA99" s="5271">
        <v>0</v>
      </c>
      <c r="AB99" s="5271">
        <v>0</v>
      </c>
      <c r="AC99" s="5271">
        <v>0</v>
      </c>
      <c r="AD99" s="5271">
        <v>0</v>
      </c>
      <c r="AE99" s="5271">
        <f t="shared" si="214"/>
        <v>0</v>
      </c>
      <c r="AF99" s="5272">
        <f t="shared" si="215"/>
        <v>0</v>
      </c>
      <c r="AG99" s="2776"/>
      <c r="AH99" s="5277">
        <v>110</v>
      </c>
      <c r="AI99" s="5271">
        <v>110</v>
      </c>
      <c r="AJ99" s="5271">
        <v>110</v>
      </c>
      <c r="AK99" s="5271">
        <v>113</v>
      </c>
      <c r="AL99" s="5271">
        <v>113</v>
      </c>
      <c r="AM99" s="5271">
        <v>116</v>
      </c>
      <c r="AN99" s="5311">
        <v>116</v>
      </c>
      <c r="AO99" s="5311">
        <v>116</v>
      </c>
      <c r="AP99" s="5311">
        <v>116</v>
      </c>
      <c r="AQ99" s="5271">
        <v>116</v>
      </c>
      <c r="AR99" s="5311">
        <v>116</v>
      </c>
      <c r="AS99" s="5311">
        <v>113</v>
      </c>
      <c r="AT99" s="5271">
        <f t="shared" si="228"/>
        <v>1365</v>
      </c>
      <c r="AU99" s="5272">
        <f t="shared" si="136"/>
        <v>113.75</v>
      </c>
      <c r="AW99" s="5277">
        <v>113</v>
      </c>
      <c r="AX99" s="5271">
        <v>113</v>
      </c>
      <c r="AY99" s="5271">
        <v>113</v>
      </c>
      <c r="AZ99" s="5271">
        <v>107</v>
      </c>
      <c r="BA99" s="5271">
        <v>107</v>
      </c>
      <c r="BB99" s="5271">
        <v>107</v>
      </c>
      <c r="BC99" s="5311">
        <v>107</v>
      </c>
      <c r="BD99" s="5311">
        <v>107</v>
      </c>
      <c r="BE99" s="5311">
        <v>107</v>
      </c>
      <c r="BF99" s="5271">
        <v>104</v>
      </c>
      <c r="BG99" s="5311">
        <v>108</v>
      </c>
      <c r="BH99" s="5311">
        <v>108</v>
      </c>
      <c r="BI99" s="5271">
        <f t="shared" si="209"/>
        <v>1301</v>
      </c>
      <c r="BJ99" s="5272">
        <f t="shared" si="141"/>
        <v>108.41666666666667</v>
      </c>
      <c r="BL99" s="5273">
        <v>108</v>
      </c>
      <c r="BM99" s="5271">
        <v>108</v>
      </c>
      <c r="BN99" s="5271"/>
      <c r="BO99" s="5271"/>
      <c r="BP99" s="5271"/>
      <c r="BQ99" s="5271"/>
      <c r="BR99" s="5311"/>
      <c r="BS99" s="5311"/>
      <c r="BT99" s="5311"/>
      <c r="BU99" s="5271"/>
      <c r="BV99" s="5311"/>
      <c r="BW99" s="5311"/>
      <c r="BX99" s="5271">
        <f t="shared" si="210"/>
        <v>216</v>
      </c>
      <c r="BY99" s="5272">
        <f t="shared" si="211"/>
        <v>108</v>
      </c>
      <c r="CA99" s="169">
        <f t="shared" si="132"/>
        <v>-5</v>
      </c>
      <c r="CB99" s="169">
        <f t="shared" si="205"/>
        <v>-5.3333333333333286</v>
      </c>
      <c r="CC99" s="169">
        <f>IFERROR(
  SUM(
    _xlfn.XLOOKUP(DATE(YEAR($A$1),1,1),$2:$2,99:99):
    _xlfn.XLOOKUP($A$1,$2:$2,99:99)
  )
 -SUM(
    _xlfn.XLOOKUP(DATE(YEAR($A$1)-1,1,1),$2:$2,99:99):
    _xlfn.XLOOKUP(EDATE($A$1,-12),$2:$2,99:99)
  ),"")</f>
        <v>-10</v>
      </c>
      <c r="CD99" s="4517">
        <f t="shared" si="133"/>
        <v>0</v>
      </c>
    </row>
    <row r="100" spans="1:82" ht="17.600000000000001" x14ac:dyDescent="0.55000000000000004">
      <c r="A100" s="7382" t="s">
        <v>1166</v>
      </c>
      <c r="B100" s="857" t="s">
        <v>242</v>
      </c>
      <c r="C100" s="858"/>
      <c r="D100" s="5236">
        <f t="shared" ref="D100:O100" si="232">SUM(D101:D103)</f>
        <v>0</v>
      </c>
      <c r="E100" s="5237">
        <f t="shared" si="232"/>
        <v>0</v>
      </c>
      <c r="F100" s="5237">
        <f t="shared" si="232"/>
        <v>0</v>
      </c>
      <c r="G100" s="5237">
        <f t="shared" si="232"/>
        <v>0</v>
      </c>
      <c r="H100" s="5237">
        <f t="shared" si="232"/>
        <v>0</v>
      </c>
      <c r="I100" s="5237">
        <f t="shared" si="232"/>
        <v>0</v>
      </c>
      <c r="J100" s="5237">
        <f t="shared" si="232"/>
        <v>0</v>
      </c>
      <c r="K100" s="5237">
        <f t="shared" si="232"/>
        <v>0</v>
      </c>
      <c r="L100" s="5237">
        <f t="shared" si="232"/>
        <v>0</v>
      </c>
      <c r="M100" s="5237">
        <f t="shared" si="232"/>
        <v>0</v>
      </c>
      <c r="N100" s="5237">
        <f t="shared" si="232"/>
        <v>0</v>
      </c>
      <c r="O100" s="5237">
        <f t="shared" si="232"/>
        <v>0</v>
      </c>
      <c r="P100" s="5237">
        <f t="shared" ref="P100:P137" si="233">AVERAGE(D100:O100)</f>
        <v>0</v>
      </c>
      <c r="Q100" s="5238">
        <f t="shared" ref="Q100:Q137" si="234">P100</f>
        <v>0</v>
      </c>
      <c r="R100" s="2776">
        <v>0</v>
      </c>
      <c r="S100" s="5236">
        <f t="shared" ref="S100:AD100" si="235">SUM(S101:S103)</f>
        <v>0</v>
      </c>
      <c r="T100" s="5237">
        <f t="shared" si="235"/>
        <v>0</v>
      </c>
      <c r="U100" s="5237">
        <f t="shared" si="235"/>
        <v>0</v>
      </c>
      <c r="V100" s="5237">
        <f t="shared" si="235"/>
        <v>0</v>
      </c>
      <c r="W100" s="5237">
        <f t="shared" si="235"/>
        <v>0</v>
      </c>
      <c r="X100" s="5237">
        <f t="shared" si="235"/>
        <v>0</v>
      </c>
      <c r="Y100" s="5237">
        <f t="shared" si="235"/>
        <v>0</v>
      </c>
      <c r="Z100" s="5237">
        <f t="shared" si="235"/>
        <v>0</v>
      </c>
      <c r="AA100" s="5237">
        <f t="shared" si="235"/>
        <v>0</v>
      </c>
      <c r="AB100" s="5237">
        <f t="shared" si="235"/>
        <v>0</v>
      </c>
      <c r="AC100" s="5237">
        <f t="shared" si="235"/>
        <v>0</v>
      </c>
      <c r="AD100" s="5237">
        <f t="shared" si="235"/>
        <v>0</v>
      </c>
      <c r="AE100" s="5237">
        <f>SUM(S100:AD100)</f>
        <v>0</v>
      </c>
      <c r="AF100" s="5238">
        <f>AE100/12</f>
        <v>0</v>
      </c>
      <c r="AG100" s="2776"/>
      <c r="AH100" s="5236">
        <f t="shared" ref="AH100:AQ100" si="236">SUM(AH101:AH103)</f>
        <v>68</v>
      </c>
      <c r="AI100" s="5237">
        <f t="shared" si="236"/>
        <v>72</v>
      </c>
      <c r="AJ100" s="5237">
        <f t="shared" si="236"/>
        <v>67</v>
      </c>
      <c r="AK100" s="5237">
        <f t="shared" si="236"/>
        <v>59</v>
      </c>
      <c r="AL100" s="5237">
        <f t="shared" si="236"/>
        <v>61</v>
      </c>
      <c r="AM100" s="5237">
        <f>SUM(AM101:AM103)</f>
        <v>66</v>
      </c>
      <c r="AN100" s="5312">
        <f t="shared" si="236"/>
        <v>0</v>
      </c>
      <c r="AO100" s="4461">
        <f t="shared" si="236"/>
        <v>0</v>
      </c>
      <c r="AP100" s="5312">
        <f t="shared" si="236"/>
        <v>0</v>
      </c>
      <c r="AQ100" s="5312">
        <f t="shared" si="236"/>
        <v>0</v>
      </c>
      <c r="AR100" s="5312">
        <v>0</v>
      </c>
      <c r="AS100" s="5312">
        <v>0</v>
      </c>
      <c r="AT100" s="5237">
        <f t="shared" si="228"/>
        <v>393</v>
      </c>
      <c r="AU100" s="5238">
        <f t="shared" si="136"/>
        <v>32.75</v>
      </c>
      <c r="AV100" s="559" t="b">
        <v>1</v>
      </c>
      <c r="AW100" s="5313">
        <v>56</v>
      </c>
      <c r="AX100" s="5237">
        <v>68</v>
      </c>
      <c r="AY100" s="5237">
        <f>SUM(AY101:AY103)</f>
        <v>49</v>
      </c>
      <c r="AZ100" s="5237">
        <v>48</v>
      </c>
      <c r="BA100" s="5237">
        <v>47</v>
      </c>
      <c r="BB100" s="5237">
        <v>43</v>
      </c>
      <c r="BC100" s="5237">
        <v>44</v>
      </c>
      <c r="BD100" s="5237">
        <v>55</v>
      </c>
      <c r="BE100" s="5237">
        <v>49</v>
      </c>
      <c r="BF100" s="5237">
        <v>52</v>
      </c>
      <c r="BG100" s="5237">
        <v>54</v>
      </c>
      <c r="BH100" s="5237">
        <v>43</v>
      </c>
      <c r="BI100" s="5237">
        <f t="shared" si="209"/>
        <v>608</v>
      </c>
      <c r="BJ100" s="5238">
        <f t="shared" si="141"/>
        <v>50.666666666666664</v>
      </c>
      <c r="BL100" s="5314">
        <v>36</v>
      </c>
      <c r="BM100" s="5237">
        <v>45</v>
      </c>
      <c r="BN100" s="5237"/>
      <c r="BO100" s="5237"/>
      <c r="BP100" s="5237"/>
      <c r="BQ100" s="5237"/>
      <c r="BR100" s="5237"/>
      <c r="BS100" s="5237"/>
      <c r="BT100" s="5237"/>
      <c r="BU100" s="5237"/>
      <c r="BV100" s="5237"/>
      <c r="BW100" s="5237"/>
      <c r="BX100" s="5237">
        <f t="shared" si="210"/>
        <v>81</v>
      </c>
      <c r="BY100" s="5238">
        <f t="shared" si="211"/>
        <v>40.5</v>
      </c>
      <c r="CA100" s="169">
        <f t="shared" ref="CA100:CA131" si="237">IFERROR(_xlfn.XLOOKUP($A$1,$2:$2,100:100)-_xlfn.XLOOKUP(EDATE($A$1,-12),$2:$2,100:100),"")</f>
        <v>-23</v>
      </c>
      <c r="CB100" s="169">
        <f t="shared" si="205"/>
        <v>17.916666666666664</v>
      </c>
      <c r="CC100" s="169">
        <f>IFERROR(
  SUM(
    _xlfn.XLOOKUP(DATE(YEAR($A$1),1,1),$2:$2,100:100):
    _xlfn.XLOOKUP($A$1,$2:$2,100:100)
  )
 -SUM(
    _xlfn.XLOOKUP(DATE(YEAR($A$1)-1,1,1),$2:$2,100:100):
    _xlfn.XLOOKUP(EDATE($A$1,-12),$2:$2,100:100)
  ),"")</f>
        <v>-43</v>
      </c>
      <c r="CD100" s="4517">
        <f t="shared" ref="CD100:CD131" si="238">IFERROR(
  _xlfn.XLOOKUP($A$1,$2:$2,100:100)
 -_xlfn.XLOOKUP(EDATE($A$1,-1),$2:$2,100:100),"")</f>
        <v>9</v>
      </c>
    </row>
    <row r="101" spans="1:82" ht="17.600000000000001" x14ac:dyDescent="0.55000000000000004">
      <c r="A101" s="7383"/>
      <c r="B101" s="1168"/>
      <c r="C101" s="1534" t="s">
        <v>243</v>
      </c>
      <c r="D101" s="5240">
        <v>0</v>
      </c>
      <c r="E101" s="4451">
        <v>0</v>
      </c>
      <c r="F101" s="4451">
        <v>0</v>
      </c>
      <c r="G101" s="4451">
        <v>0</v>
      </c>
      <c r="H101" s="4451">
        <v>0</v>
      </c>
      <c r="I101" s="4451">
        <v>0</v>
      </c>
      <c r="J101" s="4451">
        <v>0</v>
      </c>
      <c r="K101" s="4451">
        <v>0</v>
      </c>
      <c r="L101" s="4451">
        <v>0</v>
      </c>
      <c r="M101" s="4451">
        <v>0</v>
      </c>
      <c r="N101" s="4451">
        <v>0</v>
      </c>
      <c r="O101" s="4451">
        <v>0</v>
      </c>
      <c r="P101" s="4451">
        <f t="shared" si="233"/>
        <v>0</v>
      </c>
      <c r="Q101" s="5241">
        <f t="shared" si="234"/>
        <v>0</v>
      </c>
      <c r="R101" s="2776">
        <v>0</v>
      </c>
      <c r="S101" s="5240">
        <v>0</v>
      </c>
      <c r="T101" s="4451">
        <v>0</v>
      </c>
      <c r="U101" s="4451">
        <v>0</v>
      </c>
      <c r="V101" s="4451">
        <v>0</v>
      </c>
      <c r="W101" s="4451">
        <v>0</v>
      </c>
      <c r="X101" s="4451">
        <v>0</v>
      </c>
      <c r="Y101" s="4451">
        <v>0</v>
      </c>
      <c r="Z101" s="4451">
        <v>0</v>
      </c>
      <c r="AA101" s="4451">
        <v>0</v>
      </c>
      <c r="AB101" s="4451">
        <v>0</v>
      </c>
      <c r="AC101" s="4451">
        <v>0</v>
      </c>
      <c r="AD101" s="4451">
        <v>0</v>
      </c>
      <c r="AE101" s="4451">
        <f t="shared" ref="AE101:AE118" si="239">SUM(S101:AD101)</f>
        <v>0</v>
      </c>
      <c r="AF101" s="5241">
        <f t="shared" ref="AF101:AF118" si="240">AE101/12</f>
        <v>0</v>
      </c>
      <c r="AG101" s="2776"/>
      <c r="AH101" s="5240">
        <v>0</v>
      </c>
      <c r="AI101" s="4451">
        <v>1</v>
      </c>
      <c r="AJ101" s="4451">
        <v>0</v>
      </c>
      <c r="AK101" s="4451">
        <v>0</v>
      </c>
      <c r="AL101" s="4451">
        <v>0</v>
      </c>
      <c r="AM101" s="4451">
        <v>0</v>
      </c>
      <c r="AN101" s="4461"/>
      <c r="AO101" s="4461"/>
      <c r="AP101" s="4461"/>
      <c r="AQ101" s="4461"/>
      <c r="AR101" s="4461"/>
      <c r="AS101" s="4461"/>
      <c r="AT101" s="4451">
        <f t="shared" si="228"/>
        <v>1</v>
      </c>
      <c r="AU101" s="5241">
        <f t="shared" si="136"/>
        <v>8.3333333333333329E-2</v>
      </c>
      <c r="AV101" s="559" t="b">
        <v>1</v>
      </c>
      <c r="AW101" s="5315">
        <v>1</v>
      </c>
      <c r="AX101" s="4451">
        <v>0</v>
      </c>
      <c r="AY101" s="4451">
        <v>0</v>
      </c>
      <c r="AZ101" s="4451">
        <v>0</v>
      </c>
      <c r="BA101" s="4451" t="s">
        <v>462</v>
      </c>
      <c r="BB101" s="4451" t="s">
        <v>461</v>
      </c>
      <c r="BC101" s="4451">
        <v>1</v>
      </c>
      <c r="BD101" s="4451">
        <v>1</v>
      </c>
      <c r="BE101" s="4451" t="s">
        <v>461</v>
      </c>
      <c r="BF101" s="4451" t="s">
        <v>461</v>
      </c>
      <c r="BG101" s="4451" t="s">
        <v>461</v>
      </c>
      <c r="BH101" s="4451" t="s">
        <v>461</v>
      </c>
      <c r="BI101" s="4451">
        <f t="shared" si="209"/>
        <v>3</v>
      </c>
      <c r="BJ101" s="5241">
        <f t="shared" si="141"/>
        <v>0.5</v>
      </c>
      <c r="BL101" s="5316">
        <v>1</v>
      </c>
      <c r="BM101" s="4451">
        <v>0</v>
      </c>
      <c r="BN101" s="4451"/>
      <c r="BO101" s="4451"/>
      <c r="BP101" s="4451"/>
      <c r="BQ101" s="4451"/>
      <c r="BR101" s="4451"/>
      <c r="BS101" s="4451"/>
      <c r="BT101" s="4451"/>
      <c r="BU101" s="4451"/>
      <c r="BV101" s="4451"/>
      <c r="BW101" s="4451"/>
      <c r="BX101" s="4451">
        <f t="shared" si="210"/>
        <v>1</v>
      </c>
      <c r="BY101" s="5241">
        <f t="shared" si="211"/>
        <v>0.5</v>
      </c>
      <c r="CA101" s="169">
        <f t="shared" si="237"/>
        <v>0</v>
      </c>
      <c r="CB101" s="169">
        <f t="shared" si="205"/>
        <v>0.41666666666666669</v>
      </c>
      <c r="CC101" s="169">
        <f>IFERROR(
  SUM(
    _xlfn.XLOOKUP(DATE(YEAR($A$1),1,1),$2:$2,101:101):
    _xlfn.XLOOKUP($A$1,$2:$2,101:101)
  )
 -SUM(
    _xlfn.XLOOKUP(DATE(YEAR($A$1)-1,1,1),$2:$2,101:101):
    _xlfn.XLOOKUP(EDATE($A$1,-12),$2:$2,101:101)
  ),"")</f>
        <v>0</v>
      </c>
      <c r="CD101" s="4517">
        <f t="shared" si="238"/>
        <v>-1</v>
      </c>
    </row>
    <row r="102" spans="1:82" ht="17.600000000000001" x14ac:dyDescent="0.55000000000000004">
      <c r="A102" s="7383"/>
      <c r="B102" s="1168"/>
      <c r="C102" s="1534" t="s">
        <v>245</v>
      </c>
      <c r="D102" s="5240">
        <v>0</v>
      </c>
      <c r="E102" s="4451">
        <v>0</v>
      </c>
      <c r="F102" s="4451">
        <v>0</v>
      </c>
      <c r="G102" s="4451">
        <v>0</v>
      </c>
      <c r="H102" s="4451">
        <v>0</v>
      </c>
      <c r="I102" s="4451">
        <v>0</v>
      </c>
      <c r="J102" s="4451">
        <v>0</v>
      </c>
      <c r="K102" s="4451">
        <v>0</v>
      </c>
      <c r="L102" s="4451">
        <v>0</v>
      </c>
      <c r="M102" s="4451">
        <v>0</v>
      </c>
      <c r="N102" s="4451">
        <v>0</v>
      </c>
      <c r="O102" s="4451">
        <v>0</v>
      </c>
      <c r="P102" s="4451">
        <f t="shared" si="233"/>
        <v>0</v>
      </c>
      <c r="Q102" s="5241">
        <f t="shared" si="234"/>
        <v>0</v>
      </c>
      <c r="R102" s="2776">
        <v>0</v>
      </c>
      <c r="S102" s="5240">
        <v>0</v>
      </c>
      <c r="T102" s="4451">
        <v>0</v>
      </c>
      <c r="U102" s="4451">
        <v>0</v>
      </c>
      <c r="V102" s="4451">
        <v>0</v>
      </c>
      <c r="W102" s="4451">
        <v>0</v>
      </c>
      <c r="X102" s="4451">
        <v>0</v>
      </c>
      <c r="Y102" s="4451">
        <v>0</v>
      </c>
      <c r="Z102" s="4451">
        <v>0</v>
      </c>
      <c r="AA102" s="4451">
        <v>0</v>
      </c>
      <c r="AB102" s="4451">
        <v>0</v>
      </c>
      <c r="AC102" s="4451">
        <v>0</v>
      </c>
      <c r="AD102" s="4451">
        <v>0</v>
      </c>
      <c r="AE102" s="4451">
        <f t="shared" si="239"/>
        <v>0</v>
      </c>
      <c r="AF102" s="5241">
        <f t="shared" si="240"/>
        <v>0</v>
      </c>
      <c r="AG102" s="2776"/>
      <c r="AH102" s="5240">
        <v>64</v>
      </c>
      <c r="AI102" s="4451">
        <v>67</v>
      </c>
      <c r="AJ102" s="4451">
        <v>63</v>
      </c>
      <c r="AK102" s="4451">
        <v>55</v>
      </c>
      <c r="AL102" s="4451">
        <v>58</v>
      </c>
      <c r="AM102" s="4451">
        <v>64</v>
      </c>
      <c r="AN102" s="4461"/>
      <c r="AO102" s="4461"/>
      <c r="AP102" s="4461"/>
      <c r="AQ102" s="4461"/>
      <c r="AR102" s="4461"/>
      <c r="AS102" s="4461"/>
      <c r="AT102" s="4451">
        <f t="shared" si="228"/>
        <v>371</v>
      </c>
      <c r="AU102" s="5241">
        <f t="shared" si="136"/>
        <v>30.916666666666668</v>
      </c>
      <c r="AV102" s="559" t="b">
        <v>1</v>
      </c>
      <c r="AW102" s="5315">
        <v>55</v>
      </c>
      <c r="AX102" s="4451">
        <v>66</v>
      </c>
      <c r="AY102" s="4451">
        <v>48</v>
      </c>
      <c r="AZ102" s="4451">
        <v>48</v>
      </c>
      <c r="BA102" s="4451">
        <v>46</v>
      </c>
      <c r="BB102" s="4451">
        <v>42</v>
      </c>
      <c r="BC102" s="4451">
        <v>42</v>
      </c>
      <c r="BD102" s="4451">
        <v>54</v>
      </c>
      <c r="BE102" s="4451">
        <v>49</v>
      </c>
      <c r="BF102" s="4451">
        <v>51</v>
      </c>
      <c r="BG102" s="4451">
        <v>53</v>
      </c>
      <c r="BH102" s="4451">
        <v>41</v>
      </c>
      <c r="BI102" s="4451">
        <f t="shared" si="209"/>
        <v>595</v>
      </c>
      <c r="BJ102" s="5241">
        <f t="shared" si="141"/>
        <v>49.583333333333336</v>
      </c>
      <c r="BL102" s="5316">
        <v>33</v>
      </c>
      <c r="BM102" s="4451">
        <v>43</v>
      </c>
      <c r="BN102" s="4451"/>
      <c r="BO102" s="4451"/>
      <c r="BP102" s="4451"/>
      <c r="BQ102" s="4451"/>
      <c r="BR102" s="4451"/>
      <c r="BS102" s="4451"/>
      <c r="BT102" s="4451"/>
      <c r="BU102" s="4451"/>
      <c r="BV102" s="4451"/>
      <c r="BW102" s="4451"/>
      <c r="BX102" s="4451">
        <f t="shared" si="210"/>
        <v>76</v>
      </c>
      <c r="BY102" s="5241">
        <f t="shared" si="211"/>
        <v>38</v>
      </c>
      <c r="CA102" s="169">
        <f t="shared" si="237"/>
        <v>-23</v>
      </c>
      <c r="CB102" s="169">
        <f t="shared" si="205"/>
        <v>18.666666666666668</v>
      </c>
      <c r="CC102" s="169">
        <f>IFERROR(
  SUM(
    _xlfn.XLOOKUP(DATE(YEAR($A$1),1,1),$2:$2,102:102):
    _xlfn.XLOOKUP($A$1,$2:$2,102:102)
  )
 -SUM(
    _xlfn.XLOOKUP(DATE(YEAR($A$1)-1,1,1),$2:$2,102:102):
    _xlfn.XLOOKUP(EDATE($A$1,-12),$2:$2,102:102)
  ),"")</f>
        <v>-45</v>
      </c>
      <c r="CD102" s="4517">
        <f t="shared" si="238"/>
        <v>10</v>
      </c>
    </row>
    <row r="103" spans="1:82" ht="17.600000000000001" x14ac:dyDescent="0.55000000000000004">
      <c r="A103" s="7383"/>
      <c r="B103" s="1168"/>
      <c r="C103" s="1534" t="s">
        <v>244</v>
      </c>
      <c r="D103" s="5240">
        <v>0</v>
      </c>
      <c r="E103" s="4451">
        <v>0</v>
      </c>
      <c r="F103" s="4451">
        <v>0</v>
      </c>
      <c r="G103" s="4451">
        <v>0</v>
      </c>
      <c r="H103" s="4451">
        <v>0</v>
      </c>
      <c r="I103" s="4451">
        <v>0</v>
      </c>
      <c r="J103" s="4451">
        <v>0</v>
      </c>
      <c r="K103" s="4451">
        <v>0</v>
      </c>
      <c r="L103" s="4451">
        <v>0</v>
      </c>
      <c r="M103" s="4451">
        <v>0</v>
      </c>
      <c r="N103" s="4451">
        <v>0</v>
      </c>
      <c r="O103" s="4451">
        <v>0</v>
      </c>
      <c r="P103" s="4451">
        <f t="shared" si="233"/>
        <v>0</v>
      </c>
      <c r="Q103" s="5241">
        <f t="shared" si="234"/>
        <v>0</v>
      </c>
      <c r="R103" s="2776">
        <v>0</v>
      </c>
      <c r="S103" s="5240">
        <v>0</v>
      </c>
      <c r="T103" s="4451">
        <v>0</v>
      </c>
      <c r="U103" s="4451">
        <v>0</v>
      </c>
      <c r="V103" s="4451">
        <v>0</v>
      </c>
      <c r="W103" s="4451">
        <v>0</v>
      </c>
      <c r="X103" s="4451">
        <v>0</v>
      </c>
      <c r="Y103" s="4451">
        <v>0</v>
      </c>
      <c r="Z103" s="4451">
        <v>0</v>
      </c>
      <c r="AA103" s="4451">
        <v>0</v>
      </c>
      <c r="AB103" s="4451">
        <v>0</v>
      </c>
      <c r="AC103" s="4451">
        <v>0</v>
      </c>
      <c r="AD103" s="4451">
        <v>0</v>
      </c>
      <c r="AE103" s="4451">
        <f t="shared" si="239"/>
        <v>0</v>
      </c>
      <c r="AF103" s="5241">
        <f t="shared" si="240"/>
        <v>0</v>
      </c>
      <c r="AG103" s="2776"/>
      <c r="AH103" s="5240">
        <v>4</v>
      </c>
      <c r="AI103" s="4451">
        <v>4</v>
      </c>
      <c r="AJ103" s="4451">
        <v>4</v>
      </c>
      <c r="AK103" s="4451">
        <v>4</v>
      </c>
      <c r="AL103" s="4451">
        <v>3</v>
      </c>
      <c r="AM103" s="4451">
        <v>2</v>
      </c>
      <c r="AN103" s="4461"/>
      <c r="AO103" s="4461"/>
      <c r="AP103" s="4461"/>
      <c r="AQ103" s="4461"/>
      <c r="AR103" s="4461"/>
      <c r="AS103" s="4461"/>
      <c r="AT103" s="4451">
        <f t="shared" si="228"/>
        <v>21</v>
      </c>
      <c r="AU103" s="5241">
        <f t="shared" si="136"/>
        <v>1.75</v>
      </c>
      <c r="AV103" s="559" t="b">
        <v>1</v>
      </c>
      <c r="AW103" s="5315">
        <v>0</v>
      </c>
      <c r="AX103" s="4451">
        <v>2</v>
      </c>
      <c r="AY103" s="4451">
        <v>1</v>
      </c>
      <c r="AZ103" s="4451">
        <v>0</v>
      </c>
      <c r="BA103" s="4451">
        <v>1</v>
      </c>
      <c r="BB103" s="4451">
        <v>1</v>
      </c>
      <c r="BC103" s="4451">
        <v>1</v>
      </c>
      <c r="BD103" s="4451">
        <v>0</v>
      </c>
      <c r="BE103" s="4451" t="s">
        <v>461</v>
      </c>
      <c r="BF103" s="4451">
        <v>1</v>
      </c>
      <c r="BG103" s="4451">
        <v>1</v>
      </c>
      <c r="BH103" s="4451">
        <v>2</v>
      </c>
      <c r="BI103" s="4451">
        <f t="shared" si="209"/>
        <v>10</v>
      </c>
      <c r="BJ103" s="5241">
        <f t="shared" si="141"/>
        <v>0.90909090909090906</v>
      </c>
      <c r="BL103" s="5316">
        <v>2</v>
      </c>
      <c r="BM103" s="4451">
        <v>2</v>
      </c>
      <c r="BN103" s="4451"/>
      <c r="BO103" s="4451"/>
      <c r="BP103" s="4451"/>
      <c r="BQ103" s="4451"/>
      <c r="BR103" s="4451"/>
      <c r="BS103" s="4451"/>
      <c r="BT103" s="4451"/>
      <c r="BU103" s="4451"/>
      <c r="BV103" s="4451"/>
      <c r="BW103" s="4451"/>
      <c r="BX103" s="4451">
        <f t="shared" si="210"/>
        <v>4</v>
      </c>
      <c r="BY103" s="5241">
        <f t="shared" si="211"/>
        <v>2</v>
      </c>
      <c r="CA103" s="169">
        <f t="shared" si="237"/>
        <v>0</v>
      </c>
      <c r="CB103" s="169">
        <f t="shared" si="205"/>
        <v>-0.84090909090909094</v>
      </c>
      <c r="CC103" s="169">
        <f>IFERROR(
  SUM(
    _xlfn.XLOOKUP(DATE(YEAR($A$1),1,1),$2:$2,103:103):
    _xlfn.XLOOKUP($A$1,$2:$2,103:103)
  )
 -SUM(
    _xlfn.XLOOKUP(DATE(YEAR($A$1)-1,1,1),$2:$2,103:103):
    _xlfn.XLOOKUP(EDATE($A$1,-12),$2:$2,103:103)
  ),"")</f>
        <v>2</v>
      </c>
      <c r="CD103" s="4517">
        <f t="shared" si="238"/>
        <v>0</v>
      </c>
    </row>
    <row r="104" spans="1:82" ht="17.600000000000001" x14ac:dyDescent="0.55000000000000004">
      <c r="A104" s="7383"/>
      <c r="B104" s="2034" t="s">
        <v>206</v>
      </c>
      <c r="C104" s="1900"/>
      <c r="D104" s="5243">
        <f>D109+D110</f>
        <v>0</v>
      </c>
      <c r="E104" s="4414">
        <f t="shared" ref="E104:O104" si="241">E109+E110</f>
        <v>0</v>
      </c>
      <c r="F104" s="4414">
        <f t="shared" si="241"/>
        <v>0</v>
      </c>
      <c r="G104" s="4414">
        <f t="shared" si="241"/>
        <v>0</v>
      </c>
      <c r="H104" s="4414">
        <f t="shared" si="241"/>
        <v>0</v>
      </c>
      <c r="I104" s="4414">
        <f t="shared" si="241"/>
        <v>0</v>
      </c>
      <c r="J104" s="4414">
        <f t="shared" si="241"/>
        <v>0</v>
      </c>
      <c r="K104" s="4414">
        <f t="shared" si="241"/>
        <v>0</v>
      </c>
      <c r="L104" s="4414">
        <f t="shared" si="241"/>
        <v>0</v>
      </c>
      <c r="M104" s="4414">
        <f t="shared" si="241"/>
        <v>0</v>
      </c>
      <c r="N104" s="4414">
        <f t="shared" si="241"/>
        <v>0</v>
      </c>
      <c r="O104" s="4414">
        <f t="shared" si="241"/>
        <v>0</v>
      </c>
      <c r="P104" s="4414">
        <f t="shared" si="233"/>
        <v>0</v>
      </c>
      <c r="Q104" s="5244">
        <f t="shared" si="234"/>
        <v>0</v>
      </c>
      <c r="R104" s="2776">
        <v>0</v>
      </c>
      <c r="S104" s="5243">
        <f>S109+S110</f>
        <v>0</v>
      </c>
      <c r="T104" s="4414">
        <f t="shared" ref="T104:AD104" si="242">T109+T110</f>
        <v>0</v>
      </c>
      <c r="U104" s="4414">
        <f t="shared" si="242"/>
        <v>0</v>
      </c>
      <c r="V104" s="4414">
        <f t="shared" si="242"/>
        <v>0</v>
      </c>
      <c r="W104" s="4414">
        <f t="shared" si="242"/>
        <v>0</v>
      </c>
      <c r="X104" s="4414">
        <f t="shared" si="242"/>
        <v>0</v>
      </c>
      <c r="Y104" s="4414">
        <f t="shared" si="242"/>
        <v>0</v>
      </c>
      <c r="Z104" s="4414">
        <f t="shared" si="242"/>
        <v>0</v>
      </c>
      <c r="AA104" s="4414">
        <f t="shared" si="242"/>
        <v>0</v>
      </c>
      <c r="AB104" s="4414">
        <f t="shared" si="242"/>
        <v>0</v>
      </c>
      <c r="AC104" s="4414">
        <f t="shared" si="242"/>
        <v>0</v>
      </c>
      <c r="AD104" s="4414">
        <f t="shared" si="242"/>
        <v>0</v>
      </c>
      <c r="AE104" s="4414">
        <f t="shared" si="239"/>
        <v>0</v>
      </c>
      <c r="AF104" s="5244">
        <f t="shared" si="240"/>
        <v>0</v>
      </c>
      <c r="AG104" s="2776"/>
      <c r="AH104" s="5243">
        <f>AH109+AH110</f>
        <v>21</v>
      </c>
      <c r="AI104" s="4414">
        <f t="shared" ref="AI104:AQ104" si="243">AI109+AI110</f>
        <v>17</v>
      </c>
      <c r="AJ104" s="4414">
        <f t="shared" si="243"/>
        <v>12</v>
      </c>
      <c r="AK104" s="4414">
        <f t="shared" si="243"/>
        <v>3</v>
      </c>
      <c r="AL104" s="4414">
        <f t="shared" si="243"/>
        <v>11</v>
      </c>
      <c r="AM104" s="4414">
        <f t="shared" si="243"/>
        <v>9</v>
      </c>
      <c r="AN104" s="5317">
        <f t="shared" si="243"/>
        <v>0</v>
      </c>
      <c r="AO104" s="5317">
        <f t="shared" si="243"/>
        <v>0</v>
      </c>
      <c r="AP104" s="5317">
        <f t="shared" si="243"/>
        <v>0</v>
      </c>
      <c r="AQ104" s="5317">
        <f t="shared" si="243"/>
        <v>0</v>
      </c>
      <c r="AR104" s="5317">
        <v>0</v>
      </c>
      <c r="AS104" s="5317">
        <v>0</v>
      </c>
      <c r="AT104" s="4414">
        <f t="shared" si="228"/>
        <v>73</v>
      </c>
      <c r="AU104" s="5244">
        <f t="shared" si="136"/>
        <v>6.083333333333333</v>
      </c>
      <c r="AV104" s="559" t="b">
        <v>1</v>
      </c>
      <c r="AW104" s="5318">
        <v>12</v>
      </c>
      <c r="AX104" s="4414">
        <v>12</v>
      </c>
      <c r="AY104" s="4414">
        <v>7</v>
      </c>
      <c r="AZ104" s="4414">
        <v>7</v>
      </c>
      <c r="BA104" s="4414">
        <v>8</v>
      </c>
      <c r="BB104" s="4414">
        <v>5</v>
      </c>
      <c r="BC104" s="4414">
        <v>4</v>
      </c>
      <c r="BD104" s="4414">
        <v>8</v>
      </c>
      <c r="BE104" s="4414">
        <v>7</v>
      </c>
      <c r="BF104" s="4414">
        <v>8</v>
      </c>
      <c r="BG104" s="4414">
        <v>8</v>
      </c>
      <c r="BH104" s="4414">
        <v>7</v>
      </c>
      <c r="BI104" s="4414">
        <f t="shared" si="209"/>
        <v>93</v>
      </c>
      <c r="BJ104" s="5244">
        <f t="shared" si="141"/>
        <v>7.75</v>
      </c>
      <c r="BL104" s="5319">
        <v>6</v>
      </c>
      <c r="BM104" s="4414">
        <v>9</v>
      </c>
      <c r="BN104" s="4414"/>
      <c r="BO104" s="4414"/>
      <c r="BP104" s="4414"/>
      <c r="BQ104" s="4414"/>
      <c r="BR104" s="4414"/>
      <c r="BS104" s="4414"/>
      <c r="BT104" s="4414"/>
      <c r="BU104" s="4414"/>
      <c r="BV104" s="4414"/>
      <c r="BW104" s="4414"/>
      <c r="BX104" s="4414">
        <f t="shared" si="210"/>
        <v>15</v>
      </c>
      <c r="BY104" s="5244">
        <f t="shared" si="211"/>
        <v>7.5</v>
      </c>
      <c r="CA104" s="169">
        <f t="shared" si="237"/>
        <v>-3</v>
      </c>
      <c r="CB104" s="169">
        <f t="shared" si="205"/>
        <v>1.666666666666667</v>
      </c>
      <c r="CC104" s="169">
        <f>IFERROR(
  SUM(
    _xlfn.XLOOKUP(DATE(YEAR($A$1),1,1),$2:$2,104:104):
    _xlfn.XLOOKUP($A$1,$2:$2,104:104)
  )
 -SUM(
    _xlfn.XLOOKUP(DATE(YEAR($A$1)-1,1,1),$2:$2,104:104):
    _xlfn.XLOOKUP(EDATE($A$1,-12),$2:$2,104:104)
  ),"")</f>
        <v>-9</v>
      </c>
      <c r="CD104" s="4517">
        <f t="shared" si="238"/>
        <v>3</v>
      </c>
    </row>
    <row r="105" spans="1:82" ht="17.600000000000001" x14ac:dyDescent="0.55000000000000004">
      <c r="A105" s="7383"/>
      <c r="B105" s="2041" t="s">
        <v>207</v>
      </c>
      <c r="C105" s="1576"/>
      <c r="D105" s="5246">
        <f>D111+D112</f>
        <v>0</v>
      </c>
      <c r="E105" s="2636">
        <f t="shared" ref="E105:O105" si="244">E111+E112</f>
        <v>0</v>
      </c>
      <c r="F105" s="2636">
        <f t="shared" si="244"/>
        <v>0</v>
      </c>
      <c r="G105" s="2636">
        <f t="shared" si="244"/>
        <v>0</v>
      </c>
      <c r="H105" s="2636">
        <f t="shared" si="244"/>
        <v>0</v>
      </c>
      <c r="I105" s="2636">
        <f t="shared" si="244"/>
        <v>0</v>
      </c>
      <c r="J105" s="2636">
        <f t="shared" si="244"/>
        <v>0</v>
      </c>
      <c r="K105" s="2636">
        <f t="shared" si="244"/>
        <v>0</v>
      </c>
      <c r="L105" s="2636">
        <f t="shared" si="244"/>
        <v>0</v>
      </c>
      <c r="M105" s="2636">
        <f t="shared" si="244"/>
        <v>0</v>
      </c>
      <c r="N105" s="2636">
        <f t="shared" si="244"/>
        <v>0</v>
      </c>
      <c r="O105" s="2636">
        <f t="shared" si="244"/>
        <v>0</v>
      </c>
      <c r="P105" s="2636">
        <f t="shared" si="233"/>
        <v>0</v>
      </c>
      <c r="Q105" s="5247">
        <f t="shared" si="234"/>
        <v>0</v>
      </c>
      <c r="R105" s="2776">
        <v>0</v>
      </c>
      <c r="S105" s="5246">
        <f>S111+S112</f>
        <v>0</v>
      </c>
      <c r="T105" s="2636">
        <f t="shared" ref="T105:AD105" si="245">T111+T112</f>
        <v>0</v>
      </c>
      <c r="U105" s="2636">
        <f t="shared" si="245"/>
        <v>0</v>
      </c>
      <c r="V105" s="2636">
        <f t="shared" si="245"/>
        <v>0</v>
      </c>
      <c r="W105" s="2636">
        <f t="shared" si="245"/>
        <v>0</v>
      </c>
      <c r="X105" s="2636">
        <f t="shared" si="245"/>
        <v>0</v>
      </c>
      <c r="Y105" s="2636">
        <f t="shared" si="245"/>
        <v>0</v>
      </c>
      <c r="Z105" s="2636">
        <f t="shared" si="245"/>
        <v>0</v>
      </c>
      <c r="AA105" s="2636">
        <f t="shared" si="245"/>
        <v>0</v>
      </c>
      <c r="AB105" s="2636">
        <f t="shared" si="245"/>
        <v>0</v>
      </c>
      <c r="AC105" s="2636">
        <f t="shared" si="245"/>
        <v>0</v>
      </c>
      <c r="AD105" s="2636">
        <f t="shared" si="245"/>
        <v>0</v>
      </c>
      <c r="AE105" s="2636">
        <f t="shared" si="239"/>
        <v>0</v>
      </c>
      <c r="AF105" s="5247">
        <f t="shared" si="240"/>
        <v>0</v>
      </c>
      <c r="AG105" s="2776"/>
      <c r="AH105" s="5246">
        <f>AH111+AH112</f>
        <v>8</v>
      </c>
      <c r="AI105" s="2636">
        <f t="shared" ref="AI105:AQ105" si="246">AI111+AI112</f>
        <v>11</v>
      </c>
      <c r="AJ105" s="2636">
        <f t="shared" si="246"/>
        <v>12</v>
      </c>
      <c r="AK105" s="2636">
        <f t="shared" si="246"/>
        <v>7</v>
      </c>
      <c r="AL105" s="2636">
        <f t="shared" si="246"/>
        <v>4</v>
      </c>
      <c r="AM105" s="2636">
        <f t="shared" si="246"/>
        <v>12</v>
      </c>
      <c r="AN105" s="4461">
        <f t="shared" si="246"/>
        <v>0</v>
      </c>
      <c r="AO105" s="4461">
        <f t="shared" si="246"/>
        <v>0</v>
      </c>
      <c r="AP105" s="4461">
        <f t="shared" si="246"/>
        <v>0</v>
      </c>
      <c r="AQ105" s="4461">
        <f t="shared" si="246"/>
        <v>0</v>
      </c>
      <c r="AR105" s="4461">
        <v>0</v>
      </c>
      <c r="AS105" s="4461">
        <v>0</v>
      </c>
      <c r="AT105" s="2636">
        <f t="shared" si="228"/>
        <v>54</v>
      </c>
      <c r="AU105" s="5247">
        <f t="shared" si="136"/>
        <v>4.5</v>
      </c>
      <c r="AV105" s="559" t="b">
        <v>1</v>
      </c>
      <c r="AW105" s="5320">
        <v>13</v>
      </c>
      <c r="AX105" s="2636">
        <v>16</v>
      </c>
      <c r="AY105" s="2636">
        <v>13</v>
      </c>
      <c r="AZ105" s="2636">
        <v>14</v>
      </c>
      <c r="BA105" s="2636">
        <v>12</v>
      </c>
      <c r="BB105" s="2636">
        <v>10</v>
      </c>
      <c r="BC105" s="2636">
        <v>13</v>
      </c>
      <c r="BD105" s="2636">
        <v>11</v>
      </c>
      <c r="BE105" s="2636">
        <v>9</v>
      </c>
      <c r="BF105" s="2636">
        <v>8</v>
      </c>
      <c r="BG105" s="2636">
        <v>6</v>
      </c>
      <c r="BH105" s="2636">
        <v>6</v>
      </c>
      <c r="BI105" s="2636">
        <f t="shared" si="209"/>
        <v>131</v>
      </c>
      <c r="BJ105" s="5247">
        <f t="shared" si="141"/>
        <v>10.916666666666666</v>
      </c>
      <c r="BL105" s="5321">
        <v>7</v>
      </c>
      <c r="BM105" s="2636">
        <v>7</v>
      </c>
      <c r="BN105" s="2636"/>
      <c r="BO105" s="2636"/>
      <c r="BP105" s="2636"/>
      <c r="BQ105" s="2636"/>
      <c r="BR105" s="2636"/>
      <c r="BS105" s="2636"/>
      <c r="BT105" s="2636"/>
      <c r="BU105" s="2636"/>
      <c r="BV105" s="2636"/>
      <c r="BW105" s="2636"/>
      <c r="BX105" s="2636">
        <f t="shared" si="210"/>
        <v>14</v>
      </c>
      <c r="BY105" s="5247">
        <f t="shared" si="211"/>
        <v>7</v>
      </c>
      <c r="CA105" s="169">
        <f t="shared" si="237"/>
        <v>-9</v>
      </c>
      <c r="CB105" s="169">
        <f t="shared" si="205"/>
        <v>6.4166666666666661</v>
      </c>
      <c r="CC105" s="169">
        <f>IFERROR(
  SUM(
    _xlfn.XLOOKUP(DATE(YEAR($A$1),1,1),$2:$2,105:105):
    _xlfn.XLOOKUP($A$1,$2:$2,105:105)
  )
 -SUM(
    _xlfn.XLOOKUP(DATE(YEAR($A$1)-1,1,1),$2:$2,105:105):
    _xlfn.XLOOKUP(EDATE($A$1,-12),$2:$2,105:105)
  ),"")</f>
        <v>-15</v>
      </c>
      <c r="CD105" s="4517">
        <f t="shared" si="238"/>
        <v>0</v>
      </c>
    </row>
    <row r="106" spans="1:82" ht="17.600000000000001" x14ac:dyDescent="0.55000000000000004">
      <c r="A106" s="7383"/>
      <c r="B106" s="2041" t="s">
        <v>208</v>
      </c>
      <c r="C106" s="1576"/>
      <c r="D106" s="5246">
        <f>D113+D114</f>
        <v>0</v>
      </c>
      <c r="E106" s="2636">
        <f t="shared" ref="E106:O106" si="247">E113+E114</f>
        <v>0</v>
      </c>
      <c r="F106" s="2636">
        <f t="shared" si="247"/>
        <v>0</v>
      </c>
      <c r="G106" s="2636">
        <f t="shared" si="247"/>
        <v>0</v>
      </c>
      <c r="H106" s="2636">
        <f t="shared" si="247"/>
        <v>0</v>
      </c>
      <c r="I106" s="2636">
        <f t="shared" si="247"/>
        <v>0</v>
      </c>
      <c r="J106" s="2636">
        <f t="shared" si="247"/>
        <v>0</v>
      </c>
      <c r="K106" s="2636">
        <f t="shared" si="247"/>
        <v>0</v>
      </c>
      <c r="L106" s="2636">
        <f t="shared" si="247"/>
        <v>0</v>
      </c>
      <c r="M106" s="2636">
        <f t="shared" si="247"/>
        <v>0</v>
      </c>
      <c r="N106" s="2636">
        <f t="shared" si="247"/>
        <v>0</v>
      </c>
      <c r="O106" s="2636">
        <f t="shared" si="247"/>
        <v>0</v>
      </c>
      <c r="P106" s="2636">
        <f t="shared" si="233"/>
        <v>0</v>
      </c>
      <c r="Q106" s="5247">
        <f t="shared" si="234"/>
        <v>0</v>
      </c>
      <c r="R106" s="2776">
        <v>0</v>
      </c>
      <c r="S106" s="5246">
        <f>S113+S114</f>
        <v>0</v>
      </c>
      <c r="T106" s="2636">
        <f t="shared" ref="T106:AD106" si="248">T113+T114</f>
        <v>0</v>
      </c>
      <c r="U106" s="2636">
        <f t="shared" si="248"/>
        <v>0</v>
      </c>
      <c r="V106" s="2636">
        <f t="shared" si="248"/>
        <v>0</v>
      </c>
      <c r="W106" s="2636">
        <f t="shared" si="248"/>
        <v>0</v>
      </c>
      <c r="X106" s="2636">
        <f t="shared" si="248"/>
        <v>0</v>
      </c>
      <c r="Y106" s="2636">
        <f t="shared" si="248"/>
        <v>0</v>
      </c>
      <c r="Z106" s="2636">
        <f t="shared" si="248"/>
        <v>0</v>
      </c>
      <c r="AA106" s="2636">
        <f t="shared" si="248"/>
        <v>0</v>
      </c>
      <c r="AB106" s="2636">
        <f t="shared" si="248"/>
        <v>0</v>
      </c>
      <c r="AC106" s="2636">
        <f t="shared" si="248"/>
        <v>0</v>
      </c>
      <c r="AD106" s="2636">
        <f t="shared" si="248"/>
        <v>0</v>
      </c>
      <c r="AE106" s="2636">
        <f t="shared" si="239"/>
        <v>0</v>
      </c>
      <c r="AF106" s="5247">
        <f t="shared" si="240"/>
        <v>0</v>
      </c>
      <c r="AG106" s="2776"/>
      <c r="AH106" s="5246">
        <f>AH113+AH114</f>
        <v>6</v>
      </c>
      <c r="AI106" s="2636">
        <f t="shared" ref="AI106:AQ106" si="249">AI113+AI114</f>
        <v>7</v>
      </c>
      <c r="AJ106" s="2636">
        <f t="shared" si="249"/>
        <v>7</v>
      </c>
      <c r="AK106" s="2636">
        <f t="shared" si="249"/>
        <v>9</v>
      </c>
      <c r="AL106" s="2636">
        <f t="shared" si="249"/>
        <v>11</v>
      </c>
      <c r="AM106" s="2636">
        <f t="shared" si="249"/>
        <v>6</v>
      </c>
      <c r="AN106" s="4461">
        <f t="shared" si="249"/>
        <v>0</v>
      </c>
      <c r="AO106" s="4461">
        <f t="shared" si="249"/>
        <v>0</v>
      </c>
      <c r="AP106" s="4461">
        <f t="shared" si="249"/>
        <v>0</v>
      </c>
      <c r="AQ106" s="4461">
        <f t="shared" si="249"/>
        <v>0</v>
      </c>
      <c r="AR106" s="4461">
        <v>0</v>
      </c>
      <c r="AS106" s="4461">
        <v>0</v>
      </c>
      <c r="AT106" s="2636">
        <f t="shared" si="228"/>
        <v>46</v>
      </c>
      <c r="AU106" s="5247">
        <f t="shared" si="136"/>
        <v>3.8333333333333335</v>
      </c>
      <c r="AV106" s="559" t="b">
        <v>1</v>
      </c>
      <c r="AW106" s="5320">
        <v>10</v>
      </c>
      <c r="AX106" s="2636">
        <v>10</v>
      </c>
      <c r="AY106" s="2636">
        <v>6</v>
      </c>
      <c r="AZ106" s="2636">
        <v>8</v>
      </c>
      <c r="BA106" s="2636">
        <v>7</v>
      </c>
      <c r="BB106" s="2636">
        <v>8</v>
      </c>
      <c r="BC106" s="2636">
        <v>6</v>
      </c>
      <c r="BD106" s="2636">
        <v>10</v>
      </c>
      <c r="BE106" s="2636">
        <v>9</v>
      </c>
      <c r="BF106" s="2636">
        <v>10</v>
      </c>
      <c r="BG106" s="2636">
        <v>11</v>
      </c>
      <c r="BH106" s="2636">
        <v>4</v>
      </c>
      <c r="BI106" s="2636">
        <f t="shared" si="209"/>
        <v>99</v>
      </c>
      <c r="BJ106" s="5247">
        <f t="shared" si="141"/>
        <v>8.25</v>
      </c>
      <c r="BL106" s="5321">
        <v>1</v>
      </c>
      <c r="BM106" s="2636">
        <v>4</v>
      </c>
      <c r="BN106" s="2636"/>
      <c r="BO106" s="2636"/>
      <c r="BP106" s="2636"/>
      <c r="BQ106" s="2636"/>
      <c r="BR106" s="2636"/>
      <c r="BS106" s="2636"/>
      <c r="BT106" s="2636"/>
      <c r="BU106" s="2636"/>
      <c r="BV106" s="2636"/>
      <c r="BW106" s="2636"/>
      <c r="BX106" s="2636">
        <f t="shared" si="210"/>
        <v>5</v>
      </c>
      <c r="BY106" s="5247">
        <f t="shared" si="211"/>
        <v>2.5</v>
      </c>
      <c r="CA106" s="169">
        <f t="shared" si="237"/>
        <v>-6</v>
      </c>
      <c r="CB106" s="169">
        <f t="shared" si="205"/>
        <v>4.4166666666666661</v>
      </c>
      <c r="CC106" s="169">
        <f>IFERROR(
  SUM(
    _xlfn.XLOOKUP(DATE(YEAR($A$1),1,1),$2:$2,106:106):
    _xlfn.XLOOKUP($A$1,$2:$2,106:106)
  )
 -SUM(
    _xlfn.XLOOKUP(DATE(YEAR($A$1)-1,1,1),$2:$2,106:106):
    _xlfn.XLOOKUP(EDATE($A$1,-12),$2:$2,106:106)
  ),"")</f>
        <v>-15</v>
      </c>
      <c r="CD106" s="4517">
        <f t="shared" si="238"/>
        <v>3</v>
      </c>
    </row>
    <row r="107" spans="1:82" ht="17.600000000000001" x14ac:dyDescent="0.55000000000000004">
      <c r="A107" s="7383"/>
      <c r="B107" s="2041" t="s">
        <v>209</v>
      </c>
      <c r="C107" s="1576"/>
      <c r="D107" s="5246">
        <f>D115+D116</f>
        <v>0</v>
      </c>
      <c r="E107" s="2636">
        <f t="shared" ref="E107:O107" si="250">E115+E116</f>
        <v>0</v>
      </c>
      <c r="F107" s="2636">
        <f t="shared" si="250"/>
        <v>0</v>
      </c>
      <c r="G107" s="2636">
        <f t="shared" si="250"/>
        <v>0</v>
      </c>
      <c r="H107" s="2636">
        <f t="shared" si="250"/>
        <v>0</v>
      </c>
      <c r="I107" s="2636">
        <f t="shared" si="250"/>
        <v>0</v>
      </c>
      <c r="J107" s="2636">
        <f t="shared" si="250"/>
        <v>0</v>
      </c>
      <c r="K107" s="2636">
        <f t="shared" si="250"/>
        <v>0</v>
      </c>
      <c r="L107" s="2636">
        <f t="shared" si="250"/>
        <v>0</v>
      </c>
      <c r="M107" s="2636">
        <f t="shared" si="250"/>
        <v>0</v>
      </c>
      <c r="N107" s="2636">
        <f t="shared" si="250"/>
        <v>0</v>
      </c>
      <c r="O107" s="2636">
        <f t="shared" si="250"/>
        <v>0</v>
      </c>
      <c r="P107" s="2636">
        <f t="shared" si="233"/>
        <v>0</v>
      </c>
      <c r="Q107" s="5247">
        <f t="shared" si="234"/>
        <v>0</v>
      </c>
      <c r="R107" s="2776">
        <v>0</v>
      </c>
      <c r="S107" s="5246">
        <f>S115+S116</f>
        <v>0</v>
      </c>
      <c r="T107" s="2636">
        <f t="shared" ref="T107:AD107" si="251">T115+T116</f>
        <v>0</v>
      </c>
      <c r="U107" s="2636">
        <f t="shared" si="251"/>
        <v>0</v>
      </c>
      <c r="V107" s="2636">
        <f t="shared" si="251"/>
        <v>0</v>
      </c>
      <c r="W107" s="2636">
        <f t="shared" si="251"/>
        <v>0</v>
      </c>
      <c r="X107" s="2636">
        <f t="shared" si="251"/>
        <v>0</v>
      </c>
      <c r="Y107" s="2636">
        <f t="shared" si="251"/>
        <v>0</v>
      </c>
      <c r="Z107" s="2636">
        <f t="shared" si="251"/>
        <v>0</v>
      </c>
      <c r="AA107" s="2636">
        <f t="shared" si="251"/>
        <v>0</v>
      </c>
      <c r="AB107" s="2636">
        <f t="shared" si="251"/>
        <v>0</v>
      </c>
      <c r="AC107" s="2636">
        <f t="shared" si="251"/>
        <v>0</v>
      </c>
      <c r="AD107" s="2636">
        <f t="shared" si="251"/>
        <v>0</v>
      </c>
      <c r="AE107" s="2636">
        <f t="shared" si="239"/>
        <v>0</v>
      </c>
      <c r="AF107" s="5247">
        <f t="shared" si="240"/>
        <v>0</v>
      </c>
      <c r="AG107" s="2776"/>
      <c r="AH107" s="5246">
        <f>AH115+AH116</f>
        <v>17</v>
      </c>
      <c r="AI107" s="2636">
        <f t="shared" ref="AI107:AQ107" si="252">AI115+AI116</f>
        <v>18</v>
      </c>
      <c r="AJ107" s="2636">
        <f t="shared" si="252"/>
        <v>16</v>
      </c>
      <c r="AK107" s="2636">
        <f t="shared" si="252"/>
        <v>18</v>
      </c>
      <c r="AL107" s="2636">
        <f t="shared" si="252"/>
        <v>16</v>
      </c>
      <c r="AM107" s="2636">
        <f t="shared" si="252"/>
        <v>18</v>
      </c>
      <c r="AN107" s="4461">
        <f t="shared" si="252"/>
        <v>0</v>
      </c>
      <c r="AO107" s="4461">
        <f t="shared" si="252"/>
        <v>0</v>
      </c>
      <c r="AP107" s="4461">
        <f t="shared" si="252"/>
        <v>0</v>
      </c>
      <c r="AQ107" s="4461">
        <f t="shared" si="252"/>
        <v>0</v>
      </c>
      <c r="AR107" s="4461">
        <v>0</v>
      </c>
      <c r="AS107" s="4461">
        <v>0</v>
      </c>
      <c r="AT107" s="2636">
        <f t="shared" si="228"/>
        <v>103</v>
      </c>
      <c r="AU107" s="5247">
        <f t="shared" si="136"/>
        <v>8.5833333333333339</v>
      </c>
      <c r="AV107" s="559" t="b">
        <v>1</v>
      </c>
      <c r="AW107" s="5320">
        <v>7</v>
      </c>
      <c r="AX107" s="2636">
        <v>12</v>
      </c>
      <c r="AY107" s="2636">
        <v>12</v>
      </c>
      <c r="AZ107" s="2636">
        <v>12</v>
      </c>
      <c r="BA107" s="2636">
        <v>9</v>
      </c>
      <c r="BB107" s="2636">
        <v>11</v>
      </c>
      <c r="BC107" s="2636">
        <v>11</v>
      </c>
      <c r="BD107" s="2636">
        <v>14</v>
      </c>
      <c r="BE107" s="2636">
        <v>13</v>
      </c>
      <c r="BF107" s="2636">
        <v>16</v>
      </c>
      <c r="BG107" s="2636">
        <v>19</v>
      </c>
      <c r="BH107" s="2636">
        <v>14</v>
      </c>
      <c r="BI107" s="2636">
        <f t="shared" si="209"/>
        <v>150</v>
      </c>
      <c r="BJ107" s="5247">
        <f t="shared" si="141"/>
        <v>12.5</v>
      </c>
      <c r="BL107" s="5321">
        <v>9</v>
      </c>
      <c r="BM107" s="2636">
        <v>15</v>
      </c>
      <c r="BN107" s="2636"/>
      <c r="BO107" s="2636"/>
      <c r="BP107" s="2636"/>
      <c r="BQ107" s="2636"/>
      <c r="BR107" s="2636"/>
      <c r="BS107" s="2636"/>
      <c r="BT107" s="2636"/>
      <c r="BU107" s="2636"/>
      <c r="BV107" s="2636"/>
      <c r="BW107" s="2636"/>
      <c r="BX107" s="2636">
        <f t="shared" si="210"/>
        <v>24</v>
      </c>
      <c r="BY107" s="5247">
        <f t="shared" si="211"/>
        <v>12</v>
      </c>
      <c r="CA107" s="169">
        <f t="shared" si="237"/>
        <v>3</v>
      </c>
      <c r="CB107" s="169">
        <f t="shared" si="205"/>
        <v>3.9166666666666661</v>
      </c>
      <c r="CC107" s="169">
        <f>IFERROR(
  SUM(
    _xlfn.XLOOKUP(DATE(YEAR($A$1),1,1),$2:$2,107:107):
    _xlfn.XLOOKUP($A$1,$2:$2,107:107)
  )
 -SUM(
    _xlfn.XLOOKUP(DATE(YEAR($A$1)-1,1,1),$2:$2,107:107):
    _xlfn.XLOOKUP(EDATE($A$1,-12),$2:$2,107:107)
  ),"")</f>
        <v>5</v>
      </c>
      <c r="CD107" s="4517">
        <f t="shared" si="238"/>
        <v>6</v>
      </c>
    </row>
    <row r="108" spans="1:82" ht="17.600000000000001" x14ac:dyDescent="0.55000000000000004">
      <c r="A108" s="7383"/>
      <c r="B108" s="2048" t="s">
        <v>210</v>
      </c>
      <c r="C108" s="1929"/>
      <c r="D108" s="5249">
        <f>D117+D118</f>
        <v>0</v>
      </c>
      <c r="E108" s="5250">
        <f t="shared" ref="E108:O108" si="253">E117+E118</f>
        <v>0</v>
      </c>
      <c r="F108" s="5250">
        <f t="shared" si="253"/>
        <v>0</v>
      </c>
      <c r="G108" s="5250">
        <f t="shared" si="253"/>
        <v>0</v>
      </c>
      <c r="H108" s="5250">
        <f t="shared" si="253"/>
        <v>0</v>
      </c>
      <c r="I108" s="5250">
        <f t="shared" si="253"/>
        <v>0</v>
      </c>
      <c r="J108" s="5250">
        <f t="shared" si="253"/>
        <v>0</v>
      </c>
      <c r="K108" s="5250">
        <f t="shared" si="253"/>
        <v>0</v>
      </c>
      <c r="L108" s="5250">
        <f t="shared" si="253"/>
        <v>0</v>
      </c>
      <c r="M108" s="5250">
        <f t="shared" si="253"/>
        <v>0</v>
      </c>
      <c r="N108" s="5250">
        <f t="shared" si="253"/>
        <v>0</v>
      </c>
      <c r="O108" s="5250">
        <f t="shared" si="253"/>
        <v>0</v>
      </c>
      <c r="P108" s="5250">
        <f t="shared" si="233"/>
        <v>0</v>
      </c>
      <c r="Q108" s="5251">
        <f t="shared" si="234"/>
        <v>0</v>
      </c>
      <c r="R108" s="2776">
        <v>0</v>
      </c>
      <c r="S108" s="5249">
        <f>S117+S118</f>
        <v>0</v>
      </c>
      <c r="T108" s="5250">
        <f t="shared" ref="T108:AD108" si="254">T117+T118</f>
        <v>0</v>
      </c>
      <c r="U108" s="5250">
        <f t="shared" si="254"/>
        <v>0</v>
      </c>
      <c r="V108" s="5250">
        <f t="shared" si="254"/>
        <v>0</v>
      </c>
      <c r="W108" s="5250">
        <f t="shared" si="254"/>
        <v>0</v>
      </c>
      <c r="X108" s="5250">
        <f t="shared" si="254"/>
        <v>0</v>
      </c>
      <c r="Y108" s="5250">
        <f t="shared" si="254"/>
        <v>0</v>
      </c>
      <c r="Z108" s="5250">
        <f t="shared" si="254"/>
        <v>0</v>
      </c>
      <c r="AA108" s="5250">
        <f t="shared" si="254"/>
        <v>0</v>
      </c>
      <c r="AB108" s="5250">
        <f t="shared" si="254"/>
        <v>0</v>
      </c>
      <c r="AC108" s="5250">
        <f t="shared" si="254"/>
        <v>0</v>
      </c>
      <c r="AD108" s="5250">
        <f t="shared" si="254"/>
        <v>0</v>
      </c>
      <c r="AE108" s="5250">
        <f t="shared" si="239"/>
        <v>0</v>
      </c>
      <c r="AF108" s="5251">
        <f t="shared" si="240"/>
        <v>0</v>
      </c>
      <c r="AG108" s="2776"/>
      <c r="AH108" s="5249">
        <f>AH117+AH118</f>
        <v>16</v>
      </c>
      <c r="AI108" s="5250">
        <f t="shared" ref="AI108:AQ108" si="255">AI117+AI118</f>
        <v>19</v>
      </c>
      <c r="AJ108" s="5250">
        <f t="shared" si="255"/>
        <v>20</v>
      </c>
      <c r="AK108" s="5250">
        <f t="shared" si="255"/>
        <v>22</v>
      </c>
      <c r="AL108" s="5250">
        <f t="shared" si="255"/>
        <v>19</v>
      </c>
      <c r="AM108" s="5250">
        <f t="shared" si="255"/>
        <v>21</v>
      </c>
      <c r="AN108" s="5322">
        <f t="shared" si="255"/>
        <v>0</v>
      </c>
      <c r="AO108" s="5322">
        <f t="shared" si="255"/>
        <v>0</v>
      </c>
      <c r="AP108" s="5322">
        <f t="shared" si="255"/>
        <v>0</v>
      </c>
      <c r="AQ108" s="5322">
        <f t="shared" si="255"/>
        <v>0</v>
      </c>
      <c r="AR108" s="5322">
        <v>0</v>
      </c>
      <c r="AS108" s="5322">
        <v>0</v>
      </c>
      <c r="AT108" s="5250">
        <f t="shared" si="228"/>
        <v>117</v>
      </c>
      <c r="AU108" s="5251">
        <f t="shared" si="136"/>
        <v>9.75</v>
      </c>
      <c r="AV108" s="559" t="b">
        <v>1</v>
      </c>
      <c r="AW108" s="5323">
        <v>14</v>
      </c>
      <c r="AX108" s="5250">
        <v>18</v>
      </c>
      <c r="AY108" s="5250">
        <v>11</v>
      </c>
      <c r="AZ108" s="5250">
        <v>7</v>
      </c>
      <c r="BA108" s="5250">
        <v>11</v>
      </c>
      <c r="BB108" s="5250">
        <v>9</v>
      </c>
      <c r="BC108" s="5250">
        <v>10</v>
      </c>
      <c r="BD108" s="5250">
        <v>12</v>
      </c>
      <c r="BE108" s="5250">
        <v>11</v>
      </c>
      <c r="BF108" s="5250">
        <v>10</v>
      </c>
      <c r="BG108" s="5250">
        <v>10</v>
      </c>
      <c r="BH108" s="5250">
        <v>12</v>
      </c>
      <c r="BI108" s="5250">
        <f t="shared" si="209"/>
        <v>135</v>
      </c>
      <c r="BJ108" s="5251">
        <f t="shared" si="141"/>
        <v>11.25</v>
      </c>
      <c r="BL108" s="5324">
        <v>13</v>
      </c>
      <c r="BM108" s="5250">
        <v>10</v>
      </c>
      <c r="BN108" s="5250"/>
      <c r="BO108" s="5250"/>
      <c r="BP108" s="5250"/>
      <c r="BQ108" s="5250"/>
      <c r="BR108" s="5250"/>
      <c r="BS108" s="5250"/>
      <c r="BT108" s="5250"/>
      <c r="BU108" s="5250"/>
      <c r="BV108" s="5250"/>
      <c r="BW108" s="5250"/>
      <c r="BX108" s="5250">
        <f t="shared" si="210"/>
        <v>23</v>
      </c>
      <c r="BY108" s="5251">
        <f t="shared" si="211"/>
        <v>11.5</v>
      </c>
      <c r="CA108" s="169">
        <f t="shared" si="237"/>
        <v>-8</v>
      </c>
      <c r="CB108" s="169">
        <f t="shared" si="205"/>
        <v>1.5</v>
      </c>
      <c r="CC108" s="169">
        <f>IFERROR(
  SUM(
    _xlfn.XLOOKUP(DATE(YEAR($A$1),1,1),$2:$2,108:108):
    _xlfn.XLOOKUP($A$1,$2:$2,108:108)
  )
 -SUM(
    _xlfn.XLOOKUP(DATE(YEAR($A$1)-1,1,1),$2:$2,108:108):
    _xlfn.XLOOKUP(EDATE($A$1,-12),$2:$2,108:108)
  ),"")</f>
        <v>-9</v>
      </c>
      <c r="CD108" s="4517">
        <f t="shared" si="238"/>
        <v>-3</v>
      </c>
    </row>
    <row r="109" spans="1:82" ht="17.600000000000001" x14ac:dyDescent="0.55000000000000004">
      <c r="A109" s="7383"/>
      <c r="B109" s="2055"/>
      <c r="C109" s="5253" t="s">
        <v>211</v>
      </c>
      <c r="D109" s="5255">
        <v>0</v>
      </c>
      <c r="E109" s="5255">
        <v>0</v>
      </c>
      <c r="F109" s="5255">
        <v>0</v>
      </c>
      <c r="G109" s="5255">
        <v>0</v>
      </c>
      <c r="H109" s="5255">
        <v>0</v>
      </c>
      <c r="I109" s="5255">
        <v>0</v>
      </c>
      <c r="J109" s="5255">
        <v>0</v>
      </c>
      <c r="K109" s="5255">
        <v>0</v>
      </c>
      <c r="L109" s="5255">
        <v>0</v>
      </c>
      <c r="M109" s="5255">
        <v>0</v>
      </c>
      <c r="N109" s="5255">
        <v>0</v>
      </c>
      <c r="O109" s="5255">
        <v>0</v>
      </c>
      <c r="P109" s="5255">
        <f t="shared" si="233"/>
        <v>0</v>
      </c>
      <c r="Q109" s="5256">
        <f t="shared" si="234"/>
        <v>0</v>
      </c>
      <c r="R109" s="2776">
        <v>0</v>
      </c>
      <c r="S109" s="5274">
        <v>0</v>
      </c>
      <c r="T109" s="5255">
        <v>0</v>
      </c>
      <c r="U109" s="5255">
        <v>0</v>
      </c>
      <c r="V109" s="5255">
        <v>0</v>
      </c>
      <c r="W109" s="5255">
        <v>0</v>
      </c>
      <c r="X109" s="5255">
        <v>0</v>
      </c>
      <c r="Y109" s="5255">
        <v>0</v>
      </c>
      <c r="Z109" s="5255">
        <v>0</v>
      </c>
      <c r="AA109" s="5255">
        <v>0</v>
      </c>
      <c r="AB109" s="5255">
        <v>0</v>
      </c>
      <c r="AC109" s="5255">
        <v>0</v>
      </c>
      <c r="AD109" s="5255">
        <v>0</v>
      </c>
      <c r="AE109" s="5255">
        <f t="shared" si="239"/>
        <v>0</v>
      </c>
      <c r="AF109" s="5256">
        <f t="shared" si="240"/>
        <v>0</v>
      </c>
      <c r="AG109" s="2776"/>
      <c r="AH109" s="5274">
        <v>9</v>
      </c>
      <c r="AI109" s="5255">
        <v>8</v>
      </c>
      <c r="AJ109" s="5255">
        <v>5</v>
      </c>
      <c r="AK109" s="5255">
        <v>1</v>
      </c>
      <c r="AL109" s="5255">
        <v>9</v>
      </c>
      <c r="AM109" s="5255">
        <v>7</v>
      </c>
      <c r="AN109" s="5325"/>
      <c r="AO109" s="5325"/>
      <c r="AP109" s="5325"/>
      <c r="AQ109" s="5325"/>
      <c r="AR109" s="5325"/>
      <c r="AS109" s="5325"/>
      <c r="AT109" s="5255">
        <f t="shared" si="228"/>
        <v>39</v>
      </c>
      <c r="AU109" s="5256">
        <f t="shared" si="136"/>
        <v>3.25</v>
      </c>
      <c r="AV109" s="559" t="b">
        <v>1</v>
      </c>
      <c r="AW109" s="5326">
        <v>8</v>
      </c>
      <c r="AX109" s="5255">
        <v>6</v>
      </c>
      <c r="AY109" s="5255">
        <v>4</v>
      </c>
      <c r="AZ109" s="5255">
        <v>3</v>
      </c>
      <c r="BA109" s="5255">
        <v>3</v>
      </c>
      <c r="BB109" s="5255">
        <v>2</v>
      </c>
      <c r="BC109" s="5255">
        <v>0</v>
      </c>
      <c r="BD109" s="5255">
        <v>5</v>
      </c>
      <c r="BE109" s="5255">
        <v>3</v>
      </c>
      <c r="BF109" s="5255">
        <v>4</v>
      </c>
      <c r="BG109" s="5255">
        <v>4</v>
      </c>
      <c r="BH109" s="5255">
        <v>2</v>
      </c>
      <c r="BI109" s="5255">
        <f t="shared" si="209"/>
        <v>44</v>
      </c>
      <c r="BJ109" s="5256">
        <f t="shared" si="141"/>
        <v>3.6666666666666665</v>
      </c>
      <c r="BL109" s="5327">
        <v>2</v>
      </c>
      <c r="BM109" s="5255">
        <v>6</v>
      </c>
      <c r="BN109" s="5255"/>
      <c r="BO109" s="5255"/>
      <c r="BP109" s="5255"/>
      <c r="BQ109" s="5255"/>
      <c r="BR109" s="5255"/>
      <c r="BS109" s="5255"/>
      <c r="BT109" s="5255"/>
      <c r="BU109" s="5255"/>
      <c r="BV109" s="5255"/>
      <c r="BW109" s="5255"/>
      <c r="BX109" s="5255">
        <f t="shared" si="210"/>
        <v>8</v>
      </c>
      <c r="BY109" s="5256">
        <f t="shared" si="211"/>
        <v>4</v>
      </c>
      <c r="CA109" s="169">
        <f t="shared" si="237"/>
        <v>0</v>
      </c>
      <c r="CB109" s="169">
        <f t="shared" si="205"/>
        <v>0.41666666666666652</v>
      </c>
      <c r="CC109" s="169">
        <f>IFERROR(
  SUM(
    _xlfn.XLOOKUP(DATE(YEAR($A$1),1,1),$2:$2,109:109):
    _xlfn.XLOOKUP($A$1,$2:$2,109:109)
  )
 -SUM(
    _xlfn.XLOOKUP(DATE(YEAR($A$1)-1,1,1),$2:$2,109:109):
    _xlfn.XLOOKUP(EDATE($A$1,-12),$2:$2,109:109)
  ),"")</f>
        <v>-6</v>
      </c>
      <c r="CD109" s="4517">
        <f t="shared" si="238"/>
        <v>4</v>
      </c>
    </row>
    <row r="110" spans="1:82" ht="17.600000000000001" x14ac:dyDescent="0.55000000000000004">
      <c r="A110" s="7383"/>
      <c r="B110" s="2062"/>
      <c r="C110" s="5258" t="s">
        <v>212</v>
      </c>
      <c r="D110" s="5260">
        <v>0</v>
      </c>
      <c r="E110" s="5260">
        <v>0</v>
      </c>
      <c r="F110" s="5260">
        <v>0</v>
      </c>
      <c r="G110" s="5260">
        <v>0</v>
      </c>
      <c r="H110" s="5260">
        <v>0</v>
      </c>
      <c r="I110" s="5260">
        <v>0</v>
      </c>
      <c r="J110" s="5260">
        <v>0</v>
      </c>
      <c r="K110" s="5260">
        <v>0</v>
      </c>
      <c r="L110" s="5260">
        <v>0</v>
      </c>
      <c r="M110" s="5260">
        <v>0</v>
      </c>
      <c r="N110" s="5260">
        <v>0</v>
      </c>
      <c r="O110" s="5260">
        <v>0</v>
      </c>
      <c r="P110" s="5260">
        <f t="shared" si="233"/>
        <v>0</v>
      </c>
      <c r="Q110" s="5261">
        <f t="shared" si="234"/>
        <v>0</v>
      </c>
      <c r="R110" s="2776">
        <v>0</v>
      </c>
      <c r="S110" s="5275">
        <v>0</v>
      </c>
      <c r="T110" s="5260">
        <v>0</v>
      </c>
      <c r="U110" s="5260">
        <v>0</v>
      </c>
      <c r="V110" s="5260">
        <v>0</v>
      </c>
      <c r="W110" s="5260">
        <v>0</v>
      </c>
      <c r="X110" s="5260">
        <v>0</v>
      </c>
      <c r="Y110" s="5260">
        <v>0</v>
      </c>
      <c r="Z110" s="5260">
        <v>0</v>
      </c>
      <c r="AA110" s="5260">
        <v>0</v>
      </c>
      <c r="AB110" s="5260">
        <v>0</v>
      </c>
      <c r="AC110" s="5260">
        <v>0</v>
      </c>
      <c r="AD110" s="5260">
        <v>0</v>
      </c>
      <c r="AE110" s="5260">
        <f t="shared" si="239"/>
        <v>0</v>
      </c>
      <c r="AF110" s="5261">
        <f t="shared" si="240"/>
        <v>0</v>
      </c>
      <c r="AG110" s="2776"/>
      <c r="AH110" s="5275">
        <v>12</v>
      </c>
      <c r="AI110" s="5260">
        <v>9</v>
      </c>
      <c r="AJ110" s="5260">
        <v>7</v>
      </c>
      <c r="AK110" s="5260">
        <v>2</v>
      </c>
      <c r="AL110" s="5260">
        <v>2</v>
      </c>
      <c r="AM110" s="5260">
        <v>2</v>
      </c>
      <c r="AN110" s="5328"/>
      <c r="AO110" s="5328"/>
      <c r="AP110" s="5328"/>
      <c r="AQ110" s="5328"/>
      <c r="AR110" s="5328"/>
      <c r="AS110" s="5328"/>
      <c r="AT110" s="5260">
        <f t="shared" si="228"/>
        <v>34</v>
      </c>
      <c r="AU110" s="5261">
        <f t="shared" si="136"/>
        <v>2.8333333333333335</v>
      </c>
      <c r="AV110" s="559" t="b">
        <v>1</v>
      </c>
      <c r="AW110" s="5329">
        <v>4</v>
      </c>
      <c r="AX110" s="5260">
        <v>6</v>
      </c>
      <c r="AY110" s="5260">
        <v>3</v>
      </c>
      <c r="AZ110" s="5260">
        <v>4</v>
      </c>
      <c r="BA110" s="5260">
        <v>4</v>
      </c>
      <c r="BB110" s="5260">
        <v>3</v>
      </c>
      <c r="BC110" s="5260">
        <v>4</v>
      </c>
      <c r="BD110" s="5260">
        <v>3</v>
      </c>
      <c r="BE110" s="5260">
        <v>4</v>
      </c>
      <c r="BF110" s="5260">
        <v>4</v>
      </c>
      <c r="BG110" s="5260">
        <v>4</v>
      </c>
      <c r="BH110" s="5260">
        <v>5</v>
      </c>
      <c r="BI110" s="5260">
        <f t="shared" si="209"/>
        <v>48</v>
      </c>
      <c r="BJ110" s="5261">
        <f t="shared" si="141"/>
        <v>4</v>
      </c>
      <c r="BL110" s="5330">
        <v>4</v>
      </c>
      <c r="BM110" s="5260">
        <v>3</v>
      </c>
      <c r="BN110" s="5260"/>
      <c r="BO110" s="5260"/>
      <c r="BP110" s="5260"/>
      <c r="BQ110" s="5260"/>
      <c r="BR110" s="5260"/>
      <c r="BS110" s="5260"/>
      <c r="BT110" s="5260"/>
      <c r="BU110" s="5260"/>
      <c r="BV110" s="5260"/>
      <c r="BW110" s="5260"/>
      <c r="BX110" s="5260">
        <f t="shared" si="210"/>
        <v>7</v>
      </c>
      <c r="BY110" s="5261">
        <f t="shared" si="211"/>
        <v>3.5</v>
      </c>
      <c r="CA110" s="169">
        <f t="shared" si="237"/>
        <v>-3</v>
      </c>
      <c r="CB110" s="169">
        <f t="shared" si="205"/>
        <v>1.1666666666666665</v>
      </c>
      <c r="CC110" s="169">
        <f>IFERROR(
  SUM(
    _xlfn.XLOOKUP(DATE(YEAR($A$1),1,1),$2:$2,110:110):
    _xlfn.XLOOKUP($A$1,$2:$2,110:110)
  )
 -SUM(
    _xlfn.XLOOKUP(DATE(YEAR($A$1)-1,1,1),$2:$2,110:110):
    _xlfn.XLOOKUP(EDATE($A$1,-12),$2:$2,110:110)
  ),"")</f>
        <v>-3</v>
      </c>
      <c r="CD110" s="4517">
        <f t="shared" si="238"/>
        <v>-1</v>
      </c>
    </row>
    <row r="111" spans="1:82" ht="17.600000000000001" x14ac:dyDescent="0.55000000000000004">
      <c r="A111" s="7383"/>
      <c r="B111" s="2062"/>
      <c r="C111" s="5263" t="s">
        <v>213</v>
      </c>
      <c r="D111" s="5265">
        <v>0</v>
      </c>
      <c r="E111" s="5265">
        <v>0</v>
      </c>
      <c r="F111" s="5265">
        <v>0</v>
      </c>
      <c r="G111" s="5265">
        <v>0</v>
      </c>
      <c r="H111" s="5265">
        <v>0</v>
      </c>
      <c r="I111" s="5265">
        <v>0</v>
      </c>
      <c r="J111" s="5265">
        <v>0</v>
      </c>
      <c r="K111" s="5265">
        <v>0</v>
      </c>
      <c r="L111" s="5265">
        <v>0</v>
      </c>
      <c r="M111" s="5265">
        <v>0</v>
      </c>
      <c r="N111" s="5265">
        <v>0</v>
      </c>
      <c r="O111" s="5265">
        <v>0</v>
      </c>
      <c r="P111" s="5265">
        <f t="shared" si="233"/>
        <v>0</v>
      </c>
      <c r="Q111" s="5266">
        <f t="shared" si="234"/>
        <v>0</v>
      </c>
      <c r="R111" s="2776">
        <v>0</v>
      </c>
      <c r="S111" s="5276">
        <v>0</v>
      </c>
      <c r="T111" s="5265">
        <v>0</v>
      </c>
      <c r="U111" s="5265">
        <v>0</v>
      </c>
      <c r="V111" s="5265">
        <v>0</v>
      </c>
      <c r="W111" s="5265">
        <v>0</v>
      </c>
      <c r="X111" s="5265">
        <v>0</v>
      </c>
      <c r="Y111" s="5265">
        <v>0</v>
      </c>
      <c r="Z111" s="5265">
        <v>0</v>
      </c>
      <c r="AA111" s="5265">
        <v>0</v>
      </c>
      <c r="AB111" s="5265">
        <v>0</v>
      </c>
      <c r="AC111" s="5265">
        <v>0</v>
      </c>
      <c r="AD111" s="5265">
        <v>0</v>
      </c>
      <c r="AE111" s="5265">
        <f t="shared" si="239"/>
        <v>0</v>
      </c>
      <c r="AF111" s="5266">
        <f t="shared" si="240"/>
        <v>0</v>
      </c>
      <c r="AG111" s="2776"/>
      <c r="AH111" s="5276">
        <v>4</v>
      </c>
      <c r="AI111" s="5265">
        <v>4</v>
      </c>
      <c r="AJ111" s="5265">
        <v>3</v>
      </c>
      <c r="AK111" s="5265">
        <v>1</v>
      </c>
      <c r="AL111" s="5265">
        <v>0</v>
      </c>
      <c r="AM111" s="5265">
        <v>6</v>
      </c>
      <c r="AN111" s="5328"/>
      <c r="AO111" s="5328"/>
      <c r="AP111" s="5328"/>
      <c r="AQ111" s="5328"/>
      <c r="AR111" s="5328"/>
      <c r="AS111" s="5328"/>
      <c r="AT111" s="5265">
        <f t="shared" si="228"/>
        <v>18</v>
      </c>
      <c r="AU111" s="5266">
        <f t="shared" si="136"/>
        <v>1.5</v>
      </c>
      <c r="AV111" s="559" t="b">
        <v>1</v>
      </c>
      <c r="AW111" s="5331">
        <v>8</v>
      </c>
      <c r="AX111" s="5265">
        <v>9</v>
      </c>
      <c r="AY111" s="5265">
        <v>7</v>
      </c>
      <c r="AZ111" s="5265">
        <v>4</v>
      </c>
      <c r="BA111" s="5265">
        <v>3</v>
      </c>
      <c r="BB111" s="5265">
        <v>3</v>
      </c>
      <c r="BC111" s="5265">
        <v>6</v>
      </c>
      <c r="BD111" s="5265">
        <v>3</v>
      </c>
      <c r="BE111" s="5265">
        <v>2</v>
      </c>
      <c r="BF111" s="5265">
        <v>1</v>
      </c>
      <c r="BG111" s="5265">
        <v>2</v>
      </c>
      <c r="BH111" s="5265">
        <v>1</v>
      </c>
      <c r="BI111" s="5265">
        <f t="shared" si="209"/>
        <v>49</v>
      </c>
      <c r="BJ111" s="5266">
        <f t="shared" si="141"/>
        <v>4.083333333333333</v>
      </c>
      <c r="BL111" s="5332">
        <v>4</v>
      </c>
      <c r="BM111" s="5265">
        <v>3</v>
      </c>
      <c r="BN111" s="5265"/>
      <c r="BO111" s="5265"/>
      <c r="BP111" s="5265"/>
      <c r="BQ111" s="5265"/>
      <c r="BR111" s="5265"/>
      <c r="BS111" s="5265"/>
      <c r="BT111" s="5265"/>
      <c r="BU111" s="5265"/>
      <c r="BV111" s="5265"/>
      <c r="BW111" s="5265"/>
      <c r="BX111" s="5265">
        <f t="shared" si="210"/>
        <v>7</v>
      </c>
      <c r="BY111" s="5266">
        <f t="shared" si="211"/>
        <v>3.5</v>
      </c>
      <c r="CA111" s="169">
        <f t="shared" si="237"/>
        <v>-6</v>
      </c>
      <c r="CB111" s="169">
        <f t="shared" si="205"/>
        <v>2.583333333333333</v>
      </c>
      <c r="CC111" s="169">
        <f>IFERROR(
  SUM(
    _xlfn.XLOOKUP(DATE(YEAR($A$1),1,1),$2:$2,111:111):
    _xlfn.XLOOKUP($A$1,$2:$2,111:111)
  )
 -SUM(
    _xlfn.XLOOKUP(DATE(YEAR($A$1)-1,1,1),$2:$2,111:111):
    _xlfn.XLOOKUP(EDATE($A$1,-12),$2:$2,111:111)
  ),"")</f>
        <v>-10</v>
      </c>
      <c r="CD111" s="4517">
        <f t="shared" si="238"/>
        <v>-1</v>
      </c>
    </row>
    <row r="112" spans="1:82" ht="17.600000000000001" x14ac:dyDescent="0.55000000000000004">
      <c r="A112" s="7383"/>
      <c r="B112" s="2062"/>
      <c r="C112" s="5263" t="s">
        <v>214</v>
      </c>
      <c r="D112" s="5265">
        <v>0</v>
      </c>
      <c r="E112" s="5265">
        <v>0</v>
      </c>
      <c r="F112" s="5265">
        <v>0</v>
      </c>
      <c r="G112" s="5265">
        <v>0</v>
      </c>
      <c r="H112" s="5265">
        <v>0</v>
      </c>
      <c r="I112" s="5265">
        <v>0</v>
      </c>
      <c r="J112" s="5265">
        <v>0</v>
      </c>
      <c r="K112" s="5265">
        <v>0</v>
      </c>
      <c r="L112" s="5265">
        <v>0</v>
      </c>
      <c r="M112" s="5265">
        <v>0</v>
      </c>
      <c r="N112" s="5265">
        <v>0</v>
      </c>
      <c r="O112" s="5265">
        <v>0</v>
      </c>
      <c r="P112" s="5265">
        <f t="shared" si="233"/>
        <v>0</v>
      </c>
      <c r="Q112" s="5266">
        <f t="shared" si="234"/>
        <v>0</v>
      </c>
      <c r="R112" s="2776">
        <v>0</v>
      </c>
      <c r="S112" s="5276">
        <v>0</v>
      </c>
      <c r="T112" s="5265">
        <v>0</v>
      </c>
      <c r="U112" s="5265">
        <v>0</v>
      </c>
      <c r="V112" s="5265">
        <v>0</v>
      </c>
      <c r="W112" s="5265">
        <v>0</v>
      </c>
      <c r="X112" s="5265">
        <v>0</v>
      </c>
      <c r="Y112" s="5265">
        <v>0</v>
      </c>
      <c r="Z112" s="5265">
        <v>0</v>
      </c>
      <c r="AA112" s="5265">
        <v>0</v>
      </c>
      <c r="AB112" s="5265">
        <v>0</v>
      </c>
      <c r="AC112" s="5265">
        <v>0</v>
      </c>
      <c r="AD112" s="5265">
        <v>0</v>
      </c>
      <c r="AE112" s="5265">
        <f t="shared" si="239"/>
        <v>0</v>
      </c>
      <c r="AF112" s="5266">
        <f t="shared" si="240"/>
        <v>0</v>
      </c>
      <c r="AG112" s="2776"/>
      <c r="AH112" s="5276">
        <v>4</v>
      </c>
      <c r="AI112" s="5265">
        <v>7</v>
      </c>
      <c r="AJ112" s="5265">
        <v>9</v>
      </c>
      <c r="AK112" s="5265">
        <v>6</v>
      </c>
      <c r="AL112" s="5265">
        <v>4</v>
      </c>
      <c r="AM112" s="5265">
        <v>6</v>
      </c>
      <c r="AN112" s="5328"/>
      <c r="AO112" s="5328"/>
      <c r="AP112" s="5328"/>
      <c r="AQ112" s="5328"/>
      <c r="AR112" s="5328"/>
      <c r="AS112" s="5328"/>
      <c r="AT112" s="5265">
        <f t="shared" si="228"/>
        <v>36</v>
      </c>
      <c r="AU112" s="5266">
        <f t="shared" si="136"/>
        <v>3</v>
      </c>
      <c r="AV112" s="559" t="b">
        <v>1</v>
      </c>
      <c r="AW112" s="5331">
        <v>5</v>
      </c>
      <c r="AX112" s="5265">
        <v>7</v>
      </c>
      <c r="AY112" s="5265">
        <v>6</v>
      </c>
      <c r="AZ112" s="5265">
        <v>10</v>
      </c>
      <c r="BA112" s="5265">
        <v>9</v>
      </c>
      <c r="BB112" s="5265">
        <v>7</v>
      </c>
      <c r="BC112" s="5265">
        <v>7</v>
      </c>
      <c r="BD112" s="5265">
        <v>8</v>
      </c>
      <c r="BE112" s="5265">
        <v>7</v>
      </c>
      <c r="BF112" s="5265">
        <v>7</v>
      </c>
      <c r="BG112" s="5265">
        <v>4</v>
      </c>
      <c r="BH112" s="5265">
        <v>5</v>
      </c>
      <c r="BI112" s="5265">
        <f t="shared" si="209"/>
        <v>82</v>
      </c>
      <c r="BJ112" s="5266">
        <f t="shared" si="141"/>
        <v>6.833333333333333</v>
      </c>
      <c r="BL112" s="5332">
        <v>3</v>
      </c>
      <c r="BM112" s="5265">
        <v>4</v>
      </c>
      <c r="BN112" s="5265"/>
      <c r="BO112" s="5265"/>
      <c r="BP112" s="5265"/>
      <c r="BQ112" s="5265"/>
      <c r="BR112" s="5265"/>
      <c r="BS112" s="5265"/>
      <c r="BT112" s="5265"/>
      <c r="BU112" s="5265"/>
      <c r="BV112" s="5265"/>
      <c r="BW112" s="5265"/>
      <c r="BX112" s="5265">
        <f t="shared" si="210"/>
        <v>7</v>
      </c>
      <c r="BY112" s="5266">
        <f t="shared" si="211"/>
        <v>3.5</v>
      </c>
      <c r="CA112" s="169">
        <f t="shared" si="237"/>
        <v>-3</v>
      </c>
      <c r="CB112" s="169">
        <f t="shared" si="205"/>
        <v>3.833333333333333</v>
      </c>
      <c r="CC112" s="169">
        <f>IFERROR(
  SUM(
    _xlfn.XLOOKUP(DATE(YEAR($A$1),1,1),$2:$2,112:112):
    _xlfn.XLOOKUP($A$1,$2:$2,112:112)
  )
 -SUM(
    _xlfn.XLOOKUP(DATE(YEAR($A$1)-1,1,1),$2:$2,112:112):
    _xlfn.XLOOKUP(EDATE($A$1,-12),$2:$2,112:112)
  ),"")</f>
        <v>-5</v>
      </c>
      <c r="CD112" s="4517">
        <f t="shared" si="238"/>
        <v>1</v>
      </c>
    </row>
    <row r="113" spans="1:82" ht="17.600000000000001" x14ac:dyDescent="0.55000000000000004">
      <c r="A113" s="7383"/>
      <c r="B113" s="2062"/>
      <c r="C113" s="5258" t="s">
        <v>215</v>
      </c>
      <c r="D113" s="5260">
        <v>0</v>
      </c>
      <c r="E113" s="5260">
        <v>0</v>
      </c>
      <c r="F113" s="5260">
        <v>0</v>
      </c>
      <c r="G113" s="5260">
        <v>0</v>
      </c>
      <c r="H113" s="5260">
        <v>0</v>
      </c>
      <c r="I113" s="5260">
        <v>0</v>
      </c>
      <c r="J113" s="5260">
        <v>0</v>
      </c>
      <c r="K113" s="5260">
        <v>0</v>
      </c>
      <c r="L113" s="5260">
        <v>0</v>
      </c>
      <c r="M113" s="5260">
        <v>0</v>
      </c>
      <c r="N113" s="5260">
        <v>0</v>
      </c>
      <c r="O113" s="5260">
        <v>0</v>
      </c>
      <c r="P113" s="5260">
        <f t="shared" si="233"/>
        <v>0</v>
      </c>
      <c r="Q113" s="5261">
        <f t="shared" si="234"/>
        <v>0</v>
      </c>
      <c r="R113" s="2776">
        <v>0</v>
      </c>
      <c r="S113" s="5275">
        <v>0</v>
      </c>
      <c r="T113" s="5260">
        <v>0</v>
      </c>
      <c r="U113" s="5260">
        <v>0</v>
      </c>
      <c r="V113" s="5260">
        <v>0</v>
      </c>
      <c r="W113" s="5260">
        <v>0</v>
      </c>
      <c r="X113" s="5260">
        <v>0</v>
      </c>
      <c r="Y113" s="5260">
        <v>0</v>
      </c>
      <c r="Z113" s="5260">
        <v>0</v>
      </c>
      <c r="AA113" s="5260">
        <v>0</v>
      </c>
      <c r="AB113" s="5260">
        <v>0</v>
      </c>
      <c r="AC113" s="5260">
        <v>0</v>
      </c>
      <c r="AD113" s="5260">
        <v>0</v>
      </c>
      <c r="AE113" s="5260">
        <f t="shared" si="239"/>
        <v>0</v>
      </c>
      <c r="AF113" s="5261">
        <f t="shared" si="240"/>
        <v>0</v>
      </c>
      <c r="AG113" s="2776"/>
      <c r="AH113" s="5275">
        <v>6</v>
      </c>
      <c r="AI113" s="5260">
        <v>3</v>
      </c>
      <c r="AJ113" s="5260">
        <v>2</v>
      </c>
      <c r="AK113" s="5260">
        <v>4</v>
      </c>
      <c r="AL113" s="5260">
        <v>3</v>
      </c>
      <c r="AM113" s="5260">
        <v>2</v>
      </c>
      <c r="AN113" s="5328"/>
      <c r="AO113" s="5328"/>
      <c r="AP113" s="5328"/>
      <c r="AQ113" s="5328"/>
      <c r="AR113" s="5328"/>
      <c r="AS113" s="5328"/>
      <c r="AT113" s="5260">
        <f t="shared" si="228"/>
        <v>20</v>
      </c>
      <c r="AU113" s="5261">
        <f t="shared" si="136"/>
        <v>1.6666666666666667</v>
      </c>
      <c r="AV113" s="559" t="b">
        <v>1</v>
      </c>
      <c r="AW113" s="5329">
        <v>8</v>
      </c>
      <c r="AX113" s="5260">
        <v>7</v>
      </c>
      <c r="AY113" s="5260">
        <v>5</v>
      </c>
      <c r="AZ113" s="5260">
        <v>5</v>
      </c>
      <c r="BA113" s="5260">
        <v>6</v>
      </c>
      <c r="BB113" s="5260">
        <v>6</v>
      </c>
      <c r="BC113" s="5260">
        <v>4</v>
      </c>
      <c r="BD113" s="5260">
        <v>4</v>
      </c>
      <c r="BE113" s="5260">
        <v>5</v>
      </c>
      <c r="BF113" s="5260">
        <v>6</v>
      </c>
      <c r="BG113" s="5260">
        <v>5</v>
      </c>
      <c r="BH113" s="5260">
        <v>2</v>
      </c>
      <c r="BI113" s="5260">
        <f t="shared" si="209"/>
        <v>63</v>
      </c>
      <c r="BJ113" s="5261">
        <f t="shared" si="141"/>
        <v>5.25</v>
      </c>
      <c r="BL113" s="5330">
        <v>0</v>
      </c>
      <c r="BM113" s="5260">
        <v>2</v>
      </c>
      <c r="BN113" s="5260"/>
      <c r="BO113" s="5260"/>
      <c r="BP113" s="5260"/>
      <c r="BQ113" s="5260"/>
      <c r="BR113" s="5260"/>
      <c r="BS113" s="5260"/>
      <c r="BT113" s="5260"/>
      <c r="BU113" s="5260"/>
      <c r="BV113" s="5260"/>
      <c r="BW113" s="5260"/>
      <c r="BX113" s="5260">
        <f t="shared" si="210"/>
        <v>2</v>
      </c>
      <c r="BY113" s="5261">
        <f t="shared" ref="BY113:BY137" si="256">SUM(BL113:BW113)/MONTH($A$1)</f>
        <v>1</v>
      </c>
      <c r="CA113" s="169">
        <f t="shared" si="237"/>
        <v>-5</v>
      </c>
      <c r="CB113" s="169">
        <f t="shared" si="205"/>
        <v>3.583333333333333</v>
      </c>
      <c r="CC113" s="169">
        <f>IFERROR(
  SUM(
    _xlfn.XLOOKUP(DATE(YEAR($A$1),1,1),$2:$2,113:113):
    _xlfn.XLOOKUP($A$1,$2:$2,113:113)
  )
 -SUM(
    _xlfn.XLOOKUP(DATE(YEAR($A$1)-1,1,1),$2:$2,113:113):
    _xlfn.XLOOKUP(EDATE($A$1,-12),$2:$2,113:113)
  ),"")</f>
        <v>-13</v>
      </c>
      <c r="CD113" s="4517">
        <f t="shared" si="238"/>
        <v>2</v>
      </c>
    </row>
    <row r="114" spans="1:82" ht="17.600000000000001" x14ac:dyDescent="0.55000000000000004">
      <c r="A114" s="7383"/>
      <c r="B114" s="2062"/>
      <c r="C114" s="5258" t="s">
        <v>216</v>
      </c>
      <c r="D114" s="5260">
        <v>0</v>
      </c>
      <c r="E114" s="5260">
        <v>0</v>
      </c>
      <c r="F114" s="5260">
        <v>0</v>
      </c>
      <c r="G114" s="5260">
        <v>0</v>
      </c>
      <c r="H114" s="5260">
        <v>0</v>
      </c>
      <c r="I114" s="5260">
        <v>0</v>
      </c>
      <c r="J114" s="5260">
        <v>0</v>
      </c>
      <c r="K114" s="5260">
        <v>0</v>
      </c>
      <c r="L114" s="5260">
        <v>0</v>
      </c>
      <c r="M114" s="5260">
        <v>0</v>
      </c>
      <c r="N114" s="5260">
        <v>0</v>
      </c>
      <c r="O114" s="5260">
        <v>0</v>
      </c>
      <c r="P114" s="5260">
        <f t="shared" si="233"/>
        <v>0</v>
      </c>
      <c r="Q114" s="5261">
        <f t="shared" si="234"/>
        <v>0</v>
      </c>
      <c r="R114" s="2776">
        <v>0</v>
      </c>
      <c r="S114" s="5275">
        <v>0</v>
      </c>
      <c r="T114" s="5260">
        <v>0</v>
      </c>
      <c r="U114" s="5260">
        <v>0</v>
      </c>
      <c r="V114" s="5260">
        <v>0</v>
      </c>
      <c r="W114" s="5260">
        <v>0</v>
      </c>
      <c r="X114" s="5260">
        <v>0</v>
      </c>
      <c r="Y114" s="5260">
        <v>0</v>
      </c>
      <c r="Z114" s="5260">
        <v>0</v>
      </c>
      <c r="AA114" s="5260">
        <v>0</v>
      </c>
      <c r="AB114" s="5260">
        <v>0</v>
      </c>
      <c r="AC114" s="5260">
        <v>0</v>
      </c>
      <c r="AD114" s="5260">
        <v>0</v>
      </c>
      <c r="AE114" s="5260">
        <f t="shared" si="239"/>
        <v>0</v>
      </c>
      <c r="AF114" s="5261">
        <f t="shared" si="240"/>
        <v>0</v>
      </c>
      <c r="AG114" s="2776"/>
      <c r="AH114" s="5275">
        <v>0</v>
      </c>
      <c r="AI114" s="5260">
        <v>4</v>
      </c>
      <c r="AJ114" s="5260">
        <v>5</v>
      </c>
      <c r="AK114" s="5260">
        <v>5</v>
      </c>
      <c r="AL114" s="5260">
        <v>8</v>
      </c>
      <c r="AM114" s="5260">
        <v>4</v>
      </c>
      <c r="AN114" s="5328"/>
      <c r="AO114" s="5328"/>
      <c r="AP114" s="5328"/>
      <c r="AQ114" s="5328"/>
      <c r="AR114" s="5328"/>
      <c r="AS114" s="5328"/>
      <c r="AT114" s="5260">
        <f t="shared" si="228"/>
        <v>26</v>
      </c>
      <c r="AU114" s="5261">
        <f t="shared" si="136"/>
        <v>2.1666666666666665</v>
      </c>
      <c r="AV114" s="559" t="b">
        <v>1</v>
      </c>
      <c r="AW114" s="5329">
        <v>2</v>
      </c>
      <c r="AX114" s="5260">
        <v>3</v>
      </c>
      <c r="AY114" s="5260">
        <v>1</v>
      </c>
      <c r="AZ114" s="5260">
        <v>3</v>
      </c>
      <c r="BA114" s="5260">
        <v>1</v>
      </c>
      <c r="BB114" s="5260">
        <v>2</v>
      </c>
      <c r="BC114" s="5260">
        <v>2</v>
      </c>
      <c r="BD114" s="5260">
        <v>6</v>
      </c>
      <c r="BE114" s="5260">
        <v>4</v>
      </c>
      <c r="BF114" s="5260">
        <v>4</v>
      </c>
      <c r="BG114" s="5260">
        <v>6</v>
      </c>
      <c r="BH114" s="5260">
        <v>2</v>
      </c>
      <c r="BI114" s="5260">
        <f t="shared" si="209"/>
        <v>36</v>
      </c>
      <c r="BJ114" s="5261">
        <f t="shared" si="141"/>
        <v>3</v>
      </c>
      <c r="BL114" s="5330">
        <v>1</v>
      </c>
      <c r="BM114" s="5260">
        <v>2</v>
      </c>
      <c r="BN114" s="5260"/>
      <c r="BO114" s="5260"/>
      <c r="BP114" s="5260"/>
      <c r="BQ114" s="5260"/>
      <c r="BR114" s="5260"/>
      <c r="BS114" s="5260"/>
      <c r="BT114" s="5260"/>
      <c r="BU114" s="5260"/>
      <c r="BV114" s="5260"/>
      <c r="BW114" s="5260"/>
      <c r="BX114" s="5260">
        <f t="shared" si="210"/>
        <v>3</v>
      </c>
      <c r="BY114" s="5261">
        <f t="shared" si="256"/>
        <v>1.5</v>
      </c>
      <c r="CA114" s="169">
        <f t="shared" si="237"/>
        <v>-1</v>
      </c>
      <c r="CB114" s="169">
        <f t="shared" si="205"/>
        <v>0.83333333333333348</v>
      </c>
      <c r="CC114" s="169">
        <f>IFERROR(
  SUM(
    _xlfn.XLOOKUP(DATE(YEAR($A$1),1,1),$2:$2,114:114):
    _xlfn.XLOOKUP($A$1,$2:$2,114:114)
  )
 -SUM(
    _xlfn.XLOOKUP(DATE(YEAR($A$1)-1,1,1),$2:$2,114:114):
    _xlfn.XLOOKUP(EDATE($A$1,-12),$2:$2,114:114)
  ),"")</f>
        <v>-2</v>
      </c>
      <c r="CD114" s="4517">
        <f t="shared" si="238"/>
        <v>1</v>
      </c>
    </row>
    <row r="115" spans="1:82" ht="17.600000000000001" x14ac:dyDescent="0.55000000000000004">
      <c r="A115" s="7383"/>
      <c r="B115" s="2062"/>
      <c r="C115" s="5263" t="s">
        <v>217</v>
      </c>
      <c r="D115" s="5265">
        <v>0</v>
      </c>
      <c r="E115" s="5265">
        <v>0</v>
      </c>
      <c r="F115" s="5265">
        <v>0</v>
      </c>
      <c r="G115" s="5265">
        <v>0</v>
      </c>
      <c r="H115" s="5265">
        <v>0</v>
      </c>
      <c r="I115" s="5265">
        <v>0</v>
      </c>
      <c r="J115" s="5265">
        <v>0</v>
      </c>
      <c r="K115" s="5265">
        <v>0</v>
      </c>
      <c r="L115" s="5265">
        <v>0</v>
      </c>
      <c r="M115" s="5265">
        <v>0</v>
      </c>
      <c r="N115" s="5265">
        <v>0</v>
      </c>
      <c r="O115" s="5265">
        <v>0</v>
      </c>
      <c r="P115" s="5265">
        <f t="shared" si="233"/>
        <v>0</v>
      </c>
      <c r="Q115" s="5266">
        <f t="shared" si="234"/>
        <v>0</v>
      </c>
      <c r="R115" s="2776">
        <v>0</v>
      </c>
      <c r="S115" s="5276">
        <v>0</v>
      </c>
      <c r="T115" s="5265">
        <v>0</v>
      </c>
      <c r="U115" s="5265">
        <v>0</v>
      </c>
      <c r="V115" s="5265">
        <v>0</v>
      </c>
      <c r="W115" s="5265">
        <v>0</v>
      </c>
      <c r="X115" s="5265">
        <v>0</v>
      </c>
      <c r="Y115" s="5265">
        <v>0</v>
      </c>
      <c r="Z115" s="5265">
        <v>0</v>
      </c>
      <c r="AA115" s="5265">
        <v>0</v>
      </c>
      <c r="AB115" s="5265">
        <v>0</v>
      </c>
      <c r="AC115" s="5265">
        <v>0</v>
      </c>
      <c r="AD115" s="5265">
        <v>0</v>
      </c>
      <c r="AE115" s="5265">
        <f t="shared" si="239"/>
        <v>0</v>
      </c>
      <c r="AF115" s="5266">
        <f t="shared" si="240"/>
        <v>0</v>
      </c>
      <c r="AG115" s="2776"/>
      <c r="AH115" s="5276">
        <v>6</v>
      </c>
      <c r="AI115" s="5265">
        <v>8</v>
      </c>
      <c r="AJ115" s="5265">
        <v>6</v>
      </c>
      <c r="AK115" s="5265">
        <v>8</v>
      </c>
      <c r="AL115" s="5265">
        <v>9</v>
      </c>
      <c r="AM115" s="5265">
        <v>9</v>
      </c>
      <c r="AN115" s="5328"/>
      <c r="AO115" s="5328"/>
      <c r="AP115" s="5328"/>
      <c r="AQ115" s="5328"/>
      <c r="AR115" s="5328"/>
      <c r="AS115" s="5328"/>
      <c r="AT115" s="5265">
        <f t="shared" si="228"/>
        <v>46</v>
      </c>
      <c r="AU115" s="5266">
        <f t="shared" si="136"/>
        <v>3.8333333333333335</v>
      </c>
      <c r="AV115" s="559" t="b">
        <v>1</v>
      </c>
      <c r="AW115" s="5331">
        <v>2</v>
      </c>
      <c r="AX115" s="5265">
        <v>7</v>
      </c>
      <c r="AY115" s="5265">
        <v>5</v>
      </c>
      <c r="AZ115" s="5265">
        <v>6</v>
      </c>
      <c r="BA115" s="5265">
        <v>5</v>
      </c>
      <c r="BB115" s="5265">
        <v>7</v>
      </c>
      <c r="BC115" s="5265">
        <v>8</v>
      </c>
      <c r="BD115" s="5265">
        <v>10</v>
      </c>
      <c r="BE115" s="5265">
        <v>6</v>
      </c>
      <c r="BF115" s="5265">
        <v>10</v>
      </c>
      <c r="BG115" s="5265">
        <v>13</v>
      </c>
      <c r="BH115" s="5265">
        <v>9</v>
      </c>
      <c r="BI115" s="5265">
        <f t="shared" si="209"/>
        <v>88</v>
      </c>
      <c r="BJ115" s="5266">
        <f t="shared" si="141"/>
        <v>7.333333333333333</v>
      </c>
      <c r="BL115" s="5332">
        <v>4</v>
      </c>
      <c r="BM115" s="5265">
        <v>9</v>
      </c>
      <c r="BN115" s="5265"/>
      <c r="BO115" s="5265"/>
      <c r="BP115" s="5265"/>
      <c r="BQ115" s="5265"/>
      <c r="BR115" s="5265"/>
      <c r="BS115" s="5265"/>
      <c r="BT115" s="5265"/>
      <c r="BU115" s="5265"/>
      <c r="BV115" s="5265"/>
      <c r="BW115" s="5265"/>
      <c r="BX115" s="5265">
        <f t="shared" si="210"/>
        <v>13</v>
      </c>
      <c r="BY115" s="5266">
        <f t="shared" si="256"/>
        <v>6.5</v>
      </c>
      <c r="CA115" s="169">
        <f t="shared" si="237"/>
        <v>2</v>
      </c>
      <c r="CB115" s="169">
        <f t="shared" si="205"/>
        <v>3.4999999999999996</v>
      </c>
      <c r="CC115" s="169">
        <f>IFERROR(
  SUM(
    _xlfn.XLOOKUP(DATE(YEAR($A$1),1,1),$2:$2,115:115):
    _xlfn.XLOOKUP($A$1,$2:$2,115:115)
  )
 -SUM(
    _xlfn.XLOOKUP(DATE(YEAR($A$1)-1,1,1),$2:$2,115:115):
    _xlfn.XLOOKUP(EDATE($A$1,-12),$2:$2,115:115)
  ),"")</f>
        <v>4</v>
      </c>
      <c r="CD115" s="4517">
        <f t="shared" si="238"/>
        <v>5</v>
      </c>
    </row>
    <row r="116" spans="1:82" ht="17.600000000000001" x14ac:dyDescent="0.55000000000000004">
      <c r="A116" s="7383"/>
      <c r="B116" s="2062"/>
      <c r="C116" s="5263" t="s">
        <v>218</v>
      </c>
      <c r="D116" s="5265">
        <v>0</v>
      </c>
      <c r="E116" s="5265">
        <v>0</v>
      </c>
      <c r="F116" s="5265">
        <v>0</v>
      </c>
      <c r="G116" s="5265">
        <v>0</v>
      </c>
      <c r="H116" s="5265">
        <v>0</v>
      </c>
      <c r="I116" s="5265">
        <v>0</v>
      </c>
      <c r="J116" s="5265">
        <v>0</v>
      </c>
      <c r="K116" s="5265">
        <v>0</v>
      </c>
      <c r="L116" s="5265">
        <v>0</v>
      </c>
      <c r="M116" s="5265">
        <v>0</v>
      </c>
      <c r="N116" s="5265">
        <v>0</v>
      </c>
      <c r="O116" s="5265">
        <v>0</v>
      </c>
      <c r="P116" s="5265">
        <f t="shared" si="233"/>
        <v>0</v>
      </c>
      <c r="Q116" s="5266">
        <f t="shared" si="234"/>
        <v>0</v>
      </c>
      <c r="R116" s="2776">
        <v>0</v>
      </c>
      <c r="S116" s="5276">
        <v>0</v>
      </c>
      <c r="T116" s="5265">
        <v>0</v>
      </c>
      <c r="U116" s="5265">
        <v>0</v>
      </c>
      <c r="V116" s="5265">
        <v>0</v>
      </c>
      <c r="W116" s="5265">
        <v>0</v>
      </c>
      <c r="X116" s="5265">
        <v>0</v>
      </c>
      <c r="Y116" s="5265">
        <v>0</v>
      </c>
      <c r="Z116" s="5265">
        <v>0</v>
      </c>
      <c r="AA116" s="5265">
        <v>0</v>
      </c>
      <c r="AB116" s="5265">
        <v>0</v>
      </c>
      <c r="AC116" s="5265">
        <v>0</v>
      </c>
      <c r="AD116" s="5265">
        <v>0</v>
      </c>
      <c r="AE116" s="5265">
        <f t="shared" si="239"/>
        <v>0</v>
      </c>
      <c r="AF116" s="5266">
        <f t="shared" si="240"/>
        <v>0</v>
      </c>
      <c r="AG116" s="2776"/>
      <c r="AH116" s="5276">
        <v>11</v>
      </c>
      <c r="AI116" s="5265">
        <v>10</v>
      </c>
      <c r="AJ116" s="5265">
        <v>10</v>
      </c>
      <c r="AK116" s="5265">
        <v>10</v>
      </c>
      <c r="AL116" s="5265">
        <v>7</v>
      </c>
      <c r="AM116" s="5265">
        <v>9</v>
      </c>
      <c r="AN116" s="5328"/>
      <c r="AO116" s="5328"/>
      <c r="AP116" s="5328"/>
      <c r="AQ116" s="5328"/>
      <c r="AR116" s="5328"/>
      <c r="AS116" s="5328"/>
      <c r="AT116" s="5265">
        <f t="shared" si="228"/>
        <v>57</v>
      </c>
      <c r="AU116" s="5266">
        <f t="shared" si="136"/>
        <v>4.75</v>
      </c>
      <c r="AV116" s="559" t="b">
        <v>1</v>
      </c>
      <c r="AW116" s="5331">
        <v>5</v>
      </c>
      <c r="AX116" s="5265">
        <v>5</v>
      </c>
      <c r="AY116" s="5265">
        <v>7</v>
      </c>
      <c r="AZ116" s="5265">
        <v>6</v>
      </c>
      <c r="BA116" s="5265">
        <v>4</v>
      </c>
      <c r="BB116" s="5265">
        <v>4</v>
      </c>
      <c r="BC116" s="5265">
        <v>3</v>
      </c>
      <c r="BD116" s="5265">
        <v>4</v>
      </c>
      <c r="BE116" s="5265">
        <v>7</v>
      </c>
      <c r="BF116" s="5265">
        <v>6</v>
      </c>
      <c r="BG116" s="5265">
        <v>6</v>
      </c>
      <c r="BH116" s="5265">
        <v>5</v>
      </c>
      <c r="BI116" s="5265">
        <f t="shared" si="209"/>
        <v>62</v>
      </c>
      <c r="BJ116" s="5266">
        <f t="shared" si="141"/>
        <v>5.166666666666667</v>
      </c>
      <c r="BL116" s="5332">
        <v>5</v>
      </c>
      <c r="BM116" s="5265">
        <v>6</v>
      </c>
      <c r="BN116" s="5265"/>
      <c r="BO116" s="5265"/>
      <c r="BP116" s="5265"/>
      <c r="BQ116" s="5265"/>
      <c r="BR116" s="5265"/>
      <c r="BS116" s="5265"/>
      <c r="BT116" s="5265"/>
      <c r="BU116" s="5265"/>
      <c r="BV116" s="5265"/>
      <c r="BW116" s="5265"/>
      <c r="BX116" s="5265">
        <f t="shared" si="210"/>
        <v>11</v>
      </c>
      <c r="BY116" s="5266">
        <f t="shared" si="256"/>
        <v>5.5</v>
      </c>
      <c r="CA116" s="169">
        <f t="shared" si="237"/>
        <v>1</v>
      </c>
      <c r="CB116" s="169">
        <f t="shared" si="205"/>
        <v>0.41666666666666696</v>
      </c>
      <c r="CC116" s="169">
        <f>IFERROR(
  SUM(
    _xlfn.XLOOKUP(DATE(YEAR($A$1),1,1),$2:$2,116:116):
    _xlfn.XLOOKUP($A$1,$2:$2,116:116)
  )
 -SUM(
    _xlfn.XLOOKUP(DATE(YEAR($A$1)-1,1,1),$2:$2,116:116):
    _xlfn.XLOOKUP(EDATE($A$1,-12),$2:$2,116:116)
  ),"")</f>
        <v>1</v>
      </c>
      <c r="CD116" s="4517">
        <f t="shared" si="238"/>
        <v>1</v>
      </c>
    </row>
    <row r="117" spans="1:82" ht="17.600000000000001" x14ac:dyDescent="0.55000000000000004">
      <c r="A117" s="7383"/>
      <c r="B117" s="2062"/>
      <c r="C117" s="5258" t="s">
        <v>219</v>
      </c>
      <c r="D117" s="5260">
        <v>0</v>
      </c>
      <c r="E117" s="5260">
        <v>0</v>
      </c>
      <c r="F117" s="5260">
        <v>0</v>
      </c>
      <c r="G117" s="5260">
        <v>0</v>
      </c>
      <c r="H117" s="5260">
        <v>0</v>
      </c>
      <c r="I117" s="5260">
        <v>0</v>
      </c>
      <c r="J117" s="5260">
        <v>0</v>
      </c>
      <c r="K117" s="5260">
        <v>0</v>
      </c>
      <c r="L117" s="5260">
        <v>0</v>
      </c>
      <c r="M117" s="5260">
        <v>0</v>
      </c>
      <c r="N117" s="5260">
        <v>0</v>
      </c>
      <c r="O117" s="5260">
        <v>0</v>
      </c>
      <c r="P117" s="5260">
        <f t="shared" si="233"/>
        <v>0</v>
      </c>
      <c r="Q117" s="5261">
        <f t="shared" si="234"/>
        <v>0</v>
      </c>
      <c r="R117" s="2776">
        <v>0</v>
      </c>
      <c r="S117" s="5275">
        <v>0</v>
      </c>
      <c r="T117" s="5260">
        <v>0</v>
      </c>
      <c r="U117" s="5260">
        <v>0</v>
      </c>
      <c r="V117" s="5260">
        <v>0</v>
      </c>
      <c r="W117" s="5260">
        <v>0</v>
      </c>
      <c r="X117" s="5260">
        <v>0</v>
      </c>
      <c r="Y117" s="5260">
        <v>0</v>
      </c>
      <c r="Z117" s="5260">
        <v>0</v>
      </c>
      <c r="AA117" s="5260">
        <v>0</v>
      </c>
      <c r="AB117" s="5260">
        <v>0</v>
      </c>
      <c r="AC117" s="5260">
        <v>0</v>
      </c>
      <c r="AD117" s="5260">
        <v>0</v>
      </c>
      <c r="AE117" s="5260">
        <f t="shared" si="239"/>
        <v>0</v>
      </c>
      <c r="AF117" s="5261">
        <f t="shared" si="240"/>
        <v>0</v>
      </c>
      <c r="AG117" s="2776"/>
      <c r="AH117" s="5275">
        <v>9</v>
      </c>
      <c r="AI117" s="5260">
        <v>9</v>
      </c>
      <c r="AJ117" s="5260">
        <v>10</v>
      </c>
      <c r="AK117" s="5260">
        <v>9</v>
      </c>
      <c r="AL117" s="5260">
        <v>8</v>
      </c>
      <c r="AM117" s="5260">
        <v>9</v>
      </c>
      <c r="AN117" s="5328"/>
      <c r="AO117" s="5328"/>
      <c r="AP117" s="5328"/>
      <c r="AQ117" s="5328"/>
      <c r="AR117" s="5328"/>
      <c r="AS117" s="5328"/>
      <c r="AT117" s="5260">
        <f t="shared" si="228"/>
        <v>54</v>
      </c>
      <c r="AU117" s="5261">
        <f t="shared" si="136"/>
        <v>4.5</v>
      </c>
      <c r="AV117" s="559" t="b">
        <v>1</v>
      </c>
      <c r="AW117" s="5329">
        <v>6</v>
      </c>
      <c r="AX117" s="5260">
        <v>7</v>
      </c>
      <c r="AY117" s="5260">
        <v>5</v>
      </c>
      <c r="AZ117" s="5260">
        <v>3</v>
      </c>
      <c r="BA117" s="5260">
        <v>5</v>
      </c>
      <c r="BB117" s="5260">
        <v>4</v>
      </c>
      <c r="BC117" s="5260">
        <v>5</v>
      </c>
      <c r="BD117" s="5260">
        <v>4</v>
      </c>
      <c r="BE117" s="5260">
        <v>4</v>
      </c>
      <c r="BF117" s="5260">
        <v>4</v>
      </c>
      <c r="BG117" s="5260">
        <v>5</v>
      </c>
      <c r="BH117" s="5260">
        <v>6</v>
      </c>
      <c r="BI117" s="5260">
        <f t="shared" si="209"/>
        <v>58</v>
      </c>
      <c r="BJ117" s="5261">
        <f t="shared" si="141"/>
        <v>4.833333333333333</v>
      </c>
      <c r="BL117" s="5330">
        <v>6</v>
      </c>
      <c r="BM117" s="5260">
        <v>6</v>
      </c>
      <c r="BN117" s="5260"/>
      <c r="BO117" s="5260"/>
      <c r="BP117" s="5260"/>
      <c r="BQ117" s="5260"/>
      <c r="BR117" s="5260"/>
      <c r="BS117" s="5260"/>
      <c r="BT117" s="5260"/>
      <c r="BU117" s="5260"/>
      <c r="BV117" s="5260"/>
      <c r="BW117" s="5260"/>
      <c r="BX117" s="5260">
        <f t="shared" si="210"/>
        <v>12</v>
      </c>
      <c r="BY117" s="5261">
        <f t="shared" si="256"/>
        <v>6</v>
      </c>
      <c r="CA117" s="169">
        <f t="shared" si="237"/>
        <v>-1</v>
      </c>
      <c r="CB117" s="169">
        <f t="shared" si="205"/>
        <v>0.33333333333333304</v>
      </c>
      <c r="CC117" s="169">
        <f>IFERROR(
  SUM(
    _xlfn.XLOOKUP(DATE(YEAR($A$1),1,1),$2:$2,117:117):
    _xlfn.XLOOKUP($A$1,$2:$2,117:117)
  )
 -SUM(
    _xlfn.XLOOKUP(DATE(YEAR($A$1)-1,1,1),$2:$2,117:117):
    _xlfn.XLOOKUP(EDATE($A$1,-12),$2:$2,117:117)
  ),"")</f>
        <v>-1</v>
      </c>
      <c r="CD117" s="4517">
        <f t="shared" si="238"/>
        <v>0</v>
      </c>
    </row>
    <row r="118" spans="1:82" ht="18" thickBot="1" x14ac:dyDescent="0.6">
      <c r="A118" s="7384"/>
      <c r="B118" s="5268"/>
      <c r="C118" s="5269" t="s">
        <v>220</v>
      </c>
      <c r="D118" s="5271">
        <v>0</v>
      </c>
      <c r="E118" s="5271">
        <v>0</v>
      </c>
      <c r="F118" s="5271">
        <v>0</v>
      </c>
      <c r="G118" s="5271">
        <v>0</v>
      </c>
      <c r="H118" s="5271">
        <v>0</v>
      </c>
      <c r="I118" s="5271">
        <v>0</v>
      </c>
      <c r="J118" s="5271">
        <v>0</v>
      </c>
      <c r="K118" s="5271">
        <v>0</v>
      </c>
      <c r="L118" s="5271">
        <v>0</v>
      </c>
      <c r="M118" s="5271">
        <v>0</v>
      </c>
      <c r="N118" s="5271">
        <v>0</v>
      </c>
      <c r="O118" s="5271">
        <v>0</v>
      </c>
      <c r="P118" s="5271">
        <f t="shared" si="233"/>
        <v>0</v>
      </c>
      <c r="Q118" s="5272">
        <f t="shared" si="234"/>
        <v>0</v>
      </c>
      <c r="R118" s="2776">
        <v>0</v>
      </c>
      <c r="S118" s="5277">
        <v>0</v>
      </c>
      <c r="T118" s="5271">
        <v>0</v>
      </c>
      <c r="U118" s="5271">
        <v>0</v>
      </c>
      <c r="V118" s="5271">
        <v>0</v>
      </c>
      <c r="W118" s="5271">
        <v>0</v>
      </c>
      <c r="X118" s="5271">
        <v>0</v>
      </c>
      <c r="Y118" s="5271">
        <v>0</v>
      </c>
      <c r="Z118" s="5271">
        <v>0</v>
      </c>
      <c r="AA118" s="5271">
        <v>0</v>
      </c>
      <c r="AB118" s="5271">
        <v>0</v>
      </c>
      <c r="AC118" s="5271">
        <v>0</v>
      </c>
      <c r="AD118" s="5271">
        <v>0</v>
      </c>
      <c r="AE118" s="5271">
        <f t="shared" si="239"/>
        <v>0</v>
      </c>
      <c r="AF118" s="5272">
        <f t="shared" si="240"/>
        <v>0</v>
      </c>
      <c r="AG118" s="2776"/>
      <c r="AH118" s="5277">
        <v>7</v>
      </c>
      <c r="AI118" s="5271">
        <v>10</v>
      </c>
      <c r="AJ118" s="5271">
        <v>10</v>
      </c>
      <c r="AK118" s="5271">
        <v>13</v>
      </c>
      <c r="AL118" s="5271">
        <v>11</v>
      </c>
      <c r="AM118" s="5271">
        <v>12</v>
      </c>
      <c r="AN118" s="5333"/>
      <c r="AO118" s="5333"/>
      <c r="AP118" s="5333"/>
      <c r="AQ118" s="5333"/>
      <c r="AR118" s="5333"/>
      <c r="AS118" s="5333"/>
      <c r="AT118" s="5271">
        <f t="shared" si="228"/>
        <v>63</v>
      </c>
      <c r="AU118" s="5272">
        <f t="shared" si="136"/>
        <v>5.25</v>
      </c>
      <c r="AV118" s="559" t="b">
        <v>1</v>
      </c>
      <c r="AW118" s="5334">
        <v>8</v>
      </c>
      <c r="AX118" s="5271">
        <v>11</v>
      </c>
      <c r="AY118" s="5271">
        <v>6</v>
      </c>
      <c r="AZ118" s="5271">
        <v>4</v>
      </c>
      <c r="BA118" s="5271">
        <v>6</v>
      </c>
      <c r="BB118" s="5271">
        <v>5</v>
      </c>
      <c r="BC118" s="5271">
        <v>5</v>
      </c>
      <c r="BD118" s="5271">
        <v>8</v>
      </c>
      <c r="BE118" s="5271">
        <v>7</v>
      </c>
      <c r="BF118" s="5271">
        <v>6</v>
      </c>
      <c r="BG118" s="5271">
        <v>5</v>
      </c>
      <c r="BH118" s="5271">
        <v>6</v>
      </c>
      <c r="BI118" s="5271">
        <f t="shared" si="209"/>
        <v>77</v>
      </c>
      <c r="BJ118" s="5272">
        <f t="shared" si="141"/>
        <v>6.416666666666667</v>
      </c>
      <c r="BL118" s="5335">
        <v>7</v>
      </c>
      <c r="BM118" s="5271">
        <v>4</v>
      </c>
      <c r="BN118" s="5271"/>
      <c r="BO118" s="5271"/>
      <c r="BP118" s="5271"/>
      <c r="BQ118" s="5271"/>
      <c r="BR118" s="5271"/>
      <c r="BS118" s="5271"/>
      <c r="BT118" s="5271"/>
      <c r="BU118" s="5271"/>
      <c r="BV118" s="5271"/>
      <c r="BW118" s="5271"/>
      <c r="BX118" s="5271">
        <f t="shared" si="210"/>
        <v>11</v>
      </c>
      <c r="BY118" s="5272">
        <f t="shared" si="256"/>
        <v>5.5</v>
      </c>
      <c r="CA118" s="169">
        <f t="shared" si="237"/>
        <v>-7</v>
      </c>
      <c r="CB118" s="169">
        <f t="shared" si="205"/>
        <v>1.166666666666667</v>
      </c>
      <c r="CC118" s="169">
        <f>IFERROR(
  SUM(
    _xlfn.XLOOKUP(DATE(YEAR($A$1),1,1),$2:$2,118:118):
    _xlfn.XLOOKUP($A$1,$2:$2,118:118)
  )
 -SUM(
    _xlfn.XLOOKUP(DATE(YEAR($A$1)-1,1,1),$2:$2,118:118):
    _xlfn.XLOOKUP(EDATE($A$1,-12),$2:$2,118:118)
  ),"")</f>
        <v>-8</v>
      </c>
      <c r="CD118" s="4517">
        <f t="shared" si="238"/>
        <v>-3</v>
      </c>
    </row>
    <row r="119" spans="1:82" ht="17.600000000000001" x14ac:dyDescent="0.55000000000000004">
      <c r="A119" s="7382" t="s">
        <v>1167</v>
      </c>
      <c r="B119" s="857" t="s">
        <v>242</v>
      </c>
      <c r="C119" s="858"/>
      <c r="D119" s="5236">
        <f t="shared" ref="D119:O119" si="257">SUM(D120:D122)</f>
        <v>0</v>
      </c>
      <c r="E119" s="5237">
        <f t="shared" si="257"/>
        <v>0</v>
      </c>
      <c r="F119" s="5237">
        <f t="shared" si="257"/>
        <v>0</v>
      </c>
      <c r="G119" s="5237">
        <f t="shared" si="257"/>
        <v>0</v>
      </c>
      <c r="H119" s="5237">
        <f t="shared" si="257"/>
        <v>0</v>
      </c>
      <c r="I119" s="5237">
        <f t="shared" si="257"/>
        <v>0</v>
      </c>
      <c r="J119" s="5237">
        <f t="shared" si="257"/>
        <v>0</v>
      </c>
      <c r="K119" s="5237">
        <f t="shared" si="257"/>
        <v>0</v>
      </c>
      <c r="L119" s="5237">
        <f t="shared" si="257"/>
        <v>0</v>
      </c>
      <c r="M119" s="5237">
        <f t="shared" si="257"/>
        <v>0</v>
      </c>
      <c r="N119" s="5237">
        <f t="shared" si="257"/>
        <v>0</v>
      </c>
      <c r="O119" s="5237">
        <f t="shared" si="257"/>
        <v>0</v>
      </c>
      <c r="P119" s="5237">
        <f t="shared" si="233"/>
        <v>0</v>
      </c>
      <c r="Q119" s="5238">
        <f t="shared" si="234"/>
        <v>0</v>
      </c>
      <c r="R119" s="2776">
        <v>0</v>
      </c>
      <c r="S119" s="5236">
        <f t="shared" ref="S119:AD119" si="258">SUM(S120:S122)</f>
        <v>0</v>
      </c>
      <c r="T119" s="5237">
        <f t="shared" si="258"/>
        <v>0</v>
      </c>
      <c r="U119" s="5237">
        <f t="shared" si="258"/>
        <v>0</v>
      </c>
      <c r="V119" s="5237">
        <f t="shared" si="258"/>
        <v>0</v>
      </c>
      <c r="W119" s="5237">
        <f t="shared" si="258"/>
        <v>0</v>
      </c>
      <c r="X119" s="5237">
        <f t="shared" si="258"/>
        <v>0</v>
      </c>
      <c r="Y119" s="5237">
        <f t="shared" si="258"/>
        <v>0</v>
      </c>
      <c r="Z119" s="5237">
        <f t="shared" si="258"/>
        <v>0</v>
      </c>
      <c r="AA119" s="5237">
        <f t="shared" si="258"/>
        <v>0</v>
      </c>
      <c r="AB119" s="5237">
        <f t="shared" si="258"/>
        <v>0</v>
      </c>
      <c r="AC119" s="5237">
        <f t="shared" si="258"/>
        <v>0</v>
      </c>
      <c r="AD119" s="5237">
        <f t="shared" si="258"/>
        <v>0</v>
      </c>
      <c r="AE119" s="5237">
        <f>SUM(S119:AD119)</f>
        <v>0</v>
      </c>
      <c r="AF119" s="5238">
        <f>AE119/12</f>
        <v>0</v>
      </c>
      <c r="AG119" s="2776"/>
      <c r="AH119" s="5236">
        <f t="shared" ref="AH119:AQ119" si="259">SUM(AH120:AH122)</f>
        <v>47</v>
      </c>
      <c r="AI119" s="5237">
        <f t="shared" si="259"/>
        <v>54</v>
      </c>
      <c r="AJ119" s="5237">
        <f t="shared" si="259"/>
        <v>40</v>
      </c>
      <c r="AK119" s="5237">
        <f t="shared" si="259"/>
        <v>58</v>
      </c>
      <c r="AL119" s="5237">
        <f t="shared" si="259"/>
        <v>43</v>
      </c>
      <c r="AM119" s="5237">
        <f t="shared" si="259"/>
        <v>38</v>
      </c>
      <c r="AN119" s="5312">
        <f t="shared" si="259"/>
        <v>0</v>
      </c>
      <c r="AO119" s="5312">
        <f t="shared" si="259"/>
        <v>0</v>
      </c>
      <c r="AP119" s="5312">
        <f t="shared" si="259"/>
        <v>0</v>
      </c>
      <c r="AQ119" s="5312">
        <f t="shared" si="259"/>
        <v>0</v>
      </c>
      <c r="AR119" s="5312">
        <v>0</v>
      </c>
      <c r="AS119" s="5312">
        <v>0</v>
      </c>
      <c r="AT119" s="5237">
        <f>SUM(AH119:AS119)</f>
        <v>280</v>
      </c>
      <c r="AU119" s="5238">
        <f t="shared" si="136"/>
        <v>23.333333333333332</v>
      </c>
      <c r="AV119" s="559" t="b">
        <v>1</v>
      </c>
      <c r="AW119" s="5336">
        <v>80</v>
      </c>
      <c r="AX119" s="5237">
        <v>79</v>
      </c>
      <c r="AY119" s="5237">
        <v>76</v>
      </c>
      <c r="AZ119" s="5237">
        <v>73</v>
      </c>
      <c r="BA119" s="5237">
        <v>64</v>
      </c>
      <c r="BB119" s="5237">
        <v>58</v>
      </c>
      <c r="BC119" s="5237">
        <v>58</v>
      </c>
      <c r="BD119" s="5237">
        <v>57</v>
      </c>
      <c r="BE119" s="5237">
        <v>55</v>
      </c>
      <c r="BF119" s="5237">
        <v>50</v>
      </c>
      <c r="BG119" s="5237">
        <v>52</v>
      </c>
      <c r="BH119" s="5237">
        <v>60</v>
      </c>
      <c r="BI119" s="5237">
        <f t="shared" si="209"/>
        <v>762</v>
      </c>
      <c r="BJ119" s="5238">
        <f t="shared" si="141"/>
        <v>63.5</v>
      </c>
      <c r="BL119" s="5337">
        <f>SUM(BL120:BL122)</f>
        <v>82</v>
      </c>
      <c r="BM119" s="5237">
        <v>77</v>
      </c>
      <c r="BN119" s="5237"/>
      <c r="BO119" s="5237"/>
      <c r="BP119" s="5237"/>
      <c r="BQ119" s="5237"/>
      <c r="BR119" s="5237"/>
      <c r="BS119" s="5237"/>
      <c r="BT119" s="5237"/>
      <c r="BU119" s="5237"/>
      <c r="BV119" s="5237"/>
      <c r="BW119" s="5237"/>
      <c r="BX119" s="5237">
        <f t="shared" si="210"/>
        <v>159</v>
      </c>
      <c r="BY119" s="5238">
        <f t="shared" si="256"/>
        <v>79.5</v>
      </c>
      <c r="CA119" s="169">
        <f t="shared" si="237"/>
        <v>-2</v>
      </c>
      <c r="CB119" s="169">
        <f t="shared" si="205"/>
        <v>40.166666666666671</v>
      </c>
      <c r="CC119" s="169">
        <f>IFERROR(
  SUM(
    _xlfn.XLOOKUP(DATE(YEAR($A$1),1,1),$2:$2,119:119):
    _xlfn.XLOOKUP($A$1,$2:$2,119:119)
  )
 -SUM(
    _xlfn.XLOOKUP(DATE(YEAR($A$1)-1,1,1),$2:$2,119:119):
    _xlfn.XLOOKUP(EDATE($A$1,-12),$2:$2,119:119)
  ),"")</f>
        <v>0</v>
      </c>
      <c r="CD119" s="4517">
        <f t="shared" si="238"/>
        <v>-5</v>
      </c>
    </row>
    <row r="120" spans="1:82" ht="17.600000000000001" x14ac:dyDescent="0.55000000000000004">
      <c r="A120" s="7383"/>
      <c r="B120" s="1168"/>
      <c r="C120" s="1534" t="s">
        <v>243</v>
      </c>
      <c r="D120" s="5240">
        <v>0</v>
      </c>
      <c r="E120" s="4451">
        <v>0</v>
      </c>
      <c r="F120" s="4451">
        <v>0</v>
      </c>
      <c r="G120" s="4451">
        <v>0</v>
      </c>
      <c r="H120" s="4451">
        <v>0</v>
      </c>
      <c r="I120" s="4451">
        <v>0</v>
      </c>
      <c r="J120" s="4451">
        <v>0</v>
      </c>
      <c r="K120" s="4451">
        <v>0</v>
      </c>
      <c r="L120" s="4451">
        <v>0</v>
      </c>
      <c r="M120" s="4451">
        <v>0</v>
      </c>
      <c r="N120" s="4451">
        <v>0</v>
      </c>
      <c r="O120" s="4451">
        <v>0</v>
      </c>
      <c r="P120" s="4451">
        <f t="shared" si="233"/>
        <v>0</v>
      </c>
      <c r="Q120" s="5241">
        <f t="shared" si="234"/>
        <v>0</v>
      </c>
      <c r="R120" s="2776">
        <v>0</v>
      </c>
      <c r="S120" s="5240">
        <v>0</v>
      </c>
      <c r="T120" s="4451">
        <v>0</v>
      </c>
      <c r="U120" s="4451">
        <v>0</v>
      </c>
      <c r="V120" s="4451">
        <v>0</v>
      </c>
      <c r="W120" s="4451">
        <v>0</v>
      </c>
      <c r="X120" s="4451">
        <v>0</v>
      </c>
      <c r="Y120" s="4451">
        <v>0</v>
      </c>
      <c r="Z120" s="4451">
        <v>0</v>
      </c>
      <c r="AA120" s="4451">
        <v>0</v>
      </c>
      <c r="AB120" s="4451">
        <v>0</v>
      </c>
      <c r="AC120" s="4451">
        <v>0</v>
      </c>
      <c r="AD120" s="4451">
        <v>0</v>
      </c>
      <c r="AE120" s="4451">
        <f t="shared" ref="AE120:AE137" si="260">SUM(S120:AD120)</f>
        <v>0</v>
      </c>
      <c r="AF120" s="5241">
        <f t="shared" ref="AF120:AF137" si="261">AE120/12</f>
        <v>0</v>
      </c>
      <c r="AG120" s="2776"/>
      <c r="AH120" s="5240">
        <v>0</v>
      </c>
      <c r="AI120" s="4451">
        <v>0</v>
      </c>
      <c r="AJ120" s="4451">
        <v>0</v>
      </c>
      <c r="AK120" s="4451">
        <v>0</v>
      </c>
      <c r="AL120" s="4451">
        <v>0</v>
      </c>
      <c r="AM120" s="4451">
        <v>1</v>
      </c>
      <c r="AN120" s="4461"/>
      <c r="AO120" s="4461"/>
      <c r="AP120" s="4461"/>
      <c r="AQ120" s="4461"/>
      <c r="AR120" s="4461"/>
      <c r="AS120" s="4461"/>
      <c r="AT120" s="4451">
        <f t="shared" si="228"/>
        <v>1</v>
      </c>
      <c r="AU120" s="5241">
        <f t="shared" si="136"/>
        <v>8.3333333333333329E-2</v>
      </c>
      <c r="AV120" s="559" t="b">
        <v>1</v>
      </c>
      <c r="AW120" s="5338">
        <v>0</v>
      </c>
      <c r="AX120" s="4451">
        <v>0</v>
      </c>
      <c r="AY120" s="5339">
        <v>0</v>
      </c>
      <c r="AZ120" s="4451">
        <v>0</v>
      </c>
      <c r="BA120" s="4451" t="s">
        <v>462</v>
      </c>
      <c r="BB120" s="4451" t="s">
        <v>461</v>
      </c>
      <c r="BC120" s="4451" t="s">
        <v>462</v>
      </c>
      <c r="BD120" s="4451">
        <v>0</v>
      </c>
      <c r="BE120" s="4451" t="s">
        <v>461</v>
      </c>
      <c r="BF120" s="4451" t="s">
        <v>461</v>
      </c>
      <c r="BG120" s="4451" t="s">
        <v>461</v>
      </c>
      <c r="BH120" s="4451" t="s">
        <v>461</v>
      </c>
      <c r="BI120" s="4451">
        <f t="shared" si="209"/>
        <v>0</v>
      </c>
      <c r="BJ120" s="5241">
        <f t="shared" si="141"/>
        <v>0</v>
      </c>
      <c r="BL120" s="5340">
        <v>0</v>
      </c>
      <c r="BM120" s="4451">
        <v>1</v>
      </c>
      <c r="BN120" s="5339"/>
      <c r="BO120" s="4451"/>
      <c r="BP120" s="4451"/>
      <c r="BQ120" s="4451"/>
      <c r="BR120" s="4451"/>
      <c r="BS120" s="4451"/>
      <c r="BT120" s="4451"/>
      <c r="BU120" s="4451"/>
      <c r="BV120" s="4451"/>
      <c r="BW120" s="4451"/>
      <c r="BX120" s="4451">
        <f t="shared" si="210"/>
        <v>1</v>
      </c>
      <c r="BY120" s="5241">
        <f t="shared" si="256"/>
        <v>0.5</v>
      </c>
      <c r="CA120" s="169">
        <f t="shared" si="237"/>
        <v>1</v>
      </c>
      <c r="CB120" s="169">
        <f t="shared" si="205"/>
        <v>-8.3333333333333329E-2</v>
      </c>
      <c r="CC120" s="169">
        <f>IFERROR(
  SUM(
    _xlfn.XLOOKUP(DATE(YEAR($A$1),1,1),$2:$2,120:120):
    _xlfn.XLOOKUP($A$1,$2:$2,120:120)
  )
 -SUM(
    _xlfn.XLOOKUP(DATE(YEAR($A$1)-1,1,1),$2:$2,120:120):
    _xlfn.XLOOKUP(EDATE($A$1,-12),$2:$2,120:120)
  ),"")</f>
        <v>1</v>
      </c>
      <c r="CD120" s="4517">
        <f t="shared" si="238"/>
        <v>1</v>
      </c>
    </row>
    <row r="121" spans="1:82" ht="17.600000000000001" x14ac:dyDescent="0.55000000000000004">
      <c r="A121" s="7383"/>
      <c r="B121" s="1168"/>
      <c r="C121" s="1534" t="s">
        <v>245</v>
      </c>
      <c r="D121" s="5240">
        <v>0</v>
      </c>
      <c r="E121" s="4451">
        <v>0</v>
      </c>
      <c r="F121" s="4451">
        <v>0</v>
      </c>
      <c r="G121" s="4451">
        <v>0</v>
      </c>
      <c r="H121" s="4451">
        <v>0</v>
      </c>
      <c r="I121" s="4451">
        <v>0</v>
      </c>
      <c r="J121" s="4451">
        <v>0</v>
      </c>
      <c r="K121" s="4451">
        <v>0</v>
      </c>
      <c r="L121" s="4451">
        <v>0</v>
      </c>
      <c r="M121" s="4451">
        <v>0</v>
      </c>
      <c r="N121" s="4451">
        <v>0</v>
      </c>
      <c r="O121" s="4451">
        <v>0</v>
      </c>
      <c r="P121" s="4451">
        <f t="shared" si="233"/>
        <v>0</v>
      </c>
      <c r="Q121" s="5241">
        <f t="shared" si="234"/>
        <v>0</v>
      </c>
      <c r="R121" s="2776">
        <v>0</v>
      </c>
      <c r="S121" s="5240">
        <v>0</v>
      </c>
      <c r="T121" s="4451">
        <v>0</v>
      </c>
      <c r="U121" s="4451">
        <v>0</v>
      </c>
      <c r="V121" s="4451">
        <v>0</v>
      </c>
      <c r="W121" s="4451">
        <v>0</v>
      </c>
      <c r="X121" s="4451">
        <v>0</v>
      </c>
      <c r="Y121" s="4451">
        <v>0</v>
      </c>
      <c r="Z121" s="4451">
        <v>0</v>
      </c>
      <c r="AA121" s="4451">
        <v>0</v>
      </c>
      <c r="AB121" s="4451">
        <v>0</v>
      </c>
      <c r="AC121" s="4451">
        <v>0</v>
      </c>
      <c r="AD121" s="4451">
        <v>0</v>
      </c>
      <c r="AE121" s="4451">
        <f t="shared" si="260"/>
        <v>0</v>
      </c>
      <c r="AF121" s="5241">
        <f t="shared" si="261"/>
        <v>0</v>
      </c>
      <c r="AG121" s="2776"/>
      <c r="AH121" s="5240">
        <v>46</v>
      </c>
      <c r="AI121" s="4451">
        <v>54</v>
      </c>
      <c r="AJ121" s="4451">
        <v>39</v>
      </c>
      <c r="AK121" s="4451">
        <v>57</v>
      </c>
      <c r="AL121" s="4451">
        <v>42</v>
      </c>
      <c r="AM121" s="4451">
        <v>35</v>
      </c>
      <c r="AN121" s="4461"/>
      <c r="AO121" s="4461"/>
      <c r="AP121" s="4461"/>
      <c r="AQ121" s="4461"/>
      <c r="AR121" s="4461"/>
      <c r="AS121" s="4461"/>
      <c r="AT121" s="4451">
        <f t="shared" si="228"/>
        <v>273</v>
      </c>
      <c r="AU121" s="5241">
        <f t="shared" si="136"/>
        <v>22.75</v>
      </c>
      <c r="AV121" s="559" t="b">
        <v>1</v>
      </c>
      <c r="AW121" s="5338">
        <v>76</v>
      </c>
      <c r="AX121" s="4451">
        <v>76</v>
      </c>
      <c r="AY121" s="4451">
        <v>75</v>
      </c>
      <c r="AZ121" s="4451">
        <v>70</v>
      </c>
      <c r="BA121" s="4451">
        <v>61</v>
      </c>
      <c r="BB121" s="4451">
        <v>56</v>
      </c>
      <c r="BC121" s="4451">
        <v>56</v>
      </c>
      <c r="BD121" s="4451">
        <v>56</v>
      </c>
      <c r="BE121" s="4451">
        <v>52</v>
      </c>
      <c r="BF121" s="4451">
        <v>47</v>
      </c>
      <c r="BG121" s="4451">
        <v>50</v>
      </c>
      <c r="BH121" s="4451">
        <v>57</v>
      </c>
      <c r="BI121" s="4451">
        <f t="shared" si="209"/>
        <v>732</v>
      </c>
      <c r="BJ121" s="5241">
        <f t="shared" si="141"/>
        <v>61</v>
      </c>
      <c r="BL121" s="5340">
        <v>78</v>
      </c>
      <c r="BM121" s="4451">
        <v>73</v>
      </c>
      <c r="BN121" s="4451"/>
      <c r="BO121" s="4451"/>
      <c r="BP121" s="4451"/>
      <c r="BQ121" s="4451"/>
      <c r="BR121" s="4451"/>
      <c r="BS121" s="4451"/>
      <c r="BT121" s="4451"/>
      <c r="BU121" s="4451"/>
      <c r="BV121" s="4451"/>
      <c r="BW121" s="4451"/>
      <c r="BX121" s="4451">
        <f t="shared" si="210"/>
        <v>151</v>
      </c>
      <c r="BY121" s="5241">
        <f t="shared" si="256"/>
        <v>75.5</v>
      </c>
      <c r="CA121" s="169">
        <f t="shared" si="237"/>
        <v>-3</v>
      </c>
      <c r="CB121" s="169">
        <f t="shared" si="205"/>
        <v>38.25</v>
      </c>
      <c r="CC121" s="169">
        <f>IFERROR(
  SUM(
    _xlfn.XLOOKUP(DATE(YEAR($A$1),1,1),$2:$2,121:121):
    _xlfn.XLOOKUP($A$1,$2:$2,121:121)
  )
 -SUM(
    _xlfn.XLOOKUP(DATE(YEAR($A$1)-1,1,1),$2:$2,121:121):
    _xlfn.XLOOKUP(EDATE($A$1,-12),$2:$2,121:121)
  ),"")</f>
        <v>-1</v>
      </c>
      <c r="CD121" s="4517">
        <f t="shared" si="238"/>
        <v>-5</v>
      </c>
    </row>
    <row r="122" spans="1:82" ht="17.600000000000001" x14ac:dyDescent="0.55000000000000004">
      <c r="A122" s="7383"/>
      <c r="B122" s="1168"/>
      <c r="C122" s="1534" t="s">
        <v>244</v>
      </c>
      <c r="D122" s="5240">
        <v>0</v>
      </c>
      <c r="E122" s="4451">
        <v>0</v>
      </c>
      <c r="F122" s="4451">
        <v>0</v>
      </c>
      <c r="G122" s="4451">
        <v>0</v>
      </c>
      <c r="H122" s="4451">
        <v>0</v>
      </c>
      <c r="I122" s="4451">
        <v>0</v>
      </c>
      <c r="J122" s="4451">
        <v>0</v>
      </c>
      <c r="K122" s="4451">
        <v>0</v>
      </c>
      <c r="L122" s="4451">
        <v>0</v>
      </c>
      <c r="M122" s="4451">
        <v>0</v>
      </c>
      <c r="N122" s="4451">
        <v>0</v>
      </c>
      <c r="O122" s="4451">
        <v>0</v>
      </c>
      <c r="P122" s="4451">
        <f t="shared" si="233"/>
        <v>0</v>
      </c>
      <c r="Q122" s="5241">
        <f t="shared" si="234"/>
        <v>0</v>
      </c>
      <c r="R122" s="2776">
        <v>0</v>
      </c>
      <c r="S122" s="5240">
        <v>0</v>
      </c>
      <c r="T122" s="4451">
        <v>0</v>
      </c>
      <c r="U122" s="4451">
        <v>0</v>
      </c>
      <c r="V122" s="4451">
        <v>0</v>
      </c>
      <c r="W122" s="4451">
        <v>0</v>
      </c>
      <c r="X122" s="4451">
        <v>0</v>
      </c>
      <c r="Y122" s="4451">
        <v>0</v>
      </c>
      <c r="Z122" s="4451">
        <v>0</v>
      </c>
      <c r="AA122" s="4451">
        <v>0</v>
      </c>
      <c r="AB122" s="4451">
        <v>0</v>
      </c>
      <c r="AC122" s="4451">
        <v>0</v>
      </c>
      <c r="AD122" s="4451">
        <v>0</v>
      </c>
      <c r="AE122" s="4451">
        <f t="shared" si="260"/>
        <v>0</v>
      </c>
      <c r="AF122" s="5241">
        <f t="shared" si="261"/>
        <v>0</v>
      </c>
      <c r="AG122" s="2776"/>
      <c r="AH122" s="5240">
        <v>1</v>
      </c>
      <c r="AI122" s="4451">
        <v>0</v>
      </c>
      <c r="AJ122" s="4451">
        <v>1</v>
      </c>
      <c r="AK122" s="4451">
        <v>1</v>
      </c>
      <c r="AL122" s="4451">
        <v>1</v>
      </c>
      <c r="AM122" s="4451">
        <v>2</v>
      </c>
      <c r="AN122" s="4461"/>
      <c r="AO122" s="4461"/>
      <c r="AP122" s="4461"/>
      <c r="AQ122" s="4461"/>
      <c r="AR122" s="4461"/>
      <c r="AS122" s="4461"/>
      <c r="AT122" s="4451">
        <f t="shared" si="228"/>
        <v>6</v>
      </c>
      <c r="AU122" s="5241">
        <f t="shared" si="136"/>
        <v>0.5</v>
      </c>
      <c r="AV122" s="559" t="b">
        <v>1</v>
      </c>
      <c r="AW122" s="5338">
        <v>4</v>
      </c>
      <c r="AX122" s="4451">
        <v>3</v>
      </c>
      <c r="AY122" s="4451">
        <v>1</v>
      </c>
      <c r="AZ122" s="4451">
        <v>3</v>
      </c>
      <c r="BA122" s="4451">
        <v>3</v>
      </c>
      <c r="BB122" s="4451">
        <v>2</v>
      </c>
      <c r="BC122" s="4451">
        <v>2</v>
      </c>
      <c r="BD122" s="4451">
        <v>1</v>
      </c>
      <c r="BE122" s="4451">
        <v>3</v>
      </c>
      <c r="BF122" s="4451">
        <v>3</v>
      </c>
      <c r="BG122" s="4451">
        <v>2</v>
      </c>
      <c r="BH122" s="4451">
        <v>3</v>
      </c>
      <c r="BI122" s="4451">
        <f t="shared" si="209"/>
        <v>30</v>
      </c>
      <c r="BJ122" s="5241">
        <f t="shared" si="141"/>
        <v>2.5</v>
      </c>
      <c r="BL122" s="5340">
        <v>4</v>
      </c>
      <c r="BM122" s="4451">
        <v>3</v>
      </c>
      <c r="BN122" s="4451"/>
      <c r="BO122" s="4451"/>
      <c r="BP122" s="4451"/>
      <c r="BQ122" s="4451"/>
      <c r="BR122" s="4451"/>
      <c r="BS122" s="4451"/>
      <c r="BT122" s="4451"/>
      <c r="BU122" s="4451"/>
      <c r="BV122" s="4451"/>
      <c r="BW122" s="4451"/>
      <c r="BX122" s="4451">
        <f t="shared" si="210"/>
        <v>7</v>
      </c>
      <c r="BY122" s="5241">
        <f t="shared" si="256"/>
        <v>3.5</v>
      </c>
      <c r="CA122" s="169">
        <f t="shared" si="237"/>
        <v>0</v>
      </c>
      <c r="CB122" s="169">
        <f t="shared" si="205"/>
        <v>2</v>
      </c>
      <c r="CC122" s="169">
        <f>IFERROR(
  SUM(
    _xlfn.XLOOKUP(DATE(YEAR($A$1),1,1),$2:$2,122:122):
    _xlfn.XLOOKUP($A$1,$2:$2,122:122)
  )
 -SUM(
    _xlfn.XLOOKUP(DATE(YEAR($A$1)-1,1,1),$2:$2,122:122):
    _xlfn.XLOOKUP(EDATE($A$1,-12),$2:$2,122:122)
  ),"")</f>
        <v>0</v>
      </c>
      <c r="CD122" s="4517">
        <f t="shared" si="238"/>
        <v>-1</v>
      </c>
    </row>
    <row r="123" spans="1:82" ht="17.600000000000001" x14ac:dyDescent="0.55000000000000004">
      <c r="A123" s="7383"/>
      <c r="B123" s="2034" t="s">
        <v>206</v>
      </c>
      <c r="C123" s="1900"/>
      <c r="D123" s="5243">
        <f>D128+D129</f>
        <v>0</v>
      </c>
      <c r="E123" s="4414">
        <f t="shared" ref="E123:O123" si="262">E128+E129</f>
        <v>0</v>
      </c>
      <c r="F123" s="4414">
        <f t="shared" si="262"/>
        <v>0</v>
      </c>
      <c r="G123" s="4414">
        <f t="shared" si="262"/>
        <v>0</v>
      </c>
      <c r="H123" s="4414">
        <f t="shared" si="262"/>
        <v>0</v>
      </c>
      <c r="I123" s="4414">
        <f t="shared" si="262"/>
        <v>0</v>
      </c>
      <c r="J123" s="4414">
        <f t="shared" si="262"/>
        <v>0</v>
      </c>
      <c r="K123" s="4414">
        <f t="shared" si="262"/>
        <v>0</v>
      </c>
      <c r="L123" s="4414">
        <f t="shared" si="262"/>
        <v>0</v>
      </c>
      <c r="M123" s="4414">
        <f t="shared" si="262"/>
        <v>0</v>
      </c>
      <c r="N123" s="4414">
        <f t="shared" si="262"/>
        <v>0</v>
      </c>
      <c r="O123" s="4414">
        <f t="shared" si="262"/>
        <v>0</v>
      </c>
      <c r="P123" s="4414">
        <f t="shared" si="233"/>
        <v>0</v>
      </c>
      <c r="Q123" s="5244">
        <f t="shared" si="234"/>
        <v>0</v>
      </c>
      <c r="R123" s="2776">
        <v>0</v>
      </c>
      <c r="S123" s="5243">
        <f>S128+S129</f>
        <v>0</v>
      </c>
      <c r="T123" s="4414">
        <f t="shared" ref="T123:AD123" si="263">T128+T129</f>
        <v>0</v>
      </c>
      <c r="U123" s="4414">
        <f t="shared" si="263"/>
        <v>0</v>
      </c>
      <c r="V123" s="4414">
        <f t="shared" si="263"/>
        <v>0</v>
      </c>
      <c r="W123" s="4414">
        <f t="shared" si="263"/>
        <v>0</v>
      </c>
      <c r="X123" s="4414">
        <f t="shared" si="263"/>
        <v>0</v>
      </c>
      <c r="Y123" s="4414">
        <f t="shared" si="263"/>
        <v>0</v>
      </c>
      <c r="Z123" s="4414">
        <f t="shared" si="263"/>
        <v>0</v>
      </c>
      <c r="AA123" s="4414">
        <f t="shared" si="263"/>
        <v>0</v>
      </c>
      <c r="AB123" s="4414">
        <f t="shared" si="263"/>
        <v>0</v>
      </c>
      <c r="AC123" s="4414">
        <f t="shared" si="263"/>
        <v>0</v>
      </c>
      <c r="AD123" s="4414">
        <f t="shared" si="263"/>
        <v>0</v>
      </c>
      <c r="AE123" s="4414">
        <f t="shared" si="260"/>
        <v>0</v>
      </c>
      <c r="AF123" s="5244">
        <f t="shared" si="261"/>
        <v>0</v>
      </c>
      <c r="AG123" s="2776"/>
      <c r="AH123" s="5243">
        <f>AH128+AH129</f>
        <v>5</v>
      </c>
      <c r="AI123" s="4414">
        <f t="shared" ref="AI123:AQ123" si="264">AI128+AI129</f>
        <v>9</v>
      </c>
      <c r="AJ123" s="4414">
        <f t="shared" si="264"/>
        <v>4</v>
      </c>
      <c r="AK123" s="4414">
        <f t="shared" si="264"/>
        <v>12</v>
      </c>
      <c r="AL123" s="4414">
        <f t="shared" si="264"/>
        <v>10</v>
      </c>
      <c r="AM123" s="4414">
        <f t="shared" si="264"/>
        <v>9</v>
      </c>
      <c r="AN123" s="5317">
        <f t="shared" si="264"/>
        <v>0</v>
      </c>
      <c r="AO123" s="5317">
        <f t="shared" si="264"/>
        <v>0</v>
      </c>
      <c r="AP123" s="5317">
        <f t="shared" si="264"/>
        <v>0</v>
      </c>
      <c r="AQ123" s="5317">
        <f t="shared" si="264"/>
        <v>0</v>
      </c>
      <c r="AR123" s="5317">
        <v>0</v>
      </c>
      <c r="AS123" s="5317">
        <v>0</v>
      </c>
      <c r="AT123" s="4414">
        <f t="shared" si="228"/>
        <v>49</v>
      </c>
      <c r="AU123" s="5244">
        <f t="shared" si="136"/>
        <v>4.083333333333333</v>
      </c>
      <c r="AV123" s="559" t="b">
        <v>1</v>
      </c>
      <c r="AW123" s="5318">
        <v>15</v>
      </c>
      <c r="AX123" s="4414">
        <v>17</v>
      </c>
      <c r="AY123" s="4414">
        <v>14</v>
      </c>
      <c r="AZ123" s="4414">
        <v>9</v>
      </c>
      <c r="BA123" s="4414">
        <v>10</v>
      </c>
      <c r="BB123" s="4414">
        <v>8</v>
      </c>
      <c r="BC123" s="4414">
        <v>10</v>
      </c>
      <c r="BD123" s="4414">
        <v>9</v>
      </c>
      <c r="BE123" s="4414">
        <v>7</v>
      </c>
      <c r="BF123" s="4414">
        <v>7</v>
      </c>
      <c r="BG123" s="4414">
        <v>7</v>
      </c>
      <c r="BH123" s="4414">
        <v>5</v>
      </c>
      <c r="BI123" s="4414">
        <f t="shared" si="209"/>
        <v>118</v>
      </c>
      <c r="BJ123" s="5244">
        <f t="shared" si="141"/>
        <v>9.8333333333333339</v>
      </c>
      <c r="BL123" s="5319">
        <v>10</v>
      </c>
      <c r="BM123" s="4414">
        <v>10</v>
      </c>
      <c r="BN123" s="4414"/>
      <c r="BO123" s="4414"/>
      <c r="BP123" s="4414"/>
      <c r="BQ123" s="4414"/>
      <c r="BR123" s="4414"/>
      <c r="BS123" s="4414"/>
      <c r="BT123" s="4414"/>
      <c r="BU123" s="4414"/>
      <c r="BV123" s="4414"/>
      <c r="BW123" s="4414"/>
      <c r="BX123" s="4414">
        <f t="shared" si="210"/>
        <v>20</v>
      </c>
      <c r="BY123" s="5244">
        <f t="shared" si="256"/>
        <v>10</v>
      </c>
      <c r="CA123" s="169">
        <f t="shared" si="237"/>
        <v>-7</v>
      </c>
      <c r="CB123" s="169">
        <f t="shared" si="205"/>
        <v>5.7500000000000009</v>
      </c>
      <c r="CC123" s="169">
        <f>IFERROR(
  SUM(
    _xlfn.XLOOKUP(DATE(YEAR($A$1),1,1),$2:$2,123:123):
    _xlfn.XLOOKUP($A$1,$2:$2,123:123)
  )
 -SUM(
    _xlfn.XLOOKUP(DATE(YEAR($A$1)-1,1,1),$2:$2,123:123):
    _xlfn.XLOOKUP(EDATE($A$1,-12),$2:$2,123:123)
  ),"")</f>
        <v>-12</v>
      </c>
      <c r="CD123" s="4517">
        <f t="shared" si="238"/>
        <v>0</v>
      </c>
    </row>
    <row r="124" spans="1:82" ht="17.600000000000001" x14ac:dyDescent="0.55000000000000004">
      <c r="A124" s="7383"/>
      <c r="B124" s="2041" t="s">
        <v>207</v>
      </c>
      <c r="C124" s="1576"/>
      <c r="D124" s="5246">
        <f>D130+D131</f>
        <v>0</v>
      </c>
      <c r="E124" s="2636">
        <f t="shared" ref="E124:O124" si="265">E130+E131</f>
        <v>0</v>
      </c>
      <c r="F124" s="2636">
        <f t="shared" si="265"/>
        <v>0</v>
      </c>
      <c r="G124" s="2636">
        <f t="shared" si="265"/>
        <v>0</v>
      </c>
      <c r="H124" s="2636">
        <f t="shared" si="265"/>
        <v>0</v>
      </c>
      <c r="I124" s="2636">
        <f t="shared" si="265"/>
        <v>0</v>
      </c>
      <c r="J124" s="2636">
        <f t="shared" si="265"/>
        <v>0</v>
      </c>
      <c r="K124" s="2636">
        <f t="shared" si="265"/>
        <v>0</v>
      </c>
      <c r="L124" s="2636">
        <f t="shared" si="265"/>
        <v>0</v>
      </c>
      <c r="M124" s="2636">
        <f t="shared" si="265"/>
        <v>0</v>
      </c>
      <c r="N124" s="2636">
        <f t="shared" si="265"/>
        <v>0</v>
      </c>
      <c r="O124" s="2636">
        <f t="shared" si="265"/>
        <v>0</v>
      </c>
      <c r="P124" s="2636">
        <f t="shared" si="233"/>
        <v>0</v>
      </c>
      <c r="Q124" s="5247">
        <f t="shared" si="234"/>
        <v>0</v>
      </c>
      <c r="R124" s="2776">
        <v>0</v>
      </c>
      <c r="S124" s="5246">
        <f>S130+S131</f>
        <v>0</v>
      </c>
      <c r="T124" s="2636">
        <f t="shared" ref="T124:AD124" si="266">T130+T131</f>
        <v>0</v>
      </c>
      <c r="U124" s="2636">
        <f t="shared" si="266"/>
        <v>0</v>
      </c>
      <c r="V124" s="2636">
        <f t="shared" si="266"/>
        <v>0</v>
      </c>
      <c r="W124" s="2636">
        <f t="shared" si="266"/>
        <v>0</v>
      </c>
      <c r="X124" s="2636">
        <f t="shared" si="266"/>
        <v>0</v>
      </c>
      <c r="Y124" s="2636">
        <f t="shared" si="266"/>
        <v>0</v>
      </c>
      <c r="Z124" s="2636">
        <f t="shared" si="266"/>
        <v>0</v>
      </c>
      <c r="AA124" s="2636">
        <f t="shared" si="266"/>
        <v>0</v>
      </c>
      <c r="AB124" s="2636">
        <f t="shared" si="266"/>
        <v>0</v>
      </c>
      <c r="AC124" s="2636">
        <f t="shared" si="266"/>
        <v>0</v>
      </c>
      <c r="AD124" s="2636">
        <f t="shared" si="266"/>
        <v>0</v>
      </c>
      <c r="AE124" s="2636">
        <f t="shared" si="260"/>
        <v>0</v>
      </c>
      <c r="AF124" s="5247">
        <f t="shared" si="261"/>
        <v>0</v>
      </c>
      <c r="AG124" s="2776"/>
      <c r="AH124" s="5246">
        <f>AH130+AH131</f>
        <v>11</v>
      </c>
      <c r="AI124" s="2636">
        <f t="shared" ref="AI124:AQ124" si="267">AI130+AI131</f>
        <v>13</v>
      </c>
      <c r="AJ124" s="2636">
        <f t="shared" si="267"/>
        <v>10</v>
      </c>
      <c r="AK124" s="2636">
        <f t="shared" si="267"/>
        <v>11</v>
      </c>
      <c r="AL124" s="2636">
        <f t="shared" si="267"/>
        <v>11</v>
      </c>
      <c r="AM124" s="2636">
        <f t="shared" si="267"/>
        <v>8</v>
      </c>
      <c r="AN124" s="4461">
        <f t="shared" si="267"/>
        <v>0</v>
      </c>
      <c r="AO124" s="4461">
        <f t="shared" si="267"/>
        <v>0</v>
      </c>
      <c r="AP124" s="4461">
        <f t="shared" si="267"/>
        <v>0</v>
      </c>
      <c r="AQ124" s="4461">
        <f t="shared" si="267"/>
        <v>0</v>
      </c>
      <c r="AR124" s="4461">
        <v>0</v>
      </c>
      <c r="AS124" s="4461">
        <v>0</v>
      </c>
      <c r="AT124" s="2636">
        <f t="shared" si="228"/>
        <v>64</v>
      </c>
      <c r="AU124" s="5247">
        <f t="shared" si="136"/>
        <v>5.333333333333333</v>
      </c>
      <c r="AV124" s="559" t="b">
        <v>1</v>
      </c>
      <c r="AW124" s="5320">
        <v>9</v>
      </c>
      <c r="AX124" s="2636">
        <v>9</v>
      </c>
      <c r="AY124" s="2636">
        <v>12</v>
      </c>
      <c r="AZ124" s="2636">
        <v>15</v>
      </c>
      <c r="BA124" s="2636">
        <v>13</v>
      </c>
      <c r="BB124" s="2636">
        <v>11</v>
      </c>
      <c r="BC124" s="2636">
        <v>7</v>
      </c>
      <c r="BD124" s="2636">
        <v>9</v>
      </c>
      <c r="BE124" s="2636">
        <v>10</v>
      </c>
      <c r="BF124" s="2636">
        <v>12</v>
      </c>
      <c r="BG124" s="2636">
        <v>12</v>
      </c>
      <c r="BH124" s="2636">
        <v>15</v>
      </c>
      <c r="BI124" s="2636">
        <f t="shared" si="209"/>
        <v>134</v>
      </c>
      <c r="BJ124" s="5247">
        <f t="shared" si="141"/>
        <v>11.166666666666666</v>
      </c>
      <c r="BL124" s="5321">
        <v>13</v>
      </c>
      <c r="BM124" s="2636">
        <v>13</v>
      </c>
      <c r="BN124" s="2636"/>
      <c r="BO124" s="2636"/>
      <c r="BP124" s="2636"/>
      <c r="BQ124" s="2636"/>
      <c r="BR124" s="2636"/>
      <c r="BS124" s="2636"/>
      <c r="BT124" s="2636"/>
      <c r="BU124" s="2636"/>
      <c r="BV124" s="2636"/>
      <c r="BW124" s="2636"/>
      <c r="BX124" s="2636">
        <f t="shared" si="210"/>
        <v>26</v>
      </c>
      <c r="BY124" s="5247">
        <f t="shared" si="256"/>
        <v>13</v>
      </c>
      <c r="CA124" s="169">
        <f t="shared" si="237"/>
        <v>4</v>
      </c>
      <c r="CB124" s="169">
        <f t="shared" si="205"/>
        <v>5.833333333333333</v>
      </c>
      <c r="CC124" s="169">
        <f>IFERROR(
  SUM(
    _xlfn.XLOOKUP(DATE(YEAR($A$1),1,1),$2:$2,124:124):
    _xlfn.XLOOKUP($A$1,$2:$2,124:124)
  )
 -SUM(
    _xlfn.XLOOKUP(DATE(YEAR($A$1)-1,1,1),$2:$2,124:124):
    _xlfn.XLOOKUP(EDATE($A$1,-12),$2:$2,124:124)
  ),"")</f>
        <v>8</v>
      </c>
      <c r="CD124" s="4517">
        <f t="shared" si="238"/>
        <v>0</v>
      </c>
    </row>
    <row r="125" spans="1:82" ht="17.600000000000001" x14ac:dyDescent="0.55000000000000004">
      <c r="A125" s="7383"/>
      <c r="B125" s="2041" t="s">
        <v>208</v>
      </c>
      <c r="C125" s="1576"/>
      <c r="D125" s="5246">
        <f>D132+D133</f>
        <v>0</v>
      </c>
      <c r="E125" s="2636">
        <f t="shared" ref="E125:O125" si="268">E132+E133</f>
        <v>0</v>
      </c>
      <c r="F125" s="2636">
        <f t="shared" si="268"/>
        <v>0</v>
      </c>
      <c r="G125" s="2636">
        <f t="shared" si="268"/>
        <v>0</v>
      </c>
      <c r="H125" s="2636">
        <f t="shared" si="268"/>
        <v>0</v>
      </c>
      <c r="I125" s="2636">
        <f t="shared" si="268"/>
        <v>0</v>
      </c>
      <c r="J125" s="2636">
        <f t="shared" si="268"/>
        <v>0</v>
      </c>
      <c r="K125" s="2636">
        <f t="shared" si="268"/>
        <v>0</v>
      </c>
      <c r="L125" s="2636">
        <f t="shared" si="268"/>
        <v>0</v>
      </c>
      <c r="M125" s="2636">
        <f t="shared" si="268"/>
        <v>0</v>
      </c>
      <c r="N125" s="2636">
        <f t="shared" si="268"/>
        <v>0</v>
      </c>
      <c r="O125" s="2636">
        <f t="shared" si="268"/>
        <v>0</v>
      </c>
      <c r="P125" s="2636">
        <f t="shared" si="233"/>
        <v>0</v>
      </c>
      <c r="Q125" s="5247">
        <f t="shared" si="234"/>
        <v>0</v>
      </c>
      <c r="R125" s="2776">
        <v>0</v>
      </c>
      <c r="S125" s="5246">
        <f>S132+S133</f>
        <v>0</v>
      </c>
      <c r="T125" s="2636">
        <f t="shared" ref="T125:AD125" si="269">T132+T133</f>
        <v>0</v>
      </c>
      <c r="U125" s="2636">
        <f t="shared" si="269"/>
        <v>0</v>
      </c>
      <c r="V125" s="2636">
        <f t="shared" si="269"/>
        <v>0</v>
      </c>
      <c r="W125" s="2636">
        <f t="shared" si="269"/>
        <v>0</v>
      </c>
      <c r="X125" s="2636">
        <f t="shared" si="269"/>
        <v>0</v>
      </c>
      <c r="Y125" s="2636">
        <f t="shared" si="269"/>
        <v>0</v>
      </c>
      <c r="Z125" s="2636">
        <f t="shared" si="269"/>
        <v>0</v>
      </c>
      <c r="AA125" s="2636">
        <f t="shared" si="269"/>
        <v>0</v>
      </c>
      <c r="AB125" s="2636">
        <f t="shared" si="269"/>
        <v>0</v>
      </c>
      <c r="AC125" s="2636">
        <f t="shared" si="269"/>
        <v>0</v>
      </c>
      <c r="AD125" s="2636">
        <f t="shared" si="269"/>
        <v>0</v>
      </c>
      <c r="AE125" s="2636">
        <f t="shared" si="260"/>
        <v>0</v>
      </c>
      <c r="AF125" s="5247">
        <f t="shared" si="261"/>
        <v>0</v>
      </c>
      <c r="AG125" s="2776"/>
      <c r="AH125" s="5246">
        <f>AH132+AH133</f>
        <v>10</v>
      </c>
      <c r="AI125" s="2636">
        <f t="shared" ref="AI125:AQ125" si="270">AI132+AI133</f>
        <v>12</v>
      </c>
      <c r="AJ125" s="2636">
        <f t="shared" si="270"/>
        <v>9</v>
      </c>
      <c r="AK125" s="2636">
        <f t="shared" si="270"/>
        <v>14</v>
      </c>
      <c r="AL125" s="2636">
        <f t="shared" si="270"/>
        <v>10</v>
      </c>
      <c r="AM125" s="2636">
        <f t="shared" si="270"/>
        <v>9</v>
      </c>
      <c r="AN125" s="4461">
        <f t="shared" si="270"/>
        <v>0</v>
      </c>
      <c r="AO125" s="4461">
        <f t="shared" si="270"/>
        <v>0</v>
      </c>
      <c r="AP125" s="4461">
        <f t="shared" si="270"/>
        <v>0</v>
      </c>
      <c r="AQ125" s="4461">
        <f t="shared" si="270"/>
        <v>0</v>
      </c>
      <c r="AR125" s="4461">
        <v>0</v>
      </c>
      <c r="AS125" s="4461">
        <v>0</v>
      </c>
      <c r="AT125" s="2636">
        <f t="shared" si="228"/>
        <v>64</v>
      </c>
      <c r="AU125" s="5247">
        <f t="shared" si="136"/>
        <v>5.333333333333333</v>
      </c>
      <c r="AV125" s="559" t="b">
        <v>1</v>
      </c>
      <c r="AW125" s="5320">
        <v>19</v>
      </c>
      <c r="AX125" s="2636">
        <v>18</v>
      </c>
      <c r="AY125" s="2636">
        <v>16</v>
      </c>
      <c r="AZ125" s="2636">
        <v>12</v>
      </c>
      <c r="BA125" s="2636">
        <v>12</v>
      </c>
      <c r="BB125" s="2636">
        <v>9</v>
      </c>
      <c r="BC125" s="2636">
        <v>13</v>
      </c>
      <c r="BD125" s="2636">
        <v>10</v>
      </c>
      <c r="BE125" s="2636">
        <v>10</v>
      </c>
      <c r="BF125" s="2636">
        <v>5</v>
      </c>
      <c r="BG125" s="2636">
        <v>6</v>
      </c>
      <c r="BH125" s="2636">
        <v>11</v>
      </c>
      <c r="BI125" s="2636">
        <f t="shared" si="209"/>
        <v>141</v>
      </c>
      <c r="BJ125" s="5247">
        <f t="shared" si="141"/>
        <v>11.75</v>
      </c>
      <c r="BL125" s="5321">
        <v>17</v>
      </c>
      <c r="BM125" s="2636">
        <v>19</v>
      </c>
      <c r="BN125" s="2636"/>
      <c r="BO125" s="2636"/>
      <c r="BP125" s="2636"/>
      <c r="BQ125" s="2636"/>
      <c r="BR125" s="2636"/>
      <c r="BS125" s="2636"/>
      <c r="BT125" s="2636"/>
      <c r="BU125" s="2636"/>
      <c r="BV125" s="2636"/>
      <c r="BW125" s="2636"/>
      <c r="BX125" s="2636">
        <f t="shared" si="210"/>
        <v>36</v>
      </c>
      <c r="BY125" s="5247">
        <f t="shared" si="256"/>
        <v>18</v>
      </c>
      <c r="CA125" s="169">
        <f t="shared" si="237"/>
        <v>1</v>
      </c>
      <c r="CB125" s="169">
        <f t="shared" si="205"/>
        <v>6.416666666666667</v>
      </c>
      <c r="CC125" s="169">
        <f>IFERROR(
  SUM(
    _xlfn.XLOOKUP(DATE(YEAR($A$1),1,1),$2:$2,125:125):
    _xlfn.XLOOKUP($A$1,$2:$2,125:125)
  )
 -SUM(
    _xlfn.XLOOKUP(DATE(YEAR($A$1)-1,1,1),$2:$2,125:125):
    _xlfn.XLOOKUP(EDATE($A$1,-12),$2:$2,125:125)
  ),"")</f>
        <v>-1</v>
      </c>
      <c r="CD125" s="4517">
        <f t="shared" si="238"/>
        <v>2</v>
      </c>
    </row>
    <row r="126" spans="1:82" ht="17.600000000000001" x14ac:dyDescent="0.55000000000000004">
      <c r="A126" s="7383"/>
      <c r="B126" s="2041" t="s">
        <v>209</v>
      </c>
      <c r="C126" s="1576"/>
      <c r="D126" s="5246">
        <f>D134+D135</f>
        <v>0</v>
      </c>
      <c r="E126" s="2636">
        <f t="shared" ref="E126:O126" si="271">E134+E135</f>
        <v>0</v>
      </c>
      <c r="F126" s="2636">
        <f t="shared" si="271"/>
        <v>0</v>
      </c>
      <c r="G126" s="2636">
        <f t="shared" si="271"/>
        <v>0</v>
      </c>
      <c r="H126" s="2636">
        <f t="shared" si="271"/>
        <v>0</v>
      </c>
      <c r="I126" s="2636">
        <f t="shared" si="271"/>
        <v>0</v>
      </c>
      <c r="J126" s="2636">
        <f t="shared" si="271"/>
        <v>0</v>
      </c>
      <c r="K126" s="2636">
        <f t="shared" si="271"/>
        <v>0</v>
      </c>
      <c r="L126" s="2636">
        <f t="shared" si="271"/>
        <v>0</v>
      </c>
      <c r="M126" s="2636">
        <f t="shared" si="271"/>
        <v>0</v>
      </c>
      <c r="N126" s="2636">
        <f t="shared" si="271"/>
        <v>0</v>
      </c>
      <c r="O126" s="2636">
        <f t="shared" si="271"/>
        <v>0</v>
      </c>
      <c r="P126" s="2636">
        <f t="shared" si="233"/>
        <v>0</v>
      </c>
      <c r="Q126" s="5247">
        <f t="shared" si="234"/>
        <v>0</v>
      </c>
      <c r="R126" s="2776">
        <v>0</v>
      </c>
      <c r="S126" s="5246">
        <f>S134+S135</f>
        <v>0</v>
      </c>
      <c r="T126" s="2636">
        <f t="shared" ref="T126:AD126" si="272">T134+T135</f>
        <v>0</v>
      </c>
      <c r="U126" s="2636">
        <f t="shared" si="272"/>
        <v>0</v>
      </c>
      <c r="V126" s="2636">
        <f t="shared" si="272"/>
        <v>0</v>
      </c>
      <c r="W126" s="2636">
        <f t="shared" si="272"/>
        <v>0</v>
      </c>
      <c r="X126" s="2636">
        <f t="shared" si="272"/>
        <v>0</v>
      </c>
      <c r="Y126" s="2636">
        <f t="shared" si="272"/>
        <v>0</v>
      </c>
      <c r="Z126" s="2636">
        <f t="shared" si="272"/>
        <v>0</v>
      </c>
      <c r="AA126" s="2636">
        <f t="shared" si="272"/>
        <v>0</v>
      </c>
      <c r="AB126" s="2636">
        <f t="shared" si="272"/>
        <v>0</v>
      </c>
      <c r="AC126" s="2636">
        <f t="shared" si="272"/>
        <v>0</v>
      </c>
      <c r="AD126" s="2636">
        <f t="shared" si="272"/>
        <v>0</v>
      </c>
      <c r="AE126" s="2636">
        <f t="shared" si="260"/>
        <v>0</v>
      </c>
      <c r="AF126" s="5247">
        <f t="shared" si="261"/>
        <v>0</v>
      </c>
      <c r="AG126" s="2776"/>
      <c r="AH126" s="5246">
        <f>AH134+AH135</f>
        <v>12</v>
      </c>
      <c r="AI126" s="2636">
        <f t="shared" ref="AI126:AQ126" si="273">AI134+AI135</f>
        <v>11</v>
      </c>
      <c r="AJ126" s="2636">
        <f t="shared" si="273"/>
        <v>7</v>
      </c>
      <c r="AK126" s="2636">
        <f t="shared" si="273"/>
        <v>11</v>
      </c>
      <c r="AL126" s="2636">
        <f t="shared" si="273"/>
        <v>7</v>
      </c>
      <c r="AM126" s="2636">
        <f t="shared" si="273"/>
        <v>6</v>
      </c>
      <c r="AN126" s="4461">
        <f t="shared" si="273"/>
        <v>0</v>
      </c>
      <c r="AO126" s="4461">
        <f t="shared" si="273"/>
        <v>0</v>
      </c>
      <c r="AP126" s="4461">
        <f t="shared" si="273"/>
        <v>0</v>
      </c>
      <c r="AQ126" s="4461">
        <f t="shared" si="273"/>
        <v>0</v>
      </c>
      <c r="AR126" s="4461">
        <v>0</v>
      </c>
      <c r="AS126" s="4461">
        <v>0</v>
      </c>
      <c r="AT126" s="2636">
        <f t="shared" si="228"/>
        <v>54</v>
      </c>
      <c r="AU126" s="5247">
        <f t="shared" si="136"/>
        <v>4.5</v>
      </c>
      <c r="AV126" s="559" t="b">
        <v>1</v>
      </c>
      <c r="AW126" s="5320">
        <v>16</v>
      </c>
      <c r="AX126" s="2636">
        <v>18</v>
      </c>
      <c r="AY126" s="2636">
        <v>16</v>
      </c>
      <c r="AZ126" s="2636">
        <v>15</v>
      </c>
      <c r="BA126" s="2636">
        <v>11</v>
      </c>
      <c r="BB126" s="2636">
        <v>13</v>
      </c>
      <c r="BC126" s="2636">
        <v>10</v>
      </c>
      <c r="BD126" s="2636">
        <v>12</v>
      </c>
      <c r="BE126" s="2636">
        <v>9</v>
      </c>
      <c r="BF126" s="2636">
        <v>6</v>
      </c>
      <c r="BG126" s="2636">
        <v>11</v>
      </c>
      <c r="BH126" s="2636">
        <v>12</v>
      </c>
      <c r="BI126" s="2636">
        <f t="shared" si="209"/>
        <v>149</v>
      </c>
      <c r="BJ126" s="5247">
        <f t="shared" si="141"/>
        <v>12.416666666666666</v>
      </c>
      <c r="BL126" s="5321">
        <v>19</v>
      </c>
      <c r="BM126" s="2636">
        <v>16</v>
      </c>
      <c r="BN126" s="2636"/>
      <c r="BO126" s="2636"/>
      <c r="BP126" s="2636"/>
      <c r="BQ126" s="2636"/>
      <c r="BR126" s="2636"/>
      <c r="BS126" s="2636"/>
      <c r="BT126" s="2636"/>
      <c r="BU126" s="2636"/>
      <c r="BV126" s="2636"/>
      <c r="BW126" s="2636"/>
      <c r="BX126" s="2636">
        <f t="shared" si="210"/>
        <v>35</v>
      </c>
      <c r="BY126" s="5247">
        <f t="shared" si="256"/>
        <v>17.5</v>
      </c>
      <c r="CA126" s="169">
        <f t="shared" si="237"/>
        <v>-2</v>
      </c>
      <c r="CB126" s="169">
        <f t="shared" si="205"/>
        <v>7.9166666666666661</v>
      </c>
      <c r="CC126" s="169">
        <f>IFERROR(
  SUM(
    _xlfn.XLOOKUP(DATE(YEAR($A$1),1,1),$2:$2,126:126):
    _xlfn.XLOOKUP($A$1,$2:$2,126:126)
  )
 -SUM(
    _xlfn.XLOOKUP(DATE(YEAR($A$1)-1,1,1),$2:$2,126:126):
    _xlfn.XLOOKUP(EDATE($A$1,-12),$2:$2,126:126)
  ),"")</f>
        <v>1</v>
      </c>
      <c r="CD126" s="4517">
        <f t="shared" si="238"/>
        <v>-3</v>
      </c>
    </row>
    <row r="127" spans="1:82" ht="17.600000000000001" x14ac:dyDescent="0.55000000000000004">
      <c r="A127" s="7383"/>
      <c r="B127" s="2048" t="s">
        <v>210</v>
      </c>
      <c r="C127" s="1929"/>
      <c r="D127" s="5249">
        <f>D136+D137</f>
        <v>0</v>
      </c>
      <c r="E127" s="5250">
        <f t="shared" ref="E127:O127" si="274">E136+E137</f>
        <v>0</v>
      </c>
      <c r="F127" s="5250">
        <f t="shared" si="274"/>
        <v>0</v>
      </c>
      <c r="G127" s="5250">
        <f t="shared" si="274"/>
        <v>0</v>
      </c>
      <c r="H127" s="5250">
        <f t="shared" si="274"/>
        <v>0</v>
      </c>
      <c r="I127" s="5250">
        <f t="shared" si="274"/>
        <v>0</v>
      </c>
      <c r="J127" s="5250">
        <f t="shared" si="274"/>
        <v>0</v>
      </c>
      <c r="K127" s="5250">
        <f t="shared" si="274"/>
        <v>0</v>
      </c>
      <c r="L127" s="5250">
        <f t="shared" si="274"/>
        <v>0</v>
      </c>
      <c r="M127" s="5250">
        <f t="shared" si="274"/>
        <v>0</v>
      </c>
      <c r="N127" s="5250">
        <f t="shared" si="274"/>
        <v>0</v>
      </c>
      <c r="O127" s="5250">
        <f t="shared" si="274"/>
        <v>0</v>
      </c>
      <c r="P127" s="5250">
        <f t="shared" si="233"/>
        <v>0</v>
      </c>
      <c r="Q127" s="5251">
        <f t="shared" si="234"/>
        <v>0</v>
      </c>
      <c r="R127" s="2776">
        <v>0</v>
      </c>
      <c r="S127" s="5249">
        <f>S136+S137</f>
        <v>0</v>
      </c>
      <c r="T127" s="5250">
        <f t="shared" ref="T127:AD127" si="275">T136+T137</f>
        <v>0</v>
      </c>
      <c r="U127" s="5250">
        <f t="shared" si="275"/>
        <v>0</v>
      </c>
      <c r="V127" s="5250">
        <f t="shared" si="275"/>
        <v>0</v>
      </c>
      <c r="W127" s="5250">
        <f t="shared" si="275"/>
        <v>0</v>
      </c>
      <c r="X127" s="5250">
        <f t="shared" si="275"/>
        <v>0</v>
      </c>
      <c r="Y127" s="5250">
        <f t="shared" si="275"/>
        <v>0</v>
      </c>
      <c r="Z127" s="5250">
        <f t="shared" si="275"/>
        <v>0</v>
      </c>
      <c r="AA127" s="5250">
        <f t="shared" si="275"/>
        <v>0</v>
      </c>
      <c r="AB127" s="5250">
        <f t="shared" si="275"/>
        <v>0</v>
      </c>
      <c r="AC127" s="5250">
        <f t="shared" si="275"/>
        <v>0</v>
      </c>
      <c r="AD127" s="5250">
        <f t="shared" si="275"/>
        <v>0</v>
      </c>
      <c r="AE127" s="5250">
        <f t="shared" si="260"/>
        <v>0</v>
      </c>
      <c r="AF127" s="5251">
        <f t="shared" si="261"/>
        <v>0</v>
      </c>
      <c r="AG127" s="2776"/>
      <c r="AH127" s="5249">
        <f>AH136+AH137</f>
        <v>9</v>
      </c>
      <c r="AI127" s="5250">
        <f t="shared" ref="AI127:AQ127" si="276">AI136+AI137</f>
        <v>9</v>
      </c>
      <c r="AJ127" s="5250">
        <f t="shared" si="276"/>
        <v>10</v>
      </c>
      <c r="AK127" s="5250">
        <f t="shared" si="276"/>
        <v>10</v>
      </c>
      <c r="AL127" s="5250">
        <f t="shared" si="276"/>
        <v>5</v>
      </c>
      <c r="AM127" s="5250">
        <f t="shared" si="276"/>
        <v>6</v>
      </c>
      <c r="AN127" s="5322">
        <f t="shared" si="276"/>
        <v>0</v>
      </c>
      <c r="AO127" s="5322">
        <f t="shared" si="276"/>
        <v>0</v>
      </c>
      <c r="AP127" s="5322">
        <f t="shared" si="276"/>
        <v>0</v>
      </c>
      <c r="AQ127" s="5322">
        <f t="shared" si="276"/>
        <v>0</v>
      </c>
      <c r="AR127" s="5322">
        <v>0</v>
      </c>
      <c r="AS127" s="5322">
        <v>0</v>
      </c>
      <c r="AT127" s="5250">
        <f t="shared" si="228"/>
        <v>49</v>
      </c>
      <c r="AU127" s="5251">
        <f t="shared" si="136"/>
        <v>4.083333333333333</v>
      </c>
      <c r="AV127" s="559" t="b">
        <v>1</v>
      </c>
      <c r="AW127" s="5323">
        <v>21</v>
      </c>
      <c r="AX127" s="5250">
        <v>17</v>
      </c>
      <c r="AY127" s="5250">
        <v>18</v>
      </c>
      <c r="AZ127" s="5250">
        <v>22</v>
      </c>
      <c r="BA127" s="5250">
        <v>18</v>
      </c>
      <c r="BB127" s="5250">
        <v>17</v>
      </c>
      <c r="BC127" s="5250">
        <v>18</v>
      </c>
      <c r="BD127" s="5250">
        <v>17</v>
      </c>
      <c r="BE127" s="5250">
        <v>19</v>
      </c>
      <c r="BF127" s="5250">
        <v>20</v>
      </c>
      <c r="BG127" s="5250">
        <v>16</v>
      </c>
      <c r="BH127" s="5250">
        <v>17</v>
      </c>
      <c r="BI127" s="5250">
        <f t="shared" si="209"/>
        <v>220</v>
      </c>
      <c r="BJ127" s="5251">
        <f t="shared" si="141"/>
        <v>18.333333333333332</v>
      </c>
      <c r="BL127" s="5324">
        <v>23</v>
      </c>
      <c r="BM127" s="5250">
        <v>19</v>
      </c>
      <c r="BN127" s="5250"/>
      <c r="BO127" s="5250"/>
      <c r="BP127" s="5250"/>
      <c r="BQ127" s="5250"/>
      <c r="BR127" s="5250"/>
      <c r="BS127" s="5250"/>
      <c r="BT127" s="5250"/>
      <c r="BU127" s="5250"/>
      <c r="BV127" s="5250"/>
      <c r="BW127" s="5250"/>
      <c r="BX127" s="5250">
        <f t="shared" si="210"/>
        <v>42</v>
      </c>
      <c r="BY127" s="5251">
        <f t="shared" si="256"/>
        <v>21</v>
      </c>
      <c r="CA127" s="169">
        <f t="shared" si="237"/>
        <v>2</v>
      </c>
      <c r="CB127" s="169">
        <f t="shared" si="205"/>
        <v>14.25</v>
      </c>
      <c r="CC127" s="169">
        <f>IFERROR(
  SUM(
    _xlfn.XLOOKUP(DATE(YEAR($A$1),1,1),$2:$2,127:127):
    _xlfn.XLOOKUP($A$1,$2:$2,127:127)
  )
 -SUM(
    _xlfn.XLOOKUP(DATE(YEAR($A$1)-1,1,1),$2:$2,127:127):
    _xlfn.XLOOKUP(EDATE($A$1,-12),$2:$2,127:127)
  ),"")</f>
        <v>4</v>
      </c>
      <c r="CD127" s="4517">
        <f t="shared" si="238"/>
        <v>-4</v>
      </c>
    </row>
    <row r="128" spans="1:82" ht="17.600000000000001" x14ac:dyDescent="0.55000000000000004">
      <c r="A128" s="7383"/>
      <c r="B128" s="2055"/>
      <c r="C128" s="5253" t="s">
        <v>211</v>
      </c>
      <c r="D128" s="5255">
        <v>0</v>
      </c>
      <c r="E128" s="5255">
        <v>0</v>
      </c>
      <c r="F128" s="5255">
        <v>0</v>
      </c>
      <c r="G128" s="5255">
        <v>0</v>
      </c>
      <c r="H128" s="5255">
        <v>0</v>
      </c>
      <c r="I128" s="5255">
        <v>0</v>
      </c>
      <c r="J128" s="5255">
        <v>0</v>
      </c>
      <c r="K128" s="5255">
        <v>0</v>
      </c>
      <c r="L128" s="5255">
        <v>0</v>
      </c>
      <c r="M128" s="5255">
        <v>0</v>
      </c>
      <c r="N128" s="5255">
        <v>0</v>
      </c>
      <c r="O128" s="5255">
        <v>0</v>
      </c>
      <c r="P128" s="5255">
        <f t="shared" si="233"/>
        <v>0</v>
      </c>
      <c r="Q128" s="5256">
        <f t="shared" si="234"/>
        <v>0</v>
      </c>
      <c r="R128" s="2776">
        <v>0</v>
      </c>
      <c r="S128" s="5274">
        <v>0</v>
      </c>
      <c r="T128" s="5255">
        <v>0</v>
      </c>
      <c r="U128" s="5255">
        <v>0</v>
      </c>
      <c r="V128" s="5255">
        <v>0</v>
      </c>
      <c r="W128" s="5255">
        <v>0</v>
      </c>
      <c r="X128" s="5255">
        <v>0</v>
      </c>
      <c r="Y128" s="5255">
        <v>0</v>
      </c>
      <c r="Z128" s="5255">
        <v>0</v>
      </c>
      <c r="AA128" s="5255">
        <v>0</v>
      </c>
      <c r="AB128" s="5255">
        <v>0</v>
      </c>
      <c r="AC128" s="5255">
        <v>0</v>
      </c>
      <c r="AD128" s="5255">
        <v>0</v>
      </c>
      <c r="AE128" s="5255">
        <f t="shared" si="260"/>
        <v>0</v>
      </c>
      <c r="AF128" s="5256">
        <f t="shared" si="261"/>
        <v>0</v>
      </c>
      <c r="AG128" s="2776"/>
      <c r="AH128" s="5274">
        <v>4</v>
      </c>
      <c r="AI128" s="5255">
        <v>4</v>
      </c>
      <c r="AJ128" s="5255">
        <v>0</v>
      </c>
      <c r="AK128" s="5255">
        <v>1</v>
      </c>
      <c r="AL128" s="5255">
        <v>3</v>
      </c>
      <c r="AM128" s="5255">
        <v>1</v>
      </c>
      <c r="AN128" s="5325"/>
      <c r="AO128" s="5325"/>
      <c r="AP128" s="5325"/>
      <c r="AQ128" s="5325"/>
      <c r="AR128" s="5325"/>
      <c r="AS128" s="5325"/>
      <c r="AT128" s="5255">
        <f t="shared" si="228"/>
        <v>13</v>
      </c>
      <c r="AU128" s="5256">
        <f t="shared" si="136"/>
        <v>1.0833333333333333</v>
      </c>
      <c r="AV128" s="559" t="b">
        <v>1</v>
      </c>
      <c r="AW128" s="5326">
        <v>6</v>
      </c>
      <c r="AX128" s="5255">
        <v>8</v>
      </c>
      <c r="AY128" s="5255">
        <v>6</v>
      </c>
      <c r="AZ128" s="5255">
        <v>4</v>
      </c>
      <c r="BA128" s="5255">
        <v>5</v>
      </c>
      <c r="BB128" s="5255">
        <v>3</v>
      </c>
      <c r="BC128" s="5255">
        <v>6</v>
      </c>
      <c r="BD128" s="5255">
        <v>7</v>
      </c>
      <c r="BE128" s="5255">
        <v>4</v>
      </c>
      <c r="BF128" s="5255">
        <v>2</v>
      </c>
      <c r="BG128" s="5255">
        <v>3</v>
      </c>
      <c r="BH128" s="5255">
        <v>2</v>
      </c>
      <c r="BI128" s="5255">
        <f t="shared" si="209"/>
        <v>56</v>
      </c>
      <c r="BJ128" s="5256">
        <f t="shared" si="141"/>
        <v>4.666666666666667</v>
      </c>
      <c r="BL128" s="5327">
        <v>5</v>
      </c>
      <c r="BM128" s="5255">
        <v>5</v>
      </c>
      <c r="BN128" s="5255"/>
      <c r="BO128" s="5255"/>
      <c r="BP128" s="5255"/>
      <c r="BQ128" s="5255"/>
      <c r="BR128" s="5255"/>
      <c r="BS128" s="5255"/>
      <c r="BT128" s="5255"/>
      <c r="BU128" s="5255"/>
      <c r="BV128" s="5255"/>
      <c r="BW128" s="5255"/>
      <c r="BX128" s="5255">
        <f t="shared" si="210"/>
        <v>10</v>
      </c>
      <c r="BY128" s="5256">
        <f t="shared" si="256"/>
        <v>5</v>
      </c>
      <c r="CA128" s="169">
        <f t="shared" si="237"/>
        <v>-3</v>
      </c>
      <c r="CB128" s="169">
        <f t="shared" si="205"/>
        <v>3.5833333333333339</v>
      </c>
      <c r="CC128" s="169">
        <f>IFERROR(
  SUM(
    _xlfn.XLOOKUP(DATE(YEAR($A$1),1,1),$2:$2,128:128):
    _xlfn.XLOOKUP($A$1,$2:$2,128:128)
  )
 -SUM(
    _xlfn.XLOOKUP(DATE(YEAR($A$1)-1,1,1),$2:$2,128:128):
    _xlfn.XLOOKUP(EDATE($A$1,-12),$2:$2,128:128)
  ),"")</f>
        <v>-4</v>
      </c>
      <c r="CD128" s="4517">
        <f t="shared" si="238"/>
        <v>0</v>
      </c>
    </row>
    <row r="129" spans="1:82" ht="17.600000000000001" x14ac:dyDescent="0.55000000000000004">
      <c r="A129" s="7383"/>
      <c r="B129" s="2062"/>
      <c r="C129" s="5258" t="s">
        <v>212</v>
      </c>
      <c r="D129" s="5260">
        <v>0</v>
      </c>
      <c r="E129" s="5260">
        <v>0</v>
      </c>
      <c r="F129" s="5260">
        <v>0</v>
      </c>
      <c r="G129" s="5260">
        <v>0</v>
      </c>
      <c r="H129" s="5260">
        <v>0</v>
      </c>
      <c r="I129" s="5260">
        <v>0</v>
      </c>
      <c r="J129" s="5260">
        <v>0</v>
      </c>
      <c r="K129" s="5260">
        <v>0</v>
      </c>
      <c r="L129" s="5260">
        <v>0</v>
      </c>
      <c r="M129" s="5260">
        <v>0</v>
      </c>
      <c r="N129" s="5260">
        <v>0</v>
      </c>
      <c r="O129" s="5260">
        <v>0</v>
      </c>
      <c r="P129" s="5260">
        <f t="shared" si="233"/>
        <v>0</v>
      </c>
      <c r="Q129" s="5261">
        <f t="shared" si="234"/>
        <v>0</v>
      </c>
      <c r="R129" s="2776">
        <v>0</v>
      </c>
      <c r="S129" s="5275">
        <v>0</v>
      </c>
      <c r="T129" s="5260">
        <v>0</v>
      </c>
      <c r="U129" s="5260">
        <v>0</v>
      </c>
      <c r="V129" s="5260">
        <v>0</v>
      </c>
      <c r="W129" s="5260">
        <v>0</v>
      </c>
      <c r="X129" s="5260">
        <v>0</v>
      </c>
      <c r="Y129" s="5260">
        <v>0</v>
      </c>
      <c r="Z129" s="5260">
        <v>0</v>
      </c>
      <c r="AA129" s="5260">
        <v>0</v>
      </c>
      <c r="AB129" s="5260">
        <v>0</v>
      </c>
      <c r="AC129" s="5260">
        <v>0</v>
      </c>
      <c r="AD129" s="5260">
        <v>0</v>
      </c>
      <c r="AE129" s="5260">
        <f t="shared" si="260"/>
        <v>0</v>
      </c>
      <c r="AF129" s="5261">
        <f t="shared" si="261"/>
        <v>0</v>
      </c>
      <c r="AG129" s="2776"/>
      <c r="AH129" s="5275">
        <v>1</v>
      </c>
      <c r="AI129" s="5260">
        <v>5</v>
      </c>
      <c r="AJ129" s="5260">
        <v>4</v>
      </c>
      <c r="AK129" s="5260">
        <v>11</v>
      </c>
      <c r="AL129" s="5260">
        <v>7</v>
      </c>
      <c r="AM129" s="5260">
        <v>8</v>
      </c>
      <c r="AN129" s="5328"/>
      <c r="AO129" s="5328"/>
      <c r="AP129" s="5328"/>
      <c r="AQ129" s="5328"/>
      <c r="AR129" s="5328"/>
      <c r="AS129" s="5328"/>
      <c r="AT129" s="5260">
        <f t="shared" si="228"/>
        <v>36</v>
      </c>
      <c r="AU129" s="5261">
        <f t="shared" si="136"/>
        <v>3</v>
      </c>
      <c r="AV129" s="559" t="b">
        <v>1</v>
      </c>
      <c r="AW129" s="5329">
        <v>9</v>
      </c>
      <c r="AX129" s="5260">
        <v>9</v>
      </c>
      <c r="AY129" s="5260">
        <v>8</v>
      </c>
      <c r="AZ129" s="5260">
        <v>5</v>
      </c>
      <c r="BA129" s="5260">
        <v>5</v>
      </c>
      <c r="BB129" s="5260">
        <v>5</v>
      </c>
      <c r="BC129" s="5260">
        <v>4</v>
      </c>
      <c r="BD129" s="5260">
        <v>2</v>
      </c>
      <c r="BE129" s="5260">
        <v>3</v>
      </c>
      <c r="BF129" s="5260">
        <v>5</v>
      </c>
      <c r="BG129" s="5260">
        <v>4</v>
      </c>
      <c r="BH129" s="5260">
        <v>3</v>
      </c>
      <c r="BI129" s="5260">
        <f t="shared" si="209"/>
        <v>62</v>
      </c>
      <c r="BJ129" s="5261">
        <f t="shared" si="141"/>
        <v>5.166666666666667</v>
      </c>
      <c r="BL129" s="5330">
        <v>5</v>
      </c>
      <c r="BM129" s="5260">
        <v>5</v>
      </c>
      <c r="BN129" s="5260"/>
      <c r="BO129" s="5260"/>
      <c r="BP129" s="5260"/>
      <c r="BQ129" s="5260"/>
      <c r="BR129" s="5260"/>
      <c r="BS129" s="5260"/>
      <c r="BT129" s="5260"/>
      <c r="BU129" s="5260"/>
      <c r="BV129" s="5260"/>
      <c r="BW129" s="5260"/>
      <c r="BX129" s="5260">
        <f t="shared" si="210"/>
        <v>10</v>
      </c>
      <c r="BY129" s="5261">
        <f t="shared" si="256"/>
        <v>5</v>
      </c>
      <c r="CA129" s="169">
        <f t="shared" si="237"/>
        <v>-4</v>
      </c>
      <c r="CB129" s="169">
        <f t="shared" si="205"/>
        <v>2.166666666666667</v>
      </c>
      <c r="CC129" s="169">
        <f>IFERROR(
  SUM(
    _xlfn.XLOOKUP(DATE(YEAR($A$1),1,1),$2:$2,129:129):
    _xlfn.XLOOKUP($A$1,$2:$2,129:129)
  )
 -SUM(
    _xlfn.XLOOKUP(DATE(YEAR($A$1)-1,1,1),$2:$2,129:129):
    _xlfn.XLOOKUP(EDATE($A$1,-12),$2:$2,129:129)
  ),"")</f>
        <v>-8</v>
      </c>
      <c r="CD129" s="4517">
        <f t="shared" si="238"/>
        <v>0</v>
      </c>
    </row>
    <row r="130" spans="1:82" ht="17.600000000000001" x14ac:dyDescent="0.55000000000000004">
      <c r="A130" s="7383"/>
      <c r="B130" s="2062"/>
      <c r="C130" s="5263" t="s">
        <v>213</v>
      </c>
      <c r="D130" s="5265">
        <v>0</v>
      </c>
      <c r="E130" s="5265">
        <v>0</v>
      </c>
      <c r="F130" s="5265">
        <v>0</v>
      </c>
      <c r="G130" s="5265">
        <v>0</v>
      </c>
      <c r="H130" s="5265">
        <v>0</v>
      </c>
      <c r="I130" s="5265">
        <v>0</v>
      </c>
      <c r="J130" s="5265">
        <v>0</v>
      </c>
      <c r="K130" s="5265">
        <v>0</v>
      </c>
      <c r="L130" s="5265">
        <v>0</v>
      </c>
      <c r="M130" s="5265">
        <v>0</v>
      </c>
      <c r="N130" s="5265">
        <v>0</v>
      </c>
      <c r="O130" s="5265">
        <v>0</v>
      </c>
      <c r="P130" s="5265">
        <f t="shared" si="233"/>
        <v>0</v>
      </c>
      <c r="Q130" s="5266">
        <f t="shared" si="234"/>
        <v>0</v>
      </c>
      <c r="R130" s="2776">
        <v>0</v>
      </c>
      <c r="S130" s="5276">
        <v>0</v>
      </c>
      <c r="T130" s="5265">
        <v>0</v>
      </c>
      <c r="U130" s="5265">
        <v>0</v>
      </c>
      <c r="V130" s="5265">
        <v>0</v>
      </c>
      <c r="W130" s="5265">
        <v>0</v>
      </c>
      <c r="X130" s="5265">
        <v>0</v>
      </c>
      <c r="Y130" s="5265">
        <v>0</v>
      </c>
      <c r="Z130" s="5265">
        <v>0</v>
      </c>
      <c r="AA130" s="5265">
        <v>0</v>
      </c>
      <c r="AB130" s="5265">
        <v>0</v>
      </c>
      <c r="AC130" s="5265">
        <v>0</v>
      </c>
      <c r="AD130" s="5265">
        <v>0</v>
      </c>
      <c r="AE130" s="5265">
        <f t="shared" si="260"/>
        <v>0</v>
      </c>
      <c r="AF130" s="5266">
        <f t="shared" si="261"/>
        <v>0</v>
      </c>
      <c r="AG130" s="2776"/>
      <c r="AH130" s="5276">
        <v>3</v>
      </c>
      <c r="AI130" s="5265">
        <v>4</v>
      </c>
      <c r="AJ130" s="5265">
        <v>5</v>
      </c>
      <c r="AK130" s="5265">
        <v>5</v>
      </c>
      <c r="AL130" s="5265">
        <v>6</v>
      </c>
      <c r="AM130" s="5265">
        <v>3</v>
      </c>
      <c r="AN130" s="5328"/>
      <c r="AO130" s="5328"/>
      <c r="AP130" s="5328"/>
      <c r="AQ130" s="5328"/>
      <c r="AR130" s="5328"/>
      <c r="AS130" s="5328"/>
      <c r="AT130" s="5265">
        <f t="shared" si="228"/>
        <v>26</v>
      </c>
      <c r="AU130" s="5266">
        <f t="shared" si="136"/>
        <v>2.1666666666666665</v>
      </c>
      <c r="AV130" s="559" t="b">
        <v>1</v>
      </c>
      <c r="AW130" s="5331">
        <v>3</v>
      </c>
      <c r="AX130" s="5265">
        <v>2</v>
      </c>
      <c r="AY130" s="5265">
        <v>2</v>
      </c>
      <c r="AZ130" s="5265">
        <v>6</v>
      </c>
      <c r="BA130" s="5265">
        <v>5</v>
      </c>
      <c r="BB130" s="5265">
        <v>3</v>
      </c>
      <c r="BC130" s="5265">
        <v>3</v>
      </c>
      <c r="BD130" s="5265">
        <v>2</v>
      </c>
      <c r="BE130" s="5265">
        <v>4</v>
      </c>
      <c r="BF130" s="5265">
        <v>3</v>
      </c>
      <c r="BG130" s="5265">
        <v>4</v>
      </c>
      <c r="BH130" s="5265">
        <v>6</v>
      </c>
      <c r="BI130" s="5265">
        <f t="shared" si="209"/>
        <v>43</v>
      </c>
      <c r="BJ130" s="5266">
        <f t="shared" si="141"/>
        <v>3.5833333333333335</v>
      </c>
      <c r="BL130" s="5332">
        <v>4</v>
      </c>
      <c r="BM130" s="5265">
        <v>5</v>
      </c>
      <c r="BN130" s="5265"/>
      <c r="BO130" s="5265"/>
      <c r="BP130" s="5265"/>
      <c r="BQ130" s="5265"/>
      <c r="BR130" s="5265"/>
      <c r="BS130" s="5265"/>
      <c r="BT130" s="5265"/>
      <c r="BU130" s="5265"/>
      <c r="BV130" s="5265"/>
      <c r="BW130" s="5265"/>
      <c r="BX130" s="5265">
        <f t="shared" si="210"/>
        <v>9</v>
      </c>
      <c r="BY130" s="5266">
        <f t="shared" si="256"/>
        <v>4.5</v>
      </c>
      <c r="CA130" s="169">
        <f t="shared" si="237"/>
        <v>3</v>
      </c>
      <c r="CB130" s="169">
        <f t="shared" si="205"/>
        <v>1.416666666666667</v>
      </c>
      <c r="CC130" s="169">
        <f>IFERROR(
  SUM(
    _xlfn.XLOOKUP(DATE(YEAR($A$1),1,1),$2:$2,130:130):
    _xlfn.XLOOKUP($A$1,$2:$2,130:130)
  )
 -SUM(
    _xlfn.XLOOKUP(DATE(YEAR($A$1)-1,1,1),$2:$2,130:130):
    _xlfn.XLOOKUP(EDATE($A$1,-12),$2:$2,130:130)
  ),"")</f>
        <v>4</v>
      </c>
      <c r="CD130" s="4517">
        <f t="shared" si="238"/>
        <v>1</v>
      </c>
    </row>
    <row r="131" spans="1:82" ht="17.600000000000001" x14ac:dyDescent="0.55000000000000004">
      <c r="A131" s="7383"/>
      <c r="B131" s="2062"/>
      <c r="C131" s="5263" t="s">
        <v>214</v>
      </c>
      <c r="D131" s="5265">
        <v>0</v>
      </c>
      <c r="E131" s="5265">
        <v>0</v>
      </c>
      <c r="F131" s="5265">
        <v>0</v>
      </c>
      <c r="G131" s="5265">
        <v>0</v>
      </c>
      <c r="H131" s="5265">
        <v>0</v>
      </c>
      <c r="I131" s="5265">
        <v>0</v>
      </c>
      <c r="J131" s="5265">
        <v>0</v>
      </c>
      <c r="K131" s="5265">
        <v>0</v>
      </c>
      <c r="L131" s="5265">
        <v>0</v>
      </c>
      <c r="M131" s="5265">
        <v>0</v>
      </c>
      <c r="N131" s="5265">
        <v>0</v>
      </c>
      <c r="O131" s="5265">
        <v>0</v>
      </c>
      <c r="P131" s="5265">
        <f t="shared" si="233"/>
        <v>0</v>
      </c>
      <c r="Q131" s="5266">
        <f t="shared" si="234"/>
        <v>0</v>
      </c>
      <c r="R131" s="2776">
        <v>0</v>
      </c>
      <c r="S131" s="5276">
        <v>0</v>
      </c>
      <c r="T131" s="5265">
        <v>0</v>
      </c>
      <c r="U131" s="5265">
        <v>0</v>
      </c>
      <c r="V131" s="5265">
        <v>0</v>
      </c>
      <c r="W131" s="5265">
        <v>0</v>
      </c>
      <c r="X131" s="5265">
        <v>0</v>
      </c>
      <c r="Y131" s="5265">
        <v>0</v>
      </c>
      <c r="Z131" s="5265">
        <v>0</v>
      </c>
      <c r="AA131" s="5265">
        <v>0</v>
      </c>
      <c r="AB131" s="5265">
        <v>0</v>
      </c>
      <c r="AC131" s="5265">
        <v>0</v>
      </c>
      <c r="AD131" s="5265">
        <v>0</v>
      </c>
      <c r="AE131" s="5265">
        <f t="shared" si="260"/>
        <v>0</v>
      </c>
      <c r="AF131" s="5266">
        <f t="shared" si="261"/>
        <v>0</v>
      </c>
      <c r="AG131" s="2776"/>
      <c r="AH131" s="5276">
        <v>8</v>
      </c>
      <c r="AI131" s="5265">
        <v>9</v>
      </c>
      <c r="AJ131" s="5265">
        <v>5</v>
      </c>
      <c r="AK131" s="5265">
        <v>6</v>
      </c>
      <c r="AL131" s="5265">
        <v>5</v>
      </c>
      <c r="AM131" s="5265">
        <v>5</v>
      </c>
      <c r="AN131" s="5328"/>
      <c r="AO131" s="5328"/>
      <c r="AP131" s="5328"/>
      <c r="AQ131" s="5328"/>
      <c r="AR131" s="5328"/>
      <c r="AS131" s="5328"/>
      <c r="AT131" s="5265">
        <f t="shared" si="228"/>
        <v>38</v>
      </c>
      <c r="AU131" s="5266">
        <f t="shared" si="136"/>
        <v>3.1666666666666665</v>
      </c>
      <c r="AV131" s="559" t="b">
        <v>1</v>
      </c>
      <c r="AW131" s="5331">
        <v>6</v>
      </c>
      <c r="AX131" s="5265">
        <v>7</v>
      </c>
      <c r="AY131" s="5265">
        <v>10</v>
      </c>
      <c r="AZ131" s="5265">
        <v>9</v>
      </c>
      <c r="BA131" s="5265">
        <v>8</v>
      </c>
      <c r="BB131" s="5265">
        <v>8</v>
      </c>
      <c r="BC131" s="5265">
        <v>4</v>
      </c>
      <c r="BD131" s="5265">
        <v>7</v>
      </c>
      <c r="BE131" s="5265">
        <v>6</v>
      </c>
      <c r="BF131" s="5265">
        <v>9</v>
      </c>
      <c r="BG131" s="5265">
        <v>8</v>
      </c>
      <c r="BH131" s="5265">
        <v>9</v>
      </c>
      <c r="BI131" s="5265">
        <f t="shared" si="209"/>
        <v>91</v>
      </c>
      <c r="BJ131" s="5266">
        <f t="shared" si="141"/>
        <v>7.583333333333333</v>
      </c>
      <c r="BL131" s="5332">
        <v>9</v>
      </c>
      <c r="BM131" s="5265">
        <v>8</v>
      </c>
      <c r="BN131" s="5265"/>
      <c r="BO131" s="5265"/>
      <c r="BP131" s="5265"/>
      <c r="BQ131" s="5265"/>
      <c r="BR131" s="5265"/>
      <c r="BS131" s="5265"/>
      <c r="BT131" s="5265"/>
      <c r="BU131" s="5265"/>
      <c r="BV131" s="5265"/>
      <c r="BW131" s="5265"/>
      <c r="BX131" s="5265">
        <f t="shared" si="210"/>
        <v>17</v>
      </c>
      <c r="BY131" s="5266">
        <f t="shared" si="256"/>
        <v>8.5</v>
      </c>
      <c r="CA131" s="169">
        <f t="shared" si="237"/>
        <v>1</v>
      </c>
      <c r="CB131" s="169">
        <f t="shared" si="205"/>
        <v>4.4166666666666661</v>
      </c>
      <c r="CC131" s="169">
        <f>IFERROR(
  SUM(
    _xlfn.XLOOKUP(DATE(YEAR($A$1),1,1),$2:$2,131:131):
    _xlfn.XLOOKUP($A$1,$2:$2,131:131)
  )
 -SUM(
    _xlfn.XLOOKUP(DATE(YEAR($A$1)-1,1,1),$2:$2,131:131):
    _xlfn.XLOOKUP(EDATE($A$1,-12),$2:$2,131:131)
  ),"")</f>
        <v>4</v>
      </c>
      <c r="CD131" s="4517">
        <f t="shared" si="238"/>
        <v>-1</v>
      </c>
    </row>
    <row r="132" spans="1:82" ht="17.600000000000001" x14ac:dyDescent="0.55000000000000004">
      <c r="A132" s="7383"/>
      <c r="B132" s="2062"/>
      <c r="C132" s="5258" t="s">
        <v>215</v>
      </c>
      <c r="D132" s="5260">
        <v>0</v>
      </c>
      <c r="E132" s="5260">
        <v>0</v>
      </c>
      <c r="F132" s="5260">
        <v>0</v>
      </c>
      <c r="G132" s="5260">
        <v>0</v>
      </c>
      <c r="H132" s="5260">
        <v>0</v>
      </c>
      <c r="I132" s="5260">
        <v>0</v>
      </c>
      <c r="J132" s="5260">
        <v>0</v>
      </c>
      <c r="K132" s="5260">
        <v>0</v>
      </c>
      <c r="L132" s="5260">
        <v>0</v>
      </c>
      <c r="M132" s="5260">
        <v>0</v>
      </c>
      <c r="N132" s="5260">
        <v>0</v>
      </c>
      <c r="O132" s="5260">
        <v>0</v>
      </c>
      <c r="P132" s="5260">
        <f t="shared" si="233"/>
        <v>0</v>
      </c>
      <c r="Q132" s="5261">
        <f t="shared" si="234"/>
        <v>0</v>
      </c>
      <c r="R132" s="2776">
        <v>0</v>
      </c>
      <c r="S132" s="5275">
        <v>0</v>
      </c>
      <c r="T132" s="5260">
        <v>0</v>
      </c>
      <c r="U132" s="5260">
        <v>0</v>
      </c>
      <c r="V132" s="5260">
        <v>0</v>
      </c>
      <c r="W132" s="5260">
        <v>0</v>
      </c>
      <c r="X132" s="5260">
        <v>0</v>
      </c>
      <c r="Y132" s="5260">
        <v>0</v>
      </c>
      <c r="Z132" s="5260">
        <v>0</v>
      </c>
      <c r="AA132" s="5260">
        <v>0</v>
      </c>
      <c r="AB132" s="5260">
        <v>0</v>
      </c>
      <c r="AC132" s="5260">
        <v>0</v>
      </c>
      <c r="AD132" s="5260">
        <v>0</v>
      </c>
      <c r="AE132" s="5260">
        <f t="shared" si="260"/>
        <v>0</v>
      </c>
      <c r="AF132" s="5261">
        <f t="shared" si="261"/>
        <v>0</v>
      </c>
      <c r="AG132" s="2776"/>
      <c r="AH132" s="5275">
        <v>7</v>
      </c>
      <c r="AI132" s="5260">
        <v>8</v>
      </c>
      <c r="AJ132" s="5260">
        <v>9</v>
      </c>
      <c r="AK132" s="5260">
        <v>13</v>
      </c>
      <c r="AL132" s="5260">
        <v>7</v>
      </c>
      <c r="AM132" s="5260">
        <v>6</v>
      </c>
      <c r="AN132" s="5328"/>
      <c r="AO132" s="5328"/>
      <c r="AP132" s="5328"/>
      <c r="AQ132" s="5328"/>
      <c r="AR132" s="5328"/>
      <c r="AS132" s="5328"/>
      <c r="AT132" s="5260">
        <f t="shared" si="228"/>
        <v>50</v>
      </c>
      <c r="AU132" s="5261">
        <f t="shared" si="136"/>
        <v>4.166666666666667</v>
      </c>
      <c r="AV132" s="559" t="b">
        <v>1</v>
      </c>
      <c r="AW132" s="5329">
        <v>12</v>
      </c>
      <c r="AX132" s="5260">
        <v>12</v>
      </c>
      <c r="AY132" s="5260">
        <v>10</v>
      </c>
      <c r="AZ132" s="5260">
        <v>7</v>
      </c>
      <c r="BA132" s="5260">
        <v>7</v>
      </c>
      <c r="BB132" s="5260">
        <v>7</v>
      </c>
      <c r="BC132" s="5260">
        <v>8</v>
      </c>
      <c r="BD132" s="5260">
        <v>7</v>
      </c>
      <c r="BE132" s="5260">
        <v>7</v>
      </c>
      <c r="BF132" s="5260">
        <v>4</v>
      </c>
      <c r="BG132" s="5260">
        <v>4</v>
      </c>
      <c r="BH132" s="5260">
        <v>7</v>
      </c>
      <c r="BI132" s="5260">
        <f t="shared" si="209"/>
        <v>92</v>
      </c>
      <c r="BJ132" s="5261">
        <f t="shared" si="141"/>
        <v>7.666666666666667</v>
      </c>
      <c r="BL132" s="5330">
        <v>11</v>
      </c>
      <c r="BM132" s="5260">
        <v>13</v>
      </c>
      <c r="BN132" s="5260"/>
      <c r="BO132" s="5260"/>
      <c r="BP132" s="5260"/>
      <c r="BQ132" s="5260"/>
      <c r="BR132" s="5260"/>
      <c r="BS132" s="5260"/>
      <c r="BT132" s="5260"/>
      <c r="BU132" s="5260"/>
      <c r="BV132" s="5260"/>
      <c r="BW132" s="5260"/>
      <c r="BX132" s="5260">
        <f t="shared" si="210"/>
        <v>24</v>
      </c>
      <c r="BY132" s="5261">
        <f t="shared" si="256"/>
        <v>12</v>
      </c>
      <c r="CA132" s="169">
        <f t="shared" ref="CA132:CA163" si="277">IFERROR(_xlfn.XLOOKUP($A$1,$2:$2,132:132)-_xlfn.XLOOKUP(EDATE($A$1,-12),$2:$2,132:132),"")</f>
        <v>1</v>
      </c>
      <c r="CB132" s="169">
        <f t="shared" si="205"/>
        <v>3.5</v>
      </c>
      <c r="CC132" s="169">
        <f>IFERROR(
  SUM(
    _xlfn.XLOOKUP(DATE(YEAR($A$1),1,1),$2:$2,132:132):
    _xlfn.XLOOKUP($A$1,$2:$2,132:132)
  )
 -SUM(
    _xlfn.XLOOKUP(DATE(YEAR($A$1)-1,1,1),$2:$2,132:132):
    _xlfn.XLOOKUP(EDATE($A$1,-12),$2:$2,132:132)
  ),"")</f>
        <v>0</v>
      </c>
      <c r="CD132" s="4517">
        <f t="shared" ref="CD132:CD163" si="278">IFERROR(
  _xlfn.XLOOKUP($A$1,$2:$2,132:132)
 -_xlfn.XLOOKUP(EDATE($A$1,-1),$2:$2,132:132),"")</f>
        <v>2</v>
      </c>
    </row>
    <row r="133" spans="1:82" ht="17.600000000000001" x14ac:dyDescent="0.55000000000000004">
      <c r="A133" s="7383"/>
      <c r="B133" s="2062"/>
      <c r="C133" s="5258" t="s">
        <v>216</v>
      </c>
      <c r="D133" s="5260">
        <v>0</v>
      </c>
      <c r="E133" s="5260">
        <v>0</v>
      </c>
      <c r="F133" s="5260">
        <v>0</v>
      </c>
      <c r="G133" s="5260">
        <v>0</v>
      </c>
      <c r="H133" s="5260">
        <v>0</v>
      </c>
      <c r="I133" s="5260">
        <v>0</v>
      </c>
      <c r="J133" s="5260">
        <v>0</v>
      </c>
      <c r="K133" s="5260">
        <v>0</v>
      </c>
      <c r="L133" s="5260">
        <v>0</v>
      </c>
      <c r="M133" s="5260">
        <v>0</v>
      </c>
      <c r="N133" s="5260">
        <v>0</v>
      </c>
      <c r="O133" s="5260">
        <v>0</v>
      </c>
      <c r="P133" s="5260">
        <f t="shared" si="233"/>
        <v>0</v>
      </c>
      <c r="Q133" s="5261">
        <f t="shared" si="234"/>
        <v>0</v>
      </c>
      <c r="R133" s="2776">
        <v>0</v>
      </c>
      <c r="S133" s="5275">
        <v>0</v>
      </c>
      <c r="T133" s="5260">
        <v>0</v>
      </c>
      <c r="U133" s="5260">
        <v>0</v>
      </c>
      <c r="V133" s="5260">
        <v>0</v>
      </c>
      <c r="W133" s="5260">
        <v>0</v>
      </c>
      <c r="X133" s="5260">
        <v>0</v>
      </c>
      <c r="Y133" s="5260">
        <v>0</v>
      </c>
      <c r="Z133" s="5260">
        <v>0</v>
      </c>
      <c r="AA133" s="5260">
        <v>0</v>
      </c>
      <c r="AB133" s="5260">
        <v>0</v>
      </c>
      <c r="AC133" s="5260">
        <v>0</v>
      </c>
      <c r="AD133" s="5260">
        <v>0</v>
      </c>
      <c r="AE133" s="5260">
        <f t="shared" si="260"/>
        <v>0</v>
      </c>
      <c r="AF133" s="5261">
        <f t="shared" si="261"/>
        <v>0</v>
      </c>
      <c r="AG133" s="2776"/>
      <c r="AH133" s="5275">
        <v>3</v>
      </c>
      <c r="AI133" s="5260">
        <v>4</v>
      </c>
      <c r="AJ133" s="5260">
        <v>0</v>
      </c>
      <c r="AK133" s="5260">
        <v>1</v>
      </c>
      <c r="AL133" s="5260">
        <v>3</v>
      </c>
      <c r="AM133" s="5260">
        <v>3</v>
      </c>
      <c r="AN133" s="5328"/>
      <c r="AO133" s="5328"/>
      <c r="AP133" s="5328"/>
      <c r="AQ133" s="5328"/>
      <c r="AR133" s="5328"/>
      <c r="AS133" s="5328"/>
      <c r="AT133" s="5260">
        <f t="shared" si="228"/>
        <v>14</v>
      </c>
      <c r="AU133" s="5261">
        <f t="shared" ref="AU133:AU196" si="279">SUM(AH133:AS133)/12</f>
        <v>1.1666666666666667</v>
      </c>
      <c r="AV133" s="559" t="b">
        <v>1</v>
      </c>
      <c r="AW133" s="5329">
        <v>7</v>
      </c>
      <c r="AX133" s="5260">
        <v>6</v>
      </c>
      <c r="AY133" s="5260">
        <v>6</v>
      </c>
      <c r="AZ133" s="5260">
        <v>5</v>
      </c>
      <c r="BA133" s="5260">
        <v>5</v>
      </c>
      <c r="BB133" s="5260">
        <v>2</v>
      </c>
      <c r="BC133" s="5260">
        <v>5</v>
      </c>
      <c r="BD133" s="5260">
        <v>3</v>
      </c>
      <c r="BE133" s="5260">
        <v>3</v>
      </c>
      <c r="BF133" s="5260">
        <v>1</v>
      </c>
      <c r="BG133" s="5260">
        <v>2</v>
      </c>
      <c r="BH133" s="5260">
        <v>4</v>
      </c>
      <c r="BI133" s="5260">
        <f t="shared" si="209"/>
        <v>49</v>
      </c>
      <c r="BJ133" s="5261">
        <f t="shared" ref="BJ133:BJ188" si="280">AVERAGE(AW133:BH133)</f>
        <v>4.083333333333333</v>
      </c>
      <c r="BL133" s="5330">
        <v>6</v>
      </c>
      <c r="BM133" s="5260">
        <v>6</v>
      </c>
      <c r="BN133" s="5260"/>
      <c r="BO133" s="5260"/>
      <c r="BP133" s="5260"/>
      <c r="BQ133" s="5260"/>
      <c r="BR133" s="5260"/>
      <c r="BS133" s="5260"/>
      <c r="BT133" s="5260"/>
      <c r="BU133" s="5260"/>
      <c r="BV133" s="5260"/>
      <c r="BW133" s="5260"/>
      <c r="BX133" s="5260">
        <f t="shared" si="210"/>
        <v>12</v>
      </c>
      <c r="BY133" s="5261">
        <f t="shared" si="256"/>
        <v>6</v>
      </c>
      <c r="CA133" s="169">
        <f t="shared" si="277"/>
        <v>0</v>
      </c>
      <c r="CB133" s="169">
        <f t="shared" si="205"/>
        <v>2.9166666666666661</v>
      </c>
      <c r="CC133" s="169">
        <f>IFERROR(
  SUM(
    _xlfn.XLOOKUP(DATE(YEAR($A$1),1,1),$2:$2,133:133):
    _xlfn.XLOOKUP($A$1,$2:$2,133:133)
  )
 -SUM(
    _xlfn.XLOOKUP(DATE(YEAR($A$1)-1,1,1),$2:$2,133:133):
    _xlfn.XLOOKUP(EDATE($A$1,-12),$2:$2,133:133)
  ),"")</f>
        <v>-1</v>
      </c>
      <c r="CD133" s="4517">
        <f t="shared" si="278"/>
        <v>0</v>
      </c>
    </row>
    <row r="134" spans="1:82" ht="17.600000000000001" x14ac:dyDescent="0.55000000000000004">
      <c r="A134" s="7383"/>
      <c r="B134" s="2062"/>
      <c r="C134" s="5263" t="s">
        <v>217</v>
      </c>
      <c r="D134" s="5265">
        <v>0</v>
      </c>
      <c r="E134" s="5265">
        <v>0</v>
      </c>
      <c r="F134" s="5265">
        <v>0</v>
      </c>
      <c r="G134" s="5265">
        <v>0</v>
      </c>
      <c r="H134" s="5265">
        <v>0</v>
      </c>
      <c r="I134" s="5265">
        <v>0</v>
      </c>
      <c r="J134" s="5265">
        <v>0</v>
      </c>
      <c r="K134" s="5265">
        <v>0</v>
      </c>
      <c r="L134" s="5265">
        <v>0</v>
      </c>
      <c r="M134" s="5265">
        <v>0</v>
      </c>
      <c r="N134" s="5265">
        <v>0</v>
      </c>
      <c r="O134" s="5265">
        <v>0</v>
      </c>
      <c r="P134" s="5265">
        <f t="shared" si="233"/>
        <v>0</v>
      </c>
      <c r="Q134" s="5266">
        <f t="shared" si="234"/>
        <v>0</v>
      </c>
      <c r="R134" s="2776">
        <v>0</v>
      </c>
      <c r="S134" s="5276">
        <v>0</v>
      </c>
      <c r="T134" s="5265">
        <v>0</v>
      </c>
      <c r="U134" s="5265">
        <v>0</v>
      </c>
      <c r="V134" s="5265">
        <v>0</v>
      </c>
      <c r="W134" s="5265">
        <v>0</v>
      </c>
      <c r="X134" s="5265">
        <v>0</v>
      </c>
      <c r="Y134" s="5265">
        <v>0</v>
      </c>
      <c r="Z134" s="5265">
        <v>0</v>
      </c>
      <c r="AA134" s="5265">
        <v>0</v>
      </c>
      <c r="AB134" s="5265">
        <v>0</v>
      </c>
      <c r="AC134" s="5265">
        <v>0</v>
      </c>
      <c r="AD134" s="5265">
        <v>0</v>
      </c>
      <c r="AE134" s="5265">
        <f t="shared" si="260"/>
        <v>0</v>
      </c>
      <c r="AF134" s="5266">
        <f t="shared" si="261"/>
        <v>0</v>
      </c>
      <c r="AG134" s="2776"/>
      <c r="AH134" s="5276">
        <v>8</v>
      </c>
      <c r="AI134" s="5265">
        <v>7</v>
      </c>
      <c r="AJ134" s="5265">
        <v>5</v>
      </c>
      <c r="AK134" s="5265">
        <v>7</v>
      </c>
      <c r="AL134" s="5265">
        <v>4</v>
      </c>
      <c r="AM134" s="5265">
        <v>3</v>
      </c>
      <c r="AN134" s="5328"/>
      <c r="AO134" s="5328"/>
      <c r="AP134" s="5328"/>
      <c r="AQ134" s="5328"/>
      <c r="AR134" s="5328"/>
      <c r="AS134" s="5328"/>
      <c r="AT134" s="5265">
        <f t="shared" si="228"/>
        <v>34</v>
      </c>
      <c r="AU134" s="5266">
        <f t="shared" si="279"/>
        <v>2.8333333333333335</v>
      </c>
      <c r="AV134" s="559" t="b">
        <v>1</v>
      </c>
      <c r="AW134" s="5331">
        <v>9</v>
      </c>
      <c r="AX134" s="5265">
        <v>9</v>
      </c>
      <c r="AY134" s="5265">
        <v>8</v>
      </c>
      <c r="AZ134" s="5265">
        <v>9</v>
      </c>
      <c r="BA134" s="5265">
        <v>6</v>
      </c>
      <c r="BB134" s="5265">
        <v>6</v>
      </c>
      <c r="BC134" s="5265">
        <v>3</v>
      </c>
      <c r="BD134" s="5265">
        <v>5</v>
      </c>
      <c r="BE134" s="5265">
        <v>4</v>
      </c>
      <c r="BF134" s="5265">
        <v>3</v>
      </c>
      <c r="BG134" s="5265">
        <v>6</v>
      </c>
      <c r="BH134" s="5265">
        <v>6</v>
      </c>
      <c r="BI134" s="5265">
        <f t="shared" si="209"/>
        <v>74</v>
      </c>
      <c r="BJ134" s="5266">
        <f t="shared" si="280"/>
        <v>6.166666666666667</v>
      </c>
      <c r="BL134" s="5332">
        <v>9</v>
      </c>
      <c r="BM134" s="5265">
        <v>7</v>
      </c>
      <c r="BN134" s="5265"/>
      <c r="BO134" s="5265"/>
      <c r="BP134" s="5265"/>
      <c r="BQ134" s="5265"/>
      <c r="BR134" s="5265"/>
      <c r="BS134" s="5265"/>
      <c r="BT134" s="5265"/>
      <c r="BU134" s="5265"/>
      <c r="BV134" s="5265"/>
      <c r="BW134" s="5265"/>
      <c r="BX134" s="5265">
        <f t="shared" si="210"/>
        <v>16</v>
      </c>
      <c r="BY134" s="5266">
        <f t="shared" si="256"/>
        <v>8</v>
      </c>
      <c r="CA134" s="169">
        <f t="shared" si="277"/>
        <v>-2</v>
      </c>
      <c r="CB134" s="169">
        <f t="shared" si="205"/>
        <v>3.3333333333333335</v>
      </c>
      <c r="CC134" s="169">
        <f>IFERROR(
  SUM(
    _xlfn.XLOOKUP(DATE(YEAR($A$1),1,1),$2:$2,134:134):
    _xlfn.XLOOKUP($A$1,$2:$2,134:134)
  )
 -SUM(
    _xlfn.XLOOKUP(DATE(YEAR($A$1)-1,1,1),$2:$2,134:134):
    _xlfn.XLOOKUP(EDATE($A$1,-12),$2:$2,134:134)
  ),"")</f>
        <v>-2</v>
      </c>
      <c r="CD134" s="4517">
        <f t="shared" si="278"/>
        <v>-2</v>
      </c>
    </row>
    <row r="135" spans="1:82" ht="17.600000000000001" x14ac:dyDescent="0.55000000000000004">
      <c r="A135" s="7383"/>
      <c r="B135" s="2062"/>
      <c r="C135" s="5263" t="s">
        <v>218</v>
      </c>
      <c r="D135" s="5265">
        <v>0</v>
      </c>
      <c r="E135" s="5265">
        <v>0</v>
      </c>
      <c r="F135" s="5265">
        <v>0</v>
      </c>
      <c r="G135" s="5265">
        <v>0</v>
      </c>
      <c r="H135" s="5265">
        <v>0</v>
      </c>
      <c r="I135" s="5265">
        <v>0</v>
      </c>
      <c r="J135" s="5265">
        <v>0</v>
      </c>
      <c r="K135" s="5265">
        <v>0</v>
      </c>
      <c r="L135" s="5265">
        <v>0</v>
      </c>
      <c r="M135" s="5265">
        <v>0</v>
      </c>
      <c r="N135" s="5265">
        <v>0</v>
      </c>
      <c r="O135" s="5265">
        <v>0</v>
      </c>
      <c r="P135" s="5265">
        <f t="shared" si="233"/>
        <v>0</v>
      </c>
      <c r="Q135" s="5266">
        <f t="shared" si="234"/>
        <v>0</v>
      </c>
      <c r="R135" s="2776">
        <v>0</v>
      </c>
      <c r="S135" s="5276">
        <v>0</v>
      </c>
      <c r="T135" s="5265">
        <v>0</v>
      </c>
      <c r="U135" s="5265">
        <v>0</v>
      </c>
      <c r="V135" s="5265">
        <v>0</v>
      </c>
      <c r="W135" s="5265">
        <v>0</v>
      </c>
      <c r="X135" s="5265">
        <v>0</v>
      </c>
      <c r="Y135" s="5265">
        <v>0</v>
      </c>
      <c r="Z135" s="5265">
        <v>0</v>
      </c>
      <c r="AA135" s="5265">
        <v>0</v>
      </c>
      <c r="AB135" s="5265">
        <v>0</v>
      </c>
      <c r="AC135" s="5265">
        <v>0</v>
      </c>
      <c r="AD135" s="5265">
        <v>0</v>
      </c>
      <c r="AE135" s="5265">
        <f t="shared" si="260"/>
        <v>0</v>
      </c>
      <c r="AF135" s="5266">
        <f t="shared" si="261"/>
        <v>0</v>
      </c>
      <c r="AG135" s="2776"/>
      <c r="AH135" s="5276">
        <v>4</v>
      </c>
      <c r="AI135" s="5265">
        <v>4</v>
      </c>
      <c r="AJ135" s="5265">
        <v>2</v>
      </c>
      <c r="AK135" s="5265">
        <v>4</v>
      </c>
      <c r="AL135" s="5265">
        <v>3</v>
      </c>
      <c r="AM135" s="5265">
        <v>3</v>
      </c>
      <c r="AN135" s="5328"/>
      <c r="AO135" s="5328"/>
      <c r="AP135" s="5328"/>
      <c r="AQ135" s="5328"/>
      <c r="AR135" s="5328"/>
      <c r="AS135" s="5328"/>
      <c r="AT135" s="5265">
        <f t="shared" si="228"/>
        <v>20</v>
      </c>
      <c r="AU135" s="5266">
        <f t="shared" si="279"/>
        <v>1.6666666666666667</v>
      </c>
      <c r="AV135" s="559" t="b">
        <v>1</v>
      </c>
      <c r="AW135" s="5331">
        <v>7</v>
      </c>
      <c r="AX135" s="5265">
        <v>9</v>
      </c>
      <c r="AY135" s="5265">
        <v>8</v>
      </c>
      <c r="AZ135" s="5265">
        <v>6</v>
      </c>
      <c r="BA135" s="5265">
        <v>5</v>
      </c>
      <c r="BB135" s="5265">
        <v>7</v>
      </c>
      <c r="BC135" s="5265">
        <v>7</v>
      </c>
      <c r="BD135" s="5265">
        <v>7</v>
      </c>
      <c r="BE135" s="5265">
        <v>5</v>
      </c>
      <c r="BF135" s="5265">
        <v>3</v>
      </c>
      <c r="BG135" s="5265">
        <v>5</v>
      </c>
      <c r="BH135" s="5265">
        <v>6</v>
      </c>
      <c r="BI135" s="5265">
        <f t="shared" si="209"/>
        <v>75</v>
      </c>
      <c r="BJ135" s="5266">
        <f t="shared" si="280"/>
        <v>6.25</v>
      </c>
      <c r="BL135" s="5332">
        <v>10</v>
      </c>
      <c r="BM135" s="5265">
        <v>9</v>
      </c>
      <c r="BN135" s="5265"/>
      <c r="BO135" s="5265"/>
      <c r="BP135" s="5265"/>
      <c r="BQ135" s="5265"/>
      <c r="BR135" s="5265"/>
      <c r="BS135" s="5265"/>
      <c r="BT135" s="5265"/>
      <c r="BU135" s="5265"/>
      <c r="BV135" s="5265"/>
      <c r="BW135" s="5265"/>
      <c r="BX135" s="5265">
        <f t="shared" si="210"/>
        <v>19</v>
      </c>
      <c r="BY135" s="5266">
        <f t="shared" si="256"/>
        <v>9.5</v>
      </c>
      <c r="CA135" s="169">
        <f t="shared" si="277"/>
        <v>0</v>
      </c>
      <c r="CB135" s="169">
        <f t="shared" si="205"/>
        <v>4.583333333333333</v>
      </c>
      <c r="CC135" s="169">
        <f>IFERROR(
  SUM(
    _xlfn.XLOOKUP(DATE(YEAR($A$1),1,1),$2:$2,135:135):
    _xlfn.XLOOKUP($A$1,$2:$2,135:135)
  )
 -SUM(
    _xlfn.XLOOKUP(DATE(YEAR($A$1)-1,1,1),$2:$2,135:135):
    _xlfn.XLOOKUP(EDATE($A$1,-12),$2:$2,135:135)
  ),"")</f>
        <v>3</v>
      </c>
      <c r="CD135" s="4517">
        <f t="shared" si="278"/>
        <v>-1</v>
      </c>
    </row>
    <row r="136" spans="1:82" ht="17.600000000000001" x14ac:dyDescent="0.55000000000000004">
      <c r="A136" s="7383"/>
      <c r="B136" s="2062"/>
      <c r="C136" s="5258" t="s">
        <v>219</v>
      </c>
      <c r="D136" s="5260">
        <v>0</v>
      </c>
      <c r="E136" s="5260">
        <v>0</v>
      </c>
      <c r="F136" s="5260">
        <v>0</v>
      </c>
      <c r="G136" s="5260">
        <v>0</v>
      </c>
      <c r="H136" s="5260">
        <v>0</v>
      </c>
      <c r="I136" s="5260">
        <v>0</v>
      </c>
      <c r="J136" s="5260">
        <v>0</v>
      </c>
      <c r="K136" s="5260">
        <v>0</v>
      </c>
      <c r="L136" s="5260">
        <v>0</v>
      </c>
      <c r="M136" s="5260">
        <v>0</v>
      </c>
      <c r="N136" s="5260">
        <v>0</v>
      </c>
      <c r="O136" s="5260">
        <v>0</v>
      </c>
      <c r="P136" s="5260">
        <f t="shared" si="233"/>
        <v>0</v>
      </c>
      <c r="Q136" s="5261">
        <f t="shared" si="234"/>
        <v>0</v>
      </c>
      <c r="R136" s="2776">
        <v>0</v>
      </c>
      <c r="S136" s="5275">
        <v>0</v>
      </c>
      <c r="T136" s="5260">
        <v>0</v>
      </c>
      <c r="U136" s="5260">
        <v>0</v>
      </c>
      <c r="V136" s="5260">
        <v>0</v>
      </c>
      <c r="W136" s="5260">
        <v>0</v>
      </c>
      <c r="X136" s="5260">
        <v>0</v>
      </c>
      <c r="Y136" s="5260">
        <v>0</v>
      </c>
      <c r="Z136" s="5260">
        <v>0</v>
      </c>
      <c r="AA136" s="5260">
        <v>0</v>
      </c>
      <c r="AB136" s="5260">
        <v>0</v>
      </c>
      <c r="AC136" s="5260">
        <v>0</v>
      </c>
      <c r="AD136" s="5260">
        <v>0</v>
      </c>
      <c r="AE136" s="5260">
        <f t="shared" si="260"/>
        <v>0</v>
      </c>
      <c r="AF136" s="5261">
        <f t="shared" si="261"/>
        <v>0</v>
      </c>
      <c r="AG136" s="2776"/>
      <c r="AH136" s="5275">
        <v>4</v>
      </c>
      <c r="AI136" s="5260">
        <v>5</v>
      </c>
      <c r="AJ136" s="5260">
        <v>4</v>
      </c>
      <c r="AK136" s="5260">
        <v>5</v>
      </c>
      <c r="AL136" s="5260">
        <v>3</v>
      </c>
      <c r="AM136" s="5260">
        <v>4</v>
      </c>
      <c r="AN136" s="5328"/>
      <c r="AO136" s="5328"/>
      <c r="AP136" s="5328"/>
      <c r="AQ136" s="5328"/>
      <c r="AR136" s="5328"/>
      <c r="AS136" s="5328"/>
      <c r="AT136" s="5260">
        <f t="shared" si="228"/>
        <v>25</v>
      </c>
      <c r="AU136" s="5261">
        <f t="shared" si="279"/>
        <v>2.0833333333333335</v>
      </c>
      <c r="AV136" s="559" t="b">
        <v>1</v>
      </c>
      <c r="AW136" s="5329">
        <v>15</v>
      </c>
      <c r="AX136" s="5260">
        <v>10</v>
      </c>
      <c r="AY136" s="5260">
        <v>11</v>
      </c>
      <c r="AZ136" s="5260">
        <v>12</v>
      </c>
      <c r="BA136" s="5260">
        <v>9</v>
      </c>
      <c r="BB136" s="5260">
        <v>10</v>
      </c>
      <c r="BC136" s="5260">
        <v>11</v>
      </c>
      <c r="BD136" s="5260">
        <v>9</v>
      </c>
      <c r="BE136" s="5260">
        <v>10</v>
      </c>
      <c r="BF136" s="5260">
        <v>9</v>
      </c>
      <c r="BG136" s="5260">
        <v>9</v>
      </c>
      <c r="BH136" s="5260">
        <v>8</v>
      </c>
      <c r="BI136" s="5260">
        <f t="shared" si="209"/>
        <v>123</v>
      </c>
      <c r="BJ136" s="5261">
        <f t="shared" si="280"/>
        <v>10.25</v>
      </c>
      <c r="BL136" s="5330">
        <v>11</v>
      </c>
      <c r="BM136" s="5260">
        <v>12</v>
      </c>
      <c r="BN136" s="5260"/>
      <c r="BO136" s="5260"/>
      <c r="BP136" s="5260"/>
      <c r="BQ136" s="5260"/>
      <c r="BR136" s="5260"/>
      <c r="BS136" s="5260"/>
      <c r="BT136" s="5260"/>
      <c r="BU136" s="5260"/>
      <c r="BV136" s="5260"/>
      <c r="BW136" s="5260"/>
      <c r="BX136" s="5260">
        <f t="shared" si="210"/>
        <v>23</v>
      </c>
      <c r="BY136" s="5261">
        <f t="shared" si="256"/>
        <v>11.5</v>
      </c>
      <c r="CA136" s="169">
        <f t="shared" si="277"/>
        <v>2</v>
      </c>
      <c r="CB136" s="169">
        <f t="shared" si="205"/>
        <v>8.1666666666666661</v>
      </c>
      <c r="CC136" s="169">
        <f>IFERROR(
  SUM(
    _xlfn.XLOOKUP(DATE(YEAR($A$1),1,1),$2:$2,136:136):
    _xlfn.XLOOKUP($A$1,$2:$2,136:136)
  )
 -SUM(
    _xlfn.XLOOKUP(DATE(YEAR($A$1)-1,1,1),$2:$2,136:136):
    _xlfn.XLOOKUP(EDATE($A$1,-12),$2:$2,136:136)
  ),"")</f>
        <v>-2</v>
      </c>
      <c r="CD136" s="4517">
        <f t="shared" si="278"/>
        <v>1</v>
      </c>
    </row>
    <row r="137" spans="1:82" ht="18" thickBot="1" x14ac:dyDescent="0.6">
      <c r="A137" s="7384"/>
      <c r="B137" s="5268"/>
      <c r="C137" s="5269" t="s">
        <v>220</v>
      </c>
      <c r="D137" s="5271">
        <v>0</v>
      </c>
      <c r="E137" s="5271">
        <v>0</v>
      </c>
      <c r="F137" s="5271">
        <v>0</v>
      </c>
      <c r="G137" s="5271">
        <v>0</v>
      </c>
      <c r="H137" s="5271">
        <v>0</v>
      </c>
      <c r="I137" s="5271">
        <v>0</v>
      </c>
      <c r="J137" s="5271">
        <v>0</v>
      </c>
      <c r="K137" s="5271">
        <v>0</v>
      </c>
      <c r="L137" s="5271">
        <v>0</v>
      </c>
      <c r="M137" s="5271">
        <v>0</v>
      </c>
      <c r="N137" s="5271">
        <v>0</v>
      </c>
      <c r="O137" s="5271">
        <v>0</v>
      </c>
      <c r="P137" s="5271">
        <f t="shared" si="233"/>
        <v>0</v>
      </c>
      <c r="Q137" s="5272">
        <f t="shared" si="234"/>
        <v>0</v>
      </c>
      <c r="R137" s="2776">
        <v>0</v>
      </c>
      <c r="S137" s="5277">
        <v>0</v>
      </c>
      <c r="T137" s="5271">
        <v>0</v>
      </c>
      <c r="U137" s="5271">
        <v>0</v>
      </c>
      <c r="V137" s="5271">
        <v>0</v>
      </c>
      <c r="W137" s="5271">
        <v>0</v>
      </c>
      <c r="X137" s="5271">
        <v>0</v>
      </c>
      <c r="Y137" s="5271">
        <v>0</v>
      </c>
      <c r="Z137" s="5271">
        <v>0</v>
      </c>
      <c r="AA137" s="5271">
        <v>0</v>
      </c>
      <c r="AB137" s="5271">
        <v>0</v>
      </c>
      <c r="AC137" s="5271">
        <v>0</v>
      </c>
      <c r="AD137" s="5271">
        <v>0</v>
      </c>
      <c r="AE137" s="5271">
        <f t="shared" si="260"/>
        <v>0</v>
      </c>
      <c r="AF137" s="5272">
        <f t="shared" si="261"/>
        <v>0</v>
      </c>
      <c r="AG137" s="2776"/>
      <c r="AH137" s="5277">
        <v>5</v>
      </c>
      <c r="AI137" s="5271">
        <v>4</v>
      </c>
      <c r="AJ137" s="5271">
        <v>6</v>
      </c>
      <c r="AK137" s="5271">
        <v>5</v>
      </c>
      <c r="AL137" s="5271">
        <v>2</v>
      </c>
      <c r="AM137" s="5271">
        <v>2</v>
      </c>
      <c r="AN137" s="5328"/>
      <c r="AO137" s="5328"/>
      <c r="AP137" s="5328"/>
      <c r="AQ137" s="5328"/>
      <c r="AR137" s="5328"/>
      <c r="AS137" s="5328"/>
      <c r="AT137" s="5271">
        <f t="shared" si="228"/>
        <v>24</v>
      </c>
      <c r="AU137" s="5272">
        <f t="shared" si="279"/>
        <v>2</v>
      </c>
      <c r="AV137" s="559" t="b">
        <v>1</v>
      </c>
      <c r="AW137" s="5334">
        <v>6</v>
      </c>
      <c r="AX137" s="5271">
        <v>7</v>
      </c>
      <c r="AY137" s="5271">
        <v>7</v>
      </c>
      <c r="AZ137" s="5271">
        <v>10</v>
      </c>
      <c r="BA137" s="5271">
        <v>9</v>
      </c>
      <c r="BB137" s="5271">
        <v>7</v>
      </c>
      <c r="BC137" s="5271">
        <v>7</v>
      </c>
      <c r="BD137" s="5271">
        <v>8</v>
      </c>
      <c r="BE137" s="5271">
        <v>9</v>
      </c>
      <c r="BF137" s="5271">
        <v>11</v>
      </c>
      <c r="BG137" s="5271">
        <v>7</v>
      </c>
      <c r="BH137" s="5271">
        <v>9</v>
      </c>
      <c r="BI137" s="5271">
        <f t="shared" si="209"/>
        <v>97</v>
      </c>
      <c r="BJ137" s="5272">
        <f t="shared" si="280"/>
        <v>8.0833333333333339</v>
      </c>
      <c r="BL137" s="5335">
        <v>12</v>
      </c>
      <c r="BM137" s="5271">
        <v>7</v>
      </c>
      <c r="BN137" s="5271"/>
      <c r="BO137" s="5271"/>
      <c r="BP137" s="5271"/>
      <c r="BQ137" s="5271"/>
      <c r="BR137" s="5271"/>
      <c r="BS137" s="5271"/>
      <c r="BT137" s="5271"/>
      <c r="BU137" s="5271"/>
      <c r="BV137" s="5271"/>
      <c r="BW137" s="5271"/>
      <c r="BX137" s="5271">
        <f t="shared" si="210"/>
        <v>19</v>
      </c>
      <c r="BY137" s="5272">
        <f t="shared" si="256"/>
        <v>9.5</v>
      </c>
      <c r="CA137" s="169">
        <f t="shared" si="277"/>
        <v>0</v>
      </c>
      <c r="CB137" s="169">
        <f t="shared" si="205"/>
        <v>6.0833333333333339</v>
      </c>
      <c r="CC137" s="169">
        <f>IFERROR(
  SUM(
    _xlfn.XLOOKUP(DATE(YEAR($A$1),1,1),$2:$2,137:137):
    _xlfn.XLOOKUP($A$1,$2:$2,137:137)
  )
 -SUM(
    _xlfn.XLOOKUP(DATE(YEAR($A$1)-1,1,1),$2:$2,137:137):
    _xlfn.XLOOKUP(EDATE($A$1,-12),$2:$2,137:137)
  ),"")</f>
        <v>6</v>
      </c>
      <c r="CD137" s="4517">
        <f t="shared" si="278"/>
        <v>-5</v>
      </c>
    </row>
    <row r="138" spans="1:82" ht="6" customHeight="1" thickBot="1" x14ac:dyDescent="0.6">
      <c r="D138" s="2843"/>
      <c r="E138" s="2843"/>
      <c r="F138" s="2843"/>
      <c r="G138" s="2843"/>
      <c r="H138" s="2843"/>
      <c r="I138" s="2843"/>
      <c r="J138" s="2843"/>
      <c r="K138" s="2843"/>
      <c r="L138" s="2843"/>
      <c r="M138" s="2843"/>
      <c r="N138" s="2843"/>
      <c r="O138" s="2843"/>
      <c r="P138" s="2843"/>
      <c r="Q138" s="2843"/>
      <c r="R138" s="2776"/>
      <c r="S138" s="2843"/>
      <c r="T138" s="2843"/>
      <c r="U138" s="2843"/>
      <c r="V138" s="2843"/>
      <c r="W138" s="2843"/>
      <c r="X138" s="2843"/>
      <c r="Y138" s="2843"/>
      <c r="Z138" s="2843"/>
      <c r="AA138" s="2843"/>
      <c r="AB138" s="2843"/>
      <c r="AC138" s="2843"/>
      <c r="AD138" s="2843"/>
      <c r="AE138" s="2843"/>
      <c r="AF138" s="2843"/>
      <c r="AG138" s="2776"/>
      <c r="AH138" s="2843"/>
      <c r="AI138" s="2843"/>
      <c r="AJ138" s="2843"/>
      <c r="AK138" s="2843"/>
      <c r="AL138" s="2843"/>
      <c r="AM138" s="2843"/>
      <c r="AN138" s="2843"/>
      <c r="AO138" s="2843"/>
      <c r="AP138" s="2843"/>
      <c r="AQ138" s="2843"/>
      <c r="AR138" s="2843"/>
      <c r="AS138" s="2843"/>
      <c r="AT138" s="2843">
        <f t="shared" si="228"/>
        <v>0</v>
      </c>
      <c r="AU138" s="2843">
        <f t="shared" si="279"/>
        <v>0</v>
      </c>
      <c r="AW138" s="2843"/>
      <c r="AX138" s="2843"/>
      <c r="AY138" s="2843"/>
      <c r="AZ138" s="2843"/>
      <c r="BA138" s="2843"/>
      <c r="BB138" s="2843"/>
      <c r="BC138" s="2843"/>
      <c r="BD138" s="2843"/>
      <c r="BE138" s="2843"/>
      <c r="BF138" s="2843"/>
      <c r="BG138" s="2843"/>
      <c r="BH138" s="2843"/>
      <c r="BI138" s="2843"/>
      <c r="BJ138" s="2843"/>
      <c r="BL138" s="2843"/>
      <c r="BM138" s="2843"/>
      <c r="BN138" s="2843"/>
      <c r="BO138" s="2843"/>
      <c r="BP138" s="2843"/>
      <c r="BQ138" s="2843"/>
      <c r="BR138" s="2843"/>
      <c r="BS138" s="2843"/>
      <c r="BT138" s="2843"/>
      <c r="BU138" s="2843"/>
      <c r="BV138" s="2843"/>
      <c r="BW138" s="2843"/>
      <c r="BX138" s="2843"/>
      <c r="CA138" s="169">
        <f t="shared" si="277"/>
        <v>0</v>
      </c>
      <c r="CB138" s="169">
        <f t="shared" si="205"/>
        <v>0</v>
      </c>
      <c r="CC138" s="169">
        <f>IFERROR(
  SUM(
    _xlfn.XLOOKUP(DATE(YEAR($A$1),1,1),$2:$2,138:138):
    _xlfn.XLOOKUP($A$1,$2:$2,138:138)
  )
 -SUM(
    _xlfn.XLOOKUP(DATE(YEAR($A$1)-1,1,1),$2:$2,138:138):
    _xlfn.XLOOKUP(EDATE($A$1,-12),$2:$2,138:138)
  ),"")</f>
        <v>0</v>
      </c>
      <c r="CD138" s="4517">
        <f t="shared" si="278"/>
        <v>0</v>
      </c>
    </row>
    <row r="139" spans="1:82" ht="17.600000000000001" x14ac:dyDescent="0.55000000000000004">
      <c r="A139" s="7382" t="s">
        <v>382</v>
      </c>
      <c r="B139" s="857" t="s">
        <v>242</v>
      </c>
      <c r="C139" s="858"/>
      <c r="D139" s="5341">
        <v>59.988235294117644</v>
      </c>
      <c r="E139" s="5342">
        <v>60.15234375</v>
      </c>
      <c r="F139" s="5342">
        <v>55.945525291828794</v>
      </c>
      <c r="G139" s="5342">
        <v>57.96551724137931</v>
      </c>
      <c r="H139" s="5342">
        <v>56.423664122137403</v>
      </c>
      <c r="I139" s="5342">
        <v>65.760617760617762</v>
      </c>
      <c r="J139" s="5342">
        <v>53.087786259541986</v>
      </c>
      <c r="K139" s="5342">
        <v>78.542307692307688</v>
      </c>
      <c r="L139" s="5342">
        <v>49.152671755725194</v>
      </c>
      <c r="M139" s="5342">
        <v>78.406130268199234</v>
      </c>
      <c r="N139" s="5342">
        <v>57.160919540229884</v>
      </c>
      <c r="O139" s="5342">
        <v>49.33984375</v>
      </c>
      <c r="P139" s="5342">
        <f>SUM(D139:O139)</f>
        <v>721.92556272608499</v>
      </c>
      <c r="Q139" s="5343">
        <f>SUM(D139:O139)/12</f>
        <v>60.160463560507083</v>
      </c>
      <c r="R139" s="2776"/>
      <c r="S139" s="5341">
        <v>53.772200772200769</v>
      </c>
      <c r="T139" s="5342">
        <v>73.154440154440152</v>
      </c>
      <c r="U139" s="5342">
        <v>59.074803149606296</v>
      </c>
      <c r="V139" s="5342">
        <v>55.554263565891475</v>
      </c>
      <c r="W139" s="5342">
        <v>61.236434108527135</v>
      </c>
      <c r="X139" s="5342">
        <v>58.147859922178988</v>
      </c>
      <c r="Y139" s="5342">
        <v>51.471042471042473</v>
      </c>
      <c r="Z139" s="5342">
        <v>89.58754863813229</v>
      </c>
      <c r="AA139" s="5342">
        <v>42.836575875486382</v>
      </c>
      <c r="AB139" s="5342">
        <v>80.250980392156862</v>
      </c>
      <c r="AC139" s="5342">
        <v>54.074803149606296</v>
      </c>
      <c r="AD139" s="5342">
        <v>46.426877470355734</v>
      </c>
      <c r="AE139" s="5342">
        <f>SUM(S139:AD139)</f>
        <v>725.58782966962485</v>
      </c>
      <c r="AF139" s="5343">
        <f>AE139/12</f>
        <v>60.46565247246874</v>
      </c>
      <c r="AG139" s="2776"/>
      <c r="AH139" s="5344">
        <v>91.407114624505923</v>
      </c>
      <c r="AI139" s="5345">
        <v>57.627450980392155</v>
      </c>
      <c r="AJ139" s="5345">
        <v>62.796812749003983</v>
      </c>
      <c r="AK139" s="5345">
        <v>60.773076923076921</v>
      </c>
      <c r="AL139" s="5345">
        <v>60.973282442748094</v>
      </c>
      <c r="AM139" s="5345">
        <v>54.270676691729321</v>
      </c>
      <c r="AN139" s="5345">
        <v>80.795539033457246</v>
      </c>
      <c r="AO139" s="5345">
        <v>59.992592592592594</v>
      </c>
      <c r="AP139" s="5345">
        <v>75.726937269372698</v>
      </c>
      <c r="AQ139" s="5345">
        <v>59.709558823529413</v>
      </c>
      <c r="AR139" s="5345">
        <v>55.306273062730625</v>
      </c>
      <c r="AS139" s="5345">
        <v>48.579335793357934</v>
      </c>
      <c r="AT139" s="5342">
        <f t="shared" si="228"/>
        <v>767.95865098649688</v>
      </c>
      <c r="AU139" s="5343">
        <f t="shared" si="279"/>
        <v>63.996554248874737</v>
      </c>
      <c r="AV139" s="555"/>
      <c r="AW139" s="5346">
        <v>43.860294117647058</v>
      </c>
      <c r="AX139" s="5345">
        <v>91.911764705882348</v>
      </c>
      <c r="AY139" s="5345">
        <v>63.736059479553901</v>
      </c>
      <c r="AZ139" s="5345">
        <v>85.328244274809165</v>
      </c>
      <c r="BA139" s="5345">
        <v>113.15891472868218</v>
      </c>
      <c r="BB139" s="5345">
        <v>70.233463035019454</v>
      </c>
      <c r="BC139" s="5342">
        <v>114.78346456692914</v>
      </c>
      <c r="BD139" s="5342">
        <v>69.224409448818903</v>
      </c>
      <c r="BE139" s="5342">
        <v>91.090909090909093</v>
      </c>
      <c r="BF139" s="5342">
        <v>71.604743083003953</v>
      </c>
      <c r="BG139" s="5342">
        <v>54.198412698412696</v>
      </c>
      <c r="BH139" s="5342">
        <v>46.966905681191399</v>
      </c>
      <c r="BI139" s="5342">
        <f>SUM(AW139:BH139)</f>
        <v>916.09758491085938</v>
      </c>
      <c r="BJ139" s="5343">
        <f t="shared" si="280"/>
        <v>76.341465409238282</v>
      </c>
      <c r="BK139" s="2881"/>
      <c r="BL139" s="5346">
        <v>78.238095238095241</v>
      </c>
      <c r="BM139" s="5345">
        <v>47.525691699604742</v>
      </c>
      <c r="BN139" s="5345"/>
      <c r="BO139" s="5345"/>
      <c r="BP139" s="5345"/>
      <c r="BQ139" s="5345"/>
      <c r="BR139" s="5342"/>
      <c r="BS139" s="5342"/>
      <c r="BT139" s="5342"/>
      <c r="BU139" s="5342"/>
      <c r="BV139" s="5342"/>
      <c r="BW139" s="5342"/>
      <c r="BX139" s="5342">
        <f>SUM(BL139:BW139)</f>
        <v>125.76378693769999</v>
      </c>
      <c r="BY139" s="5238">
        <f t="shared" ref="BY139:BY170" si="281">SUM(BL139:BW139)/MONTH($A$1)</f>
        <v>62.881893468849995</v>
      </c>
      <c r="BZ139" s="2881"/>
      <c r="CA139" s="169">
        <f t="shared" si="277"/>
        <v>-44.386073006277606</v>
      </c>
      <c r="CB139" s="169">
        <f t="shared" si="205"/>
        <v>12.344911160363544</v>
      </c>
      <c r="CC139" s="169">
        <f>IFERROR(
  SUM(
    _xlfn.XLOOKUP(DATE(YEAR($A$1),1,1),$2:$2,139:139):
    _xlfn.XLOOKUP($A$1,$2:$2,139:139)
  )
 -SUM(
    _xlfn.XLOOKUP(DATE(YEAR($A$1)-1,1,1),$2:$2,139:139):
    _xlfn.XLOOKUP(EDATE($A$1,-12),$2:$2,139:139)
  ),"")</f>
        <v>-10.008271885829402</v>
      </c>
      <c r="CD139" s="4517">
        <f t="shared" si="278"/>
        <v>-30.712403538490499</v>
      </c>
    </row>
    <row r="140" spans="1:82" ht="17.600000000000001" x14ac:dyDescent="0.55000000000000004">
      <c r="A140" s="7383"/>
      <c r="B140" s="2034" t="s">
        <v>206</v>
      </c>
      <c r="C140" s="1900"/>
      <c r="D140" s="5347">
        <v>60.023809523809526</v>
      </c>
      <c r="E140" s="5348">
        <v>56.883720930232556</v>
      </c>
      <c r="F140" s="5348">
        <v>52.186046511627907</v>
      </c>
      <c r="G140" s="5348">
        <v>50.955555555555556</v>
      </c>
      <c r="H140" s="5348">
        <v>50.666666666666664</v>
      </c>
      <c r="I140" s="5348">
        <v>57.116279069767444</v>
      </c>
      <c r="J140" s="5348">
        <v>49.177777777777777</v>
      </c>
      <c r="K140" s="5348">
        <v>72.75</v>
      </c>
      <c r="L140" s="5348">
        <v>43.866666666666667</v>
      </c>
      <c r="M140" s="5348">
        <v>73.11363636363636</v>
      </c>
      <c r="N140" s="5348">
        <v>50.613636363636367</v>
      </c>
      <c r="O140" s="5348">
        <v>44.418604651162788</v>
      </c>
      <c r="P140" s="5348">
        <f t="shared" ref="P140:P194" si="282">SUM(D140:O140)</f>
        <v>661.77240008053968</v>
      </c>
      <c r="Q140" s="5349">
        <f t="shared" ref="Q140:Q194" si="283">SUM(D140:O140)/12</f>
        <v>55.147700006711638</v>
      </c>
      <c r="R140" s="2776"/>
      <c r="S140" s="5347">
        <v>47.333333333333336</v>
      </c>
      <c r="T140" s="5348">
        <v>64.444444444444443</v>
      </c>
      <c r="U140" s="5348">
        <v>54.785714285714285</v>
      </c>
      <c r="V140" s="5348">
        <v>51.75</v>
      </c>
      <c r="W140" s="5348">
        <v>57.272727272727273</v>
      </c>
      <c r="X140" s="5348">
        <v>54.348837209302324</v>
      </c>
      <c r="Y140" s="5348">
        <v>46.130434782608695</v>
      </c>
      <c r="Z140" s="5348">
        <v>77.195652173913047</v>
      </c>
      <c r="AA140" s="5348">
        <v>36.847826086956523</v>
      </c>
      <c r="AB140" s="5348">
        <v>71.466666666666669</v>
      </c>
      <c r="AC140" s="5348">
        <v>49.955555555555556</v>
      </c>
      <c r="AD140" s="5348">
        <v>41.02325581395349</v>
      </c>
      <c r="AE140" s="5348">
        <f t="shared" ref="AE140:AE194" si="284">SUM(S140:AD140)</f>
        <v>652.5544476251755</v>
      </c>
      <c r="AF140" s="5349">
        <f t="shared" ref="AF140:AF194" si="285">AE140/12</f>
        <v>54.379537302097958</v>
      </c>
      <c r="AG140" s="2776"/>
      <c r="AH140" s="5350">
        <v>79.162790697674424</v>
      </c>
      <c r="AI140" s="5351">
        <v>48.717391304347828</v>
      </c>
      <c r="AJ140" s="5351">
        <v>56.333333333333336</v>
      </c>
      <c r="AK140" s="5351">
        <v>52.510204081632651</v>
      </c>
      <c r="AL140" s="5351">
        <v>52.816326530612244</v>
      </c>
      <c r="AM140" s="5351">
        <v>47.235294117647058</v>
      </c>
      <c r="AN140" s="5351">
        <v>71.807692307692307</v>
      </c>
      <c r="AO140" s="5351">
        <v>53.42307692307692</v>
      </c>
      <c r="AP140" s="5351">
        <v>68.25</v>
      </c>
      <c r="AQ140" s="5351">
        <v>52.245283018867923</v>
      </c>
      <c r="AR140" s="5351">
        <v>48.886792452830186</v>
      </c>
      <c r="AS140" s="5351">
        <v>43.452830188679243</v>
      </c>
      <c r="AT140" s="5348">
        <f t="shared" si="228"/>
        <v>674.84101495639413</v>
      </c>
      <c r="AU140" s="5349">
        <f t="shared" si="279"/>
        <v>56.236751246366175</v>
      </c>
      <c r="AV140" s="555"/>
      <c r="AW140" s="5352">
        <v>38.685185185185183</v>
      </c>
      <c r="AX140" s="5351">
        <v>77.129629629629633</v>
      </c>
      <c r="AY140" s="5351">
        <v>52.924528301886795</v>
      </c>
      <c r="AZ140" s="5351">
        <v>79.78</v>
      </c>
      <c r="BA140" s="5351">
        <v>106.16</v>
      </c>
      <c r="BB140" s="5351">
        <v>63.52</v>
      </c>
      <c r="BC140" s="5353">
        <v>103.20408163265306</v>
      </c>
      <c r="BD140" s="5348">
        <v>61.510204081632651</v>
      </c>
      <c r="BE140" s="5348">
        <v>81.204081632653057</v>
      </c>
      <c r="BF140" s="5348">
        <v>61.142857142857146</v>
      </c>
      <c r="BG140" s="5348">
        <v>48.306122448979593</v>
      </c>
      <c r="BH140" s="5348">
        <v>43.46</v>
      </c>
      <c r="BI140" s="5348">
        <f t="shared" ref="BI140:BI170" si="286">SUM(AW140:BH140)</f>
        <v>817.02669005547705</v>
      </c>
      <c r="BJ140" s="5349">
        <f t="shared" si="280"/>
        <v>68.085557504623083</v>
      </c>
      <c r="BK140" s="2881"/>
      <c r="BL140" s="5352">
        <v>70.367346938775512</v>
      </c>
      <c r="BM140" s="5351">
        <v>41.979591836734691</v>
      </c>
      <c r="BN140" s="5351"/>
      <c r="BO140" s="5351"/>
      <c r="BP140" s="5351"/>
      <c r="BQ140" s="5351"/>
      <c r="BR140" s="5353"/>
      <c r="BS140" s="5348"/>
      <c r="BT140" s="5348"/>
      <c r="BU140" s="5348"/>
      <c r="BV140" s="5348"/>
      <c r="BW140" s="5348"/>
      <c r="BX140" s="5348">
        <f t="shared" ref="BX140:BX170" si="287">SUM(BL140:BW140)</f>
        <v>112.34693877551021</v>
      </c>
      <c r="BY140" s="5244">
        <f t="shared" si="281"/>
        <v>56.173469387755105</v>
      </c>
      <c r="BZ140" s="4837"/>
      <c r="CA140" s="169">
        <f t="shared" si="277"/>
        <v>-35.150037792894942</v>
      </c>
      <c r="CB140" s="169">
        <f t="shared" si="205"/>
        <v>11.848806258256907</v>
      </c>
      <c r="CC140" s="169">
        <f>IFERROR(
  SUM(
    _xlfn.XLOOKUP(DATE(YEAR($A$1),1,1),$2:$2,140:140):
    _xlfn.XLOOKUP($A$1,$2:$2,140:140)
  )
 -SUM(
    _xlfn.XLOOKUP(DATE(YEAR($A$1)-1,1,1),$2:$2,140:140):
    _xlfn.XLOOKUP(EDATE($A$1,-12),$2:$2,140:140)
  ),"")</f>
        <v>-3.4678760393045991</v>
      </c>
      <c r="CD140" s="4517">
        <f t="shared" si="278"/>
        <v>-28.387755102040821</v>
      </c>
    </row>
    <row r="141" spans="1:82" ht="17.600000000000001" x14ac:dyDescent="0.55000000000000004">
      <c r="A141" s="7383"/>
      <c r="B141" s="2041" t="s">
        <v>207</v>
      </c>
      <c r="C141" s="1576"/>
      <c r="D141" s="5354">
        <v>57.674418604651166</v>
      </c>
      <c r="E141" s="5355">
        <v>59.071428571428569</v>
      </c>
      <c r="F141" s="5355">
        <v>51.428571428571431</v>
      </c>
      <c r="G141" s="5355">
        <v>60.642857142857146</v>
      </c>
      <c r="H141" s="5355">
        <v>59.023809523809526</v>
      </c>
      <c r="I141" s="5355">
        <v>64.642857142857139</v>
      </c>
      <c r="J141" s="5355">
        <v>53.904761904761905</v>
      </c>
      <c r="K141" s="5355">
        <v>77.952380952380949</v>
      </c>
      <c r="L141" s="5355">
        <v>51.232558139534881</v>
      </c>
      <c r="M141" s="5355">
        <v>82.906976744186053</v>
      </c>
      <c r="N141" s="5355">
        <v>57.651162790697676</v>
      </c>
      <c r="O141" s="5355">
        <v>48.341463414634148</v>
      </c>
      <c r="P141" s="5355">
        <f t="shared" si="282"/>
        <v>724.47324636037058</v>
      </c>
      <c r="Q141" s="5356">
        <f t="shared" si="283"/>
        <v>60.372770530030884</v>
      </c>
      <c r="R141" s="2776"/>
      <c r="S141" s="5354">
        <v>57.536585365853661</v>
      </c>
      <c r="T141" s="5355">
        <v>73</v>
      </c>
      <c r="U141" s="5355">
        <v>58.512195121951223</v>
      </c>
      <c r="V141" s="5355">
        <v>54.142857142857146</v>
      </c>
      <c r="W141" s="5355">
        <v>62.571428571428569</v>
      </c>
      <c r="X141" s="5355">
        <v>57.738095238095241</v>
      </c>
      <c r="Y141" s="5355">
        <v>52.238095238095241</v>
      </c>
      <c r="Z141" s="5355">
        <v>87.095238095238102</v>
      </c>
      <c r="AA141" s="5355">
        <v>42.19047619047619</v>
      </c>
      <c r="AB141" s="5355">
        <v>83.642857142857139</v>
      </c>
      <c r="AC141" s="5355">
        <v>54.878048780487802</v>
      </c>
      <c r="AD141" s="5355">
        <v>46.404761904761905</v>
      </c>
      <c r="AE141" s="5355">
        <f t="shared" si="284"/>
        <v>729.95063879210215</v>
      </c>
      <c r="AF141" s="5356">
        <f t="shared" si="285"/>
        <v>60.829219899341844</v>
      </c>
      <c r="AG141" s="2776"/>
      <c r="AH141" s="5357">
        <v>91.095238095238102</v>
      </c>
      <c r="AI141" s="5358">
        <v>56.333333333333336</v>
      </c>
      <c r="AJ141" s="5358">
        <v>62.357142857142854</v>
      </c>
      <c r="AK141" s="5358">
        <v>62.047619047619051</v>
      </c>
      <c r="AL141" s="5358">
        <v>63.302325581395351</v>
      </c>
      <c r="AM141" s="5358">
        <v>54.395348837209305</v>
      </c>
      <c r="AN141" s="5358">
        <v>79.044444444444451</v>
      </c>
      <c r="AO141" s="5358">
        <v>59.31111111111111</v>
      </c>
      <c r="AP141" s="5358">
        <v>76.644444444444446</v>
      </c>
      <c r="AQ141" s="5358">
        <v>59.93333333333333</v>
      </c>
      <c r="AR141" s="5358">
        <v>57.333333333333336</v>
      </c>
      <c r="AS141" s="5358">
        <v>49.422222222222224</v>
      </c>
      <c r="AT141" s="5355">
        <f t="shared" si="228"/>
        <v>771.21989664082685</v>
      </c>
      <c r="AU141" s="5356">
        <f t="shared" si="279"/>
        <v>64.268324720068904</v>
      </c>
      <c r="AV141" s="555"/>
      <c r="AW141" s="5359">
        <v>46.777777777777779</v>
      </c>
      <c r="AX141" s="5358">
        <v>92.13333333333334</v>
      </c>
      <c r="AY141" s="5358">
        <v>64.555555555555557</v>
      </c>
      <c r="AZ141" s="5358">
        <v>95.088888888888889</v>
      </c>
      <c r="BA141" s="5358">
        <v>131.46511627906978</v>
      </c>
      <c r="BB141" s="5358">
        <v>76.904761904761898</v>
      </c>
      <c r="BC141" s="5360">
        <v>118.92857142857143</v>
      </c>
      <c r="BD141" s="5355">
        <v>72.833333333333329</v>
      </c>
      <c r="BE141" s="5355">
        <v>99.121951219512198</v>
      </c>
      <c r="BF141" s="5355">
        <v>77.609756097560975</v>
      </c>
      <c r="BG141" s="5355">
        <v>55.585365853658537</v>
      </c>
      <c r="BH141" s="5355">
        <v>57.560975609756099</v>
      </c>
      <c r="BI141" s="5355">
        <f t="shared" si="286"/>
        <v>988.56538728177998</v>
      </c>
      <c r="BJ141" s="5356">
        <f t="shared" si="280"/>
        <v>82.380448940148327</v>
      </c>
      <c r="BK141" s="2881"/>
      <c r="BL141" s="5359">
        <v>80.88095238095238</v>
      </c>
      <c r="BM141" s="5358">
        <v>49.88095238095238</v>
      </c>
      <c r="BN141" s="5358"/>
      <c r="BO141" s="5358"/>
      <c r="BP141" s="5358"/>
      <c r="BQ141" s="5358"/>
      <c r="BR141" s="5360"/>
      <c r="BS141" s="5355"/>
      <c r="BT141" s="5355"/>
      <c r="BU141" s="5355"/>
      <c r="BV141" s="5355"/>
      <c r="BW141" s="5355"/>
      <c r="BX141" s="5355">
        <f t="shared" si="287"/>
        <v>130.76190476190476</v>
      </c>
      <c r="BY141" s="5247">
        <f t="shared" si="281"/>
        <v>65.38095238095238</v>
      </c>
      <c r="BZ141" s="4837"/>
      <c r="CA141" s="169">
        <f t="shared" si="277"/>
        <v>-42.25238095238096</v>
      </c>
      <c r="CB141" s="169">
        <f t="shared" si="205"/>
        <v>18.112124220079423</v>
      </c>
      <c r="CC141" s="169">
        <f>IFERROR(
  SUM(
    _xlfn.XLOOKUP(DATE(YEAR($A$1),1,1),$2:$2,141:141):
    _xlfn.XLOOKUP($A$1,$2:$2,141:141)
  )
 -SUM(
    _xlfn.XLOOKUP(DATE(YEAR($A$1)-1,1,1),$2:$2,141:141):
    _xlfn.XLOOKUP(EDATE($A$1,-12),$2:$2,141:141)
  ),"")</f>
        <v>-8.1492063492063664</v>
      </c>
      <c r="CD141" s="4517">
        <f t="shared" si="278"/>
        <v>-31</v>
      </c>
    </row>
    <row r="142" spans="1:82" ht="17.600000000000001" x14ac:dyDescent="0.55000000000000004">
      <c r="A142" s="7383"/>
      <c r="B142" s="2041" t="s">
        <v>208</v>
      </c>
      <c r="C142" s="1576"/>
      <c r="D142" s="5354">
        <v>61.92307692307692</v>
      </c>
      <c r="E142" s="5355">
        <v>60.82692307692308</v>
      </c>
      <c r="F142" s="5355">
        <v>60.384615384615387</v>
      </c>
      <c r="G142" s="5355">
        <v>63.480769230769234</v>
      </c>
      <c r="H142" s="5355">
        <v>62.53846153846154</v>
      </c>
      <c r="I142" s="5355">
        <v>71.730769230769226</v>
      </c>
      <c r="J142" s="5355">
        <v>57.283018867924525</v>
      </c>
      <c r="K142" s="5355">
        <v>81.301886792452834</v>
      </c>
      <c r="L142" s="5355">
        <v>56.150943396226417</v>
      </c>
      <c r="M142" s="5355">
        <v>87.09615384615384</v>
      </c>
      <c r="N142" s="5355">
        <v>65.211538461538467</v>
      </c>
      <c r="O142" s="5355">
        <v>56.098039215686278</v>
      </c>
      <c r="P142" s="5355">
        <f t="shared" si="282"/>
        <v>784.02619596459772</v>
      </c>
      <c r="Q142" s="5356">
        <f t="shared" si="283"/>
        <v>65.335516330383143</v>
      </c>
      <c r="R142" s="2776"/>
      <c r="S142" s="5354">
        <v>61.705882352941174</v>
      </c>
      <c r="T142" s="5355">
        <v>77.862745098039213</v>
      </c>
      <c r="U142" s="5355">
        <v>67.215686274509807</v>
      </c>
      <c r="V142" s="5355">
        <v>62.846153846153847</v>
      </c>
      <c r="W142" s="5355">
        <v>63.269230769230766</v>
      </c>
      <c r="X142" s="5355">
        <v>64.09615384615384</v>
      </c>
      <c r="Y142" s="5355">
        <v>56.942307692307693</v>
      </c>
      <c r="Z142" s="5355">
        <v>95.588235294117652</v>
      </c>
      <c r="AA142" s="5355">
        <v>47.117647058823529</v>
      </c>
      <c r="AB142" s="5355">
        <v>88.313725490196077</v>
      </c>
      <c r="AC142" s="5355">
        <v>60.372549019607845</v>
      </c>
      <c r="AD142" s="5355">
        <v>50.254901960784316</v>
      </c>
      <c r="AE142" s="5355">
        <f t="shared" si="284"/>
        <v>795.58521870286575</v>
      </c>
      <c r="AF142" s="5356">
        <f t="shared" si="285"/>
        <v>66.298768225238817</v>
      </c>
      <c r="AG142" s="2776"/>
      <c r="AH142" s="5357">
        <v>98.215686274509807</v>
      </c>
      <c r="AI142" s="5358">
        <v>68.294117647058826</v>
      </c>
      <c r="AJ142" s="5358">
        <v>68.254901960784309</v>
      </c>
      <c r="AK142" s="5358">
        <v>67.40384615384616</v>
      </c>
      <c r="AL142" s="5358">
        <v>68.365384615384613</v>
      </c>
      <c r="AM142" s="5358">
        <v>58.685185185185183</v>
      </c>
      <c r="AN142" s="5358">
        <v>85.773584905660371</v>
      </c>
      <c r="AO142" s="5358">
        <v>66.581818181818178</v>
      </c>
      <c r="AP142" s="5358">
        <v>79.181818181818187</v>
      </c>
      <c r="AQ142" s="5358">
        <v>68.63636363636364</v>
      </c>
      <c r="AR142" s="5358">
        <v>59.163636363636364</v>
      </c>
      <c r="AS142" s="5358">
        <v>52.618181818181817</v>
      </c>
      <c r="AT142" s="5355">
        <f t="shared" si="228"/>
        <v>841.17452492424752</v>
      </c>
      <c r="AU142" s="5356">
        <f t="shared" si="279"/>
        <v>70.097877077020627</v>
      </c>
      <c r="AV142" s="555"/>
      <c r="AW142" s="5359">
        <v>48.803571428571431</v>
      </c>
      <c r="AX142" s="5358">
        <v>98.732142857142861</v>
      </c>
      <c r="AY142" s="5358">
        <v>67.236363636363635</v>
      </c>
      <c r="AZ142" s="5358">
        <v>89.037735849056602</v>
      </c>
      <c r="BA142" s="5358">
        <v>119.43396226415095</v>
      </c>
      <c r="BB142" s="5358">
        <v>77.924528301886795</v>
      </c>
      <c r="BC142" s="5360">
        <v>120.21153846153847</v>
      </c>
      <c r="BD142" s="5355">
        <v>75.057692307692307</v>
      </c>
      <c r="BE142" s="5355">
        <v>97.40384615384616</v>
      </c>
      <c r="BF142" s="5355">
        <v>75.5</v>
      </c>
      <c r="BG142" s="5355">
        <v>58.529411764705884</v>
      </c>
      <c r="BH142" s="5355">
        <v>54.392156862745097</v>
      </c>
      <c r="BI142" s="5355">
        <f t="shared" si="286"/>
        <v>982.26294988770007</v>
      </c>
      <c r="BJ142" s="5356">
        <f t="shared" si="280"/>
        <v>81.855245823975011</v>
      </c>
      <c r="BK142" s="2881"/>
      <c r="BL142" s="5359">
        <v>83.52</v>
      </c>
      <c r="BM142" s="5358">
        <v>51.88</v>
      </c>
      <c r="BN142" s="5358"/>
      <c r="BO142" s="5358"/>
      <c r="BP142" s="5358"/>
      <c r="BQ142" s="5358"/>
      <c r="BR142" s="5360"/>
      <c r="BS142" s="5355"/>
      <c r="BT142" s="5355"/>
      <c r="BU142" s="5355"/>
      <c r="BV142" s="5355"/>
      <c r="BW142" s="5355"/>
      <c r="BX142" s="5355">
        <f t="shared" si="287"/>
        <v>135.4</v>
      </c>
      <c r="BY142" s="5247">
        <f t="shared" si="281"/>
        <v>67.7</v>
      </c>
      <c r="BZ142" s="4837"/>
      <c r="CA142" s="169">
        <f t="shared" si="277"/>
        <v>-46.852142857142859</v>
      </c>
      <c r="CB142" s="169">
        <f t="shared" si="205"/>
        <v>11.757368746954384</v>
      </c>
      <c r="CC142" s="169">
        <f>IFERROR(
  SUM(
    _xlfn.XLOOKUP(DATE(YEAR($A$1),1,1),$2:$2,142:142):
    _xlfn.XLOOKUP($A$1,$2:$2,142:142)
  )
 -SUM(
    _xlfn.XLOOKUP(DATE(YEAR($A$1)-1,1,1),$2:$2,142:142):
    _xlfn.XLOOKUP(EDATE($A$1,-12),$2:$2,142:142)
  ),"")</f>
        <v>-12.135714285714272</v>
      </c>
      <c r="CD142" s="4517">
        <f t="shared" si="278"/>
        <v>-31.639999999999993</v>
      </c>
    </row>
    <row r="143" spans="1:82" ht="17.600000000000001" x14ac:dyDescent="0.55000000000000004">
      <c r="A143" s="7383"/>
      <c r="B143" s="2041" t="s">
        <v>209</v>
      </c>
      <c r="C143" s="1576"/>
      <c r="D143" s="5354">
        <v>65.573770491803273</v>
      </c>
      <c r="E143" s="5355">
        <v>65.967741935483872</v>
      </c>
      <c r="F143" s="5355">
        <v>59.873015873015873</v>
      </c>
      <c r="G143" s="5355">
        <v>61.046875</v>
      </c>
      <c r="H143" s="5355">
        <v>58.430769230769229</v>
      </c>
      <c r="I143" s="5355">
        <v>71.046153846153842</v>
      </c>
      <c r="J143" s="5355">
        <v>55.646153846153844</v>
      </c>
      <c r="K143" s="5355">
        <v>85.140625</v>
      </c>
      <c r="L143" s="5355">
        <v>50.078125</v>
      </c>
      <c r="M143" s="5355">
        <v>77.461538461538467</v>
      </c>
      <c r="N143" s="5355">
        <v>60.476923076923079</v>
      </c>
      <c r="O143" s="5355">
        <v>51.828125</v>
      </c>
      <c r="P143" s="5355">
        <f t="shared" si="282"/>
        <v>762.56981676184148</v>
      </c>
      <c r="Q143" s="5356">
        <f t="shared" si="283"/>
        <v>63.547484730153457</v>
      </c>
      <c r="R143" s="2776"/>
      <c r="S143" s="5354">
        <v>56.476923076923079</v>
      </c>
      <c r="T143" s="5355">
        <v>80.061538461538461</v>
      </c>
      <c r="U143" s="5355">
        <v>60.968253968253968</v>
      </c>
      <c r="V143" s="5355">
        <v>57.640625</v>
      </c>
      <c r="W143" s="5355">
        <v>64.140625</v>
      </c>
      <c r="X143" s="5355">
        <v>61.3125</v>
      </c>
      <c r="Y143" s="5355">
        <v>52</v>
      </c>
      <c r="Z143" s="5355">
        <v>100.30645161290323</v>
      </c>
      <c r="AA143" s="5355">
        <v>46.354838709677416</v>
      </c>
      <c r="AB143" s="5355">
        <v>82.774193548387103</v>
      </c>
      <c r="AC143" s="5355">
        <v>54.770491803278688</v>
      </c>
      <c r="AD143" s="5355">
        <v>48.967213114754095</v>
      </c>
      <c r="AE143" s="5355">
        <f t="shared" si="284"/>
        <v>765.77365429571614</v>
      </c>
      <c r="AF143" s="5356">
        <f t="shared" si="285"/>
        <v>63.814471191309678</v>
      </c>
      <c r="AG143" s="2776"/>
      <c r="AH143" s="5357">
        <v>103.80327868852459</v>
      </c>
      <c r="AI143" s="5358">
        <v>62.56666666666667</v>
      </c>
      <c r="AJ143" s="5358">
        <v>67.45</v>
      </c>
      <c r="AK143" s="5358">
        <v>65.147540983606561</v>
      </c>
      <c r="AL143" s="5358">
        <v>67.483333333333334</v>
      </c>
      <c r="AM143" s="5358">
        <v>59.704918032786885</v>
      </c>
      <c r="AN143" s="5358">
        <v>92.098360655737707</v>
      </c>
      <c r="AO143" s="5358">
        <v>65.45</v>
      </c>
      <c r="AP143" s="5358">
        <v>83.416666666666671</v>
      </c>
      <c r="AQ143" s="5358">
        <v>64.733333333333334</v>
      </c>
      <c r="AR143" s="5358">
        <v>61.067796610169495</v>
      </c>
      <c r="AS143" s="5358">
        <v>51.65</v>
      </c>
      <c r="AT143" s="5355">
        <f t="shared" si="228"/>
        <v>844.57189497082527</v>
      </c>
      <c r="AU143" s="5356">
        <f t="shared" si="279"/>
        <v>70.380991247568772</v>
      </c>
      <c r="AV143" s="555"/>
      <c r="AW143" s="5359">
        <v>44.779661016949156</v>
      </c>
      <c r="AX143" s="5358">
        <v>107.35593220338983</v>
      </c>
      <c r="AY143" s="5358">
        <v>74.982758620689651</v>
      </c>
      <c r="AZ143" s="5358">
        <v>94.578947368421055</v>
      </c>
      <c r="BA143" s="5358">
        <v>115.45614035087719</v>
      </c>
      <c r="BB143" s="5358">
        <v>76.280701754385959</v>
      </c>
      <c r="BC143" s="5360">
        <v>128.54385964912279</v>
      </c>
      <c r="BD143" s="5355">
        <v>74.929824561403507</v>
      </c>
      <c r="BE143" s="5355">
        <v>96.245614035087726</v>
      </c>
      <c r="BF143" s="5355">
        <v>81.228070175438603</v>
      </c>
      <c r="BG143" s="5355">
        <v>59.017543859649123</v>
      </c>
      <c r="BH143" s="5355">
        <v>53.912280701754383</v>
      </c>
      <c r="BI143" s="5355">
        <f t="shared" si="286"/>
        <v>1007.311334297169</v>
      </c>
      <c r="BJ143" s="5356">
        <f t="shared" si="280"/>
        <v>83.942611191430743</v>
      </c>
      <c r="BK143" s="2881"/>
      <c r="BL143" s="5359">
        <v>83.438596491228068</v>
      </c>
      <c r="BM143" s="5358">
        <v>48.844827586206897</v>
      </c>
      <c r="BN143" s="5358"/>
      <c r="BO143" s="5358"/>
      <c r="BP143" s="5358"/>
      <c r="BQ143" s="5358"/>
      <c r="BR143" s="5360"/>
      <c r="BS143" s="5355"/>
      <c r="BT143" s="5355"/>
      <c r="BU143" s="5355"/>
      <c r="BV143" s="5355"/>
      <c r="BW143" s="5355"/>
      <c r="BX143" s="5355">
        <f t="shared" si="287"/>
        <v>132.28342407743497</v>
      </c>
      <c r="BY143" s="5247">
        <f t="shared" si="281"/>
        <v>66.141712038717486</v>
      </c>
      <c r="BZ143" s="4837"/>
      <c r="CA143" s="169">
        <f t="shared" si="277"/>
        <v>-58.51110461718293</v>
      </c>
      <c r="CB143" s="169">
        <f t="shared" ref="CB143:CB203" si="288">BJ143-AU143</f>
        <v>13.56161994386197</v>
      </c>
      <c r="CC143" s="169">
        <f>IFERROR(
  SUM(
    _xlfn.XLOOKUP(DATE(YEAR($A$1),1,1),$2:$2,143:143):
    _xlfn.XLOOKUP($A$1,$2:$2,143:143)
  )
 -SUM(
    _xlfn.XLOOKUP(DATE(YEAR($A$1)-1,1,1),$2:$2,143:143):
    _xlfn.XLOOKUP(EDATE($A$1,-12),$2:$2,143:143)
  ),"")</f>
        <v>-19.852169142904017</v>
      </c>
      <c r="CD143" s="4517">
        <f t="shared" si="278"/>
        <v>-34.593768905021172</v>
      </c>
    </row>
    <row r="144" spans="1:82" ht="17.600000000000001" x14ac:dyDescent="0.55000000000000004">
      <c r="A144" s="7383"/>
      <c r="B144" s="2048" t="s">
        <v>210</v>
      </c>
      <c r="C144" s="1929"/>
      <c r="D144" s="5361">
        <v>53.964912280701753</v>
      </c>
      <c r="E144" s="5362">
        <v>56.473684210526315</v>
      </c>
      <c r="F144" s="5362">
        <v>53.719298245614034</v>
      </c>
      <c r="G144" s="5362">
        <v>53.120689655172413</v>
      </c>
      <c r="H144" s="5362">
        <v>51.275862068965516</v>
      </c>
      <c r="I144" s="5362">
        <v>61.631578947368418</v>
      </c>
      <c r="J144" s="5362">
        <v>48.754385964912281</v>
      </c>
      <c r="K144" s="5362">
        <v>73.473684210526315</v>
      </c>
      <c r="L144" s="5362">
        <v>44.210526315789473</v>
      </c>
      <c r="M144" s="5362">
        <v>72.245614035087726</v>
      </c>
      <c r="N144" s="5362">
        <v>50.719298245614034</v>
      </c>
      <c r="O144" s="5362">
        <v>44.929824561403507</v>
      </c>
      <c r="P144" s="5362">
        <f t="shared" si="282"/>
        <v>664.5193587416818</v>
      </c>
      <c r="Q144" s="5363">
        <f t="shared" si="283"/>
        <v>55.376613228473481</v>
      </c>
      <c r="R144" s="2776"/>
      <c r="S144" s="5361">
        <v>45.964912280701753</v>
      </c>
      <c r="T144" s="5362">
        <v>68.05263157894737</v>
      </c>
      <c r="U144" s="5362">
        <v>53.263157894736842</v>
      </c>
      <c r="V144" s="5362">
        <v>50.446428571428569</v>
      </c>
      <c r="W144" s="5362">
        <v>58.142857142857146</v>
      </c>
      <c r="X144" s="5362">
        <v>52.232142857142854</v>
      </c>
      <c r="Y144" s="5362">
        <v>49.607142857142854</v>
      </c>
      <c r="Z144" s="5362">
        <v>84.303571428571431</v>
      </c>
      <c r="AA144" s="5362">
        <v>40.446428571428569</v>
      </c>
      <c r="AB144" s="5362">
        <v>74.527272727272731</v>
      </c>
      <c r="AC144" s="5362">
        <v>50.303571428571431</v>
      </c>
      <c r="AD144" s="5362">
        <v>44.339285714285715</v>
      </c>
      <c r="AE144" s="5362">
        <f t="shared" si="284"/>
        <v>671.62940305308723</v>
      </c>
      <c r="AF144" s="5363">
        <f t="shared" si="285"/>
        <v>55.969116921090603</v>
      </c>
      <c r="AG144" s="2776"/>
      <c r="AH144" s="5364">
        <v>81.339285714285708</v>
      </c>
      <c r="AI144" s="5365">
        <v>50.910714285714285</v>
      </c>
      <c r="AJ144" s="5365">
        <v>58.017857142857146</v>
      </c>
      <c r="AK144" s="5365">
        <v>56.125</v>
      </c>
      <c r="AL144" s="5365">
        <v>52.775862068965516</v>
      </c>
      <c r="AM144" s="5365">
        <v>50.473684210526315</v>
      </c>
      <c r="AN144" s="5365">
        <v>73.775862068965523</v>
      </c>
      <c r="AO144" s="5365">
        <v>54.517241379310342</v>
      </c>
      <c r="AP144" s="5365">
        <v>70.576271186440678</v>
      </c>
      <c r="AQ144" s="5365">
        <v>52.813559322033896</v>
      </c>
      <c r="AR144" s="5365">
        <v>50.16949152542373</v>
      </c>
      <c r="AS144" s="5365">
        <v>45.603448275862071</v>
      </c>
      <c r="AT144" s="5362">
        <f t="shared" si="228"/>
        <v>697.09827718038525</v>
      </c>
      <c r="AU144" s="5363">
        <f t="shared" si="279"/>
        <v>58.091523098365435</v>
      </c>
      <c r="AV144" s="555"/>
      <c r="AW144" s="5366">
        <v>40.706896551724135</v>
      </c>
      <c r="AX144" s="5365">
        <v>83.206896551724142</v>
      </c>
      <c r="AY144" s="5365">
        <v>58.413793103448278</v>
      </c>
      <c r="AZ144" s="5365">
        <v>69.78947368421052</v>
      </c>
      <c r="BA144" s="5365">
        <v>96.781818181818181</v>
      </c>
      <c r="BB144" s="5365">
        <v>57.563636363636363</v>
      </c>
      <c r="BC144" s="5367">
        <v>102.31481481481481</v>
      </c>
      <c r="BD144" s="5362">
        <v>61.777777777777779</v>
      </c>
      <c r="BE144" s="5362">
        <v>82.444444444444443</v>
      </c>
      <c r="BF144" s="5362">
        <v>62.629629629629633</v>
      </c>
      <c r="BG144" s="5362">
        <v>49.314814814814817</v>
      </c>
      <c r="BH144" s="5362">
        <v>45.129629629629626</v>
      </c>
      <c r="BI144" s="5362">
        <f t="shared" si="286"/>
        <v>810.07362554767292</v>
      </c>
      <c r="BJ144" s="5363">
        <f t="shared" si="280"/>
        <v>67.506135462306077</v>
      </c>
      <c r="BK144" s="2881"/>
      <c r="BL144" s="5366">
        <v>72.944444444444443</v>
      </c>
      <c r="BM144" s="5365">
        <v>45.277777777777779</v>
      </c>
      <c r="BN144" s="5365"/>
      <c r="BO144" s="5365"/>
      <c r="BP144" s="5365"/>
      <c r="BQ144" s="5365"/>
      <c r="BR144" s="5367"/>
      <c r="BS144" s="5362"/>
      <c r="BT144" s="5362"/>
      <c r="BU144" s="5362"/>
      <c r="BV144" s="5362"/>
      <c r="BW144" s="5362"/>
      <c r="BX144" s="5362">
        <f t="shared" si="287"/>
        <v>118.22222222222223</v>
      </c>
      <c r="BY144" s="5251">
        <f t="shared" si="281"/>
        <v>59.111111111111114</v>
      </c>
      <c r="BZ144" s="4837"/>
      <c r="CA144" s="169">
        <f t="shared" si="277"/>
        <v>-37.929118773946364</v>
      </c>
      <c r="CB144" s="169">
        <f t="shared" si="288"/>
        <v>9.4146123639406412</v>
      </c>
      <c r="CC144" s="169">
        <f>IFERROR(
  SUM(
    _xlfn.XLOOKUP(DATE(YEAR($A$1),1,1),$2:$2,144:144):
    _xlfn.XLOOKUP($A$1,$2:$2,144:144)
  )
 -SUM(
    _xlfn.XLOOKUP(DATE(YEAR($A$1)-1,1,1),$2:$2,144:144):
    _xlfn.XLOOKUP(EDATE($A$1,-12),$2:$2,144:144)
  ),"")</f>
        <v>-5.6915708812260561</v>
      </c>
      <c r="CD144" s="4517">
        <f t="shared" si="278"/>
        <v>-27.666666666666664</v>
      </c>
    </row>
    <row r="145" spans="1:82" ht="17.600000000000001" x14ac:dyDescent="0.55000000000000004">
      <c r="A145" s="7383"/>
      <c r="B145" s="2055"/>
      <c r="C145" s="5253" t="s">
        <v>211</v>
      </c>
      <c r="D145" s="5368">
        <v>65.888888888888886</v>
      </c>
      <c r="E145" s="5368">
        <v>60.333333333333336</v>
      </c>
      <c r="F145" s="5368">
        <v>57.555555555555557</v>
      </c>
      <c r="G145" s="5368">
        <v>53</v>
      </c>
      <c r="H145" s="5368">
        <v>51.65</v>
      </c>
      <c r="I145" s="5368">
        <v>55.263157894736842</v>
      </c>
      <c r="J145" s="5368">
        <v>52.1</v>
      </c>
      <c r="K145" s="5368">
        <v>76.89473684210526</v>
      </c>
      <c r="L145" s="5368">
        <v>47.25</v>
      </c>
      <c r="M145" s="5368">
        <v>83.1</v>
      </c>
      <c r="N145" s="5368">
        <v>53.55</v>
      </c>
      <c r="O145" s="5368">
        <v>44.25</v>
      </c>
      <c r="P145" s="5368">
        <f t="shared" si="282"/>
        <v>700.83567251461989</v>
      </c>
      <c r="Q145" s="5369">
        <f t="shared" si="283"/>
        <v>58.402972709551655</v>
      </c>
      <c r="R145" s="2776"/>
      <c r="S145" s="5370">
        <v>50.666666666666664</v>
      </c>
      <c r="T145" s="5368">
        <v>69.61904761904762</v>
      </c>
      <c r="U145" s="5368">
        <v>63.631578947368418</v>
      </c>
      <c r="V145" s="5368">
        <v>56.428571428571431</v>
      </c>
      <c r="W145" s="5368">
        <v>61.095238095238095</v>
      </c>
      <c r="X145" s="5368">
        <v>57.45</v>
      </c>
      <c r="Y145" s="5368">
        <v>48.363636363636367</v>
      </c>
      <c r="Z145" s="5368">
        <v>79.590909090909093</v>
      </c>
      <c r="AA145" s="5368">
        <v>38.68181818181818</v>
      </c>
      <c r="AB145" s="5368">
        <v>73.86363636363636</v>
      </c>
      <c r="AC145" s="5368">
        <v>55.5</v>
      </c>
      <c r="AD145" s="5368">
        <v>47.2</v>
      </c>
      <c r="AE145" s="5368">
        <f t="shared" si="284"/>
        <v>702.09110275689216</v>
      </c>
      <c r="AF145" s="5369">
        <f t="shared" si="285"/>
        <v>58.507591896407682</v>
      </c>
      <c r="AG145" s="2776"/>
      <c r="AH145" s="5371">
        <v>79.349999999999994</v>
      </c>
      <c r="AI145" s="5372">
        <v>48.136363636363633</v>
      </c>
      <c r="AJ145" s="5372">
        <v>58.714285714285715</v>
      </c>
      <c r="AK145" s="5372">
        <v>55.166666666666664</v>
      </c>
      <c r="AL145" s="5372">
        <v>52.208333333333336</v>
      </c>
      <c r="AM145" s="5372">
        <v>45.64</v>
      </c>
      <c r="AN145" s="5373">
        <v>69.65384615384616</v>
      </c>
      <c r="AO145" s="5372">
        <v>50.07692307692308</v>
      </c>
      <c r="AP145" s="5372">
        <v>66.538461538461533</v>
      </c>
      <c r="AQ145" s="5372">
        <v>49.592592592592595</v>
      </c>
      <c r="AR145" s="5372">
        <v>46.925925925925924</v>
      </c>
      <c r="AS145" s="5372">
        <v>42.074074074074076</v>
      </c>
      <c r="AT145" s="5368">
        <f t="shared" si="228"/>
        <v>664.07747271247285</v>
      </c>
      <c r="AU145" s="5369">
        <f t="shared" si="279"/>
        <v>55.339789392706074</v>
      </c>
      <c r="AV145" s="555"/>
      <c r="AW145" s="5374">
        <v>38.074074074074076</v>
      </c>
      <c r="AX145" s="5372">
        <v>73.703703703703709</v>
      </c>
      <c r="AY145" s="5372">
        <v>52.384615384615387</v>
      </c>
      <c r="AZ145" s="5372">
        <v>83.56</v>
      </c>
      <c r="BA145" s="5372">
        <v>108.92</v>
      </c>
      <c r="BB145" s="5372">
        <v>66</v>
      </c>
      <c r="BC145" s="5375">
        <v>104.45833333333333</v>
      </c>
      <c r="BD145" s="5368">
        <v>60.458333333333336</v>
      </c>
      <c r="BE145" s="5368">
        <v>83.5</v>
      </c>
      <c r="BF145" s="5368">
        <v>60.291666666666664</v>
      </c>
      <c r="BG145" s="5368">
        <v>47.333333333333336</v>
      </c>
      <c r="BH145" s="5368">
        <v>45.625</v>
      </c>
      <c r="BI145" s="5368">
        <f t="shared" si="286"/>
        <v>824.30905982905995</v>
      </c>
      <c r="BJ145" s="5369">
        <f t="shared" si="280"/>
        <v>68.692421652421658</v>
      </c>
      <c r="BK145" s="2881"/>
      <c r="BL145" s="5374">
        <v>75.086956521739125</v>
      </c>
      <c r="BM145" s="5372">
        <v>43.434782608695649</v>
      </c>
      <c r="BN145" s="5372"/>
      <c r="BO145" s="5372"/>
      <c r="BP145" s="5372"/>
      <c r="BQ145" s="5372"/>
      <c r="BR145" s="5375"/>
      <c r="BS145" s="5368"/>
      <c r="BT145" s="5368"/>
      <c r="BU145" s="5368"/>
      <c r="BV145" s="5368"/>
      <c r="BW145" s="5368"/>
      <c r="BX145" s="5368">
        <f t="shared" si="287"/>
        <v>118.52173913043478</v>
      </c>
      <c r="BY145" s="5256">
        <f t="shared" si="281"/>
        <v>59.260869565217391</v>
      </c>
      <c r="BZ145" s="4837"/>
      <c r="CA145" s="169">
        <f t="shared" si="277"/>
        <v>-30.268921095008061</v>
      </c>
      <c r="CB145" s="169">
        <f t="shared" si="288"/>
        <v>13.352632259715584</v>
      </c>
      <c r="CC145" s="169">
        <f>IFERROR(
  SUM(
    _xlfn.XLOOKUP(DATE(YEAR($A$1),1,1),$2:$2,145:145):
    _xlfn.XLOOKUP($A$1,$2:$2,145:145)
  )
 -SUM(
    _xlfn.XLOOKUP(DATE(YEAR($A$1)-1,1,1),$2:$2,145:145):
    _xlfn.XLOOKUP(EDATE($A$1,-12),$2:$2,145:145)
  ),"")</f>
        <v>6.7439613526569957</v>
      </c>
      <c r="CD145" s="4517">
        <f t="shared" si="278"/>
        <v>-31.652173913043477</v>
      </c>
    </row>
    <row r="146" spans="1:82" ht="17.600000000000001" x14ac:dyDescent="0.55000000000000004">
      <c r="A146" s="7383"/>
      <c r="B146" s="2062"/>
      <c r="C146" s="5258" t="s">
        <v>212</v>
      </c>
      <c r="D146" s="5376">
        <v>55.625</v>
      </c>
      <c r="E146" s="5376">
        <v>54.4</v>
      </c>
      <c r="F146" s="5376">
        <v>48.32</v>
      </c>
      <c r="G146" s="5376">
        <v>49.32</v>
      </c>
      <c r="H146" s="5376">
        <v>49.88</v>
      </c>
      <c r="I146" s="5376">
        <v>58.583333333333336</v>
      </c>
      <c r="J146" s="5376">
        <v>46.84</v>
      </c>
      <c r="K146" s="5376">
        <v>69.599999999999994</v>
      </c>
      <c r="L146" s="5376">
        <v>41.16</v>
      </c>
      <c r="M146" s="5376">
        <v>64.791666666666671</v>
      </c>
      <c r="N146" s="5376">
        <v>48.166666666666664</v>
      </c>
      <c r="O146" s="5376">
        <v>44.565217391304351</v>
      </c>
      <c r="P146" s="5376">
        <f t="shared" si="282"/>
        <v>631.25188405797098</v>
      </c>
      <c r="Q146" s="5377">
        <f t="shared" si="283"/>
        <v>52.604323671497582</v>
      </c>
      <c r="R146" s="2776"/>
      <c r="S146" s="5378">
        <v>44.416666666666664</v>
      </c>
      <c r="T146" s="5376">
        <v>59.916666666666664</v>
      </c>
      <c r="U146" s="5376">
        <v>47.478260869565219</v>
      </c>
      <c r="V146" s="5376">
        <v>47.478260869565219</v>
      </c>
      <c r="W146" s="5376">
        <v>53.782608695652172</v>
      </c>
      <c r="X146" s="5376">
        <v>51.652173913043477</v>
      </c>
      <c r="Y146" s="5376">
        <v>44.083333333333336</v>
      </c>
      <c r="Z146" s="5376">
        <v>75</v>
      </c>
      <c r="AA146" s="5376">
        <v>35.166666666666664</v>
      </c>
      <c r="AB146" s="5376">
        <v>69.173913043478265</v>
      </c>
      <c r="AC146" s="5376">
        <v>44.652173913043477</v>
      </c>
      <c r="AD146" s="5376">
        <v>35.652173913043477</v>
      </c>
      <c r="AE146" s="5376">
        <f t="shared" si="284"/>
        <v>608.45289855072474</v>
      </c>
      <c r="AF146" s="5377">
        <f t="shared" si="285"/>
        <v>50.704408212560395</v>
      </c>
      <c r="AG146" s="2776"/>
      <c r="AH146" s="5379">
        <v>79</v>
      </c>
      <c r="AI146" s="5380">
        <v>49.25</v>
      </c>
      <c r="AJ146" s="5380">
        <v>53.952380952380949</v>
      </c>
      <c r="AK146" s="5380">
        <v>49.96</v>
      </c>
      <c r="AL146" s="5380">
        <v>53.4</v>
      </c>
      <c r="AM146" s="5380">
        <v>48.769230769230766</v>
      </c>
      <c r="AN146" s="5381">
        <v>73.961538461538467</v>
      </c>
      <c r="AO146" s="5380">
        <v>56.769230769230766</v>
      </c>
      <c r="AP146" s="5380">
        <v>69.961538461538467</v>
      </c>
      <c r="AQ146" s="5380">
        <v>55</v>
      </c>
      <c r="AR146" s="5380">
        <v>50.92307692307692</v>
      </c>
      <c r="AS146" s="5380">
        <v>44.884615384615387</v>
      </c>
      <c r="AT146" s="5376">
        <f t="shared" si="228"/>
        <v>685.83161172161169</v>
      </c>
      <c r="AU146" s="5377">
        <f t="shared" si="279"/>
        <v>57.15263431013431</v>
      </c>
      <c r="AV146" s="555"/>
      <c r="AW146" s="5382">
        <v>39.296296296296298</v>
      </c>
      <c r="AX146" s="5380">
        <v>80.555555555555557</v>
      </c>
      <c r="AY146" s="5380">
        <v>53.444444444444443</v>
      </c>
      <c r="AZ146" s="5380">
        <v>76</v>
      </c>
      <c r="BA146" s="5380">
        <v>103.4</v>
      </c>
      <c r="BB146" s="5380">
        <v>61.04</v>
      </c>
      <c r="BC146" s="5383">
        <v>102</v>
      </c>
      <c r="BD146" s="5376">
        <v>62.52</v>
      </c>
      <c r="BE146" s="5376">
        <v>79</v>
      </c>
      <c r="BF146" s="5376">
        <v>61.96</v>
      </c>
      <c r="BG146" s="5376">
        <v>49.24</v>
      </c>
      <c r="BH146" s="5376">
        <v>41.46153846153846</v>
      </c>
      <c r="BI146" s="5376">
        <f t="shared" si="286"/>
        <v>809.91783475783484</v>
      </c>
      <c r="BJ146" s="5377">
        <f t="shared" si="280"/>
        <v>67.493152896486237</v>
      </c>
      <c r="BK146" s="2881"/>
      <c r="BL146" s="5382">
        <v>66.192307692307693</v>
      </c>
      <c r="BM146" s="5380">
        <v>40.692307692307693</v>
      </c>
      <c r="BN146" s="5380"/>
      <c r="BO146" s="5380"/>
      <c r="BP146" s="5380"/>
      <c r="BQ146" s="5380"/>
      <c r="BR146" s="5383"/>
      <c r="BS146" s="5376"/>
      <c r="BT146" s="5376"/>
      <c r="BU146" s="5376"/>
      <c r="BV146" s="5376"/>
      <c r="BW146" s="5376"/>
      <c r="BX146" s="5376">
        <f t="shared" si="287"/>
        <v>106.88461538461539</v>
      </c>
      <c r="BY146" s="5261">
        <f t="shared" si="281"/>
        <v>53.442307692307693</v>
      </c>
      <c r="BZ146" s="4837"/>
      <c r="CA146" s="169">
        <f t="shared" si="277"/>
        <v>-39.863247863247864</v>
      </c>
      <c r="CB146" s="169">
        <f t="shared" si="288"/>
        <v>10.340518586351926</v>
      </c>
      <c r="CC146" s="169">
        <f>IFERROR(
  SUM(
    _xlfn.XLOOKUP(DATE(YEAR($A$1),1,1),$2:$2,146:146):
    _xlfn.XLOOKUP($A$1,$2:$2,146:146)
  )
 -SUM(
    _xlfn.XLOOKUP(DATE(YEAR($A$1)-1,1,1),$2:$2,146:146):
    _xlfn.XLOOKUP(EDATE($A$1,-12),$2:$2,146:146)
  ),"")</f>
        <v>-12.967236467236461</v>
      </c>
      <c r="CD146" s="4517">
        <f t="shared" si="278"/>
        <v>-25.5</v>
      </c>
    </row>
    <row r="147" spans="1:82" ht="17.600000000000001" x14ac:dyDescent="0.55000000000000004">
      <c r="A147" s="7383"/>
      <c r="B147" s="2062"/>
      <c r="C147" s="5263" t="s">
        <v>213</v>
      </c>
      <c r="D147" s="5384">
        <v>52.666666666666664</v>
      </c>
      <c r="E147" s="5384">
        <v>59.411764705882355</v>
      </c>
      <c r="F147" s="5384">
        <v>51.588235294117645</v>
      </c>
      <c r="G147" s="5384">
        <v>63.941176470588232</v>
      </c>
      <c r="H147" s="5384">
        <v>59.529411764705884</v>
      </c>
      <c r="I147" s="5384">
        <v>65.294117647058826</v>
      </c>
      <c r="J147" s="5384">
        <v>56.470588235294116</v>
      </c>
      <c r="K147" s="5384">
        <v>80.882352941176464</v>
      </c>
      <c r="L147" s="5384">
        <v>53.611111111111114</v>
      </c>
      <c r="M147" s="5384">
        <v>87</v>
      </c>
      <c r="N147" s="5384">
        <v>59.833333333333336</v>
      </c>
      <c r="O147" s="5384">
        <v>52.5625</v>
      </c>
      <c r="P147" s="5384">
        <f t="shared" si="282"/>
        <v>742.79125816993462</v>
      </c>
      <c r="Q147" s="5385">
        <f t="shared" si="283"/>
        <v>61.899271514161221</v>
      </c>
      <c r="R147" s="2776"/>
      <c r="S147" s="5386">
        <v>61.3125</v>
      </c>
      <c r="T147" s="5384">
        <v>73.875</v>
      </c>
      <c r="U147" s="5384">
        <v>61.125</v>
      </c>
      <c r="V147" s="5384">
        <v>51.117647058823529</v>
      </c>
      <c r="W147" s="5384">
        <v>68.705882352941174</v>
      </c>
      <c r="X147" s="5384">
        <v>59.058823529411768</v>
      </c>
      <c r="Y147" s="5384">
        <v>55.117647058823529</v>
      </c>
      <c r="Z147" s="5384">
        <v>88.764705882352942</v>
      </c>
      <c r="AA147" s="5384">
        <v>44.705882352941174</v>
      </c>
      <c r="AB147" s="5384">
        <v>90.588235294117652</v>
      </c>
      <c r="AC147" s="5384">
        <v>59.882352941176471</v>
      </c>
      <c r="AD147" s="5384">
        <v>48.882352941176471</v>
      </c>
      <c r="AE147" s="5384">
        <f t="shared" si="284"/>
        <v>763.13602941176475</v>
      </c>
      <c r="AF147" s="5385">
        <f t="shared" si="285"/>
        <v>63.594669117647065</v>
      </c>
      <c r="AG147" s="2776"/>
      <c r="AH147" s="5387">
        <v>104.41176470588235</v>
      </c>
      <c r="AI147" s="5388">
        <v>63.294117647058826</v>
      </c>
      <c r="AJ147" s="5388">
        <v>71.294117647058826</v>
      </c>
      <c r="AK147" s="5388">
        <v>73.75</v>
      </c>
      <c r="AL147" s="5388">
        <v>69.235294117647058</v>
      </c>
      <c r="AM147" s="5388">
        <v>61.352941176470587</v>
      </c>
      <c r="AN147" s="5389">
        <v>84.736842105263165</v>
      </c>
      <c r="AO147" s="5388">
        <v>63.421052631578945</v>
      </c>
      <c r="AP147" s="5388">
        <v>82.21052631578948</v>
      </c>
      <c r="AQ147" s="5388">
        <v>65.15789473684211</v>
      </c>
      <c r="AR147" s="5388">
        <v>59.842105263157897</v>
      </c>
      <c r="AS147" s="5388">
        <v>50.842105263157897</v>
      </c>
      <c r="AT147" s="5384">
        <f t="shared" si="228"/>
        <v>849.54876160990716</v>
      </c>
      <c r="AU147" s="5385">
        <f t="shared" si="279"/>
        <v>70.79573013415893</v>
      </c>
      <c r="AV147" s="555"/>
      <c r="AW147" s="5390">
        <v>48.421052631578938</v>
      </c>
      <c r="AX147" s="5388">
        <v>92.736842105263165</v>
      </c>
      <c r="AY147" s="5388">
        <v>66.315789473684205</v>
      </c>
      <c r="AZ147" s="5388">
        <v>109.63157894736842</v>
      </c>
      <c r="BA147" s="5388">
        <v>158.23529411764707</v>
      </c>
      <c r="BB147" s="5388">
        <v>86.235294117647058</v>
      </c>
      <c r="BC147" s="5391">
        <v>135.76470588235293</v>
      </c>
      <c r="BD147" s="5384">
        <v>79.117647058823536</v>
      </c>
      <c r="BE147" s="5384">
        <v>117.25</v>
      </c>
      <c r="BF147" s="5384">
        <v>89.25</v>
      </c>
      <c r="BG147" s="5384">
        <v>62.5</v>
      </c>
      <c r="BH147" s="5384">
        <v>67.125</v>
      </c>
      <c r="BI147" s="5384">
        <f t="shared" si="286"/>
        <v>1112.5832043343653</v>
      </c>
      <c r="BJ147" s="5385">
        <f t="shared" si="280"/>
        <v>92.715267027863774</v>
      </c>
      <c r="BK147" s="2881"/>
      <c r="BL147" s="5390">
        <v>88.294117647058826</v>
      </c>
      <c r="BM147" s="5388">
        <v>53.705882352941174</v>
      </c>
      <c r="BN147" s="5388"/>
      <c r="BO147" s="5388"/>
      <c r="BP147" s="5388"/>
      <c r="BQ147" s="5388"/>
      <c r="BR147" s="5391"/>
      <c r="BS147" s="5384"/>
      <c r="BT147" s="5384"/>
      <c r="BU147" s="5384"/>
      <c r="BV147" s="5384"/>
      <c r="BW147" s="5384"/>
      <c r="BX147" s="5384">
        <f t="shared" si="287"/>
        <v>142</v>
      </c>
      <c r="BY147" s="5266">
        <f t="shared" si="281"/>
        <v>71</v>
      </c>
      <c r="BZ147" s="4837"/>
      <c r="CA147" s="169">
        <f t="shared" si="277"/>
        <v>-39.030959752321991</v>
      </c>
      <c r="CB147" s="169">
        <f t="shared" si="288"/>
        <v>21.919536893704844</v>
      </c>
      <c r="CC147" s="169">
        <f>IFERROR(
  SUM(
    _xlfn.XLOOKUP(DATE(YEAR($A$1),1,1),$2:$2,147:147):
    _xlfn.XLOOKUP($A$1,$2:$2,147:147)
  )
 -SUM(
    _xlfn.XLOOKUP(DATE(YEAR($A$1)-1,1,1),$2:$2,147:147):
    _xlfn.XLOOKUP(EDATE($A$1,-12),$2:$2,147:147)
  ),"")</f>
        <v>0.84210526315789025</v>
      </c>
      <c r="CD147" s="4517">
        <f t="shared" si="278"/>
        <v>-34.588235294117652</v>
      </c>
    </row>
    <row r="148" spans="1:82" ht="17.600000000000001" x14ac:dyDescent="0.55000000000000004">
      <c r="A148" s="7383"/>
      <c r="B148" s="2062"/>
      <c r="C148" s="5263" t="s">
        <v>214</v>
      </c>
      <c r="D148" s="5384">
        <v>61.28</v>
      </c>
      <c r="E148" s="5384">
        <v>58.84</v>
      </c>
      <c r="F148" s="5384">
        <v>51.32</v>
      </c>
      <c r="G148" s="5384">
        <v>58.4</v>
      </c>
      <c r="H148" s="5384">
        <v>58.68</v>
      </c>
      <c r="I148" s="5384">
        <v>64.2</v>
      </c>
      <c r="J148" s="5384">
        <v>52.16</v>
      </c>
      <c r="K148" s="5384">
        <v>75.959999999999994</v>
      </c>
      <c r="L148" s="5384">
        <v>49.52</v>
      </c>
      <c r="M148" s="5384">
        <v>79.959999999999994</v>
      </c>
      <c r="N148" s="5384">
        <v>56.08</v>
      </c>
      <c r="O148" s="5384">
        <v>45.64</v>
      </c>
      <c r="P148" s="5384">
        <f t="shared" si="282"/>
        <v>712.04000000000008</v>
      </c>
      <c r="Q148" s="5385">
        <f t="shared" si="283"/>
        <v>59.336666666666673</v>
      </c>
      <c r="R148" s="2776"/>
      <c r="S148" s="5386">
        <v>55.12</v>
      </c>
      <c r="T148" s="5384">
        <v>72.44</v>
      </c>
      <c r="U148" s="5384">
        <v>56.84</v>
      </c>
      <c r="V148" s="5384">
        <v>56.2</v>
      </c>
      <c r="W148" s="5384">
        <v>58.4</v>
      </c>
      <c r="X148" s="5384">
        <v>56.84</v>
      </c>
      <c r="Y148" s="5384">
        <v>50.28</v>
      </c>
      <c r="Z148" s="5384">
        <v>85.96</v>
      </c>
      <c r="AA148" s="5384">
        <v>40.479999999999997</v>
      </c>
      <c r="AB148" s="5384">
        <v>78.92</v>
      </c>
      <c r="AC148" s="5384">
        <v>51.333333333333336</v>
      </c>
      <c r="AD148" s="5384">
        <v>44.72</v>
      </c>
      <c r="AE148" s="5384">
        <f t="shared" si="284"/>
        <v>707.5333333333333</v>
      </c>
      <c r="AF148" s="5385">
        <f t="shared" si="285"/>
        <v>58.961111111111109</v>
      </c>
      <c r="AG148" s="2776"/>
      <c r="AH148" s="5387">
        <v>82.04</v>
      </c>
      <c r="AI148" s="5388">
        <v>51.6</v>
      </c>
      <c r="AJ148" s="5388">
        <v>56.28</v>
      </c>
      <c r="AK148" s="5388">
        <v>54.846153846153847</v>
      </c>
      <c r="AL148" s="5388">
        <v>59.42307692307692</v>
      </c>
      <c r="AM148" s="5388">
        <v>49.846153846153847</v>
      </c>
      <c r="AN148" s="5389">
        <v>74.884615384615387</v>
      </c>
      <c r="AO148" s="5388">
        <v>56.307692307692307</v>
      </c>
      <c r="AP148" s="5388">
        <v>72.57692307692308</v>
      </c>
      <c r="AQ148" s="5388">
        <v>56.115384615384613</v>
      </c>
      <c r="AR148" s="5388">
        <v>55.5</v>
      </c>
      <c r="AS148" s="5388">
        <v>48.384615384615387</v>
      </c>
      <c r="AT148" s="5384">
        <f t="shared" si="228"/>
        <v>717.80461538461543</v>
      </c>
      <c r="AU148" s="5385">
        <f t="shared" si="279"/>
        <v>59.817051282051288</v>
      </c>
      <c r="AV148" s="555"/>
      <c r="AW148" s="5390">
        <v>45.57692307692308</v>
      </c>
      <c r="AX148" s="5388">
        <v>91.692307692307693</v>
      </c>
      <c r="AY148" s="5388">
        <v>63.269230769230766</v>
      </c>
      <c r="AZ148" s="5388">
        <v>84.461538461538467</v>
      </c>
      <c r="BA148" s="5388">
        <v>113.96153846153847</v>
      </c>
      <c r="BB148" s="5388">
        <v>70.56</v>
      </c>
      <c r="BC148" s="5391">
        <v>107.48</v>
      </c>
      <c r="BD148" s="5384">
        <v>68.56</v>
      </c>
      <c r="BE148" s="5384">
        <v>87.52</v>
      </c>
      <c r="BF148" s="5384">
        <v>70.16</v>
      </c>
      <c r="BG148" s="5384">
        <v>51.16</v>
      </c>
      <c r="BH148" s="5384">
        <v>51.44</v>
      </c>
      <c r="BI148" s="5384">
        <f t="shared" si="286"/>
        <v>905.84153846153845</v>
      </c>
      <c r="BJ148" s="5385">
        <f t="shared" si="280"/>
        <v>75.486794871794871</v>
      </c>
      <c r="BK148" s="2881"/>
      <c r="BL148" s="5390">
        <v>75.84</v>
      </c>
      <c r="BM148" s="5388">
        <v>47.28</v>
      </c>
      <c r="BN148" s="5388"/>
      <c r="BO148" s="5388"/>
      <c r="BP148" s="5388"/>
      <c r="BQ148" s="5388"/>
      <c r="BR148" s="5391"/>
      <c r="BS148" s="5384"/>
      <c r="BT148" s="5384"/>
      <c r="BU148" s="5384"/>
      <c r="BV148" s="5384"/>
      <c r="BW148" s="5384"/>
      <c r="BX148" s="5384">
        <f t="shared" si="287"/>
        <v>123.12</v>
      </c>
      <c r="BY148" s="5266">
        <f t="shared" si="281"/>
        <v>61.56</v>
      </c>
      <c r="BZ148" s="4837"/>
      <c r="CA148" s="169">
        <f t="shared" si="277"/>
        <v>-44.412307692307692</v>
      </c>
      <c r="CB148" s="169">
        <f t="shared" si="288"/>
        <v>15.669743589743582</v>
      </c>
      <c r="CC148" s="169">
        <f>IFERROR(
  SUM(
    _xlfn.XLOOKUP(DATE(YEAR($A$1),1,1),$2:$2,148:148):
    _xlfn.XLOOKUP($A$1,$2:$2,148:148)
  )
 -SUM(
    _xlfn.XLOOKUP(DATE(YEAR($A$1)-1,1,1),$2:$2,148:148):
    _xlfn.XLOOKUP(EDATE($A$1,-12),$2:$2,148:148)
  ),"")</f>
        <v>-14.149230769230769</v>
      </c>
      <c r="CD148" s="4517">
        <f t="shared" si="278"/>
        <v>-28.560000000000002</v>
      </c>
    </row>
    <row r="149" spans="1:82" ht="17.600000000000001" x14ac:dyDescent="0.55000000000000004">
      <c r="A149" s="7383"/>
      <c r="B149" s="2062"/>
      <c r="C149" s="5258" t="s">
        <v>215</v>
      </c>
      <c r="D149" s="5376">
        <v>63.516129032258064</v>
      </c>
      <c r="E149" s="5376">
        <v>63.612903225806448</v>
      </c>
      <c r="F149" s="5376">
        <v>62.87096774193548</v>
      </c>
      <c r="G149" s="5376">
        <v>64.548387096774192</v>
      </c>
      <c r="H149" s="5376">
        <v>64.258064516129039</v>
      </c>
      <c r="I149" s="5376">
        <v>75.096774193548384</v>
      </c>
      <c r="J149" s="5376">
        <v>59.84375</v>
      </c>
      <c r="K149" s="5376">
        <v>82.21875</v>
      </c>
      <c r="L149" s="5376">
        <v>58.09375</v>
      </c>
      <c r="M149" s="5376">
        <v>94.387096774193552</v>
      </c>
      <c r="N149" s="5376">
        <v>67.870967741935488</v>
      </c>
      <c r="O149" s="5376">
        <v>59.633333333333333</v>
      </c>
      <c r="P149" s="5376">
        <f t="shared" si="282"/>
        <v>815.95087365591394</v>
      </c>
      <c r="Q149" s="5377">
        <f t="shared" si="283"/>
        <v>67.995906137992833</v>
      </c>
      <c r="R149" s="2776"/>
      <c r="S149" s="5378">
        <v>63.43333333333333</v>
      </c>
      <c r="T149" s="5376">
        <v>82.166666666666671</v>
      </c>
      <c r="U149" s="5376">
        <v>67.599999999999994</v>
      </c>
      <c r="V149" s="5376">
        <v>63.70967741935484</v>
      </c>
      <c r="W149" s="5376">
        <v>62.903225806451616</v>
      </c>
      <c r="X149" s="5376">
        <v>64.58064516129032</v>
      </c>
      <c r="Y149" s="5376">
        <v>60.677419354838712</v>
      </c>
      <c r="Z149" s="5376">
        <v>92.63333333333334</v>
      </c>
      <c r="AA149" s="5376">
        <v>48.1</v>
      </c>
      <c r="AB149" s="5376">
        <v>90.833333333333329</v>
      </c>
      <c r="AC149" s="5376">
        <v>63.033333333333331</v>
      </c>
      <c r="AD149" s="5376">
        <v>53.633333333333333</v>
      </c>
      <c r="AE149" s="5376">
        <f t="shared" si="284"/>
        <v>813.30430107526877</v>
      </c>
      <c r="AF149" s="5377">
        <f t="shared" si="285"/>
        <v>67.775358422939064</v>
      </c>
      <c r="AG149" s="2776"/>
      <c r="AH149" s="5379">
        <v>97.63333333333334</v>
      </c>
      <c r="AI149" s="5380">
        <v>68.63333333333334</v>
      </c>
      <c r="AJ149" s="5380">
        <v>69.433333333333337</v>
      </c>
      <c r="AK149" s="5380">
        <v>70.3</v>
      </c>
      <c r="AL149" s="5380">
        <v>69.86666666666666</v>
      </c>
      <c r="AM149" s="5380">
        <v>61.09375</v>
      </c>
      <c r="AN149" s="5381">
        <v>88.28125</v>
      </c>
      <c r="AO149" s="5380">
        <v>67.454545454545453</v>
      </c>
      <c r="AP149" s="5380">
        <v>81.181818181818187</v>
      </c>
      <c r="AQ149" s="5380">
        <v>68.63636363636364</v>
      </c>
      <c r="AR149" s="5380">
        <v>59.606060606060609</v>
      </c>
      <c r="AS149" s="5380">
        <v>55.515151515151516</v>
      </c>
      <c r="AT149" s="5376">
        <f>SUM(AH149:AS149)</f>
        <v>857.63560606060605</v>
      </c>
      <c r="AU149" s="5377">
        <f t="shared" si="279"/>
        <v>71.469633838383842</v>
      </c>
      <c r="AV149" s="555"/>
      <c r="AW149" s="5382">
        <v>48.294117647058833</v>
      </c>
      <c r="AX149" s="5380">
        <v>98.411764705882348</v>
      </c>
      <c r="AY149" s="5380">
        <v>67.878787878787875</v>
      </c>
      <c r="AZ149" s="5380">
        <v>92.354838709677423</v>
      </c>
      <c r="BA149" s="5380">
        <v>126.54838709677419</v>
      </c>
      <c r="BB149" s="5380">
        <v>78.903225806451616</v>
      </c>
      <c r="BC149" s="5383">
        <v>121.45161290322581</v>
      </c>
      <c r="BD149" s="5376">
        <v>76.612903225806448</v>
      </c>
      <c r="BE149" s="5376">
        <v>102.87096774193549</v>
      </c>
      <c r="BF149" s="5376">
        <v>77.032258064516128</v>
      </c>
      <c r="BG149" s="5376">
        <v>59.666666666666664</v>
      </c>
      <c r="BH149" s="5376">
        <v>55.93333333333333</v>
      </c>
      <c r="BI149" s="5376">
        <f t="shared" si="286"/>
        <v>1005.9588637801161</v>
      </c>
      <c r="BJ149" s="5377">
        <f t="shared" si="280"/>
        <v>83.829905315009668</v>
      </c>
      <c r="BK149" s="2881"/>
      <c r="BL149" s="5382">
        <v>82.8</v>
      </c>
      <c r="BM149" s="5380">
        <v>54.466666666666669</v>
      </c>
      <c r="BN149" s="5380"/>
      <c r="BO149" s="5380"/>
      <c r="BP149" s="5380"/>
      <c r="BQ149" s="5380"/>
      <c r="BR149" s="5383"/>
      <c r="BS149" s="5376"/>
      <c r="BT149" s="5376"/>
      <c r="BU149" s="5376"/>
      <c r="BV149" s="5376"/>
      <c r="BW149" s="5376"/>
      <c r="BX149" s="5376">
        <f t="shared" si="287"/>
        <v>137.26666666666665</v>
      </c>
      <c r="BY149" s="5261">
        <f t="shared" si="281"/>
        <v>68.633333333333326</v>
      </c>
      <c r="BZ149" s="4837"/>
      <c r="CA149" s="169">
        <f t="shared" si="277"/>
        <v>-43.945098039215679</v>
      </c>
      <c r="CB149" s="169">
        <f t="shared" si="288"/>
        <v>12.360271476625826</v>
      </c>
      <c r="CC149" s="169">
        <f>IFERROR(
  SUM(
    _xlfn.XLOOKUP(DATE(YEAR($A$1),1,1),$2:$2,149:149):
    _xlfn.XLOOKUP($A$1,$2:$2,149:149)
  )
 -SUM(
    _xlfn.XLOOKUP(DATE(YEAR($A$1)-1,1,1),$2:$2,149:149):
    _xlfn.XLOOKUP(EDATE($A$1,-12),$2:$2,149:149)
  ),"")</f>
        <v>-9.4392156862745367</v>
      </c>
      <c r="CD149" s="4517">
        <f t="shared" si="278"/>
        <v>-28.333333333333329</v>
      </c>
    </row>
    <row r="150" spans="1:82" ht="17.600000000000001" x14ac:dyDescent="0.55000000000000004">
      <c r="A150" s="7383"/>
      <c r="B150" s="2062"/>
      <c r="C150" s="5258" t="s">
        <v>216</v>
      </c>
      <c r="D150" s="5376">
        <v>59.571428571428569</v>
      </c>
      <c r="E150" s="5376">
        <v>56.714285714285715</v>
      </c>
      <c r="F150" s="5376">
        <v>56.714285714285715</v>
      </c>
      <c r="G150" s="5376">
        <v>61.904761904761905</v>
      </c>
      <c r="H150" s="5376">
        <v>60</v>
      </c>
      <c r="I150" s="5376">
        <v>66.761904761904759</v>
      </c>
      <c r="J150" s="5376">
        <v>53.38095238095238</v>
      </c>
      <c r="K150" s="5376">
        <v>79.904761904761898</v>
      </c>
      <c r="L150" s="5376">
        <v>53.19047619047619</v>
      </c>
      <c r="M150" s="5376">
        <v>76.333333333333329</v>
      </c>
      <c r="N150" s="5376">
        <v>61.285714285714285</v>
      </c>
      <c r="O150" s="5376">
        <v>51.047619047619051</v>
      </c>
      <c r="P150" s="5376">
        <f t="shared" si="282"/>
        <v>736.80952380952385</v>
      </c>
      <c r="Q150" s="5377">
        <f t="shared" si="283"/>
        <v>61.400793650793652</v>
      </c>
      <c r="R150" s="2776"/>
      <c r="S150" s="5378">
        <v>59.238095238095241</v>
      </c>
      <c r="T150" s="5376">
        <v>71.714285714285708</v>
      </c>
      <c r="U150" s="5376">
        <v>66.666666666666671</v>
      </c>
      <c r="V150" s="5376">
        <v>61.571428571428569</v>
      </c>
      <c r="W150" s="5376">
        <v>63.80952380952381</v>
      </c>
      <c r="X150" s="5376">
        <v>63.38095238095238</v>
      </c>
      <c r="Y150" s="5376">
        <v>51.428571428571431</v>
      </c>
      <c r="Z150" s="5376">
        <v>99.80952380952381</v>
      </c>
      <c r="AA150" s="5376">
        <v>45.714285714285715</v>
      </c>
      <c r="AB150" s="5376">
        <v>84.714285714285708</v>
      </c>
      <c r="AC150" s="5376">
        <v>56.571428571428569</v>
      </c>
      <c r="AD150" s="5376">
        <v>45.428571428571431</v>
      </c>
      <c r="AE150" s="5376">
        <f t="shared" si="284"/>
        <v>770.04761904761904</v>
      </c>
      <c r="AF150" s="5377">
        <f t="shared" si="285"/>
        <v>64.170634920634924</v>
      </c>
      <c r="AG150" s="2776"/>
      <c r="AH150" s="5379">
        <v>99.047619047619051</v>
      </c>
      <c r="AI150" s="5380">
        <v>67.80952380952381</v>
      </c>
      <c r="AJ150" s="5380">
        <v>66.571428571428569</v>
      </c>
      <c r="AK150" s="5380">
        <v>63.454545454545453</v>
      </c>
      <c r="AL150" s="5380">
        <v>66.318181818181813</v>
      </c>
      <c r="AM150" s="5380">
        <v>55.18181818181818</v>
      </c>
      <c r="AN150" s="5381">
        <v>81.952380952380949</v>
      </c>
      <c r="AO150" s="5380">
        <v>65.272727272727266</v>
      </c>
      <c r="AP150" s="5380">
        <v>76.181818181818187</v>
      </c>
      <c r="AQ150" s="5380">
        <v>68.63636363636364</v>
      </c>
      <c r="AR150" s="5380">
        <v>58.5</v>
      </c>
      <c r="AS150" s="5380">
        <v>48.272727272727273</v>
      </c>
      <c r="AT150" s="5376">
        <f t="shared" si="228"/>
        <v>817.19913419913416</v>
      </c>
      <c r="AU150" s="5377">
        <f t="shared" si="279"/>
        <v>68.099927849927852</v>
      </c>
      <c r="AV150" s="555"/>
      <c r="AW150" s="5382">
        <v>49.590909090909093</v>
      </c>
      <c r="AX150" s="5380">
        <v>99.227272727272734</v>
      </c>
      <c r="AY150" s="5380">
        <v>66.272727272727266</v>
      </c>
      <c r="AZ150" s="5380">
        <v>84.36363636363636</v>
      </c>
      <c r="BA150" s="5380">
        <v>109.40909090909091</v>
      </c>
      <c r="BB150" s="5380">
        <v>76.545454545454547</v>
      </c>
      <c r="BC150" s="5383">
        <v>118.38095238095238</v>
      </c>
      <c r="BD150" s="5376">
        <v>72.761904761904759</v>
      </c>
      <c r="BE150" s="5376">
        <v>89.333333333333329</v>
      </c>
      <c r="BF150" s="5376">
        <v>73.238095238095241</v>
      </c>
      <c r="BG150" s="5376">
        <v>56.904761904761905</v>
      </c>
      <c r="BH150" s="5376">
        <v>52.19047619047619</v>
      </c>
      <c r="BI150" s="5376">
        <f t="shared" si="286"/>
        <v>948.21861471861484</v>
      </c>
      <c r="BJ150" s="5377">
        <f t="shared" si="280"/>
        <v>79.018217893217908</v>
      </c>
      <c r="BK150" s="2881"/>
      <c r="BL150" s="5382">
        <v>84.6</v>
      </c>
      <c r="BM150" s="5380">
        <v>48</v>
      </c>
      <c r="BN150" s="5380"/>
      <c r="BO150" s="5380"/>
      <c r="BP150" s="5380"/>
      <c r="BQ150" s="5380"/>
      <c r="BR150" s="5383"/>
      <c r="BS150" s="5376"/>
      <c r="BT150" s="5376"/>
      <c r="BU150" s="5376"/>
      <c r="BV150" s="5376"/>
      <c r="BW150" s="5376"/>
      <c r="BX150" s="5376">
        <f t="shared" si="287"/>
        <v>132.6</v>
      </c>
      <c r="BY150" s="5261">
        <f t="shared" si="281"/>
        <v>66.3</v>
      </c>
      <c r="BZ150" s="4837"/>
      <c r="CA150" s="169">
        <f t="shared" si="277"/>
        <v>-51.227272727272734</v>
      </c>
      <c r="CB150" s="169">
        <f t="shared" si="288"/>
        <v>10.918290043290057</v>
      </c>
      <c r="CC150" s="169">
        <f>IFERROR(
  SUM(
    _xlfn.XLOOKUP(DATE(YEAR($A$1),1,1),$2:$2,150:150):
    _xlfn.XLOOKUP($A$1,$2:$2,150:150)
  )
 -SUM(
    _xlfn.XLOOKUP(DATE(YEAR($A$1)-1,1,1),$2:$2,150:150):
    _xlfn.XLOOKUP(EDATE($A$1,-12),$2:$2,150:150)
  ),"")</f>
        <v>-16.218181818181819</v>
      </c>
      <c r="CD150" s="4517">
        <f t="shared" si="278"/>
        <v>-36.599999999999994</v>
      </c>
    </row>
    <row r="151" spans="1:82" ht="17.600000000000001" x14ac:dyDescent="0.55000000000000004">
      <c r="A151" s="7383"/>
      <c r="B151" s="2062"/>
      <c r="C151" s="5263" t="s">
        <v>217</v>
      </c>
      <c r="D151" s="5384">
        <v>65.645161290322577</v>
      </c>
      <c r="E151" s="5384">
        <v>70.387096774193552</v>
      </c>
      <c r="F151" s="5384">
        <v>60.84375</v>
      </c>
      <c r="G151" s="5384">
        <v>61.84375</v>
      </c>
      <c r="H151" s="5384">
        <v>60.454545454545453</v>
      </c>
      <c r="I151" s="5384">
        <v>71.03125</v>
      </c>
      <c r="J151" s="5384">
        <v>57.545454545454547</v>
      </c>
      <c r="K151" s="5384">
        <v>83.96875</v>
      </c>
      <c r="L151" s="5384">
        <v>50.28125</v>
      </c>
      <c r="M151" s="5384">
        <v>80.25</v>
      </c>
      <c r="N151" s="5384">
        <v>64.4375</v>
      </c>
      <c r="O151" s="5384">
        <v>59.741935483870968</v>
      </c>
      <c r="P151" s="5384">
        <f t="shared" si="282"/>
        <v>786.43044354838707</v>
      </c>
      <c r="Q151" s="5385">
        <f t="shared" si="283"/>
        <v>65.535870295698928</v>
      </c>
      <c r="R151" s="2776"/>
      <c r="S151" s="5386">
        <v>58.625</v>
      </c>
      <c r="T151" s="5384">
        <v>88.34375</v>
      </c>
      <c r="U151" s="5384">
        <v>66.193548387096769</v>
      </c>
      <c r="V151" s="5384">
        <v>64.451612903225808</v>
      </c>
      <c r="W151" s="5384">
        <v>67.709677419354833</v>
      </c>
      <c r="X151" s="5384">
        <v>63.70967741935484</v>
      </c>
      <c r="Y151" s="5384">
        <v>55.516129032258064</v>
      </c>
      <c r="Z151" s="5384">
        <v>113.26666666666667</v>
      </c>
      <c r="AA151" s="5384">
        <v>48.1</v>
      </c>
      <c r="AB151" s="5384">
        <v>86.4</v>
      </c>
      <c r="AC151" s="5384">
        <v>61</v>
      </c>
      <c r="AD151" s="5384">
        <v>53.827586206896555</v>
      </c>
      <c r="AE151" s="5384">
        <f t="shared" si="284"/>
        <v>827.14364803485341</v>
      </c>
      <c r="AF151" s="5385">
        <f t="shared" si="285"/>
        <v>68.928637336237784</v>
      </c>
      <c r="AG151" s="2776"/>
      <c r="AH151" s="5387">
        <v>113.10344827586206</v>
      </c>
      <c r="AI151" s="5388">
        <v>72.5</v>
      </c>
      <c r="AJ151" s="5388">
        <v>74.821428571428569</v>
      </c>
      <c r="AK151" s="5388">
        <v>72.517241379310349</v>
      </c>
      <c r="AL151" s="5388">
        <v>76.275862068965523</v>
      </c>
      <c r="AM151" s="5388">
        <v>61.4</v>
      </c>
      <c r="AN151" s="5389">
        <v>99.966666666666669</v>
      </c>
      <c r="AO151" s="5388">
        <v>70.896551724137936</v>
      </c>
      <c r="AP151" s="5388">
        <v>85.833333333333329</v>
      </c>
      <c r="AQ151" s="5388">
        <v>69.466666666666669</v>
      </c>
      <c r="AR151" s="5388">
        <v>63.758620689655174</v>
      </c>
      <c r="AS151" s="5388">
        <v>55.8</v>
      </c>
      <c r="AT151" s="5384">
        <f t="shared" si="228"/>
        <v>916.3398193760263</v>
      </c>
      <c r="AU151" s="5385">
        <f t="shared" si="279"/>
        <v>76.361651614668858</v>
      </c>
      <c r="AV151" s="555"/>
      <c r="AW151" s="5390">
        <v>42.9</v>
      </c>
      <c r="AX151" s="5388">
        <v>111.86666666666666</v>
      </c>
      <c r="AY151" s="5388">
        <v>77.58620689655173</v>
      </c>
      <c r="AZ151" s="5388">
        <v>99.142857142857139</v>
      </c>
      <c r="BA151" s="5388">
        <v>123.42857142857143</v>
      </c>
      <c r="BB151" s="5388">
        <v>80.785714285714292</v>
      </c>
      <c r="BC151" s="5391">
        <v>141.60714285714286</v>
      </c>
      <c r="BD151" s="5384">
        <v>79.107142857142861</v>
      </c>
      <c r="BE151" s="5384">
        <v>100.96428571428571</v>
      </c>
      <c r="BF151" s="5384">
        <v>88.571428571428569</v>
      </c>
      <c r="BG151" s="5384">
        <v>59.714285714285715</v>
      </c>
      <c r="BH151" s="5384">
        <v>53.214285714285715</v>
      </c>
      <c r="BI151" s="5384">
        <f t="shared" si="286"/>
        <v>1058.8885878489327</v>
      </c>
      <c r="BJ151" s="5385">
        <f t="shared" si="280"/>
        <v>88.240715654077732</v>
      </c>
      <c r="BK151" s="2881"/>
      <c r="BL151" s="5390">
        <v>84.785714285714292</v>
      </c>
      <c r="BM151" s="5388">
        <v>50.96551724137931</v>
      </c>
      <c r="BN151" s="5388"/>
      <c r="BO151" s="5388"/>
      <c r="BP151" s="5388"/>
      <c r="BQ151" s="5388"/>
      <c r="BR151" s="5391"/>
      <c r="BS151" s="5384"/>
      <c r="BT151" s="5384"/>
      <c r="BU151" s="5384"/>
      <c r="BV151" s="5384"/>
      <c r="BW151" s="5384"/>
      <c r="BX151" s="5384">
        <f t="shared" si="287"/>
        <v>135.75123152709361</v>
      </c>
      <c r="BY151" s="5266">
        <f t="shared" si="281"/>
        <v>67.875615763546804</v>
      </c>
      <c r="BZ151" s="4837"/>
      <c r="CA151" s="169">
        <f t="shared" si="277"/>
        <v>-60.90114942528735</v>
      </c>
      <c r="CB151" s="169">
        <f t="shared" si="288"/>
        <v>11.879064039408874</v>
      </c>
      <c r="CC151" s="169">
        <f>IFERROR(
  SUM(
    _xlfn.XLOOKUP(DATE(YEAR($A$1),1,1),$2:$2,151:151):
    _xlfn.XLOOKUP($A$1,$2:$2,151:151)
  )
 -SUM(
    _xlfn.XLOOKUP(DATE(YEAR($A$1)-1,1,1),$2:$2,151:151):
    _xlfn.XLOOKUP(EDATE($A$1,-12),$2:$2,151:151)
  ),"")</f>
        <v>-19.015435139573043</v>
      </c>
      <c r="CD151" s="4517">
        <f t="shared" si="278"/>
        <v>-33.820197044334982</v>
      </c>
    </row>
    <row r="152" spans="1:82" ht="17.600000000000001" x14ac:dyDescent="0.55000000000000004">
      <c r="A152" s="7383"/>
      <c r="B152" s="2062"/>
      <c r="C152" s="5263" t="s">
        <v>218</v>
      </c>
      <c r="D152" s="5384">
        <v>65.5</v>
      </c>
      <c r="E152" s="5384">
        <v>61.548387096774192</v>
      </c>
      <c r="F152" s="5384">
        <v>58.87096774193548</v>
      </c>
      <c r="G152" s="5384">
        <v>60.25</v>
      </c>
      <c r="H152" s="5384">
        <v>56.34375</v>
      </c>
      <c r="I152" s="5384">
        <v>71.060606060606062</v>
      </c>
      <c r="J152" s="5384">
        <v>53.6875</v>
      </c>
      <c r="K152" s="5384">
        <v>86.3125</v>
      </c>
      <c r="L152" s="5384">
        <v>49.875</v>
      </c>
      <c r="M152" s="5384">
        <v>74.757575757575751</v>
      </c>
      <c r="N152" s="5384">
        <v>56.636363636363633</v>
      </c>
      <c r="O152" s="5384">
        <v>44.393939393939391</v>
      </c>
      <c r="P152" s="5384">
        <f t="shared" si="282"/>
        <v>739.23658968719451</v>
      </c>
      <c r="Q152" s="5385">
        <f t="shared" si="283"/>
        <v>61.603049140599545</v>
      </c>
      <c r="R152" s="2776"/>
      <c r="S152" s="5386">
        <v>54.393939393939391</v>
      </c>
      <c r="T152" s="5384">
        <v>72.030303030303031</v>
      </c>
      <c r="U152" s="5384">
        <v>55.90625</v>
      </c>
      <c r="V152" s="5384">
        <v>51.242424242424242</v>
      </c>
      <c r="W152" s="5384">
        <v>60.787878787878789</v>
      </c>
      <c r="X152" s="5384">
        <v>59.060606060606062</v>
      </c>
      <c r="Y152" s="5384">
        <v>48.59375</v>
      </c>
      <c r="Z152" s="5384">
        <v>88.15625</v>
      </c>
      <c r="AA152" s="5384">
        <v>44.71875</v>
      </c>
      <c r="AB152" s="5384">
        <v>79.375</v>
      </c>
      <c r="AC152" s="5384">
        <v>49.125</v>
      </c>
      <c r="AD152" s="5384">
        <v>44.5625</v>
      </c>
      <c r="AE152" s="5384">
        <f t="shared" si="284"/>
        <v>707.9526515151515</v>
      </c>
      <c r="AF152" s="5385">
        <f t="shared" si="285"/>
        <v>58.996054292929294</v>
      </c>
      <c r="AG152" s="2776"/>
      <c r="AH152" s="5387">
        <v>95.375</v>
      </c>
      <c r="AI152" s="5388">
        <v>53.875</v>
      </c>
      <c r="AJ152" s="5388">
        <v>61</v>
      </c>
      <c r="AK152" s="5388">
        <v>58.46875</v>
      </c>
      <c r="AL152" s="5388">
        <v>59.258064516129032</v>
      </c>
      <c r="AM152" s="5388">
        <v>58.064516129032256</v>
      </c>
      <c r="AN152" s="5389">
        <v>84.483870967741936</v>
      </c>
      <c r="AO152" s="5388">
        <v>60.354838709677416</v>
      </c>
      <c r="AP152" s="5388">
        <v>81</v>
      </c>
      <c r="AQ152" s="5388">
        <v>60</v>
      </c>
      <c r="AR152" s="5388">
        <v>58.466666666666669</v>
      </c>
      <c r="AS152" s="5388">
        <v>47.5</v>
      </c>
      <c r="AT152" s="5384">
        <f t="shared" ref="AT152:AT203" si="289">SUM(AH152:AS152)</f>
        <v>777.84670698924731</v>
      </c>
      <c r="AU152" s="5385">
        <f t="shared" si="279"/>
        <v>64.820558915770604</v>
      </c>
      <c r="AV152" s="555"/>
      <c r="AW152" s="5390">
        <v>46.724137931034484</v>
      </c>
      <c r="AX152" s="5388">
        <v>102.68965517241379</v>
      </c>
      <c r="AY152" s="5388">
        <v>72.379310344827587</v>
      </c>
      <c r="AZ152" s="5388">
        <v>90.172413793103445</v>
      </c>
      <c r="BA152" s="5388">
        <v>107.75862068965517</v>
      </c>
      <c r="BB152" s="5388">
        <v>71.931034482758619</v>
      </c>
      <c r="BC152" s="5391">
        <v>115.93103448275862</v>
      </c>
      <c r="BD152" s="5384">
        <v>70.896551724137936</v>
      </c>
      <c r="BE152" s="5384">
        <v>91.689655172413794</v>
      </c>
      <c r="BF152" s="5384">
        <v>74.137931034482762</v>
      </c>
      <c r="BG152" s="5384">
        <v>58.344827586206897</v>
      </c>
      <c r="BH152" s="5384">
        <v>54.586206896551722</v>
      </c>
      <c r="BI152" s="5384">
        <f t="shared" si="286"/>
        <v>957.24137931034488</v>
      </c>
      <c r="BJ152" s="5385">
        <f t="shared" si="280"/>
        <v>79.770114942528735</v>
      </c>
      <c r="BK152" s="2881"/>
      <c r="BL152" s="5390">
        <v>82.137931034482762</v>
      </c>
      <c r="BM152" s="5388">
        <v>46.724137931034484</v>
      </c>
      <c r="BN152" s="5388"/>
      <c r="BO152" s="5388"/>
      <c r="BP152" s="5388"/>
      <c r="BQ152" s="5388"/>
      <c r="BR152" s="5391"/>
      <c r="BS152" s="5384"/>
      <c r="BT152" s="5384"/>
      <c r="BU152" s="5384"/>
      <c r="BV152" s="5384"/>
      <c r="BW152" s="5384"/>
      <c r="BX152" s="5384">
        <f t="shared" si="287"/>
        <v>128.86206896551724</v>
      </c>
      <c r="BY152" s="5266">
        <f t="shared" si="281"/>
        <v>64.431034482758619</v>
      </c>
      <c r="BZ152" s="4837"/>
      <c r="CA152" s="169">
        <f t="shared" si="277"/>
        <v>-55.96551724137931</v>
      </c>
      <c r="CB152" s="169">
        <f t="shared" si="288"/>
        <v>14.949556026758131</v>
      </c>
      <c r="CC152" s="169">
        <f>IFERROR(
  SUM(
    _xlfn.XLOOKUP(DATE(YEAR($A$1),1,1),$2:$2,152:152):
    _xlfn.XLOOKUP($A$1,$2:$2,152:152)
  )
 -SUM(
    _xlfn.XLOOKUP(DATE(YEAR($A$1)-1,1,1),$2:$2,152:152):
    _xlfn.XLOOKUP(EDATE($A$1,-12),$2:$2,152:152)
  ),"")</f>
        <v>-20.551724137931046</v>
      </c>
      <c r="CD152" s="4517">
        <f t="shared" si="278"/>
        <v>-35.413793103448278</v>
      </c>
    </row>
    <row r="153" spans="1:82" ht="17.600000000000001" x14ac:dyDescent="0.55000000000000004">
      <c r="A153" s="7383"/>
      <c r="B153" s="2062"/>
      <c r="C153" s="5258" t="s">
        <v>219</v>
      </c>
      <c r="D153" s="5376">
        <v>54.607142857142854</v>
      </c>
      <c r="E153" s="5376">
        <v>57.714285714285715</v>
      </c>
      <c r="F153" s="5376">
        <v>53</v>
      </c>
      <c r="G153" s="5376">
        <v>52.724137931034484</v>
      </c>
      <c r="H153" s="5376">
        <v>50.241379310344826</v>
      </c>
      <c r="I153" s="5376">
        <v>59.206896551724135</v>
      </c>
      <c r="J153" s="5376">
        <v>46.172413793103445</v>
      </c>
      <c r="K153" s="5376">
        <v>79.58620689655173</v>
      </c>
      <c r="L153" s="5376">
        <v>41.655172413793103</v>
      </c>
      <c r="M153" s="5376">
        <v>70.379310344827587</v>
      </c>
      <c r="N153" s="5376">
        <v>50.137931034482762</v>
      </c>
      <c r="O153" s="5376">
        <v>42.827586206896555</v>
      </c>
      <c r="P153" s="5376">
        <f t="shared" si="282"/>
        <v>658.25246305418716</v>
      </c>
      <c r="Q153" s="5377">
        <f t="shared" si="283"/>
        <v>54.854371921182263</v>
      </c>
      <c r="R153" s="2776"/>
      <c r="S153" s="5378">
        <v>47.035714285714285</v>
      </c>
      <c r="T153" s="5376">
        <v>68.892857142857139</v>
      </c>
      <c r="U153" s="5376">
        <v>53.607142857142854</v>
      </c>
      <c r="V153" s="5376">
        <v>51.035714285714285</v>
      </c>
      <c r="W153" s="5376">
        <v>58.428571428571431</v>
      </c>
      <c r="X153" s="5376">
        <v>52.785714285714285</v>
      </c>
      <c r="Y153" s="5376">
        <v>50.678571428571431</v>
      </c>
      <c r="Z153" s="5376">
        <v>88.5</v>
      </c>
      <c r="AA153" s="5376">
        <v>40.428571428571431</v>
      </c>
      <c r="AB153" s="5376">
        <v>75.035714285714292</v>
      </c>
      <c r="AC153" s="5376">
        <v>50.214285714285715</v>
      </c>
      <c r="AD153" s="5376">
        <v>44.071428571428569</v>
      </c>
      <c r="AE153" s="5376">
        <f t="shared" si="284"/>
        <v>680.71428571428567</v>
      </c>
      <c r="AF153" s="5377">
        <f t="shared" si="285"/>
        <v>56.726190476190474</v>
      </c>
      <c r="AG153" s="2776"/>
      <c r="AH153" s="5379">
        <v>86.535714285714292</v>
      </c>
      <c r="AI153" s="5380">
        <v>51</v>
      </c>
      <c r="AJ153" s="5380">
        <v>57.75</v>
      </c>
      <c r="AK153" s="5380">
        <v>56.607142857142854</v>
      </c>
      <c r="AL153" s="5380">
        <v>52.379310344827587</v>
      </c>
      <c r="AM153" s="5380">
        <v>49.821428571428569</v>
      </c>
      <c r="AN153" s="5381">
        <v>75.821428571428569</v>
      </c>
      <c r="AO153" s="5380">
        <v>54.607142857142854</v>
      </c>
      <c r="AP153" s="5380">
        <v>69.551724137931032</v>
      </c>
      <c r="AQ153" s="5380">
        <v>52.655172413793103</v>
      </c>
      <c r="AR153" s="5380">
        <v>50.724137931034484</v>
      </c>
      <c r="AS153" s="5380">
        <v>46.724137931034484</v>
      </c>
      <c r="AT153" s="5376">
        <f t="shared" si="289"/>
        <v>704.17733990147792</v>
      </c>
      <c r="AU153" s="5377">
        <f t="shared" si="279"/>
        <v>58.681444991789824</v>
      </c>
      <c r="AV153" s="555"/>
      <c r="AW153" s="5382">
        <v>41.931034482758619</v>
      </c>
      <c r="AX153" s="5380">
        <v>83</v>
      </c>
      <c r="AY153" s="5380">
        <v>57.862068965517238</v>
      </c>
      <c r="AZ153" s="5380">
        <v>76.214285714285708</v>
      </c>
      <c r="BA153" s="5380">
        <v>100.46428571428571</v>
      </c>
      <c r="BB153" s="5380">
        <v>57.071428571428569</v>
      </c>
      <c r="BC153" s="5383">
        <v>107.96296296296296</v>
      </c>
      <c r="BD153" s="5376">
        <v>61.703703703703702</v>
      </c>
      <c r="BE153" s="5376">
        <v>86.037037037037038</v>
      </c>
      <c r="BF153" s="5376">
        <v>61.703703703703702</v>
      </c>
      <c r="BG153" s="5376">
        <v>48</v>
      </c>
      <c r="BH153" s="5376">
        <v>46.703703703703702</v>
      </c>
      <c r="BI153" s="5376">
        <f t="shared" si="286"/>
        <v>828.65421455938701</v>
      </c>
      <c r="BJ153" s="5377">
        <f t="shared" si="280"/>
        <v>69.054517879948918</v>
      </c>
      <c r="BK153" s="2881"/>
      <c r="BL153" s="5382">
        <v>69.777777777777771</v>
      </c>
      <c r="BM153" s="5380">
        <v>43.296296296296298</v>
      </c>
      <c r="BN153" s="5380"/>
      <c r="BO153" s="5380"/>
      <c r="BP153" s="5380"/>
      <c r="BQ153" s="5380"/>
      <c r="BR153" s="5383"/>
      <c r="BS153" s="5376"/>
      <c r="BT153" s="5376"/>
      <c r="BU153" s="5376"/>
      <c r="BV153" s="5376"/>
      <c r="BW153" s="5376"/>
      <c r="BX153" s="5376">
        <f t="shared" si="287"/>
        <v>113.07407407407408</v>
      </c>
      <c r="BY153" s="5261">
        <f t="shared" si="281"/>
        <v>56.537037037037038</v>
      </c>
      <c r="BZ153" s="4837"/>
      <c r="CA153" s="169">
        <f t="shared" si="277"/>
        <v>-39.703703703703702</v>
      </c>
      <c r="CB153" s="169">
        <f t="shared" si="288"/>
        <v>10.373072888159093</v>
      </c>
      <c r="CC153" s="169">
        <f>IFERROR(
  SUM(
    _xlfn.XLOOKUP(DATE(YEAR($A$1),1,1),$2:$2,153:153):
    _xlfn.XLOOKUP($A$1,$2:$2,153:153)
  )
 -SUM(
    _xlfn.XLOOKUP(DATE(YEAR($A$1)-1,1,1),$2:$2,153:153):
    _xlfn.XLOOKUP(EDATE($A$1,-12),$2:$2,153:153)
  ),"")</f>
        <v>-11.856960408684543</v>
      </c>
      <c r="CD153" s="4517">
        <f t="shared" si="278"/>
        <v>-26.481481481481474</v>
      </c>
    </row>
    <row r="154" spans="1:82" ht="18" thickBot="1" x14ac:dyDescent="0.6">
      <c r="A154" s="7384"/>
      <c r="B154" s="5268"/>
      <c r="C154" s="5269" t="s">
        <v>220</v>
      </c>
      <c r="D154" s="5392">
        <v>53.344827586206897</v>
      </c>
      <c r="E154" s="5392">
        <v>55.275862068965516</v>
      </c>
      <c r="F154" s="5392">
        <v>54.413793103448278</v>
      </c>
      <c r="G154" s="5392">
        <v>53.517241379310342</v>
      </c>
      <c r="H154" s="5392">
        <v>52.310344827586206</v>
      </c>
      <c r="I154" s="5392">
        <v>64.142857142857139</v>
      </c>
      <c r="J154" s="5392">
        <v>51.428571428571431</v>
      </c>
      <c r="K154" s="5392">
        <v>67.142857142857139</v>
      </c>
      <c r="L154" s="5392">
        <v>46.857142857142854</v>
      </c>
      <c r="M154" s="5392">
        <v>74.178571428571431</v>
      </c>
      <c r="N154" s="5392">
        <v>51.321428571428569</v>
      </c>
      <c r="O154" s="5392">
        <v>47.107142857142854</v>
      </c>
      <c r="P154" s="5392">
        <f t="shared" si="282"/>
        <v>671.04064039408865</v>
      </c>
      <c r="Q154" s="5393">
        <f t="shared" si="283"/>
        <v>55.920053366174052</v>
      </c>
      <c r="R154" s="2776"/>
      <c r="S154" s="5394">
        <v>44.931034482758619</v>
      </c>
      <c r="T154" s="5392">
        <v>67.241379310344826</v>
      </c>
      <c r="U154" s="5392">
        <v>52.931034482758619</v>
      </c>
      <c r="V154" s="5392">
        <v>49.857142857142854</v>
      </c>
      <c r="W154" s="5392">
        <v>57.857142857142854</v>
      </c>
      <c r="X154" s="5392">
        <v>51.678571428571431</v>
      </c>
      <c r="Y154" s="5392">
        <v>48.535714285714285</v>
      </c>
      <c r="Z154" s="5392">
        <v>80.107142857142861</v>
      </c>
      <c r="AA154" s="5392">
        <v>40.464285714285715</v>
      </c>
      <c r="AB154" s="5392">
        <v>74</v>
      </c>
      <c r="AC154" s="5392">
        <v>50.392857142857146</v>
      </c>
      <c r="AD154" s="5392">
        <v>44.607142857142854</v>
      </c>
      <c r="AE154" s="5392">
        <f t="shared" si="284"/>
        <v>662.60344827586209</v>
      </c>
      <c r="AF154" s="5393">
        <f t="shared" si="285"/>
        <v>55.21695402298851</v>
      </c>
      <c r="AG154" s="2776"/>
      <c r="AH154" s="5395">
        <v>76.142857142857139</v>
      </c>
      <c r="AI154" s="5396">
        <v>50.821428571428569</v>
      </c>
      <c r="AJ154" s="5396">
        <v>58.285714285714285</v>
      </c>
      <c r="AK154" s="5396">
        <v>55.642857142857146</v>
      </c>
      <c r="AL154" s="5396">
        <v>53.172413793103445</v>
      </c>
      <c r="AM154" s="5396">
        <v>51.103448275862071</v>
      </c>
      <c r="AN154" s="5397">
        <v>71.86666666666666</v>
      </c>
      <c r="AO154" s="5396">
        <v>54.43333333333333</v>
      </c>
      <c r="AP154" s="5396">
        <v>71.566666666666663</v>
      </c>
      <c r="AQ154" s="5396">
        <v>52.966666666666669</v>
      </c>
      <c r="AR154" s="5396">
        <v>49.633333333333333</v>
      </c>
      <c r="AS154" s="5396">
        <v>44.482758620689658</v>
      </c>
      <c r="AT154" s="5392">
        <f t="shared" si="289"/>
        <v>690.11814449917904</v>
      </c>
      <c r="AU154" s="5393">
        <f t="shared" si="279"/>
        <v>57.509845374931587</v>
      </c>
      <c r="AV154" s="555"/>
      <c r="AW154" s="5398">
        <v>39.482758620689658</v>
      </c>
      <c r="AX154" s="5396">
        <v>83.41379310344827</v>
      </c>
      <c r="AY154" s="5396">
        <v>58.96551724137931</v>
      </c>
      <c r="AZ154" s="5396">
        <v>63.586206896551722</v>
      </c>
      <c r="BA154" s="5396">
        <v>92.962962962962962</v>
      </c>
      <c r="BB154" s="5396">
        <v>58.074074074074076</v>
      </c>
      <c r="BC154" s="5399">
        <v>96.666666666666671</v>
      </c>
      <c r="BD154" s="5392">
        <v>61.851851851851855</v>
      </c>
      <c r="BE154" s="5392">
        <v>78.851851851851848</v>
      </c>
      <c r="BF154" s="5392">
        <v>63.555555555555557</v>
      </c>
      <c r="BG154" s="5392">
        <v>50.629629629629626</v>
      </c>
      <c r="BH154" s="5392">
        <v>43.555555555555557</v>
      </c>
      <c r="BI154" s="5392">
        <f t="shared" si="286"/>
        <v>791.59642401021711</v>
      </c>
      <c r="BJ154" s="5393">
        <f t="shared" si="280"/>
        <v>65.966368667518097</v>
      </c>
      <c r="BK154" s="2881"/>
      <c r="BL154" s="5398">
        <v>76.111111111111114</v>
      </c>
      <c r="BM154" s="5396">
        <v>47.25925925925926</v>
      </c>
      <c r="BN154" s="5396"/>
      <c r="BO154" s="5396"/>
      <c r="BP154" s="5396"/>
      <c r="BQ154" s="5396"/>
      <c r="BR154" s="5399"/>
      <c r="BS154" s="5392"/>
      <c r="BT154" s="5392"/>
      <c r="BU154" s="5392"/>
      <c r="BV154" s="5392"/>
      <c r="BW154" s="5392"/>
      <c r="BX154" s="5392">
        <f t="shared" si="287"/>
        <v>123.37037037037038</v>
      </c>
      <c r="BY154" s="5272">
        <f t="shared" si="281"/>
        <v>61.68518518518519</v>
      </c>
      <c r="BZ154" s="4837"/>
      <c r="CA154" s="169">
        <f t="shared" si="277"/>
        <v>-36.154533844189011</v>
      </c>
      <c r="CB154" s="169">
        <f t="shared" si="288"/>
        <v>8.4565232925865104</v>
      </c>
      <c r="CC154" s="169">
        <f>IFERROR(
  SUM(
    _xlfn.XLOOKUP(DATE(YEAR($A$1),1,1),$2:$2,154:154):
    _xlfn.XLOOKUP($A$1,$2:$2,154:154)
  )
 -SUM(
    _xlfn.XLOOKUP(DATE(YEAR($A$1)-1,1,1),$2:$2,154:154):
    _xlfn.XLOOKUP(EDATE($A$1,-12),$2:$2,154:154)
  ),"")</f>
        <v>0.47381864623244496</v>
      </c>
      <c r="CD154" s="4517">
        <f t="shared" si="278"/>
        <v>-28.851851851851855</v>
      </c>
    </row>
    <row r="155" spans="1:82" ht="17.600000000000001" x14ac:dyDescent="0.55000000000000004">
      <c r="A155" s="7382" t="s">
        <v>379</v>
      </c>
      <c r="B155" s="857" t="s">
        <v>543</v>
      </c>
      <c r="C155" s="858"/>
      <c r="D155" s="5341">
        <v>15.498480243161094</v>
      </c>
      <c r="E155" s="5342">
        <v>15.617647058823529</v>
      </c>
      <c r="F155" s="5342">
        <v>14.884057971014492</v>
      </c>
      <c r="G155" s="5342">
        <v>15.580844490216272</v>
      </c>
      <c r="H155" s="5342">
        <v>14.842369477911646</v>
      </c>
      <c r="I155" s="5342">
        <v>17.308943089430894</v>
      </c>
      <c r="J155" s="5342">
        <v>13.936873747494991</v>
      </c>
      <c r="K155" s="5342">
        <v>20.52361809045226</v>
      </c>
      <c r="L155" s="5342">
        <v>12.890890890890891</v>
      </c>
      <c r="M155" s="5342">
        <v>20.141732283464567</v>
      </c>
      <c r="N155" s="5342">
        <v>14.400579150579151</v>
      </c>
      <c r="O155" s="5342">
        <v>11.927289896128423</v>
      </c>
      <c r="P155" s="5342">
        <f t="shared" si="282"/>
        <v>187.55332638956821</v>
      </c>
      <c r="Q155" s="5343">
        <f t="shared" si="283"/>
        <v>15.62944386579735</v>
      </c>
      <c r="R155" s="2776"/>
      <c r="S155" s="5341">
        <v>13.482090997095838</v>
      </c>
      <c r="T155" s="5342">
        <v>18.630285152409048</v>
      </c>
      <c r="U155" s="5342">
        <v>14.90069513406157</v>
      </c>
      <c r="V155" s="5342">
        <v>14.290129611166501</v>
      </c>
      <c r="W155" s="5342">
        <v>15.596248766041461</v>
      </c>
      <c r="X155" s="5342">
        <v>14.869651741293533</v>
      </c>
      <c r="Y155" s="5342">
        <v>13.575356415478614</v>
      </c>
      <c r="Z155" s="5342">
        <v>23.20967741935484</v>
      </c>
      <c r="AA155" s="5342">
        <v>11.1880081300813</v>
      </c>
      <c r="AB155" s="5342">
        <v>20.691607684529828</v>
      </c>
      <c r="AC155" s="5342">
        <v>13.734999999999999</v>
      </c>
      <c r="AD155" s="5342">
        <v>11.722554890219561</v>
      </c>
      <c r="AE155" s="5342">
        <f t="shared" si="284"/>
        <v>185.89130594173207</v>
      </c>
      <c r="AF155" s="5343">
        <f t="shared" si="285"/>
        <v>15.490942161811006</v>
      </c>
      <c r="AG155" s="2776"/>
      <c r="AH155" s="5341">
        <v>22.40891472868217</v>
      </c>
      <c r="AI155" s="5342">
        <v>14.075670498084291</v>
      </c>
      <c r="AJ155" s="5342">
        <v>15.040076335877863</v>
      </c>
      <c r="AK155" s="5342">
        <v>14.739738805970148</v>
      </c>
      <c r="AL155" s="5342">
        <v>14.642529789184234</v>
      </c>
      <c r="AM155" s="5342">
        <v>13.41635687732342</v>
      </c>
      <c r="AN155" s="5342">
        <v>20.012891344383057</v>
      </c>
      <c r="AO155" s="5342">
        <v>14.998148148148148</v>
      </c>
      <c r="AP155" s="5342">
        <v>18.605621033544878</v>
      </c>
      <c r="AQ155" s="5342">
        <v>14.539838854073411</v>
      </c>
      <c r="AR155" s="5342">
        <v>13.370205173951829</v>
      </c>
      <c r="AS155" s="5342">
        <v>11.629858657243815</v>
      </c>
      <c r="AT155" s="5342">
        <f t="shared" si="289"/>
        <v>187.47985024646727</v>
      </c>
      <c r="AU155" s="5343">
        <f t="shared" si="279"/>
        <v>15.623320853872272</v>
      </c>
      <c r="AW155" s="5400">
        <v>10.474100087796312</v>
      </c>
      <c r="AX155" s="5342">
        <v>22.381378692927484</v>
      </c>
      <c r="AY155" s="5342">
        <v>15.32171581769437</v>
      </c>
      <c r="AZ155" s="5342">
        <v>20.10431654676259</v>
      </c>
      <c r="BA155" s="5342">
        <v>26.589253187613842</v>
      </c>
      <c r="BB155" s="5342">
        <v>16.49908592321755</v>
      </c>
      <c r="BC155" s="5342">
        <v>26.895756457564577</v>
      </c>
      <c r="BD155" s="5342">
        <v>16.432710280373833</v>
      </c>
      <c r="BE155" s="5342">
        <v>21.595704948646127</v>
      </c>
      <c r="BF155" s="5342">
        <v>14.50945179584121</v>
      </c>
      <c r="BG155" s="5342">
        <v>12.912181303116148</v>
      </c>
      <c r="BH155" s="5342">
        <v>11.812903225806451</v>
      </c>
      <c r="BI155" s="5342">
        <f t="shared" si="286"/>
        <v>215.52855826736052</v>
      </c>
      <c r="BJ155" s="5343">
        <f t="shared" si="280"/>
        <v>17.960713188946709</v>
      </c>
      <c r="BK155" s="4836"/>
      <c r="BL155" s="5400">
        <f>IFERROR('※ 영기팀 작성_가입자'!BL13/'※ 인력 세부데이터'!AW103,"")</f>
        <v>17.826401446654611</v>
      </c>
      <c r="BM155" s="5342">
        <f>IFERROR('※ 영기팀 작성_가입자'!BM13/'※ 인력 세부데이터'!AX103,"")</f>
        <v>10.842200180342651</v>
      </c>
      <c r="BN155" s="5342" t="str">
        <f>IFERROR('※ 영기팀 작성_가입자'!BN13/'※ 인력 세부데이터'!AY103,"")</f>
        <v/>
      </c>
      <c r="BO155" s="5342" t="str">
        <f>IFERROR('※ 영기팀 작성_가입자'!BO13/'※ 인력 세부데이터'!AZ103,"")</f>
        <v/>
      </c>
      <c r="BP155" s="5342" t="str">
        <f>IFERROR('※ 영기팀 작성_가입자'!BP13/'※ 인력 세부데이터'!BA103,"")</f>
        <v/>
      </c>
      <c r="BQ155" s="5342" t="str">
        <f>IFERROR('※ 영기팀 작성_가입자'!BQ13/'※ 인력 세부데이터'!BB103,"")</f>
        <v/>
      </c>
      <c r="BR155" s="5342" t="str">
        <f>IFERROR('※ 영기팀 작성_가입자'!BR13/'※ 인력 세부데이터'!BC103,"")</f>
        <v/>
      </c>
      <c r="BS155" s="5342" t="str">
        <f>IFERROR('※ 영기팀 작성_가입자'!BS13/'※ 인력 세부데이터'!BD103,"")</f>
        <v/>
      </c>
      <c r="BT155" s="5342" t="str">
        <f>IFERROR('※ 영기팀 작성_가입자'!BT13/'※ 인력 세부데이터'!BE103,"")</f>
        <v/>
      </c>
      <c r="BU155" s="5342" t="str">
        <f>IFERROR('※ 영기팀 작성_가입자'!BU13/'※ 인력 세부데이터'!BF103,"")</f>
        <v/>
      </c>
      <c r="BV155" s="5342" t="str">
        <f>IFERROR('※ 영기팀 작성_가입자'!BV13/'※ 인력 세부데이터'!BG103,"")</f>
        <v/>
      </c>
      <c r="BW155" s="5342" t="str">
        <f>IFERROR('※ 영기팀 작성_가입자'!BW13/'※ 인력 세부데이터'!BH103,"")</f>
        <v/>
      </c>
      <c r="BX155" s="5342">
        <f t="shared" si="287"/>
        <v>28.668601626997262</v>
      </c>
      <c r="BY155" s="5238">
        <f t="shared" si="281"/>
        <v>14.334300813498631</v>
      </c>
      <c r="CA155" s="169">
        <f t="shared" si="277"/>
        <v>-11.539178512584833</v>
      </c>
      <c r="CB155" s="169">
        <f t="shared" si="288"/>
        <v>2.337392335074437</v>
      </c>
      <c r="CC155" s="169">
        <f>IFERROR(
  SUM(
    _xlfn.XLOOKUP(DATE(YEAR($A$1),1,1),$2:$2,155:155):
    _xlfn.XLOOKUP($A$1,$2:$2,155:155)
  )
 -SUM(
    _xlfn.XLOOKUP(DATE(YEAR($A$1)-1,1,1),$2:$2,155:155):
    _xlfn.XLOOKUP(EDATE($A$1,-12),$2:$2,155:155)
  ),"")</f>
        <v>-4.1868771537265381</v>
      </c>
      <c r="CD155" s="4517">
        <f t="shared" si="278"/>
        <v>-6.9842012663119597</v>
      </c>
    </row>
    <row r="156" spans="1:82" ht="17.600000000000001" x14ac:dyDescent="0.55000000000000004">
      <c r="A156" s="7383"/>
      <c r="B156" s="2034" t="s">
        <v>206</v>
      </c>
      <c r="C156" s="1900"/>
      <c r="D156" s="5347">
        <v>15.278787878787879</v>
      </c>
      <c r="E156" s="5348">
        <v>14.55952380952381</v>
      </c>
      <c r="F156" s="5348">
        <v>13.937888198757763</v>
      </c>
      <c r="G156" s="5348">
        <v>14.24223602484472</v>
      </c>
      <c r="H156" s="5348">
        <v>13.987730061349692</v>
      </c>
      <c r="I156" s="5348">
        <v>15.446540880503145</v>
      </c>
      <c r="J156" s="5348">
        <v>13.745341614906833</v>
      </c>
      <c r="K156" s="5348">
        <v>19.881987577639752</v>
      </c>
      <c r="L156" s="5348">
        <v>12.260869565217391</v>
      </c>
      <c r="M156" s="5348">
        <v>19.615853658536587</v>
      </c>
      <c r="N156" s="5348">
        <v>13.918749999999999</v>
      </c>
      <c r="O156" s="5348">
        <v>11.717791411042946</v>
      </c>
      <c r="P156" s="5348">
        <f t="shared" si="282"/>
        <v>178.59330068111052</v>
      </c>
      <c r="Q156" s="5349">
        <f t="shared" si="283"/>
        <v>14.882775056759209</v>
      </c>
      <c r="R156" s="2776"/>
      <c r="S156" s="5347">
        <v>13.229813664596273</v>
      </c>
      <c r="T156" s="5348">
        <v>17.791411042944784</v>
      </c>
      <c r="U156" s="5348">
        <v>14.471698113207546</v>
      </c>
      <c r="V156" s="5348">
        <v>14.596153846153847</v>
      </c>
      <c r="W156" s="5348">
        <v>16.258064516129032</v>
      </c>
      <c r="X156" s="5348">
        <v>15.07741935483871</v>
      </c>
      <c r="Y156" s="5348">
        <v>13.69032258064516</v>
      </c>
      <c r="Z156" s="5348">
        <v>22.61783439490446</v>
      </c>
      <c r="AA156" s="5348">
        <v>11.151315789473685</v>
      </c>
      <c r="AB156" s="5348">
        <v>20.226415094339622</v>
      </c>
      <c r="AC156" s="5348">
        <v>13.962732919254659</v>
      </c>
      <c r="AD156" s="5348">
        <v>10.75609756097561</v>
      </c>
      <c r="AE156" s="5348">
        <f t="shared" si="284"/>
        <v>183.82927887746337</v>
      </c>
      <c r="AF156" s="5349">
        <f t="shared" si="285"/>
        <v>15.319106573121948</v>
      </c>
      <c r="AG156" s="2776"/>
      <c r="AH156" s="5401">
        <v>20.172527318576634</v>
      </c>
      <c r="AI156" s="5402">
        <v>12.26021505376344</v>
      </c>
      <c r="AJ156" s="5402">
        <v>12.322916666666668</v>
      </c>
      <c r="AK156" s="5402">
        <v>12.607149675448644</v>
      </c>
      <c r="AL156" s="5402">
        <v>12.508838383838384</v>
      </c>
      <c r="AM156" s="5402">
        <v>11.40965101636985</v>
      </c>
      <c r="AN156" s="5402">
        <v>18.122643288084465</v>
      </c>
      <c r="AO156" s="5402">
        <v>13.610593098144767</v>
      </c>
      <c r="AP156" s="5402">
        <v>16.372981472038077</v>
      </c>
      <c r="AQ156" s="5402">
        <v>12.821428571428571</v>
      </c>
      <c r="AR156" s="5402">
        <v>11.93874256584537</v>
      </c>
      <c r="AS156" s="5402">
        <v>10.468181818181819</v>
      </c>
      <c r="AT156" s="5348">
        <f t="shared" si="289"/>
        <v>164.6158689283867</v>
      </c>
      <c r="AU156" s="5349">
        <f t="shared" si="279"/>
        <v>13.717989077365559</v>
      </c>
      <c r="AW156" s="5403">
        <v>9.5396997497914917</v>
      </c>
      <c r="AX156" s="5348">
        <v>19.209005947323703</v>
      </c>
      <c r="AY156" s="5348">
        <v>13.295956873315363</v>
      </c>
      <c r="AZ156" s="5348">
        <v>19.188395746648176</v>
      </c>
      <c r="BA156" s="5348">
        <v>25.52797041146556</v>
      </c>
      <c r="BB156" s="5402">
        <v>15.286348501664817</v>
      </c>
      <c r="BC156" s="5348">
        <v>24.3125</v>
      </c>
      <c r="BD156" s="5348">
        <v>14.916764705882354</v>
      </c>
      <c r="BE156" s="5348">
        <v>20.12778268118074</v>
      </c>
      <c r="BF156" s="5348">
        <v>12.837697343088179</v>
      </c>
      <c r="BG156" s="5348">
        <v>11.599278499278498</v>
      </c>
      <c r="BH156" s="5348">
        <v>10.475257158743396</v>
      </c>
      <c r="BI156" s="5348">
        <f t="shared" si="286"/>
        <v>196.31665761838227</v>
      </c>
      <c r="BJ156" s="5349">
        <f t="shared" si="280"/>
        <v>16.359721468198522</v>
      </c>
      <c r="BK156" s="4836"/>
      <c r="BL156" s="5403">
        <f>IFERROR('※ 영기팀 작성_가입자'!BL19/'※ 인력 세부데이터'!AW104,"")</f>
        <v>16.576923076923077</v>
      </c>
      <c r="BM156" s="5348">
        <f>IFERROR('※ 영기팀 작성_가입자'!BM19/'※ 인력 세부데이터'!AX104,"")</f>
        <v>10.034146341463414</v>
      </c>
      <c r="BN156" s="5348" t="str">
        <f>IFERROR('※ 영기팀 작성_가입자'!BN19/'※ 인력 세부데이터'!AY104,"")</f>
        <v/>
      </c>
      <c r="BO156" s="5348" t="str">
        <f>IFERROR('※ 영기팀 작성_가입자'!BO19/'※ 인력 세부데이터'!AZ104,"")</f>
        <v/>
      </c>
      <c r="BP156" s="5348" t="str">
        <f>IFERROR('※ 영기팀 작성_가입자'!BP19/'※ 인력 세부데이터'!BA104,"")</f>
        <v/>
      </c>
      <c r="BQ156" s="5402" t="str">
        <f>IFERROR('※ 영기팀 작성_가입자'!BQ19/'※ 인력 세부데이터'!BB104,"")</f>
        <v/>
      </c>
      <c r="BR156" s="5348" t="str">
        <f>IFERROR('※ 영기팀 작성_가입자'!BR19/'※ 인력 세부데이터'!BC104,"")</f>
        <v/>
      </c>
      <c r="BS156" s="5348" t="str">
        <f>IFERROR('※ 영기팀 작성_가입자'!BS19/'※ 인력 세부데이터'!BD104,"")</f>
        <v/>
      </c>
      <c r="BT156" s="5348" t="str">
        <f>IFERROR('※ 영기팀 작성_가입자'!BT19/'※ 인력 세부데이터'!BE104,"")</f>
        <v/>
      </c>
      <c r="BU156" s="5348" t="str">
        <f>IFERROR('※ 영기팀 작성_가입자'!BU19/'※ 인력 세부데이터'!BF104,"")</f>
        <v/>
      </c>
      <c r="BV156" s="5348" t="str">
        <f>IFERROR('※ 영기팀 작성_가입자'!BV19/'※ 인력 세부데이터'!BG104,"")</f>
        <v/>
      </c>
      <c r="BW156" s="5348" t="str">
        <f>IFERROR('※ 영기팀 작성_가입자'!BW19/'※ 인력 세부데이터'!BH104,"")</f>
        <v/>
      </c>
      <c r="BX156" s="5348">
        <f t="shared" si="287"/>
        <v>26.611069418386492</v>
      </c>
      <c r="BY156" s="5244">
        <f t="shared" si="281"/>
        <v>13.305534709193246</v>
      </c>
      <c r="CA156" s="169">
        <f t="shared" si="277"/>
        <v>-9.1748596058602896</v>
      </c>
      <c r="CB156" s="169">
        <f t="shared" si="288"/>
        <v>2.6417323908329635</v>
      </c>
      <c r="CC156" s="169">
        <f>IFERROR(
  SUM(
    _xlfn.XLOOKUP(DATE(YEAR($A$1),1,1),$2:$2,156:156):
    _xlfn.XLOOKUP($A$1,$2:$2,156:156)
  )
 -SUM(
    _xlfn.XLOOKUP(DATE(YEAR($A$1)-1,1,1),$2:$2,156:156):
    _xlfn.XLOOKUP(EDATE($A$1,-12),$2:$2,156:156)
  ),"")</f>
        <v>-2.1376362787287029</v>
      </c>
      <c r="CD156" s="4517">
        <f t="shared" si="278"/>
        <v>-6.5427767354596629</v>
      </c>
    </row>
    <row r="157" spans="1:82" ht="17.600000000000001" x14ac:dyDescent="0.55000000000000004">
      <c r="A157" s="7383"/>
      <c r="B157" s="2041" t="s">
        <v>207</v>
      </c>
      <c r="C157" s="1576"/>
      <c r="D157" s="5354">
        <v>14.25287356321839</v>
      </c>
      <c r="E157" s="5355">
        <v>14.594117647058823</v>
      </c>
      <c r="F157" s="5355">
        <v>13.170731707317072</v>
      </c>
      <c r="G157" s="5355">
        <v>15.625766871165645</v>
      </c>
      <c r="H157" s="5355">
        <v>14.58235294117647</v>
      </c>
      <c r="I157" s="5355">
        <v>16.065088757396449</v>
      </c>
      <c r="J157" s="5355">
        <v>13.31764705882353</v>
      </c>
      <c r="K157" s="5355">
        <v>19.146198830409357</v>
      </c>
      <c r="L157" s="5355">
        <v>13.351515151515152</v>
      </c>
      <c r="M157" s="5355">
        <v>20.847953216374268</v>
      </c>
      <c r="N157" s="5355">
        <v>13.926966292134832</v>
      </c>
      <c r="O157" s="5355">
        <v>10.950276243093922</v>
      </c>
      <c r="P157" s="5355">
        <f t="shared" si="282"/>
        <v>179.83148827968392</v>
      </c>
      <c r="Q157" s="5356">
        <f t="shared" si="283"/>
        <v>14.985957356640327</v>
      </c>
      <c r="R157" s="2776"/>
      <c r="S157" s="5354">
        <v>13.17877094972067</v>
      </c>
      <c r="T157" s="5355">
        <v>16.90960451977401</v>
      </c>
      <c r="U157" s="5355">
        <v>13.787356321839081</v>
      </c>
      <c r="V157" s="5355">
        <v>12.920454545454545</v>
      </c>
      <c r="W157" s="5355">
        <v>15.017142857142858</v>
      </c>
      <c r="X157" s="5355">
        <v>14.017341040462428</v>
      </c>
      <c r="Y157" s="5355">
        <v>12.682080924855491</v>
      </c>
      <c r="Z157" s="5355">
        <v>21.267441860465116</v>
      </c>
      <c r="AA157" s="5355">
        <v>10.362573099415204</v>
      </c>
      <c r="AB157" s="5355">
        <v>20.189655172413794</v>
      </c>
      <c r="AC157" s="5355">
        <v>12.931034482758621</v>
      </c>
      <c r="AD157" s="5355">
        <v>11.137142857142857</v>
      </c>
      <c r="AE157" s="5355">
        <f t="shared" si="284"/>
        <v>174.40059863144469</v>
      </c>
      <c r="AF157" s="5356">
        <f t="shared" si="285"/>
        <v>14.533383219287058</v>
      </c>
      <c r="AG157" s="2776"/>
      <c r="AH157" s="5404">
        <v>21.741646396108052</v>
      </c>
      <c r="AI157" s="5405">
        <v>13.187701462930821</v>
      </c>
      <c r="AJ157" s="5405">
        <v>14.767188693659282</v>
      </c>
      <c r="AK157" s="5405">
        <v>14.258830620855937</v>
      </c>
      <c r="AL157" s="5405">
        <v>14.378977272727273</v>
      </c>
      <c r="AM157" s="5405">
        <v>12.832035053554041</v>
      </c>
      <c r="AN157" s="5405">
        <v>19.504475084663767</v>
      </c>
      <c r="AO157" s="5405">
        <v>14.762820512820513</v>
      </c>
      <c r="AP157" s="5405">
        <v>18.663443396226413</v>
      </c>
      <c r="AQ157" s="5405">
        <v>14.78306208559373</v>
      </c>
      <c r="AR157" s="5405">
        <v>13.977678571428571</v>
      </c>
      <c r="AS157" s="5405">
        <v>12.070812365204889</v>
      </c>
      <c r="AT157" s="5355">
        <f t="shared" si="289"/>
        <v>184.92867151577329</v>
      </c>
      <c r="AU157" s="5356">
        <f t="shared" si="279"/>
        <v>15.41072262631444</v>
      </c>
      <c r="AW157" s="5406">
        <v>11.511409151596066</v>
      </c>
      <c r="AX157" s="5355">
        <v>22.991949685534593</v>
      </c>
      <c r="AY157" s="5355">
        <v>15.72768974145121</v>
      </c>
      <c r="AZ157" s="5355">
        <v>24.083666333666336</v>
      </c>
      <c r="BA157" s="5355">
        <v>32.080863566683696</v>
      </c>
      <c r="BB157" s="5405">
        <v>18.336440129449841</v>
      </c>
      <c r="BC157" s="5355">
        <v>29.040697674418606</v>
      </c>
      <c r="BD157" s="5355">
        <v>17.287055016181228</v>
      </c>
      <c r="BE157" s="5355">
        <v>23.128025889967638</v>
      </c>
      <c r="BF157" s="5355">
        <v>15.245576923076923</v>
      </c>
      <c r="BG157" s="5355">
        <v>12.699685534591195</v>
      </c>
      <c r="BH157" s="5355">
        <v>12.983371768418497</v>
      </c>
      <c r="BI157" s="5355">
        <f t="shared" si="286"/>
        <v>235.11643141503581</v>
      </c>
      <c r="BJ157" s="5356">
        <f t="shared" si="280"/>
        <v>19.593035951252983</v>
      </c>
      <c r="BK157" s="4836"/>
      <c r="BL157" s="5406">
        <f>IFERROR('※ 영기팀 작성_가입자'!BL20/'※ 인력 세부데이터'!AW105,"")</f>
        <v>18.562841530054644</v>
      </c>
      <c r="BM157" s="5355">
        <f>IFERROR('※ 영기팀 작성_가입자'!BM20/'※ 인력 세부데이터'!AX105,"")</f>
        <v>11.263440860215054</v>
      </c>
      <c r="BN157" s="5355" t="str">
        <f>IFERROR('※ 영기팀 작성_가입자'!BN20/'※ 인력 세부데이터'!AY105,"")</f>
        <v/>
      </c>
      <c r="BO157" s="5355" t="str">
        <f>IFERROR('※ 영기팀 작성_가입자'!BO20/'※ 인력 세부데이터'!AZ105,"")</f>
        <v/>
      </c>
      <c r="BP157" s="5355" t="str">
        <f>IFERROR('※ 영기팀 작성_가입자'!BP20/'※ 인력 세부데이터'!BA105,"")</f>
        <v/>
      </c>
      <c r="BQ157" s="5405" t="str">
        <f>IFERROR('※ 영기팀 작성_가입자'!BQ20/'※ 인력 세부데이터'!BB105,"")</f>
        <v/>
      </c>
      <c r="BR157" s="5355" t="str">
        <f>IFERROR('※ 영기팀 작성_가입자'!BR20/'※ 인력 세부데이터'!BC105,"")</f>
        <v/>
      </c>
      <c r="BS157" s="5355" t="str">
        <f>IFERROR('※ 영기팀 작성_가입자'!BS20/'※ 인력 세부데이터'!BD105,"")</f>
        <v/>
      </c>
      <c r="BT157" s="5355" t="str">
        <f>IFERROR('※ 영기팀 작성_가입자'!BT20/'※ 인력 세부데이터'!BE105,"")</f>
        <v/>
      </c>
      <c r="BU157" s="5355" t="str">
        <f>IFERROR('※ 영기팀 작성_가입자'!BU20/'※ 인력 세부데이터'!BF105,"")</f>
        <v/>
      </c>
      <c r="BV157" s="5355" t="str">
        <f>IFERROR('※ 영기팀 작성_가입자'!BV20/'※ 인력 세부데이터'!BG105,"")</f>
        <v/>
      </c>
      <c r="BW157" s="5355" t="str">
        <f>IFERROR('※ 영기팀 작성_가입자'!BW20/'※ 인력 세부데이터'!BH105,"")</f>
        <v/>
      </c>
      <c r="BX157" s="5355">
        <f t="shared" si="287"/>
        <v>29.826282390269697</v>
      </c>
      <c r="BY157" s="5247">
        <f t="shared" si="281"/>
        <v>14.913141195134848</v>
      </c>
      <c r="CA157" s="169">
        <f t="shared" si="277"/>
        <v>-11.728508825319539</v>
      </c>
      <c r="CB157" s="169">
        <f t="shared" si="288"/>
        <v>4.1823133249385425</v>
      </c>
      <c r="CC157" s="169">
        <f>IFERROR(
  SUM(
    _xlfn.XLOOKUP(DATE(YEAR($A$1),1,1),$2:$2,157:157):
    _xlfn.XLOOKUP($A$1,$2:$2,157:157)
  )
 -SUM(
    _xlfn.XLOOKUP(DATE(YEAR($A$1)-1,1,1),$2:$2,157:157):
    _xlfn.XLOOKUP(EDATE($A$1,-12),$2:$2,157:157)
  ),"")</f>
        <v>-4.6770764468609656</v>
      </c>
      <c r="CD157" s="4517">
        <f t="shared" si="278"/>
        <v>-7.2994006698395903</v>
      </c>
    </row>
    <row r="158" spans="1:82" ht="17.600000000000001" x14ac:dyDescent="0.55000000000000004">
      <c r="A158" s="7383"/>
      <c r="B158" s="2041" t="s">
        <v>208</v>
      </c>
      <c r="C158" s="1576"/>
      <c r="D158" s="5354">
        <v>15.784313725490197</v>
      </c>
      <c r="E158" s="5355">
        <v>15.280193236714975</v>
      </c>
      <c r="F158" s="5355">
        <v>14.811320754716981</v>
      </c>
      <c r="G158" s="5355">
        <v>15.719047619047618</v>
      </c>
      <c r="H158" s="5355">
        <v>15.634615384615385</v>
      </c>
      <c r="I158" s="5355">
        <v>18.019323671497585</v>
      </c>
      <c r="J158" s="5355">
        <v>14.457142857142857</v>
      </c>
      <c r="K158" s="5355">
        <v>20.135514018691588</v>
      </c>
      <c r="L158" s="5355">
        <v>13.651376146788991</v>
      </c>
      <c r="M158" s="5355">
        <v>19.951541850220263</v>
      </c>
      <c r="N158" s="5355">
        <v>14.807860262008735</v>
      </c>
      <c r="O158" s="5355">
        <v>12.331896551724139</v>
      </c>
      <c r="P158" s="5355">
        <f t="shared" si="282"/>
        <v>190.58414607865933</v>
      </c>
      <c r="Q158" s="5356">
        <f t="shared" si="283"/>
        <v>15.882012173221611</v>
      </c>
      <c r="R158" s="2776"/>
      <c r="S158" s="5354">
        <v>14.112107623318385</v>
      </c>
      <c r="T158" s="5355">
        <v>18.05</v>
      </c>
      <c r="U158" s="5355">
        <v>15.303571428571429</v>
      </c>
      <c r="V158" s="5355">
        <v>14.72072072072072</v>
      </c>
      <c r="W158" s="5355">
        <v>14.886877828054299</v>
      </c>
      <c r="X158" s="5355">
        <v>15.288990825688073</v>
      </c>
      <c r="Y158" s="5355">
        <v>13.901408450704226</v>
      </c>
      <c r="Z158" s="5355">
        <v>22.887323943661972</v>
      </c>
      <c r="AA158" s="5355">
        <v>11.022935779816514</v>
      </c>
      <c r="AB158" s="5355">
        <v>20.851851851851851</v>
      </c>
      <c r="AC158" s="5355">
        <v>14.188940092165899</v>
      </c>
      <c r="AD158" s="5355">
        <v>11.811059907834101</v>
      </c>
      <c r="AE158" s="5355">
        <f t="shared" si="284"/>
        <v>187.02578845238747</v>
      </c>
      <c r="AF158" s="5356">
        <f t="shared" si="285"/>
        <v>15.58548237103229</v>
      </c>
      <c r="AG158" s="2776"/>
      <c r="AH158" s="5404">
        <v>22.484660033167494</v>
      </c>
      <c r="AI158" s="5405">
        <v>15.514598540145986</v>
      </c>
      <c r="AJ158" s="5405">
        <v>15.567192691029899</v>
      </c>
      <c r="AK158" s="5405">
        <v>15.410541586073501</v>
      </c>
      <c r="AL158" s="5405">
        <v>15.56313966304519</v>
      </c>
      <c r="AM158" s="5405">
        <v>13.685921717171716</v>
      </c>
      <c r="AN158" s="5405">
        <v>18.628121878121878</v>
      </c>
      <c r="AO158" s="5405">
        <v>15.397777777777778</v>
      </c>
      <c r="AP158" s="5405">
        <v>18.181972038263432</v>
      </c>
      <c r="AQ158" s="5405">
        <v>15.621432648401825</v>
      </c>
      <c r="AR158" s="5405">
        <v>13.34839527027027</v>
      </c>
      <c r="AS158" s="5405">
        <v>11.863446286950253</v>
      </c>
      <c r="AT158" s="5355">
        <f t="shared" si="289"/>
        <v>191.26720013041921</v>
      </c>
      <c r="AU158" s="5356">
        <f t="shared" si="279"/>
        <v>15.938933344201601</v>
      </c>
      <c r="AW158" s="5406">
        <v>11.171008637503483</v>
      </c>
      <c r="AX158" s="5355">
        <v>22.828695776255707</v>
      </c>
      <c r="AY158" s="5355">
        <v>15.250960307298335</v>
      </c>
      <c r="AZ158" s="5355">
        <v>19.479877265591551</v>
      </c>
      <c r="BA158" s="5355">
        <v>25.946347517730494</v>
      </c>
      <c r="BB158" s="5405">
        <v>17.416126656848306</v>
      </c>
      <c r="BC158" s="5355">
        <v>26.487288135593221</v>
      </c>
      <c r="BD158" s="5355">
        <v>17.305706745835394</v>
      </c>
      <c r="BE158" s="5355">
        <v>21.967601547388782</v>
      </c>
      <c r="BF158" s="5355">
        <v>14.612635288195317</v>
      </c>
      <c r="BG158" s="5355">
        <v>13.620652640618291</v>
      </c>
      <c r="BH158" s="5355">
        <v>12.014835164835166</v>
      </c>
      <c r="BI158" s="5355">
        <f t="shared" si="286"/>
        <v>218.10173568369405</v>
      </c>
      <c r="BJ158" s="5356">
        <f t="shared" si="280"/>
        <v>18.175144640307838</v>
      </c>
      <c r="BK158" s="4836"/>
      <c r="BL158" s="5406">
        <f>IFERROR('※ 영기팀 작성_가입자'!BL21/'※ 인력 세부데이터'!AW106,"")</f>
        <v>17.620253164556964</v>
      </c>
      <c r="BM158" s="5355">
        <f>IFERROR('※ 영기팀 작성_가입자'!BM21/'※ 인력 세부데이터'!AX106,"")</f>
        <v>10.991525423728811</v>
      </c>
      <c r="BN158" s="5355" t="str">
        <f>IFERROR('※ 영기팀 작성_가입자'!BN21/'※ 인력 세부데이터'!AY106,"")</f>
        <v/>
      </c>
      <c r="BO158" s="5355" t="str">
        <f>IFERROR('※ 영기팀 작성_가입자'!BO21/'※ 인력 세부데이터'!AZ106,"")</f>
        <v/>
      </c>
      <c r="BP158" s="5355" t="str">
        <f>IFERROR('※ 영기팀 작성_가입자'!BP21/'※ 인력 세부데이터'!BA106,"")</f>
        <v/>
      </c>
      <c r="BQ158" s="5405" t="str">
        <f>IFERROR('※ 영기팀 작성_가입자'!BQ21/'※ 인력 세부데이터'!BB106,"")</f>
        <v/>
      </c>
      <c r="BR158" s="5355" t="str">
        <f>IFERROR('※ 영기팀 작성_가입자'!BR21/'※ 인력 세부데이터'!BC106,"")</f>
        <v/>
      </c>
      <c r="BS158" s="5355" t="str">
        <f>IFERROR('※ 영기팀 작성_가입자'!BS21/'※ 인력 세부데이터'!BD106,"")</f>
        <v/>
      </c>
      <c r="BT158" s="5355" t="str">
        <f>IFERROR('※ 영기팀 작성_가입자'!BT21/'※ 인력 세부데이터'!BE106,"")</f>
        <v/>
      </c>
      <c r="BU158" s="5355" t="str">
        <f>IFERROR('※ 영기팀 작성_가입자'!BU21/'※ 인력 세부데이터'!BF106,"")</f>
        <v/>
      </c>
      <c r="BV158" s="5355" t="str">
        <f>IFERROR('※ 영기팀 작성_가입자'!BV21/'※ 인력 세부데이터'!BG106,"")</f>
        <v/>
      </c>
      <c r="BW158" s="5355" t="str">
        <f>IFERROR('※ 영기팀 작성_가입자'!BW21/'※ 인력 세부데이터'!BH106,"")</f>
        <v/>
      </c>
      <c r="BX158" s="5355">
        <f t="shared" si="287"/>
        <v>28.611778588285773</v>
      </c>
      <c r="BY158" s="5247">
        <f t="shared" si="281"/>
        <v>14.305889294142887</v>
      </c>
      <c r="CA158" s="169">
        <f t="shared" si="277"/>
        <v>-11.837170352526895</v>
      </c>
      <c r="CB158" s="169">
        <f t="shared" si="288"/>
        <v>2.2362112961062373</v>
      </c>
      <c r="CC158" s="169">
        <f>IFERROR(
  SUM(
    _xlfn.XLOOKUP(DATE(YEAR($A$1),1,1),$2:$2,158:158):
    _xlfn.XLOOKUP($A$1,$2:$2,158:158)
  )
 -SUM(
    _xlfn.XLOOKUP(DATE(YEAR($A$1)-1,1,1),$2:$2,158:158):
    _xlfn.XLOOKUP(EDATE($A$1,-12),$2:$2,158:158)
  ),"")</f>
        <v>-5.3879258254734168</v>
      </c>
      <c r="CD158" s="4517">
        <f t="shared" si="278"/>
        <v>-6.6287277408281522</v>
      </c>
    </row>
    <row r="159" spans="1:82" ht="17.600000000000001" x14ac:dyDescent="0.55000000000000004">
      <c r="A159" s="7383"/>
      <c r="B159" s="2041" t="s">
        <v>209</v>
      </c>
      <c r="C159" s="1576"/>
      <c r="D159" s="5354">
        <v>16.597510373443985</v>
      </c>
      <c r="E159" s="5355">
        <v>16.762295081967213</v>
      </c>
      <c r="F159" s="5355">
        <v>16.258620689655171</v>
      </c>
      <c r="G159" s="5355">
        <v>16.415966386554622</v>
      </c>
      <c r="H159" s="5355">
        <v>15.376518218623481</v>
      </c>
      <c r="I159" s="5355">
        <v>18.252964426877469</v>
      </c>
      <c r="J159" s="5355">
        <v>13.752851711026617</v>
      </c>
      <c r="K159" s="5355">
        <v>21.202334630350194</v>
      </c>
      <c r="L159" s="5355">
        <v>12.279693486590038</v>
      </c>
      <c r="M159" s="5355">
        <v>19.980158730158731</v>
      </c>
      <c r="N159" s="5355">
        <v>15.236434108527131</v>
      </c>
      <c r="O159" s="5355">
        <v>12.806949806949808</v>
      </c>
      <c r="P159" s="5355">
        <f t="shared" si="282"/>
        <v>194.92229765072449</v>
      </c>
      <c r="Q159" s="5356">
        <f t="shared" si="283"/>
        <v>16.243524804227039</v>
      </c>
      <c r="R159" s="2776"/>
      <c r="S159" s="5354">
        <v>14.33984375</v>
      </c>
      <c r="T159" s="5355">
        <v>20.488188976377952</v>
      </c>
      <c r="U159" s="5355">
        <v>15.242063492063492</v>
      </c>
      <c r="V159" s="5355">
        <v>14.875</v>
      </c>
      <c r="W159" s="5355">
        <v>16.225296442687746</v>
      </c>
      <c r="X159" s="5355">
        <v>15.5098814229249</v>
      </c>
      <c r="Y159" s="5355">
        <v>13.371428571428572</v>
      </c>
      <c r="Z159" s="5355">
        <v>25.592592592592592</v>
      </c>
      <c r="AA159" s="5355">
        <v>12.07563025210084</v>
      </c>
      <c r="AB159" s="5355">
        <v>21.563025210084035</v>
      </c>
      <c r="AC159" s="5355">
        <v>13.920833333333333</v>
      </c>
      <c r="AD159" s="5355">
        <v>12.497907949790795</v>
      </c>
      <c r="AE159" s="5355">
        <f t="shared" si="284"/>
        <v>195.70169199338426</v>
      </c>
      <c r="AF159" s="5356">
        <f t="shared" si="285"/>
        <v>16.308474332782023</v>
      </c>
      <c r="AG159" s="2776"/>
      <c r="AH159" s="5404">
        <v>25.874666666666666</v>
      </c>
      <c r="AI159" s="5405">
        <v>15.40994623655914</v>
      </c>
      <c r="AJ159" s="5405">
        <v>16.723140495867767</v>
      </c>
      <c r="AK159" s="5405">
        <v>16.358115431513344</v>
      </c>
      <c r="AL159" s="5405">
        <v>16.224153383266117</v>
      </c>
      <c r="AM159" s="5405">
        <v>15.11301652892562</v>
      </c>
      <c r="AN159" s="5405">
        <v>23.930925818603303</v>
      </c>
      <c r="AO159" s="5405">
        <v>16.707590902506155</v>
      </c>
      <c r="AP159" s="5405">
        <v>21.207627118644069</v>
      </c>
      <c r="AQ159" s="5405">
        <v>15.979000135482998</v>
      </c>
      <c r="AR159" s="5405">
        <v>14.467382888114596</v>
      </c>
      <c r="AS159" s="5405">
        <v>12.193824404761905</v>
      </c>
      <c r="AT159" s="5355">
        <f t="shared" si="289"/>
        <v>210.18939001091167</v>
      </c>
      <c r="AU159" s="5356">
        <f t="shared" si="279"/>
        <v>17.515782500909307</v>
      </c>
      <c r="AW159" s="5406">
        <v>10.310368887270961</v>
      </c>
      <c r="AX159" s="5355">
        <v>25.432064516129032</v>
      </c>
      <c r="AY159" s="5355">
        <v>17.673553719008265</v>
      </c>
      <c r="AZ159" s="5355">
        <v>22.090337969495398</v>
      </c>
      <c r="BA159" s="5355">
        <v>27.20737704918033</v>
      </c>
      <c r="BB159" s="5405">
        <v>17.928745762711863</v>
      </c>
      <c r="BC159" s="5355">
        <v>30.656903765690377</v>
      </c>
      <c r="BD159" s="5355">
        <v>18.005234861346917</v>
      </c>
      <c r="BE159" s="5355">
        <v>23.253465488759606</v>
      </c>
      <c r="BF159" s="5355">
        <v>17.106721056721057</v>
      </c>
      <c r="BG159" s="5355">
        <v>14.633777239709445</v>
      </c>
      <c r="BH159" s="5355">
        <v>12.801826515730259</v>
      </c>
      <c r="BI159" s="5355">
        <f t="shared" si="286"/>
        <v>237.10037683175349</v>
      </c>
      <c r="BJ159" s="5356">
        <f t="shared" si="280"/>
        <v>19.758364735979459</v>
      </c>
      <c r="BK159" s="4836"/>
      <c r="BL159" s="5406">
        <f>IFERROR('※ 영기팀 작성_가입자'!BL22/'※ 인력 세부데이터'!AW107,"")</f>
        <v>19.024000000000001</v>
      </c>
      <c r="BM159" s="5355">
        <f>IFERROR('※ 영기팀 작성_가입자'!BM22/'※ 인력 세부데이터'!AX107,"")</f>
        <v>11.242063492063492</v>
      </c>
      <c r="BN159" s="5355" t="str">
        <f>IFERROR('※ 영기팀 작성_가입자'!BN22/'※ 인력 세부데이터'!AY107,"")</f>
        <v/>
      </c>
      <c r="BO159" s="5355" t="str">
        <f>IFERROR('※ 영기팀 작성_가입자'!BO22/'※ 인력 세부데이터'!AZ107,"")</f>
        <v/>
      </c>
      <c r="BP159" s="5355" t="str">
        <f>IFERROR('※ 영기팀 작성_가입자'!BP22/'※ 인력 세부데이터'!BA107,"")</f>
        <v/>
      </c>
      <c r="BQ159" s="5405" t="str">
        <f>IFERROR('※ 영기팀 작성_가입자'!BQ22/'※ 인력 세부데이터'!BB107,"")</f>
        <v/>
      </c>
      <c r="BR159" s="5355" t="str">
        <f>IFERROR('※ 영기팀 작성_가입자'!BR22/'※ 인력 세부데이터'!BC107,"")</f>
        <v/>
      </c>
      <c r="BS159" s="5355" t="str">
        <f>IFERROR('※ 영기팀 작성_가입자'!BS22/'※ 인력 세부데이터'!BD107,"")</f>
        <v/>
      </c>
      <c r="BT159" s="5355" t="str">
        <f>IFERROR('※ 영기팀 작성_가입자'!BT22/'※ 인력 세부데이터'!BE107,"")</f>
        <v/>
      </c>
      <c r="BU159" s="5355" t="str">
        <f>IFERROR('※ 영기팀 작성_가입자'!BU22/'※ 인력 세부데이터'!BF107,"")</f>
        <v/>
      </c>
      <c r="BV159" s="5355" t="str">
        <f>IFERROR('※ 영기팀 작성_가입자'!BV22/'※ 인력 세부데이터'!BG107,"")</f>
        <v/>
      </c>
      <c r="BW159" s="5355" t="str">
        <f>IFERROR('※ 영기팀 작성_가입자'!BW22/'※ 인력 세부데이터'!BH107,"")</f>
        <v/>
      </c>
      <c r="BX159" s="5355">
        <f t="shared" si="287"/>
        <v>30.266063492063495</v>
      </c>
      <c r="BY159" s="5247">
        <f t="shared" si="281"/>
        <v>15.133031746031747</v>
      </c>
      <c r="CA159" s="169">
        <f t="shared" si="277"/>
        <v>-14.190001024065539</v>
      </c>
      <c r="CB159" s="169">
        <f t="shared" si="288"/>
        <v>2.2425822350701523</v>
      </c>
      <c r="CC159" s="169">
        <f>IFERROR(
  SUM(
    _xlfn.XLOOKUP(DATE(YEAR($A$1),1,1),$2:$2,159:159):
    _xlfn.XLOOKUP($A$1,$2:$2,159:159)
  )
 -SUM(
    _xlfn.XLOOKUP(DATE(YEAR($A$1)-1,1,1),$2:$2,159:159):
    _xlfn.XLOOKUP(EDATE($A$1,-12),$2:$2,159:159)
  ),"")</f>
        <v>-5.4763699113364979</v>
      </c>
      <c r="CD159" s="4517">
        <f t="shared" si="278"/>
        <v>-7.7819365079365088</v>
      </c>
    </row>
    <row r="160" spans="1:82" ht="17.600000000000001" x14ac:dyDescent="0.55000000000000004">
      <c r="A160" s="7383"/>
      <c r="B160" s="2048" t="s">
        <v>210</v>
      </c>
      <c r="C160" s="1929"/>
      <c r="D160" s="5361">
        <v>15.152709359605911</v>
      </c>
      <c r="E160" s="5362">
        <v>16.340101522842641</v>
      </c>
      <c r="F160" s="5362">
        <v>15.543147208121827</v>
      </c>
      <c r="G160" s="5362">
        <v>15.482412060301508</v>
      </c>
      <c r="H160" s="5362">
        <v>14.298076923076923</v>
      </c>
      <c r="I160" s="5362">
        <v>17.923469387755102</v>
      </c>
      <c r="J160" s="5362">
        <v>14.324742268041238</v>
      </c>
      <c r="K160" s="5362">
        <v>21.8125</v>
      </c>
      <c r="L160" s="5362">
        <v>12.989690721649485</v>
      </c>
      <c r="M160" s="5362">
        <v>20.386138613861387</v>
      </c>
      <c r="N160" s="5362">
        <v>13.701421800947868</v>
      </c>
      <c r="O160" s="5362">
        <v>11.433035714285714</v>
      </c>
      <c r="P160" s="5362">
        <f t="shared" si="282"/>
        <v>189.38744558048958</v>
      </c>
      <c r="Q160" s="5363">
        <f t="shared" si="283"/>
        <v>15.782287131707465</v>
      </c>
      <c r="R160" s="2776"/>
      <c r="S160" s="5361">
        <v>12.242990654205608</v>
      </c>
      <c r="T160" s="5362">
        <v>19.108374384236452</v>
      </c>
      <c r="U160" s="5362">
        <v>15.333333333333334</v>
      </c>
      <c r="V160" s="5362">
        <v>14.054726368159203</v>
      </c>
      <c r="W160" s="5362">
        <v>15.578947368421053</v>
      </c>
      <c r="X160" s="5362">
        <v>14.199029126213592</v>
      </c>
      <c r="Y160" s="5362">
        <v>14.173469387755102</v>
      </c>
      <c r="Z160" s="5362">
        <v>22.806763285024154</v>
      </c>
      <c r="AA160" s="5362">
        <v>11.048780487804878</v>
      </c>
      <c r="AB160" s="5362">
        <v>20.292079207920793</v>
      </c>
      <c r="AC160" s="5362">
        <v>13.54326923076923</v>
      </c>
      <c r="AD160" s="5362">
        <v>11.995169082125605</v>
      </c>
      <c r="AE160" s="5362">
        <f t="shared" si="284"/>
        <v>184.37693191596904</v>
      </c>
      <c r="AF160" s="5363">
        <f t="shared" si="285"/>
        <v>15.364744326330753</v>
      </c>
      <c r="AG160" s="2776"/>
      <c r="AH160" s="5407">
        <v>21.285046728971963</v>
      </c>
      <c r="AI160" s="5408">
        <v>13.707766990291262</v>
      </c>
      <c r="AJ160" s="5408">
        <v>15.545467032967032</v>
      </c>
      <c r="AK160" s="5408">
        <v>14.896926671459381</v>
      </c>
      <c r="AL160" s="5408">
        <v>14.507951482479784</v>
      </c>
      <c r="AM160" s="5408">
        <v>13.763873626373627</v>
      </c>
      <c r="AN160" s="5408">
        <v>19.83173076923077</v>
      </c>
      <c r="AO160" s="5408">
        <v>14.461123200535654</v>
      </c>
      <c r="AP160" s="5408">
        <v>18.679543989687399</v>
      </c>
      <c r="AQ160" s="5408">
        <v>13.429728725380899</v>
      </c>
      <c r="AR160" s="5408">
        <v>13.100039169604386</v>
      </c>
      <c r="AS160" s="5408">
        <v>11.399420160570919</v>
      </c>
      <c r="AT160" s="5362">
        <f t="shared" si="289"/>
        <v>184.60861854755308</v>
      </c>
      <c r="AU160" s="5363">
        <f t="shared" si="279"/>
        <v>15.384051545629424</v>
      </c>
      <c r="AW160" s="5409">
        <v>10.107771260997067</v>
      </c>
      <c r="AX160" s="5362">
        <v>21.209775653380618</v>
      </c>
      <c r="AY160" s="5362">
        <v>14.426449275362319</v>
      </c>
      <c r="AZ160" s="5362">
        <v>16.692188052315306</v>
      </c>
      <c r="BA160" s="5362">
        <v>23.327673827673827</v>
      </c>
      <c r="BB160" s="5408">
        <v>13.898459167950694</v>
      </c>
      <c r="BC160" s="5362">
        <v>24.126637554585152</v>
      </c>
      <c r="BD160" s="5362">
        <v>14.841584941474217</v>
      </c>
      <c r="BE160" s="5362">
        <v>19.690203761755484</v>
      </c>
      <c r="BF160" s="5362">
        <v>12.895718727577133</v>
      </c>
      <c r="BG160" s="5362">
        <v>11.995495495495495</v>
      </c>
      <c r="BH160" s="5362">
        <v>10.987943492733621</v>
      </c>
      <c r="BI160" s="5362">
        <f t="shared" si="286"/>
        <v>194.19990121130095</v>
      </c>
      <c r="BJ160" s="5363">
        <f t="shared" si="280"/>
        <v>16.183325100941747</v>
      </c>
      <c r="BK160" s="4836"/>
      <c r="BL160" s="5409">
        <f>IFERROR('※ 영기팀 작성_가입자'!BL23/'※ 인력 세부데이터'!AW108,"")</f>
        <v>17.276315789473685</v>
      </c>
      <c r="BM160" s="5362">
        <f>IFERROR('※ 영기팀 작성_가입자'!BM23/'※ 인력 세부데이터'!AX108,"")</f>
        <v>10.630434782608695</v>
      </c>
      <c r="BN160" s="5362" t="str">
        <f>IFERROR('※ 영기팀 작성_가입자'!BN23/'※ 인력 세부데이터'!AY108,"")</f>
        <v/>
      </c>
      <c r="BO160" s="5362" t="str">
        <f>IFERROR('※ 영기팀 작성_가입자'!BO23/'※ 인력 세부데이터'!AZ108,"")</f>
        <v/>
      </c>
      <c r="BP160" s="5362" t="str">
        <f>IFERROR('※ 영기팀 작성_가입자'!BP23/'※ 인력 세부데이터'!BA108,"")</f>
        <v/>
      </c>
      <c r="BQ160" s="5408" t="str">
        <f>IFERROR('※ 영기팀 작성_가입자'!BQ23/'※ 인력 세부데이터'!BB108,"")</f>
        <v/>
      </c>
      <c r="BR160" s="5362" t="str">
        <f>IFERROR('※ 영기팀 작성_가입자'!BR23/'※ 인력 세부데이터'!BC108,"")</f>
        <v/>
      </c>
      <c r="BS160" s="5362" t="str">
        <f>IFERROR('※ 영기팀 작성_가입자'!BS23/'※ 인력 세부데이터'!BD108,"")</f>
        <v/>
      </c>
      <c r="BT160" s="5362" t="str">
        <f>IFERROR('※ 영기팀 작성_가입자'!BT23/'※ 인력 세부데이터'!BE108,"")</f>
        <v/>
      </c>
      <c r="BU160" s="5362" t="str">
        <f>IFERROR('※ 영기팀 작성_가입자'!BU23/'※ 인력 세부데이터'!BF108,"")</f>
        <v/>
      </c>
      <c r="BV160" s="5362" t="str">
        <f>IFERROR('※ 영기팀 작성_가입자'!BV23/'※ 인력 세부데이터'!BG108,"")</f>
        <v/>
      </c>
      <c r="BW160" s="5362" t="str">
        <f>IFERROR('※ 영기팀 작성_가입자'!BW23/'※ 인력 세부데이터'!BH108,"")</f>
        <v/>
      </c>
      <c r="BX160" s="5362">
        <f t="shared" si="287"/>
        <v>27.90675057208238</v>
      </c>
      <c r="BY160" s="5251">
        <f t="shared" si="281"/>
        <v>13.95337528604119</v>
      </c>
      <c r="CA160" s="169">
        <f t="shared" si="277"/>
        <v>-10.579340870771922</v>
      </c>
      <c r="CB160" s="169">
        <f t="shared" si="288"/>
        <v>0.79927355531232358</v>
      </c>
      <c r="CC160" s="169">
        <f>IFERROR(
  SUM(
    _xlfn.XLOOKUP(DATE(YEAR($A$1),1,1),$2:$2,160:160):
    _xlfn.XLOOKUP($A$1,$2:$2,160:160)
  )
 -SUM(
    _xlfn.XLOOKUP(DATE(YEAR($A$1)-1,1,1),$2:$2,160:160):
    _xlfn.XLOOKUP(EDATE($A$1,-12),$2:$2,160:160)
  ),"")</f>
        <v>-3.4107963422953063</v>
      </c>
      <c r="CD160" s="4517">
        <f t="shared" si="278"/>
        <v>-6.6458810068649896</v>
      </c>
    </row>
    <row r="161" spans="1:82" ht="17.600000000000001" x14ac:dyDescent="0.55000000000000004">
      <c r="A161" s="7383"/>
      <c r="B161" s="2055"/>
      <c r="C161" s="5253" t="s">
        <v>211</v>
      </c>
      <c r="D161" s="5368">
        <v>16.472222222222221</v>
      </c>
      <c r="E161" s="5368">
        <v>15.514285714285714</v>
      </c>
      <c r="F161" s="5368">
        <v>15.235294117647058</v>
      </c>
      <c r="G161" s="5368">
        <v>15.142857142857142</v>
      </c>
      <c r="H161" s="5368">
        <v>14.347222222222221</v>
      </c>
      <c r="I161" s="5368">
        <v>15</v>
      </c>
      <c r="J161" s="5368">
        <v>14.081081081081081</v>
      </c>
      <c r="K161" s="5368">
        <v>19.223684210526315</v>
      </c>
      <c r="L161" s="5368">
        <v>12.434210526315789</v>
      </c>
      <c r="M161" s="5368">
        <v>21.307692307692307</v>
      </c>
      <c r="N161" s="5368">
        <v>14.092105263157896</v>
      </c>
      <c r="O161" s="5368">
        <v>11.20253164556962</v>
      </c>
      <c r="P161" s="5368">
        <f t="shared" si="282"/>
        <v>184.05318645357733</v>
      </c>
      <c r="Q161" s="5369">
        <f t="shared" si="283"/>
        <v>15.337765537798111</v>
      </c>
      <c r="R161" s="2776"/>
      <c r="S161" s="5370">
        <v>13.3</v>
      </c>
      <c r="T161" s="5368">
        <v>18.049382716049383</v>
      </c>
      <c r="U161" s="5368">
        <v>15.7012987012987</v>
      </c>
      <c r="V161" s="5368">
        <v>15.192307692307692</v>
      </c>
      <c r="W161" s="5368">
        <v>16.881578947368421</v>
      </c>
      <c r="X161" s="5368">
        <v>15.118421052631579</v>
      </c>
      <c r="Y161" s="5368">
        <v>14</v>
      </c>
      <c r="Z161" s="5368">
        <v>22.448717948717949</v>
      </c>
      <c r="AA161" s="5368">
        <v>11.197368421052632</v>
      </c>
      <c r="AB161" s="5368">
        <v>21.381578947368421</v>
      </c>
      <c r="AC161" s="5368">
        <v>15.857142857142858</v>
      </c>
      <c r="AD161" s="5368">
        <v>11.8</v>
      </c>
      <c r="AE161" s="5368">
        <f t="shared" si="284"/>
        <v>190.92779728393765</v>
      </c>
      <c r="AF161" s="5369">
        <f t="shared" si="285"/>
        <v>15.91064977366147</v>
      </c>
      <c r="AG161" s="2776"/>
      <c r="AH161" s="5370">
        <v>18.453488372093023</v>
      </c>
      <c r="AI161" s="5368">
        <v>11.387096774193548</v>
      </c>
      <c r="AJ161" s="5368">
        <v>12.84375</v>
      </c>
      <c r="AK161" s="5368">
        <v>13.649484536082474</v>
      </c>
      <c r="AL161" s="5368">
        <v>12.656565656565656</v>
      </c>
      <c r="AM161" s="5368">
        <v>11.186274509803921</v>
      </c>
      <c r="AN161" s="5368">
        <v>17.754901960784313</v>
      </c>
      <c r="AO161" s="5368">
        <v>12.891089108910892</v>
      </c>
      <c r="AP161" s="5368">
        <v>15.585585585585585</v>
      </c>
      <c r="AQ161" s="5368">
        <v>12.875</v>
      </c>
      <c r="AR161" s="5368">
        <v>11.841121495327103</v>
      </c>
      <c r="AS161" s="5368">
        <v>10.327272727272728</v>
      </c>
      <c r="AT161" s="5368">
        <f t="shared" si="289"/>
        <v>161.45163072661927</v>
      </c>
      <c r="AU161" s="5369">
        <f t="shared" si="279"/>
        <v>13.454302560551605</v>
      </c>
      <c r="AW161" s="5410">
        <v>9.3454545454545457</v>
      </c>
      <c r="AX161" s="5368">
        <v>18.09090909090909</v>
      </c>
      <c r="AY161" s="5368">
        <v>12.849056603773585</v>
      </c>
      <c r="AZ161" s="5368">
        <v>20.281553398058254</v>
      </c>
      <c r="BA161" s="5368">
        <v>26.436893203883496</v>
      </c>
      <c r="BB161" s="5368">
        <v>16.176470588235293</v>
      </c>
      <c r="BC161" s="5368">
        <v>24.10576923076923</v>
      </c>
      <c r="BD161" s="5368">
        <v>14.51</v>
      </c>
      <c r="BE161" s="5368">
        <v>21.08080808080808</v>
      </c>
      <c r="BF161" s="5368">
        <v>12.948979591836734</v>
      </c>
      <c r="BG161" s="5368">
        <v>11.474747474747474</v>
      </c>
      <c r="BH161" s="5368">
        <v>11.060606060606061</v>
      </c>
      <c r="BI161" s="5368">
        <f t="shared" si="286"/>
        <v>198.36124786908186</v>
      </c>
      <c r="BJ161" s="5369">
        <f t="shared" si="280"/>
        <v>16.530103989090154</v>
      </c>
      <c r="BK161" s="4836"/>
      <c r="BL161" s="5410">
        <f>IFERROR('※ 영기팀 작성_가입자'!BL24/'※ 인력 세부데이터'!AW109,"")</f>
        <v>17.444444444444443</v>
      </c>
      <c r="BM161" s="5368">
        <f>IFERROR('※ 영기팀 작성_가입자'!BM24/'※ 인력 세부데이터'!AX109,"")</f>
        <v>10.51578947368421</v>
      </c>
      <c r="BN161" s="5368" t="str">
        <f>IFERROR('※ 영기팀 작성_가입자'!BN24/'※ 인력 세부데이터'!AY109,"")</f>
        <v/>
      </c>
      <c r="BO161" s="5368" t="str">
        <f>IFERROR('※ 영기팀 작성_가입자'!BO24/'※ 인력 세부데이터'!AZ109,"")</f>
        <v/>
      </c>
      <c r="BP161" s="5368" t="str">
        <f>IFERROR('※ 영기팀 작성_가입자'!BP24/'※ 인력 세부데이터'!BA109,"")</f>
        <v/>
      </c>
      <c r="BQ161" s="5368" t="str">
        <f>IFERROR('※ 영기팀 작성_가입자'!BQ24/'※ 인력 세부데이터'!BB109,"")</f>
        <v/>
      </c>
      <c r="BR161" s="5368" t="str">
        <f>IFERROR('※ 영기팀 작성_가입자'!BR24/'※ 인력 세부데이터'!BC109,"")</f>
        <v/>
      </c>
      <c r="BS161" s="5368" t="str">
        <f>IFERROR('※ 영기팀 작성_가입자'!BS24/'※ 인력 세부데이터'!BD109,"")</f>
        <v/>
      </c>
      <c r="BT161" s="5368" t="str">
        <f>IFERROR('※ 영기팀 작성_가입자'!BT24/'※ 인력 세부데이터'!BE109,"")</f>
        <v/>
      </c>
      <c r="BU161" s="5368" t="str">
        <f>IFERROR('※ 영기팀 작성_가입자'!BU24/'※ 인력 세부데이터'!BF109,"")</f>
        <v/>
      </c>
      <c r="BV161" s="5368" t="str">
        <f>IFERROR('※ 영기팀 작성_가입자'!BV24/'※ 인력 세부데이터'!BG109,"")</f>
        <v/>
      </c>
      <c r="BW161" s="5368" t="str">
        <f>IFERROR('※ 영기팀 작성_가입자'!BW24/'※ 인력 세부데이터'!BH109,"")</f>
        <v/>
      </c>
      <c r="BX161" s="5368">
        <f t="shared" si="287"/>
        <v>27.960233918128651</v>
      </c>
      <c r="BY161" s="5256">
        <f t="shared" si="281"/>
        <v>13.980116959064325</v>
      </c>
      <c r="CA161" s="169">
        <f t="shared" si="277"/>
        <v>-7.57511961722488</v>
      </c>
      <c r="CB161" s="169">
        <f t="shared" si="288"/>
        <v>3.0758014285385489</v>
      </c>
      <c r="CC161" s="169">
        <f>IFERROR(
  SUM(
    _xlfn.XLOOKUP(DATE(YEAR($A$1),1,1),$2:$2,161:161):
    _xlfn.XLOOKUP($A$1,$2:$2,161:161)
  )
 -SUM(
    _xlfn.XLOOKUP(DATE(YEAR($A$1)-1,1,1),$2:$2,161:161):
    _xlfn.XLOOKUP(EDATE($A$1,-12),$2:$2,161:161)
  ),"")</f>
        <v>0.5238702817650136</v>
      </c>
      <c r="CD161" s="4517">
        <f t="shared" si="278"/>
        <v>-6.928654970760233</v>
      </c>
    </row>
    <row r="162" spans="1:82" ht="17.600000000000001" x14ac:dyDescent="0.55000000000000004">
      <c r="A162" s="7383"/>
      <c r="B162" s="2062"/>
      <c r="C162" s="5258" t="s">
        <v>212</v>
      </c>
      <c r="D162" s="5376">
        <v>14.35483870967742</v>
      </c>
      <c r="E162" s="5376">
        <v>13.877551020408163</v>
      </c>
      <c r="F162" s="5376">
        <v>12.989247311827956</v>
      </c>
      <c r="G162" s="5376">
        <v>13.549450549450549</v>
      </c>
      <c r="H162" s="5376">
        <v>13.703296703296703</v>
      </c>
      <c r="I162" s="5376">
        <v>15.797752808988765</v>
      </c>
      <c r="J162" s="5376">
        <v>13.459770114942529</v>
      </c>
      <c r="K162" s="5376">
        <v>20.470588235294116</v>
      </c>
      <c r="L162" s="5376">
        <v>12.105882352941176</v>
      </c>
      <c r="M162" s="5376">
        <v>18.081395348837209</v>
      </c>
      <c r="N162" s="5376">
        <v>13.761904761904763</v>
      </c>
      <c r="O162" s="5376">
        <v>12.202380952380953</v>
      </c>
      <c r="P162" s="5376">
        <f t="shared" si="282"/>
        <v>174.35405886995031</v>
      </c>
      <c r="Q162" s="5377">
        <f t="shared" si="283"/>
        <v>14.529504905829192</v>
      </c>
      <c r="R162" s="2776"/>
      <c r="S162" s="5378">
        <v>13.160493827160494</v>
      </c>
      <c r="T162" s="5376">
        <v>17.536585365853657</v>
      </c>
      <c r="U162" s="5376">
        <v>13.317073170731707</v>
      </c>
      <c r="V162" s="5376">
        <v>14</v>
      </c>
      <c r="W162" s="5376">
        <v>15.658227848101266</v>
      </c>
      <c r="X162" s="5376">
        <v>15.037974683544304</v>
      </c>
      <c r="Y162" s="5376">
        <v>13.39240506329114</v>
      </c>
      <c r="Z162" s="5376">
        <v>22.784810126582279</v>
      </c>
      <c r="AA162" s="5376">
        <v>11.105263157894736</v>
      </c>
      <c r="AB162" s="5376">
        <v>19.168674698795179</v>
      </c>
      <c r="AC162" s="5376">
        <v>12.226190476190476</v>
      </c>
      <c r="AD162" s="5376">
        <v>9.7619047619047628</v>
      </c>
      <c r="AE162" s="5376">
        <f t="shared" si="284"/>
        <v>177.14960318005001</v>
      </c>
      <c r="AF162" s="5377">
        <f t="shared" si="285"/>
        <v>14.762466931670835</v>
      </c>
      <c r="AG162" s="2776"/>
      <c r="AH162" s="5378">
        <v>21.891566265060241</v>
      </c>
      <c r="AI162" s="5376">
        <v>13.133333333333333</v>
      </c>
      <c r="AJ162" s="5376">
        <v>11.802083333333334</v>
      </c>
      <c r="AK162" s="5376">
        <v>11.564814814814815</v>
      </c>
      <c r="AL162" s="5376">
        <v>12.361111111111111</v>
      </c>
      <c r="AM162" s="5376">
        <v>11.63302752293578</v>
      </c>
      <c r="AN162" s="5376">
        <v>18.490384615384617</v>
      </c>
      <c r="AO162" s="5376">
        <v>14.330097087378642</v>
      </c>
      <c r="AP162" s="5376">
        <v>17.160377358490567</v>
      </c>
      <c r="AQ162" s="5376">
        <v>12.767857142857142</v>
      </c>
      <c r="AR162" s="5376">
        <v>12.036363636363637</v>
      </c>
      <c r="AS162" s="5376">
        <v>10.609090909090909</v>
      </c>
      <c r="AT162" s="5376">
        <f t="shared" si="289"/>
        <v>167.78010713015414</v>
      </c>
      <c r="AU162" s="5377">
        <f t="shared" si="279"/>
        <v>13.981675594179512</v>
      </c>
      <c r="AW162" s="5411">
        <v>9.7339449541284395</v>
      </c>
      <c r="AX162" s="5376">
        <v>20.327102803738317</v>
      </c>
      <c r="AY162" s="5376">
        <v>13.742857142857142</v>
      </c>
      <c r="AZ162" s="5376">
        <v>18.095238095238095</v>
      </c>
      <c r="BA162" s="5376">
        <v>24.61904761904762</v>
      </c>
      <c r="BB162" s="5376">
        <v>14.39622641509434</v>
      </c>
      <c r="BC162" s="5376">
        <v>24.51923076923077</v>
      </c>
      <c r="BD162" s="5376">
        <v>15.323529411764707</v>
      </c>
      <c r="BE162" s="5376">
        <v>19.174757281553401</v>
      </c>
      <c r="BF162" s="5376">
        <v>12.726415094339623</v>
      </c>
      <c r="BG162" s="5376">
        <v>11.723809523809523</v>
      </c>
      <c r="BH162" s="5376">
        <v>9.8899082568807337</v>
      </c>
      <c r="BI162" s="5376">
        <f t="shared" si="286"/>
        <v>194.27206736768272</v>
      </c>
      <c r="BJ162" s="5377">
        <f t="shared" si="280"/>
        <v>16.189338947306894</v>
      </c>
      <c r="BK162" s="4836"/>
      <c r="BL162" s="5411">
        <f>IFERROR('※ 영기팀 작성_가입자'!BL25/'※ 인력 세부데이터'!AW110,"")</f>
        <v>15.788990825688073</v>
      </c>
      <c r="BM162" s="5376">
        <f>IFERROR('※ 영기팀 작성_가입자'!BM25/'※ 인력 세부데이터'!AX110,"")</f>
        <v>9.6181818181818191</v>
      </c>
      <c r="BN162" s="5376" t="str">
        <f>IFERROR('※ 영기팀 작성_가입자'!BN25/'※ 인력 세부데이터'!AY110,"")</f>
        <v/>
      </c>
      <c r="BO162" s="5376" t="str">
        <f>IFERROR('※ 영기팀 작성_가입자'!BO25/'※ 인력 세부데이터'!AZ110,"")</f>
        <v/>
      </c>
      <c r="BP162" s="5376" t="str">
        <f>IFERROR('※ 영기팀 작성_가입자'!BP25/'※ 인력 세부데이터'!BA110,"")</f>
        <v/>
      </c>
      <c r="BQ162" s="5376" t="str">
        <f>IFERROR('※ 영기팀 작성_가입자'!BQ25/'※ 인력 세부데이터'!BB110,"")</f>
        <v/>
      </c>
      <c r="BR162" s="5376" t="str">
        <f>IFERROR('※ 영기팀 작성_가입자'!BR25/'※ 인력 세부데이터'!BC110,"")</f>
        <v/>
      </c>
      <c r="BS162" s="5376" t="str">
        <f>IFERROR('※ 영기팀 작성_가입자'!BS25/'※ 인력 세부데이터'!BD110,"")</f>
        <v/>
      </c>
      <c r="BT162" s="5376" t="str">
        <f>IFERROR('※ 영기팀 작성_가입자'!BT25/'※ 인력 세부데이터'!BE110,"")</f>
        <v/>
      </c>
      <c r="BU162" s="5376" t="str">
        <f>IFERROR('※ 영기팀 작성_가입자'!BU25/'※ 인력 세부데이터'!BF110,"")</f>
        <v/>
      </c>
      <c r="BV162" s="5376" t="str">
        <f>IFERROR('※ 영기팀 작성_가입자'!BV25/'※ 인력 세부데이터'!BG110,"")</f>
        <v/>
      </c>
      <c r="BW162" s="5376" t="str">
        <f>IFERROR('※ 영기팀 작성_가입자'!BW25/'※ 인력 세부데이터'!BH110,"")</f>
        <v/>
      </c>
      <c r="BX162" s="5376">
        <f t="shared" si="287"/>
        <v>25.407172643869892</v>
      </c>
      <c r="BY162" s="5261">
        <f t="shared" si="281"/>
        <v>12.703586321934946</v>
      </c>
      <c r="CA162" s="169">
        <f t="shared" si="277"/>
        <v>-10.708920985556498</v>
      </c>
      <c r="CB162" s="169">
        <f t="shared" si="288"/>
        <v>2.2076633531273817</v>
      </c>
      <c r="CC162" s="169">
        <f>IFERROR(
  SUM(
    _xlfn.XLOOKUP(DATE(YEAR($A$1),1,1),$2:$2,162:162):
    _xlfn.XLOOKUP($A$1,$2:$2,162:162)
  )
 -SUM(
    _xlfn.XLOOKUP(DATE(YEAR($A$1)-1,1,1),$2:$2,162:162):
    _xlfn.XLOOKUP(EDATE($A$1,-12),$2:$2,162:162)
  ),"")</f>
        <v>-4.6538751139968646</v>
      </c>
      <c r="CD162" s="4517">
        <f t="shared" si="278"/>
        <v>-6.1708090075062536</v>
      </c>
    </row>
    <row r="163" spans="1:82" ht="17.600000000000001" x14ac:dyDescent="0.55000000000000004">
      <c r="A163" s="7383"/>
      <c r="B163" s="2062"/>
      <c r="C163" s="5263" t="s">
        <v>213</v>
      </c>
      <c r="D163" s="5384">
        <v>13.542857142857143</v>
      </c>
      <c r="E163" s="5384">
        <v>13.835616438356164</v>
      </c>
      <c r="F163" s="5384">
        <v>12.528571428571428</v>
      </c>
      <c r="G163" s="5384">
        <v>15.753623188405797</v>
      </c>
      <c r="H163" s="5384">
        <v>14.253521126760564</v>
      </c>
      <c r="I163" s="5384">
        <v>15.416666666666666</v>
      </c>
      <c r="J163" s="5384">
        <v>12.972972972972974</v>
      </c>
      <c r="K163" s="5384">
        <v>18.581081081081081</v>
      </c>
      <c r="L163" s="5384">
        <v>13.219178082191782</v>
      </c>
      <c r="M163" s="5384">
        <v>21.162162162162161</v>
      </c>
      <c r="N163" s="5384">
        <v>13.987012987012987</v>
      </c>
      <c r="O163" s="5384">
        <v>10.922077922077921</v>
      </c>
      <c r="P163" s="5384">
        <f t="shared" si="282"/>
        <v>176.17534119911667</v>
      </c>
      <c r="Q163" s="5385">
        <f t="shared" si="283"/>
        <v>14.681278433259722</v>
      </c>
      <c r="R163" s="2776"/>
      <c r="S163" s="5386">
        <v>12.74025974025974</v>
      </c>
      <c r="T163" s="5384">
        <v>15.552631578947368</v>
      </c>
      <c r="U163" s="5384">
        <v>13.397260273972602</v>
      </c>
      <c r="V163" s="5384">
        <v>11.743243243243244</v>
      </c>
      <c r="W163" s="5384">
        <v>16</v>
      </c>
      <c r="X163" s="5384">
        <v>13.944444444444445</v>
      </c>
      <c r="Y163" s="5384">
        <v>13.19718309859155</v>
      </c>
      <c r="Z163" s="5384">
        <v>21.557142857142857</v>
      </c>
      <c r="AA163" s="5384">
        <v>11.014492753623188</v>
      </c>
      <c r="AB163" s="5384">
        <v>21.388888888888889</v>
      </c>
      <c r="AC163" s="5384">
        <v>14.138888888888889</v>
      </c>
      <c r="AD163" s="5384">
        <v>11.541666666666666</v>
      </c>
      <c r="AE163" s="5384">
        <f t="shared" si="284"/>
        <v>176.21610243466941</v>
      </c>
      <c r="AF163" s="5385">
        <f t="shared" si="285"/>
        <v>14.684675202889117</v>
      </c>
      <c r="AG163" s="2776"/>
      <c r="AH163" s="5386">
        <v>24.315068493150687</v>
      </c>
      <c r="AI163" s="5384">
        <v>14.54054054054054</v>
      </c>
      <c r="AJ163" s="5384">
        <v>15.74025974025974</v>
      </c>
      <c r="AK163" s="5384">
        <v>14.936708860759493</v>
      </c>
      <c r="AL163" s="5384">
        <v>14.7125</v>
      </c>
      <c r="AM163" s="5384">
        <v>13.20253164556962</v>
      </c>
      <c r="AN163" s="5384">
        <v>20.641025641025642</v>
      </c>
      <c r="AO163" s="5384">
        <v>15.448717948717949</v>
      </c>
      <c r="AP163" s="5384">
        <v>19.524999999999999</v>
      </c>
      <c r="AQ163" s="5384">
        <v>15.670886075949367</v>
      </c>
      <c r="AR163" s="5384">
        <v>14.2125</v>
      </c>
      <c r="AS163" s="5384">
        <v>12.384615384615385</v>
      </c>
      <c r="AT163" s="5384">
        <f t="shared" si="289"/>
        <v>195.33035433058845</v>
      </c>
      <c r="AU163" s="5385">
        <f t="shared" si="279"/>
        <v>16.277529527549039</v>
      </c>
      <c r="AW163" s="5412">
        <v>11.948051948051946</v>
      </c>
      <c r="AX163" s="5384">
        <v>23.493333333333332</v>
      </c>
      <c r="AY163" s="5384">
        <v>16.363636363636363</v>
      </c>
      <c r="AZ163" s="5384">
        <v>27.051948051948052</v>
      </c>
      <c r="BA163" s="5384">
        <v>35.39473684210526</v>
      </c>
      <c r="BB163" s="5384">
        <v>19.546666666666667</v>
      </c>
      <c r="BC163" s="5384">
        <v>32.055555555555557</v>
      </c>
      <c r="BD163" s="5384">
        <v>17.933333333333334</v>
      </c>
      <c r="BE163" s="5384">
        <v>25.013333333333335</v>
      </c>
      <c r="BF163" s="5384">
        <v>16.52</v>
      </c>
      <c r="BG163" s="5384">
        <v>13.333333333333334</v>
      </c>
      <c r="BH163" s="5384">
        <v>13.948051948051948</v>
      </c>
      <c r="BI163" s="5384">
        <f t="shared" si="286"/>
        <v>252.60198070934911</v>
      </c>
      <c r="BJ163" s="5385">
        <f t="shared" si="280"/>
        <v>21.050165059112427</v>
      </c>
      <c r="BK163" s="4836"/>
      <c r="BL163" s="5412">
        <f>IFERROR('※ 영기팀 작성_가입자'!BL26/'※ 인력 세부데이터'!AW111,"")</f>
        <v>19.75</v>
      </c>
      <c r="BM163" s="5384">
        <f>IFERROR('※ 영기팀 작성_가입자'!BM26/'※ 인력 세부데이터'!AX111,"")</f>
        <v>11.556962025316455</v>
      </c>
      <c r="BN163" s="5384" t="str">
        <f>IFERROR('※ 영기팀 작성_가입자'!BN26/'※ 인력 세부데이터'!AY111,"")</f>
        <v/>
      </c>
      <c r="BO163" s="5384" t="str">
        <f>IFERROR('※ 영기팀 작성_가입자'!BO26/'※ 인력 세부데이터'!AZ111,"")</f>
        <v/>
      </c>
      <c r="BP163" s="5384" t="str">
        <f>IFERROR('※ 영기팀 작성_가입자'!BP26/'※ 인력 세부데이터'!BA111,"")</f>
        <v/>
      </c>
      <c r="BQ163" s="5384" t="str">
        <f>IFERROR('※ 영기팀 작성_가입자'!BQ26/'※ 인력 세부데이터'!BB111,"")</f>
        <v/>
      </c>
      <c r="BR163" s="5384" t="str">
        <f>IFERROR('※ 영기팀 작성_가입자'!BR26/'※ 인력 세부데이터'!BC111,"")</f>
        <v/>
      </c>
      <c r="BS163" s="5384" t="str">
        <f>IFERROR('※ 영기팀 작성_가입자'!BS26/'※ 인력 세부데이터'!BD111,"")</f>
        <v/>
      </c>
      <c r="BT163" s="5384" t="str">
        <f>IFERROR('※ 영기팀 작성_가입자'!BT26/'※ 인력 세부데이터'!BE111,"")</f>
        <v/>
      </c>
      <c r="BU163" s="5384" t="str">
        <f>IFERROR('※ 영기팀 작성_가입자'!BU26/'※ 인력 세부데이터'!BF111,"")</f>
        <v/>
      </c>
      <c r="BV163" s="5384" t="str">
        <f>IFERROR('※ 영기팀 작성_가입자'!BV26/'※ 인력 세부데이터'!BG111,"")</f>
        <v/>
      </c>
      <c r="BW163" s="5384" t="str">
        <f>IFERROR('※ 영기팀 작성_가입자'!BW26/'※ 인력 세부데이터'!BH111,"")</f>
        <v/>
      </c>
      <c r="BX163" s="5384">
        <f t="shared" si="287"/>
        <v>31.306962025316455</v>
      </c>
      <c r="BY163" s="5266">
        <f t="shared" si="281"/>
        <v>15.653481012658228</v>
      </c>
      <c r="CA163" s="169">
        <f t="shared" si="277"/>
        <v>-11.936371308016877</v>
      </c>
      <c r="CB163" s="169">
        <f t="shared" si="288"/>
        <v>4.7726355315633882</v>
      </c>
      <c r="CC163" s="169">
        <f>IFERROR(
  SUM(
    _xlfn.XLOOKUP(DATE(YEAR($A$1),1,1),$2:$2,163:163):
    _xlfn.XLOOKUP($A$1,$2:$2,163:163)
  )
 -SUM(
    _xlfn.XLOOKUP(DATE(YEAR($A$1)-1,1,1),$2:$2,163:163):
    _xlfn.XLOOKUP(EDATE($A$1,-12),$2:$2,163:163)
  ),"")</f>
        <v>-4.1344232560688248</v>
      </c>
      <c r="CD163" s="4517">
        <f t="shared" si="278"/>
        <v>-8.1930379746835449</v>
      </c>
    </row>
    <row r="164" spans="1:82" ht="17.600000000000001" x14ac:dyDescent="0.55000000000000004">
      <c r="A164" s="7383"/>
      <c r="B164" s="2062"/>
      <c r="C164" s="5263" t="s">
        <v>214</v>
      </c>
      <c r="D164" s="5384">
        <v>14.73076923076923</v>
      </c>
      <c r="E164" s="5384">
        <v>15.164948453608247</v>
      </c>
      <c r="F164" s="5384">
        <v>13.648936170212766</v>
      </c>
      <c r="G164" s="5384">
        <v>15.531914893617021</v>
      </c>
      <c r="H164" s="5384">
        <v>14.818181818181818</v>
      </c>
      <c r="I164" s="5384">
        <v>16.546391752577321</v>
      </c>
      <c r="J164" s="5384">
        <v>13.583333333333334</v>
      </c>
      <c r="K164" s="5384">
        <v>19.577319587628867</v>
      </c>
      <c r="L164" s="5384">
        <v>13.456521739130435</v>
      </c>
      <c r="M164" s="5384">
        <v>20.608247422680414</v>
      </c>
      <c r="N164" s="5384">
        <v>13.881188118811881</v>
      </c>
      <c r="O164" s="5384">
        <v>10.971153846153847</v>
      </c>
      <c r="P164" s="5384">
        <f t="shared" si="282"/>
        <v>182.51890636670515</v>
      </c>
      <c r="Q164" s="5385">
        <f t="shared" si="283"/>
        <v>15.209908863892096</v>
      </c>
      <c r="R164" s="2776"/>
      <c r="S164" s="5386">
        <v>13.509803921568627</v>
      </c>
      <c r="T164" s="5384">
        <v>17.93069306930693</v>
      </c>
      <c r="U164" s="5384">
        <v>14.069306930693068</v>
      </c>
      <c r="V164" s="5384">
        <v>13.774509803921569</v>
      </c>
      <c r="W164" s="5384">
        <v>14.313725490196079</v>
      </c>
      <c r="X164" s="5384">
        <v>14.069306930693068</v>
      </c>
      <c r="Y164" s="5384">
        <v>12.323529411764707</v>
      </c>
      <c r="Z164" s="5384">
        <v>21.068627450980394</v>
      </c>
      <c r="AA164" s="5384">
        <v>9.9215686274509807</v>
      </c>
      <c r="AB164" s="5384">
        <v>19.343137254901961</v>
      </c>
      <c r="AC164" s="5384">
        <v>12.078431372549019</v>
      </c>
      <c r="AD164" s="5384">
        <v>10.854368932038835</v>
      </c>
      <c r="AE164" s="5384">
        <f t="shared" si="284"/>
        <v>173.25700919606527</v>
      </c>
      <c r="AF164" s="5385">
        <f t="shared" si="285"/>
        <v>14.438084099672105</v>
      </c>
      <c r="AG164" s="2776"/>
      <c r="AH164" s="5386">
        <v>19.168224299065422</v>
      </c>
      <c r="AI164" s="5384">
        <v>11.834862385321101</v>
      </c>
      <c r="AJ164" s="5384">
        <v>13.794117647058824</v>
      </c>
      <c r="AK164" s="5384">
        <v>13.580952380952381</v>
      </c>
      <c r="AL164" s="5384">
        <v>14.045454545454545</v>
      </c>
      <c r="AM164" s="5384">
        <v>12.461538461538462</v>
      </c>
      <c r="AN164" s="5384">
        <v>18.367924528301888</v>
      </c>
      <c r="AO164" s="5384">
        <v>14.076923076923077</v>
      </c>
      <c r="AP164" s="5384">
        <v>17.80188679245283</v>
      </c>
      <c r="AQ164" s="5384">
        <v>13.895238095238096</v>
      </c>
      <c r="AR164" s="5384">
        <v>13.742857142857142</v>
      </c>
      <c r="AS164" s="5384">
        <v>11.757009345794392</v>
      </c>
      <c r="AT164" s="5384">
        <f t="shared" si="289"/>
        <v>174.52698870095813</v>
      </c>
      <c r="AU164" s="5385">
        <f t="shared" si="279"/>
        <v>14.543915725079843</v>
      </c>
      <c r="AW164" s="5412">
        <v>11.074766355140186</v>
      </c>
      <c r="AX164" s="5384">
        <v>22.490566037735849</v>
      </c>
      <c r="AY164" s="5384">
        <v>15.091743119266056</v>
      </c>
      <c r="AZ164" s="5384">
        <v>21.115384615384617</v>
      </c>
      <c r="BA164" s="5384">
        <v>28.766990291262136</v>
      </c>
      <c r="BB164" s="5384">
        <v>17.126213592233011</v>
      </c>
      <c r="BC164" s="5384">
        <v>26.87</v>
      </c>
      <c r="BD164" s="5384">
        <v>16.640776699029125</v>
      </c>
      <c r="BE164" s="5384">
        <v>21.242718446601941</v>
      </c>
      <c r="BF164" s="5384">
        <v>13.971153846153847</v>
      </c>
      <c r="BG164" s="5384">
        <v>12.066037735849056</v>
      </c>
      <c r="BH164" s="5384">
        <v>12.018691588785046</v>
      </c>
      <c r="BI164" s="5384">
        <f t="shared" si="286"/>
        <v>218.47504232744086</v>
      </c>
      <c r="BJ164" s="5385">
        <f t="shared" si="280"/>
        <v>18.206253527286737</v>
      </c>
      <c r="BK164" s="4836"/>
      <c r="BL164" s="5412">
        <f>IFERROR('※ 영기팀 작성_가입자'!BL27/'※ 인력 세부데이터'!AW112,"")</f>
        <v>17.719626168224298</v>
      </c>
      <c r="BM164" s="5384">
        <f>IFERROR('※ 영기팀 작성_가입자'!BM27/'※ 인력 세부데이터'!AX112,"")</f>
        <v>11.046728971962617</v>
      </c>
      <c r="BN164" s="5384" t="str">
        <f>IFERROR('※ 영기팀 작성_가입자'!BN27/'※ 인력 세부데이터'!AY112,"")</f>
        <v/>
      </c>
      <c r="BO164" s="5384" t="str">
        <f>IFERROR('※ 영기팀 작성_가입자'!BO27/'※ 인력 세부데이터'!AZ112,"")</f>
        <v/>
      </c>
      <c r="BP164" s="5384" t="str">
        <f>IFERROR('※ 영기팀 작성_가입자'!BP27/'※ 인력 세부데이터'!BA112,"")</f>
        <v/>
      </c>
      <c r="BQ164" s="5384" t="str">
        <f>IFERROR('※ 영기팀 작성_가입자'!BQ27/'※ 인력 세부데이터'!BB112,"")</f>
        <v/>
      </c>
      <c r="BR164" s="5384" t="str">
        <f>IFERROR('※ 영기팀 작성_가입자'!BR27/'※ 인력 세부데이터'!BC112,"")</f>
        <v/>
      </c>
      <c r="BS164" s="5384" t="str">
        <f>IFERROR('※ 영기팀 작성_가입자'!BS27/'※ 인력 세부데이터'!BD112,"")</f>
        <v/>
      </c>
      <c r="BT164" s="5384" t="str">
        <f>IFERROR('※ 영기팀 작성_가입자'!BT27/'※ 인력 세부데이터'!BE112,"")</f>
        <v/>
      </c>
      <c r="BU164" s="5384" t="str">
        <f>IFERROR('※ 영기팀 작성_가입자'!BU27/'※ 인력 세부데이터'!BF112,"")</f>
        <v/>
      </c>
      <c r="BV164" s="5384" t="str">
        <f>IFERROR('※ 영기팀 작성_가입자'!BV27/'※ 인력 세부데이터'!BG112,"")</f>
        <v/>
      </c>
      <c r="BW164" s="5384" t="str">
        <f>IFERROR('※ 영기팀 작성_가입자'!BW27/'※ 인력 세부데이터'!BH112,"")</f>
        <v/>
      </c>
      <c r="BX164" s="5384">
        <f t="shared" si="287"/>
        <v>28.766355140186917</v>
      </c>
      <c r="BY164" s="5266">
        <f t="shared" si="281"/>
        <v>14.383177570093459</v>
      </c>
      <c r="CA164" s="169">
        <f t="shared" ref="CA164:CA195" si="290">IFERROR(_xlfn.XLOOKUP($A$1,$2:$2,164:164)-_xlfn.XLOOKUP(EDATE($A$1,-12),$2:$2,164:164),"")</f>
        <v>-11.443837065773232</v>
      </c>
      <c r="CB164" s="169">
        <f t="shared" si="288"/>
        <v>3.6623378022068938</v>
      </c>
      <c r="CC164" s="169">
        <f>IFERROR(
  SUM(
    _xlfn.XLOOKUP(DATE(YEAR($A$1),1,1),$2:$2,164:164):
    _xlfn.XLOOKUP($A$1,$2:$2,164:164)
  )
 -SUM(
    _xlfn.XLOOKUP(DATE(YEAR($A$1)-1,1,1),$2:$2,164:164):
    _xlfn.XLOOKUP(EDATE($A$1,-12),$2:$2,164:164)
  ),"")</f>
        <v>-4.7989772526891201</v>
      </c>
      <c r="CD164" s="4517">
        <f t="shared" ref="CD164:CD195" si="291">IFERROR(
  _xlfn.XLOOKUP($A$1,$2:$2,164:164)
 -_xlfn.XLOOKUP(EDATE($A$1,-1),$2:$2,164:164),"")</f>
        <v>-6.6728971962616814</v>
      </c>
    </row>
    <row r="165" spans="1:82" ht="17.600000000000001" x14ac:dyDescent="0.55000000000000004">
      <c r="A165" s="7383"/>
      <c r="B165" s="2062"/>
      <c r="C165" s="5258" t="s">
        <v>215</v>
      </c>
      <c r="D165" s="5376">
        <v>15.879032258064516</v>
      </c>
      <c r="E165" s="5376">
        <v>15.053435114503817</v>
      </c>
      <c r="F165" s="5376">
        <v>14.765151515151516</v>
      </c>
      <c r="G165" s="5376">
        <v>15.392307692307693</v>
      </c>
      <c r="H165" s="5376">
        <v>15.685039370078741</v>
      </c>
      <c r="I165" s="5376">
        <v>18.1875</v>
      </c>
      <c r="J165" s="5376">
        <v>14.9609375</v>
      </c>
      <c r="K165" s="5376">
        <v>20.238461538461539</v>
      </c>
      <c r="L165" s="5376">
        <v>14.083333333333334</v>
      </c>
      <c r="M165" s="5376">
        <v>21.202898550724637</v>
      </c>
      <c r="N165" s="5376">
        <v>15.028571428571428</v>
      </c>
      <c r="O165" s="5376">
        <v>12.423611111111111</v>
      </c>
      <c r="P165" s="5376">
        <f t="shared" si="282"/>
        <v>192.90027941230835</v>
      </c>
      <c r="Q165" s="5377">
        <f t="shared" si="283"/>
        <v>16.07502328435903</v>
      </c>
      <c r="R165" s="2776"/>
      <c r="S165" s="5378">
        <v>14.096296296296297</v>
      </c>
      <c r="T165" s="5376">
        <v>18.81679389312977</v>
      </c>
      <c r="U165" s="5376">
        <v>14.911764705882353</v>
      </c>
      <c r="V165" s="5376">
        <v>14.62962962962963</v>
      </c>
      <c r="W165" s="5376">
        <v>14.552238805970148</v>
      </c>
      <c r="X165" s="5376">
        <v>15.4</v>
      </c>
      <c r="Y165" s="5376">
        <v>14.928571428571429</v>
      </c>
      <c r="Z165" s="5376">
        <v>22.411290322580644</v>
      </c>
      <c r="AA165" s="5376">
        <v>11.452380952380953</v>
      </c>
      <c r="AB165" s="5376">
        <v>21.2890625</v>
      </c>
      <c r="AC165" s="5376">
        <v>14.546153846153846</v>
      </c>
      <c r="AD165" s="5376">
        <v>12.472868217054264</v>
      </c>
      <c r="AE165" s="5376">
        <f t="shared" si="284"/>
        <v>189.50705059764937</v>
      </c>
      <c r="AF165" s="5377">
        <f t="shared" si="285"/>
        <v>15.792254216470781</v>
      </c>
      <c r="AG165" s="2776"/>
      <c r="AH165" s="5378">
        <v>21.85820895522388</v>
      </c>
      <c r="AI165" s="5376">
        <v>15.02919708029197</v>
      </c>
      <c r="AJ165" s="5376">
        <v>14.878571428571428</v>
      </c>
      <c r="AK165" s="5376">
        <v>14.957446808510639</v>
      </c>
      <c r="AL165" s="5376">
        <v>14.356164383561644</v>
      </c>
      <c r="AM165" s="5376">
        <v>13.576388888888889</v>
      </c>
      <c r="AN165" s="5376">
        <v>18.344155844155843</v>
      </c>
      <c r="AO165" s="5376">
        <v>14.84</v>
      </c>
      <c r="AP165" s="5376">
        <v>17.741721854304636</v>
      </c>
      <c r="AQ165" s="5376">
        <v>15.513698630136986</v>
      </c>
      <c r="AR165" s="5376">
        <v>13.29054054054054</v>
      </c>
      <c r="AS165" s="5376">
        <v>12.547945205479452</v>
      </c>
      <c r="AT165" s="5376">
        <f t="shared" si="289"/>
        <v>186.93403961966595</v>
      </c>
      <c r="AU165" s="5377">
        <f t="shared" si="279"/>
        <v>15.577836634972163</v>
      </c>
      <c r="AW165" s="5411">
        <v>11.094594594594597</v>
      </c>
      <c r="AX165" s="5376">
        <v>22.917808219178081</v>
      </c>
      <c r="AY165" s="5376">
        <v>15.774647887323944</v>
      </c>
      <c r="AZ165" s="5376">
        <v>20.02097902097902</v>
      </c>
      <c r="BA165" s="5376">
        <v>27.822695035460992</v>
      </c>
      <c r="BB165" s="5376">
        <v>17.471428571428572</v>
      </c>
      <c r="BC165" s="5376">
        <v>26.32867132867133</v>
      </c>
      <c r="BD165" s="5376">
        <v>16.843971631205672</v>
      </c>
      <c r="BE165" s="5376">
        <v>22.617021276595743</v>
      </c>
      <c r="BF165" s="5376">
        <v>14.70802919708029</v>
      </c>
      <c r="BG165" s="5376">
        <v>13.182481751824817</v>
      </c>
      <c r="BH165" s="5376">
        <v>11.985714285714286</v>
      </c>
      <c r="BI165" s="5376">
        <f t="shared" si="286"/>
        <v>220.76804280005737</v>
      </c>
      <c r="BJ165" s="5377">
        <f t="shared" si="280"/>
        <v>18.397336900004781</v>
      </c>
      <c r="BK165" s="4836"/>
      <c r="BL165" s="5411">
        <f>IFERROR('※ 영기팀 작성_가입자'!BL28/'※ 인력 세부데이터'!AW113,"")</f>
        <v>17.013698630136986</v>
      </c>
      <c r="BM165" s="5376">
        <f>IFERROR('※ 영기팀 작성_가입자'!BM28/'※ 인력 세부데이터'!AX113,"")</f>
        <v>11.191780821917806</v>
      </c>
      <c r="BN165" s="5376" t="str">
        <f>IFERROR('※ 영기팀 작성_가입자'!BN28/'※ 인력 세부데이터'!AY113,"")</f>
        <v/>
      </c>
      <c r="BO165" s="5376" t="str">
        <f>IFERROR('※ 영기팀 작성_가입자'!BO28/'※ 인력 세부데이터'!AZ113,"")</f>
        <v/>
      </c>
      <c r="BP165" s="5376" t="str">
        <f>IFERROR('※ 영기팀 작성_가입자'!BP28/'※ 인력 세부데이터'!BA113,"")</f>
        <v/>
      </c>
      <c r="BQ165" s="5376" t="str">
        <f>IFERROR('※ 영기팀 작성_가입자'!BQ28/'※ 인력 세부데이터'!BB113,"")</f>
        <v/>
      </c>
      <c r="BR165" s="5376" t="str">
        <f>IFERROR('※ 영기팀 작성_가입자'!BR28/'※ 인력 세부데이터'!BC113,"")</f>
        <v/>
      </c>
      <c r="BS165" s="5376" t="str">
        <f>IFERROR('※ 영기팀 작성_가입자'!BS28/'※ 인력 세부데이터'!BD113,"")</f>
        <v/>
      </c>
      <c r="BT165" s="5376" t="str">
        <f>IFERROR('※ 영기팀 작성_가입자'!BT28/'※ 인력 세부데이터'!BE113,"")</f>
        <v/>
      </c>
      <c r="BU165" s="5376" t="str">
        <f>IFERROR('※ 영기팀 작성_가입자'!BU28/'※ 인력 세부데이터'!BF113,"")</f>
        <v/>
      </c>
      <c r="BV165" s="5376" t="str">
        <f>IFERROR('※ 영기팀 작성_가입자'!BV28/'※ 인력 세부데이터'!BG113,"")</f>
        <v/>
      </c>
      <c r="BW165" s="5376" t="str">
        <f>IFERROR('※ 영기팀 작성_가입자'!BW28/'※ 인력 세부데이터'!BH113,"")</f>
        <v/>
      </c>
      <c r="BX165" s="5376">
        <f t="shared" si="287"/>
        <v>28.205479452054792</v>
      </c>
      <c r="BY165" s="5261">
        <f t="shared" si="281"/>
        <v>14.102739726027396</v>
      </c>
      <c r="CA165" s="169">
        <f t="shared" si="290"/>
        <v>-11.726027397260275</v>
      </c>
      <c r="CB165" s="169">
        <f t="shared" si="288"/>
        <v>2.8195002650326177</v>
      </c>
      <c r="CC165" s="169">
        <f>IFERROR(
  SUM(
    _xlfn.XLOOKUP(DATE(YEAR($A$1),1,1),$2:$2,165:165):
    _xlfn.XLOOKUP($A$1,$2:$2,165:165)
  )
 -SUM(
    _xlfn.XLOOKUP(DATE(YEAR($A$1)-1,1,1),$2:$2,165:165):
    _xlfn.XLOOKUP(EDATE($A$1,-12),$2:$2,165:165)
  ),"")</f>
        <v>-5.8069233617178888</v>
      </c>
      <c r="CD165" s="4517">
        <f t="shared" si="291"/>
        <v>-5.8219178082191796</v>
      </c>
    </row>
    <row r="166" spans="1:82" ht="17.600000000000001" x14ac:dyDescent="0.55000000000000004">
      <c r="A166" s="7383"/>
      <c r="B166" s="2062"/>
      <c r="C166" s="5258" t="s">
        <v>216</v>
      </c>
      <c r="D166" s="5376">
        <v>15.637499999999999</v>
      </c>
      <c r="E166" s="5376">
        <v>15.671052631578947</v>
      </c>
      <c r="F166" s="5376">
        <v>14.887499999999999</v>
      </c>
      <c r="G166" s="5376">
        <v>16.25</v>
      </c>
      <c r="H166" s="5376">
        <v>15.555555555555555</v>
      </c>
      <c r="I166" s="5376">
        <v>17.746835443037973</v>
      </c>
      <c r="J166" s="5376">
        <v>13.670731707317072</v>
      </c>
      <c r="K166" s="5376">
        <v>19.976190476190474</v>
      </c>
      <c r="L166" s="5376">
        <v>12.988372093023257</v>
      </c>
      <c r="M166" s="5376">
        <v>18.011235955056179</v>
      </c>
      <c r="N166" s="5376">
        <v>14.460674157303371</v>
      </c>
      <c r="O166" s="5376">
        <v>12.181818181818182</v>
      </c>
      <c r="P166" s="5376">
        <f t="shared" si="282"/>
        <v>187.03746620088103</v>
      </c>
      <c r="Q166" s="5377">
        <f t="shared" si="283"/>
        <v>15.586455516740086</v>
      </c>
      <c r="R166" s="2776"/>
      <c r="S166" s="5378">
        <v>14.136363636363637</v>
      </c>
      <c r="T166" s="5376">
        <v>16.921348314606742</v>
      </c>
      <c r="U166" s="5376">
        <v>15.909090909090908</v>
      </c>
      <c r="V166" s="5376">
        <v>14.862068965517242</v>
      </c>
      <c r="W166" s="5376">
        <v>15.402298850574713</v>
      </c>
      <c r="X166" s="5376">
        <v>15.125</v>
      </c>
      <c r="Y166" s="5376">
        <v>12.413793103448276</v>
      </c>
      <c r="Z166" s="5376">
        <v>23.55056179775281</v>
      </c>
      <c r="AA166" s="5376">
        <v>10.434782608695652</v>
      </c>
      <c r="AB166" s="5376">
        <v>20.21590909090909</v>
      </c>
      <c r="AC166" s="5376">
        <v>13.655172413793103</v>
      </c>
      <c r="AD166" s="5376">
        <v>10.840909090909092</v>
      </c>
      <c r="AE166" s="5376">
        <f t="shared" si="284"/>
        <v>183.46729878166127</v>
      </c>
      <c r="AF166" s="5377">
        <f t="shared" si="285"/>
        <v>15.288941565138439</v>
      </c>
      <c r="AG166" s="2776"/>
      <c r="AH166" s="5378">
        <v>23.111111111111111</v>
      </c>
      <c r="AI166" s="5376">
        <v>16</v>
      </c>
      <c r="AJ166" s="5376">
        <v>16.255813953488371</v>
      </c>
      <c r="AK166" s="5376">
        <v>15.863636363636363</v>
      </c>
      <c r="AL166" s="5376">
        <v>16.770114942528735</v>
      </c>
      <c r="AM166" s="5376">
        <v>13.795454545454545</v>
      </c>
      <c r="AN166" s="5376">
        <v>18.912087912087912</v>
      </c>
      <c r="AO166" s="5376">
        <v>15.955555555555556</v>
      </c>
      <c r="AP166" s="5376">
        <v>18.622222222222224</v>
      </c>
      <c r="AQ166" s="5376">
        <v>15.729166666666666</v>
      </c>
      <c r="AR166" s="5376">
        <v>13.40625</v>
      </c>
      <c r="AS166" s="5376">
        <v>11.178947368421053</v>
      </c>
      <c r="AT166" s="5376">
        <f t="shared" si="289"/>
        <v>195.60036064117256</v>
      </c>
      <c r="AU166" s="5377">
        <f t="shared" si="279"/>
        <v>16.300030053431048</v>
      </c>
      <c r="AW166" s="5411">
        <v>11.24742268041237</v>
      </c>
      <c r="AX166" s="5376">
        <v>22.739583333333332</v>
      </c>
      <c r="AY166" s="5376">
        <v>14.727272727272727</v>
      </c>
      <c r="AZ166" s="5376">
        <v>18.938775510204081</v>
      </c>
      <c r="BA166" s="5376">
        <v>24.07</v>
      </c>
      <c r="BB166" s="5376">
        <v>17.36082474226804</v>
      </c>
      <c r="BC166" s="5376">
        <v>26.731182795698924</v>
      </c>
      <c r="BD166" s="5376">
        <v>17.767441860465116</v>
      </c>
      <c r="BE166" s="5376">
        <v>21.31818181818182</v>
      </c>
      <c r="BF166" s="5376">
        <v>14.517241379310345</v>
      </c>
      <c r="BG166" s="5376">
        <v>14.058823529411764</v>
      </c>
      <c r="BH166" s="5376">
        <v>12.043956043956044</v>
      </c>
      <c r="BI166" s="5376">
        <f t="shared" si="286"/>
        <v>215.52070642051456</v>
      </c>
      <c r="BJ166" s="5377">
        <f t="shared" si="280"/>
        <v>17.960058868376212</v>
      </c>
      <c r="BK166" s="4836"/>
      <c r="BL166" s="5411">
        <f>IFERROR('※ 영기팀 작성_가입자'!BL29/'※ 인력 세부데이터'!AW114,"")</f>
        <v>18.593406593406595</v>
      </c>
      <c r="BM166" s="5376">
        <f>IFERROR('※ 영기팀 작성_가입자'!BM29/'※ 인력 세부데이터'!AX114,"")</f>
        <v>10.666666666666666</v>
      </c>
      <c r="BN166" s="5376" t="str">
        <f>IFERROR('※ 영기팀 작성_가입자'!BN29/'※ 인력 세부데이터'!AY114,"")</f>
        <v/>
      </c>
      <c r="BO166" s="5376" t="str">
        <f>IFERROR('※ 영기팀 작성_가입자'!BO29/'※ 인력 세부데이터'!AZ114,"")</f>
        <v/>
      </c>
      <c r="BP166" s="5376" t="str">
        <f>IFERROR('※ 영기팀 작성_가입자'!BP29/'※ 인력 세부데이터'!BA114,"")</f>
        <v/>
      </c>
      <c r="BQ166" s="5376" t="str">
        <f>IFERROR('※ 영기팀 작성_가입자'!BQ29/'※ 인력 세부데이터'!BB114,"")</f>
        <v/>
      </c>
      <c r="BR166" s="5376" t="str">
        <f>IFERROR('※ 영기팀 작성_가입자'!BR29/'※ 인력 세부데이터'!BC114,"")</f>
        <v/>
      </c>
      <c r="BS166" s="5376" t="str">
        <f>IFERROR('※ 영기팀 작성_가입자'!BS29/'※ 인력 세부데이터'!BD114,"")</f>
        <v/>
      </c>
      <c r="BT166" s="5376" t="str">
        <f>IFERROR('※ 영기팀 작성_가입자'!BT29/'※ 인력 세부데이터'!BE114,"")</f>
        <v/>
      </c>
      <c r="BU166" s="5376" t="str">
        <f>IFERROR('※ 영기팀 작성_가입자'!BU29/'※ 인력 세부데이터'!BF114,"")</f>
        <v/>
      </c>
      <c r="BV166" s="5376" t="str">
        <f>IFERROR('※ 영기팀 작성_가입자'!BV29/'※ 인력 세부데이터'!BG114,"")</f>
        <v/>
      </c>
      <c r="BW166" s="5376" t="str">
        <f>IFERROR('※ 영기팀 작성_가입자'!BW29/'※ 인력 세부데이터'!BH114,"")</f>
        <v/>
      </c>
      <c r="BX166" s="5376">
        <f t="shared" si="287"/>
        <v>29.260073260073263</v>
      </c>
      <c r="BY166" s="5261">
        <f t="shared" si="281"/>
        <v>14.630036630036631</v>
      </c>
      <c r="CA166" s="169">
        <f t="shared" si="290"/>
        <v>-12.072916666666666</v>
      </c>
      <c r="CB166" s="169">
        <f t="shared" si="288"/>
        <v>1.6600288149451643</v>
      </c>
      <c r="CC166" s="169">
        <f>IFERROR(
  SUM(
    _xlfn.XLOOKUP(DATE(YEAR($A$1),1,1),$2:$2,166:166):
    _xlfn.XLOOKUP($A$1,$2:$2,166:166)
  )
 -SUM(
    _xlfn.XLOOKUP(DATE(YEAR($A$1)-1,1,1),$2:$2,166:166):
    _xlfn.XLOOKUP(EDATE($A$1,-12),$2:$2,166:166)
  ),"")</f>
        <v>-4.7269327536724361</v>
      </c>
      <c r="CD166" s="4517">
        <f t="shared" si="291"/>
        <v>-7.9267399267399288</v>
      </c>
    </row>
    <row r="167" spans="1:82" ht="17.600000000000001" x14ac:dyDescent="0.55000000000000004">
      <c r="A167" s="7383"/>
      <c r="B167" s="2062"/>
      <c r="C167" s="5263" t="s">
        <v>217</v>
      </c>
      <c r="D167" s="5384">
        <v>16.680327868852459</v>
      </c>
      <c r="E167" s="5384">
        <v>18.033057851239668</v>
      </c>
      <c r="F167" s="5384">
        <v>17.383928571428573</v>
      </c>
      <c r="G167" s="5384">
        <v>17.060344827586206</v>
      </c>
      <c r="H167" s="5384">
        <v>17.347826086956523</v>
      </c>
      <c r="I167" s="5384">
        <v>18.631147540983605</v>
      </c>
      <c r="J167" s="5384">
        <v>15.192</v>
      </c>
      <c r="K167" s="5384">
        <v>22.206611570247933</v>
      </c>
      <c r="L167" s="5384">
        <v>12.5703125</v>
      </c>
      <c r="M167" s="5384">
        <v>21.223140495867767</v>
      </c>
      <c r="N167" s="5384">
        <v>16.629032258064516</v>
      </c>
      <c r="O167" s="5384">
        <v>14.816000000000001</v>
      </c>
      <c r="P167" s="5384">
        <f t="shared" si="282"/>
        <v>207.77372957122725</v>
      </c>
      <c r="Q167" s="5385">
        <f t="shared" si="283"/>
        <v>17.314477464268936</v>
      </c>
      <c r="R167" s="2776"/>
      <c r="S167" s="5386">
        <v>14.65625</v>
      </c>
      <c r="T167" s="5384">
        <v>22.0859375</v>
      </c>
      <c r="U167" s="5384">
        <v>16.285714285714285</v>
      </c>
      <c r="V167" s="5384">
        <v>16.243902439024389</v>
      </c>
      <c r="W167" s="5384">
        <v>16.527559055118111</v>
      </c>
      <c r="X167" s="5384">
        <v>15.674603174603174</v>
      </c>
      <c r="Y167" s="5384">
        <v>14.46218487394958</v>
      </c>
      <c r="Z167" s="5384">
        <v>29.042735042735043</v>
      </c>
      <c r="AA167" s="5384">
        <v>12.439655172413794</v>
      </c>
      <c r="AB167" s="5384">
        <v>22.153846153846153</v>
      </c>
      <c r="AC167" s="5384">
        <v>14.865546218487395</v>
      </c>
      <c r="AD167" s="5384">
        <v>13.341880341880342</v>
      </c>
      <c r="AE167" s="5384">
        <f t="shared" si="284"/>
        <v>207.77981425777227</v>
      </c>
      <c r="AF167" s="5385">
        <f t="shared" si="285"/>
        <v>17.314984521481023</v>
      </c>
      <c r="AG167" s="2776"/>
      <c r="AH167" s="5386">
        <v>27.333333333333332</v>
      </c>
      <c r="AI167" s="5384">
        <v>16.916666666666668</v>
      </c>
      <c r="AJ167" s="5384">
        <v>17.314049586776861</v>
      </c>
      <c r="AK167" s="5384">
        <v>17.380165289256198</v>
      </c>
      <c r="AL167" s="5384">
        <v>17.983739837398375</v>
      </c>
      <c r="AM167" s="5384">
        <v>15.35</v>
      </c>
      <c r="AN167" s="5384">
        <v>25.853448275862068</v>
      </c>
      <c r="AO167" s="5384">
        <v>17.423728813559322</v>
      </c>
      <c r="AP167" s="5384">
        <v>21.822033898305083</v>
      </c>
      <c r="AQ167" s="5384">
        <v>17.081967213114755</v>
      </c>
      <c r="AR167" s="5384">
        <v>14.674603174603174</v>
      </c>
      <c r="AS167" s="5384">
        <v>13.078125</v>
      </c>
      <c r="AT167" s="5384">
        <f t="shared" si="289"/>
        <v>222.21186108887582</v>
      </c>
      <c r="AU167" s="5385">
        <f t="shared" si="279"/>
        <v>18.517655090739652</v>
      </c>
      <c r="AW167" s="5412">
        <v>9.6044776119402986</v>
      </c>
      <c r="AX167" s="5384">
        <v>26.847999999999999</v>
      </c>
      <c r="AY167" s="5384">
        <v>18</v>
      </c>
      <c r="AZ167" s="5384">
        <v>22.569105691056912</v>
      </c>
      <c r="BA167" s="5384">
        <v>28.8</v>
      </c>
      <c r="BB167" s="5384">
        <v>19.16949152542373</v>
      </c>
      <c r="BC167" s="5384">
        <v>34.780701754385966</v>
      </c>
      <c r="BD167" s="5384">
        <v>19.42982456140351</v>
      </c>
      <c r="BE167" s="5384">
        <v>24.162393162393162</v>
      </c>
      <c r="BF167" s="5384">
        <v>18.281818181818181</v>
      </c>
      <c r="BG167" s="5384">
        <v>14.928571428571429</v>
      </c>
      <c r="BH167" s="5384">
        <v>12.521008403361344</v>
      </c>
      <c r="BI167" s="5384">
        <f t="shared" si="286"/>
        <v>249.09539232035453</v>
      </c>
      <c r="BJ167" s="5385">
        <f t="shared" si="280"/>
        <v>20.757949360029546</v>
      </c>
      <c r="BK167" s="4836"/>
      <c r="BL167" s="5412">
        <f>IFERROR('※ 영기팀 작성_가입자'!BL30/'※ 인력 세부데이터'!AW115,"")</f>
        <v>19.14516129032258</v>
      </c>
      <c r="BM167" s="5384">
        <f>IFERROR('※ 영기팀 작성_가입자'!BM30/'※ 인력 세부데이터'!AX115,"")</f>
        <v>11.546875</v>
      </c>
      <c r="BN167" s="5384" t="str">
        <f>IFERROR('※ 영기팀 작성_가입자'!BN30/'※ 인력 세부데이터'!AY115,"")</f>
        <v/>
      </c>
      <c r="BO167" s="5384" t="str">
        <f>IFERROR('※ 영기팀 작성_가입자'!BO30/'※ 인력 세부데이터'!AZ115,"")</f>
        <v/>
      </c>
      <c r="BP167" s="5384" t="str">
        <f>IFERROR('※ 영기팀 작성_가입자'!BP30/'※ 인력 세부데이터'!BA115,"")</f>
        <v/>
      </c>
      <c r="BQ167" s="5384" t="str">
        <f>IFERROR('※ 영기팀 작성_가입자'!BQ30/'※ 인력 세부데이터'!BB115,"")</f>
        <v/>
      </c>
      <c r="BR167" s="5384" t="str">
        <f>IFERROR('※ 영기팀 작성_가입자'!BR30/'※ 인력 세부데이터'!BC115,"")</f>
        <v/>
      </c>
      <c r="BS167" s="5384" t="str">
        <f>IFERROR('※ 영기팀 작성_가입자'!BS30/'※ 인력 세부데이터'!BD115,"")</f>
        <v/>
      </c>
      <c r="BT167" s="5384" t="str">
        <f>IFERROR('※ 영기팀 작성_가입자'!BT30/'※ 인력 세부데이터'!BE115,"")</f>
        <v/>
      </c>
      <c r="BU167" s="5384" t="str">
        <f>IFERROR('※ 영기팀 작성_가입자'!BU30/'※ 인력 세부데이터'!BF115,"")</f>
        <v/>
      </c>
      <c r="BV167" s="5384" t="str">
        <f>IFERROR('※ 영기팀 작성_가입자'!BV30/'※ 인력 세부데이터'!BG115,"")</f>
        <v/>
      </c>
      <c r="BW167" s="5384" t="str">
        <f>IFERROR('※ 영기팀 작성_가입자'!BW30/'※ 인력 세부데이터'!BH115,"")</f>
        <v/>
      </c>
      <c r="BX167" s="5384">
        <f t="shared" si="287"/>
        <v>30.69203629032258</v>
      </c>
      <c r="BY167" s="5266">
        <f t="shared" si="281"/>
        <v>15.34601814516129</v>
      </c>
      <c r="CA167" s="169">
        <f t="shared" si="290"/>
        <v>-15.301124999999999</v>
      </c>
      <c r="CB167" s="169">
        <f t="shared" si="288"/>
        <v>2.2402942692898939</v>
      </c>
      <c r="CC167" s="169">
        <f>IFERROR(
  SUM(
    _xlfn.XLOOKUP(DATE(YEAR($A$1),1,1),$2:$2,167:167):
    _xlfn.XLOOKUP($A$1,$2:$2,167:167)
  )
 -SUM(
    _xlfn.XLOOKUP(DATE(YEAR($A$1)-1,1,1),$2:$2,167:167):
    _xlfn.XLOOKUP(EDATE($A$1,-12),$2:$2,167:167)
  ),"")</f>
        <v>-5.7604413216177157</v>
      </c>
      <c r="CD167" s="4517">
        <f t="shared" si="291"/>
        <v>-7.5982862903225801</v>
      </c>
    </row>
    <row r="168" spans="1:82" ht="17.600000000000001" x14ac:dyDescent="0.55000000000000004">
      <c r="A168" s="7383"/>
      <c r="B168" s="2062"/>
      <c r="C168" s="5263" t="s">
        <v>218</v>
      </c>
      <c r="D168" s="5384">
        <v>16.512605042016808</v>
      </c>
      <c r="E168" s="5384">
        <v>15.512195121951219</v>
      </c>
      <c r="F168" s="5384">
        <v>15.208333333333334</v>
      </c>
      <c r="G168" s="5384">
        <v>15.803278688524591</v>
      </c>
      <c r="H168" s="5384">
        <v>13.659090909090908</v>
      </c>
      <c r="I168" s="5384">
        <v>17.900763358778626</v>
      </c>
      <c r="J168" s="5384">
        <v>12.44927536231884</v>
      </c>
      <c r="K168" s="5384">
        <v>20.308823529411764</v>
      </c>
      <c r="L168" s="5384">
        <v>12</v>
      </c>
      <c r="M168" s="5384">
        <v>18.832061068702291</v>
      </c>
      <c r="N168" s="5384">
        <v>13.947761194029852</v>
      </c>
      <c r="O168" s="5384">
        <v>10.932835820895523</v>
      </c>
      <c r="P168" s="5384">
        <f t="shared" si="282"/>
        <v>183.06702342905376</v>
      </c>
      <c r="Q168" s="5385">
        <f t="shared" si="283"/>
        <v>15.25558528575448</v>
      </c>
      <c r="R168" s="2776"/>
      <c r="S168" s="5386">
        <v>14.0234375</v>
      </c>
      <c r="T168" s="5384">
        <v>18.865079365079364</v>
      </c>
      <c r="U168" s="5384">
        <v>14.198412698412698</v>
      </c>
      <c r="V168" s="5384">
        <v>13.528</v>
      </c>
      <c r="W168" s="5384">
        <v>15.920634920634921</v>
      </c>
      <c r="X168" s="5384">
        <v>15.346456692913385</v>
      </c>
      <c r="Y168" s="5384">
        <v>12.341269841269842</v>
      </c>
      <c r="Z168" s="5384">
        <v>22.388888888888889</v>
      </c>
      <c r="AA168" s="5384">
        <v>11.729508196721312</v>
      </c>
      <c r="AB168" s="5384">
        <v>20.991735537190081</v>
      </c>
      <c r="AC168" s="5384">
        <v>12.991735537190083</v>
      </c>
      <c r="AD168" s="5384">
        <v>11.688524590163935</v>
      </c>
      <c r="AE168" s="5384">
        <f t="shared" si="284"/>
        <v>184.01368376846455</v>
      </c>
      <c r="AF168" s="5385">
        <f t="shared" si="285"/>
        <v>15.334473647372045</v>
      </c>
      <c r="AG168" s="2776"/>
      <c r="AH168" s="5386">
        <v>24.416</v>
      </c>
      <c r="AI168" s="5384">
        <v>13.903225806451612</v>
      </c>
      <c r="AJ168" s="5384">
        <v>16.132231404958677</v>
      </c>
      <c r="AK168" s="5384">
        <v>15.336065573770492</v>
      </c>
      <c r="AL168" s="5384">
        <v>14.464566929133857</v>
      </c>
      <c r="AM168" s="5384">
        <v>14.87603305785124</v>
      </c>
      <c r="AN168" s="5384">
        <v>22.008403361344538</v>
      </c>
      <c r="AO168" s="5384">
        <v>15.991452991452991</v>
      </c>
      <c r="AP168" s="5384">
        <v>20.593220338983052</v>
      </c>
      <c r="AQ168" s="5384">
        <v>14.87603305785124</v>
      </c>
      <c r="AR168" s="5384">
        <v>14.260162601626016</v>
      </c>
      <c r="AS168" s="5384">
        <v>11.30952380952381</v>
      </c>
      <c r="AT168" s="5384">
        <f t="shared" si="289"/>
        <v>198.16691893294751</v>
      </c>
      <c r="AU168" s="5385">
        <f t="shared" si="279"/>
        <v>16.513909911078958</v>
      </c>
      <c r="AW168" s="5412">
        <v>11.016260162601625</v>
      </c>
      <c r="AX168" s="5384">
        <v>24.016129032258064</v>
      </c>
      <c r="AY168" s="5384">
        <v>17.347107438016529</v>
      </c>
      <c r="AZ168" s="5384">
        <v>21.611570247933884</v>
      </c>
      <c r="BA168" s="5384">
        <v>25.614754098360656</v>
      </c>
      <c r="BB168" s="5384">
        <v>16.687999999999999</v>
      </c>
      <c r="BC168" s="5384">
        <v>26.896000000000001</v>
      </c>
      <c r="BD168" s="5384">
        <v>16.580645161290324</v>
      </c>
      <c r="BE168" s="5384">
        <v>22.344537815126049</v>
      </c>
      <c r="BF168" s="5384">
        <v>15.931623931623932</v>
      </c>
      <c r="BG168" s="5384">
        <v>14.33898305084746</v>
      </c>
      <c r="BH168" s="5384">
        <v>13.082644628099173</v>
      </c>
      <c r="BI168" s="5384">
        <f t="shared" si="286"/>
        <v>225.46825556615772</v>
      </c>
      <c r="BJ168" s="5385">
        <f t="shared" si="280"/>
        <v>18.789021297179811</v>
      </c>
      <c r="BK168" s="4836"/>
      <c r="BL168" s="5412">
        <f>IFERROR('※ 영기팀 작성_가입자'!BL31/'※ 인력 세부데이터'!AW116,"")</f>
        <v>18.904761904761905</v>
      </c>
      <c r="BM168" s="5384">
        <f>IFERROR('※ 영기팀 작성_가입자'!BM31/'※ 인력 세부데이터'!AX116,"")</f>
        <v>10.92741935483871</v>
      </c>
      <c r="BN168" s="5384" t="str">
        <f>IFERROR('※ 영기팀 작성_가입자'!BN31/'※ 인력 세부데이터'!AY116,"")</f>
        <v/>
      </c>
      <c r="BO168" s="5384" t="str">
        <f>IFERROR('※ 영기팀 작성_가입자'!BO31/'※ 인력 세부데이터'!AZ116,"")</f>
        <v/>
      </c>
      <c r="BP168" s="5384" t="str">
        <f>IFERROR('※ 영기팀 작성_가입자'!BP31/'※ 인력 세부데이터'!BA116,"")</f>
        <v/>
      </c>
      <c r="BQ168" s="5384" t="str">
        <f>IFERROR('※ 영기팀 작성_가입자'!BQ31/'※ 인력 세부데이터'!BB116,"")</f>
        <v/>
      </c>
      <c r="BR168" s="5384" t="str">
        <f>IFERROR('※ 영기팀 작성_가입자'!BR31/'※ 인력 세부데이터'!BC116,"")</f>
        <v/>
      </c>
      <c r="BS168" s="5384" t="str">
        <f>IFERROR('※ 영기팀 작성_가입자'!BS31/'※ 인력 세부데이터'!BD116,"")</f>
        <v/>
      </c>
      <c r="BT168" s="5384" t="str">
        <f>IFERROR('※ 영기팀 작성_가입자'!BT31/'※ 인력 세부데이터'!BE116,"")</f>
        <v/>
      </c>
      <c r="BU168" s="5384" t="str">
        <f>IFERROR('※ 영기팀 작성_가입자'!BU31/'※ 인력 세부데이터'!BF116,"")</f>
        <v/>
      </c>
      <c r="BV168" s="5384" t="str">
        <f>IFERROR('※ 영기팀 작성_가입자'!BV31/'※ 인력 세부데이터'!BG116,"")</f>
        <v/>
      </c>
      <c r="BW168" s="5384" t="str">
        <f>IFERROR('※ 영기팀 작성_가입자'!BW31/'※ 인력 세부데이터'!BH116,"")</f>
        <v/>
      </c>
      <c r="BX168" s="5384">
        <f t="shared" si="287"/>
        <v>29.832181259600617</v>
      </c>
      <c r="BY168" s="5266">
        <f t="shared" si="281"/>
        <v>14.916090629800308</v>
      </c>
      <c r="CA168" s="169">
        <f t="shared" si="290"/>
        <v>-13.088709677419354</v>
      </c>
      <c r="CB168" s="169">
        <f t="shared" si="288"/>
        <v>2.2751113861008534</v>
      </c>
      <c r="CC168" s="169">
        <f>IFERROR(
  SUM(
    _xlfn.XLOOKUP(DATE(YEAR($A$1),1,1),$2:$2,168:168):
    _xlfn.XLOOKUP($A$1,$2:$2,168:168)
  )
 -SUM(
    _xlfn.XLOOKUP(DATE(YEAR($A$1)-1,1,1),$2:$2,168:168):
    _xlfn.XLOOKUP(EDATE($A$1,-12),$2:$2,168:168)
  ),"")</f>
        <v>-5.2002079352590727</v>
      </c>
      <c r="CD168" s="4517">
        <f t="shared" si="291"/>
        <v>-7.9773425499231951</v>
      </c>
    </row>
    <row r="169" spans="1:82" ht="17.600000000000001" x14ac:dyDescent="0.55000000000000004">
      <c r="A169" s="7383"/>
      <c r="B169" s="2062"/>
      <c r="C169" s="5258" t="s">
        <v>219</v>
      </c>
      <c r="D169" s="5376">
        <v>15.138613861386139</v>
      </c>
      <c r="E169" s="5376">
        <v>16.659793814432991</v>
      </c>
      <c r="F169" s="5376">
        <v>14.407766990291263</v>
      </c>
      <c r="G169" s="5376">
        <v>15.138613861386139</v>
      </c>
      <c r="H169" s="5376">
        <v>14.009615384615385</v>
      </c>
      <c r="I169" s="5376">
        <v>17</v>
      </c>
      <c r="J169" s="5376">
        <v>13.663265306122449</v>
      </c>
      <c r="K169" s="5376">
        <v>23.793814432989691</v>
      </c>
      <c r="L169" s="5376">
        <v>12.715789473684211</v>
      </c>
      <c r="M169" s="5376">
        <v>21.260416666666668</v>
      </c>
      <c r="N169" s="5376">
        <v>14.836734693877551</v>
      </c>
      <c r="O169" s="5376">
        <v>11.394495412844037</v>
      </c>
      <c r="P169" s="5376">
        <f t="shared" si="282"/>
        <v>190.01891989829653</v>
      </c>
      <c r="Q169" s="5377">
        <f t="shared" si="283"/>
        <v>15.834909991524711</v>
      </c>
      <c r="R169" s="2776"/>
      <c r="S169" s="5378">
        <v>12.424528301886792</v>
      </c>
      <c r="T169" s="5376">
        <v>19.484848484848484</v>
      </c>
      <c r="U169" s="5376">
        <v>15.635416666666666</v>
      </c>
      <c r="V169" s="5376">
        <v>14.148514851485148</v>
      </c>
      <c r="W169" s="5376">
        <v>15.009174311926605</v>
      </c>
      <c r="X169" s="5376">
        <v>14.211538461538462</v>
      </c>
      <c r="Y169" s="5376">
        <v>14.19</v>
      </c>
      <c r="Z169" s="5376">
        <v>24.058252427184467</v>
      </c>
      <c r="AA169" s="5376">
        <v>11.207920792079207</v>
      </c>
      <c r="AB169" s="5376">
        <v>21.222222222222221</v>
      </c>
      <c r="AC169" s="5376">
        <v>13.784313725490197</v>
      </c>
      <c r="AD169" s="5376">
        <v>12.098039215686274</v>
      </c>
      <c r="AE169" s="5376">
        <f t="shared" si="284"/>
        <v>187.47476946101455</v>
      </c>
      <c r="AF169" s="5377">
        <f t="shared" si="285"/>
        <v>15.622897455084546</v>
      </c>
      <c r="AG169" s="2776"/>
      <c r="AH169" s="5378">
        <v>22.644859813084111</v>
      </c>
      <c r="AI169" s="5376">
        <v>13.6</v>
      </c>
      <c r="AJ169" s="5376">
        <v>15.548076923076923</v>
      </c>
      <c r="AK169" s="5376">
        <v>14.813084112149532</v>
      </c>
      <c r="AL169" s="5376">
        <v>14.330188679245284</v>
      </c>
      <c r="AM169" s="5376">
        <v>13.413461538461538</v>
      </c>
      <c r="AN169" s="5376">
        <v>20.41346153846154</v>
      </c>
      <c r="AO169" s="5376">
        <v>14.844660194174757</v>
      </c>
      <c r="AP169" s="5376">
        <v>18.850467289719628</v>
      </c>
      <c r="AQ169" s="5376">
        <v>13.278260869565218</v>
      </c>
      <c r="AR169" s="5376">
        <v>13.252252252252251</v>
      </c>
      <c r="AS169" s="5376">
        <v>11.483050847457626</v>
      </c>
      <c r="AT169" s="5376">
        <f t="shared" si="289"/>
        <v>186.47182405764843</v>
      </c>
      <c r="AU169" s="5377">
        <f t="shared" si="279"/>
        <v>15.539318671470703</v>
      </c>
      <c r="AW169" s="5411">
        <v>9.806451612903226</v>
      </c>
      <c r="AX169" s="5376">
        <v>20.22689075630252</v>
      </c>
      <c r="AY169" s="5376">
        <v>13.983333333333333</v>
      </c>
      <c r="AZ169" s="5376">
        <v>17.349593495934958</v>
      </c>
      <c r="BA169" s="5376">
        <v>24.042735042735043</v>
      </c>
      <c r="BB169" s="5376">
        <v>13.542372881355933</v>
      </c>
      <c r="BC169" s="5376">
        <v>24.703389830508474</v>
      </c>
      <c r="BD169" s="5376">
        <v>14.362068965517242</v>
      </c>
      <c r="BE169" s="5376">
        <v>20.025862068965516</v>
      </c>
      <c r="BF169" s="5376">
        <v>12.575221238938052</v>
      </c>
      <c r="BG169" s="5376">
        <v>11.675675675675675</v>
      </c>
      <c r="BH169" s="5376">
        <v>11.568807339449542</v>
      </c>
      <c r="BI169" s="5376">
        <f t="shared" si="286"/>
        <v>193.86240224161952</v>
      </c>
      <c r="BJ169" s="5377">
        <f t="shared" si="280"/>
        <v>16.155200186801626</v>
      </c>
      <c r="BK169" s="4836"/>
      <c r="BL169" s="5411">
        <f>IFERROR('※ 영기팀 작성_가입자'!BL32/'※ 인력 세부데이터'!AW117,"")</f>
        <v>16.382608695652177</v>
      </c>
      <c r="BM169" s="5376">
        <f>IFERROR('※ 영기팀 작성_가입자'!BM32/'※ 인력 세부데이터'!AX117,"")</f>
        <v>9.9914529914529915</v>
      </c>
      <c r="BN169" s="5376" t="str">
        <f>IFERROR('※ 영기팀 작성_가입자'!BN32/'※ 인력 세부데이터'!AY117,"")</f>
        <v/>
      </c>
      <c r="BO169" s="5376" t="str">
        <f>IFERROR('※ 영기팀 작성_가입자'!BO32/'※ 인력 세부데이터'!AZ117,"")</f>
        <v/>
      </c>
      <c r="BP169" s="5376" t="str">
        <f>IFERROR('※ 영기팀 작성_가입자'!BP32/'※ 인력 세부데이터'!BA117,"")</f>
        <v/>
      </c>
      <c r="BQ169" s="5376" t="str">
        <f>IFERROR('※ 영기팀 작성_가입자'!BQ32/'※ 인력 세부데이터'!BB117,"")</f>
        <v/>
      </c>
      <c r="BR169" s="5376" t="str">
        <f>IFERROR('※ 영기팀 작성_가입자'!BR32/'※ 인력 세부데이터'!BC117,"")</f>
        <v/>
      </c>
      <c r="BS169" s="5376" t="str">
        <f>IFERROR('※ 영기팀 작성_가입자'!BS32/'※ 인력 세부데이터'!BD117,"")</f>
        <v/>
      </c>
      <c r="BT169" s="5376" t="str">
        <f>IFERROR('※ 영기팀 작성_가입자'!BT32/'※ 인력 세부데이터'!BE117,"")</f>
        <v/>
      </c>
      <c r="BU169" s="5376" t="str">
        <f>IFERROR('※ 영기팀 작성_가입자'!BU32/'※ 인력 세부데이터'!BF117,"")</f>
        <v/>
      </c>
      <c r="BV169" s="5376" t="str">
        <f>IFERROR('※ 영기팀 작성_가입자'!BV32/'※ 인력 세부데이터'!BG117,"")</f>
        <v/>
      </c>
      <c r="BW169" s="5376" t="str">
        <f>IFERROR('※ 영기팀 작성_가입자'!BW32/'※ 인력 세부데이터'!BH117,"")</f>
        <v/>
      </c>
      <c r="BX169" s="5376">
        <f t="shared" si="287"/>
        <v>26.374061687105169</v>
      </c>
      <c r="BY169" s="5261">
        <f t="shared" si="281"/>
        <v>13.187030843552584</v>
      </c>
      <c r="CA169" s="169">
        <f t="shared" si="290"/>
        <v>-10.235437764849529</v>
      </c>
      <c r="CB169" s="169">
        <f t="shared" si="288"/>
        <v>0.61588151533092272</v>
      </c>
      <c r="CC169" s="169">
        <f>IFERROR(
  SUM(
    _xlfn.XLOOKUP(DATE(YEAR($A$1),1,1),$2:$2,169:169):
    _xlfn.XLOOKUP($A$1,$2:$2,169:169)
  )
 -SUM(
    _xlfn.XLOOKUP(DATE(YEAR($A$1)-1,1,1),$2:$2,169:169):
    _xlfn.XLOOKUP(EDATE($A$1,-12),$2:$2,169:169)
  ),"")</f>
        <v>-3.6592806821005794</v>
      </c>
      <c r="CD169" s="4517">
        <f t="shared" si="291"/>
        <v>-6.3911557041991855</v>
      </c>
    </row>
    <row r="170" spans="1:82" ht="18" thickBot="1" x14ac:dyDescent="0.6">
      <c r="A170" s="7384"/>
      <c r="B170" s="5268"/>
      <c r="C170" s="5269" t="s">
        <v>220</v>
      </c>
      <c r="D170" s="5392">
        <v>15.166666666666666</v>
      </c>
      <c r="E170" s="5392">
        <v>16.03</v>
      </c>
      <c r="F170" s="5392">
        <v>16.787234042553191</v>
      </c>
      <c r="G170" s="5392">
        <v>15.836734693877551</v>
      </c>
      <c r="H170" s="5392">
        <v>14.586538461538462</v>
      </c>
      <c r="I170" s="5392">
        <v>18.905263157894737</v>
      </c>
      <c r="J170" s="5392">
        <v>15</v>
      </c>
      <c r="K170" s="5392">
        <v>19.789473684210527</v>
      </c>
      <c r="L170" s="5392">
        <v>13.252525252525253</v>
      </c>
      <c r="M170" s="5392">
        <v>19.59433962264151</v>
      </c>
      <c r="N170" s="5392">
        <v>12.716814159292035</v>
      </c>
      <c r="O170" s="5392">
        <v>11.469565217391304</v>
      </c>
      <c r="P170" s="5392">
        <f t="shared" si="282"/>
        <v>189.13515495859124</v>
      </c>
      <c r="Q170" s="5393">
        <f t="shared" si="283"/>
        <v>15.761262913215937</v>
      </c>
      <c r="R170" s="2776"/>
      <c r="S170" s="5394">
        <v>12.064814814814815</v>
      </c>
      <c r="T170" s="5392">
        <v>18.75</v>
      </c>
      <c r="U170" s="5392">
        <v>15.049019607843137</v>
      </c>
      <c r="V170" s="5392">
        <v>13.96</v>
      </c>
      <c r="W170" s="5392">
        <v>16.2</v>
      </c>
      <c r="X170" s="5392">
        <v>14.186274509803921</v>
      </c>
      <c r="Y170" s="5392">
        <v>14.15625</v>
      </c>
      <c r="Z170" s="5392">
        <v>21.567307692307693</v>
      </c>
      <c r="AA170" s="5392">
        <v>10.89423076923077</v>
      </c>
      <c r="AB170" s="5392">
        <v>19.398058252427184</v>
      </c>
      <c r="AC170" s="5392">
        <v>13.311320754716981</v>
      </c>
      <c r="AD170" s="5392">
        <v>11.895238095238096</v>
      </c>
      <c r="AE170" s="5392">
        <f t="shared" si="284"/>
        <v>181.43251449638257</v>
      </c>
      <c r="AF170" s="5393">
        <f t="shared" si="285"/>
        <v>15.119376208031881</v>
      </c>
      <c r="AG170" s="2776"/>
      <c r="AH170" s="5394">
        <v>19.925233644859812</v>
      </c>
      <c r="AI170" s="5392">
        <v>13.815533980582524</v>
      </c>
      <c r="AJ170" s="5392">
        <v>15.542857142857143</v>
      </c>
      <c r="AK170" s="5392">
        <v>14.98076923076923</v>
      </c>
      <c r="AL170" s="5392">
        <v>14.685714285714285</v>
      </c>
      <c r="AM170" s="5392">
        <v>14.114285714285714</v>
      </c>
      <c r="AN170" s="5392">
        <v>19.25</v>
      </c>
      <c r="AO170" s="5392">
        <v>14.077586206896552</v>
      </c>
      <c r="AP170" s="5392">
        <v>18.508620689655171</v>
      </c>
      <c r="AQ170" s="5392">
        <v>13.581196581196581</v>
      </c>
      <c r="AR170" s="5392">
        <v>12.947826086956521</v>
      </c>
      <c r="AS170" s="5392">
        <v>11.315789473684211</v>
      </c>
      <c r="AT170" s="5392">
        <f t="shared" si="289"/>
        <v>182.74541303745778</v>
      </c>
      <c r="AU170" s="5393">
        <f t="shared" si="279"/>
        <v>15.228784419788148</v>
      </c>
      <c r="AW170" s="5413">
        <v>10.409090909090908</v>
      </c>
      <c r="AX170" s="5392">
        <v>22.192660550458715</v>
      </c>
      <c r="AY170" s="5392">
        <v>14.869565217391305</v>
      </c>
      <c r="AZ170" s="5392">
        <v>16.034782608695654</v>
      </c>
      <c r="BA170" s="5392">
        <v>22.612612612612612</v>
      </c>
      <c r="BB170" s="5392">
        <v>14.254545454545454</v>
      </c>
      <c r="BC170" s="5392">
        <v>23.513513513513512</v>
      </c>
      <c r="BD170" s="5392">
        <v>15.321100917431192</v>
      </c>
      <c r="BE170" s="5392">
        <v>19.354545454545455</v>
      </c>
      <c r="BF170" s="5392">
        <v>13.216216216216216</v>
      </c>
      <c r="BG170" s="5392">
        <v>12.315315315315315</v>
      </c>
      <c r="BH170" s="5392">
        <v>10.407079646017699</v>
      </c>
      <c r="BI170" s="5392">
        <f t="shared" si="286"/>
        <v>194.50102841583401</v>
      </c>
      <c r="BJ170" s="5393">
        <f t="shared" si="280"/>
        <v>16.208419034652835</v>
      </c>
      <c r="BK170" s="4836"/>
      <c r="BL170" s="5413">
        <f>IFERROR('※ 영기팀 작성_가입자'!BL33/'※ 인력 세부데이터'!AW118,"")</f>
        <v>18.185840707964601</v>
      </c>
      <c r="BM170" s="5392">
        <f>IFERROR('※ 영기팀 작성_가입자'!BM33/'※ 인력 세부데이터'!AX118,"")</f>
        <v>11.292035398230089</v>
      </c>
      <c r="BN170" s="5392" t="str">
        <f>IFERROR('※ 영기팀 작성_가입자'!BN33/'※ 인력 세부데이터'!AY118,"")</f>
        <v/>
      </c>
      <c r="BO170" s="5392" t="str">
        <f>IFERROR('※ 영기팀 작성_가입자'!BO33/'※ 인력 세부데이터'!AZ118,"")</f>
        <v/>
      </c>
      <c r="BP170" s="5392" t="str">
        <f>IFERROR('※ 영기팀 작성_가입자'!BP33/'※ 인력 세부데이터'!BA118,"")</f>
        <v/>
      </c>
      <c r="BQ170" s="5392" t="str">
        <f>IFERROR('※ 영기팀 작성_가입자'!BQ33/'※ 인력 세부데이터'!BB118,"")</f>
        <v/>
      </c>
      <c r="BR170" s="5392" t="str">
        <f>IFERROR('※ 영기팀 작성_가입자'!BR33/'※ 인력 세부데이터'!BC118,"")</f>
        <v/>
      </c>
      <c r="BS170" s="5392" t="str">
        <f>IFERROR('※ 영기팀 작성_가입자'!BS33/'※ 인력 세부데이터'!BD118,"")</f>
        <v/>
      </c>
      <c r="BT170" s="5392" t="str">
        <f>IFERROR('※ 영기팀 작성_가입자'!BT33/'※ 인력 세부데이터'!BE118,"")</f>
        <v/>
      </c>
      <c r="BU170" s="5392" t="str">
        <f>IFERROR('※ 영기팀 작성_가입자'!BU33/'※ 인력 세부데이터'!BF118,"")</f>
        <v/>
      </c>
      <c r="BV170" s="5392" t="str">
        <f>IFERROR('※ 영기팀 작성_가입자'!BV33/'※ 인력 세부데이터'!BG118,"")</f>
        <v/>
      </c>
      <c r="BW170" s="5392" t="str">
        <f>IFERROR('※ 영기팀 작성_가입자'!BW33/'※ 인력 세부데이터'!BH118,"")</f>
        <v/>
      </c>
      <c r="BX170" s="5392">
        <f t="shared" si="287"/>
        <v>29.477876106194692</v>
      </c>
      <c r="BY170" s="5272">
        <f t="shared" si="281"/>
        <v>14.738938053097346</v>
      </c>
      <c r="CA170" s="169">
        <f t="shared" si="290"/>
        <v>-10.900625152228626</v>
      </c>
      <c r="CB170" s="169">
        <f t="shared" si="288"/>
        <v>0.97963461486468617</v>
      </c>
      <c r="CC170" s="169">
        <f>IFERROR(
  SUM(
    _xlfn.XLOOKUP(DATE(YEAR($A$1),1,1),$2:$2,170:170):
    _xlfn.XLOOKUP($A$1,$2:$2,170:170)
  )
 -SUM(
    _xlfn.XLOOKUP(DATE(YEAR($A$1)-1,1,1),$2:$2,170:170):
    _xlfn.XLOOKUP(EDATE($A$1,-12),$2:$2,170:170)
  ),"")</f>
        <v>-3.1238753533549328</v>
      </c>
      <c r="CD170" s="4517">
        <f t="shared" si="291"/>
        <v>-6.8938053097345122</v>
      </c>
    </row>
    <row r="171" spans="1:82" ht="6" customHeight="1" thickBot="1" x14ac:dyDescent="0.6">
      <c r="D171" s="2843"/>
      <c r="E171" s="2843"/>
      <c r="F171" s="2843"/>
      <c r="G171" s="2843"/>
      <c r="H171" s="2843"/>
      <c r="I171" s="2843"/>
      <c r="J171" s="2843"/>
      <c r="K171" s="2843"/>
      <c r="L171" s="2843"/>
      <c r="M171" s="2843"/>
      <c r="N171" s="2843"/>
      <c r="O171" s="2843"/>
      <c r="P171" s="2843"/>
      <c r="Q171" s="2843"/>
      <c r="R171" s="2776"/>
      <c r="S171" s="2843"/>
      <c r="T171" s="2843"/>
      <c r="U171" s="2843"/>
      <c r="V171" s="2843"/>
      <c r="W171" s="2843"/>
      <c r="X171" s="2843"/>
      <c r="Y171" s="2843"/>
      <c r="Z171" s="2843"/>
      <c r="AA171" s="2843"/>
      <c r="AB171" s="2843"/>
      <c r="AC171" s="2843"/>
      <c r="AD171" s="2843"/>
      <c r="AE171" s="2843"/>
      <c r="AF171" s="2843"/>
      <c r="AG171" s="2776"/>
      <c r="AH171" s="5414"/>
      <c r="AI171" s="5414"/>
      <c r="AJ171" s="5414"/>
      <c r="AK171" s="5414"/>
      <c r="AL171" s="5414"/>
      <c r="AM171" s="2843"/>
      <c r="AN171" s="2843"/>
      <c r="AO171" s="2843"/>
      <c r="AP171" s="2843"/>
      <c r="AQ171" s="2843"/>
      <c r="AR171" s="2843"/>
      <c r="AS171" s="2843"/>
      <c r="AT171" s="2843">
        <f t="shared" si="289"/>
        <v>0</v>
      </c>
      <c r="AU171" s="2843">
        <f t="shared" si="279"/>
        <v>0</v>
      </c>
      <c r="AW171" s="5414"/>
      <c r="AX171" s="5414"/>
      <c r="AY171" s="5414"/>
      <c r="AZ171" s="5414"/>
      <c r="BA171" s="5414"/>
      <c r="BB171" s="2843"/>
      <c r="BC171" s="2843"/>
      <c r="BD171" s="2843"/>
      <c r="BE171" s="2843"/>
      <c r="BF171" s="2843"/>
      <c r="BG171" s="2843"/>
      <c r="BH171" s="2843"/>
      <c r="BI171" s="2843"/>
      <c r="BJ171" s="2843" t="e">
        <f t="shared" si="280"/>
        <v>#DIV/0!</v>
      </c>
      <c r="BL171" s="5414"/>
      <c r="BM171" s="5414"/>
      <c r="BN171" s="5414"/>
      <c r="BO171" s="5414"/>
      <c r="BP171" s="5414"/>
      <c r="BQ171" s="2843"/>
      <c r="BR171" s="2843"/>
      <c r="BS171" s="2843"/>
      <c r="BT171" s="2843"/>
      <c r="BU171" s="2843"/>
      <c r="BV171" s="2843"/>
      <c r="BW171" s="2843"/>
      <c r="BX171" s="2843"/>
      <c r="CA171" s="169">
        <f t="shared" si="290"/>
        <v>0</v>
      </c>
      <c r="CB171" s="169" t="e">
        <f t="shared" si="288"/>
        <v>#DIV/0!</v>
      </c>
      <c r="CC171" s="169">
        <f>IFERROR(
  SUM(
    _xlfn.XLOOKUP(DATE(YEAR($A$1),1,1),$2:$2,171:171):
    _xlfn.XLOOKUP($A$1,$2:$2,171:171)
  )
 -SUM(
    _xlfn.XLOOKUP(DATE(YEAR($A$1)-1,1,1),$2:$2,171:171):
    _xlfn.XLOOKUP(EDATE($A$1,-12),$2:$2,171:171)
  ),"")</f>
        <v>0</v>
      </c>
      <c r="CD171" s="4517">
        <f t="shared" si="291"/>
        <v>0</v>
      </c>
    </row>
    <row r="172" spans="1:82" ht="17.600000000000001" x14ac:dyDescent="0.55000000000000004">
      <c r="A172" s="7382" t="s">
        <v>385</v>
      </c>
      <c r="B172" s="857" t="s">
        <v>242</v>
      </c>
      <c r="C172" s="858"/>
      <c r="D172" s="5341">
        <v>14.658823529411764</v>
      </c>
      <c r="E172" s="5342">
        <v>10.8671875</v>
      </c>
      <c r="F172" s="5342">
        <v>10.879377431906615</v>
      </c>
      <c r="G172" s="5342">
        <v>10.494252873563218</v>
      </c>
      <c r="H172" s="5342">
        <v>10.698473282442748</v>
      </c>
      <c r="I172" s="5342">
        <v>11.030888030888031</v>
      </c>
      <c r="J172" s="5342">
        <v>9.8931297709923669</v>
      </c>
      <c r="K172" s="5342">
        <v>11.815384615384616</v>
      </c>
      <c r="L172" s="5342">
        <v>9.4503816793893129</v>
      </c>
      <c r="M172" s="5342">
        <v>9.452107279693486</v>
      </c>
      <c r="N172" s="5342">
        <v>10.655172413793103</v>
      </c>
      <c r="O172" s="5342">
        <v>9.8125</v>
      </c>
      <c r="P172" s="5342">
        <f t="shared" si="282"/>
        <v>129.70767840746527</v>
      </c>
      <c r="Q172" s="5343">
        <f t="shared" si="283"/>
        <v>10.808973200622106</v>
      </c>
      <c r="R172" s="2776"/>
      <c r="S172" s="5341">
        <v>11.687258687258687</v>
      </c>
      <c r="T172" s="5342">
        <v>13.436293436293436</v>
      </c>
      <c r="U172" s="5342">
        <v>12.4251968503937</v>
      </c>
      <c r="V172" s="5342">
        <v>12.813953488372093</v>
      </c>
      <c r="W172" s="5342">
        <v>11.224806201550388</v>
      </c>
      <c r="X172" s="5342">
        <v>11.404669260700389</v>
      </c>
      <c r="Y172" s="5342">
        <v>9.3243243243243246</v>
      </c>
      <c r="Z172" s="5342">
        <v>14.124513618677042</v>
      </c>
      <c r="AA172" s="5342">
        <v>8.6536964980544742</v>
      </c>
      <c r="AB172" s="5342">
        <v>10.631372549019607</v>
      </c>
      <c r="AC172" s="5342">
        <v>9.8740157480314963</v>
      </c>
      <c r="AD172" s="5342">
        <v>8.233201581027668</v>
      </c>
      <c r="AE172" s="5342">
        <f t="shared" si="284"/>
        <v>133.83330224370329</v>
      </c>
      <c r="AF172" s="5343">
        <f t="shared" si="285"/>
        <v>11.152775186975274</v>
      </c>
      <c r="AG172" s="2776"/>
      <c r="AH172" s="5344">
        <v>14.114624505928854</v>
      </c>
      <c r="AI172" s="5345">
        <v>10.905882352941177</v>
      </c>
      <c r="AJ172" s="5345">
        <v>13.067729083665339</v>
      </c>
      <c r="AK172" s="5345">
        <v>13.546153846153846</v>
      </c>
      <c r="AL172" s="5345">
        <v>13.652671755725191</v>
      </c>
      <c r="AM172" s="5345">
        <v>11.616541353383459</v>
      </c>
      <c r="AN172" s="5345">
        <v>14.788104089219331</v>
      </c>
      <c r="AO172" s="5345">
        <v>11.377777777777778</v>
      </c>
      <c r="AP172" s="5345">
        <v>12.047970479704796</v>
      </c>
      <c r="AQ172" s="5345">
        <v>11.996323529411764</v>
      </c>
      <c r="AR172" s="5345">
        <v>12.007380073800737</v>
      </c>
      <c r="AS172" s="5345">
        <v>10.77490774907749</v>
      </c>
      <c r="AT172" s="5342">
        <f t="shared" si="289"/>
        <v>149.89606659678978</v>
      </c>
      <c r="AU172" s="5343">
        <f t="shared" si="279"/>
        <v>12.491338883065815</v>
      </c>
      <c r="AV172" s="555"/>
      <c r="AW172" s="5346">
        <v>9.1654411764705888</v>
      </c>
      <c r="AX172" s="5345">
        <v>18.084558823529413</v>
      </c>
      <c r="AY172" s="5345">
        <v>13.921933085501859</v>
      </c>
      <c r="AZ172" s="5345">
        <v>16.874045801526716</v>
      </c>
      <c r="BA172" s="5345">
        <v>29.313953488372093</v>
      </c>
      <c r="BB172" s="5345">
        <v>15.910505836575876</v>
      </c>
      <c r="BC172" s="5415">
        <v>22.527559055118111</v>
      </c>
      <c r="BD172" s="5342">
        <v>15.15748031496063</v>
      </c>
      <c r="BE172" s="5342">
        <v>15.691699604743082</v>
      </c>
      <c r="BF172" s="5342">
        <v>10.928853754940711</v>
      </c>
      <c r="BG172" s="5342">
        <v>11.21031746031746</v>
      </c>
      <c r="BH172" s="5342">
        <v>5.53392167677882</v>
      </c>
      <c r="BI172" s="5342">
        <f t="shared" ref="BI172:BI203" si="292">SUM(AW172:BH172)</f>
        <v>184.32027007883539</v>
      </c>
      <c r="BJ172" s="5343">
        <f t="shared" si="280"/>
        <v>15.360022506569615</v>
      </c>
      <c r="BL172" s="5346">
        <v>15.30952380952381</v>
      </c>
      <c r="BM172" s="5345">
        <v>10.260869565217391</v>
      </c>
      <c r="BN172" s="5345"/>
      <c r="BO172" s="5345"/>
      <c r="BP172" s="5345"/>
      <c r="BQ172" s="5345"/>
      <c r="BR172" s="5415"/>
      <c r="BS172" s="5342"/>
      <c r="BT172" s="5342"/>
      <c r="BU172" s="5342"/>
      <c r="BV172" s="5342"/>
      <c r="BW172" s="5342"/>
      <c r="BX172" s="5342">
        <f t="shared" ref="BX172:BX190" si="293">SUM(BL172:BW172)</f>
        <v>25.570393374741201</v>
      </c>
      <c r="BY172" s="5238">
        <f t="shared" ref="BY172:BY203" si="294">SUM(BL172:BW172)/MONTH($A$1)</f>
        <v>12.7851966873706</v>
      </c>
      <c r="CA172" s="169">
        <f t="shared" si="290"/>
        <v>-7.8236892583120223</v>
      </c>
      <c r="CB172" s="169">
        <f t="shared" si="288"/>
        <v>2.8686836235038005</v>
      </c>
      <c r="CC172" s="169">
        <f>IFERROR(
  SUM(
    _xlfn.XLOOKUP(DATE(YEAR($A$1),1,1),$2:$2,172:172):
    _xlfn.XLOOKUP($A$1,$2:$2,172:172)
  )
 -SUM(
    _xlfn.XLOOKUP(DATE(YEAR($A$1)-1,1,1),$2:$2,172:172):
    _xlfn.XLOOKUP(EDATE($A$1,-12),$2:$2,172:172)
  ),"")</f>
        <v>-1.6796066252587991</v>
      </c>
      <c r="CD172" s="4517">
        <f t="shared" si="291"/>
        <v>-5.0486542443064195</v>
      </c>
    </row>
    <row r="173" spans="1:82" ht="17.600000000000001" x14ac:dyDescent="0.55000000000000004">
      <c r="A173" s="7383"/>
      <c r="B173" s="2034" t="s">
        <v>206</v>
      </c>
      <c r="C173" s="1900"/>
      <c r="D173" s="5347">
        <v>13.023809523809524</v>
      </c>
      <c r="E173" s="5348">
        <v>9.9534883720930232</v>
      </c>
      <c r="F173" s="5348">
        <v>9.3720930232558146</v>
      </c>
      <c r="G173" s="5348">
        <v>8.8000000000000007</v>
      </c>
      <c r="H173" s="5348">
        <v>9.1999999999999993</v>
      </c>
      <c r="I173" s="5348">
        <v>10.883720930232558</v>
      </c>
      <c r="J173" s="5348">
        <v>9.5777777777777775</v>
      </c>
      <c r="K173" s="5348">
        <v>10.772727272727273</v>
      </c>
      <c r="L173" s="5348">
        <v>8.6</v>
      </c>
      <c r="M173" s="5348">
        <v>7.1590909090909092</v>
      </c>
      <c r="N173" s="5348">
        <v>8.6590909090909083</v>
      </c>
      <c r="O173" s="5348">
        <v>8.0930232558139537</v>
      </c>
      <c r="P173" s="5348">
        <f t="shared" si="282"/>
        <v>114.09482197389175</v>
      </c>
      <c r="Q173" s="5349">
        <f t="shared" si="283"/>
        <v>9.5079018311576462</v>
      </c>
      <c r="R173" s="2776"/>
      <c r="S173" s="5347">
        <v>9.4222222222222225</v>
      </c>
      <c r="T173" s="5348">
        <v>10.71111111111111</v>
      </c>
      <c r="U173" s="5348">
        <v>10.857142857142858</v>
      </c>
      <c r="V173" s="5348">
        <v>11.954545454545455</v>
      </c>
      <c r="W173" s="5348">
        <v>9.25</v>
      </c>
      <c r="X173" s="5348">
        <v>9.4418604651162799</v>
      </c>
      <c r="Y173" s="5348">
        <v>7.6956521739130439</v>
      </c>
      <c r="Z173" s="5348">
        <v>10.782608695652174</v>
      </c>
      <c r="AA173" s="5348">
        <v>5.8913043478260869</v>
      </c>
      <c r="AB173" s="5348">
        <v>7.5777777777777775</v>
      </c>
      <c r="AC173" s="5348">
        <v>6.3111111111111109</v>
      </c>
      <c r="AD173" s="5348">
        <v>5.8837209302325579</v>
      </c>
      <c r="AE173" s="5348">
        <f t="shared" si="284"/>
        <v>105.77905714665069</v>
      </c>
      <c r="AF173" s="5349">
        <f t="shared" si="285"/>
        <v>8.8149214288875566</v>
      </c>
      <c r="AG173" s="2776"/>
      <c r="AH173" s="5350">
        <v>9.6976744186046506</v>
      </c>
      <c r="AI173" s="5351">
        <v>7.6521739130434785</v>
      </c>
      <c r="AJ173" s="5351">
        <v>9.2857142857142865</v>
      </c>
      <c r="AK173" s="5351">
        <v>10.591836734693878</v>
      </c>
      <c r="AL173" s="5351">
        <v>10.081632653061224</v>
      </c>
      <c r="AM173" s="5351">
        <v>9.5294117647058822</v>
      </c>
      <c r="AN173" s="5351">
        <v>12.288461538461538</v>
      </c>
      <c r="AO173" s="5351">
        <v>10.057692307692308</v>
      </c>
      <c r="AP173" s="5351">
        <v>9.9615384615384617</v>
      </c>
      <c r="AQ173" s="5351">
        <v>8.7547169811320753</v>
      </c>
      <c r="AR173" s="5351">
        <v>9.8301886792452837</v>
      </c>
      <c r="AS173" s="5351">
        <v>8.7358490566037741</v>
      </c>
      <c r="AT173" s="5348">
        <f t="shared" si="289"/>
        <v>116.46689079449683</v>
      </c>
      <c r="AU173" s="5349">
        <f t="shared" si="279"/>
        <v>9.7055742328747368</v>
      </c>
      <c r="AV173" s="555"/>
      <c r="AW173" s="5352">
        <v>7.1851851851851851</v>
      </c>
      <c r="AX173" s="5351">
        <v>13.888888888888889</v>
      </c>
      <c r="AY173" s="5351">
        <v>10.60377358490566</v>
      </c>
      <c r="AZ173" s="5351">
        <v>13.78</v>
      </c>
      <c r="BA173" s="5351">
        <v>26.72</v>
      </c>
      <c r="BB173" s="5351">
        <v>12.84</v>
      </c>
      <c r="BC173" s="5348">
        <v>18.653061224489797</v>
      </c>
      <c r="BD173" s="5348">
        <v>11.428571428571429</v>
      </c>
      <c r="BE173" s="5348">
        <v>11.693877551020408</v>
      </c>
      <c r="BF173" s="5348">
        <v>7.7142857142857144</v>
      </c>
      <c r="BG173" s="5348">
        <v>9.5510204081632661</v>
      </c>
      <c r="BH173" s="5348">
        <v>8.48</v>
      </c>
      <c r="BI173" s="5348">
        <f t="shared" si="292"/>
        <v>152.53866398551034</v>
      </c>
      <c r="BJ173" s="5349">
        <f t="shared" si="280"/>
        <v>12.711555332125862</v>
      </c>
      <c r="BL173" s="5352">
        <v>11.693877551020408</v>
      </c>
      <c r="BM173" s="5351">
        <v>8.1632653061224492</v>
      </c>
      <c r="BN173" s="5351"/>
      <c r="BO173" s="5351"/>
      <c r="BP173" s="5351"/>
      <c r="BQ173" s="5351"/>
      <c r="BR173" s="5348"/>
      <c r="BS173" s="5348"/>
      <c r="BT173" s="5348"/>
      <c r="BU173" s="5348"/>
      <c r="BV173" s="5348"/>
      <c r="BW173" s="5348"/>
      <c r="BX173" s="5348">
        <f t="shared" si="293"/>
        <v>19.857142857142858</v>
      </c>
      <c r="BY173" s="5244">
        <f t="shared" si="294"/>
        <v>9.9285714285714288</v>
      </c>
      <c r="CA173" s="169">
        <f t="shared" si="290"/>
        <v>-5.7256235827664401</v>
      </c>
      <c r="CB173" s="169">
        <f t="shared" si="288"/>
        <v>3.0059810992511249</v>
      </c>
      <c r="CC173" s="169">
        <f>IFERROR(
  SUM(
    _xlfn.XLOOKUP(DATE(YEAR($A$1),1,1),$2:$2,173:173):
    _xlfn.XLOOKUP($A$1,$2:$2,173:173)
  )
 -SUM(
    _xlfn.XLOOKUP(DATE(YEAR($A$1)-1,1,1),$2:$2,173:173):
    _xlfn.XLOOKUP(EDATE($A$1,-12),$2:$2,173:173)
  ),"")</f>
        <v>-1.2169312169312185</v>
      </c>
      <c r="CD173" s="4517">
        <f t="shared" si="291"/>
        <v>-3.5306122448979593</v>
      </c>
    </row>
    <row r="174" spans="1:82" ht="17.600000000000001" x14ac:dyDescent="0.55000000000000004">
      <c r="A174" s="7383"/>
      <c r="B174" s="2041" t="s">
        <v>207</v>
      </c>
      <c r="C174" s="1576"/>
      <c r="D174" s="5354">
        <v>15.44186046511628</v>
      </c>
      <c r="E174" s="5355">
        <v>10.30952380952381</v>
      </c>
      <c r="F174" s="5355">
        <v>10.738095238095237</v>
      </c>
      <c r="G174" s="5355">
        <v>11.333333333333334</v>
      </c>
      <c r="H174" s="5355">
        <v>10.595238095238095</v>
      </c>
      <c r="I174" s="5355">
        <v>10.880952380952381</v>
      </c>
      <c r="J174" s="5355">
        <v>10.428571428571429</v>
      </c>
      <c r="K174" s="5355">
        <v>10.619047619047619</v>
      </c>
      <c r="L174" s="5355">
        <v>10.511627906976743</v>
      </c>
      <c r="M174" s="5355">
        <v>9.3488372093023262</v>
      </c>
      <c r="N174" s="5355">
        <v>9.3720930232558146</v>
      </c>
      <c r="O174" s="5355">
        <v>10.048780487804878</v>
      </c>
      <c r="P174" s="5355">
        <f t="shared" si="282"/>
        <v>129.62796099721797</v>
      </c>
      <c r="Q174" s="5356">
        <f t="shared" si="283"/>
        <v>10.802330083101497</v>
      </c>
      <c r="R174" s="2776"/>
      <c r="S174" s="5354">
        <v>12.560975609756097</v>
      </c>
      <c r="T174" s="5355">
        <v>14.75609756097561</v>
      </c>
      <c r="U174" s="5355">
        <v>14.146341463414634</v>
      </c>
      <c r="V174" s="5355">
        <v>14.023809523809524</v>
      </c>
      <c r="W174" s="5355">
        <v>12.738095238095237</v>
      </c>
      <c r="X174" s="5355">
        <v>12.19047619047619</v>
      </c>
      <c r="Y174" s="5355">
        <v>10.19047619047619</v>
      </c>
      <c r="Z174" s="5355">
        <v>14.952380952380953</v>
      </c>
      <c r="AA174" s="5355">
        <v>8.6666666666666661</v>
      </c>
      <c r="AB174" s="5355">
        <v>12.166666666666666</v>
      </c>
      <c r="AC174" s="5355">
        <v>9.7560975609756095</v>
      </c>
      <c r="AD174" s="5355">
        <v>8.7142857142857135</v>
      </c>
      <c r="AE174" s="5355">
        <f t="shared" si="284"/>
        <v>144.86236933797912</v>
      </c>
      <c r="AF174" s="5356">
        <f t="shared" si="285"/>
        <v>12.071864111498259</v>
      </c>
      <c r="AG174" s="2776"/>
      <c r="AH174" s="5357">
        <v>15.333333333333334</v>
      </c>
      <c r="AI174" s="5358">
        <v>11.119047619047619</v>
      </c>
      <c r="AJ174" s="5358">
        <v>12.738095238095237</v>
      </c>
      <c r="AK174" s="5358">
        <v>13.761904761904763</v>
      </c>
      <c r="AL174" s="5358">
        <v>14.209302325581396</v>
      </c>
      <c r="AM174" s="5358">
        <v>11.767441860465116</v>
      </c>
      <c r="AN174" s="5358">
        <v>15.4</v>
      </c>
      <c r="AO174" s="5358">
        <v>11.222222222222221</v>
      </c>
      <c r="AP174" s="5358">
        <v>11.066666666666666</v>
      </c>
      <c r="AQ174" s="5358">
        <v>11.133333333333333</v>
      </c>
      <c r="AR174" s="5358">
        <v>12.844444444444445</v>
      </c>
      <c r="AS174" s="5358">
        <v>11.4</v>
      </c>
      <c r="AT174" s="5355">
        <f t="shared" si="289"/>
        <v>151.99579180509411</v>
      </c>
      <c r="AU174" s="5356">
        <f t="shared" si="279"/>
        <v>12.666315983757842</v>
      </c>
      <c r="AV174" s="555"/>
      <c r="AW174" s="5359">
        <v>11.088888888888889</v>
      </c>
      <c r="AX174" s="5358">
        <v>20.444444444444443</v>
      </c>
      <c r="AY174" s="5358">
        <v>15.133333333333333</v>
      </c>
      <c r="AZ174" s="5358">
        <v>16.155555555555555</v>
      </c>
      <c r="BA174" s="5358">
        <v>33.325581395348834</v>
      </c>
      <c r="BB174" s="5358">
        <v>15.738095238095237</v>
      </c>
      <c r="BC174" s="5355">
        <v>21.285714285714285</v>
      </c>
      <c r="BD174" s="5355">
        <v>15.833333333333334</v>
      </c>
      <c r="BE174" s="5355">
        <v>18.902439024390244</v>
      </c>
      <c r="BF174" s="5355">
        <v>11.951219512195122</v>
      </c>
      <c r="BG174" s="5355">
        <v>11.268292682926829</v>
      </c>
      <c r="BH174" s="5355">
        <v>12.341463414634147</v>
      </c>
      <c r="BI174" s="5355">
        <f t="shared" si="292"/>
        <v>203.46836110886028</v>
      </c>
      <c r="BJ174" s="5356">
        <f t="shared" si="280"/>
        <v>16.955696759071689</v>
      </c>
      <c r="BL174" s="5359">
        <v>17.357142857142858</v>
      </c>
      <c r="BM174" s="5358">
        <v>11.714285714285714</v>
      </c>
      <c r="BN174" s="5358"/>
      <c r="BO174" s="5358"/>
      <c r="BP174" s="5358"/>
      <c r="BQ174" s="5358"/>
      <c r="BR174" s="5355"/>
      <c r="BS174" s="5355"/>
      <c r="BT174" s="5355"/>
      <c r="BU174" s="5355"/>
      <c r="BV174" s="5355"/>
      <c r="BW174" s="5355"/>
      <c r="BX174" s="5355">
        <f t="shared" si="293"/>
        <v>29.071428571428569</v>
      </c>
      <c r="BY174" s="5247">
        <f t="shared" si="294"/>
        <v>14.535714285714285</v>
      </c>
      <c r="CA174" s="169">
        <f t="shared" si="290"/>
        <v>-8.7301587301587293</v>
      </c>
      <c r="CB174" s="169">
        <f t="shared" si="288"/>
        <v>4.2893807753138464</v>
      </c>
      <c r="CC174" s="169">
        <f>IFERROR(
  SUM(
    _xlfn.XLOOKUP(DATE(YEAR($A$1),1,1),$2:$2,174:174):
    _xlfn.XLOOKUP($A$1,$2:$2,174:174)
  )
 -SUM(
    _xlfn.XLOOKUP(DATE(YEAR($A$1)-1,1,1),$2:$2,174:174):
    _xlfn.XLOOKUP(EDATE($A$1,-12),$2:$2,174:174)
  ),"")</f>
        <v>-2.461904761904762</v>
      </c>
      <c r="CD174" s="4517">
        <f t="shared" si="291"/>
        <v>-5.6428571428571441</v>
      </c>
    </row>
    <row r="175" spans="1:82" ht="17.600000000000001" x14ac:dyDescent="0.55000000000000004">
      <c r="A175" s="7383"/>
      <c r="B175" s="2041" t="s">
        <v>208</v>
      </c>
      <c r="C175" s="1576"/>
      <c r="D175" s="5354">
        <v>15.48076923076923</v>
      </c>
      <c r="E175" s="5355">
        <v>11.173076923076923</v>
      </c>
      <c r="F175" s="5355">
        <v>12.461538461538462</v>
      </c>
      <c r="G175" s="5355">
        <v>12.23076923076923</v>
      </c>
      <c r="H175" s="5355">
        <v>11.692307692307692</v>
      </c>
      <c r="I175" s="5355">
        <v>11.23076923076923</v>
      </c>
      <c r="J175" s="5355">
        <v>10.39622641509434</v>
      </c>
      <c r="K175" s="5355">
        <v>12.943396226415095</v>
      </c>
      <c r="L175" s="5355">
        <v>11.452830188679245</v>
      </c>
      <c r="M175" s="5355">
        <v>11.692307692307692</v>
      </c>
      <c r="N175" s="5355">
        <v>13.615384615384615</v>
      </c>
      <c r="O175" s="5355">
        <v>11.96078431372549</v>
      </c>
      <c r="P175" s="5355">
        <f t="shared" si="282"/>
        <v>146.33016022083726</v>
      </c>
      <c r="Q175" s="5356">
        <f t="shared" si="283"/>
        <v>12.194180018403104</v>
      </c>
      <c r="R175" s="2776"/>
      <c r="S175" s="5354">
        <v>13.941176470588236</v>
      </c>
      <c r="T175" s="5355">
        <v>14.254901960784315</v>
      </c>
      <c r="U175" s="5355">
        <v>14.058823529411764</v>
      </c>
      <c r="V175" s="5355">
        <v>14.346153846153847</v>
      </c>
      <c r="W175" s="5355">
        <v>12.75</v>
      </c>
      <c r="X175" s="5355">
        <v>12.51923076923077</v>
      </c>
      <c r="Y175" s="5355">
        <v>10.23076923076923</v>
      </c>
      <c r="Z175" s="5355">
        <v>17.392156862745097</v>
      </c>
      <c r="AA175" s="5355">
        <v>10.490196078431373</v>
      </c>
      <c r="AB175" s="5355">
        <v>12.254901960784315</v>
      </c>
      <c r="AC175" s="5355">
        <v>13.411764705882353</v>
      </c>
      <c r="AD175" s="5355">
        <v>9.1764705882352935</v>
      </c>
      <c r="AE175" s="5355">
        <f t="shared" si="284"/>
        <v>154.82654600301657</v>
      </c>
      <c r="AF175" s="5356">
        <f t="shared" si="285"/>
        <v>12.902212166918048</v>
      </c>
      <c r="AG175" s="2776"/>
      <c r="AH175" s="5357">
        <v>16.96078431372549</v>
      </c>
      <c r="AI175" s="5358">
        <v>14.117647058823529</v>
      </c>
      <c r="AJ175" s="5358">
        <v>14.372549019607844</v>
      </c>
      <c r="AK175" s="5358">
        <v>14.98076923076923</v>
      </c>
      <c r="AL175" s="5358">
        <v>16.51923076923077</v>
      </c>
      <c r="AM175" s="5358">
        <v>11.833333333333334</v>
      </c>
      <c r="AN175" s="5358">
        <v>16.622641509433961</v>
      </c>
      <c r="AO175" s="5358">
        <v>13.236363636363636</v>
      </c>
      <c r="AP175" s="5358">
        <v>14.945454545454545</v>
      </c>
      <c r="AQ175" s="5358">
        <v>14.818181818181818</v>
      </c>
      <c r="AR175" s="5358">
        <v>13.872727272727273</v>
      </c>
      <c r="AS175" s="5358">
        <v>13.2</v>
      </c>
      <c r="AT175" s="5355">
        <f t="shared" si="289"/>
        <v>175.4796825076514</v>
      </c>
      <c r="AU175" s="5356">
        <f t="shared" si="279"/>
        <v>14.623306875637617</v>
      </c>
      <c r="AV175" s="555"/>
      <c r="AW175" s="5359">
        <v>10.625</v>
      </c>
      <c r="AX175" s="5358">
        <v>20.696428571428573</v>
      </c>
      <c r="AY175" s="5358">
        <v>15.236363636363636</v>
      </c>
      <c r="AZ175" s="5358">
        <v>19.320754716981131</v>
      </c>
      <c r="BA175" s="5358">
        <v>33.301886792452834</v>
      </c>
      <c r="BB175" s="5358">
        <v>18.849056603773583</v>
      </c>
      <c r="BC175" s="5355">
        <v>26.192307692307693</v>
      </c>
      <c r="BD175" s="5355">
        <v>17.653846153846153</v>
      </c>
      <c r="BE175" s="5355">
        <v>18.865384615384617</v>
      </c>
      <c r="BF175" s="5355">
        <v>12.461538461538462</v>
      </c>
      <c r="BG175" s="5355">
        <v>13.980392156862745</v>
      </c>
      <c r="BH175" s="5355">
        <v>13.568627450980392</v>
      </c>
      <c r="BI175" s="5355">
        <f t="shared" si="292"/>
        <v>220.75158685191982</v>
      </c>
      <c r="BJ175" s="5356">
        <f t="shared" si="280"/>
        <v>18.395965570993319</v>
      </c>
      <c r="BL175" s="5359">
        <v>19.04</v>
      </c>
      <c r="BM175" s="5358">
        <v>12.3</v>
      </c>
      <c r="BN175" s="5358"/>
      <c r="BO175" s="5358"/>
      <c r="BP175" s="5358"/>
      <c r="BQ175" s="5358"/>
      <c r="BR175" s="5355"/>
      <c r="BS175" s="5355"/>
      <c r="BT175" s="5355"/>
      <c r="BU175" s="5355"/>
      <c r="BV175" s="5355"/>
      <c r="BW175" s="5355"/>
      <c r="BX175" s="5355">
        <f t="shared" si="293"/>
        <v>31.34</v>
      </c>
      <c r="BY175" s="5247">
        <f t="shared" si="294"/>
        <v>15.67</v>
      </c>
      <c r="CA175" s="169">
        <f t="shared" si="290"/>
        <v>-8.3964285714285722</v>
      </c>
      <c r="CB175" s="169">
        <f t="shared" si="288"/>
        <v>3.7726586953557018</v>
      </c>
      <c r="CC175" s="169">
        <f>IFERROR(
  SUM(
    _xlfn.XLOOKUP(DATE(YEAR($A$1),1,1),$2:$2,175:175):
    _xlfn.XLOOKUP($A$1,$2:$2,175:175)
  )
 -SUM(
    _xlfn.XLOOKUP(DATE(YEAR($A$1)-1,1,1),$2:$2,175:175):
    _xlfn.XLOOKUP(EDATE($A$1,-12),$2:$2,175:175)
  ),"")</f>
        <v>1.8571428571426907E-2</v>
      </c>
      <c r="CD175" s="4517">
        <f t="shared" si="291"/>
        <v>-6.7399999999999984</v>
      </c>
    </row>
    <row r="176" spans="1:82" ht="17.600000000000001" x14ac:dyDescent="0.55000000000000004">
      <c r="A176" s="7383"/>
      <c r="B176" s="2041" t="s">
        <v>209</v>
      </c>
      <c r="C176" s="1576"/>
      <c r="D176" s="5354">
        <v>16.295081967213115</v>
      </c>
      <c r="E176" s="5355">
        <v>13.096774193548388</v>
      </c>
      <c r="F176" s="5355">
        <v>12.301587301587302</v>
      </c>
      <c r="G176" s="5355">
        <v>11.671875</v>
      </c>
      <c r="H176" s="5355">
        <v>12.246153846153845</v>
      </c>
      <c r="I176" s="5355">
        <v>12.984615384615385</v>
      </c>
      <c r="J176" s="5355">
        <v>10.36923076923077</v>
      </c>
      <c r="K176" s="5355">
        <v>13.734375</v>
      </c>
      <c r="L176" s="5355">
        <v>9.546875</v>
      </c>
      <c r="M176" s="5355">
        <v>10.261538461538462</v>
      </c>
      <c r="N176" s="5355">
        <v>11.63076923076923</v>
      </c>
      <c r="O176" s="5355">
        <v>11</v>
      </c>
      <c r="P176" s="5355">
        <f t="shared" si="282"/>
        <v>145.13887615465649</v>
      </c>
      <c r="Q176" s="5356">
        <f t="shared" si="283"/>
        <v>12.094906346221373</v>
      </c>
      <c r="R176" s="2776"/>
      <c r="S176" s="5354">
        <v>12.876923076923077</v>
      </c>
      <c r="T176" s="5355">
        <v>16.692307692307693</v>
      </c>
      <c r="U176" s="5355">
        <v>14.412698412698413</v>
      </c>
      <c r="V176" s="5355">
        <v>13.8125</v>
      </c>
      <c r="W176" s="5355">
        <v>12.96875</v>
      </c>
      <c r="X176" s="5355">
        <v>13.71875</v>
      </c>
      <c r="Y176" s="5355">
        <v>10.269841269841271</v>
      </c>
      <c r="Z176" s="5355">
        <v>15.935483870967742</v>
      </c>
      <c r="AA176" s="5355">
        <v>9.9032258064516121</v>
      </c>
      <c r="AB176" s="5355">
        <v>11.5</v>
      </c>
      <c r="AC176" s="5355">
        <v>11.590163934426229</v>
      </c>
      <c r="AD176" s="5355">
        <v>9.8688524590163933</v>
      </c>
      <c r="AE176" s="5355">
        <f t="shared" si="284"/>
        <v>153.54949652263244</v>
      </c>
      <c r="AF176" s="5356">
        <f t="shared" si="285"/>
        <v>12.795791376886037</v>
      </c>
      <c r="AG176" s="2776"/>
      <c r="AH176" s="5357">
        <v>16.655737704918032</v>
      </c>
      <c r="AI176" s="5358">
        <v>13.316666666666666</v>
      </c>
      <c r="AJ176" s="5358">
        <v>15.966666666666667</v>
      </c>
      <c r="AK176" s="5358">
        <v>16.475409836065573</v>
      </c>
      <c r="AL176" s="5358">
        <v>16.45</v>
      </c>
      <c r="AM176" s="5358">
        <v>14.377049180327869</v>
      </c>
      <c r="AN176" s="5358">
        <v>18.262295081967213</v>
      </c>
      <c r="AO176" s="5358">
        <v>13.2</v>
      </c>
      <c r="AP176" s="5358">
        <v>13.95</v>
      </c>
      <c r="AQ176" s="5358">
        <v>15.883333333333333</v>
      </c>
      <c r="AR176" s="5358">
        <v>14.338983050847459</v>
      </c>
      <c r="AS176" s="5358">
        <v>12.583333333333334</v>
      </c>
      <c r="AT176" s="5355">
        <f t="shared" si="289"/>
        <v>181.45947485412614</v>
      </c>
      <c r="AU176" s="5356">
        <f t="shared" si="279"/>
        <v>15.121622904510511</v>
      </c>
      <c r="AV176" s="555"/>
      <c r="AW176" s="5359">
        <v>9.9491525423728806</v>
      </c>
      <c r="AX176" s="5358">
        <v>20.64406779661017</v>
      </c>
      <c r="AY176" s="5358">
        <v>16.224137931034484</v>
      </c>
      <c r="AZ176" s="5358">
        <v>22.666666666666668</v>
      </c>
      <c r="BA176" s="5358">
        <v>31.894736842105264</v>
      </c>
      <c r="BB176" s="5358">
        <v>19.456140350877192</v>
      </c>
      <c r="BC176" s="5355">
        <v>27.561403508771932</v>
      </c>
      <c r="BD176" s="5355">
        <v>18.105263157894736</v>
      </c>
      <c r="BE176" s="5355">
        <v>17.807017543859651</v>
      </c>
      <c r="BF176" s="5355">
        <v>13.245614035087719</v>
      </c>
      <c r="BG176" s="5355">
        <v>12.228070175438596</v>
      </c>
      <c r="BH176" s="5355">
        <v>10.719298245614034</v>
      </c>
      <c r="BI176" s="5355">
        <f t="shared" si="292"/>
        <v>220.50156879633334</v>
      </c>
      <c r="BJ176" s="5356">
        <f t="shared" si="280"/>
        <v>18.375130733027778</v>
      </c>
      <c r="BL176" s="5359">
        <v>16.385964912280702</v>
      </c>
      <c r="BM176" s="5358">
        <v>10.448275862068966</v>
      </c>
      <c r="BN176" s="5358"/>
      <c r="BO176" s="5358"/>
      <c r="BP176" s="5358"/>
      <c r="BQ176" s="5358"/>
      <c r="BR176" s="5355"/>
      <c r="BS176" s="5355"/>
      <c r="BT176" s="5355"/>
      <c r="BU176" s="5355"/>
      <c r="BV176" s="5355"/>
      <c r="BW176" s="5355"/>
      <c r="BX176" s="5355">
        <f t="shared" si="293"/>
        <v>26.834240774349666</v>
      </c>
      <c r="BY176" s="5247">
        <f t="shared" si="294"/>
        <v>13.417120387174833</v>
      </c>
      <c r="CA176" s="169">
        <f t="shared" si="290"/>
        <v>-10.195791934541203</v>
      </c>
      <c r="CB176" s="169">
        <f t="shared" si="288"/>
        <v>3.2535078285172663</v>
      </c>
      <c r="CC176" s="169">
        <f>IFERROR(
  SUM(
    _xlfn.XLOOKUP(DATE(YEAR($A$1),1,1),$2:$2,176:176):
    _xlfn.XLOOKUP($A$1,$2:$2,176:176)
  )
 -SUM(
    _xlfn.XLOOKUP(DATE(YEAR($A$1)-1,1,1),$2:$2,176:176):
    _xlfn.XLOOKUP(EDATE($A$1,-12),$2:$2,176:176)
  ),"")</f>
        <v>-3.7589795646333855</v>
      </c>
      <c r="CD176" s="4517">
        <f t="shared" si="291"/>
        <v>-5.9376890502117359</v>
      </c>
    </row>
    <row r="177" spans="1:82" ht="17.600000000000001" x14ac:dyDescent="0.55000000000000004">
      <c r="A177" s="7383"/>
      <c r="B177" s="2048" t="s">
        <v>210</v>
      </c>
      <c r="C177" s="1929"/>
      <c r="D177" s="5361">
        <v>12.771929824561404</v>
      </c>
      <c r="E177" s="5362">
        <v>9.2631578947368425</v>
      </c>
      <c r="F177" s="5362">
        <v>9.1052631578947363</v>
      </c>
      <c r="G177" s="5362">
        <v>8.3448275862068968</v>
      </c>
      <c r="H177" s="5362">
        <v>9.3103448275862064</v>
      </c>
      <c r="I177" s="5362">
        <v>8.8421052631578956</v>
      </c>
      <c r="J177" s="5362">
        <v>8.7368421052631575</v>
      </c>
      <c r="K177" s="5362">
        <v>10.298245614035087</v>
      </c>
      <c r="L177" s="5362">
        <v>7.3508771929824563</v>
      </c>
      <c r="M177" s="5362">
        <v>8.3333333333333339</v>
      </c>
      <c r="N177" s="5362">
        <v>9.3508771929824555</v>
      </c>
      <c r="O177" s="5362">
        <v>7.6842105263157894</v>
      </c>
      <c r="P177" s="5362">
        <f t="shared" si="282"/>
        <v>109.39201451905625</v>
      </c>
      <c r="Q177" s="5363">
        <f t="shared" si="283"/>
        <v>9.1160012099213539</v>
      </c>
      <c r="R177" s="2776"/>
      <c r="S177" s="5361">
        <v>9.473684210526315</v>
      </c>
      <c r="T177" s="5362">
        <v>10.192982456140351</v>
      </c>
      <c r="U177" s="5362">
        <v>8.6842105263157894</v>
      </c>
      <c r="V177" s="5362">
        <v>10.017857142857142</v>
      </c>
      <c r="W177" s="5362">
        <v>8.2321428571428577</v>
      </c>
      <c r="X177" s="5362">
        <v>8.6428571428571423</v>
      </c>
      <c r="Y177" s="5362">
        <v>8.1071428571428577</v>
      </c>
      <c r="Z177" s="5362">
        <v>11.267857142857142</v>
      </c>
      <c r="AA177" s="5362">
        <v>7.8571428571428568</v>
      </c>
      <c r="AB177" s="5362">
        <v>9.4727272727272727</v>
      </c>
      <c r="AC177" s="5362">
        <v>7.7321428571428568</v>
      </c>
      <c r="AD177" s="5362">
        <v>7.0357142857142856</v>
      </c>
      <c r="AE177" s="5362">
        <f t="shared" si="284"/>
        <v>106.71646160856687</v>
      </c>
      <c r="AF177" s="5363">
        <f t="shared" si="285"/>
        <v>8.8930384673805722</v>
      </c>
      <c r="AG177" s="2776"/>
      <c r="AH177" s="5364">
        <v>11.232142857142858</v>
      </c>
      <c r="AI177" s="5365">
        <v>7.9107142857142856</v>
      </c>
      <c r="AJ177" s="5365">
        <v>11.857142857142858</v>
      </c>
      <c r="AK177" s="5365">
        <v>11.446428571428571</v>
      </c>
      <c r="AL177" s="5365">
        <v>10.793103448275861</v>
      </c>
      <c r="AM177" s="5365">
        <v>10.210526315789474</v>
      </c>
      <c r="AN177" s="5365">
        <v>11.224137931034482</v>
      </c>
      <c r="AO177" s="5365">
        <v>9.0344827586206904</v>
      </c>
      <c r="AP177" s="5365">
        <v>10</v>
      </c>
      <c r="AQ177" s="5365">
        <v>8.9830508474576263</v>
      </c>
      <c r="AR177" s="5365">
        <v>9.2542372881355934</v>
      </c>
      <c r="AS177" s="5365">
        <v>7.9827586206896548</v>
      </c>
      <c r="AT177" s="5362">
        <f t="shared" si="289"/>
        <v>119.92872578143196</v>
      </c>
      <c r="AU177" s="5363">
        <f t="shared" si="279"/>
        <v>9.994060481785997</v>
      </c>
      <c r="AV177" s="555"/>
      <c r="AW177" s="5366">
        <v>7.3103448275862073</v>
      </c>
      <c r="AX177" s="5365">
        <v>15.03448275862069</v>
      </c>
      <c r="AY177" s="5365">
        <v>12.46551724137931</v>
      </c>
      <c r="AZ177" s="5365">
        <v>12.087719298245615</v>
      </c>
      <c r="BA177" s="5365">
        <v>22.018181818181819</v>
      </c>
      <c r="BB177" s="5365">
        <v>12.327272727272728</v>
      </c>
      <c r="BC177" s="5362">
        <v>18.166666666666668</v>
      </c>
      <c r="BD177" s="5362">
        <v>12.5</v>
      </c>
      <c r="BE177" s="5362">
        <v>11.592592592592593</v>
      </c>
      <c r="BF177" s="5362">
        <v>9.1481481481481488</v>
      </c>
      <c r="BG177" s="5362">
        <v>8.981481481481481</v>
      </c>
      <c r="BH177" s="5362">
        <v>8.3703703703703702</v>
      </c>
      <c r="BI177" s="5362">
        <f t="shared" si="292"/>
        <v>150.00277793054562</v>
      </c>
      <c r="BJ177" s="5363">
        <f t="shared" si="280"/>
        <v>12.500231494212136</v>
      </c>
      <c r="BL177" s="5366">
        <v>12.407407407407407</v>
      </c>
      <c r="BM177" s="5365">
        <v>8.9444444444444446</v>
      </c>
      <c r="BN177" s="5365"/>
      <c r="BO177" s="5365"/>
      <c r="BP177" s="5365"/>
      <c r="BQ177" s="5365"/>
      <c r="BR177" s="5362"/>
      <c r="BS177" s="5362"/>
      <c r="BT177" s="5362"/>
      <c r="BU177" s="5362"/>
      <c r="BV177" s="5362"/>
      <c r="BW177" s="5362"/>
      <c r="BX177" s="5362">
        <f t="shared" si="293"/>
        <v>21.351851851851851</v>
      </c>
      <c r="BY177" s="5251">
        <f t="shared" si="294"/>
        <v>10.675925925925926</v>
      </c>
      <c r="CA177" s="169">
        <f t="shared" si="290"/>
        <v>-6.0900383141762457</v>
      </c>
      <c r="CB177" s="169">
        <f t="shared" si="288"/>
        <v>2.5061710124261385</v>
      </c>
      <c r="CC177" s="169">
        <f>IFERROR(
  SUM(
    _xlfn.XLOOKUP(DATE(YEAR($A$1),1,1),$2:$2,177:177):
    _xlfn.XLOOKUP($A$1,$2:$2,177:177)
  )
 -SUM(
    _xlfn.XLOOKUP(DATE(YEAR($A$1)-1,1,1),$2:$2,177:177):
    _xlfn.XLOOKUP(EDATE($A$1,-12),$2:$2,177:177)
  ),"")</f>
        <v>-0.9929757343550456</v>
      </c>
      <c r="CD177" s="4517">
        <f t="shared" si="291"/>
        <v>-3.4629629629629619</v>
      </c>
    </row>
    <row r="178" spans="1:82" ht="17.600000000000001" x14ac:dyDescent="0.55000000000000004">
      <c r="A178" s="7383"/>
      <c r="B178" s="2055"/>
      <c r="C178" s="5253" t="s">
        <v>211</v>
      </c>
      <c r="D178" s="5368">
        <v>14.944444444444445</v>
      </c>
      <c r="E178" s="5368">
        <v>11.333333333333334</v>
      </c>
      <c r="F178" s="5368">
        <v>10.722222222222221</v>
      </c>
      <c r="G178" s="5368">
        <v>9.4499999999999993</v>
      </c>
      <c r="H178" s="5368">
        <v>8.6</v>
      </c>
      <c r="I178" s="5368">
        <v>11.947368421052632</v>
      </c>
      <c r="J178" s="5368">
        <v>11.35</v>
      </c>
      <c r="K178" s="5368">
        <v>11.473684210526315</v>
      </c>
      <c r="L178" s="5368">
        <v>10.35</v>
      </c>
      <c r="M178" s="5368">
        <v>7</v>
      </c>
      <c r="N178" s="5368">
        <v>7.55</v>
      </c>
      <c r="O178" s="5368">
        <v>7.65</v>
      </c>
      <c r="P178" s="5368">
        <f t="shared" si="282"/>
        <v>122.37105263157895</v>
      </c>
      <c r="Q178" s="5369">
        <f t="shared" si="283"/>
        <v>10.197587719298246</v>
      </c>
      <c r="R178" s="2776"/>
      <c r="S178" s="5370">
        <v>9</v>
      </c>
      <c r="T178" s="5368">
        <v>10.380952380952381</v>
      </c>
      <c r="U178" s="5368">
        <v>12.894736842105264</v>
      </c>
      <c r="V178" s="5368">
        <v>13.571428571428571</v>
      </c>
      <c r="W178" s="5368">
        <v>9.9523809523809526</v>
      </c>
      <c r="X178" s="5368">
        <v>10.7</v>
      </c>
      <c r="Y178" s="5368">
        <v>8.454545454545455</v>
      </c>
      <c r="Z178" s="5368">
        <v>11.318181818181818</v>
      </c>
      <c r="AA178" s="5368">
        <v>6</v>
      </c>
      <c r="AB178" s="5368">
        <v>8.545454545454545</v>
      </c>
      <c r="AC178" s="5368">
        <v>8.045454545454545</v>
      </c>
      <c r="AD178" s="5368">
        <v>7.5</v>
      </c>
      <c r="AE178" s="5368">
        <f t="shared" si="284"/>
        <v>116.36313511050352</v>
      </c>
      <c r="AF178" s="5369">
        <f t="shared" si="285"/>
        <v>9.6969279258752934</v>
      </c>
      <c r="AG178" s="2776"/>
      <c r="AH178" s="5371">
        <v>9.85</v>
      </c>
      <c r="AI178" s="5372">
        <v>8.6363636363636367</v>
      </c>
      <c r="AJ178" s="5372">
        <v>10.380952380952381</v>
      </c>
      <c r="AK178" s="5372">
        <v>11.125</v>
      </c>
      <c r="AL178" s="5372">
        <v>9.625</v>
      </c>
      <c r="AM178" s="5372">
        <v>9.56</v>
      </c>
      <c r="AN178" s="5372">
        <v>9.6538461538461533</v>
      </c>
      <c r="AO178" s="5372">
        <v>8.4230769230769234</v>
      </c>
      <c r="AP178" s="5372">
        <v>7</v>
      </c>
      <c r="AQ178" s="5372">
        <v>6.8518518518518512</v>
      </c>
      <c r="AR178" s="5372">
        <v>7.7407407407407414</v>
      </c>
      <c r="AS178" s="5372">
        <v>8.0740740740740744</v>
      </c>
      <c r="AT178" s="5368">
        <f t="shared" si="289"/>
        <v>106.92090576090575</v>
      </c>
      <c r="AU178" s="5369">
        <f t="shared" si="279"/>
        <v>8.9100754800754789</v>
      </c>
      <c r="AV178" s="555"/>
      <c r="AW178" s="5374">
        <v>7.1481481481481479</v>
      </c>
      <c r="AX178" s="5372">
        <v>12.333333333333334</v>
      </c>
      <c r="AY178" s="5372">
        <v>10.23076923076923</v>
      </c>
      <c r="AZ178" s="5372">
        <v>13.48</v>
      </c>
      <c r="BA178" s="5372">
        <v>26.72</v>
      </c>
      <c r="BB178" s="5372">
        <v>13.32</v>
      </c>
      <c r="BC178" s="5416">
        <v>19.416666666666668</v>
      </c>
      <c r="BD178" s="5368">
        <v>10.5</v>
      </c>
      <c r="BE178" s="5368">
        <v>11.833333333333334</v>
      </c>
      <c r="BF178" s="5368">
        <v>7.416666666666667</v>
      </c>
      <c r="BG178" s="5368">
        <v>8.875</v>
      </c>
      <c r="BH178" s="5368">
        <v>8.0833333333333339</v>
      </c>
      <c r="BI178" s="5368">
        <f t="shared" si="292"/>
        <v>149.3572507122507</v>
      </c>
      <c r="BJ178" s="5369">
        <f t="shared" si="280"/>
        <v>12.446437559354225</v>
      </c>
      <c r="BL178" s="5374">
        <v>12.347826086956522</v>
      </c>
      <c r="BM178" s="5372">
        <v>8.4347826086956523</v>
      </c>
      <c r="BN178" s="5372"/>
      <c r="BO178" s="5372"/>
      <c r="BP178" s="5372"/>
      <c r="BQ178" s="5372"/>
      <c r="BR178" s="5416"/>
      <c r="BS178" s="5368"/>
      <c r="BT178" s="5368"/>
      <c r="BU178" s="5368"/>
      <c r="BV178" s="5368"/>
      <c r="BW178" s="5368"/>
      <c r="BX178" s="5368">
        <f t="shared" si="293"/>
        <v>20.782608695652172</v>
      </c>
      <c r="BY178" s="5256">
        <f t="shared" si="294"/>
        <v>10.391304347826086</v>
      </c>
      <c r="CA178" s="169">
        <f t="shared" si="290"/>
        <v>-3.8985507246376816</v>
      </c>
      <c r="CB178" s="169">
        <f t="shared" si="288"/>
        <v>3.5363620792787458</v>
      </c>
      <c r="CC178" s="169">
        <f>IFERROR(
  SUM(
    _xlfn.XLOOKUP(DATE(YEAR($A$1),1,1),$2:$2,178:178):
    _xlfn.XLOOKUP($A$1,$2:$2,178:178)
  )
 -SUM(
    _xlfn.XLOOKUP(DATE(YEAR($A$1)-1,1,1),$2:$2,178:178):
    _xlfn.XLOOKUP(EDATE($A$1,-12),$2:$2,178:178)
  ),"")</f>
        <v>1.3011272141706911</v>
      </c>
      <c r="CD178" s="4517">
        <f t="shared" si="291"/>
        <v>-3.9130434782608692</v>
      </c>
    </row>
    <row r="179" spans="1:82" ht="17.600000000000001" x14ac:dyDescent="0.55000000000000004">
      <c r="A179" s="7383"/>
      <c r="B179" s="2062"/>
      <c r="C179" s="5258" t="s">
        <v>212</v>
      </c>
      <c r="D179" s="5376">
        <v>11.583333333333334</v>
      </c>
      <c r="E179" s="5376">
        <v>8.9600000000000009</v>
      </c>
      <c r="F179" s="5376">
        <v>8.4</v>
      </c>
      <c r="G179" s="5376">
        <v>8.2799999999999994</v>
      </c>
      <c r="H179" s="5376">
        <v>9.68</v>
      </c>
      <c r="I179" s="5376">
        <v>10.041666666666666</v>
      </c>
      <c r="J179" s="5376">
        <v>8.16</v>
      </c>
      <c r="K179" s="5376">
        <v>10.24</v>
      </c>
      <c r="L179" s="5376">
        <v>7.2</v>
      </c>
      <c r="M179" s="5376">
        <v>7.291666666666667</v>
      </c>
      <c r="N179" s="5376">
        <v>9.5833333333333339</v>
      </c>
      <c r="O179" s="5376">
        <v>8.4782608695652169</v>
      </c>
      <c r="P179" s="5376">
        <f t="shared" si="282"/>
        <v>107.89826086956522</v>
      </c>
      <c r="Q179" s="5377">
        <f t="shared" si="283"/>
        <v>8.9915217391304356</v>
      </c>
      <c r="R179" s="2776"/>
      <c r="S179" s="5378">
        <v>9.7916666666666661</v>
      </c>
      <c r="T179" s="5376">
        <v>11</v>
      </c>
      <c r="U179" s="5376">
        <v>9.1739130434782616</v>
      </c>
      <c r="V179" s="5376">
        <v>10.478260869565217</v>
      </c>
      <c r="W179" s="5376">
        <v>8.6086956521739122</v>
      </c>
      <c r="X179" s="5376">
        <v>8.3478260869565215</v>
      </c>
      <c r="Y179" s="5376">
        <v>7</v>
      </c>
      <c r="Z179" s="5376">
        <v>10.291666666666666</v>
      </c>
      <c r="AA179" s="5376">
        <v>5.791666666666667</v>
      </c>
      <c r="AB179" s="5376">
        <v>6.6521739130434785</v>
      </c>
      <c r="AC179" s="5376">
        <v>4.6521739130434785</v>
      </c>
      <c r="AD179" s="5376">
        <v>4.4782608695652177</v>
      </c>
      <c r="AE179" s="5376">
        <f t="shared" si="284"/>
        <v>96.266304347826107</v>
      </c>
      <c r="AF179" s="5377">
        <f t="shared" si="285"/>
        <v>8.0221920289855095</v>
      </c>
      <c r="AG179" s="2776"/>
      <c r="AH179" s="5379">
        <v>9.5652173913043477</v>
      </c>
      <c r="AI179" s="5380">
        <v>6.75</v>
      </c>
      <c r="AJ179" s="5380">
        <v>8.1904761904761898</v>
      </c>
      <c r="AK179" s="5380">
        <v>10.08</v>
      </c>
      <c r="AL179" s="5380">
        <v>10.52</v>
      </c>
      <c r="AM179" s="5380">
        <v>9.5</v>
      </c>
      <c r="AN179" s="5380">
        <v>14.923076923076923</v>
      </c>
      <c r="AO179" s="5380">
        <v>11.692307692307692</v>
      </c>
      <c r="AP179" s="5380">
        <v>12.923076923076922</v>
      </c>
      <c r="AQ179" s="5380">
        <v>10.73076923076923</v>
      </c>
      <c r="AR179" s="5380">
        <v>12</v>
      </c>
      <c r="AS179" s="5380">
        <v>9.4230769230769234</v>
      </c>
      <c r="AT179" s="5376">
        <f t="shared" si="289"/>
        <v>126.29800127408822</v>
      </c>
      <c r="AU179" s="5377">
        <f t="shared" si="279"/>
        <v>10.524833439507352</v>
      </c>
      <c r="AV179" s="555"/>
      <c r="AW179" s="5382">
        <v>7.2222222222222223</v>
      </c>
      <c r="AX179" s="5380">
        <v>15.444444444444445</v>
      </c>
      <c r="AY179" s="5380">
        <v>10.962962962962964</v>
      </c>
      <c r="AZ179" s="5380">
        <v>14.08</v>
      </c>
      <c r="BA179" s="5380">
        <v>26.72</v>
      </c>
      <c r="BB179" s="5380">
        <v>12.36</v>
      </c>
      <c r="BC179" s="5417">
        <v>17.920000000000002</v>
      </c>
      <c r="BD179" s="5376">
        <v>12.32</v>
      </c>
      <c r="BE179" s="5376">
        <v>11.56</v>
      </c>
      <c r="BF179" s="5376">
        <v>8</v>
      </c>
      <c r="BG179" s="5376">
        <v>10.199999999999999</v>
      </c>
      <c r="BH179" s="5376">
        <v>8.8461538461538467</v>
      </c>
      <c r="BI179" s="5376">
        <f t="shared" si="292"/>
        <v>155.63578347578346</v>
      </c>
      <c r="BJ179" s="5377">
        <f t="shared" si="280"/>
        <v>12.969648622981955</v>
      </c>
      <c r="BL179" s="5382">
        <v>11.115384615384615</v>
      </c>
      <c r="BM179" s="5380">
        <v>7.9230769230769234</v>
      </c>
      <c r="BN179" s="5380"/>
      <c r="BO179" s="5380"/>
      <c r="BP179" s="5380"/>
      <c r="BQ179" s="5380"/>
      <c r="BR179" s="5417"/>
      <c r="BS179" s="5376"/>
      <c r="BT179" s="5376"/>
      <c r="BU179" s="5376"/>
      <c r="BV179" s="5376"/>
      <c r="BW179" s="5376"/>
      <c r="BX179" s="5376">
        <f t="shared" si="293"/>
        <v>19.03846153846154</v>
      </c>
      <c r="BY179" s="5261">
        <f t="shared" si="294"/>
        <v>9.5192307692307701</v>
      </c>
      <c r="CA179" s="169">
        <f t="shared" si="290"/>
        <v>-7.5213675213675213</v>
      </c>
      <c r="CB179" s="169">
        <f t="shared" si="288"/>
        <v>2.4448151834746028</v>
      </c>
      <c r="CC179" s="169">
        <f>IFERROR(
  SUM(
    _xlfn.XLOOKUP(DATE(YEAR($A$1),1,1),$2:$2,179:179):
    _xlfn.XLOOKUP($A$1,$2:$2,179:179)
  )
 -SUM(
    _xlfn.XLOOKUP(DATE(YEAR($A$1)-1,1,1),$2:$2,179:179):
    _xlfn.XLOOKUP(EDATE($A$1,-12),$2:$2,179:179)
  ),"")</f>
        <v>-3.6282051282051277</v>
      </c>
      <c r="CD179" s="4517">
        <f t="shared" si="291"/>
        <v>-3.1923076923076916</v>
      </c>
    </row>
    <row r="180" spans="1:82" ht="17.600000000000001" x14ac:dyDescent="0.55000000000000004">
      <c r="A180" s="7383"/>
      <c r="B180" s="2062"/>
      <c r="C180" s="5263" t="s">
        <v>213</v>
      </c>
      <c r="D180" s="5384">
        <v>13.333333333333334</v>
      </c>
      <c r="E180" s="5384">
        <v>9.6470588235294112</v>
      </c>
      <c r="F180" s="5384">
        <v>12.117647058823529</v>
      </c>
      <c r="G180" s="5384">
        <v>13.176470588235293</v>
      </c>
      <c r="H180" s="5384">
        <v>11.235294117647058</v>
      </c>
      <c r="I180" s="5384">
        <v>11.176470588235293</v>
      </c>
      <c r="J180" s="5384">
        <v>10.470588235294118</v>
      </c>
      <c r="K180" s="5384">
        <v>10.176470588235293</v>
      </c>
      <c r="L180" s="5384">
        <v>11.277777777777779</v>
      </c>
      <c r="M180" s="5384">
        <v>10.222222222222221</v>
      </c>
      <c r="N180" s="5384">
        <v>9.1111111111111107</v>
      </c>
      <c r="O180" s="5384">
        <v>8</v>
      </c>
      <c r="P180" s="5384">
        <f t="shared" si="282"/>
        <v>129.94444444444443</v>
      </c>
      <c r="Q180" s="5385">
        <f t="shared" si="283"/>
        <v>10.828703703703702</v>
      </c>
      <c r="R180" s="2776"/>
      <c r="S180" s="5386">
        <v>14.4375</v>
      </c>
      <c r="T180" s="5384">
        <v>14.875</v>
      </c>
      <c r="U180" s="5384">
        <v>18.375</v>
      </c>
      <c r="V180" s="5384">
        <v>16.647058823529413</v>
      </c>
      <c r="W180" s="5384">
        <v>14.941176470588236</v>
      </c>
      <c r="X180" s="5384">
        <v>11.941176470588236</v>
      </c>
      <c r="Y180" s="5384">
        <v>10.764705882352942</v>
      </c>
      <c r="Z180" s="5384">
        <v>15.176470588235293</v>
      </c>
      <c r="AA180" s="5384">
        <v>9.4117647058823533</v>
      </c>
      <c r="AB180" s="5384">
        <v>13.058823529411764</v>
      </c>
      <c r="AC180" s="5384">
        <v>10.941176470588236</v>
      </c>
      <c r="AD180" s="5384">
        <v>10.058823529411764</v>
      </c>
      <c r="AE180" s="5384">
        <f t="shared" si="284"/>
        <v>160.62867647058823</v>
      </c>
      <c r="AF180" s="5385">
        <f t="shared" si="285"/>
        <v>13.385723039215685</v>
      </c>
      <c r="AG180" s="2776"/>
      <c r="AH180" s="5387">
        <v>17.411764705882351</v>
      </c>
      <c r="AI180" s="5388">
        <v>12.411764705882353</v>
      </c>
      <c r="AJ180" s="5388">
        <v>13.882352941176471</v>
      </c>
      <c r="AK180" s="5388">
        <v>15.8125</v>
      </c>
      <c r="AL180" s="5388">
        <v>15.176470588235293</v>
      </c>
      <c r="AM180" s="5388">
        <v>12.529411764705882</v>
      </c>
      <c r="AN180" s="5388">
        <v>15.947368421052632</v>
      </c>
      <c r="AO180" s="5388">
        <v>11.157894736842104</v>
      </c>
      <c r="AP180" s="5388">
        <v>10.473684210526315</v>
      </c>
      <c r="AQ180" s="5388">
        <v>10.894736842105264</v>
      </c>
      <c r="AR180" s="5388">
        <v>13.578947368421053</v>
      </c>
      <c r="AS180" s="5388">
        <v>11.052631578947368</v>
      </c>
      <c r="AT180" s="5384">
        <f t="shared" si="289"/>
        <v>160.32952786377709</v>
      </c>
      <c r="AU180" s="5385">
        <f t="shared" si="279"/>
        <v>13.360793988648091</v>
      </c>
      <c r="AV180" s="555"/>
      <c r="AW180" s="5390">
        <v>12.315789473684211</v>
      </c>
      <c r="AX180" s="5388">
        <v>21.210526315789473</v>
      </c>
      <c r="AY180" s="5388">
        <v>14.947368421052632</v>
      </c>
      <c r="AZ180" s="5388">
        <v>17.263157894736842</v>
      </c>
      <c r="BA180" s="5388">
        <v>37.411764705882355</v>
      </c>
      <c r="BB180" s="5388">
        <v>15.941176470588236</v>
      </c>
      <c r="BC180" s="5418">
        <v>21.882352941176471</v>
      </c>
      <c r="BD180" s="5384">
        <v>16.058823529411764</v>
      </c>
      <c r="BE180" s="5384">
        <v>20</v>
      </c>
      <c r="BF180" s="5384">
        <v>11.8125</v>
      </c>
      <c r="BG180" s="5384">
        <v>10.625</v>
      </c>
      <c r="BH180" s="5384">
        <v>12.5625</v>
      </c>
      <c r="BI180" s="5384">
        <f t="shared" si="292"/>
        <v>212.03095975232196</v>
      </c>
      <c r="BJ180" s="5385">
        <f t="shared" si="280"/>
        <v>17.669246646026831</v>
      </c>
      <c r="BL180" s="5390">
        <v>17.529411764705884</v>
      </c>
      <c r="BM180" s="5388">
        <v>11.588235294117647</v>
      </c>
      <c r="BN180" s="5388"/>
      <c r="BO180" s="5388"/>
      <c r="BP180" s="5388"/>
      <c r="BQ180" s="5388"/>
      <c r="BR180" s="5418"/>
      <c r="BS180" s="5384"/>
      <c r="BT180" s="5384"/>
      <c r="BU180" s="5384"/>
      <c r="BV180" s="5384"/>
      <c r="BW180" s="5384"/>
      <c r="BX180" s="5384">
        <f t="shared" si="293"/>
        <v>29.117647058823529</v>
      </c>
      <c r="BY180" s="5266">
        <f t="shared" si="294"/>
        <v>14.558823529411764</v>
      </c>
      <c r="CA180" s="169">
        <f t="shared" si="290"/>
        <v>-9.6222910216718258</v>
      </c>
      <c r="CB180" s="169">
        <f t="shared" si="288"/>
        <v>4.3084526573787407</v>
      </c>
      <c r="CC180" s="169">
        <f>IFERROR(
  SUM(
    _xlfn.XLOOKUP(DATE(YEAR($A$1),1,1),$2:$2,180:180):
    _xlfn.XLOOKUP($A$1,$2:$2,180:180)
  )
 -SUM(
    _xlfn.XLOOKUP(DATE(YEAR($A$1)-1,1,1),$2:$2,180:180):
    _xlfn.XLOOKUP(EDATE($A$1,-12),$2:$2,180:180)
  ),"")</f>
        <v>-4.408668730650156</v>
      </c>
      <c r="CD180" s="4517">
        <f t="shared" si="291"/>
        <v>-5.9411764705882373</v>
      </c>
    </row>
    <row r="181" spans="1:82" ht="17.600000000000001" x14ac:dyDescent="0.55000000000000004">
      <c r="A181" s="7383"/>
      <c r="B181" s="2062"/>
      <c r="C181" s="5263" t="s">
        <v>214</v>
      </c>
      <c r="D181" s="5384">
        <v>16.96</v>
      </c>
      <c r="E181" s="5384">
        <v>10.76</v>
      </c>
      <c r="F181" s="5384">
        <v>9.8000000000000007</v>
      </c>
      <c r="G181" s="5384">
        <v>10.08</v>
      </c>
      <c r="H181" s="5384">
        <v>10.16</v>
      </c>
      <c r="I181" s="5384">
        <v>10.68</v>
      </c>
      <c r="J181" s="5384">
        <v>10.4</v>
      </c>
      <c r="K181" s="5384">
        <v>10.92</v>
      </c>
      <c r="L181" s="5384">
        <v>9.9600000000000009</v>
      </c>
      <c r="M181" s="5384">
        <v>8.7200000000000006</v>
      </c>
      <c r="N181" s="5384">
        <v>9.56</v>
      </c>
      <c r="O181" s="5384">
        <v>11.36</v>
      </c>
      <c r="P181" s="5384">
        <f t="shared" si="282"/>
        <v>129.36000000000001</v>
      </c>
      <c r="Q181" s="5385">
        <f t="shared" si="283"/>
        <v>10.780000000000001</v>
      </c>
      <c r="R181" s="2776"/>
      <c r="S181" s="5386">
        <v>11.36</v>
      </c>
      <c r="T181" s="5384">
        <v>14.68</v>
      </c>
      <c r="U181" s="5384">
        <v>11.44</v>
      </c>
      <c r="V181" s="5384">
        <v>12.24</v>
      </c>
      <c r="W181" s="5384">
        <v>11.24</v>
      </c>
      <c r="X181" s="5384">
        <v>12.36</v>
      </c>
      <c r="Y181" s="5384">
        <v>9.8000000000000007</v>
      </c>
      <c r="Z181" s="5384">
        <v>14.8</v>
      </c>
      <c r="AA181" s="5384">
        <v>8.16</v>
      </c>
      <c r="AB181" s="5384">
        <v>11.56</v>
      </c>
      <c r="AC181" s="5384">
        <v>8.9166666666666661</v>
      </c>
      <c r="AD181" s="5384">
        <v>7.8</v>
      </c>
      <c r="AE181" s="5384">
        <f t="shared" si="284"/>
        <v>134.35666666666665</v>
      </c>
      <c r="AF181" s="5385">
        <f t="shared" si="285"/>
        <v>11.196388888888889</v>
      </c>
      <c r="AG181" s="2776"/>
      <c r="AH181" s="5387">
        <v>13.92</v>
      </c>
      <c r="AI181" s="5388">
        <v>10.24</v>
      </c>
      <c r="AJ181" s="5388">
        <v>11.96</v>
      </c>
      <c r="AK181" s="5388">
        <v>12.5</v>
      </c>
      <c r="AL181" s="5388">
        <v>13.576923076923077</v>
      </c>
      <c r="AM181" s="5388">
        <v>11.26923076923077</v>
      </c>
      <c r="AN181" s="5388">
        <v>15</v>
      </c>
      <c r="AO181" s="5388">
        <v>11.26923076923077</v>
      </c>
      <c r="AP181" s="5388">
        <v>11.5</v>
      </c>
      <c r="AQ181" s="5388">
        <v>11.307692307692308</v>
      </c>
      <c r="AR181" s="5388">
        <v>12.307692307692308</v>
      </c>
      <c r="AS181" s="5388">
        <v>11.653846153846153</v>
      </c>
      <c r="AT181" s="5384">
        <f t="shared" si="289"/>
        <v>146.50461538461542</v>
      </c>
      <c r="AU181" s="5385">
        <f t="shared" si="279"/>
        <v>12.208717948717952</v>
      </c>
      <c r="AV181" s="555"/>
      <c r="AW181" s="5390">
        <v>10.192307692307692</v>
      </c>
      <c r="AX181" s="5388">
        <v>19.884615384615383</v>
      </c>
      <c r="AY181" s="5388">
        <v>15.26923076923077</v>
      </c>
      <c r="AZ181" s="5388">
        <v>15.346153846153847</v>
      </c>
      <c r="BA181" s="5388">
        <v>30.653846153846153</v>
      </c>
      <c r="BB181" s="5388">
        <v>15.6</v>
      </c>
      <c r="BC181" s="5418">
        <v>20.88</v>
      </c>
      <c r="BD181" s="5384">
        <v>15.68</v>
      </c>
      <c r="BE181" s="5384">
        <v>18.2</v>
      </c>
      <c r="BF181" s="5384">
        <v>12.04</v>
      </c>
      <c r="BG181" s="5384">
        <v>11.68</v>
      </c>
      <c r="BH181" s="5384">
        <v>12.2</v>
      </c>
      <c r="BI181" s="5384">
        <f t="shared" si="292"/>
        <v>197.62615384615381</v>
      </c>
      <c r="BJ181" s="5385">
        <f t="shared" si="280"/>
        <v>16.468846153846151</v>
      </c>
      <c r="BL181" s="5390">
        <v>17.239999999999998</v>
      </c>
      <c r="BM181" s="5388">
        <v>11.8</v>
      </c>
      <c r="BN181" s="5388"/>
      <c r="BO181" s="5388"/>
      <c r="BP181" s="5388"/>
      <c r="BQ181" s="5388"/>
      <c r="BR181" s="5418"/>
      <c r="BS181" s="5384"/>
      <c r="BT181" s="5384"/>
      <c r="BU181" s="5384"/>
      <c r="BV181" s="5384"/>
      <c r="BW181" s="5384"/>
      <c r="BX181" s="5384">
        <f t="shared" si="293"/>
        <v>29.04</v>
      </c>
      <c r="BY181" s="5266">
        <f t="shared" si="294"/>
        <v>14.52</v>
      </c>
      <c r="CA181" s="169">
        <f t="shared" si="290"/>
        <v>-8.0846153846153825</v>
      </c>
      <c r="CB181" s="169">
        <f t="shared" si="288"/>
        <v>4.2601282051281988</v>
      </c>
      <c r="CC181" s="169">
        <f>IFERROR(
  SUM(
    _xlfn.XLOOKUP(DATE(YEAR($A$1),1,1),$2:$2,181:181):
    _xlfn.XLOOKUP($A$1,$2:$2,181:181)
  )
 -SUM(
    _xlfn.XLOOKUP(DATE(YEAR($A$1)-1,1,1),$2:$2,181:181):
    _xlfn.XLOOKUP(EDATE($A$1,-12),$2:$2,181:181)
  ),"")</f>
        <v>-1.0369230769230739</v>
      </c>
      <c r="CD181" s="4517">
        <f t="shared" si="291"/>
        <v>-5.4399999999999977</v>
      </c>
    </row>
    <row r="182" spans="1:82" ht="17.600000000000001" x14ac:dyDescent="0.55000000000000004">
      <c r="A182" s="7383"/>
      <c r="B182" s="2062"/>
      <c r="C182" s="5258" t="s">
        <v>215</v>
      </c>
      <c r="D182" s="5376">
        <v>15.709677419354838</v>
      </c>
      <c r="E182" s="5376">
        <v>11.64516129032258</v>
      </c>
      <c r="F182" s="5376">
        <v>12.96774193548387</v>
      </c>
      <c r="G182" s="5376">
        <v>11.806451612903226</v>
      </c>
      <c r="H182" s="5376">
        <v>12.419354838709678</v>
      </c>
      <c r="I182" s="5376">
        <v>11.903225806451612</v>
      </c>
      <c r="J182" s="5376">
        <v>11.84375</v>
      </c>
      <c r="K182" s="5376">
        <v>12.5</v>
      </c>
      <c r="L182" s="5376">
        <v>11.9375</v>
      </c>
      <c r="M182" s="5376">
        <v>11.580645161290322</v>
      </c>
      <c r="N182" s="5376">
        <v>14.387096774193548</v>
      </c>
      <c r="O182" s="5376">
        <v>12.3</v>
      </c>
      <c r="P182" s="5376">
        <f t="shared" si="282"/>
        <v>151.00060483870968</v>
      </c>
      <c r="Q182" s="5377">
        <f t="shared" si="283"/>
        <v>12.58338373655914</v>
      </c>
      <c r="R182" s="2776"/>
      <c r="S182" s="5378">
        <v>13.766666666666667</v>
      </c>
      <c r="T182" s="5376">
        <v>13.333333333333334</v>
      </c>
      <c r="U182" s="5376">
        <v>13.2</v>
      </c>
      <c r="V182" s="5376">
        <v>14.129032258064516</v>
      </c>
      <c r="W182" s="5376">
        <v>11.580645161290322</v>
      </c>
      <c r="X182" s="5376">
        <v>12.064516129032258</v>
      </c>
      <c r="Y182" s="5376">
        <v>10.225806451612904</v>
      </c>
      <c r="Z182" s="5376">
        <v>15.333333333333334</v>
      </c>
      <c r="AA182" s="5376">
        <v>9.2666666666666675</v>
      </c>
      <c r="AB182" s="5376">
        <v>10.233333333333333</v>
      </c>
      <c r="AC182" s="5376">
        <v>13.2</v>
      </c>
      <c r="AD182" s="5376">
        <v>9.8000000000000007</v>
      </c>
      <c r="AE182" s="5376">
        <f t="shared" si="284"/>
        <v>146.13333333333333</v>
      </c>
      <c r="AF182" s="5377">
        <f t="shared" si="285"/>
        <v>12.177777777777777</v>
      </c>
      <c r="AG182" s="2776"/>
      <c r="AH182" s="5379">
        <v>15.366666666666667</v>
      </c>
      <c r="AI182" s="5380">
        <v>14.033333333333333</v>
      </c>
      <c r="AJ182" s="5380">
        <v>13.5</v>
      </c>
      <c r="AK182" s="5380">
        <v>14.433333333333334</v>
      </c>
      <c r="AL182" s="5380">
        <v>16.966666666666665</v>
      </c>
      <c r="AM182" s="5380">
        <v>12.5625</v>
      </c>
      <c r="AN182" s="5380">
        <v>16.03125</v>
      </c>
      <c r="AO182" s="5380">
        <v>13.939393939393939</v>
      </c>
      <c r="AP182" s="5380">
        <v>14.606060606060604</v>
      </c>
      <c r="AQ182" s="5380">
        <v>14.303030303030305</v>
      </c>
      <c r="AR182" s="5380">
        <v>13.515151515151516</v>
      </c>
      <c r="AS182" s="5380">
        <v>13.030303030303031</v>
      </c>
      <c r="AT182" s="5376">
        <f t="shared" si="289"/>
        <v>172.28768939393942</v>
      </c>
      <c r="AU182" s="5377">
        <f t="shared" si="279"/>
        <v>14.357307449494952</v>
      </c>
      <c r="AV182" s="555"/>
      <c r="AW182" s="5382">
        <v>11.058823529411764</v>
      </c>
      <c r="AX182" s="5380">
        <v>19.5</v>
      </c>
      <c r="AY182" s="5380">
        <v>14.303030303030303</v>
      </c>
      <c r="AZ182" s="5380">
        <v>19.06451612903226</v>
      </c>
      <c r="BA182" s="5380">
        <v>34.935483870967744</v>
      </c>
      <c r="BB182" s="5380">
        <v>18.870967741935484</v>
      </c>
      <c r="BC182" s="5417">
        <v>25.870967741935484</v>
      </c>
      <c r="BD182" s="5376">
        <v>16.903225806451612</v>
      </c>
      <c r="BE182" s="5376">
        <v>18.129032258064516</v>
      </c>
      <c r="BF182" s="5376">
        <v>12.03225806451613</v>
      </c>
      <c r="BG182" s="5376">
        <v>13.9</v>
      </c>
      <c r="BH182" s="5376">
        <v>13.433333333333334</v>
      </c>
      <c r="BI182" s="5376">
        <f t="shared" si="292"/>
        <v>218.00163877867863</v>
      </c>
      <c r="BJ182" s="5377">
        <f t="shared" si="280"/>
        <v>18.166803231556553</v>
      </c>
      <c r="BL182" s="5382">
        <v>18.366666666666667</v>
      </c>
      <c r="BM182" s="5380">
        <v>13.266666666666667</v>
      </c>
      <c r="BN182" s="5380"/>
      <c r="BO182" s="5380"/>
      <c r="BP182" s="5380"/>
      <c r="BQ182" s="5380"/>
      <c r="BR182" s="5417"/>
      <c r="BS182" s="5376"/>
      <c r="BT182" s="5376"/>
      <c r="BU182" s="5376"/>
      <c r="BV182" s="5376"/>
      <c r="BW182" s="5376"/>
      <c r="BX182" s="5376">
        <f t="shared" si="293"/>
        <v>31.633333333333333</v>
      </c>
      <c r="BY182" s="5261">
        <f t="shared" si="294"/>
        <v>15.816666666666666</v>
      </c>
      <c r="CA182" s="169">
        <f t="shared" si="290"/>
        <v>-6.2333333333333325</v>
      </c>
      <c r="CB182" s="169">
        <f t="shared" si="288"/>
        <v>3.8094957820616013</v>
      </c>
      <c r="CC182" s="169">
        <f>IFERROR(
  SUM(
    _xlfn.XLOOKUP(DATE(YEAR($A$1),1,1),$2:$2,182:182):
    _xlfn.XLOOKUP($A$1,$2:$2,182:182)
  )
 -SUM(
    _xlfn.XLOOKUP(DATE(YEAR($A$1)-1,1,1),$2:$2,182:182):
    _xlfn.XLOOKUP(EDATE($A$1,-12),$2:$2,182:182)
  ),"")</f>
        <v>1.0745098039215684</v>
      </c>
      <c r="CD182" s="4517">
        <f t="shared" si="291"/>
        <v>-5.0999999999999996</v>
      </c>
    </row>
    <row r="183" spans="1:82" ht="17.600000000000001" x14ac:dyDescent="0.55000000000000004">
      <c r="A183" s="7383"/>
      <c r="B183" s="2062"/>
      <c r="C183" s="5258" t="s">
        <v>216</v>
      </c>
      <c r="D183" s="5376">
        <v>15.142857142857142</v>
      </c>
      <c r="E183" s="5376">
        <v>10.476190476190476</v>
      </c>
      <c r="F183" s="5376">
        <v>11.714285714285714</v>
      </c>
      <c r="G183" s="5376">
        <v>12.857142857142858</v>
      </c>
      <c r="H183" s="5376">
        <v>10.619047619047619</v>
      </c>
      <c r="I183" s="5376">
        <v>10.238095238095237</v>
      </c>
      <c r="J183" s="5376">
        <v>8.1904761904761898</v>
      </c>
      <c r="K183" s="5376">
        <v>13.619047619047619</v>
      </c>
      <c r="L183" s="5376">
        <v>10.714285714285714</v>
      </c>
      <c r="M183" s="5376">
        <v>11.857142857142858</v>
      </c>
      <c r="N183" s="5376">
        <v>12.476190476190476</v>
      </c>
      <c r="O183" s="5376">
        <v>11.476190476190476</v>
      </c>
      <c r="P183" s="5376">
        <f t="shared" si="282"/>
        <v>139.38095238095238</v>
      </c>
      <c r="Q183" s="5377">
        <f t="shared" si="283"/>
        <v>11.615079365079366</v>
      </c>
      <c r="R183" s="2776"/>
      <c r="S183" s="5378">
        <v>14.19047619047619</v>
      </c>
      <c r="T183" s="5376">
        <v>15.571428571428571</v>
      </c>
      <c r="U183" s="5376">
        <v>15.285714285714286</v>
      </c>
      <c r="V183" s="5376">
        <v>14.666666666666666</v>
      </c>
      <c r="W183" s="5376">
        <v>14.476190476190476</v>
      </c>
      <c r="X183" s="5376">
        <v>13.19047619047619</v>
      </c>
      <c r="Y183" s="5376">
        <v>10.238095238095237</v>
      </c>
      <c r="Z183" s="5376">
        <v>20.333333333333332</v>
      </c>
      <c r="AA183" s="5376">
        <v>12.238095238095237</v>
      </c>
      <c r="AB183" s="5376">
        <v>15.142857142857142</v>
      </c>
      <c r="AC183" s="5376">
        <v>13.714285714285714</v>
      </c>
      <c r="AD183" s="5376">
        <v>8.2857142857142865</v>
      </c>
      <c r="AE183" s="5376">
        <f t="shared" si="284"/>
        <v>167.33333333333331</v>
      </c>
      <c r="AF183" s="5377">
        <f t="shared" si="285"/>
        <v>13.944444444444443</v>
      </c>
      <c r="AG183" s="2776"/>
      <c r="AH183" s="5379">
        <v>19.238095238095237</v>
      </c>
      <c r="AI183" s="5380">
        <v>14.238095238095237</v>
      </c>
      <c r="AJ183" s="5380">
        <v>15.619047619047619</v>
      </c>
      <c r="AK183" s="5380">
        <v>15.727272727272727</v>
      </c>
      <c r="AL183" s="5380">
        <v>15.909090909090908</v>
      </c>
      <c r="AM183" s="5380">
        <v>10.772727272727273</v>
      </c>
      <c r="AN183" s="5380">
        <v>17.523809523809526</v>
      </c>
      <c r="AO183" s="5380">
        <v>12.181818181818182</v>
      </c>
      <c r="AP183" s="5380">
        <v>15.454545454545455</v>
      </c>
      <c r="AQ183" s="5380">
        <v>15.590909090909092</v>
      </c>
      <c r="AR183" s="5380">
        <v>14.409090909090908</v>
      </c>
      <c r="AS183" s="5380">
        <v>13.454545454545455</v>
      </c>
      <c r="AT183" s="5376">
        <f t="shared" si="289"/>
        <v>180.11904761904765</v>
      </c>
      <c r="AU183" s="5377">
        <f t="shared" si="279"/>
        <v>15.009920634920638</v>
      </c>
      <c r="AV183" s="555"/>
      <c r="AW183" s="5382">
        <v>9.954545454545455</v>
      </c>
      <c r="AX183" s="5380">
        <v>22.545454545454547</v>
      </c>
      <c r="AY183" s="5380">
        <v>16.636363636363637</v>
      </c>
      <c r="AZ183" s="5380">
        <v>19.681818181818183</v>
      </c>
      <c r="BA183" s="5380">
        <v>31</v>
      </c>
      <c r="BB183" s="5380">
        <v>18.818181818181817</v>
      </c>
      <c r="BC183" s="5417">
        <v>26.666666666666668</v>
      </c>
      <c r="BD183" s="5376">
        <v>18.761904761904763</v>
      </c>
      <c r="BE183" s="5376">
        <v>19.952380952380953</v>
      </c>
      <c r="BF183" s="5376">
        <v>13.095238095238095</v>
      </c>
      <c r="BG183" s="5376">
        <v>14.095238095238095</v>
      </c>
      <c r="BH183" s="5376">
        <v>13.761904761904763</v>
      </c>
      <c r="BI183" s="5376">
        <f t="shared" si="292"/>
        <v>224.969696969697</v>
      </c>
      <c r="BJ183" s="5377">
        <f t="shared" si="280"/>
        <v>18.747474747474751</v>
      </c>
      <c r="BL183" s="5382">
        <v>20.05</v>
      </c>
      <c r="BM183" s="5380">
        <v>10.85</v>
      </c>
      <c r="BN183" s="5380"/>
      <c r="BO183" s="5380"/>
      <c r="BP183" s="5380"/>
      <c r="BQ183" s="5380"/>
      <c r="BR183" s="5417"/>
      <c r="BS183" s="5376"/>
      <c r="BT183" s="5376"/>
      <c r="BU183" s="5376"/>
      <c r="BV183" s="5376"/>
      <c r="BW183" s="5376"/>
      <c r="BX183" s="5376">
        <f t="shared" si="293"/>
        <v>30.9</v>
      </c>
      <c r="BY183" s="5261">
        <f t="shared" si="294"/>
        <v>15.45</v>
      </c>
      <c r="CA183" s="169">
        <f t="shared" si="290"/>
        <v>-11.695454545454547</v>
      </c>
      <c r="CB183" s="169">
        <f t="shared" si="288"/>
        <v>3.737554112554113</v>
      </c>
      <c r="CC183" s="169">
        <f>IFERROR(
  SUM(
    _xlfn.XLOOKUP(DATE(YEAR($A$1),1,1),$2:$2,183:183):
    _xlfn.XLOOKUP($A$1,$2:$2,183:183)
  )
 -SUM(
    _xlfn.XLOOKUP(DATE(YEAR($A$1)-1,1,1),$2:$2,183:183):
    _xlfn.XLOOKUP(EDATE($A$1,-12),$2:$2,183:183)
  ),"")</f>
        <v>-1.6000000000000014</v>
      </c>
      <c r="CD183" s="4517">
        <f t="shared" si="291"/>
        <v>-9.2000000000000011</v>
      </c>
    </row>
    <row r="184" spans="1:82" ht="17.600000000000001" x14ac:dyDescent="0.55000000000000004">
      <c r="A184" s="7383"/>
      <c r="B184" s="2062"/>
      <c r="C184" s="5263" t="s">
        <v>217</v>
      </c>
      <c r="D184" s="5384">
        <v>20.612903225806452</v>
      </c>
      <c r="E184" s="5384">
        <v>15.903225806451612</v>
      </c>
      <c r="F184" s="5384">
        <v>14.5</v>
      </c>
      <c r="G184" s="5384">
        <v>14.59375</v>
      </c>
      <c r="H184" s="5384">
        <v>16.393939393939394</v>
      </c>
      <c r="I184" s="5384">
        <v>15.59375</v>
      </c>
      <c r="J184" s="5384">
        <v>12.606060606060606</v>
      </c>
      <c r="K184" s="5384">
        <v>16.03125</v>
      </c>
      <c r="L184" s="5384">
        <v>11.375</v>
      </c>
      <c r="M184" s="5384">
        <v>12.53125</v>
      </c>
      <c r="N184" s="5384">
        <v>15.03125</v>
      </c>
      <c r="O184" s="5384">
        <v>13.516129032258064</v>
      </c>
      <c r="P184" s="5384">
        <f t="shared" si="282"/>
        <v>178.6885080645161</v>
      </c>
      <c r="Q184" s="5385">
        <f t="shared" si="283"/>
        <v>14.890709005376342</v>
      </c>
      <c r="R184" s="2776"/>
      <c r="S184" s="5386">
        <v>14.28125</v>
      </c>
      <c r="T184" s="5384">
        <v>19.09375</v>
      </c>
      <c r="U184" s="5384">
        <v>17.93548387096774</v>
      </c>
      <c r="V184" s="5384">
        <v>17.258064516129032</v>
      </c>
      <c r="W184" s="5384">
        <v>14.96774193548387</v>
      </c>
      <c r="X184" s="5384">
        <v>16.967741935483872</v>
      </c>
      <c r="Y184" s="5384">
        <v>12.35483870967742</v>
      </c>
      <c r="Z184" s="5384">
        <v>18.966666666666665</v>
      </c>
      <c r="AA184" s="5384">
        <v>11.966666666666667</v>
      </c>
      <c r="AB184" s="5384">
        <v>14.433333333333334</v>
      </c>
      <c r="AC184" s="5384">
        <v>15.586206896551724</v>
      </c>
      <c r="AD184" s="5384">
        <v>11.758620689655173</v>
      </c>
      <c r="AE184" s="5384">
        <f t="shared" si="284"/>
        <v>185.57036522061549</v>
      </c>
      <c r="AF184" s="5385">
        <f t="shared" si="285"/>
        <v>15.464197101717957</v>
      </c>
      <c r="AG184" s="2776"/>
      <c r="AH184" s="5387">
        <v>19.379310344827587</v>
      </c>
      <c r="AI184" s="5388">
        <v>16.75</v>
      </c>
      <c r="AJ184" s="5388">
        <v>19.035714285714285</v>
      </c>
      <c r="AK184" s="5388">
        <v>20.620689655172413</v>
      </c>
      <c r="AL184" s="5388">
        <v>20.275862068965516</v>
      </c>
      <c r="AM184" s="5388">
        <v>17.166666666666668</v>
      </c>
      <c r="AN184" s="5388">
        <v>20.133333333333333</v>
      </c>
      <c r="AO184" s="5388">
        <v>17</v>
      </c>
      <c r="AP184" s="5388">
        <v>14.866666666666667</v>
      </c>
      <c r="AQ184" s="5388">
        <v>20.2</v>
      </c>
      <c r="AR184" s="5388">
        <v>16.827586206896552</v>
      </c>
      <c r="AS184" s="5388">
        <v>15.666666666666666</v>
      </c>
      <c r="AT184" s="5384">
        <f t="shared" si="289"/>
        <v>217.92249589490967</v>
      </c>
      <c r="AU184" s="5385">
        <f t="shared" si="279"/>
        <v>18.160207991242473</v>
      </c>
      <c r="AV184" s="555"/>
      <c r="AW184" s="5390">
        <v>10</v>
      </c>
      <c r="AX184" s="5388">
        <v>22.9</v>
      </c>
      <c r="AY184" s="5388">
        <v>19.137931034482758</v>
      </c>
      <c r="AZ184" s="5388">
        <v>27.892857142857142</v>
      </c>
      <c r="BA184" s="5388">
        <v>36.892857142857146</v>
      </c>
      <c r="BB184" s="5388">
        <v>24.142857142857142</v>
      </c>
      <c r="BC184" s="5418">
        <v>33.928571428571431</v>
      </c>
      <c r="BD184" s="5384">
        <v>22.535714285714285</v>
      </c>
      <c r="BE184" s="5384">
        <v>20</v>
      </c>
      <c r="BF184" s="5384">
        <v>16.75</v>
      </c>
      <c r="BG184" s="5384">
        <v>14.392857142857142</v>
      </c>
      <c r="BH184" s="5384">
        <v>11.785714285714286</v>
      </c>
      <c r="BI184" s="5384">
        <f t="shared" si="292"/>
        <v>260.35935960591132</v>
      </c>
      <c r="BJ184" s="5385">
        <f t="shared" si="280"/>
        <v>21.696613300492611</v>
      </c>
      <c r="BL184" s="5390">
        <v>17.678571428571427</v>
      </c>
      <c r="BM184" s="5388">
        <v>11.862068965517242</v>
      </c>
      <c r="BN184" s="5388"/>
      <c r="BO184" s="5388"/>
      <c r="BP184" s="5388"/>
      <c r="BQ184" s="5388"/>
      <c r="BR184" s="5418"/>
      <c r="BS184" s="5384"/>
      <c r="BT184" s="5384"/>
      <c r="BU184" s="5384"/>
      <c r="BV184" s="5384"/>
      <c r="BW184" s="5384"/>
      <c r="BX184" s="5384">
        <f t="shared" si="293"/>
        <v>29.540640394088669</v>
      </c>
      <c r="BY184" s="5266">
        <f t="shared" si="294"/>
        <v>14.770320197044335</v>
      </c>
      <c r="CA184" s="169">
        <f t="shared" si="290"/>
        <v>-11.037931034482757</v>
      </c>
      <c r="CB184" s="169">
        <f t="shared" si="288"/>
        <v>3.5364053092501386</v>
      </c>
      <c r="CC184" s="169">
        <f>IFERROR(
  SUM(
    _xlfn.XLOOKUP(DATE(YEAR($A$1),1,1),$2:$2,184:184):
    _xlfn.XLOOKUP($A$1,$2:$2,184:184)
  )
 -SUM(
    _xlfn.XLOOKUP(DATE(YEAR($A$1)-1,1,1),$2:$2,184:184):
    _xlfn.XLOOKUP(EDATE($A$1,-12),$2:$2,184:184)
  ),"")</f>
        <v>-3.3593596059113295</v>
      </c>
      <c r="CD184" s="4517">
        <f t="shared" si="291"/>
        <v>-5.8165024630541851</v>
      </c>
    </row>
    <row r="185" spans="1:82" ht="17.600000000000001" x14ac:dyDescent="0.55000000000000004">
      <c r="A185" s="7383"/>
      <c r="B185" s="2062"/>
      <c r="C185" s="5263" t="s">
        <v>218</v>
      </c>
      <c r="D185" s="5384">
        <v>11.833333333333334</v>
      </c>
      <c r="E185" s="5384">
        <v>10.290322580645162</v>
      </c>
      <c r="F185" s="5384">
        <v>10.03225806451613</v>
      </c>
      <c r="G185" s="5384">
        <v>8.75</v>
      </c>
      <c r="H185" s="5384">
        <v>7.96875</v>
      </c>
      <c r="I185" s="5384">
        <v>10.454545454545455</v>
      </c>
      <c r="J185" s="5384">
        <v>8.0625</v>
      </c>
      <c r="K185" s="5384">
        <v>11.4375</v>
      </c>
      <c r="L185" s="5384">
        <v>7.71875</v>
      </c>
      <c r="M185" s="5384">
        <v>8.0606060606060606</v>
      </c>
      <c r="N185" s="5384">
        <v>8.3333333333333339</v>
      </c>
      <c r="O185" s="5384">
        <v>8.6363636363636367</v>
      </c>
      <c r="P185" s="5384">
        <f t="shared" si="282"/>
        <v>111.57826246334311</v>
      </c>
      <c r="Q185" s="5385">
        <f t="shared" si="283"/>
        <v>9.2981885386119263</v>
      </c>
      <c r="R185" s="2776"/>
      <c r="S185" s="5386">
        <v>11.515151515151516</v>
      </c>
      <c r="T185" s="5384">
        <v>14.363636363636363</v>
      </c>
      <c r="U185" s="5384">
        <v>11</v>
      </c>
      <c r="V185" s="5384">
        <v>10.575757575757576</v>
      </c>
      <c r="W185" s="5384">
        <v>11.090909090909092</v>
      </c>
      <c r="X185" s="5384">
        <v>10.666666666666666</v>
      </c>
      <c r="Y185" s="5384">
        <v>8.25</v>
      </c>
      <c r="Z185" s="5384">
        <v>13.09375</v>
      </c>
      <c r="AA185" s="5384">
        <v>7.96875</v>
      </c>
      <c r="AB185" s="5384">
        <v>8.75</v>
      </c>
      <c r="AC185" s="5384">
        <v>7.96875</v>
      </c>
      <c r="AD185" s="5384">
        <v>8.15625</v>
      </c>
      <c r="AE185" s="5384">
        <f t="shared" si="284"/>
        <v>123.39962121212122</v>
      </c>
      <c r="AF185" s="5385">
        <f t="shared" si="285"/>
        <v>10.283301767676768</v>
      </c>
      <c r="AG185" s="2776"/>
      <c r="AH185" s="5387">
        <v>14.1875</v>
      </c>
      <c r="AI185" s="5388">
        <v>10.3125</v>
      </c>
      <c r="AJ185" s="5388">
        <v>13.28125</v>
      </c>
      <c r="AK185" s="5388">
        <v>12.71875</v>
      </c>
      <c r="AL185" s="5388">
        <v>12.870967741935484</v>
      </c>
      <c r="AM185" s="5388">
        <v>11.67741935483871</v>
      </c>
      <c r="AN185" s="5388">
        <v>16.451612903225808</v>
      </c>
      <c r="AO185" s="5388">
        <v>9.6451612903225801</v>
      </c>
      <c r="AP185" s="5388">
        <v>13.033333333333333</v>
      </c>
      <c r="AQ185" s="5388">
        <v>11.566666666666666</v>
      </c>
      <c r="AR185" s="5388">
        <v>11.933333333333334</v>
      </c>
      <c r="AS185" s="5388">
        <v>9.5</v>
      </c>
      <c r="AT185" s="5384">
        <f t="shared" si="289"/>
        <v>147.17849462365589</v>
      </c>
      <c r="AU185" s="5385">
        <f t="shared" si="279"/>
        <v>12.264874551971324</v>
      </c>
      <c r="AV185" s="555"/>
      <c r="AW185" s="5390">
        <v>9.8965517241379306</v>
      </c>
      <c r="AX185" s="5388">
        <v>18.310344827586206</v>
      </c>
      <c r="AY185" s="5388">
        <v>13.310344827586206</v>
      </c>
      <c r="AZ185" s="5388">
        <v>17.620689655172413</v>
      </c>
      <c r="BA185" s="5388">
        <v>27.068965517241381</v>
      </c>
      <c r="BB185" s="5388">
        <v>14.931034482758621</v>
      </c>
      <c r="BC185" s="5418">
        <v>21.413793103448278</v>
      </c>
      <c r="BD185" s="5384">
        <v>13.827586206896552</v>
      </c>
      <c r="BE185" s="5384">
        <v>15.689655172413794</v>
      </c>
      <c r="BF185" s="5384">
        <v>9.862068965517242</v>
      </c>
      <c r="BG185" s="5384">
        <v>10.137931034482758</v>
      </c>
      <c r="BH185" s="5384">
        <v>9.6896551724137936</v>
      </c>
      <c r="BI185" s="5384">
        <f t="shared" si="292"/>
        <v>181.75862068965512</v>
      </c>
      <c r="BJ185" s="5385">
        <f t="shared" si="280"/>
        <v>15.146551724137927</v>
      </c>
      <c r="BL185" s="5390">
        <v>15.137931034482758</v>
      </c>
      <c r="BM185" s="5388">
        <v>9.0344827586206904</v>
      </c>
      <c r="BN185" s="5388"/>
      <c r="BO185" s="5388"/>
      <c r="BP185" s="5388"/>
      <c r="BQ185" s="5388"/>
      <c r="BR185" s="5418"/>
      <c r="BS185" s="5384"/>
      <c r="BT185" s="5384"/>
      <c r="BU185" s="5384"/>
      <c r="BV185" s="5384"/>
      <c r="BW185" s="5384"/>
      <c r="BX185" s="5384">
        <f t="shared" si="293"/>
        <v>24.172413793103448</v>
      </c>
      <c r="BY185" s="5266">
        <f t="shared" si="294"/>
        <v>12.086206896551724</v>
      </c>
      <c r="CA185" s="169">
        <f t="shared" si="290"/>
        <v>-9.275862068965516</v>
      </c>
      <c r="CB185" s="169">
        <f t="shared" si="288"/>
        <v>2.8816771721666026</v>
      </c>
      <c r="CC185" s="169">
        <f>IFERROR(
  SUM(
    _xlfn.XLOOKUP(DATE(YEAR($A$1),1,1),$2:$2,185:185):
    _xlfn.XLOOKUP($A$1,$2:$2,185:185)
  )
 -SUM(
    _xlfn.XLOOKUP(DATE(YEAR($A$1)-1,1,1),$2:$2,185:185):
    _xlfn.XLOOKUP(EDATE($A$1,-12),$2:$2,185:185)
  ),"")</f>
        <v>-4.0344827586206868</v>
      </c>
      <c r="CD185" s="4517">
        <f t="shared" si="291"/>
        <v>-6.1034482758620676</v>
      </c>
    </row>
    <row r="186" spans="1:82" ht="17.600000000000001" x14ac:dyDescent="0.55000000000000004">
      <c r="A186" s="7383"/>
      <c r="B186" s="2062"/>
      <c r="C186" s="5258" t="s">
        <v>219</v>
      </c>
      <c r="D186" s="5376">
        <v>14.785714285714286</v>
      </c>
      <c r="E186" s="5376">
        <v>10.285714285714286</v>
      </c>
      <c r="F186" s="5376">
        <v>10.75</v>
      </c>
      <c r="G186" s="5376">
        <v>9.0344827586206904</v>
      </c>
      <c r="H186" s="5376">
        <v>11.620689655172415</v>
      </c>
      <c r="I186" s="5376">
        <v>10.206896551724139</v>
      </c>
      <c r="J186" s="5376">
        <v>10.758620689655173</v>
      </c>
      <c r="K186" s="5376">
        <v>13.482758620689655</v>
      </c>
      <c r="L186" s="5376">
        <v>8.5517241379310338</v>
      </c>
      <c r="M186" s="5376">
        <v>10.413793103448276</v>
      </c>
      <c r="N186" s="5376">
        <v>12.793103448275861</v>
      </c>
      <c r="O186" s="5376">
        <v>8.7241379310344822</v>
      </c>
      <c r="P186" s="5376">
        <f t="shared" si="282"/>
        <v>131.40763546798027</v>
      </c>
      <c r="Q186" s="5377">
        <f t="shared" si="283"/>
        <v>10.950636288998355</v>
      </c>
      <c r="R186" s="2776"/>
      <c r="S186" s="5378">
        <v>12.714285714285714</v>
      </c>
      <c r="T186" s="5376">
        <v>15.178571428571429</v>
      </c>
      <c r="U186" s="5376">
        <v>10.5</v>
      </c>
      <c r="V186" s="5376">
        <v>12.107142857142858</v>
      </c>
      <c r="W186" s="5376">
        <v>10.035714285714286</v>
      </c>
      <c r="X186" s="5376">
        <v>10.142857142857142</v>
      </c>
      <c r="Y186" s="5376">
        <v>8.8928571428571423</v>
      </c>
      <c r="Z186" s="5376">
        <v>14.607142857142858</v>
      </c>
      <c r="AA186" s="5376">
        <v>8.3928571428571423</v>
      </c>
      <c r="AB186" s="5376">
        <v>10.5</v>
      </c>
      <c r="AC186" s="5376">
        <v>7.1785714285714288</v>
      </c>
      <c r="AD186" s="5376">
        <v>6.5357142857142856</v>
      </c>
      <c r="AE186" s="5376">
        <f t="shared" si="284"/>
        <v>126.78571428571429</v>
      </c>
      <c r="AF186" s="5377">
        <f t="shared" si="285"/>
        <v>10.565476190476192</v>
      </c>
      <c r="AG186" s="2776"/>
      <c r="AH186" s="5379">
        <v>13.964285714285714</v>
      </c>
      <c r="AI186" s="5380">
        <v>7.7857142857142856</v>
      </c>
      <c r="AJ186" s="5380">
        <v>13.178571428571429</v>
      </c>
      <c r="AK186" s="5380">
        <v>13.142857142857142</v>
      </c>
      <c r="AL186" s="5380">
        <v>11.413793103448276</v>
      </c>
      <c r="AM186" s="5380">
        <v>11.75</v>
      </c>
      <c r="AN186" s="5380">
        <v>12.535714285714286</v>
      </c>
      <c r="AO186" s="5380">
        <v>10.428571428571429</v>
      </c>
      <c r="AP186" s="5380">
        <v>9.7931034482758612</v>
      </c>
      <c r="AQ186" s="5380">
        <v>9.1034482758620694</v>
      </c>
      <c r="AR186" s="5380">
        <v>9.7931034482758612</v>
      </c>
      <c r="AS186" s="5380">
        <v>8</v>
      </c>
      <c r="AT186" s="5376">
        <f t="shared" si="289"/>
        <v>130.88916256157634</v>
      </c>
      <c r="AU186" s="5377">
        <f t="shared" si="279"/>
        <v>10.907430213464695</v>
      </c>
      <c r="AV186" s="555"/>
      <c r="AW186" s="5382">
        <v>7.7931034482758621</v>
      </c>
      <c r="AX186" s="5380">
        <v>17.655172413793103</v>
      </c>
      <c r="AY186" s="5380">
        <v>13.03448275862069</v>
      </c>
      <c r="AZ186" s="5380">
        <v>13.964285714285714</v>
      </c>
      <c r="BA186" s="5380">
        <v>23.071428571428573</v>
      </c>
      <c r="BB186" s="5380">
        <v>11</v>
      </c>
      <c r="BC186" s="5417">
        <v>19.518518518518519</v>
      </c>
      <c r="BD186" s="5376">
        <v>12.666666666666666</v>
      </c>
      <c r="BE186" s="5376">
        <v>12.962962962962964</v>
      </c>
      <c r="BF186" s="5376">
        <v>9.0740740740740744</v>
      </c>
      <c r="BG186" s="5376">
        <v>8.9259259259259256</v>
      </c>
      <c r="BH186" s="5376">
        <v>8.1851851851851851</v>
      </c>
      <c r="BI186" s="5376">
        <f t="shared" si="292"/>
        <v>157.8518062397373</v>
      </c>
      <c r="BJ186" s="5377">
        <f t="shared" si="280"/>
        <v>13.154317186644775</v>
      </c>
      <c r="BL186" s="5382">
        <v>12.925925925925926</v>
      </c>
      <c r="BM186" s="5380">
        <v>10.444444444444445</v>
      </c>
      <c r="BN186" s="5380"/>
      <c r="BO186" s="5380"/>
      <c r="BP186" s="5380"/>
      <c r="BQ186" s="5380"/>
      <c r="BR186" s="5417"/>
      <c r="BS186" s="5376"/>
      <c r="BT186" s="5376"/>
      <c r="BU186" s="5376"/>
      <c r="BV186" s="5376"/>
      <c r="BW186" s="5376"/>
      <c r="BX186" s="5376">
        <f t="shared" si="293"/>
        <v>23.37037037037037</v>
      </c>
      <c r="BY186" s="5261">
        <f t="shared" si="294"/>
        <v>11.685185185185185</v>
      </c>
      <c r="CA186" s="169">
        <f t="shared" si="290"/>
        <v>-7.2107279693486586</v>
      </c>
      <c r="CB186" s="169">
        <f t="shared" si="288"/>
        <v>2.2468869731800805</v>
      </c>
      <c r="CC186" s="169">
        <f>IFERROR(
  SUM(
    _xlfn.XLOOKUP(DATE(YEAR($A$1),1,1),$2:$2,186:186):
    _xlfn.XLOOKUP($A$1,$2:$2,186:186)
  )
 -SUM(
    _xlfn.XLOOKUP(DATE(YEAR($A$1)-1,1,1),$2:$2,186:186):
    _xlfn.XLOOKUP(EDATE($A$1,-12),$2:$2,186:186)
  ),"")</f>
        <v>-2.0779054916985942</v>
      </c>
      <c r="CD186" s="4517">
        <f t="shared" si="291"/>
        <v>-2.481481481481481</v>
      </c>
    </row>
    <row r="187" spans="1:82" ht="18" thickBot="1" x14ac:dyDescent="0.6">
      <c r="A187" s="7384"/>
      <c r="B187" s="5268"/>
      <c r="C187" s="5269" t="s">
        <v>220</v>
      </c>
      <c r="D187" s="5392">
        <v>10.827586206896552</v>
      </c>
      <c r="E187" s="5392">
        <v>8.2758620689655178</v>
      </c>
      <c r="F187" s="5392">
        <v>7.5172413793103452</v>
      </c>
      <c r="G187" s="5392">
        <v>7.6551724137931032</v>
      </c>
      <c r="H187" s="5392">
        <v>7</v>
      </c>
      <c r="I187" s="5392">
        <v>7.4285714285714288</v>
      </c>
      <c r="J187" s="5392">
        <v>6.6428571428571432</v>
      </c>
      <c r="K187" s="5392">
        <v>7</v>
      </c>
      <c r="L187" s="5392">
        <v>6.1071428571428568</v>
      </c>
      <c r="M187" s="5392">
        <v>6.1785714285714288</v>
      </c>
      <c r="N187" s="5392">
        <v>5.7857142857142856</v>
      </c>
      <c r="O187" s="5392">
        <v>6.6071428571428568</v>
      </c>
      <c r="P187" s="5392">
        <f t="shared" si="282"/>
        <v>87.025862068965537</v>
      </c>
      <c r="Q187" s="5393">
        <f t="shared" si="283"/>
        <v>7.2521551724137945</v>
      </c>
      <c r="R187" s="2776"/>
      <c r="S187" s="5394">
        <v>6.3448275862068968</v>
      </c>
      <c r="T187" s="5392">
        <v>5.3793103448275863</v>
      </c>
      <c r="U187" s="5392">
        <v>6.931034482758621</v>
      </c>
      <c r="V187" s="5392">
        <v>7.9285714285714288</v>
      </c>
      <c r="W187" s="5392">
        <v>6.4285714285714288</v>
      </c>
      <c r="X187" s="5392">
        <v>7.1428571428571432</v>
      </c>
      <c r="Y187" s="5392">
        <v>7.3214285714285712</v>
      </c>
      <c r="Z187" s="5392">
        <v>7.9285714285714288</v>
      </c>
      <c r="AA187" s="5392">
        <v>7.3214285714285712</v>
      </c>
      <c r="AB187" s="5392">
        <v>8.4074074074074066</v>
      </c>
      <c r="AC187" s="5392">
        <v>8.2857142857142865</v>
      </c>
      <c r="AD187" s="5392">
        <v>7.5357142857142856</v>
      </c>
      <c r="AE187" s="5392">
        <f t="shared" si="284"/>
        <v>86.955436964057668</v>
      </c>
      <c r="AF187" s="5393">
        <f t="shared" si="285"/>
        <v>7.2462864136714726</v>
      </c>
      <c r="AG187" s="2776"/>
      <c r="AH187" s="5395">
        <v>8.5</v>
      </c>
      <c r="AI187" s="5396">
        <v>8.0357142857142865</v>
      </c>
      <c r="AJ187" s="5396">
        <v>10.535714285714286</v>
      </c>
      <c r="AK187" s="5396">
        <v>9.75</v>
      </c>
      <c r="AL187" s="5396">
        <v>10.172413793103448</v>
      </c>
      <c r="AM187" s="5396">
        <v>8.7241379310344822</v>
      </c>
      <c r="AN187" s="5396">
        <v>10</v>
      </c>
      <c r="AO187" s="5396">
        <v>7.7333333333333334</v>
      </c>
      <c r="AP187" s="5396">
        <v>10.199999999999999</v>
      </c>
      <c r="AQ187" s="5396">
        <v>8.8666666666666671</v>
      </c>
      <c r="AR187" s="5396">
        <v>8.7333333333333325</v>
      </c>
      <c r="AS187" s="5396">
        <v>7.9655172413793105</v>
      </c>
      <c r="AT187" s="5392">
        <f t="shared" si="289"/>
        <v>109.21683087027915</v>
      </c>
      <c r="AU187" s="5393">
        <f t="shared" si="279"/>
        <v>9.1014025725232628</v>
      </c>
      <c r="AV187" s="555"/>
      <c r="AW187" s="5398">
        <v>6.8275862068965516</v>
      </c>
      <c r="AX187" s="5396">
        <v>12.413793103448276</v>
      </c>
      <c r="AY187" s="5396">
        <v>11.896551724137931</v>
      </c>
      <c r="AZ187" s="5396">
        <v>10.275862068965518</v>
      </c>
      <c r="BA187" s="5396">
        <v>20.925925925925927</v>
      </c>
      <c r="BB187" s="5396">
        <v>13.703703703703704</v>
      </c>
      <c r="BC187" s="5419">
        <v>16.814814814814813</v>
      </c>
      <c r="BD187" s="5392">
        <v>12.333333333333334</v>
      </c>
      <c r="BE187" s="5392">
        <v>10.222222222222221</v>
      </c>
      <c r="BF187" s="5392">
        <v>9.2222222222222214</v>
      </c>
      <c r="BG187" s="5392">
        <v>9.0370370370370363</v>
      </c>
      <c r="BH187" s="5392">
        <v>8.5555555555555554</v>
      </c>
      <c r="BI187" s="5392">
        <f t="shared" si="292"/>
        <v>142.22860791826307</v>
      </c>
      <c r="BJ187" s="5393">
        <f t="shared" si="280"/>
        <v>11.852383993188589</v>
      </c>
      <c r="BL187" s="5398">
        <v>11.888888888888889</v>
      </c>
      <c r="BM187" s="5396">
        <v>7.4444444444444446</v>
      </c>
      <c r="BN187" s="5396"/>
      <c r="BO187" s="5396"/>
      <c r="BP187" s="5396"/>
      <c r="BQ187" s="5396"/>
      <c r="BR187" s="5419"/>
      <c r="BS187" s="5392"/>
      <c r="BT187" s="5392"/>
      <c r="BU187" s="5392"/>
      <c r="BV187" s="5392"/>
      <c r="BW187" s="5392"/>
      <c r="BX187" s="5392">
        <f t="shared" si="293"/>
        <v>19.333333333333336</v>
      </c>
      <c r="BY187" s="5272">
        <f t="shared" si="294"/>
        <v>9.6666666666666679</v>
      </c>
      <c r="CA187" s="169">
        <f t="shared" si="290"/>
        <v>-4.9693486590038312</v>
      </c>
      <c r="CB187" s="169">
        <f t="shared" si="288"/>
        <v>2.750981420665326</v>
      </c>
      <c r="CC187" s="169">
        <f>IFERROR(
  SUM(
    _xlfn.XLOOKUP(DATE(YEAR($A$1),1,1),$2:$2,187:187):
    _xlfn.XLOOKUP($A$1,$2:$2,187:187)
  )
 -SUM(
    _xlfn.XLOOKUP(DATE(YEAR($A$1)-1,1,1),$2:$2,187:187):
    _xlfn.XLOOKUP(EDATE($A$1,-12),$2:$2,187:187)
  ),"")</f>
        <v>9.1954022988510076E-2</v>
      </c>
      <c r="CD187" s="4517">
        <f t="shared" si="291"/>
        <v>-4.4444444444444446</v>
      </c>
    </row>
    <row r="188" spans="1:82" ht="17.600000000000001" x14ac:dyDescent="0.55000000000000004">
      <c r="A188" s="7382" t="s">
        <v>386</v>
      </c>
      <c r="B188" s="857" t="s">
        <v>543</v>
      </c>
      <c r="C188" s="858"/>
      <c r="D188" s="5341">
        <v>3.7872340425531914</v>
      </c>
      <c r="E188" s="5342">
        <v>2.8215010141987831</v>
      </c>
      <c r="F188" s="5342">
        <v>2.8944099378881987</v>
      </c>
      <c r="G188" s="5342">
        <v>2.8208032955715758</v>
      </c>
      <c r="H188" s="5342">
        <v>2.8142570281124497</v>
      </c>
      <c r="I188" s="5342">
        <v>2.9034552845528454</v>
      </c>
      <c r="J188" s="5342">
        <v>2.597194388777555</v>
      </c>
      <c r="K188" s="5342">
        <v>3.0874371859296481</v>
      </c>
      <c r="L188" s="5342">
        <v>2.4784784784784786</v>
      </c>
      <c r="M188" s="5342">
        <v>2.4281496062992125</v>
      </c>
      <c r="N188" s="5342">
        <v>2.6843629343629343</v>
      </c>
      <c r="O188" s="5342">
        <v>2.3720491029272899</v>
      </c>
      <c r="P188" s="5342">
        <f t="shared" si="282"/>
        <v>33.689332299652165</v>
      </c>
      <c r="Q188" s="5343">
        <f t="shared" si="283"/>
        <v>2.8074443583043469</v>
      </c>
      <c r="R188" s="2776"/>
      <c r="S188" s="5341">
        <v>2.9303000968054209</v>
      </c>
      <c r="T188" s="5342">
        <v>3.4218289085545721</v>
      </c>
      <c r="U188" s="5342">
        <v>3.134061569016882</v>
      </c>
      <c r="V188" s="5342">
        <v>3.2961116650049851</v>
      </c>
      <c r="W188" s="5342">
        <v>2.8588351431391907</v>
      </c>
      <c r="X188" s="5342">
        <v>2.9164179104477612</v>
      </c>
      <c r="Y188" s="5342">
        <v>2.4592668024439917</v>
      </c>
      <c r="Z188" s="5342">
        <v>3.659274193548387</v>
      </c>
      <c r="AA188" s="5342">
        <v>2.2601626016260163</v>
      </c>
      <c r="AB188" s="5342">
        <v>2.7411526794742165</v>
      </c>
      <c r="AC188" s="5342">
        <v>2.508</v>
      </c>
      <c r="AD188" s="5342">
        <v>2.0788423153692617</v>
      </c>
      <c r="AE188" s="5342">
        <f t="shared" si="284"/>
        <v>34.264253885430691</v>
      </c>
      <c r="AF188" s="5343">
        <f t="shared" si="285"/>
        <v>2.8553544904525574</v>
      </c>
      <c r="AG188" s="2776"/>
      <c r="AH188" s="5341">
        <v>3.4602713178294575</v>
      </c>
      <c r="AI188" s="5342">
        <v>2.6637931034482758</v>
      </c>
      <c r="AJ188" s="5342">
        <v>3.1297709923664123</v>
      </c>
      <c r="AK188" s="5342">
        <v>3.28544776119403</v>
      </c>
      <c r="AL188" s="5342">
        <v>3.2786434463794683</v>
      </c>
      <c r="AM188" s="5342">
        <v>2.8717472118959106</v>
      </c>
      <c r="AN188" s="5342">
        <v>3.6629834254143647</v>
      </c>
      <c r="AO188" s="5342">
        <v>2.8444444444444446</v>
      </c>
      <c r="AP188" s="5342">
        <v>2.9601087941976427</v>
      </c>
      <c r="AQ188" s="5342">
        <v>2.9212175470008952</v>
      </c>
      <c r="AR188" s="5342">
        <v>2.9027653880463871</v>
      </c>
      <c r="AS188" s="5342">
        <v>2.579505300353357</v>
      </c>
      <c r="AT188" s="5342">
        <f t="shared" si="289"/>
        <v>36.560698732570643</v>
      </c>
      <c r="AU188" s="5343">
        <f t="shared" si="279"/>
        <v>3.0467248943808869</v>
      </c>
      <c r="AV188" s="555"/>
      <c r="AW188" s="5400">
        <v>2.1887620719929761</v>
      </c>
      <c r="AX188" s="5342">
        <v>4.4037600716204119</v>
      </c>
      <c r="AY188" s="5342">
        <v>3.3467381590705987</v>
      </c>
      <c r="AZ188" s="5342">
        <v>3.9757194244604315</v>
      </c>
      <c r="BA188" s="5342">
        <v>6.8879781420765029</v>
      </c>
      <c r="BB188" s="5342">
        <v>3.7376599634369287</v>
      </c>
      <c r="BC188" s="5342">
        <v>5.2785977859778601</v>
      </c>
      <c r="BD188" s="5342">
        <v>3.5981308411214954</v>
      </c>
      <c r="BE188" s="5342">
        <v>3.7077497665732961</v>
      </c>
      <c r="BF188" s="5342">
        <v>2.6134215500945182</v>
      </c>
      <c r="BG188" s="5342">
        <v>2.6694995278564684</v>
      </c>
      <c r="BH188" s="5342">
        <v>2.4746543778801842</v>
      </c>
      <c r="BI188" s="5342">
        <f t="shared" si="292"/>
        <v>44.882671682161664</v>
      </c>
      <c r="BJ188" s="5343">
        <f t="shared" si="280"/>
        <v>3.7402226401801388</v>
      </c>
      <c r="BK188" s="2881"/>
      <c r="BL188" s="5400">
        <f>IFERROR('※ 영기팀 작성_가입자'!BL147/'※ 인력 세부데이터'!AW103,"")</f>
        <v>3.4900542495479203</v>
      </c>
      <c r="BM188" s="5342">
        <f>IFERROR('※ 영기팀 작성_가입자'!BM147/'※ 인력 세부데이터'!AX103,"")</f>
        <v>2.3426510369702434</v>
      </c>
      <c r="BN188" s="5342" t="str">
        <f>IFERROR('※ 영기팀 작성_가입자'!BN147/'※ 인력 세부데이터'!AY103,"")</f>
        <v/>
      </c>
      <c r="BO188" s="5342" t="str">
        <f>IFERROR('※ 영기팀 작성_가입자'!BO147/'※ 인력 세부데이터'!AZ103,"")</f>
        <v/>
      </c>
      <c r="BP188" s="5342" t="str">
        <f>IFERROR('※ 영기팀 작성_가입자'!BP147/'※ 인력 세부데이터'!BA103,"")</f>
        <v/>
      </c>
      <c r="BQ188" s="5342" t="str">
        <f>IFERROR('※ 영기팀 작성_가입자'!BQ147/'※ 인력 세부데이터'!BB103,"")</f>
        <v/>
      </c>
      <c r="BR188" s="5342" t="str">
        <f>IFERROR('※ 영기팀 작성_가입자'!BR147/'※ 인력 세부데이터'!BC103,"")</f>
        <v/>
      </c>
      <c r="BS188" s="5342" t="str">
        <f>IFERROR('※ 영기팀 작성_가입자'!BS147/'※ 인력 세부데이터'!BD103,"")</f>
        <v/>
      </c>
      <c r="BT188" s="5342" t="str">
        <f>IFERROR('※ 영기팀 작성_가입자'!BT147/'※ 인력 세부데이터'!BE103,"")</f>
        <v/>
      </c>
      <c r="BU188" s="5342" t="str">
        <f>IFERROR('※ 영기팀 작성_가입자'!BU147/'※ 인력 세부데이터'!BF103,"")</f>
        <v/>
      </c>
      <c r="BV188" s="5342" t="str">
        <f>IFERROR('※ 영기팀 작성_가입자'!BV147/'※ 인력 세부데이터'!BG103,"")</f>
        <v/>
      </c>
      <c r="BW188" s="5342" t="str">
        <f>IFERROR('※ 영기팀 작성_가입자'!BW147/'※ 인력 세부데이터'!BH103,"")</f>
        <v/>
      </c>
      <c r="BX188" s="5342">
        <f t="shared" si="293"/>
        <v>5.8327052865181637</v>
      </c>
      <c r="BY188" s="5238">
        <f t="shared" si="294"/>
        <v>2.9163526432590818</v>
      </c>
      <c r="CA188" s="169">
        <f t="shared" si="290"/>
        <v>-2.0611090346501686</v>
      </c>
      <c r="CB188" s="169">
        <f t="shared" si="288"/>
        <v>0.69349774579925194</v>
      </c>
      <c r="CC188" s="169">
        <f>IFERROR(
  SUM(
    _xlfn.XLOOKUP(DATE(YEAR($A$1),1,1),$2:$2,188:188):
    _xlfn.XLOOKUP($A$1,$2:$2,188:188)
  )
 -SUM(
    _xlfn.XLOOKUP(DATE(YEAR($A$1)-1,1,1),$2:$2,188:188):
    _xlfn.XLOOKUP(EDATE($A$1,-12),$2:$2,188:188)
  ),"")</f>
        <v>-0.75981685709522484</v>
      </c>
      <c r="CD188" s="4517">
        <f t="shared" si="291"/>
        <v>-1.147403212577677</v>
      </c>
    </row>
    <row r="189" spans="1:82" ht="17.600000000000001" x14ac:dyDescent="0.55000000000000004">
      <c r="A189" s="7383"/>
      <c r="B189" s="2034" t="s">
        <v>206</v>
      </c>
      <c r="C189" s="1900"/>
      <c r="D189" s="5347">
        <v>3.315151515151515</v>
      </c>
      <c r="E189" s="5348">
        <v>2.5476190476190474</v>
      </c>
      <c r="F189" s="5348">
        <v>2.5031055900621118</v>
      </c>
      <c r="G189" s="5348">
        <v>2.4596273291925468</v>
      </c>
      <c r="H189" s="5348">
        <v>2.5398773006134969</v>
      </c>
      <c r="I189" s="5348">
        <v>2.9433962264150941</v>
      </c>
      <c r="J189" s="5348">
        <v>2.6770186335403725</v>
      </c>
      <c r="K189" s="5348">
        <v>2.9440993788819876</v>
      </c>
      <c r="L189" s="5348">
        <v>2.4037267080745344</v>
      </c>
      <c r="M189" s="5348">
        <v>1.9207317073170731</v>
      </c>
      <c r="N189" s="5348">
        <v>2.3812500000000001</v>
      </c>
      <c r="O189" s="5348">
        <v>2.1349693251533743</v>
      </c>
      <c r="P189" s="5348">
        <f t="shared" si="282"/>
        <v>30.770572762021153</v>
      </c>
      <c r="Q189" s="5349">
        <f t="shared" si="283"/>
        <v>2.5642143968350961</v>
      </c>
      <c r="R189" s="2776"/>
      <c r="S189" s="5347">
        <v>2.6335403726708075</v>
      </c>
      <c r="T189" s="5348">
        <v>2.9570552147239262</v>
      </c>
      <c r="U189" s="5348">
        <v>2.8679245283018866</v>
      </c>
      <c r="V189" s="5348">
        <v>3.3717948717948718</v>
      </c>
      <c r="W189" s="5348">
        <v>2.6258064516129034</v>
      </c>
      <c r="X189" s="5348">
        <v>2.6193548387096772</v>
      </c>
      <c r="Y189" s="5348">
        <v>2.2838709677419353</v>
      </c>
      <c r="Z189" s="5348">
        <v>3.1592356687898091</v>
      </c>
      <c r="AA189" s="5348">
        <v>1.7828947368421053</v>
      </c>
      <c r="AB189" s="5348">
        <v>2.1446540880503147</v>
      </c>
      <c r="AC189" s="5348">
        <v>1.7639751552795031</v>
      </c>
      <c r="AD189" s="5348">
        <v>1.5426829268292683</v>
      </c>
      <c r="AE189" s="5348">
        <f t="shared" si="284"/>
        <v>29.752789821347012</v>
      </c>
      <c r="AF189" s="5349">
        <f t="shared" si="285"/>
        <v>2.4793991517789178</v>
      </c>
      <c r="AG189" s="2776"/>
      <c r="AH189" s="5420">
        <v>2.4706500420285797</v>
      </c>
      <c r="AI189" s="5421">
        <v>1.9215053763440859</v>
      </c>
      <c r="AJ189" s="5421">
        <v>2.03125</v>
      </c>
      <c r="AK189" s="5421">
        <v>2.5429553264604809</v>
      </c>
      <c r="AL189" s="5421">
        <v>2.3842592592592595</v>
      </c>
      <c r="AM189" s="5421">
        <v>2.30459615038676</v>
      </c>
      <c r="AN189" s="5421">
        <v>3.0957767722473606</v>
      </c>
      <c r="AO189" s="5421">
        <v>2.5598865711813898</v>
      </c>
      <c r="AP189" s="5421">
        <v>2.404725480197178</v>
      </c>
      <c r="AQ189" s="5421">
        <v>2.1349587912087911</v>
      </c>
      <c r="AR189" s="5421">
        <v>2.39481733220051</v>
      </c>
      <c r="AS189" s="5421">
        <v>2.1045454545454545</v>
      </c>
      <c r="AT189" s="5421">
        <f t="shared" si="289"/>
        <v>28.349926556059856</v>
      </c>
      <c r="AU189" s="5422">
        <f t="shared" si="279"/>
        <v>2.3624938796716548</v>
      </c>
      <c r="AV189" s="4093"/>
      <c r="AW189" s="5423">
        <v>1.771768140116764</v>
      </c>
      <c r="AX189" s="5421">
        <v>3.4622344944774852</v>
      </c>
      <c r="AY189" s="5421">
        <v>2.6642407906558851</v>
      </c>
      <c r="AZ189" s="5421">
        <v>3.3121128062875638</v>
      </c>
      <c r="BA189" s="5421">
        <v>6.4236708275543224</v>
      </c>
      <c r="BB189" s="5421">
        <v>3.0899001109877915</v>
      </c>
      <c r="BC189" s="5348">
        <v>4.3942307692307692</v>
      </c>
      <c r="BD189" s="5421">
        <v>2.7698039215686272</v>
      </c>
      <c r="BE189" s="5421">
        <v>2.8423065607531628</v>
      </c>
      <c r="BF189" s="5421">
        <v>1.8515594917212168</v>
      </c>
      <c r="BG189" s="5421">
        <v>2.2900432900432897</v>
      </c>
      <c r="BH189" s="5421">
        <v>2.0348438513576128</v>
      </c>
      <c r="BI189" s="5348">
        <f t="shared" si="292"/>
        <v>36.906715054754493</v>
      </c>
      <c r="BJ189" s="5349">
        <f t="shared" ref="BJ189:BJ203" si="295">AVERAGE(AW189:BH189)</f>
        <v>3.0755595878962079</v>
      </c>
      <c r="BK189" s="2881"/>
      <c r="BL189" s="5403">
        <f>IFERROR('※ 영기팀 작성_가입자'!BL148/'※ 인력 세부데이터'!AW104,"")</f>
        <v>5.6538461538461542</v>
      </c>
      <c r="BM189" s="5421">
        <f>IFERROR('※ 영기팀 작성_가입자'!BM148/'※ 인력 세부데이터'!AX104,"")</f>
        <v>6.7463414634146339</v>
      </c>
      <c r="BN189" s="5421" t="str">
        <f>IFERROR('※ 영기팀 작성_가입자'!BN148/'※ 인력 세부데이터'!AY104,"")</f>
        <v/>
      </c>
      <c r="BO189" s="5421" t="str">
        <f>IFERROR('※ 영기팀 작성_가입자'!BO148/'※ 인력 세부데이터'!AZ104,"")</f>
        <v/>
      </c>
      <c r="BP189" s="5421" t="str">
        <f>IFERROR('※ 영기팀 작성_가입자'!BP148/'※ 인력 세부데이터'!BA104,"")</f>
        <v/>
      </c>
      <c r="BQ189" s="5421" t="str">
        <f>IFERROR('※ 영기팀 작성_가입자'!BQ148/'※ 인력 세부데이터'!BB104,"")</f>
        <v/>
      </c>
      <c r="BR189" s="5348" t="str">
        <f>IFERROR('※ 영기팀 작성_가입자'!BR148/'※ 인력 세부데이터'!BC104,"")</f>
        <v/>
      </c>
      <c r="BS189" s="5421" t="str">
        <f>IFERROR('※ 영기팀 작성_가입자'!BS148/'※ 인력 세부데이터'!BD104,"")</f>
        <v/>
      </c>
      <c r="BT189" s="5421" t="str">
        <f>IFERROR('※ 영기팀 작성_가입자'!BT148/'※ 인력 세부데이터'!BE104,"")</f>
        <v/>
      </c>
      <c r="BU189" s="5421" t="str">
        <f>IFERROR('※ 영기팀 작성_가입자'!BU148/'※ 인력 세부데이터'!BF104,"")</f>
        <v/>
      </c>
      <c r="BV189" s="5421" t="str">
        <f>IFERROR('※ 영기팀 작성_가입자'!BV148/'※ 인력 세부데이터'!BG104,"")</f>
        <v/>
      </c>
      <c r="BW189" s="5421" t="str">
        <f>IFERROR('※ 영기팀 작성_가입자'!BW148/'※ 인력 세부데이터'!BH104,"")</f>
        <v/>
      </c>
      <c r="BX189" s="5348">
        <f t="shared" si="293"/>
        <v>12.400187617260787</v>
      </c>
      <c r="BY189" s="5244">
        <f t="shared" si="294"/>
        <v>6.2000938086303936</v>
      </c>
      <c r="CA189" s="169">
        <f t="shared" si="290"/>
        <v>3.2841069689371487</v>
      </c>
      <c r="CB189" s="169">
        <f t="shared" si="288"/>
        <v>0.71306570822455306</v>
      </c>
      <c r="CC189" s="169">
        <f>IFERROR(
  SUM(
    _xlfn.XLOOKUP(DATE(YEAR($A$1),1,1),$2:$2,189:189):
    _xlfn.XLOOKUP($A$1,$2:$2,189:189)
  )
 -SUM(
    _xlfn.XLOOKUP(DATE(YEAR($A$1)-1,1,1),$2:$2,189:189):
    _xlfn.XLOOKUP(EDATE($A$1,-12),$2:$2,189:189)
  ),"")</f>
        <v>7.1661849826665378</v>
      </c>
      <c r="CD189" s="4517">
        <f t="shared" si="291"/>
        <v>1.0924953095684797</v>
      </c>
    </row>
    <row r="190" spans="1:82" ht="17.600000000000001" x14ac:dyDescent="0.55000000000000004">
      <c r="A190" s="7383"/>
      <c r="B190" s="2041" t="s">
        <v>207</v>
      </c>
      <c r="C190" s="1576"/>
      <c r="D190" s="5354">
        <v>3.8160919540229883</v>
      </c>
      <c r="E190" s="5355">
        <v>2.5470588235294116</v>
      </c>
      <c r="F190" s="5355">
        <v>2.75</v>
      </c>
      <c r="G190" s="5355">
        <v>2.9202453987730062</v>
      </c>
      <c r="H190" s="5355">
        <v>2.6176470588235294</v>
      </c>
      <c r="I190" s="5355">
        <v>2.7041420118343193</v>
      </c>
      <c r="J190" s="5355">
        <v>2.5764705882352943</v>
      </c>
      <c r="K190" s="5355">
        <v>2.6081871345029239</v>
      </c>
      <c r="L190" s="5355">
        <v>2.7393939393939393</v>
      </c>
      <c r="M190" s="5355">
        <v>2.3508771929824563</v>
      </c>
      <c r="N190" s="5355">
        <v>2.2640449438202248</v>
      </c>
      <c r="O190" s="5355">
        <v>2.2762430939226519</v>
      </c>
      <c r="P190" s="5355">
        <f t="shared" si="282"/>
        <v>32.170402139840746</v>
      </c>
      <c r="Q190" s="5356">
        <f t="shared" si="283"/>
        <v>2.680866844986729</v>
      </c>
      <c r="R190" s="2776"/>
      <c r="S190" s="5354">
        <v>2.8770949720670389</v>
      </c>
      <c r="T190" s="5355">
        <v>3.4180790960451977</v>
      </c>
      <c r="U190" s="5355">
        <v>3.3333333333333335</v>
      </c>
      <c r="V190" s="5355">
        <v>3.3465909090909092</v>
      </c>
      <c r="W190" s="5355">
        <v>3.0571428571428569</v>
      </c>
      <c r="X190" s="5355">
        <v>2.9595375722543351</v>
      </c>
      <c r="Y190" s="5355">
        <v>2.4739884393063583</v>
      </c>
      <c r="Z190" s="5355">
        <v>3.6511627906976742</v>
      </c>
      <c r="AA190" s="5355">
        <v>2.128654970760234</v>
      </c>
      <c r="AB190" s="5355">
        <v>2.9367816091954024</v>
      </c>
      <c r="AC190" s="5355">
        <v>2.2988505747126435</v>
      </c>
      <c r="AD190" s="5355">
        <v>2.0914285714285716</v>
      </c>
      <c r="AE190" s="5355">
        <f t="shared" si="284"/>
        <v>34.572645696034556</v>
      </c>
      <c r="AF190" s="5356">
        <f t="shared" si="285"/>
        <v>2.8810538080028798</v>
      </c>
      <c r="AG190" s="2776"/>
      <c r="AH190" s="5424">
        <v>3.6535654845730381</v>
      </c>
      <c r="AI190" s="5425">
        <v>2.5999876022811801</v>
      </c>
      <c r="AJ190" s="5425">
        <v>2.9981538069773364</v>
      </c>
      <c r="AK190" s="5425">
        <v>3.1488848704038581</v>
      </c>
      <c r="AL190" s="5425">
        <v>3.2170454545454543</v>
      </c>
      <c r="AM190" s="5425">
        <v>2.7567551119766311</v>
      </c>
      <c r="AN190" s="5425">
        <v>3.781930333817126</v>
      </c>
      <c r="AO190" s="5425">
        <v>2.7676282051282053</v>
      </c>
      <c r="AP190" s="5425">
        <v>2.654127358490566</v>
      </c>
      <c r="AQ190" s="5425">
        <v>2.7101265822784812</v>
      </c>
      <c r="AR190" s="5425">
        <v>3.1363095238095235</v>
      </c>
      <c r="AS190" s="5425">
        <v>2.7620416966211359</v>
      </c>
      <c r="AT190" s="5425">
        <f t="shared" si="289"/>
        <v>36.186556030902537</v>
      </c>
      <c r="AU190" s="5426">
        <f t="shared" si="279"/>
        <v>3.0155463359085446</v>
      </c>
      <c r="AV190" s="4093"/>
      <c r="AW190" s="5427">
        <v>2.757798276489865</v>
      </c>
      <c r="AX190" s="5425">
        <v>5.1253459119496849</v>
      </c>
      <c r="AY190" s="5425">
        <v>3.6652567615870368</v>
      </c>
      <c r="AZ190" s="5425">
        <v>4.048139360639361</v>
      </c>
      <c r="BA190" s="5425">
        <v>8.0531425651507398</v>
      </c>
      <c r="BB190" s="5425">
        <v>3.6998705501618123</v>
      </c>
      <c r="BC190" s="5355">
        <v>5.1976744186046515</v>
      </c>
      <c r="BD190" s="5425">
        <v>3.7229126213592236</v>
      </c>
      <c r="BE190" s="5425">
        <v>4.3420711974110038</v>
      </c>
      <c r="BF190" s="5425">
        <v>2.7071153846153848</v>
      </c>
      <c r="BG190" s="5425">
        <v>2.510691823899371</v>
      </c>
      <c r="BH190" s="5425">
        <v>2.7304284500546183</v>
      </c>
      <c r="BI190" s="5355">
        <f t="shared" si="292"/>
        <v>48.560447321922744</v>
      </c>
      <c r="BJ190" s="5356">
        <f t="shared" si="295"/>
        <v>4.0467039434935623</v>
      </c>
      <c r="BK190" s="2881"/>
      <c r="BL190" s="5406">
        <f>IFERROR('※ 영기팀 작성_가입자'!BL149/'※ 인력 세부데이터'!AW105,"")</f>
        <v>21.797814207650273</v>
      </c>
      <c r="BM190" s="5425">
        <f>IFERROR('※ 영기팀 작성_가입자'!BM149/'※ 인력 세부데이터'!AX105,"")</f>
        <v>15.225806451612904</v>
      </c>
      <c r="BN190" s="5425" t="str">
        <f>IFERROR('※ 영기팀 작성_가입자'!BN149/'※ 인력 세부데이터'!AY105,"")</f>
        <v/>
      </c>
      <c r="BO190" s="5425" t="str">
        <f>IFERROR('※ 영기팀 작성_가입자'!BO149/'※ 인력 세부데이터'!AZ105,"")</f>
        <v/>
      </c>
      <c r="BP190" s="5425" t="str">
        <f>IFERROR('※ 영기팀 작성_가입자'!BP149/'※ 인력 세부데이터'!BA105,"")</f>
        <v/>
      </c>
      <c r="BQ190" s="5425" t="str">
        <f>IFERROR('※ 영기팀 작성_가입자'!BQ149/'※ 인력 세부데이터'!BB105,"")</f>
        <v/>
      </c>
      <c r="BR190" s="5355" t="str">
        <f>IFERROR('※ 영기팀 작성_가입자'!BR149/'※ 인력 세부데이터'!BC105,"")</f>
        <v/>
      </c>
      <c r="BS190" s="5425" t="str">
        <f>IFERROR('※ 영기팀 작성_가입자'!BS149/'※ 인력 세부데이터'!BD105,"")</f>
        <v/>
      </c>
      <c r="BT190" s="5425" t="str">
        <f>IFERROR('※ 영기팀 작성_가입자'!BT149/'※ 인력 세부데이터'!BE105,"")</f>
        <v/>
      </c>
      <c r="BU190" s="5425" t="str">
        <f>IFERROR('※ 영기팀 작성_가입자'!BU149/'※ 인력 세부데이터'!BF105,"")</f>
        <v/>
      </c>
      <c r="BV190" s="5425" t="str">
        <f>IFERROR('※ 영기팀 작성_가입자'!BV149/'※ 인력 세부데이터'!BG105,"")</f>
        <v/>
      </c>
      <c r="BW190" s="5425" t="str">
        <f>IFERROR('※ 영기팀 작성_가입자'!BW149/'※ 인력 세부데이터'!BH105,"")</f>
        <v/>
      </c>
      <c r="BX190" s="5355">
        <f t="shared" si="293"/>
        <v>37.023620659263173</v>
      </c>
      <c r="BY190" s="5247">
        <f t="shared" si="294"/>
        <v>18.511810329631587</v>
      </c>
      <c r="CA190" s="169">
        <f t="shared" si="290"/>
        <v>10.100460539663219</v>
      </c>
      <c r="CB190" s="169">
        <f t="shared" si="288"/>
        <v>1.0311576075850177</v>
      </c>
      <c r="CC190" s="169">
        <f>IFERROR(
  SUM(
    _xlfn.XLOOKUP(DATE(YEAR($A$1),1,1),$2:$2,190:190):
    _xlfn.XLOOKUP($A$1,$2:$2,190:190)
  )
 -SUM(
    _xlfn.XLOOKUP(DATE(YEAR($A$1)-1,1,1),$2:$2,190:190):
    _xlfn.XLOOKUP(EDATE($A$1,-12),$2:$2,190:190)
  ),"")</f>
        <v>29.140476470823621</v>
      </c>
      <c r="CD190" s="4517">
        <f t="shared" si="291"/>
        <v>-6.5720077560373689</v>
      </c>
    </row>
    <row r="191" spans="1:82" ht="17.600000000000001" x14ac:dyDescent="0.55000000000000004">
      <c r="A191" s="7383"/>
      <c r="B191" s="2041" t="s">
        <v>208</v>
      </c>
      <c r="C191" s="1576"/>
      <c r="D191" s="5354">
        <v>3.9460784313725492</v>
      </c>
      <c r="E191" s="5355">
        <v>2.8067632850241546</v>
      </c>
      <c r="F191" s="5355">
        <v>3.0566037735849059</v>
      </c>
      <c r="G191" s="5355">
        <v>3.0285714285714285</v>
      </c>
      <c r="H191" s="5355">
        <v>2.9230769230769229</v>
      </c>
      <c r="I191" s="5355">
        <v>2.8212560386473431</v>
      </c>
      <c r="J191" s="5355">
        <v>2.6238095238095238</v>
      </c>
      <c r="K191" s="5355">
        <v>3.2056074766355138</v>
      </c>
      <c r="L191" s="5355">
        <v>2.7844036697247705</v>
      </c>
      <c r="M191" s="5355">
        <v>2.6784140969162995</v>
      </c>
      <c r="N191" s="5355">
        <v>3.0917030567685591</v>
      </c>
      <c r="O191" s="5355">
        <v>2.6293103448275863</v>
      </c>
      <c r="P191" s="5355">
        <f t="shared" si="282"/>
        <v>35.595598048959559</v>
      </c>
      <c r="Q191" s="5356">
        <f t="shared" si="283"/>
        <v>2.9662998374132967</v>
      </c>
      <c r="R191" s="2776"/>
      <c r="S191" s="5354">
        <v>3.188340807174888</v>
      </c>
      <c r="T191" s="5355">
        <v>3.3045454545454547</v>
      </c>
      <c r="U191" s="5355">
        <v>3.2008928571428572</v>
      </c>
      <c r="V191" s="5355">
        <v>3.3603603603603602</v>
      </c>
      <c r="W191" s="5355">
        <v>3</v>
      </c>
      <c r="X191" s="5355">
        <v>2.9862385321100917</v>
      </c>
      <c r="Y191" s="5355">
        <v>2.4976525821596245</v>
      </c>
      <c r="Z191" s="5355">
        <v>4.164319248826291</v>
      </c>
      <c r="AA191" s="5355">
        <v>2.4541284403669725</v>
      </c>
      <c r="AB191" s="5355">
        <v>2.8935185185185186</v>
      </c>
      <c r="AC191" s="5355">
        <v>3.1520737327188941</v>
      </c>
      <c r="AD191" s="5355">
        <v>2.1566820276497696</v>
      </c>
      <c r="AE191" s="5355">
        <f t="shared" si="284"/>
        <v>36.358752561573723</v>
      </c>
      <c r="AF191" s="5356">
        <f t="shared" si="285"/>
        <v>3.0298960467978104</v>
      </c>
      <c r="AG191" s="2776"/>
      <c r="AH191" s="5424">
        <v>3.9645936981757877</v>
      </c>
      <c r="AI191" s="5425">
        <v>3.2162716312638402</v>
      </c>
      <c r="AJ191" s="5425">
        <v>3.353405315614618</v>
      </c>
      <c r="AK191" s="5425">
        <v>3.5013700838168922</v>
      </c>
      <c r="AL191" s="5425">
        <v>3.7546449378050699</v>
      </c>
      <c r="AM191" s="5425">
        <v>2.7424242424242422</v>
      </c>
      <c r="AN191" s="5425">
        <v>3.6875624375624376</v>
      </c>
      <c r="AO191" s="5425">
        <v>3.0222222222222221</v>
      </c>
      <c r="AP191" s="5425">
        <v>3.4849153789551135</v>
      </c>
      <c r="AQ191" s="5425">
        <v>3.4028966894977168</v>
      </c>
      <c r="AR191" s="5425">
        <v>3.1577984234234235</v>
      </c>
      <c r="AS191" s="5425">
        <v>3.0304974765681325</v>
      </c>
      <c r="AT191" s="5425">
        <f t="shared" si="289"/>
        <v>40.31860253732949</v>
      </c>
      <c r="AU191" s="5426">
        <f t="shared" si="279"/>
        <v>3.3598835447774573</v>
      </c>
      <c r="AV191" s="4093"/>
      <c r="AW191" s="5427">
        <v>2.3991362496517135</v>
      </c>
      <c r="AX191" s="5425">
        <v>4.8538812785388128</v>
      </c>
      <c r="AY191" s="5425">
        <v>3.5104566794707637</v>
      </c>
      <c r="AZ191" s="5425">
        <v>4.2756172399029539</v>
      </c>
      <c r="BA191" s="5425">
        <v>7.2504255319148943</v>
      </c>
      <c r="BB191" s="5425">
        <v>4.2233063328424159</v>
      </c>
      <c r="BC191" s="5355">
        <v>5.7711864406779663</v>
      </c>
      <c r="BD191" s="5425">
        <v>4.1488537027873988</v>
      </c>
      <c r="BE191" s="5425">
        <v>4.3735896196002582</v>
      </c>
      <c r="BF191" s="5425">
        <v>2.9417736387280815</v>
      </c>
      <c r="BG191" s="5425">
        <v>3.2703735508802061</v>
      </c>
      <c r="BH191" s="5425">
        <v>3.0271978021978021</v>
      </c>
      <c r="BI191" s="5355">
        <f>SUM(AW191:BH191)</f>
        <v>50.045798067193275</v>
      </c>
      <c r="BJ191" s="5356">
        <f t="shared" si="295"/>
        <v>4.1704831722661062</v>
      </c>
      <c r="BK191" s="2881"/>
      <c r="BL191" s="5406">
        <f>IFERROR('※ 영기팀 작성_가입자'!BL150/'※ 인력 세부데이터'!AW106,"")</f>
        <v>1.0548523206751055</v>
      </c>
      <c r="BM191" s="5425">
        <f>IFERROR('※ 영기팀 작성_가입자'!BM150/'※ 인력 세부데이터'!AX106,"")</f>
        <v>0.98305084745762716</v>
      </c>
      <c r="BN191" s="5425" t="str">
        <f>IFERROR('※ 영기팀 작성_가입자'!BN150/'※ 인력 세부데이터'!AY106,"")</f>
        <v/>
      </c>
      <c r="BO191" s="5425" t="str">
        <f>IFERROR('※ 영기팀 작성_가입자'!BO150/'※ 인력 세부데이터'!AZ106,"")</f>
        <v/>
      </c>
      <c r="BP191" s="5425" t="str">
        <f>IFERROR('※ 영기팀 작성_가입자'!BP150/'※ 인력 세부데이터'!BA106,"")</f>
        <v/>
      </c>
      <c r="BQ191" s="5425" t="str">
        <f>IFERROR('※ 영기팀 작성_가입자'!BQ150/'※ 인력 세부데이터'!BB106,"")</f>
        <v/>
      </c>
      <c r="BR191" s="5355" t="str">
        <f>IFERROR('※ 영기팀 작성_가입자'!BR150/'※ 인력 세부데이터'!BC106,"")</f>
        <v/>
      </c>
      <c r="BS191" s="5425" t="str">
        <f>IFERROR('※ 영기팀 작성_가입자'!BS150/'※ 인력 세부데이터'!BD106,"")</f>
        <v/>
      </c>
      <c r="BT191" s="5425" t="str">
        <f>IFERROR('※ 영기팀 작성_가입자'!BT150/'※ 인력 세부데이터'!BE106,"")</f>
        <v/>
      </c>
      <c r="BU191" s="5425" t="str">
        <f>IFERROR('※ 영기팀 작성_가입자'!BU150/'※ 인력 세부데이터'!BF106,"")</f>
        <v/>
      </c>
      <c r="BV191" s="5425" t="str">
        <f>IFERROR('※ 영기팀 작성_가입자'!BV150/'※ 인력 세부데이터'!BG106,"")</f>
        <v/>
      </c>
      <c r="BW191" s="5425" t="str">
        <f>IFERROR('※ 영기팀 작성_가입자'!BW150/'※ 인력 세부데이터'!BH106,"")</f>
        <v/>
      </c>
      <c r="BX191" s="5355">
        <f>SUM(BL191:BW191)</f>
        <v>2.0379031681327326</v>
      </c>
      <c r="BY191" s="5247">
        <f t="shared" si="294"/>
        <v>1.0189515840663663</v>
      </c>
      <c r="CA191" s="169">
        <f t="shared" si="290"/>
        <v>-3.8708304310811856</v>
      </c>
      <c r="CB191" s="169">
        <f t="shared" si="288"/>
        <v>0.81059962748864889</v>
      </c>
      <c r="CC191" s="169">
        <f>IFERROR(
  SUM(
    _xlfn.XLOOKUP(DATE(YEAR($A$1),1,1),$2:$2,191:191):
    _xlfn.XLOOKUP($A$1,$2:$2,191:191)
  )
 -SUM(
    _xlfn.XLOOKUP(DATE(YEAR($A$1)-1,1,1),$2:$2,191:191):
    _xlfn.XLOOKUP(EDATE($A$1,-12),$2:$2,191:191)
  ),"")</f>
        <v>-5.2151143600577932</v>
      </c>
      <c r="CD191" s="4517">
        <f t="shared" si="291"/>
        <v>-7.1801473217478318E-2</v>
      </c>
    </row>
    <row r="192" spans="1:82" ht="17.600000000000001" x14ac:dyDescent="0.55000000000000004">
      <c r="A192" s="7383"/>
      <c r="B192" s="2041" t="s">
        <v>209</v>
      </c>
      <c r="C192" s="1576"/>
      <c r="D192" s="5354">
        <v>4.1244813278008294</v>
      </c>
      <c r="E192" s="5355">
        <v>3.3278688524590163</v>
      </c>
      <c r="F192" s="5355">
        <v>3.3405172413793105</v>
      </c>
      <c r="G192" s="5355">
        <v>3.1386554621848739</v>
      </c>
      <c r="H192" s="5355">
        <v>3.2226720647773281</v>
      </c>
      <c r="I192" s="5355">
        <v>3.3359683794466402</v>
      </c>
      <c r="J192" s="5355">
        <v>2.5627376425855513</v>
      </c>
      <c r="K192" s="5355">
        <v>3.4202334630350193</v>
      </c>
      <c r="L192" s="5355">
        <v>2.3409961685823757</v>
      </c>
      <c r="M192" s="5355">
        <v>2.6468253968253967</v>
      </c>
      <c r="N192" s="5355">
        <v>2.9302325581395348</v>
      </c>
      <c r="O192" s="5355">
        <v>2.718146718146718</v>
      </c>
      <c r="P192" s="5355">
        <f t="shared" si="282"/>
        <v>37.109335275362596</v>
      </c>
      <c r="Q192" s="5356">
        <f t="shared" si="283"/>
        <v>3.0924446062802162</v>
      </c>
      <c r="R192" s="2776"/>
      <c r="S192" s="5354">
        <v>3.26953125</v>
      </c>
      <c r="T192" s="5355">
        <v>4.271653543307087</v>
      </c>
      <c r="U192" s="5355">
        <v>3.6031746031746033</v>
      </c>
      <c r="V192" s="5355">
        <v>3.564516129032258</v>
      </c>
      <c r="W192" s="5355">
        <v>3.2806324110671938</v>
      </c>
      <c r="X192" s="5355">
        <v>3.4703557312252964</v>
      </c>
      <c r="Y192" s="5355">
        <v>2.6408163265306124</v>
      </c>
      <c r="Z192" s="5355">
        <v>4.0658436213991767</v>
      </c>
      <c r="AA192" s="5355">
        <v>2.5798319327731094</v>
      </c>
      <c r="AB192" s="5355">
        <v>2.9957983193277311</v>
      </c>
      <c r="AC192" s="5355">
        <v>2.9458333333333333</v>
      </c>
      <c r="AD192" s="5355">
        <v>2.518828451882845</v>
      </c>
      <c r="AE192" s="5355">
        <f t="shared" si="284"/>
        <v>39.206815653053248</v>
      </c>
      <c r="AF192" s="5356">
        <f t="shared" si="285"/>
        <v>3.2672346377544375</v>
      </c>
      <c r="AG192" s="2776"/>
      <c r="AH192" s="5424">
        <v>4.1576666666666666</v>
      </c>
      <c r="AI192" s="5425">
        <v>3.2848118279569891</v>
      </c>
      <c r="AJ192" s="5425">
        <v>3.9586776859504136</v>
      </c>
      <c r="AK192" s="5425">
        <v>4.1391071670505353</v>
      </c>
      <c r="AL192" s="5425">
        <v>3.9611100441713081</v>
      </c>
      <c r="AM192" s="5425">
        <v>3.6417011019283745</v>
      </c>
      <c r="AN192" s="5425">
        <v>4.7463054187192117</v>
      </c>
      <c r="AO192" s="5425">
        <v>3.3667608286252353</v>
      </c>
      <c r="AP192" s="5425">
        <v>3.5466101694915255</v>
      </c>
      <c r="AQ192" s="5425">
        <v>3.9174908548977108</v>
      </c>
      <c r="AR192" s="5425">
        <v>3.391792489353465</v>
      </c>
      <c r="AS192" s="5425">
        <v>2.9668898809523809</v>
      </c>
      <c r="AT192" s="5425">
        <f t="shared" si="289"/>
        <v>45.078924135763813</v>
      </c>
      <c r="AU192" s="5426">
        <f t="shared" si="279"/>
        <v>3.756577011313651</v>
      </c>
      <c r="AV192" s="4093"/>
      <c r="AW192" s="5427">
        <v>2.2860696517412933</v>
      </c>
      <c r="AX192" s="5425">
        <v>4.8891290322580652</v>
      </c>
      <c r="AY192" s="5425">
        <v>3.81504132231405</v>
      </c>
      <c r="AZ192" s="5425">
        <v>5.2863669959013642</v>
      </c>
      <c r="BA192" s="5425">
        <v>7.5213797814207641</v>
      </c>
      <c r="BB192" s="5425">
        <v>4.5964067796610166</v>
      </c>
      <c r="BC192" s="5355">
        <v>6.5732217573221758</v>
      </c>
      <c r="BD192" s="5425">
        <v>4.3844793435200904</v>
      </c>
      <c r="BE192" s="5425">
        <v>4.3049270990447459</v>
      </c>
      <c r="BF192" s="5425">
        <v>3.3540404040404042</v>
      </c>
      <c r="BG192" s="5425">
        <v>3.0448698547215498</v>
      </c>
      <c r="BH192" s="5425">
        <v>2.5477116466421279</v>
      </c>
      <c r="BI192" s="5355">
        <f t="shared" si="292"/>
        <v>52.603643668587644</v>
      </c>
      <c r="BJ192" s="5356">
        <f t="shared" si="295"/>
        <v>4.3836369723823037</v>
      </c>
      <c r="BK192" s="2881"/>
      <c r="BL192" s="5406">
        <f>IFERROR('※ 영기팀 작성_가입자'!BL151/'※ 인력 세부데이터'!AW107,"")</f>
        <v>0.104</v>
      </c>
      <c r="BM192" s="5425">
        <f>IFERROR('※ 영기팀 작성_가입자'!BM151/'※ 인력 세부데이터'!AX107,"")</f>
        <v>0.22619047619047619</v>
      </c>
      <c r="BN192" s="5425" t="str">
        <f>IFERROR('※ 영기팀 작성_가입자'!BN151/'※ 인력 세부데이터'!AY107,"")</f>
        <v/>
      </c>
      <c r="BO192" s="5425" t="str">
        <f>IFERROR('※ 영기팀 작성_가입자'!BO151/'※ 인력 세부데이터'!AZ107,"")</f>
        <v/>
      </c>
      <c r="BP192" s="5425" t="str">
        <f>IFERROR('※ 영기팀 작성_가입자'!BP151/'※ 인력 세부데이터'!BA107,"")</f>
        <v/>
      </c>
      <c r="BQ192" s="5425" t="str">
        <f>IFERROR('※ 영기팀 작성_가입자'!BQ151/'※ 인력 세부데이터'!BB107,"")</f>
        <v/>
      </c>
      <c r="BR192" s="5355" t="str">
        <f>IFERROR('※ 영기팀 작성_가입자'!BR151/'※ 인력 세부데이터'!BC107,"")</f>
        <v/>
      </c>
      <c r="BS192" s="5425" t="str">
        <f>IFERROR('※ 영기팀 작성_가입자'!BS151/'※ 인력 세부데이터'!BD107,"")</f>
        <v/>
      </c>
      <c r="BT192" s="5425" t="str">
        <f>IFERROR('※ 영기팀 작성_가입자'!BT151/'※ 인력 세부데이터'!BE107,"")</f>
        <v/>
      </c>
      <c r="BU192" s="5425" t="str">
        <f>IFERROR('※ 영기팀 작성_가입자'!BU151/'※ 인력 세부데이터'!BF107,"")</f>
        <v/>
      </c>
      <c r="BV192" s="5425" t="str">
        <f>IFERROR('※ 영기팀 작성_가입자'!BV151/'※ 인력 세부데이터'!BG107,"")</f>
        <v/>
      </c>
      <c r="BW192" s="5425" t="str">
        <f>IFERROR('※ 영기팀 작성_가입자'!BW151/'※ 인력 세부데이터'!BH107,"")</f>
        <v/>
      </c>
      <c r="BX192" s="5355">
        <f t="shared" ref="BX192:BX203" si="296">SUM(BL192:BW192)</f>
        <v>0.3301904761904762</v>
      </c>
      <c r="BY192" s="5247">
        <f t="shared" si="294"/>
        <v>0.1650952380952381</v>
      </c>
      <c r="CA192" s="169">
        <f t="shared" si="290"/>
        <v>-4.6629385560675889</v>
      </c>
      <c r="CB192" s="169">
        <f t="shared" si="288"/>
        <v>0.62705996106865269</v>
      </c>
      <c r="CC192" s="169">
        <f>IFERROR(
  SUM(
    _xlfn.XLOOKUP(DATE(YEAR($A$1),1,1),$2:$2,192:192):
    _xlfn.XLOOKUP($A$1,$2:$2,192:192)
  )
 -SUM(
    _xlfn.XLOOKUP(DATE(YEAR($A$1)-1,1,1),$2:$2,192:192):
    _xlfn.XLOOKUP(EDATE($A$1,-12),$2:$2,192:192)
  ),"")</f>
        <v>-6.8450082078088821</v>
      </c>
      <c r="CD192" s="4517">
        <f t="shared" si="291"/>
        <v>0.1221904761904762</v>
      </c>
    </row>
    <row r="193" spans="1:84" ht="17.600000000000001" x14ac:dyDescent="0.55000000000000004">
      <c r="A193" s="7383"/>
      <c r="B193" s="2048" t="s">
        <v>210</v>
      </c>
      <c r="C193" s="1929"/>
      <c r="D193" s="5361">
        <v>3.5862068965517242</v>
      </c>
      <c r="E193" s="5362">
        <v>2.6802030456852792</v>
      </c>
      <c r="F193" s="5362">
        <v>2.6345177664974617</v>
      </c>
      <c r="G193" s="5362">
        <v>2.4321608040201004</v>
      </c>
      <c r="H193" s="5362">
        <v>2.5961538461538463</v>
      </c>
      <c r="I193" s="5362">
        <v>2.5714285714285716</v>
      </c>
      <c r="J193" s="5362">
        <v>2.5670103092783507</v>
      </c>
      <c r="K193" s="5362">
        <v>3.0572916666666665</v>
      </c>
      <c r="L193" s="5362">
        <v>2.1597938144329896</v>
      </c>
      <c r="M193" s="5362">
        <v>2.3514851485148514</v>
      </c>
      <c r="N193" s="5362">
        <v>2.5260663507109005</v>
      </c>
      <c r="O193" s="5362">
        <v>1.9553571428571428</v>
      </c>
      <c r="P193" s="5362">
        <f t="shared" si="282"/>
        <v>31.117675362797886</v>
      </c>
      <c r="Q193" s="5363">
        <f t="shared" si="283"/>
        <v>2.5931396135664904</v>
      </c>
      <c r="R193" s="2776"/>
      <c r="S193" s="5361">
        <v>2.5233644859813085</v>
      </c>
      <c r="T193" s="5362">
        <v>2.8620689655172415</v>
      </c>
      <c r="U193" s="5362">
        <v>2.5</v>
      </c>
      <c r="V193" s="5362">
        <v>2.7910447761194028</v>
      </c>
      <c r="W193" s="5362">
        <v>2.2057416267942584</v>
      </c>
      <c r="X193" s="5362">
        <v>2.349514563106796</v>
      </c>
      <c r="Y193" s="5362">
        <v>2.3163265306122449</v>
      </c>
      <c r="Z193" s="5362">
        <v>3.0483091787439616</v>
      </c>
      <c r="AA193" s="5362">
        <v>2.1463414634146343</v>
      </c>
      <c r="AB193" s="5362">
        <v>2.5792079207920793</v>
      </c>
      <c r="AC193" s="5362">
        <v>2.0817307692307692</v>
      </c>
      <c r="AD193" s="5362">
        <v>1.9033816425120773</v>
      </c>
      <c r="AE193" s="5362">
        <f t="shared" si="284"/>
        <v>29.307031922824777</v>
      </c>
      <c r="AF193" s="5363">
        <f t="shared" si="285"/>
        <v>2.4422526602353982</v>
      </c>
      <c r="AG193" s="2776"/>
      <c r="AH193" s="5428">
        <v>2.9392523364485981</v>
      </c>
      <c r="AI193" s="5429">
        <v>2.130328247803976</v>
      </c>
      <c r="AJ193" s="5429">
        <v>3.1788003663003659</v>
      </c>
      <c r="AK193" s="5429">
        <v>3.0321261682242993</v>
      </c>
      <c r="AL193" s="5429">
        <v>2.9660826594788858</v>
      </c>
      <c r="AM193" s="5429">
        <v>2.7864926739926741</v>
      </c>
      <c r="AN193" s="5429">
        <v>3.0267857142857144</v>
      </c>
      <c r="AO193" s="5429">
        <v>2.4174757281553401</v>
      </c>
      <c r="AP193" s="5429">
        <v>2.6460683209796967</v>
      </c>
      <c r="AQ193" s="5429">
        <v>2.2845782237086585</v>
      </c>
      <c r="AR193" s="5429">
        <v>2.4184097140618883</v>
      </c>
      <c r="AS193" s="5429">
        <v>1.9962087421944692</v>
      </c>
      <c r="AT193" s="5429">
        <f t="shared" si="289"/>
        <v>31.822608895634566</v>
      </c>
      <c r="AU193" s="5430">
        <f t="shared" si="279"/>
        <v>2.651884074636214</v>
      </c>
      <c r="AV193" s="4093"/>
      <c r="AW193" s="5431">
        <v>1.8112903225806452</v>
      </c>
      <c r="AX193" s="5429">
        <v>3.8026366509906717</v>
      </c>
      <c r="AY193" s="5429">
        <v>3.0750000000000002</v>
      </c>
      <c r="AZ193" s="5429">
        <v>2.8850830682219866</v>
      </c>
      <c r="BA193" s="5429">
        <v>5.3057288057288057</v>
      </c>
      <c r="BB193" s="5429">
        <v>2.9869029275808936</v>
      </c>
      <c r="BC193" s="5362">
        <v>4.283842794759825</v>
      </c>
      <c r="BD193" s="5429">
        <v>3.0016608668142992</v>
      </c>
      <c r="BE193" s="5429">
        <v>2.763166144200627</v>
      </c>
      <c r="BF193" s="5429">
        <v>2.2056924180817985</v>
      </c>
      <c r="BG193" s="5429">
        <v>2.1846846846846848</v>
      </c>
      <c r="BH193" s="5429">
        <v>2.0358853616952182</v>
      </c>
      <c r="BI193" s="5362">
        <f t="shared" si="292"/>
        <v>36.341574045339456</v>
      </c>
      <c r="BJ193" s="5363">
        <f t="shared" si="295"/>
        <v>3.028464503778288</v>
      </c>
      <c r="BK193" s="2881"/>
      <c r="BL193" s="5409">
        <f>IFERROR('※ 영기팀 작성_가입자'!BL152/'※ 인력 세부데이터'!AW108,"")</f>
        <v>2.5219298245614037</v>
      </c>
      <c r="BM193" s="5429">
        <f>IFERROR('※ 영기팀 작성_가입자'!BM152/'※ 인력 세부데이터'!AX108,"")</f>
        <v>1.7391304347826086</v>
      </c>
      <c r="BN193" s="5429" t="str">
        <f>IFERROR('※ 영기팀 작성_가입자'!BN152/'※ 인력 세부데이터'!AY108,"")</f>
        <v/>
      </c>
      <c r="BO193" s="5429" t="str">
        <f>IFERROR('※ 영기팀 작성_가입자'!BO152/'※ 인력 세부데이터'!AZ108,"")</f>
        <v/>
      </c>
      <c r="BP193" s="5429" t="str">
        <f>IFERROR('※ 영기팀 작성_가입자'!BP152/'※ 인력 세부데이터'!BA108,"")</f>
        <v/>
      </c>
      <c r="BQ193" s="5429" t="str">
        <f>IFERROR('※ 영기팀 작성_가입자'!BQ152/'※ 인력 세부데이터'!BB108,"")</f>
        <v/>
      </c>
      <c r="BR193" s="5362" t="str">
        <f>IFERROR('※ 영기팀 작성_가입자'!BR152/'※ 인력 세부데이터'!BC108,"")</f>
        <v/>
      </c>
      <c r="BS193" s="5429" t="str">
        <f>IFERROR('※ 영기팀 작성_가입자'!BS152/'※ 인력 세부데이터'!BD108,"")</f>
        <v/>
      </c>
      <c r="BT193" s="5429" t="str">
        <f>IFERROR('※ 영기팀 작성_가입자'!BT152/'※ 인력 세부데이터'!BE108,"")</f>
        <v/>
      </c>
      <c r="BU193" s="5429" t="str">
        <f>IFERROR('※ 영기팀 작성_가입자'!BU152/'※ 인력 세부데이터'!BF108,"")</f>
        <v/>
      </c>
      <c r="BV193" s="5429" t="str">
        <f>IFERROR('※ 영기팀 작성_가입자'!BV152/'※ 인력 세부데이터'!BG108,"")</f>
        <v/>
      </c>
      <c r="BW193" s="5429" t="str">
        <f>IFERROR('※ 영기팀 작성_가입자'!BW152/'※ 인력 세부데이터'!BH108,"")</f>
        <v/>
      </c>
      <c r="BX193" s="5362">
        <f t="shared" si="296"/>
        <v>4.2610602593440126</v>
      </c>
      <c r="BY193" s="5251">
        <f t="shared" si="294"/>
        <v>2.1305301296720063</v>
      </c>
      <c r="CA193" s="169">
        <f t="shared" si="290"/>
        <v>-2.0635062162080633</v>
      </c>
      <c r="CB193" s="169">
        <f t="shared" si="288"/>
        <v>0.37658042914207401</v>
      </c>
      <c r="CC193" s="169">
        <f>IFERROR(
  SUM(
    _xlfn.XLOOKUP(DATE(YEAR($A$1),1,1),$2:$2,193:193):
    _xlfn.XLOOKUP($A$1,$2:$2,193:193)
  )
 -SUM(
    _xlfn.XLOOKUP(DATE(YEAR($A$1)-1,1,1),$2:$2,193:193):
    _xlfn.XLOOKUP(EDATE($A$1,-12),$2:$2,193:193)
  ),"")</f>
        <v>-1.3528667142273045</v>
      </c>
      <c r="CD193" s="4517">
        <f t="shared" si="291"/>
        <v>-0.78279938977879504</v>
      </c>
    </row>
    <row r="194" spans="1:84" ht="17.600000000000001" x14ac:dyDescent="0.55000000000000004">
      <c r="A194" s="7383"/>
      <c r="B194" s="2055"/>
      <c r="C194" s="5253" t="s">
        <v>211</v>
      </c>
      <c r="D194" s="5368">
        <v>3.7361111111111112</v>
      </c>
      <c r="E194" s="5368">
        <v>2.9142857142857141</v>
      </c>
      <c r="F194" s="5368">
        <v>2.8382352941176472</v>
      </c>
      <c r="G194" s="5368">
        <v>2.7</v>
      </c>
      <c r="H194" s="5368">
        <v>2.3888888888888888</v>
      </c>
      <c r="I194" s="5368">
        <v>3.2428571428571429</v>
      </c>
      <c r="J194" s="5368">
        <v>3.0675675675675675</v>
      </c>
      <c r="K194" s="5368">
        <v>2.8684210526315788</v>
      </c>
      <c r="L194" s="5368">
        <v>2.7236842105263159</v>
      </c>
      <c r="M194" s="5368">
        <v>1.7948717948717949</v>
      </c>
      <c r="N194" s="5368">
        <v>1.986842105263158</v>
      </c>
      <c r="O194" s="5368">
        <v>1.9367088607594938</v>
      </c>
      <c r="P194" s="5368">
        <f t="shared" si="282"/>
        <v>32.198473742880417</v>
      </c>
      <c r="Q194" s="5369">
        <f t="shared" si="283"/>
        <v>2.6832061452400349</v>
      </c>
      <c r="R194" s="2776"/>
      <c r="S194" s="5370">
        <v>2.3624999999999998</v>
      </c>
      <c r="T194" s="5368">
        <v>2.691358024691358</v>
      </c>
      <c r="U194" s="5368">
        <v>3.1818181818181817</v>
      </c>
      <c r="V194" s="5368">
        <v>3.6538461538461537</v>
      </c>
      <c r="W194" s="5368">
        <v>2.75</v>
      </c>
      <c r="X194" s="5368">
        <v>2.8157894736842106</v>
      </c>
      <c r="Y194" s="5368">
        <v>2.4473684210526314</v>
      </c>
      <c r="Z194" s="5368">
        <v>3.1923076923076925</v>
      </c>
      <c r="AA194" s="5368">
        <v>1.736842105263158</v>
      </c>
      <c r="AB194" s="5368">
        <v>2.4736842105263159</v>
      </c>
      <c r="AC194" s="5368">
        <v>2.2987012987012987</v>
      </c>
      <c r="AD194" s="5368">
        <v>1.875</v>
      </c>
      <c r="AE194" s="5368">
        <f t="shared" si="284"/>
        <v>31.479215561890999</v>
      </c>
      <c r="AF194" s="5369">
        <f t="shared" si="285"/>
        <v>2.6232679634909166</v>
      </c>
      <c r="AG194" s="2776"/>
      <c r="AH194" s="5432">
        <v>2.2906976744186047</v>
      </c>
      <c r="AI194" s="5433">
        <v>2.043010752688172</v>
      </c>
      <c r="AJ194" s="5433">
        <v>2.2708333333333335</v>
      </c>
      <c r="AK194" s="5433">
        <v>2.7525773195876289</v>
      </c>
      <c r="AL194" s="5433">
        <v>2.3333333333333335</v>
      </c>
      <c r="AM194" s="5433">
        <v>2.3431372549019609</v>
      </c>
      <c r="AN194" s="5433">
        <v>2.4607843137254903</v>
      </c>
      <c r="AO194" s="5433">
        <v>2.1683168316831685</v>
      </c>
      <c r="AP194" s="5433">
        <v>1.6396396396396395</v>
      </c>
      <c r="AQ194" s="5433">
        <v>1.7788461538461535</v>
      </c>
      <c r="AR194" s="5433">
        <v>1.9532710280373835</v>
      </c>
      <c r="AS194" s="5433">
        <v>1.9818181818181819</v>
      </c>
      <c r="AT194" s="5433">
        <f t="shared" si="289"/>
        <v>26.01626581701305</v>
      </c>
      <c r="AU194" s="5434">
        <f t="shared" si="279"/>
        <v>2.168022151417754</v>
      </c>
      <c r="AV194" s="4093"/>
      <c r="AW194" s="5435">
        <v>1.7545454545454546</v>
      </c>
      <c r="AX194" s="5433">
        <v>3.0272727272727273</v>
      </c>
      <c r="AY194" s="5433">
        <v>2.5094339622641511</v>
      </c>
      <c r="AZ194" s="5433">
        <v>3.2718446601941746</v>
      </c>
      <c r="BA194" s="5433">
        <v>6.4854368932038833</v>
      </c>
      <c r="BB194" s="5433">
        <v>3.2647058823529411</v>
      </c>
      <c r="BC194" s="5368">
        <v>4.4807692307692308</v>
      </c>
      <c r="BD194" s="5368">
        <v>2.52</v>
      </c>
      <c r="BE194" s="5433">
        <v>2.8787878787878789</v>
      </c>
      <c r="BF194" s="5433">
        <v>1.8163265306122449</v>
      </c>
      <c r="BG194" s="5433">
        <v>2.1515151515151514</v>
      </c>
      <c r="BH194" s="5433">
        <v>1.9595959595959596</v>
      </c>
      <c r="BI194" s="5368">
        <f t="shared" si="292"/>
        <v>36.120234331113792</v>
      </c>
      <c r="BJ194" s="5369">
        <f t="shared" si="295"/>
        <v>3.0100195275928159</v>
      </c>
      <c r="BK194" s="2881"/>
      <c r="BL194" s="5410">
        <f>IFERROR('※ 영기팀 작성_가입자'!BL153/'※ 인력 세부데이터'!AW109,"")</f>
        <v>7.3636363636363633</v>
      </c>
      <c r="BM194" s="5433">
        <f>IFERROR('※ 영기팀 작성_가입자'!BM153/'※ 인력 세부데이터'!AX109,"")</f>
        <v>5.2</v>
      </c>
      <c r="BN194" s="5433" t="str">
        <f>IFERROR('※ 영기팀 작성_가입자'!BN153/'※ 인력 세부데이터'!AY109,"")</f>
        <v/>
      </c>
      <c r="BO194" s="5433" t="str">
        <f>IFERROR('※ 영기팀 작성_가입자'!BO153/'※ 인력 세부데이터'!AZ109,"")</f>
        <v/>
      </c>
      <c r="BP194" s="5433" t="str">
        <f>IFERROR('※ 영기팀 작성_가입자'!BP153/'※ 인력 세부데이터'!BA109,"")</f>
        <v/>
      </c>
      <c r="BQ194" s="5433" t="str">
        <f>IFERROR('※ 영기팀 작성_가입자'!BQ153/'※ 인력 세부데이터'!BB109,"")</f>
        <v/>
      </c>
      <c r="BR194" s="5368" t="str">
        <f>IFERROR('※ 영기팀 작성_가입자'!BR153/'※ 인력 세부데이터'!BC109,"")</f>
        <v/>
      </c>
      <c r="BS194" s="5368" t="str">
        <f>IFERROR('※ 영기팀 작성_가입자'!BS153/'※ 인력 세부데이터'!BD109,"")</f>
        <v/>
      </c>
      <c r="BT194" s="5433" t="str">
        <f>IFERROR('※ 영기팀 작성_가입자'!BT153/'※ 인력 세부데이터'!BE109,"")</f>
        <v/>
      </c>
      <c r="BU194" s="5433" t="str">
        <f>IFERROR('※ 영기팀 작성_가입자'!BU153/'※ 인력 세부데이터'!BF109,"")</f>
        <v/>
      </c>
      <c r="BV194" s="5433" t="str">
        <f>IFERROR('※ 영기팀 작성_가입자'!BV153/'※ 인력 세부데이터'!BG109,"")</f>
        <v/>
      </c>
      <c r="BW194" s="5433" t="str">
        <f>IFERROR('※ 영기팀 작성_가입자'!BW153/'※ 인력 세부데이터'!BH109,"")</f>
        <v/>
      </c>
      <c r="BX194" s="5368">
        <f t="shared" si="296"/>
        <v>12.563636363636363</v>
      </c>
      <c r="BY194" s="5256">
        <f t="shared" si="294"/>
        <v>6.2818181818181813</v>
      </c>
      <c r="CA194" s="169">
        <f t="shared" si="290"/>
        <v>2.1727272727272728</v>
      </c>
      <c r="CB194" s="169">
        <f t="shared" si="288"/>
        <v>0.84199737617506187</v>
      </c>
      <c r="CC194" s="169">
        <f>IFERROR(
  SUM(
    _xlfn.XLOOKUP(DATE(YEAR($A$1),1,1),$2:$2,194:194):
    _xlfn.XLOOKUP($A$1,$2:$2,194:194)
  )
 -SUM(
    _xlfn.XLOOKUP(DATE(YEAR($A$1)-1,1,1),$2:$2,194:194):
    _xlfn.XLOOKUP(EDATE($A$1,-12),$2:$2,194:194)
  ),"")</f>
        <v>7.7818181818181804</v>
      </c>
      <c r="CD194" s="4517">
        <f t="shared" si="291"/>
        <v>-2.1636363636363631</v>
      </c>
    </row>
    <row r="195" spans="1:84" ht="17.600000000000001" x14ac:dyDescent="0.55000000000000004">
      <c r="A195" s="7383"/>
      <c r="B195" s="2062"/>
      <c r="C195" s="5258" t="s">
        <v>212</v>
      </c>
      <c r="D195" s="5376">
        <v>2.989247311827957</v>
      </c>
      <c r="E195" s="5376">
        <v>2.2857142857142856</v>
      </c>
      <c r="F195" s="5376">
        <v>2.2580645161290325</v>
      </c>
      <c r="G195" s="5376">
        <v>2.2747252747252746</v>
      </c>
      <c r="H195" s="5376">
        <v>2.6593406593406592</v>
      </c>
      <c r="I195" s="5376">
        <v>2.707865168539326</v>
      </c>
      <c r="J195" s="5376">
        <v>2.3448275862068964</v>
      </c>
      <c r="K195" s="5376">
        <v>3.0117647058823529</v>
      </c>
      <c r="L195" s="5376">
        <v>2.1176470588235294</v>
      </c>
      <c r="M195" s="5376">
        <v>2.0348837209302326</v>
      </c>
      <c r="N195" s="5376">
        <v>2.7380952380952381</v>
      </c>
      <c r="O195" s="5376">
        <v>2.3214285714285716</v>
      </c>
      <c r="P195" s="5376">
        <f t="shared" ref="P195:P203" si="297">SUM(D195:O195)</f>
        <v>29.743604097643356</v>
      </c>
      <c r="Q195" s="5377">
        <f t="shared" ref="Q195:Q203" si="298">SUM(D195:O195)/12</f>
        <v>2.4786336748036129</v>
      </c>
      <c r="R195" s="2776"/>
      <c r="S195" s="5378">
        <v>2.9012345679012346</v>
      </c>
      <c r="T195" s="5376">
        <v>3.2195121951219514</v>
      </c>
      <c r="U195" s="5376">
        <v>2.5731707317073171</v>
      </c>
      <c r="V195" s="5376">
        <v>3.0897435897435899</v>
      </c>
      <c r="W195" s="5376">
        <v>2.5063291139240507</v>
      </c>
      <c r="X195" s="5376">
        <v>2.4303797468354431</v>
      </c>
      <c r="Y195" s="5376">
        <v>2.1265822784810124</v>
      </c>
      <c r="Z195" s="5376">
        <v>3.1265822784810124</v>
      </c>
      <c r="AA195" s="5376">
        <v>1.8289473684210527</v>
      </c>
      <c r="AB195" s="5376">
        <v>1.8433734939759037</v>
      </c>
      <c r="AC195" s="5376">
        <v>1.2738095238095237</v>
      </c>
      <c r="AD195" s="5376">
        <v>1.2261904761904763</v>
      </c>
      <c r="AE195" s="5376">
        <f t="shared" ref="AE195:AE203" si="299">SUM(S195:AD195)</f>
        <v>28.145855364592563</v>
      </c>
      <c r="AF195" s="5377">
        <f t="shared" ref="AF195:AF203" si="300">AE195/12</f>
        <v>2.3454879470493801</v>
      </c>
      <c r="AG195" s="2776"/>
      <c r="AH195" s="5436">
        <v>2.6506024096385543</v>
      </c>
      <c r="AI195" s="5437">
        <v>1.8</v>
      </c>
      <c r="AJ195" s="5437">
        <v>1.7916666666666667</v>
      </c>
      <c r="AK195" s="5437">
        <v>2.3333333333333335</v>
      </c>
      <c r="AL195" s="5437">
        <v>2.4351851851851851</v>
      </c>
      <c r="AM195" s="5437">
        <v>2.2660550458715596</v>
      </c>
      <c r="AN195" s="5437">
        <v>3.7307692307692308</v>
      </c>
      <c r="AO195" s="5437">
        <v>2.9514563106796117</v>
      </c>
      <c r="AP195" s="5437">
        <v>3.1698113207547163</v>
      </c>
      <c r="AQ195" s="5437">
        <v>2.4910714285714284</v>
      </c>
      <c r="AR195" s="5437">
        <v>2.8363636363636364</v>
      </c>
      <c r="AS195" s="5437">
        <v>2.2272727272727271</v>
      </c>
      <c r="AT195" s="5437">
        <f t="shared" si="289"/>
        <v>30.683587295106644</v>
      </c>
      <c r="AU195" s="5438">
        <f t="shared" si="279"/>
        <v>2.5569656079255538</v>
      </c>
      <c r="AV195" s="4093"/>
      <c r="AW195" s="5439">
        <v>1.7889908256880733</v>
      </c>
      <c r="AX195" s="5437">
        <v>3.8971962616822431</v>
      </c>
      <c r="AY195" s="5437">
        <v>2.8190476190476192</v>
      </c>
      <c r="AZ195" s="5437">
        <v>3.3523809523809525</v>
      </c>
      <c r="BA195" s="5437">
        <v>6.3619047619047615</v>
      </c>
      <c r="BB195" s="5437">
        <v>2.9150943396226414</v>
      </c>
      <c r="BC195" s="5376">
        <v>4.3076923076923075</v>
      </c>
      <c r="BD195" s="5376">
        <v>3.0196078431372548</v>
      </c>
      <c r="BE195" s="5437">
        <v>2.8058252427184467</v>
      </c>
      <c r="BF195" s="5437">
        <v>1.8867924528301887</v>
      </c>
      <c r="BG195" s="5437">
        <v>2.4285714285714284</v>
      </c>
      <c r="BH195" s="5437">
        <v>2.1100917431192658</v>
      </c>
      <c r="BI195" s="5376">
        <f t="shared" si="292"/>
        <v>37.693195778395179</v>
      </c>
      <c r="BJ195" s="5377">
        <f t="shared" si="295"/>
        <v>3.1410996481995981</v>
      </c>
      <c r="BK195" s="2881"/>
      <c r="BL195" s="5411">
        <f>IFERROR('※ 영기팀 작성_가입자'!BL154/'※ 인력 세부데이터'!AW110,"")</f>
        <v>8.7339449541284395</v>
      </c>
      <c r="BM195" s="5437">
        <f>IFERROR('※ 영기팀 작성_가입자'!BM154/'※ 인력 세부데이터'!AX110,"")</f>
        <v>5.5909090909090908</v>
      </c>
      <c r="BN195" s="5437" t="str">
        <f>IFERROR('※ 영기팀 작성_가입자'!BN154/'※ 인력 세부데이터'!AY110,"")</f>
        <v/>
      </c>
      <c r="BO195" s="5437" t="str">
        <f>IFERROR('※ 영기팀 작성_가입자'!BO154/'※ 인력 세부데이터'!AZ110,"")</f>
        <v/>
      </c>
      <c r="BP195" s="5437" t="str">
        <f>IFERROR('※ 영기팀 작성_가입자'!BP154/'※ 인력 세부데이터'!BA110,"")</f>
        <v/>
      </c>
      <c r="BQ195" s="5437" t="str">
        <f>IFERROR('※ 영기팀 작성_가입자'!BQ154/'※ 인력 세부데이터'!BB110,"")</f>
        <v/>
      </c>
      <c r="BR195" s="5376" t="str">
        <f>IFERROR('※ 영기팀 작성_가입자'!BR154/'※ 인력 세부데이터'!BC110,"")</f>
        <v/>
      </c>
      <c r="BS195" s="5376" t="str">
        <f>IFERROR('※ 영기팀 작성_가입자'!BS154/'※ 인력 세부데이터'!BD110,"")</f>
        <v/>
      </c>
      <c r="BT195" s="5437" t="str">
        <f>IFERROR('※ 영기팀 작성_가입자'!BT154/'※ 인력 세부데이터'!BE110,"")</f>
        <v/>
      </c>
      <c r="BU195" s="5437" t="str">
        <f>IFERROR('※ 영기팀 작성_가입자'!BU154/'※ 인력 세부데이터'!BF110,"")</f>
        <v/>
      </c>
      <c r="BV195" s="5437" t="str">
        <f>IFERROR('※ 영기팀 작성_가입자'!BV154/'※ 인력 세부데이터'!BG110,"")</f>
        <v/>
      </c>
      <c r="BW195" s="5437" t="str">
        <f>IFERROR('※ 영기팀 작성_가입자'!BW154/'※ 인력 세부데이터'!BH110,"")</f>
        <v/>
      </c>
      <c r="BX195" s="5376">
        <f t="shared" si="296"/>
        <v>14.324854045037529</v>
      </c>
      <c r="BY195" s="5261">
        <f t="shared" si="294"/>
        <v>7.1624270225187647</v>
      </c>
      <c r="CA195" s="169">
        <f t="shared" si="290"/>
        <v>1.6937128292268477</v>
      </c>
      <c r="CB195" s="169">
        <f t="shared" si="288"/>
        <v>0.58413404027404425</v>
      </c>
      <c r="CC195" s="169">
        <f>IFERROR(
  SUM(
    _xlfn.XLOOKUP(DATE(YEAR($A$1),1,1),$2:$2,195:195):
    _xlfn.XLOOKUP($A$1,$2:$2,195:195)
  )
 -SUM(
    _xlfn.XLOOKUP(DATE(YEAR($A$1)-1,1,1),$2:$2,195:195):
    _xlfn.XLOOKUP(EDATE($A$1,-12),$2:$2,195:195)
  ),"")</f>
        <v>8.6386669576672119</v>
      </c>
      <c r="CD195" s="4517">
        <f t="shared" si="291"/>
        <v>-3.1430358632193487</v>
      </c>
    </row>
    <row r="196" spans="1:84" ht="17.600000000000001" x14ac:dyDescent="0.55000000000000004">
      <c r="A196" s="7383"/>
      <c r="B196" s="2062"/>
      <c r="C196" s="5263" t="s">
        <v>213</v>
      </c>
      <c r="D196" s="5384">
        <v>3.4285714285714284</v>
      </c>
      <c r="E196" s="5384">
        <v>2.2465753424657535</v>
      </c>
      <c r="F196" s="5384">
        <v>2.9428571428571431</v>
      </c>
      <c r="G196" s="5384">
        <v>3.2463768115942031</v>
      </c>
      <c r="H196" s="5384">
        <v>2.6901408450704225</v>
      </c>
      <c r="I196" s="5384">
        <v>2.6388888888888888</v>
      </c>
      <c r="J196" s="5384">
        <v>2.4054054054054053</v>
      </c>
      <c r="K196" s="5384">
        <v>2.3378378378378377</v>
      </c>
      <c r="L196" s="5384">
        <v>2.7808219178082192</v>
      </c>
      <c r="M196" s="5384">
        <v>2.4864864864864864</v>
      </c>
      <c r="N196" s="5384">
        <v>2.1298701298701297</v>
      </c>
      <c r="O196" s="5384">
        <v>1.6623376623376624</v>
      </c>
      <c r="P196" s="5384">
        <f t="shared" si="297"/>
        <v>30.996169899193582</v>
      </c>
      <c r="Q196" s="5385">
        <f t="shared" si="298"/>
        <v>2.5830141582661317</v>
      </c>
      <c r="R196" s="2776"/>
      <c r="S196" s="5386">
        <v>3</v>
      </c>
      <c r="T196" s="5384">
        <v>3.1315789473684212</v>
      </c>
      <c r="U196" s="5384">
        <v>4.0273972602739727</v>
      </c>
      <c r="V196" s="5384">
        <v>3.8243243243243241</v>
      </c>
      <c r="W196" s="5384">
        <v>3.4794520547945207</v>
      </c>
      <c r="X196" s="5384">
        <v>2.8194444444444446</v>
      </c>
      <c r="Y196" s="5384">
        <v>2.5774647887323945</v>
      </c>
      <c r="Z196" s="5384">
        <v>3.6857142857142855</v>
      </c>
      <c r="AA196" s="5384">
        <v>2.318840579710145</v>
      </c>
      <c r="AB196" s="5384">
        <v>3.0833333333333335</v>
      </c>
      <c r="AC196" s="5384">
        <v>2.5833333333333335</v>
      </c>
      <c r="AD196" s="5384">
        <v>2.375</v>
      </c>
      <c r="AE196" s="5384">
        <f t="shared" si="299"/>
        <v>36.905883352029178</v>
      </c>
      <c r="AF196" s="5385">
        <f t="shared" si="300"/>
        <v>3.075490279335765</v>
      </c>
      <c r="AG196" s="2776"/>
      <c r="AH196" s="5440">
        <v>4.0547945205479454</v>
      </c>
      <c r="AI196" s="5441">
        <v>2.8513513513513513</v>
      </c>
      <c r="AJ196" s="5441">
        <v>3.0649350649350651</v>
      </c>
      <c r="AK196" s="5441">
        <v>3.2025316455696204</v>
      </c>
      <c r="AL196" s="5441">
        <v>3.2250000000000001</v>
      </c>
      <c r="AM196" s="5441">
        <v>2.6962025316455698</v>
      </c>
      <c r="AN196" s="5441">
        <v>3.8846153846153846</v>
      </c>
      <c r="AO196" s="5441">
        <v>2.7179487179487176</v>
      </c>
      <c r="AP196" s="5441">
        <v>2.4874999999999998</v>
      </c>
      <c r="AQ196" s="5441">
        <v>2.6202531645569622</v>
      </c>
      <c r="AR196" s="5441">
        <v>3.2250000000000001</v>
      </c>
      <c r="AS196" s="5441">
        <v>2.6923076923076925</v>
      </c>
      <c r="AT196" s="5441">
        <f t="shared" si="289"/>
        <v>36.72244007347831</v>
      </c>
      <c r="AU196" s="5442">
        <f t="shared" si="279"/>
        <v>3.060203339456526</v>
      </c>
      <c r="AV196" s="4093"/>
      <c r="AW196" s="5443">
        <v>3.0389610389610389</v>
      </c>
      <c r="AX196" s="5441">
        <v>5.3733333333333331</v>
      </c>
      <c r="AY196" s="5441">
        <v>3.6883116883116882</v>
      </c>
      <c r="AZ196" s="5441">
        <v>4.2597402597402594</v>
      </c>
      <c r="BA196" s="5441">
        <v>8.3684210526315788</v>
      </c>
      <c r="BB196" s="5441">
        <v>3.6133333333333333</v>
      </c>
      <c r="BC196" s="5384">
        <v>5.166666666666667</v>
      </c>
      <c r="BD196" s="5384">
        <v>3.64</v>
      </c>
      <c r="BE196" s="5441">
        <v>4.2666666666666666</v>
      </c>
      <c r="BF196" s="5441">
        <v>2.52</v>
      </c>
      <c r="BG196" s="5441">
        <v>2.2666666666666666</v>
      </c>
      <c r="BH196" s="5441">
        <v>2.6103896103896105</v>
      </c>
      <c r="BI196" s="5384">
        <f t="shared" si="292"/>
        <v>48.812490316700845</v>
      </c>
      <c r="BJ196" s="5385">
        <f t="shared" si="295"/>
        <v>4.0677075263917368</v>
      </c>
      <c r="BK196" s="2881"/>
      <c r="BL196" s="5412">
        <f>IFERROR('※ 영기팀 작성_가입자'!BL155/'※ 인력 세부데이터'!AW111,"")</f>
        <v>12.289473684210526</v>
      </c>
      <c r="BM196" s="5441">
        <f>IFERROR('※ 영기팀 작성_가입자'!BM155/'※ 인력 세부데이터'!AX111,"")</f>
        <v>7.6708860759493671</v>
      </c>
      <c r="BN196" s="5441" t="str">
        <f>IFERROR('※ 영기팀 작성_가입자'!BN155/'※ 인력 세부데이터'!AY111,"")</f>
        <v/>
      </c>
      <c r="BO196" s="5441" t="str">
        <f>IFERROR('※ 영기팀 작성_가입자'!BO155/'※ 인력 세부데이터'!AZ111,"")</f>
        <v/>
      </c>
      <c r="BP196" s="5441" t="str">
        <f>IFERROR('※ 영기팀 작성_가입자'!BP155/'※ 인력 세부데이터'!BA111,"")</f>
        <v/>
      </c>
      <c r="BQ196" s="5441" t="str">
        <f>IFERROR('※ 영기팀 작성_가입자'!BQ155/'※ 인력 세부데이터'!BB111,"")</f>
        <v/>
      </c>
      <c r="BR196" s="5384" t="str">
        <f>IFERROR('※ 영기팀 작성_가입자'!BR155/'※ 인력 세부데이터'!BC111,"")</f>
        <v/>
      </c>
      <c r="BS196" s="5384" t="str">
        <f>IFERROR('※ 영기팀 작성_가입자'!BS155/'※ 인력 세부데이터'!BD111,"")</f>
        <v/>
      </c>
      <c r="BT196" s="5441" t="str">
        <f>IFERROR('※ 영기팀 작성_가입자'!BT155/'※ 인력 세부데이터'!BE111,"")</f>
        <v/>
      </c>
      <c r="BU196" s="5441" t="str">
        <f>IFERROR('※ 영기팀 작성_가입자'!BU155/'※ 인력 세부데이터'!BF111,"")</f>
        <v/>
      </c>
      <c r="BV196" s="5441" t="str">
        <f>IFERROR('※ 영기팀 작성_가입자'!BV155/'※ 인력 세부데이터'!BG111,"")</f>
        <v/>
      </c>
      <c r="BW196" s="5441" t="str">
        <f>IFERROR('※ 영기팀 작성_가입자'!BW155/'※ 인력 세부데이터'!BH111,"")</f>
        <v/>
      </c>
      <c r="BX196" s="5384">
        <f t="shared" si="296"/>
        <v>19.960359760159893</v>
      </c>
      <c r="BY196" s="5266">
        <f t="shared" si="294"/>
        <v>9.9801798800799464</v>
      </c>
      <c r="CA196" s="169">
        <f t="shared" ref="CA196:CA203" si="301">IFERROR(_xlfn.XLOOKUP($A$1,$2:$2,196:196)-_xlfn.XLOOKUP(EDATE($A$1,-12),$2:$2,196:196),"")</f>
        <v>2.297552742616034</v>
      </c>
      <c r="CB196" s="169">
        <f t="shared" si="288"/>
        <v>1.0075041869352108</v>
      </c>
      <c r="CC196" s="169">
        <f>IFERROR(
  SUM(
    _xlfn.XLOOKUP(DATE(YEAR($A$1),1,1),$2:$2,196:196):
    _xlfn.XLOOKUP($A$1,$2:$2,196:196)
  )
 -SUM(
    _xlfn.XLOOKUP(DATE(YEAR($A$1)-1,1,1),$2:$2,196:196):
    _xlfn.XLOOKUP(EDATE($A$1,-12),$2:$2,196:196)
  ),"")</f>
        <v>11.54806538786552</v>
      </c>
      <c r="CD196" s="4517">
        <f t="shared" ref="CD196:CD203" si="302">IFERROR(
  _xlfn.XLOOKUP($A$1,$2:$2,196:196)
 -_xlfn.XLOOKUP(EDATE($A$1,-1),$2:$2,196:196),"")</f>
        <v>-4.6185876082611586</v>
      </c>
    </row>
    <row r="197" spans="1:84" ht="17.600000000000001" x14ac:dyDescent="0.55000000000000004">
      <c r="A197" s="7383"/>
      <c r="B197" s="2062"/>
      <c r="C197" s="5263" t="s">
        <v>214</v>
      </c>
      <c r="D197" s="5384">
        <v>4.0769230769230766</v>
      </c>
      <c r="E197" s="5384">
        <v>2.7731958762886597</v>
      </c>
      <c r="F197" s="5384">
        <v>2.6063829787234041</v>
      </c>
      <c r="G197" s="5384">
        <v>2.6808510638297873</v>
      </c>
      <c r="H197" s="5384">
        <v>2.5656565656565657</v>
      </c>
      <c r="I197" s="5384">
        <v>2.7525773195876289</v>
      </c>
      <c r="J197" s="5384">
        <v>2.7083333333333335</v>
      </c>
      <c r="K197" s="5384">
        <v>2.8144329896907219</v>
      </c>
      <c r="L197" s="5384">
        <v>2.7065217391304346</v>
      </c>
      <c r="M197" s="5384">
        <v>2.2474226804123711</v>
      </c>
      <c r="N197" s="5384">
        <v>2.3663366336633662</v>
      </c>
      <c r="O197" s="5384">
        <v>2.7307692307692308</v>
      </c>
      <c r="P197" s="5384">
        <f t="shared" si="297"/>
        <v>33.029403488008576</v>
      </c>
      <c r="Q197" s="5385">
        <f t="shared" si="298"/>
        <v>2.7524502906673813</v>
      </c>
      <c r="R197" s="2776"/>
      <c r="S197" s="5386">
        <v>2.784313725490196</v>
      </c>
      <c r="T197" s="5384">
        <v>3.6336633663366338</v>
      </c>
      <c r="U197" s="5384">
        <v>2.8316831683168315</v>
      </c>
      <c r="V197" s="5384">
        <v>3</v>
      </c>
      <c r="W197" s="5384">
        <v>2.7549019607843137</v>
      </c>
      <c r="X197" s="5384">
        <v>3.0594059405940595</v>
      </c>
      <c r="Y197" s="5384">
        <v>2.4019607843137254</v>
      </c>
      <c r="Z197" s="5384">
        <v>3.6274509803921569</v>
      </c>
      <c r="AA197" s="5384">
        <v>2</v>
      </c>
      <c r="AB197" s="5384">
        <v>2.8333333333333335</v>
      </c>
      <c r="AC197" s="5384">
        <v>2.0980392156862746</v>
      </c>
      <c r="AD197" s="5384">
        <v>1.8932038834951457</v>
      </c>
      <c r="AE197" s="5384">
        <f t="shared" si="299"/>
        <v>32.917956358742671</v>
      </c>
      <c r="AF197" s="5385">
        <f t="shared" si="300"/>
        <v>2.7431630298952228</v>
      </c>
      <c r="AG197" s="2776"/>
      <c r="AH197" s="5440">
        <v>3.2523364485981308</v>
      </c>
      <c r="AI197" s="5441">
        <v>2.3486238532110093</v>
      </c>
      <c r="AJ197" s="5441">
        <v>2.9313725490196076</v>
      </c>
      <c r="AK197" s="5441">
        <v>3.0952380952380953</v>
      </c>
      <c r="AL197" s="5441">
        <v>3.209090909090909</v>
      </c>
      <c r="AM197" s="5441">
        <v>2.8173076923076925</v>
      </c>
      <c r="AN197" s="5441">
        <v>3.6792452830188678</v>
      </c>
      <c r="AO197" s="5441">
        <v>2.8173076923076925</v>
      </c>
      <c r="AP197" s="5441">
        <v>2.8207547169811322</v>
      </c>
      <c r="AQ197" s="5441">
        <v>2.8</v>
      </c>
      <c r="AR197" s="5441">
        <v>3.0476190476190474</v>
      </c>
      <c r="AS197" s="5441">
        <v>2.8317757009345796</v>
      </c>
      <c r="AT197" s="5441">
        <f t="shared" si="289"/>
        <v>35.650671988326764</v>
      </c>
      <c r="AU197" s="5442">
        <f t="shared" ref="AU197:AU203" si="303">SUM(AH197:AS197)/12</f>
        <v>2.9708893323605636</v>
      </c>
      <c r="AV197" s="4093"/>
      <c r="AW197" s="5443">
        <v>2.4766355140186915</v>
      </c>
      <c r="AX197" s="5441">
        <v>4.8773584905660377</v>
      </c>
      <c r="AY197" s="5441">
        <v>3.6422018348623855</v>
      </c>
      <c r="AZ197" s="5441">
        <v>3.8365384615384617</v>
      </c>
      <c r="BA197" s="5441">
        <v>7.7378640776699026</v>
      </c>
      <c r="BB197" s="5441">
        <v>3.7864077669902914</v>
      </c>
      <c r="BC197" s="5384">
        <v>5.22</v>
      </c>
      <c r="BD197" s="5384">
        <v>3.8058252427184467</v>
      </c>
      <c r="BE197" s="5441">
        <v>4.4174757281553401</v>
      </c>
      <c r="BF197" s="5441">
        <v>2.8942307692307692</v>
      </c>
      <c r="BG197" s="5441">
        <v>2.7547169811320753</v>
      </c>
      <c r="BH197" s="5441">
        <v>2.8504672897196262</v>
      </c>
      <c r="BI197" s="5384">
        <f t="shared" si="292"/>
        <v>48.299722156602023</v>
      </c>
      <c r="BJ197" s="5385">
        <f t="shared" si="295"/>
        <v>4.0249768463835016</v>
      </c>
      <c r="BK197" s="2881"/>
      <c r="BL197" s="5412">
        <f>IFERROR('※ 영기팀 작성_가입자'!BL156/'※ 인력 세부데이터'!AW112,"")</f>
        <v>6.2616822429906538</v>
      </c>
      <c r="BM197" s="5441">
        <f>IFERROR('※ 영기팀 작성_가입자'!BM156/'※ 인력 세부데이터'!AX112,"")</f>
        <v>4.5140186915887854</v>
      </c>
      <c r="BN197" s="5441" t="str">
        <f>IFERROR('※ 영기팀 작성_가입자'!BN156/'※ 인력 세부데이터'!AY112,"")</f>
        <v/>
      </c>
      <c r="BO197" s="5441" t="str">
        <f>IFERROR('※ 영기팀 작성_가입자'!BO156/'※ 인력 세부데이터'!AZ112,"")</f>
        <v/>
      </c>
      <c r="BP197" s="5441" t="str">
        <f>IFERROR('※ 영기팀 작성_가입자'!BP156/'※ 인력 세부데이터'!BA112,"")</f>
        <v/>
      </c>
      <c r="BQ197" s="5441" t="str">
        <f>IFERROR('※ 영기팀 작성_가입자'!BQ156/'※ 인력 세부데이터'!BB112,"")</f>
        <v/>
      </c>
      <c r="BR197" s="5384" t="str">
        <f>IFERROR('※ 영기팀 작성_가입자'!BR156/'※ 인력 세부데이터'!BC112,"")</f>
        <v/>
      </c>
      <c r="BS197" s="5384" t="str">
        <f>IFERROR('※ 영기팀 작성_가입자'!BS156/'※ 인력 세부데이터'!BD112,"")</f>
        <v/>
      </c>
      <c r="BT197" s="5441" t="str">
        <f>IFERROR('※ 영기팀 작성_가입자'!BT156/'※ 인력 세부데이터'!BE112,"")</f>
        <v/>
      </c>
      <c r="BU197" s="5441" t="str">
        <f>IFERROR('※ 영기팀 작성_가입자'!BU156/'※ 인력 세부데이터'!BF112,"")</f>
        <v/>
      </c>
      <c r="BV197" s="5441" t="str">
        <f>IFERROR('※ 영기팀 작성_가입자'!BV156/'※ 인력 세부데이터'!BG112,"")</f>
        <v/>
      </c>
      <c r="BW197" s="5441" t="str">
        <f>IFERROR('※ 영기팀 작성_가입자'!BW156/'※ 인력 세부데이터'!BH112,"")</f>
        <v/>
      </c>
      <c r="BX197" s="5384">
        <f t="shared" si="296"/>
        <v>10.77570093457944</v>
      </c>
      <c r="BY197" s="5266">
        <f t="shared" si="294"/>
        <v>5.3878504672897201</v>
      </c>
      <c r="CA197" s="169">
        <f t="shared" si="301"/>
        <v>-0.36333979897725222</v>
      </c>
      <c r="CB197" s="169">
        <f t="shared" si="288"/>
        <v>1.054087514022938</v>
      </c>
      <c r="CC197" s="169">
        <f>IFERROR(
  SUM(
    _xlfn.XLOOKUP(DATE(YEAR($A$1),1,1),$2:$2,197:197):
    _xlfn.XLOOKUP($A$1,$2:$2,197:197)
  )
 -SUM(
    _xlfn.XLOOKUP(DATE(YEAR($A$1)-1,1,1),$2:$2,197:197):
    _xlfn.XLOOKUP(EDATE($A$1,-12),$2:$2,197:197)
  ),"")</f>
        <v>3.4217069299947109</v>
      </c>
      <c r="CD197" s="4517">
        <f t="shared" si="302"/>
        <v>-1.7476635514018684</v>
      </c>
    </row>
    <row r="198" spans="1:84" ht="17.600000000000001" x14ac:dyDescent="0.55000000000000004">
      <c r="A198" s="7383"/>
      <c r="B198" s="2062"/>
      <c r="C198" s="5258" t="s">
        <v>215</v>
      </c>
      <c r="D198" s="5376">
        <v>3.9274193548387095</v>
      </c>
      <c r="E198" s="5376">
        <v>2.7557251908396947</v>
      </c>
      <c r="F198" s="5376">
        <v>3.0454545454545454</v>
      </c>
      <c r="G198" s="5376">
        <v>2.8153846153846156</v>
      </c>
      <c r="H198" s="5376">
        <v>3.0314960629921259</v>
      </c>
      <c r="I198" s="5376">
        <v>2.8828125</v>
      </c>
      <c r="J198" s="5376">
        <v>2.9609375</v>
      </c>
      <c r="K198" s="5376">
        <v>3.0769230769230771</v>
      </c>
      <c r="L198" s="5376">
        <v>2.893939393939394</v>
      </c>
      <c r="M198" s="5376">
        <v>2.6014492753623188</v>
      </c>
      <c r="N198" s="5376">
        <v>3.1857142857142855</v>
      </c>
      <c r="O198" s="5376">
        <v>2.5625</v>
      </c>
      <c r="P198" s="5376">
        <f t="shared" si="297"/>
        <v>35.739755801448766</v>
      </c>
      <c r="Q198" s="5377">
        <f t="shared" si="298"/>
        <v>2.9783129834540638</v>
      </c>
      <c r="R198" s="2776"/>
      <c r="S198" s="5378">
        <v>3.0592592592592593</v>
      </c>
      <c r="T198" s="5376">
        <v>3.053435114503817</v>
      </c>
      <c r="U198" s="5376">
        <v>2.9117647058823528</v>
      </c>
      <c r="V198" s="5414">
        <v>3.2444444444444445</v>
      </c>
      <c r="W198" s="5376">
        <v>2.6791044776119404</v>
      </c>
      <c r="X198" s="5376">
        <v>2.8769230769230769</v>
      </c>
      <c r="Y198" s="5376">
        <v>2.5158730158730158</v>
      </c>
      <c r="Z198" s="5376">
        <v>3.7096774193548385</v>
      </c>
      <c r="AA198" s="5376">
        <v>2.2063492063492065</v>
      </c>
      <c r="AB198" s="5376">
        <v>2.3984375</v>
      </c>
      <c r="AC198" s="5376">
        <v>3.046153846153846</v>
      </c>
      <c r="AD198" s="5376">
        <v>2.2790697674418605</v>
      </c>
      <c r="AE198" s="5376">
        <f t="shared" si="299"/>
        <v>33.980491833797657</v>
      </c>
      <c r="AF198" s="5377">
        <f t="shared" si="300"/>
        <v>2.8317076528164713</v>
      </c>
      <c r="AG198" s="2776"/>
      <c r="AH198" s="5436">
        <v>3.4402985074626864</v>
      </c>
      <c r="AI198" s="5437">
        <v>3.0729927007299271</v>
      </c>
      <c r="AJ198" s="5437">
        <v>2.8928571428571428</v>
      </c>
      <c r="AK198" s="5437">
        <v>3.0709219858156027</v>
      </c>
      <c r="AL198" s="5437">
        <v>3.4863013698630136</v>
      </c>
      <c r="AM198" s="5437">
        <v>2.7916666666666665</v>
      </c>
      <c r="AN198" s="5437">
        <v>3.331168831168831</v>
      </c>
      <c r="AO198" s="5437">
        <v>3.0666666666666669</v>
      </c>
      <c r="AP198" s="5437">
        <v>3.1920529801324498</v>
      </c>
      <c r="AQ198" s="5437">
        <v>3.2328767123287676</v>
      </c>
      <c r="AR198" s="5437">
        <v>3.0135135135135136</v>
      </c>
      <c r="AS198" s="5437">
        <v>2.9452054794520546</v>
      </c>
      <c r="AT198" s="5437">
        <f t="shared" si="289"/>
        <v>37.536522556657324</v>
      </c>
      <c r="AU198" s="5438">
        <f t="shared" si="303"/>
        <v>3.1280435463881102</v>
      </c>
      <c r="AV198" s="4093"/>
      <c r="AW198" s="5439">
        <v>2.5405405405405403</v>
      </c>
      <c r="AX198" s="5437">
        <v>4.5410958904109586</v>
      </c>
      <c r="AY198" s="5437">
        <v>3.323943661971831</v>
      </c>
      <c r="AZ198" s="5437">
        <v>4.1328671328671325</v>
      </c>
      <c r="BA198" s="5437">
        <v>7.6808510638297873</v>
      </c>
      <c r="BB198" s="5437">
        <v>4.1785714285714288</v>
      </c>
      <c r="BC198" s="5376">
        <v>5.6083916083916083</v>
      </c>
      <c r="BD198" s="5376">
        <v>3.7163120567375887</v>
      </c>
      <c r="BE198" s="5437">
        <v>3.9858156028368796</v>
      </c>
      <c r="BF198" s="5437">
        <v>2.7226277372262775</v>
      </c>
      <c r="BG198" s="5437">
        <v>3.0583941605839415</v>
      </c>
      <c r="BH198" s="5437">
        <v>2.8785714285714286</v>
      </c>
      <c r="BI198" s="5376">
        <f t="shared" si="292"/>
        <v>48.367982312539397</v>
      </c>
      <c r="BJ198" s="5377">
        <f t="shared" si="295"/>
        <v>4.0306651927116164</v>
      </c>
      <c r="BK198" s="2881"/>
      <c r="BL198" s="5411">
        <f>IFERROR('※ 영기팀 작성_가입자'!BL157/'※ 인력 세부데이터'!AW113,"")</f>
        <v>1.9452054794520548</v>
      </c>
      <c r="BM198" s="5437">
        <f>IFERROR('※ 영기팀 작성_가입자'!BM157/'※ 인력 세부데이터'!AX113,"")</f>
        <v>1.3287671232876712</v>
      </c>
      <c r="BN198" s="5437" t="str">
        <f>IFERROR('※ 영기팀 작성_가입자'!BN157/'※ 인력 세부데이터'!AY113,"")</f>
        <v/>
      </c>
      <c r="BO198" s="5437" t="str">
        <f>IFERROR('※ 영기팀 작성_가입자'!BO157/'※ 인력 세부데이터'!AZ113,"")</f>
        <v/>
      </c>
      <c r="BP198" s="5437" t="str">
        <f>IFERROR('※ 영기팀 작성_가입자'!BP157/'※ 인력 세부데이터'!BA113,"")</f>
        <v/>
      </c>
      <c r="BQ198" s="5437" t="str">
        <f>IFERROR('※ 영기팀 작성_가입자'!BQ157/'※ 인력 세부데이터'!BB113,"")</f>
        <v/>
      </c>
      <c r="BR198" s="5376" t="str">
        <f>IFERROR('※ 영기팀 작성_가입자'!BR157/'※ 인력 세부데이터'!BC113,"")</f>
        <v/>
      </c>
      <c r="BS198" s="5376" t="str">
        <f>IFERROR('※ 영기팀 작성_가입자'!BS157/'※ 인력 세부데이터'!BD113,"")</f>
        <v/>
      </c>
      <c r="BT198" s="5437" t="str">
        <f>IFERROR('※ 영기팀 작성_가입자'!BT157/'※ 인력 세부데이터'!BE113,"")</f>
        <v/>
      </c>
      <c r="BU198" s="5437" t="str">
        <f>IFERROR('※ 영기팀 작성_가입자'!BU157/'※ 인력 세부데이터'!BF113,"")</f>
        <v/>
      </c>
      <c r="BV198" s="5437" t="str">
        <f>IFERROR('※ 영기팀 작성_가입자'!BV157/'※ 인력 세부데이터'!BG113,"")</f>
        <v/>
      </c>
      <c r="BW198" s="5437" t="str">
        <f>IFERROR('※ 영기팀 작성_가입자'!BW157/'※ 인력 세부데이터'!BH113,"")</f>
        <v/>
      </c>
      <c r="BX198" s="5376">
        <f t="shared" si="296"/>
        <v>3.2739726027397262</v>
      </c>
      <c r="BY198" s="5261">
        <f t="shared" si="294"/>
        <v>1.6369863013698631</v>
      </c>
      <c r="CA198" s="169">
        <f t="shared" si="301"/>
        <v>-3.2123287671232874</v>
      </c>
      <c r="CB198" s="169">
        <f t="shared" si="288"/>
        <v>0.90262164632350617</v>
      </c>
      <c r="CC198" s="169">
        <f>IFERROR(
  SUM(
    _xlfn.XLOOKUP(DATE(YEAR($A$1),1,1),$2:$2,198:198):
    _xlfn.XLOOKUP($A$1,$2:$2,198:198)
  )
 -SUM(
    _xlfn.XLOOKUP(DATE(YEAR($A$1)-1,1,1),$2:$2,198:198):
    _xlfn.XLOOKUP(EDATE($A$1,-12),$2:$2,198:198)
  ),"")</f>
        <v>-3.8076638282117727</v>
      </c>
      <c r="CD198" s="4517">
        <f t="shared" si="302"/>
        <v>-0.61643835616438358</v>
      </c>
    </row>
    <row r="199" spans="1:84" ht="17.600000000000001" x14ac:dyDescent="0.55000000000000004">
      <c r="A199" s="7383"/>
      <c r="B199" s="2062"/>
      <c r="C199" s="5258" t="s">
        <v>216</v>
      </c>
      <c r="D199" s="5376">
        <v>3.9750000000000001</v>
      </c>
      <c r="E199" s="5376">
        <v>2.8947368421052633</v>
      </c>
      <c r="F199" s="5376">
        <v>3.0750000000000002</v>
      </c>
      <c r="G199" s="5376">
        <v>3.375</v>
      </c>
      <c r="H199" s="5376">
        <v>2.7530864197530862</v>
      </c>
      <c r="I199" s="5376">
        <v>2.721518987341772</v>
      </c>
      <c r="J199" s="5376">
        <v>2.0975609756097562</v>
      </c>
      <c r="K199" s="5376">
        <v>3.4047619047619047</v>
      </c>
      <c r="L199" s="5376">
        <v>2.6162790697674421</v>
      </c>
      <c r="M199" s="5376">
        <v>2.797752808988764</v>
      </c>
      <c r="N199" s="5376">
        <v>2.9438202247191012</v>
      </c>
      <c r="O199" s="5376">
        <v>2.7386363636363638</v>
      </c>
      <c r="P199" s="5376">
        <f t="shared" si="297"/>
        <v>35.393153596683455</v>
      </c>
      <c r="Q199" s="5377">
        <f t="shared" si="298"/>
        <v>2.949429466390288</v>
      </c>
      <c r="R199" s="2776"/>
      <c r="S199" s="5378">
        <v>3.3863636363636362</v>
      </c>
      <c r="T199" s="5376">
        <v>3.6741573033707864</v>
      </c>
      <c r="U199" s="5376">
        <v>3.6477272727272729</v>
      </c>
      <c r="V199" s="5376">
        <v>3.5402298850574714</v>
      </c>
      <c r="W199" s="5376">
        <v>3.4942528735632186</v>
      </c>
      <c r="X199" s="5376">
        <v>3.1477272727272729</v>
      </c>
      <c r="Y199" s="5376">
        <v>2.4712643678160919</v>
      </c>
      <c r="Z199" s="5376">
        <v>4.797752808988764</v>
      </c>
      <c r="AA199" s="5376">
        <v>2.7934782608695654</v>
      </c>
      <c r="AB199" s="5376">
        <v>3.6136363636363638</v>
      </c>
      <c r="AC199" s="5376">
        <v>3.3103448275862069</v>
      </c>
      <c r="AD199" s="5376">
        <v>1.9772727272727273</v>
      </c>
      <c r="AE199" s="5376">
        <f t="shared" si="299"/>
        <v>39.854207599979382</v>
      </c>
      <c r="AF199" s="5377">
        <f t="shared" si="300"/>
        <v>3.3211839666649485</v>
      </c>
      <c r="AG199" s="2776"/>
      <c r="AH199" s="5436">
        <v>4.4888888888888889</v>
      </c>
      <c r="AI199" s="5437">
        <v>3.3595505617977528</v>
      </c>
      <c r="AJ199" s="5437">
        <v>3.8139534883720931</v>
      </c>
      <c r="AK199" s="5437">
        <v>3.9318181818181817</v>
      </c>
      <c r="AL199" s="5437">
        <v>4.0229885057471266</v>
      </c>
      <c r="AM199" s="5437">
        <v>2.6931818181818183</v>
      </c>
      <c r="AN199" s="5437">
        <v>4.0439560439560438</v>
      </c>
      <c r="AO199" s="5437">
        <v>2.9777777777777779</v>
      </c>
      <c r="AP199" s="5437">
        <v>3.7777777777777777</v>
      </c>
      <c r="AQ199" s="5437">
        <v>3.5729166666666665</v>
      </c>
      <c r="AR199" s="5437">
        <v>3.3020833333333335</v>
      </c>
      <c r="AS199" s="5437">
        <v>3.1157894736842104</v>
      </c>
      <c r="AT199" s="5437">
        <f t="shared" si="289"/>
        <v>43.100682518001669</v>
      </c>
      <c r="AU199" s="5438">
        <f t="shared" si="303"/>
        <v>3.5917235431668058</v>
      </c>
      <c r="AV199" s="4093"/>
      <c r="AW199" s="5439">
        <v>2.2577319587628866</v>
      </c>
      <c r="AX199" s="5437">
        <v>5.166666666666667</v>
      </c>
      <c r="AY199" s="5437">
        <v>3.6969696969696968</v>
      </c>
      <c r="AZ199" s="5437">
        <v>4.4183673469387754</v>
      </c>
      <c r="BA199" s="5437">
        <v>6.82</v>
      </c>
      <c r="BB199" s="5437">
        <v>4.268041237113402</v>
      </c>
      <c r="BC199" s="5376">
        <v>6.021505376344086</v>
      </c>
      <c r="BD199" s="5376">
        <v>4.5813953488372094</v>
      </c>
      <c r="BE199" s="5437">
        <v>4.7613636363636367</v>
      </c>
      <c r="BF199" s="5437">
        <v>3.1609195402298851</v>
      </c>
      <c r="BG199" s="5437">
        <v>3.4823529411764707</v>
      </c>
      <c r="BH199" s="5437">
        <v>3.1758241758241756</v>
      </c>
      <c r="BI199" s="5376">
        <f t="shared" si="292"/>
        <v>51.811137925226888</v>
      </c>
      <c r="BJ199" s="5377">
        <f t="shared" si="295"/>
        <v>4.3175948271022406</v>
      </c>
      <c r="BK199" s="2881"/>
      <c r="BL199" s="5411">
        <f>IFERROR('※ 영기팀 작성_가입자'!BL158/'※ 인력 세부데이터'!AW114,"")</f>
        <v>3.197802197802198</v>
      </c>
      <c r="BM199" s="5437">
        <f>IFERROR('※ 영기팀 작성_가입자'!BM158/'※ 인력 세부데이터'!AX114,"")</f>
        <v>2.2888888888888888</v>
      </c>
      <c r="BN199" s="5437" t="str">
        <f>IFERROR('※ 영기팀 작성_가입자'!BN158/'※ 인력 세부데이터'!AY114,"")</f>
        <v/>
      </c>
      <c r="BO199" s="5437" t="str">
        <f>IFERROR('※ 영기팀 작성_가입자'!BO158/'※ 인력 세부데이터'!AZ114,"")</f>
        <v/>
      </c>
      <c r="BP199" s="5437" t="str">
        <f>IFERROR('※ 영기팀 작성_가입자'!BP158/'※ 인력 세부데이터'!BA114,"")</f>
        <v/>
      </c>
      <c r="BQ199" s="5437" t="str">
        <f>IFERROR('※ 영기팀 작성_가입자'!BQ158/'※ 인력 세부데이터'!BB114,"")</f>
        <v/>
      </c>
      <c r="BR199" s="5376" t="str">
        <f>IFERROR('※ 영기팀 작성_가입자'!BR158/'※ 인력 세부데이터'!BC114,"")</f>
        <v/>
      </c>
      <c r="BS199" s="5376" t="str">
        <f>IFERROR('※ 영기팀 작성_가입자'!BS158/'※ 인력 세부데이터'!BD114,"")</f>
        <v/>
      </c>
      <c r="BT199" s="5437" t="str">
        <f>IFERROR('※ 영기팀 작성_가입자'!BT158/'※ 인력 세부데이터'!BE114,"")</f>
        <v/>
      </c>
      <c r="BU199" s="5437" t="str">
        <f>IFERROR('※ 영기팀 작성_가입자'!BU158/'※ 인력 세부데이터'!BF114,"")</f>
        <v/>
      </c>
      <c r="BV199" s="5437" t="str">
        <f>IFERROR('※ 영기팀 작성_가입자'!BV158/'※ 인력 세부데이터'!BG114,"")</f>
        <v/>
      </c>
      <c r="BW199" s="5437" t="str">
        <f>IFERROR('※ 영기팀 작성_가입자'!BW158/'※ 인력 세부데이터'!BH114,"")</f>
        <v/>
      </c>
      <c r="BX199" s="5376">
        <f t="shared" si="296"/>
        <v>5.4866910866910867</v>
      </c>
      <c r="BY199" s="5261">
        <f t="shared" si="294"/>
        <v>2.7433455433455434</v>
      </c>
      <c r="CA199" s="169">
        <f t="shared" si="301"/>
        <v>-2.8777777777777782</v>
      </c>
      <c r="CB199" s="169">
        <f t="shared" si="288"/>
        <v>0.72587128393543487</v>
      </c>
      <c r="CC199" s="169">
        <f>IFERROR(
  SUM(
    _xlfn.XLOOKUP(DATE(YEAR($A$1),1,1),$2:$2,199:199):
    _xlfn.XLOOKUP($A$1,$2:$2,199:199)
  )
 -SUM(
    _xlfn.XLOOKUP(DATE(YEAR($A$1)-1,1,1),$2:$2,199:199):
    _xlfn.XLOOKUP(EDATE($A$1,-12),$2:$2,199:199)
  ),"")</f>
        <v>-1.9377075387384668</v>
      </c>
      <c r="CD199" s="4517">
        <f t="shared" si="302"/>
        <v>-0.90891330891330924</v>
      </c>
    </row>
    <row r="200" spans="1:84" ht="17.600000000000001" x14ac:dyDescent="0.55000000000000004">
      <c r="A200" s="7383"/>
      <c r="B200" s="2062"/>
      <c r="C200" s="5263" t="s">
        <v>217</v>
      </c>
      <c r="D200" s="5384">
        <v>5.2377049180327866</v>
      </c>
      <c r="E200" s="5384">
        <v>4.0743801652892566</v>
      </c>
      <c r="F200" s="5384">
        <v>4.1428571428571432</v>
      </c>
      <c r="G200" s="5384">
        <v>4.0258620689655169</v>
      </c>
      <c r="H200" s="5384">
        <v>4.7043478260869565</v>
      </c>
      <c r="I200" s="5384">
        <v>4.0901639344262293</v>
      </c>
      <c r="J200" s="5384">
        <v>3.3279999999999998</v>
      </c>
      <c r="K200" s="5384">
        <v>4.2396694214876032</v>
      </c>
      <c r="L200" s="5384">
        <v>2.84375</v>
      </c>
      <c r="M200" s="5384">
        <v>3.3140495867768593</v>
      </c>
      <c r="N200" s="5384">
        <v>3.879032258064516</v>
      </c>
      <c r="O200" s="5384">
        <v>3.3519999999999999</v>
      </c>
      <c r="P200" s="5384">
        <f t="shared" si="297"/>
        <v>47.23181732198686</v>
      </c>
      <c r="Q200" s="5385">
        <f t="shared" si="298"/>
        <v>3.9359847768322385</v>
      </c>
      <c r="R200" s="2776"/>
      <c r="S200" s="5386">
        <v>3.5703125</v>
      </c>
      <c r="T200" s="5384">
        <v>4.7734375</v>
      </c>
      <c r="U200" s="5384">
        <v>4.412698412698413</v>
      </c>
      <c r="V200" s="5384">
        <v>4.3495934959349594</v>
      </c>
      <c r="W200" s="5384">
        <v>3.6535433070866143</v>
      </c>
      <c r="X200" s="5384">
        <v>4.1746031746031749</v>
      </c>
      <c r="Y200" s="5384">
        <v>3.2184873949579833</v>
      </c>
      <c r="Z200" s="5384">
        <v>4.8632478632478628</v>
      </c>
      <c r="AA200" s="5384">
        <v>3.0948275862068964</v>
      </c>
      <c r="AB200" s="5384">
        <v>3.700854700854701</v>
      </c>
      <c r="AC200" s="5384">
        <v>3.7983193277310923</v>
      </c>
      <c r="AD200" s="5384">
        <v>2.9145299145299144</v>
      </c>
      <c r="AE200" s="5384">
        <f t="shared" si="299"/>
        <v>46.524455177851607</v>
      </c>
      <c r="AF200" s="5385">
        <f t="shared" si="300"/>
        <v>3.8770379314876338</v>
      </c>
      <c r="AG200" s="2776"/>
      <c r="AH200" s="5440">
        <v>4.6833333333333336</v>
      </c>
      <c r="AI200" s="5441">
        <v>3.9083333333333332</v>
      </c>
      <c r="AJ200" s="5441">
        <v>4.4049586776859506</v>
      </c>
      <c r="AK200" s="5441">
        <v>4.9421487603305785</v>
      </c>
      <c r="AL200" s="5441">
        <v>4.7804878048780486</v>
      </c>
      <c r="AM200" s="5441">
        <v>4.291666666666667</v>
      </c>
      <c r="AN200" s="5441">
        <v>5.2068965517241379</v>
      </c>
      <c r="AO200" s="5441">
        <v>4.1779661016949152</v>
      </c>
      <c r="AP200" s="5441">
        <v>3.7796610169491527</v>
      </c>
      <c r="AQ200" s="5441">
        <v>4.9672131147540988</v>
      </c>
      <c r="AR200" s="5441">
        <v>3.873015873015873</v>
      </c>
      <c r="AS200" s="5441">
        <v>3.671875</v>
      </c>
      <c r="AT200" s="5441">
        <f t="shared" si="289"/>
        <v>52.687556234366099</v>
      </c>
      <c r="AU200" s="5442">
        <f t="shared" si="303"/>
        <v>4.3906296861971752</v>
      </c>
      <c r="AV200" s="4093"/>
      <c r="AW200" s="5443">
        <v>2.2388059701492535</v>
      </c>
      <c r="AX200" s="5441">
        <v>5.4960000000000004</v>
      </c>
      <c r="AY200" s="5441">
        <v>4.4400000000000004</v>
      </c>
      <c r="AZ200" s="5441">
        <v>6.3495934959349594</v>
      </c>
      <c r="BA200" s="5441">
        <v>8.6083333333333325</v>
      </c>
      <c r="BB200" s="5441">
        <v>5.7288135593220337</v>
      </c>
      <c r="BC200" s="5384">
        <v>8.3333333333333339</v>
      </c>
      <c r="BD200" s="5384">
        <v>5.5350877192982457</v>
      </c>
      <c r="BE200" s="5441">
        <v>4.7863247863247862</v>
      </c>
      <c r="BF200" s="5441">
        <v>4.2636363636363637</v>
      </c>
      <c r="BG200" s="5441">
        <v>3.5982142857142856</v>
      </c>
      <c r="BH200" s="5441">
        <v>2.7731092436974789</v>
      </c>
      <c r="BI200" s="5384">
        <f t="shared" si="292"/>
        <v>62.151252090744073</v>
      </c>
      <c r="BJ200" s="5385">
        <f t="shared" si="295"/>
        <v>5.1792710075620061</v>
      </c>
      <c r="BK200" s="2881"/>
      <c r="BL200" s="5412">
        <f>IFERROR('※ 영기팀 작성_가입자'!BL159/'※ 인력 세부데이터'!AW115,"")</f>
        <v>2.403225806451613</v>
      </c>
      <c r="BM200" s="5441">
        <f>IFERROR('※ 영기팀 작성_가입자'!BM159/'※ 인력 세부데이터'!AX115,"")</f>
        <v>1.5546875</v>
      </c>
      <c r="BN200" s="5441" t="str">
        <f>IFERROR('※ 영기팀 작성_가입자'!BN159/'※ 인력 세부데이터'!AY115,"")</f>
        <v/>
      </c>
      <c r="BO200" s="5441" t="str">
        <f>IFERROR('※ 영기팀 작성_가입자'!BO159/'※ 인력 세부데이터'!AZ115,"")</f>
        <v/>
      </c>
      <c r="BP200" s="5441" t="str">
        <f>IFERROR('※ 영기팀 작성_가입자'!BP159/'※ 인력 세부데이터'!BA115,"")</f>
        <v/>
      </c>
      <c r="BQ200" s="5441" t="str">
        <f>IFERROR('※ 영기팀 작성_가입자'!BQ159/'※ 인력 세부데이터'!BB115,"")</f>
        <v/>
      </c>
      <c r="BR200" s="5384" t="str">
        <f>IFERROR('※ 영기팀 작성_가입자'!BR159/'※ 인력 세부데이터'!BC115,"")</f>
        <v/>
      </c>
      <c r="BS200" s="5384" t="str">
        <f>IFERROR('※ 영기팀 작성_가입자'!BS159/'※ 인력 세부데이터'!BD115,"")</f>
        <v/>
      </c>
      <c r="BT200" s="5441" t="str">
        <f>IFERROR('※ 영기팀 작성_가입자'!BT159/'※ 인력 세부데이터'!BE115,"")</f>
        <v/>
      </c>
      <c r="BU200" s="5441" t="str">
        <f>IFERROR('※ 영기팀 작성_가입자'!BU159/'※ 인력 세부데이터'!BF115,"")</f>
        <v/>
      </c>
      <c r="BV200" s="5441" t="str">
        <f>IFERROR('※ 영기팀 작성_가입자'!BV159/'※ 인력 세부데이터'!BG115,"")</f>
        <v/>
      </c>
      <c r="BW200" s="5441" t="str">
        <f>IFERROR('※ 영기팀 작성_가입자'!BW159/'※ 인력 세부데이터'!BH115,"")</f>
        <v/>
      </c>
      <c r="BX200" s="5384">
        <f t="shared" si="296"/>
        <v>3.957913306451613</v>
      </c>
      <c r="BY200" s="5266">
        <f t="shared" si="294"/>
        <v>1.9789566532258065</v>
      </c>
      <c r="CA200" s="169">
        <f t="shared" si="301"/>
        <v>-3.9413125000000004</v>
      </c>
      <c r="CB200" s="169">
        <f t="shared" si="288"/>
        <v>0.78864132136483089</v>
      </c>
      <c r="CC200" s="169">
        <f>IFERROR(
  SUM(
    _xlfn.XLOOKUP(DATE(YEAR($A$1),1,1),$2:$2,200:200):
    _xlfn.XLOOKUP($A$1,$2:$2,200:200)
  )
 -SUM(
    _xlfn.XLOOKUP(DATE(YEAR($A$1)-1,1,1),$2:$2,200:200):
    _xlfn.XLOOKUP(EDATE($A$1,-12),$2:$2,200:200)
  ),"")</f>
        <v>-3.776892663697641</v>
      </c>
      <c r="CD200" s="4517">
        <f t="shared" si="302"/>
        <v>-0.84853830645161299</v>
      </c>
    </row>
    <row r="201" spans="1:84" ht="17.600000000000001" x14ac:dyDescent="0.55000000000000004">
      <c r="A201" s="7383"/>
      <c r="B201" s="2062"/>
      <c r="C201" s="5263" t="s">
        <v>218</v>
      </c>
      <c r="D201" s="5384">
        <v>2.9831932773109244</v>
      </c>
      <c r="E201" s="5384">
        <v>2.5934959349593494</v>
      </c>
      <c r="F201" s="5384">
        <v>2.5916666666666668</v>
      </c>
      <c r="G201" s="5384">
        <v>2.2950819672131146</v>
      </c>
      <c r="H201" s="5384">
        <v>1.9318181818181819</v>
      </c>
      <c r="I201" s="5384">
        <v>2.6335877862595418</v>
      </c>
      <c r="J201" s="5384">
        <v>1.8695652173913044</v>
      </c>
      <c r="K201" s="5384">
        <v>2.6911764705882355</v>
      </c>
      <c r="L201" s="5384">
        <v>1.8571428571428572</v>
      </c>
      <c r="M201" s="5384">
        <v>2.0305343511450382</v>
      </c>
      <c r="N201" s="5384">
        <v>2.0522388059701493</v>
      </c>
      <c r="O201" s="5384">
        <v>2.1268656716417911</v>
      </c>
      <c r="P201" s="5384">
        <f t="shared" si="297"/>
        <v>27.656367188107154</v>
      </c>
      <c r="Q201" s="5385">
        <f t="shared" si="298"/>
        <v>2.3046972656755962</v>
      </c>
      <c r="R201" s="2776"/>
      <c r="S201" s="5386">
        <v>2.96875</v>
      </c>
      <c r="T201" s="5384">
        <v>3.7619047619047619</v>
      </c>
      <c r="U201" s="5384">
        <v>2.7936507936507935</v>
      </c>
      <c r="V201" s="5384">
        <v>2.7919999999999998</v>
      </c>
      <c r="W201" s="5384">
        <v>2.9047619047619047</v>
      </c>
      <c r="X201" s="5384">
        <v>2.7716535433070866</v>
      </c>
      <c r="Y201" s="5384">
        <v>2.0952380952380953</v>
      </c>
      <c r="Z201" s="5384">
        <v>3.3253968253968256</v>
      </c>
      <c r="AA201" s="5384">
        <v>2.0901639344262297</v>
      </c>
      <c r="AB201" s="5384">
        <v>2.3140495867768593</v>
      </c>
      <c r="AC201" s="5384">
        <v>2.1074380165289255</v>
      </c>
      <c r="AD201" s="5384">
        <v>2.139344262295082</v>
      </c>
      <c r="AE201" s="5384">
        <f t="shared" si="299"/>
        <v>32.06435172428656</v>
      </c>
      <c r="AF201" s="5385">
        <f t="shared" si="300"/>
        <v>2.6720293103572135</v>
      </c>
      <c r="AG201" s="2776"/>
      <c r="AH201" s="5440">
        <v>3.6320000000000001</v>
      </c>
      <c r="AI201" s="5441">
        <v>2.661290322580645</v>
      </c>
      <c r="AJ201" s="5441">
        <v>3.5123966942148761</v>
      </c>
      <c r="AK201" s="5441">
        <v>3.3360655737704916</v>
      </c>
      <c r="AL201" s="5441">
        <v>3.1417322834645671</v>
      </c>
      <c r="AM201" s="5441">
        <v>2.9917355371900825</v>
      </c>
      <c r="AN201" s="5441">
        <v>4.2857142857142856</v>
      </c>
      <c r="AO201" s="5441">
        <v>2.5555555555555554</v>
      </c>
      <c r="AP201" s="5441">
        <v>3.3135593220338984</v>
      </c>
      <c r="AQ201" s="5441">
        <v>2.8677685950413223</v>
      </c>
      <c r="AR201" s="5441">
        <v>2.910569105691057</v>
      </c>
      <c r="AS201" s="5441">
        <v>2.2619047619047619</v>
      </c>
      <c r="AT201" s="5441">
        <f t="shared" si="289"/>
        <v>37.470292037161542</v>
      </c>
      <c r="AU201" s="5442">
        <f t="shared" si="303"/>
        <v>3.1225243364301285</v>
      </c>
      <c r="AV201" s="4093"/>
      <c r="AW201" s="5443">
        <v>2.3333333333333335</v>
      </c>
      <c r="AX201" s="5441">
        <v>4.282258064516129</v>
      </c>
      <c r="AY201" s="5441">
        <v>3.1900826446280992</v>
      </c>
      <c r="AZ201" s="5441">
        <v>4.223140495867769</v>
      </c>
      <c r="BA201" s="5441">
        <v>6.4344262295081966</v>
      </c>
      <c r="BB201" s="5441">
        <v>3.464</v>
      </c>
      <c r="BC201" s="5384">
        <v>4.968</v>
      </c>
      <c r="BD201" s="5384">
        <v>3.2338709677419355</v>
      </c>
      <c r="BE201" s="5441">
        <v>3.8235294117647061</v>
      </c>
      <c r="BF201" s="5441">
        <v>2.4444444444444446</v>
      </c>
      <c r="BG201" s="5441">
        <v>2.4915254237288136</v>
      </c>
      <c r="BH201" s="5441">
        <v>2.3223140495867769</v>
      </c>
      <c r="BI201" s="5384">
        <f t="shared" si="292"/>
        <v>43.2109250651202</v>
      </c>
      <c r="BJ201" s="5385">
        <f t="shared" si="295"/>
        <v>3.6009104220933499</v>
      </c>
      <c r="BK201" s="2881"/>
      <c r="BL201" s="5412">
        <f>IFERROR('※ 영기팀 작성_가입자'!BL160/'※ 인력 세부데이터'!AW116,"")</f>
        <v>3.4206349206349205</v>
      </c>
      <c r="BM201" s="5441">
        <f>IFERROR('※ 영기팀 작성_가입자'!BM160/'※ 인력 세부데이터'!AX116,"")</f>
        <v>2.379032258064516</v>
      </c>
      <c r="BN201" s="5441" t="str">
        <f>IFERROR('※ 영기팀 작성_가입자'!BN160/'※ 인력 세부데이터'!AY116,"")</f>
        <v/>
      </c>
      <c r="BO201" s="5441" t="str">
        <f>IFERROR('※ 영기팀 작성_가입자'!BO160/'※ 인력 세부데이터'!AZ116,"")</f>
        <v/>
      </c>
      <c r="BP201" s="5441" t="str">
        <f>IFERROR('※ 영기팀 작성_가입자'!BP160/'※ 인력 세부데이터'!BA116,"")</f>
        <v/>
      </c>
      <c r="BQ201" s="5441" t="str">
        <f>IFERROR('※ 영기팀 작성_가입자'!BQ160/'※ 인력 세부데이터'!BB116,"")</f>
        <v/>
      </c>
      <c r="BR201" s="5384" t="str">
        <f>IFERROR('※ 영기팀 작성_가입자'!BR160/'※ 인력 세부데이터'!BC116,"")</f>
        <v/>
      </c>
      <c r="BS201" s="5384" t="str">
        <f>IFERROR('※ 영기팀 작성_가입자'!BS160/'※ 인력 세부데이터'!BD116,"")</f>
        <v/>
      </c>
      <c r="BT201" s="5441" t="str">
        <f>IFERROR('※ 영기팀 작성_가입자'!BT160/'※ 인력 세부데이터'!BE116,"")</f>
        <v/>
      </c>
      <c r="BU201" s="5441" t="str">
        <f>IFERROR('※ 영기팀 작성_가입자'!BU160/'※ 인력 세부데이터'!BF116,"")</f>
        <v/>
      </c>
      <c r="BV201" s="5441" t="str">
        <f>IFERROR('※ 영기팀 작성_가입자'!BV160/'※ 인력 세부데이터'!BG116,"")</f>
        <v/>
      </c>
      <c r="BW201" s="5441" t="str">
        <f>IFERROR('※ 영기팀 작성_가입자'!BW160/'※ 인력 세부데이터'!BH116,"")</f>
        <v/>
      </c>
      <c r="BX201" s="5384">
        <f t="shared" si="296"/>
        <v>5.7996671786994369</v>
      </c>
      <c r="BY201" s="5266">
        <f t="shared" si="294"/>
        <v>2.8998335893497185</v>
      </c>
      <c r="CA201" s="169">
        <f t="shared" si="301"/>
        <v>-1.903225806451613</v>
      </c>
      <c r="CB201" s="169">
        <f t="shared" si="288"/>
        <v>0.47838608566322138</v>
      </c>
      <c r="CC201" s="169">
        <f>IFERROR(
  SUM(
    _xlfn.XLOOKUP(DATE(YEAR($A$1),1,1),$2:$2,201:201):
    _xlfn.XLOOKUP($A$1,$2:$2,201:201)
  )
 -SUM(
    _xlfn.XLOOKUP(DATE(YEAR($A$1)-1,1,1),$2:$2,201:201):
    _xlfn.XLOOKUP(EDATE($A$1,-12),$2:$2,201:201)
  ),"")</f>
        <v>-0.81592421915002511</v>
      </c>
      <c r="CD201" s="4517">
        <f t="shared" si="302"/>
        <v>-1.0416026625704045</v>
      </c>
    </row>
    <row r="202" spans="1:84" ht="17.600000000000001" x14ac:dyDescent="0.55000000000000004">
      <c r="A202" s="7383"/>
      <c r="B202" s="2062"/>
      <c r="C202" s="5258" t="s">
        <v>219</v>
      </c>
      <c r="D202" s="5376">
        <v>4.0990099009900991</v>
      </c>
      <c r="E202" s="5376">
        <v>2.9690721649484537</v>
      </c>
      <c r="F202" s="5376">
        <v>2.9223300970873787</v>
      </c>
      <c r="G202" s="5376">
        <v>2.5940594059405941</v>
      </c>
      <c r="H202" s="5376">
        <v>3.2403846153846154</v>
      </c>
      <c r="I202" s="5376">
        <v>2.9306930693069306</v>
      </c>
      <c r="J202" s="5376">
        <v>3.1836734693877551</v>
      </c>
      <c r="K202" s="5376">
        <v>4.0309278350515463</v>
      </c>
      <c r="L202" s="5376">
        <v>2.6105263157894738</v>
      </c>
      <c r="M202" s="5376">
        <v>3.1458333333333335</v>
      </c>
      <c r="N202" s="5376">
        <v>3.7857142857142856</v>
      </c>
      <c r="O202" s="5376">
        <v>2.3211009174311927</v>
      </c>
      <c r="P202" s="5376">
        <f t="shared" si="297"/>
        <v>37.83332541036566</v>
      </c>
      <c r="Q202" s="5377">
        <f t="shared" si="298"/>
        <v>3.1527771175304715</v>
      </c>
      <c r="R202" s="2776"/>
      <c r="S202" s="5378">
        <v>3.358490566037736</v>
      </c>
      <c r="T202" s="5376">
        <v>4.2929292929292933</v>
      </c>
      <c r="U202" s="5376">
        <v>3.0625</v>
      </c>
      <c r="V202" s="5376">
        <v>3.3564356435643563</v>
      </c>
      <c r="W202" s="5376">
        <v>2.5779816513761467</v>
      </c>
      <c r="X202" s="5376">
        <v>2.7307692307692308</v>
      </c>
      <c r="Y202" s="5376">
        <v>2.4900000000000002</v>
      </c>
      <c r="Z202" s="5376">
        <v>3.970873786407767</v>
      </c>
      <c r="AA202" s="5376">
        <v>2.3267326732673266</v>
      </c>
      <c r="AB202" s="5376">
        <v>2.9696969696969697</v>
      </c>
      <c r="AC202" s="5376">
        <v>1.9705882352941178</v>
      </c>
      <c r="AD202" s="5376">
        <v>1.7941176470588236</v>
      </c>
      <c r="AE202" s="5376">
        <f t="shared" si="299"/>
        <v>34.901115696401767</v>
      </c>
      <c r="AF202" s="5377">
        <f t="shared" si="300"/>
        <v>2.9084263080334805</v>
      </c>
      <c r="AG202" s="2776"/>
      <c r="AH202" s="5436">
        <v>3.6542056074766354</v>
      </c>
      <c r="AI202" s="5437">
        <v>2.0761904761904764</v>
      </c>
      <c r="AJ202" s="5437">
        <v>3.5480769230769229</v>
      </c>
      <c r="AK202" s="5437">
        <v>3.4392523364485981</v>
      </c>
      <c r="AL202" s="5437">
        <v>3.1226415094339623</v>
      </c>
      <c r="AM202" s="5437">
        <v>3.1634615384615383</v>
      </c>
      <c r="AN202" s="5437">
        <v>3.375</v>
      </c>
      <c r="AO202" s="5437">
        <v>2.8349514563106797</v>
      </c>
      <c r="AP202" s="5437">
        <v>2.6542056074766354</v>
      </c>
      <c r="AQ202" s="5437">
        <v>2.2956521739130435</v>
      </c>
      <c r="AR202" s="5437">
        <v>2.5585585585585586</v>
      </c>
      <c r="AS202" s="5437">
        <v>1.9661016949152543</v>
      </c>
      <c r="AT202" s="5437">
        <f t="shared" si="289"/>
        <v>34.688297882262304</v>
      </c>
      <c r="AU202" s="5438">
        <f t="shared" si="303"/>
        <v>2.8906914901885252</v>
      </c>
      <c r="AV202" s="4093"/>
      <c r="AW202" s="5439">
        <v>1.8225806451612903</v>
      </c>
      <c r="AX202" s="5437">
        <v>4.3025210084033612</v>
      </c>
      <c r="AY202" s="5437">
        <v>3.15</v>
      </c>
      <c r="AZ202" s="5437">
        <v>3.178861788617886</v>
      </c>
      <c r="BA202" s="5437">
        <v>5.5213675213675213</v>
      </c>
      <c r="BB202" s="5437">
        <v>2.6101694915254239</v>
      </c>
      <c r="BC202" s="5376">
        <v>4.4661016949152543</v>
      </c>
      <c r="BD202" s="5376">
        <v>2.9482758620689653</v>
      </c>
      <c r="BE202" s="5437">
        <v>3.0172413793103448</v>
      </c>
      <c r="BF202" s="5437">
        <v>2.168141592920354</v>
      </c>
      <c r="BG202" s="5437">
        <v>2.1711711711711712</v>
      </c>
      <c r="BH202" s="5437">
        <v>2.0275229357798166</v>
      </c>
      <c r="BI202" s="5376">
        <f t="shared" si="292"/>
        <v>37.38395509124139</v>
      </c>
      <c r="BJ202" s="5377">
        <f t="shared" si="295"/>
        <v>3.1153295909367826</v>
      </c>
      <c r="BK202" s="2881"/>
      <c r="BL202" s="5411">
        <f>IFERROR('※ 영기팀 작성_가입자'!BL161/'※ 인력 세부데이터'!AW117,"")</f>
        <v>4.7913043478260873</v>
      </c>
      <c r="BM202" s="5437">
        <f>IFERROR('※ 영기팀 작성_가입자'!BM161/'※ 인력 세부데이터'!AX117,"")</f>
        <v>3.4017094017094016</v>
      </c>
      <c r="BN202" s="5437" t="str">
        <f>IFERROR('※ 영기팀 작성_가입자'!BN161/'※ 인력 세부데이터'!AY117,"")</f>
        <v/>
      </c>
      <c r="BO202" s="5437" t="str">
        <f>IFERROR('※ 영기팀 작성_가입자'!BO161/'※ 인력 세부데이터'!AZ117,"")</f>
        <v/>
      </c>
      <c r="BP202" s="5437" t="str">
        <f>IFERROR('※ 영기팀 작성_가입자'!BP161/'※ 인력 세부데이터'!BA117,"")</f>
        <v/>
      </c>
      <c r="BQ202" s="5437" t="str">
        <f>IFERROR('※ 영기팀 작성_가입자'!BQ161/'※ 인력 세부데이터'!BB117,"")</f>
        <v/>
      </c>
      <c r="BR202" s="5376" t="str">
        <f>IFERROR('※ 영기팀 작성_가입자'!BR161/'※ 인력 세부데이터'!BC117,"")</f>
        <v/>
      </c>
      <c r="BS202" s="5376" t="str">
        <f>IFERROR('※ 영기팀 작성_가입자'!BS161/'※ 인력 세부데이터'!BD117,"")</f>
        <v/>
      </c>
      <c r="BT202" s="5437" t="str">
        <f>IFERROR('※ 영기팀 작성_가입자'!BT161/'※ 인력 세부데이터'!BE117,"")</f>
        <v/>
      </c>
      <c r="BU202" s="5437" t="str">
        <f>IFERROR('※ 영기팀 작성_가입자'!BU161/'※ 인력 세부데이터'!BF117,"")</f>
        <v/>
      </c>
      <c r="BV202" s="5437" t="str">
        <f>IFERROR('※ 영기팀 작성_가입자'!BV161/'※ 인력 세부데이터'!BG117,"")</f>
        <v/>
      </c>
      <c r="BW202" s="5437" t="str">
        <f>IFERROR('※ 영기팀 작성_가입자'!BW161/'※ 인력 세부데이터'!BH117,"")</f>
        <v/>
      </c>
      <c r="BX202" s="5376">
        <f t="shared" si="296"/>
        <v>8.1930137495354884</v>
      </c>
      <c r="BY202" s="5261">
        <f t="shared" si="294"/>
        <v>4.0965068747677442</v>
      </c>
      <c r="CA202" s="169">
        <f t="shared" si="301"/>
        <v>-0.90081160669395954</v>
      </c>
      <c r="CB202" s="169">
        <f t="shared" si="288"/>
        <v>0.22463810074825741</v>
      </c>
      <c r="CC202" s="169">
        <f>IFERROR(
  SUM(
    _xlfn.XLOOKUP(DATE(YEAR($A$1),1,1),$2:$2,202:202):
    _xlfn.XLOOKUP($A$1,$2:$2,202:202)
  )
 -SUM(
    _xlfn.XLOOKUP(DATE(YEAR($A$1)-1,1,1),$2:$2,202:202):
    _xlfn.XLOOKUP(EDATE($A$1,-12),$2:$2,202:202)
  ),"")</f>
        <v>2.0679120959708372</v>
      </c>
      <c r="CD202" s="4517">
        <f t="shared" si="302"/>
        <v>-1.3895949461166857</v>
      </c>
    </row>
    <row r="203" spans="1:84" ht="18" thickBot="1" x14ac:dyDescent="0.6">
      <c r="A203" s="7384"/>
      <c r="B203" s="5268"/>
      <c r="C203" s="5269" t="s">
        <v>220</v>
      </c>
      <c r="D203" s="5392">
        <v>3.0784313725490198</v>
      </c>
      <c r="E203" s="5392">
        <v>2.4</v>
      </c>
      <c r="F203" s="5392">
        <v>2.3191489361702127</v>
      </c>
      <c r="G203" s="5392">
        <v>2.2653061224489797</v>
      </c>
      <c r="H203" s="5392">
        <v>1.9519230769230769</v>
      </c>
      <c r="I203" s="5392">
        <v>2.1894736842105265</v>
      </c>
      <c r="J203" s="5392">
        <v>1.9375</v>
      </c>
      <c r="K203" s="5392">
        <v>2.0631578947368423</v>
      </c>
      <c r="L203" s="5392">
        <v>1.7272727272727273</v>
      </c>
      <c r="M203" s="5392">
        <v>1.6320754716981132</v>
      </c>
      <c r="N203" s="5392">
        <v>1.4336283185840708</v>
      </c>
      <c r="O203" s="5392">
        <v>1.6086956521739131</v>
      </c>
      <c r="P203" s="5392">
        <f t="shared" si="297"/>
        <v>24.606613256767481</v>
      </c>
      <c r="Q203" s="5393">
        <f t="shared" si="298"/>
        <v>2.0505511047306233</v>
      </c>
      <c r="R203" s="2776"/>
      <c r="S203" s="5394">
        <v>1.7037037037037037</v>
      </c>
      <c r="T203" s="5392">
        <v>1.5</v>
      </c>
      <c r="U203" s="5392">
        <v>1.9705882352941178</v>
      </c>
      <c r="V203" s="5392">
        <v>2.2200000000000002</v>
      </c>
      <c r="W203" s="5392">
        <v>1.8</v>
      </c>
      <c r="X203" s="5392">
        <v>1.9607843137254901</v>
      </c>
      <c r="Y203" s="5392">
        <v>2.1354166666666665</v>
      </c>
      <c r="Z203" s="5392">
        <v>2.1346153846153846</v>
      </c>
      <c r="AA203" s="5392">
        <v>1.9711538461538463</v>
      </c>
      <c r="AB203" s="5392">
        <v>2.203883495145631</v>
      </c>
      <c r="AC203" s="5392">
        <v>2.1886792452830188</v>
      </c>
      <c r="AD203" s="5392">
        <v>2.0095238095238095</v>
      </c>
      <c r="AE203" s="5392">
        <f t="shared" si="299"/>
        <v>23.798348700111671</v>
      </c>
      <c r="AF203" s="5393">
        <f t="shared" si="300"/>
        <v>1.983195725009306</v>
      </c>
      <c r="AG203" s="2776"/>
      <c r="AH203" s="5444">
        <v>2.2242990654205608</v>
      </c>
      <c r="AI203" s="5445">
        <v>2.1844660194174756</v>
      </c>
      <c r="AJ203" s="5445">
        <v>2.8095238095238093</v>
      </c>
      <c r="AK203" s="5445">
        <v>2.625</v>
      </c>
      <c r="AL203" s="5445">
        <v>2.8095238095238093</v>
      </c>
      <c r="AM203" s="5445">
        <v>2.4095238095238094</v>
      </c>
      <c r="AN203" s="5445">
        <v>2.6785714285714284</v>
      </c>
      <c r="AO203" s="5445">
        <v>2</v>
      </c>
      <c r="AP203" s="5445">
        <v>2.6379310344827585</v>
      </c>
      <c r="AQ203" s="5445">
        <v>2.2735042735042734</v>
      </c>
      <c r="AR203" s="5445">
        <v>2.2782608695652176</v>
      </c>
      <c r="AS203" s="5445">
        <v>2.0263157894736841</v>
      </c>
      <c r="AT203" s="5445">
        <f t="shared" si="289"/>
        <v>28.956919909006828</v>
      </c>
      <c r="AU203" s="5446">
        <f t="shared" si="303"/>
        <v>2.4130766590839023</v>
      </c>
      <c r="AV203" s="4093"/>
      <c r="AW203" s="5447">
        <v>1.8</v>
      </c>
      <c r="AX203" s="5445">
        <v>3.3027522935779818</v>
      </c>
      <c r="AY203" s="5445">
        <v>3</v>
      </c>
      <c r="AZ203" s="5445">
        <v>2.5913043478260871</v>
      </c>
      <c r="BA203" s="5445">
        <v>5.0900900900900901</v>
      </c>
      <c r="BB203" s="5445">
        <v>3.3636363636363638</v>
      </c>
      <c r="BC203" s="5392">
        <v>4.0900900900900901</v>
      </c>
      <c r="BD203" s="5392">
        <v>3.0550458715596331</v>
      </c>
      <c r="BE203" s="5445">
        <v>2.5090909090909093</v>
      </c>
      <c r="BF203" s="5445">
        <v>2.2432432432432434</v>
      </c>
      <c r="BG203" s="5445">
        <v>2.1981981981981984</v>
      </c>
      <c r="BH203" s="5445">
        <v>2.0442477876106193</v>
      </c>
      <c r="BI203" s="5392">
        <f t="shared" si="292"/>
        <v>35.287699194923221</v>
      </c>
      <c r="BJ203" s="5393">
        <f t="shared" si="295"/>
        <v>2.9406415995769351</v>
      </c>
      <c r="BK203" s="2881"/>
      <c r="BL203" s="5413">
        <f>IFERROR('※ 영기팀 작성_가입자'!BL162/'※ 인력 세부데이터'!AW118,"")</f>
        <v>3.5486725663716814</v>
      </c>
      <c r="BM203" s="5445">
        <f>IFERROR('※ 영기팀 작성_가입자'!BM162/'※ 인력 세부데이터'!AX118,"")</f>
        <v>1.9203539823008851</v>
      </c>
      <c r="BN203" s="5445" t="str">
        <f>IFERROR('※ 영기팀 작성_가입자'!BN162/'※ 인력 세부데이터'!AY118,"")</f>
        <v/>
      </c>
      <c r="BO203" s="5445" t="str">
        <f>IFERROR('※ 영기팀 작성_가입자'!BO162/'※ 인력 세부데이터'!AZ118,"")</f>
        <v/>
      </c>
      <c r="BP203" s="5445" t="str">
        <f>IFERROR('※ 영기팀 작성_가입자'!BP162/'※ 인력 세부데이터'!BA118,"")</f>
        <v/>
      </c>
      <c r="BQ203" s="5445" t="str">
        <f>IFERROR('※ 영기팀 작성_가입자'!BQ162/'※ 인력 세부데이터'!BB118,"")</f>
        <v/>
      </c>
      <c r="BR203" s="5392" t="str">
        <f>IFERROR('※ 영기팀 작성_가입자'!BR162/'※ 인력 세부데이터'!BC118,"")</f>
        <v/>
      </c>
      <c r="BS203" s="5392" t="str">
        <f>IFERROR('※ 영기팀 작성_가입자'!BS162/'※ 인력 세부데이터'!BD118,"")</f>
        <v/>
      </c>
      <c r="BT203" s="5445" t="str">
        <f>IFERROR('※ 영기팀 작성_가입자'!BT162/'※ 인력 세부데이터'!BE118,"")</f>
        <v/>
      </c>
      <c r="BU203" s="5445" t="str">
        <f>IFERROR('※ 영기팀 작성_가입자'!BU162/'※ 인력 세부데이터'!BF118,"")</f>
        <v/>
      </c>
      <c r="BV203" s="5445" t="str">
        <f>IFERROR('※ 영기팀 작성_가입자'!BV162/'※ 인력 세부데이터'!BG118,"")</f>
        <v/>
      </c>
      <c r="BW203" s="5445" t="str">
        <f>IFERROR('※ 영기팀 작성_가입자'!BW162/'※ 인력 세부데이터'!BH118,"")</f>
        <v/>
      </c>
      <c r="BX203" s="5392">
        <f t="shared" si="296"/>
        <v>5.4690265486725664</v>
      </c>
      <c r="BY203" s="5272">
        <f t="shared" si="294"/>
        <v>2.7345132743362832</v>
      </c>
      <c r="CA203" s="169">
        <f t="shared" si="301"/>
        <v>-1.3823983112770968</v>
      </c>
      <c r="CB203" s="169">
        <f t="shared" si="288"/>
        <v>0.52756494049303271</v>
      </c>
      <c r="CC203" s="169">
        <f>IFERROR(
  SUM(
    _xlfn.XLOOKUP(DATE(YEAR($A$1),1,1),$2:$2,203:203):
    _xlfn.XLOOKUP($A$1,$2:$2,203:203)
  )
 -SUM(
    _xlfn.XLOOKUP(DATE(YEAR($A$1)-1,1,1),$2:$2,203:203):
    _xlfn.XLOOKUP(EDATE($A$1,-12),$2:$2,203:203)
  ),"")</f>
        <v>0.36627425509458433</v>
      </c>
      <c r="CD203" s="4517">
        <f t="shared" si="302"/>
        <v>-1.6283185840707963</v>
      </c>
    </row>
    <row r="204" spans="1:84" s="3444" customFormat="1" ht="7.3" customHeight="1" x14ac:dyDescent="0.55000000000000004">
      <c r="B204" s="3443"/>
      <c r="D204" s="5448"/>
      <c r="E204" s="5448"/>
      <c r="F204" s="5448"/>
      <c r="G204" s="5448"/>
      <c r="H204" s="5448"/>
      <c r="I204" s="5448"/>
      <c r="J204" s="5448"/>
      <c r="K204" s="5448"/>
      <c r="L204" s="5448"/>
      <c r="M204" s="5448"/>
      <c r="N204" s="5448"/>
      <c r="O204" s="5448"/>
      <c r="P204" s="5448"/>
      <c r="Q204" s="5448"/>
      <c r="R204" s="5448"/>
      <c r="S204" s="5448"/>
      <c r="T204" s="5448"/>
      <c r="U204" s="5448"/>
      <c r="V204" s="5448"/>
      <c r="W204" s="5448"/>
      <c r="X204" s="5448"/>
      <c r="Y204" s="5448"/>
      <c r="Z204" s="5448"/>
      <c r="AA204" s="5448"/>
      <c r="AB204" s="5448"/>
      <c r="AC204" s="5448"/>
      <c r="AD204" s="5448"/>
      <c r="AE204" s="5448"/>
      <c r="AF204" s="5448"/>
      <c r="AG204" s="5448"/>
      <c r="AH204" s="5449"/>
      <c r="AI204" s="5449"/>
      <c r="AJ204" s="5449"/>
      <c r="AK204" s="5449"/>
      <c r="AL204" s="5449"/>
      <c r="AM204" s="5449"/>
      <c r="AN204" s="5449"/>
      <c r="AO204" s="5449"/>
      <c r="AP204" s="5449"/>
      <c r="AQ204" s="5449"/>
      <c r="AR204" s="5449"/>
      <c r="AS204" s="5449"/>
      <c r="AT204" s="5449"/>
      <c r="AU204" s="5449"/>
      <c r="AV204" s="5450"/>
      <c r="AW204" s="5449"/>
      <c r="AX204" s="5449"/>
      <c r="AY204" s="5449"/>
      <c r="AZ204" s="5449"/>
      <c r="BA204" s="5449"/>
      <c r="BB204" s="5449"/>
      <c r="BC204" s="5448"/>
      <c r="BD204" s="5448"/>
      <c r="BE204" s="5448"/>
      <c r="BF204" s="5448"/>
      <c r="BG204" s="5448"/>
      <c r="BH204" s="5448"/>
      <c r="BI204" s="5448"/>
      <c r="BJ204" s="5448"/>
      <c r="BL204" s="5449"/>
      <c r="BM204" s="5449"/>
      <c r="BN204" s="5449"/>
      <c r="BO204" s="5449"/>
      <c r="BP204" s="5449"/>
      <c r="BQ204" s="5449"/>
      <c r="BR204" s="5448"/>
      <c r="BS204" s="5448"/>
      <c r="BT204" s="5448"/>
      <c r="BU204" s="5448"/>
      <c r="BV204" s="5448"/>
      <c r="BW204" s="5448"/>
      <c r="BX204" s="5448"/>
      <c r="BY204" s="5448"/>
      <c r="CA204" s="905">
        <f>AQ204-AB204</f>
        <v>0</v>
      </c>
      <c r="CB204" s="905">
        <f>BJ204-AU204</f>
        <v>0</v>
      </c>
      <c r="CC204" s="905"/>
      <c r="CE204" s="559"/>
      <c r="CF204" s="559"/>
    </row>
    <row r="205" spans="1:84" s="2977" customFormat="1" ht="10.3" customHeight="1" x14ac:dyDescent="0.55000000000000004">
      <c r="A205" s="5451"/>
      <c r="B205" s="5452"/>
      <c r="C205" s="5453"/>
      <c r="D205" s="5454"/>
      <c r="E205" s="5454"/>
      <c r="F205" s="5454"/>
      <c r="G205" s="5454"/>
      <c r="H205" s="5454"/>
      <c r="I205" s="5454"/>
      <c r="J205" s="5454"/>
      <c r="K205" s="5454"/>
      <c r="L205" s="5454"/>
      <c r="M205" s="5454"/>
      <c r="N205" s="5454"/>
      <c r="O205" s="5454"/>
      <c r="P205" s="5454"/>
      <c r="Q205" s="5454"/>
      <c r="R205" s="5455"/>
      <c r="S205" s="5454"/>
      <c r="T205" s="5454"/>
      <c r="U205" s="5454"/>
      <c r="V205" s="5454"/>
      <c r="W205" s="5454"/>
      <c r="X205" s="5454"/>
      <c r="Y205" s="5454"/>
      <c r="Z205" s="5454"/>
      <c r="AA205" s="5454"/>
      <c r="AB205" s="5454"/>
      <c r="AC205" s="5454"/>
      <c r="AD205" s="5454"/>
      <c r="AE205" s="5454"/>
      <c r="AF205" s="5454"/>
      <c r="AG205" s="5455"/>
      <c r="AH205" s="5454"/>
      <c r="AI205" s="5454"/>
      <c r="AJ205" s="5454"/>
      <c r="AK205" s="5454"/>
      <c r="AL205" s="5454"/>
      <c r="AM205" s="5454"/>
      <c r="AN205" s="5454"/>
      <c r="AO205" s="5454"/>
      <c r="AP205" s="5454"/>
      <c r="AQ205" s="5454"/>
      <c r="AR205" s="5454"/>
      <c r="AS205" s="5454"/>
      <c r="AT205" s="5454"/>
      <c r="AU205" s="5454"/>
      <c r="AW205" s="5454"/>
      <c r="AX205" s="5454"/>
      <c r="AY205" s="5454"/>
      <c r="AZ205" s="5454"/>
      <c r="BA205" s="5454"/>
      <c r="BB205" s="5454"/>
      <c r="BC205" s="5454"/>
      <c r="BD205" s="5454"/>
      <c r="BE205" s="5454"/>
      <c r="BF205" s="5454"/>
      <c r="BG205" s="5454"/>
      <c r="BH205" s="5454"/>
      <c r="BI205" s="5454"/>
      <c r="BJ205" s="5454"/>
      <c r="BL205" s="5454"/>
      <c r="BM205" s="5454"/>
      <c r="BN205" s="5454"/>
      <c r="BO205" s="5454"/>
      <c r="BP205" s="5454"/>
      <c r="BQ205" s="5454"/>
      <c r="BR205" s="5454"/>
      <c r="BS205" s="5454"/>
      <c r="BT205" s="5454"/>
      <c r="BU205" s="5454"/>
      <c r="BV205" s="5454"/>
      <c r="BW205" s="5454"/>
      <c r="BX205" s="5454"/>
      <c r="BY205" s="5454"/>
    </row>
    <row r="206" spans="1:84" s="3444" customFormat="1" ht="7.3" customHeight="1" x14ac:dyDescent="0.55000000000000004">
      <c r="B206" s="3443"/>
      <c r="D206" s="5448"/>
      <c r="E206" s="5448"/>
      <c r="F206" s="5448"/>
      <c r="G206" s="5448"/>
      <c r="H206" s="5448"/>
      <c r="I206" s="5448"/>
      <c r="J206" s="5448"/>
      <c r="K206" s="5448"/>
      <c r="L206" s="5448"/>
      <c r="M206" s="5448"/>
      <c r="N206" s="5448"/>
      <c r="O206" s="5448"/>
      <c r="P206" s="5448"/>
      <c r="Q206" s="5448"/>
      <c r="R206" s="5448"/>
      <c r="S206" s="5448"/>
      <c r="T206" s="5448"/>
      <c r="U206" s="5448"/>
      <c r="V206" s="5448"/>
      <c r="W206" s="5448"/>
      <c r="X206" s="5448"/>
      <c r="Y206" s="5448"/>
      <c r="Z206" s="5448"/>
      <c r="AA206" s="5448"/>
      <c r="AB206" s="5448"/>
      <c r="AC206" s="5448"/>
      <c r="AD206" s="5448"/>
      <c r="AE206" s="5448"/>
      <c r="AF206" s="5448"/>
      <c r="AG206" s="5448"/>
      <c r="AH206" s="5448"/>
      <c r="AI206" s="5448"/>
      <c r="AJ206" s="5448"/>
      <c r="AK206" s="5448"/>
      <c r="AL206" s="5448"/>
      <c r="AM206" s="5448"/>
      <c r="AN206" s="5448"/>
      <c r="AO206" s="5448"/>
      <c r="AP206" s="5448"/>
      <c r="AQ206" s="5448"/>
      <c r="AR206" s="5448"/>
      <c r="AS206" s="5448"/>
      <c r="AT206" s="5448"/>
      <c r="AU206" s="5448"/>
      <c r="AW206" s="5448"/>
      <c r="AX206" s="5448"/>
      <c r="AY206" s="5448"/>
      <c r="AZ206" s="5448"/>
      <c r="BA206" s="5448"/>
      <c r="BB206" s="5448"/>
      <c r="BC206" s="5448"/>
      <c r="BD206" s="5448"/>
      <c r="BE206" s="5448"/>
      <c r="BF206" s="5448"/>
      <c r="BG206" s="5448"/>
      <c r="BH206" s="5448"/>
      <c r="BI206" s="5448"/>
      <c r="BJ206" s="5448"/>
      <c r="BL206" s="5448"/>
      <c r="BM206" s="5448"/>
      <c r="BN206" s="5448"/>
      <c r="BO206" s="5448"/>
      <c r="BP206" s="5448"/>
      <c r="BQ206" s="5448"/>
      <c r="BR206" s="5448"/>
      <c r="BS206" s="5448"/>
      <c r="BT206" s="5448"/>
      <c r="BU206" s="5448"/>
      <c r="BV206" s="5448"/>
      <c r="BW206" s="5448"/>
      <c r="BX206" s="5448"/>
      <c r="BY206" s="5448"/>
      <c r="CA206" s="905">
        <f>AQ206-AB206</f>
        <v>0</v>
      </c>
      <c r="CB206" s="905">
        <f>AU206-AF206</f>
        <v>0</v>
      </c>
      <c r="CC206" s="905"/>
    </row>
    <row r="207" spans="1:84" ht="16.75" thickBot="1" x14ac:dyDescent="0.6">
      <c r="D207" s="4484" t="s">
        <v>363</v>
      </c>
      <c r="E207" s="1155" t="s">
        <v>364</v>
      </c>
      <c r="F207" s="1155" t="s">
        <v>365</v>
      </c>
      <c r="G207" s="1155" t="s">
        <v>366</v>
      </c>
      <c r="H207" s="1155" t="s">
        <v>367</v>
      </c>
      <c r="I207" s="1155" t="s">
        <v>368</v>
      </c>
      <c r="J207" s="1155" t="s">
        <v>369</v>
      </c>
      <c r="K207" s="1155" t="s">
        <v>370</v>
      </c>
      <c r="L207" s="1155" t="s">
        <v>371</v>
      </c>
      <c r="M207" s="1155" t="s">
        <v>372</v>
      </c>
      <c r="N207" s="1155" t="s">
        <v>373</v>
      </c>
      <c r="O207" s="1155" t="s">
        <v>374</v>
      </c>
      <c r="P207" s="1155" t="s">
        <v>392</v>
      </c>
      <c r="Q207" s="1155" t="s">
        <v>350</v>
      </c>
      <c r="S207" s="1155" t="s">
        <v>351</v>
      </c>
      <c r="T207" s="1155" t="s">
        <v>352</v>
      </c>
      <c r="U207" s="1155" t="s">
        <v>353</v>
      </c>
      <c r="V207" s="1155" t="s">
        <v>354</v>
      </c>
      <c r="W207" s="1155" t="s">
        <v>355</v>
      </c>
      <c r="X207" s="1155" t="s">
        <v>356</v>
      </c>
      <c r="Y207" s="1155" t="s">
        <v>357</v>
      </c>
      <c r="Z207" s="1155" t="s">
        <v>358</v>
      </c>
      <c r="AA207" s="1155" t="s">
        <v>359</v>
      </c>
      <c r="AB207" s="1155" t="s">
        <v>360</v>
      </c>
      <c r="AC207" s="1155" t="s">
        <v>361</v>
      </c>
      <c r="AD207" s="1155" t="s">
        <v>362</v>
      </c>
      <c r="AE207" s="1155" t="s">
        <v>393</v>
      </c>
      <c r="AF207" s="1155" t="s">
        <v>350</v>
      </c>
      <c r="AH207" s="1155" t="s">
        <v>2</v>
      </c>
      <c r="AI207" s="1155" t="s">
        <v>3</v>
      </c>
      <c r="AJ207" s="1155" t="s">
        <v>154</v>
      </c>
      <c r="AK207" s="1155" t="s">
        <v>341</v>
      </c>
      <c r="AL207" s="1155" t="s">
        <v>342</v>
      </c>
      <c r="AM207" s="1155" t="s">
        <v>343</v>
      </c>
      <c r="AN207" s="1155" t="s">
        <v>344</v>
      </c>
      <c r="AO207" s="1155" t="s">
        <v>345</v>
      </c>
      <c r="AP207" s="1155" t="s">
        <v>346</v>
      </c>
      <c r="AQ207" s="1155" t="s">
        <v>347</v>
      </c>
      <c r="AR207" s="1155" t="s">
        <v>348</v>
      </c>
      <c r="AS207" s="1155" t="s">
        <v>349</v>
      </c>
      <c r="AT207" s="1155" t="s">
        <v>394</v>
      </c>
      <c r="AU207" s="1155" t="s">
        <v>350</v>
      </c>
      <c r="AW207" s="4684" t="s">
        <v>940</v>
      </c>
      <c r="AX207" s="1155" t="s">
        <v>942</v>
      </c>
      <c r="AY207" s="1155" t="s">
        <v>944</v>
      </c>
      <c r="AZ207" s="1155" t="s">
        <v>945</v>
      </c>
      <c r="BA207" s="1155" t="s">
        <v>946</v>
      </c>
      <c r="BB207" s="1155" t="s">
        <v>947</v>
      </c>
      <c r="BC207" s="1155" t="s">
        <v>948</v>
      </c>
      <c r="BD207" s="1155" t="s">
        <v>949</v>
      </c>
      <c r="BE207" s="1155" t="s">
        <v>950</v>
      </c>
      <c r="BF207" s="1155" t="s">
        <v>951</v>
      </c>
      <c r="BG207" s="1155" t="s">
        <v>952</v>
      </c>
      <c r="BH207" s="1155" t="s">
        <v>953</v>
      </c>
      <c r="BI207" s="1155" t="s">
        <v>956</v>
      </c>
      <c r="BJ207" s="1155" t="s">
        <v>350</v>
      </c>
      <c r="BL207" s="4685" t="s">
        <v>1122</v>
      </c>
      <c r="BM207" s="1155" t="s">
        <v>1072</v>
      </c>
      <c r="BN207" s="1155" t="s">
        <v>1073</v>
      </c>
      <c r="BO207" s="1155" t="s">
        <v>1074</v>
      </c>
      <c r="BP207" s="1155" t="s">
        <v>1075</v>
      </c>
      <c r="BQ207" s="1155" t="s">
        <v>1076</v>
      </c>
      <c r="BR207" s="1155" t="s">
        <v>1077</v>
      </c>
      <c r="BS207" s="1155" t="s">
        <v>1078</v>
      </c>
      <c r="BT207" s="1155" t="s">
        <v>1079</v>
      </c>
      <c r="BU207" s="1155" t="s">
        <v>1080</v>
      </c>
      <c r="BV207" s="1155" t="s">
        <v>1081</v>
      </c>
      <c r="BW207" s="1155" t="s">
        <v>1082</v>
      </c>
      <c r="BX207" s="1155" t="s">
        <v>1154</v>
      </c>
      <c r="BY207" s="6448" t="s">
        <v>350</v>
      </c>
      <c r="CA207" s="4481" t="s">
        <v>444</v>
      </c>
      <c r="CB207" s="4481" t="s">
        <v>445</v>
      </c>
      <c r="CC207" s="2856" t="s">
        <v>450</v>
      </c>
      <c r="CD207" s="4481" t="s">
        <v>130</v>
      </c>
    </row>
    <row r="208" spans="1:84" ht="17.600000000000001" x14ac:dyDescent="0.55000000000000004">
      <c r="A208" s="7390" t="s">
        <v>391</v>
      </c>
      <c r="B208" s="5131" t="s">
        <v>249</v>
      </c>
      <c r="C208" s="5132"/>
      <c r="D208" s="5456">
        <f t="shared" ref="D208:O208" si="304">SUM(D209:D211)</f>
        <v>4178</v>
      </c>
      <c r="E208" s="5457">
        <f t="shared" si="304"/>
        <v>4368</v>
      </c>
      <c r="F208" s="5457">
        <f t="shared" si="304"/>
        <v>4492</v>
      </c>
      <c r="G208" s="5457">
        <f t="shared" si="304"/>
        <v>4596</v>
      </c>
      <c r="H208" s="5457">
        <f t="shared" si="304"/>
        <v>4733</v>
      </c>
      <c r="I208" s="5457">
        <f t="shared" si="304"/>
        <v>4671</v>
      </c>
      <c r="J208" s="5457">
        <f t="shared" si="304"/>
        <v>4580</v>
      </c>
      <c r="K208" s="5457">
        <f t="shared" si="304"/>
        <v>4543</v>
      </c>
      <c r="L208" s="5457">
        <f t="shared" si="304"/>
        <v>4228</v>
      </c>
      <c r="M208" s="5457">
        <f t="shared" si="304"/>
        <v>4507</v>
      </c>
      <c r="N208" s="5457">
        <f t="shared" si="304"/>
        <v>4300</v>
      </c>
      <c r="O208" s="5457">
        <f t="shared" si="304"/>
        <v>3908</v>
      </c>
      <c r="P208" s="5457">
        <f>SUM(D208:O208)</f>
        <v>53104</v>
      </c>
      <c r="Q208" s="5458">
        <f>P208/12</f>
        <v>4425.333333333333</v>
      </c>
      <c r="R208" s="2776"/>
      <c r="S208" s="5456">
        <f>SUM(S209:S211)</f>
        <v>4157</v>
      </c>
      <c r="T208" s="5457">
        <f t="shared" ref="T208:AD208" si="305">SUM(T209:T211)</f>
        <v>4353</v>
      </c>
      <c r="U208" s="5457">
        <f t="shared" si="305"/>
        <v>4302</v>
      </c>
      <c r="V208" s="5457">
        <f t="shared" si="305"/>
        <v>4043</v>
      </c>
      <c r="W208" s="5457">
        <f t="shared" si="305"/>
        <v>3931</v>
      </c>
      <c r="X208" s="5457">
        <f t="shared" si="305"/>
        <v>3752</v>
      </c>
      <c r="Y208" s="5457">
        <f t="shared" si="305"/>
        <v>3672</v>
      </c>
      <c r="Z208" s="5457">
        <f t="shared" si="305"/>
        <v>4062</v>
      </c>
      <c r="AA208" s="5457">
        <f t="shared" si="305"/>
        <v>3709</v>
      </c>
      <c r="AB208" s="5457">
        <f t="shared" si="305"/>
        <v>3943</v>
      </c>
      <c r="AC208" s="5457">
        <f t="shared" si="305"/>
        <v>3737</v>
      </c>
      <c r="AD208" s="5457">
        <f t="shared" si="305"/>
        <v>3417</v>
      </c>
      <c r="AE208" s="5457">
        <f>SUM(S208:AD208)</f>
        <v>47078</v>
      </c>
      <c r="AF208" s="5458">
        <f>AE208/12</f>
        <v>3923.1666666666665</v>
      </c>
      <c r="AG208" s="2776"/>
      <c r="AH208" s="5456">
        <f t="shared" ref="AH208:AM208" si="306">SUM(AH209:AH211)</f>
        <v>3912</v>
      </c>
      <c r="AI208" s="5457">
        <f t="shared" si="306"/>
        <v>3575</v>
      </c>
      <c r="AJ208" s="5457">
        <f t="shared" si="306"/>
        <v>3753</v>
      </c>
      <c r="AK208" s="5457">
        <f t="shared" si="306"/>
        <v>3820</v>
      </c>
      <c r="AL208" s="5457">
        <f t="shared" si="306"/>
        <v>3890</v>
      </c>
      <c r="AM208" s="5457">
        <f t="shared" si="306"/>
        <v>3880</v>
      </c>
      <c r="AN208" s="5457">
        <v>3850</v>
      </c>
      <c r="AO208" s="5457">
        <f>SUM(AO209:AO211)</f>
        <v>3634</v>
      </c>
      <c r="AP208" s="5457">
        <f>SUM(AP209:AP211)</f>
        <v>4016</v>
      </c>
      <c r="AQ208" s="5457">
        <f>SUM(AQ209:AQ211)</f>
        <v>4071</v>
      </c>
      <c r="AR208" s="5457">
        <v>4042</v>
      </c>
      <c r="AS208" s="5457">
        <v>3760</v>
      </c>
      <c r="AT208" s="5457">
        <f>SUM(AH208:AS208)</f>
        <v>46203</v>
      </c>
      <c r="AU208" s="5458">
        <f t="shared" ref="AU208:AU271" si="307">SUM(AH208:AS208)/12</f>
        <v>3850.25</v>
      </c>
      <c r="AW208" s="5456">
        <v>3626</v>
      </c>
      <c r="AX208" s="5457">
        <v>4346</v>
      </c>
      <c r="AY208" s="5457">
        <v>4087</v>
      </c>
      <c r="AZ208" s="5457">
        <v>4135</v>
      </c>
      <c r="BA208" s="5457">
        <v>4505</v>
      </c>
      <c r="BB208" s="5457">
        <v>4366</v>
      </c>
      <c r="BC208" s="5457">
        <v>4327</v>
      </c>
      <c r="BD208" s="5457">
        <v>4307</v>
      </c>
      <c r="BE208" s="5457">
        <v>4355</v>
      </c>
      <c r="BF208" s="5457">
        <v>4269</v>
      </c>
      <c r="BG208" s="5457">
        <v>4174</v>
      </c>
      <c r="BH208" s="5457">
        <v>4212</v>
      </c>
      <c r="BI208" s="5457">
        <f>SUM(AW208:BH208)</f>
        <v>50709</v>
      </c>
      <c r="BJ208" s="5458">
        <f>AVERAGE(AW208:BH208)</f>
        <v>4225.75</v>
      </c>
      <c r="BL208" s="5456">
        <v>4465</v>
      </c>
      <c r="BM208" s="5457">
        <v>3791</v>
      </c>
      <c r="BN208" s="5457"/>
      <c r="BO208" s="5457"/>
      <c r="BP208" s="5457"/>
      <c r="BQ208" s="5457"/>
      <c r="BR208" s="5457"/>
      <c r="BS208" s="5457"/>
      <c r="BT208" s="5457"/>
      <c r="BU208" s="5457"/>
      <c r="BV208" s="5457"/>
      <c r="BW208" s="5457"/>
      <c r="BX208" s="5457">
        <f>SUM(BL208:BW208)</f>
        <v>8256</v>
      </c>
      <c r="BY208" s="5458">
        <f>AVERAGE(BL208:BW208)</f>
        <v>4128</v>
      </c>
      <c r="CA208" s="169">
        <f t="shared" ref="CA208:CA271" si="308">IFERROR(_xlfn.XLOOKUP($A$1,$2:$2,208:208)-_xlfn.XLOOKUP(EDATE($A$1,-12),$2:$2,208:208),"")</f>
        <v>-555</v>
      </c>
      <c r="CB208" s="169">
        <f t="shared" ref="CB208" si="309">BJ208-AU208</f>
        <v>375.5</v>
      </c>
      <c r="CC208" s="169">
        <f>IFERROR(
  SUM(
    _xlfn.XLOOKUP(DATE(YEAR($A$1),1,1),$2:$2,208:208):
    _xlfn.XLOOKUP($A$1,$2:$2,208:208)
  )
 -SUM(
    _xlfn.XLOOKUP(DATE(YEAR($A$1)-1,1,1),$2:$2,208:208):
    _xlfn.XLOOKUP(EDATE($A$1,-12),$2:$2,208:208)
  ),"")</f>
        <v>284</v>
      </c>
      <c r="CD208" s="4517">
        <f t="shared" ref="CD208:CD271" si="310">IFERROR(
  _xlfn.XLOOKUP($A$1,$2:$2,208:208)
 -_xlfn.XLOOKUP(EDATE($A$1,-1),$2:$2,208:208),"")</f>
        <v>-674</v>
      </c>
      <c r="CE208" s="5459"/>
      <c r="CF208" s="5459"/>
    </row>
    <row r="209" spans="1:84" ht="17.600000000000001" x14ac:dyDescent="0.55000000000000004">
      <c r="A209" s="7391"/>
      <c r="B209" s="5460"/>
      <c r="C209" s="786" t="s">
        <v>261</v>
      </c>
      <c r="D209" s="5461">
        <v>1034</v>
      </c>
      <c r="E209" s="5462">
        <v>1265</v>
      </c>
      <c r="F209" s="5462">
        <v>1101</v>
      </c>
      <c r="G209" s="5462">
        <v>1163</v>
      </c>
      <c r="H209" s="5462">
        <v>1176</v>
      </c>
      <c r="I209" s="5462">
        <v>1152</v>
      </c>
      <c r="J209" s="5462">
        <v>1052</v>
      </c>
      <c r="K209" s="5462">
        <v>1201</v>
      </c>
      <c r="L209" s="5462">
        <v>734</v>
      </c>
      <c r="M209" s="5462">
        <v>1205</v>
      </c>
      <c r="N209" s="5462">
        <v>752</v>
      </c>
      <c r="O209" s="5462">
        <v>664</v>
      </c>
      <c r="P209" s="5462">
        <f t="shared" ref="P209:P268" si="311">SUM(D209:O209)</f>
        <v>12499</v>
      </c>
      <c r="Q209" s="5463">
        <f t="shared" ref="Q209:Q268" si="312">P209/12</f>
        <v>1041.5833333333333</v>
      </c>
      <c r="R209" s="2776"/>
      <c r="S209" s="5461">
        <v>752</v>
      </c>
      <c r="T209" s="5462">
        <v>965</v>
      </c>
      <c r="U209" s="5462">
        <v>697</v>
      </c>
      <c r="V209" s="5462">
        <v>729</v>
      </c>
      <c r="W209" s="5462">
        <v>770</v>
      </c>
      <c r="X209" s="5462">
        <v>722</v>
      </c>
      <c r="Y209" s="5462">
        <v>867</v>
      </c>
      <c r="Z209" s="5462">
        <v>1913</v>
      </c>
      <c r="AA209" s="5462">
        <v>752</v>
      </c>
      <c r="AB209" s="5462">
        <v>1065</v>
      </c>
      <c r="AC209" s="5462">
        <v>762</v>
      </c>
      <c r="AD209" s="5462">
        <v>554</v>
      </c>
      <c r="AE209" s="5462">
        <f t="shared" ref="AE209:AE268" si="313">SUM(S209:AD209)</f>
        <v>10548</v>
      </c>
      <c r="AF209" s="5463">
        <f t="shared" ref="AF209:AF268" si="314">AE209/12</f>
        <v>879</v>
      </c>
      <c r="AG209" s="2776"/>
      <c r="AH209" s="5461">
        <v>954</v>
      </c>
      <c r="AI209" s="5462">
        <v>687</v>
      </c>
      <c r="AJ209" s="5462">
        <v>859</v>
      </c>
      <c r="AK209" s="5462">
        <v>867</v>
      </c>
      <c r="AL209" s="5462">
        <v>983</v>
      </c>
      <c r="AM209" s="5462">
        <v>870</v>
      </c>
      <c r="AN209" s="5462">
        <v>1052</v>
      </c>
      <c r="AO209" s="5462">
        <v>814</v>
      </c>
      <c r="AP209" s="5462">
        <v>916</v>
      </c>
      <c r="AQ209" s="5462">
        <v>898</v>
      </c>
      <c r="AR209" s="5462">
        <v>964</v>
      </c>
      <c r="AS209" s="5462">
        <v>728</v>
      </c>
      <c r="AT209" s="5462">
        <f t="shared" ref="AT209:AT272" si="315">SUM(AH209:AS209)</f>
        <v>10592</v>
      </c>
      <c r="AU209" s="5463">
        <f t="shared" si="307"/>
        <v>882.66666666666663</v>
      </c>
      <c r="AW209" s="5461">
        <v>730</v>
      </c>
      <c r="AX209" s="5462">
        <v>1170</v>
      </c>
      <c r="AY209" s="5462">
        <v>831</v>
      </c>
      <c r="AZ209" s="5462">
        <v>1134</v>
      </c>
      <c r="BA209" s="5462">
        <v>1748</v>
      </c>
      <c r="BB209" s="5462">
        <v>1352</v>
      </c>
      <c r="BC209" s="5462">
        <v>1511</v>
      </c>
      <c r="BD209" s="5462">
        <v>1109</v>
      </c>
      <c r="BE209" s="5462">
        <v>1266</v>
      </c>
      <c r="BF209" s="5462">
        <v>1205</v>
      </c>
      <c r="BG209" s="5462">
        <v>980</v>
      </c>
      <c r="BH209" s="5462">
        <v>1095</v>
      </c>
      <c r="BI209" s="5462">
        <f t="shared" ref="BI209:BI267" si="316">SUM(AW209:BH209)</f>
        <v>14131</v>
      </c>
      <c r="BJ209" s="5463">
        <f t="shared" ref="BJ209:BJ268" si="317">AVERAGE(AW209:BH209)</f>
        <v>1177.5833333333333</v>
      </c>
      <c r="BL209" s="5461">
        <v>1602</v>
      </c>
      <c r="BM209" s="5462">
        <v>778</v>
      </c>
      <c r="BN209" s="5462"/>
      <c r="BO209" s="5462"/>
      <c r="BP209" s="5462"/>
      <c r="BQ209" s="5462"/>
      <c r="BR209" s="5462"/>
      <c r="BS209" s="5462"/>
      <c r="BT209" s="5462"/>
      <c r="BU209" s="5462"/>
      <c r="BV209" s="5462"/>
      <c r="BW209" s="5462"/>
      <c r="BX209" s="5462">
        <f t="shared" ref="BX209:BX267" si="318">SUM(BL209:BW209)</f>
        <v>2380</v>
      </c>
      <c r="BY209" s="5463">
        <f t="shared" ref="BY209:BY268" si="319">AVERAGE(BL209:BW209)</f>
        <v>1190</v>
      </c>
      <c r="CA209" s="169">
        <f t="shared" si="308"/>
        <v>-392</v>
      </c>
      <c r="CB209" s="169">
        <f t="shared" ref="CB209:CB272" si="320">BJ209-AU209</f>
        <v>294.91666666666663</v>
      </c>
      <c r="CC209" s="169">
        <f>IFERROR(
  SUM(
    _xlfn.XLOOKUP(DATE(YEAR($A$1),1,1),$2:$2,209:209):
    _xlfn.XLOOKUP($A$1,$2:$2,209:209)
  )
 -SUM(
    _xlfn.XLOOKUP(DATE(YEAR($A$1)-1,1,1),$2:$2,209:209):
    _xlfn.XLOOKUP(EDATE($A$1,-12),$2:$2,209:209)
  ),"")</f>
        <v>480</v>
      </c>
      <c r="CD209" s="4517">
        <f t="shared" si="310"/>
        <v>-824</v>
      </c>
      <c r="CE209" s="5459"/>
      <c r="CF209" s="5459"/>
    </row>
    <row r="210" spans="1:84" ht="17.600000000000001" x14ac:dyDescent="0.55000000000000004">
      <c r="A210" s="7391"/>
      <c r="B210" s="5460"/>
      <c r="C210" s="786" t="s">
        <v>260</v>
      </c>
      <c r="D210" s="5461">
        <v>681</v>
      </c>
      <c r="E210" s="5462">
        <v>835</v>
      </c>
      <c r="F210" s="5462">
        <v>784</v>
      </c>
      <c r="G210" s="5462">
        <v>922</v>
      </c>
      <c r="H210" s="5462">
        <v>888</v>
      </c>
      <c r="I210" s="5462">
        <v>985</v>
      </c>
      <c r="J210" s="5462">
        <v>938</v>
      </c>
      <c r="K210" s="5462">
        <v>957</v>
      </c>
      <c r="L210" s="5462">
        <v>781</v>
      </c>
      <c r="M210" s="5462">
        <v>900</v>
      </c>
      <c r="N210" s="5462">
        <v>816</v>
      </c>
      <c r="O210" s="5462">
        <v>686</v>
      </c>
      <c r="P210" s="5462">
        <f t="shared" si="311"/>
        <v>10173</v>
      </c>
      <c r="Q210" s="5463">
        <f t="shared" si="312"/>
        <v>847.75</v>
      </c>
      <c r="R210" s="2776"/>
      <c r="S210" s="5461">
        <v>732</v>
      </c>
      <c r="T210" s="5462">
        <v>809</v>
      </c>
      <c r="U210" s="5462">
        <v>737</v>
      </c>
      <c r="V210" s="5462">
        <v>698</v>
      </c>
      <c r="W210" s="5462">
        <v>722</v>
      </c>
      <c r="X210" s="5462">
        <v>673</v>
      </c>
      <c r="Y210" s="5462">
        <v>695</v>
      </c>
      <c r="Z210" s="5462">
        <v>1077</v>
      </c>
      <c r="AA210" s="5462">
        <v>732</v>
      </c>
      <c r="AB210" s="5462">
        <v>844</v>
      </c>
      <c r="AC210" s="5462">
        <v>717</v>
      </c>
      <c r="AD210" s="5462">
        <v>687</v>
      </c>
      <c r="AE210" s="5462">
        <f t="shared" si="313"/>
        <v>9123</v>
      </c>
      <c r="AF210" s="5463">
        <f t="shared" si="314"/>
        <v>760.25</v>
      </c>
      <c r="AG210" s="2776"/>
      <c r="AH210" s="5461">
        <v>839</v>
      </c>
      <c r="AI210" s="5462">
        <v>717</v>
      </c>
      <c r="AJ210" s="5462">
        <v>797</v>
      </c>
      <c r="AK210" s="5462">
        <v>769</v>
      </c>
      <c r="AL210" s="5462">
        <v>735</v>
      </c>
      <c r="AM210" s="5462">
        <v>741</v>
      </c>
      <c r="AN210" s="5462">
        <v>789</v>
      </c>
      <c r="AO210" s="5462">
        <v>739</v>
      </c>
      <c r="AP210" s="5462">
        <v>773</v>
      </c>
      <c r="AQ210" s="5462">
        <v>776</v>
      </c>
      <c r="AR210" s="5462">
        <v>758</v>
      </c>
      <c r="AS210" s="5462">
        <v>717</v>
      </c>
      <c r="AT210" s="5462">
        <f t="shared" si="315"/>
        <v>9150</v>
      </c>
      <c r="AU210" s="5463">
        <f t="shared" si="307"/>
        <v>762.5</v>
      </c>
      <c r="AW210" s="5461">
        <v>707</v>
      </c>
      <c r="AX210" s="5462">
        <v>835</v>
      </c>
      <c r="AY210" s="5462">
        <v>720</v>
      </c>
      <c r="AZ210" s="5462">
        <v>796</v>
      </c>
      <c r="BA210" s="5462">
        <v>857</v>
      </c>
      <c r="BB210" s="5462">
        <v>807</v>
      </c>
      <c r="BC210" s="5462">
        <v>871</v>
      </c>
      <c r="BD210" s="5462">
        <v>767</v>
      </c>
      <c r="BE210" s="5462">
        <v>840</v>
      </c>
      <c r="BF210" s="5462">
        <v>807</v>
      </c>
      <c r="BG210" s="5462">
        <v>727</v>
      </c>
      <c r="BH210" s="5462">
        <v>833</v>
      </c>
      <c r="BI210" s="5462">
        <f t="shared" si="316"/>
        <v>9567</v>
      </c>
      <c r="BJ210" s="5463">
        <f t="shared" si="317"/>
        <v>797.25</v>
      </c>
      <c r="BL210" s="5461">
        <v>818</v>
      </c>
      <c r="BM210" s="5462">
        <v>729</v>
      </c>
      <c r="BN210" s="5462"/>
      <c r="BO210" s="5462"/>
      <c r="BP210" s="5462"/>
      <c r="BQ210" s="5462"/>
      <c r="BR210" s="5462"/>
      <c r="BS210" s="5462"/>
      <c r="BT210" s="5462"/>
      <c r="BU210" s="5462"/>
      <c r="BV210" s="5462"/>
      <c r="BW210" s="5462"/>
      <c r="BX210" s="5462">
        <f t="shared" si="318"/>
        <v>1547</v>
      </c>
      <c r="BY210" s="5463">
        <f t="shared" si="319"/>
        <v>773.5</v>
      </c>
      <c r="CA210" s="169">
        <f t="shared" si="308"/>
        <v>-106</v>
      </c>
      <c r="CB210" s="169">
        <f t="shared" si="320"/>
        <v>34.75</v>
      </c>
      <c r="CC210" s="169">
        <f>IFERROR(
  SUM(
    _xlfn.XLOOKUP(DATE(YEAR($A$1),1,1),$2:$2,210:210):
    _xlfn.XLOOKUP($A$1,$2:$2,210:210)
  )
 -SUM(
    _xlfn.XLOOKUP(DATE(YEAR($A$1)-1,1,1),$2:$2,210:210):
    _xlfn.XLOOKUP(EDATE($A$1,-12),$2:$2,210:210)
  ),"")</f>
        <v>5</v>
      </c>
      <c r="CD210" s="4517">
        <f t="shared" si="310"/>
        <v>-89</v>
      </c>
      <c r="CE210" s="5459"/>
      <c r="CF210" s="5459"/>
    </row>
    <row r="211" spans="1:84" ht="17.600000000000001" x14ac:dyDescent="0.55000000000000004">
      <c r="A211" s="7391"/>
      <c r="B211" s="5460"/>
      <c r="C211" s="786" t="s">
        <v>259</v>
      </c>
      <c r="D211" s="5461">
        <v>2463</v>
      </c>
      <c r="E211" s="5462">
        <v>2268</v>
      </c>
      <c r="F211" s="5462">
        <v>2607</v>
      </c>
      <c r="G211" s="5462">
        <v>2511</v>
      </c>
      <c r="H211" s="5462">
        <v>2669</v>
      </c>
      <c r="I211" s="5462">
        <v>2534</v>
      </c>
      <c r="J211" s="5462">
        <v>2590</v>
      </c>
      <c r="K211" s="5462">
        <v>2385</v>
      </c>
      <c r="L211" s="5462">
        <v>2713</v>
      </c>
      <c r="M211" s="5462">
        <v>2402</v>
      </c>
      <c r="N211" s="5462">
        <v>2732</v>
      </c>
      <c r="O211" s="5462">
        <v>2558</v>
      </c>
      <c r="P211" s="5462">
        <f t="shared" si="311"/>
        <v>30432</v>
      </c>
      <c r="Q211" s="5463">
        <f t="shared" si="312"/>
        <v>2536</v>
      </c>
      <c r="R211" s="2776"/>
      <c r="S211" s="5461">
        <v>2673</v>
      </c>
      <c r="T211" s="5462">
        <v>2579</v>
      </c>
      <c r="U211" s="5462">
        <v>2868</v>
      </c>
      <c r="V211" s="5462">
        <v>2616</v>
      </c>
      <c r="W211" s="5462">
        <v>2439</v>
      </c>
      <c r="X211" s="5462">
        <v>2357</v>
      </c>
      <c r="Y211" s="5462">
        <v>2110</v>
      </c>
      <c r="Z211" s="5462">
        <v>1072</v>
      </c>
      <c r="AA211" s="5462">
        <v>2225</v>
      </c>
      <c r="AB211" s="5462">
        <v>2034</v>
      </c>
      <c r="AC211" s="5462">
        <v>2258</v>
      </c>
      <c r="AD211" s="5462">
        <v>2176</v>
      </c>
      <c r="AE211" s="5462">
        <f t="shared" si="313"/>
        <v>27407</v>
      </c>
      <c r="AF211" s="5463">
        <f t="shared" si="314"/>
        <v>2283.9166666666665</v>
      </c>
      <c r="AG211" s="2776"/>
      <c r="AH211" s="5461">
        <v>2119</v>
      </c>
      <c r="AI211" s="5462">
        <v>2171</v>
      </c>
      <c r="AJ211" s="5462">
        <v>2097</v>
      </c>
      <c r="AK211" s="5462">
        <v>2184</v>
      </c>
      <c r="AL211" s="5462">
        <v>2172</v>
      </c>
      <c r="AM211" s="5462">
        <v>2269</v>
      </c>
      <c r="AN211" s="5462">
        <v>2009</v>
      </c>
      <c r="AO211" s="5462">
        <v>2081</v>
      </c>
      <c r="AP211" s="5462">
        <v>2327</v>
      </c>
      <c r="AQ211" s="5462">
        <v>2397</v>
      </c>
      <c r="AR211" s="5462">
        <v>2320</v>
      </c>
      <c r="AS211" s="5462">
        <v>2315</v>
      </c>
      <c r="AT211" s="5462">
        <f t="shared" si="315"/>
        <v>26461</v>
      </c>
      <c r="AU211" s="5463">
        <f t="shared" si="307"/>
        <v>2205.0833333333335</v>
      </c>
      <c r="AW211" s="5461">
        <v>2189</v>
      </c>
      <c r="AX211" s="5462">
        <v>2341</v>
      </c>
      <c r="AY211" s="5462">
        <v>2536</v>
      </c>
      <c r="AZ211" s="5462">
        <v>2205</v>
      </c>
      <c r="BA211" s="5462">
        <v>1900</v>
      </c>
      <c r="BB211" s="5462">
        <v>2207</v>
      </c>
      <c r="BC211" s="5462">
        <v>1945</v>
      </c>
      <c r="BD211" s="5462">
        <v>2431</v>
      </c>
      <c r="BE211" s="5462">
        <v>2249</v>
      </c>
      <c r="BF211" s="5462">
        <v>2257</v>
      </c>
      <c r="BG211" s="5462">
        <v>2467</v>
      </c>
      <c r="BH211" s="5462">
        <v>2284</v>
      </c>
      <c r="BI211" s="5462">
        <f t="shared" si="316"/>
        <v>27011</v>
      </c>
      <c r="BJ211" s="5463">
        <f t="shared" si="317"/>
        <v>2250.9166666666665</v>
      </c>
      <c r="BL211" s="5461">
        <v>2045</v>
      </c>
      <c r="BM211" s="5462">
        <v>2284</v>
      </c>
      <c r="BN211" s="5462"/>
      <c r="BO211" s="5462"/>
      <c r="BP211" s="5462"/>
      <c r="BQ211" s="5462"/>
      <c r="BR211" s="5462"/>
      <c r="BS211" s="5462"/>
      <c r="BT211" s="5462"/>
      <c r="BU211" s="5462"/>
      <c r="BV211" s="5462"/>
      <c r="BW211" s="5462"/>
      <c r="BX211" s="5462">
        <f t="shared" si="318"/>
        <v>4329</v>
      </c>
      <c r="BY211" s="5463">
        <f t="shared" si="319"/>
        <v>2164.5</v>
      </c>
      <c r="CA211" s="169">
        <f t="shared" si="308"/>
        <v>-57</v>
      </c>
      <c r="CB211" s="169">
        <f t="shared" si="320"/>
        <v>45.83333333333303</v>
      </c>
      <c r="CC211" s="169">
        <f>IFERROR(
  SUM(
    _xlfn.XLOOKUP(DATE(YEAR($A$1),1,1),$2:$2,211:211):
    _xlfn.XLOOKUP($A$1,$2:$2,211:211)
  )
 -SUM(
    _xlfn.XLOOKUP(DATE(YEAR($A$1)-1,1,1),$2:$2,211:211):
    _xlfn.XLOOKUP(EDATE($A$1,-12),$2:$2,211:211)
  ),"")</f>
        <v>-201</v>
      </c>
      <c r="CD211" s="4517">
        <f t="shared" si="310"/>
        <v>239</v>
      </c>
      <c r="CE211" s="5459"/>
      <c r="CF211" s="5459"/>
    </row>
    <row r="212" spans="1:84" ht="17.600000000000001" x14ac:dyDescent="0.55000000000000004">
      <c r="A212" s="7391"/>
      <c r="B212" s="5464" t="s">
        <v>206</v>
      </c>
      <c r="C212" s="1799"/>
      <c r="D212" s="5465">
        <v>778</v>
      </c>
      <c r="E212" s="5466">
        <v>843</v>
      </c>
      <c r="F212" s="5466">
        <v>850</v>
      </c>
      <c r="G212" s="5466">
        <v>895</v>
      </c>
      <c r="H212" s="5466">
        <v>910</v>
      </c>
      <c r="I212" s="5466">
        <v>935</v>
      </c>
      <c r="J212" s="5466">
        <v>880</v>
      </c>
      <c r="K212" s="5466">
        <v>919</v>
      </c>
      <c r="L212" s="5466">
        <v>818</v>
      </c>
      <c r="M212" s="5466">
        <v>876</v>
      </c>
      <c r="N212" s="5466">
        <v>824</v>
      </c>
      <c r="O212" s="5466">
        <v>758</v>
      </c>
      <c r="P212" s="5466">
        <v>10286</v>
      </c>
      <c r="Q212" s="5467">
        <v>857.16666666666663</v>
      </c>
      <c r="R212" s="2776"/>
      <c r="S212" s="5465">
        <v>767</v>
      </c>
      <c r="T212" s="5466">
        <v>824</v>
      </c>
      <c r="U212" s="5466">
        <v>781</v>
      </c>
      <c r="V212" s="5466">
        <v>758</v>
      </c>
      <c r="W212" s="5466">
        <v>787</v>
      </c>
      <c r="X212" s="5466">
        <v>712</v>
      </c>
      <c r="Y212" s="5466">
        <v>718</v>
      </c>
      <c r="Z212" s="5466">
        <v>769</v>
      </c>
      <c r="AA212" s="5466">
        <v>698</v>
      </c>
      <c r="AB212" s="5466">
        <v>775</v>
      </c>
      <c r="AC212" s="5466">
        <v>682</v>
      </c>
      <c r="AD212" s="5466">
        <v>658</v>
      </c>
      <c r="AE212" s="5466">
        <v>8929</v>
      </c>
      <c r="AF212" s="5467">
        <v>744.08333333333337</v>
      </c>
      <c r="AG212" s="2776"/>
      <c r="AH212" s="5465">
        <v>767</v>
      </c>
      <c r="AI212" s="5466">
        <v>643</v>
      </c>
      <c r="AJ212" s="5466">
        <v>706</v>
      </c>
      <c r="AK212" s="5466">
        <v>734</v>
      </c>
      <c r="AL212" s="5466">
        <v>758</v>
      </c>
      <c r="AM212" s="5466">
        <v>744</v>
      </c>
      <c r="AN212" s="5466">
        <v>792</v>
      </c>
      <c r="AO212" s="5466">
        <v>779</v>
      </c>
      <c r="AP212" s="5466">
        <v>800</v>
      </c>
      <c r="AQ212" s="5466">
        <v>797</v>
      </c>
      <c r="AR212" s="5466">
        <v>794</v>
      </c>
      <c r="AS212" s="5466">
        <v>737</v>
      </c>
      <c r="AT212" s="5466">
        <f t="shared" si="315"/>
        <v>9051</v>
      </c>
      <c r="AU212" s="5467">
        <f t="shared" si="307"/>
        <v>754.25</v>
      </c>
      <c r="AW212" s="5465">
        <v>697</v>
      </c>
      <c r="AX212" s="5466">
        <v>845</v>
      </c>
      <c r="AY212" s="5466">
        <v>768</v>
      </c>
      <c r="AZ212" s="5466">
        <v>785</v>
      </c>
      <c r="BA212" s="5466">
        <v>829</v>
      </c>
      <c r="BB212" s="5466">
        <v>774</v>
      </c>
      <c r="BC212" s="5466">
        <v>817</v>
      </c>
      <c r="BD212" s="5466">
        <v>796</v>
      </c>
      <c r="BE212" s="5466">
        <v>844</v>
      </c>
      <c r="BF212" s="5466">
        <v>798</v>
      </c>
      <c r="BG212" s="5466">
        <v>790</v>
      </c>
      <c r="BH212" s="5466">
        <v>810</v>
      </c>
      <c r="BI212" s="5466">
        <v>9553</v>
      </c>
      <c r="BJ212" s="5467">
        <v>796.08333333333337</v>
      </c>
      <c r="BL212" s="5465">
        <v>844</v>
      </c>
      <c r="BM212" s="5466">
        <v>716</v>
      </c>
      <c r="BN212" s="5466"/>
      <c r="BO212" s="5466"/>
      <c r="BP212" s="5466"/>
      <c r="BQ212" s="5466"/>
      <c r="BR212" s="5466"/>
      <c r="BS212" s="5466"/>
      <c r="BT212" s="5466"/>
      <c r="BU212" s="5466"/>
      <c r="BV212" s="5466"/>
      <c r="BW212" s="5466"/>
      <c r="BX212" s="5466">
        <f t="shared" si="318"/>
        <v>1560</v>
      </c>
      <c r="BY212" s="5467">
        <f t="shared" si="319"/>
        <v>780</v>
      </c>
      <c r="CA212" s="169">
        <f t="shared" si="308"/>
        <v>-129</v>
      </c>
      <c r="CB212" s="169">
        <f t="shared" si="320"/>
        <v>41.833333333333371</v>
      </c>
      <c r="CC212" s="169">
        <f>IFERROR(
  SUM(
    _xlfn.XLOOKUP(DATE(YEAR($A$1),1,1),$2:$2,212:212):
    _xlfn.XLOOKUP($A$1,$2:$2,212:212)
  )
 -SUM(
    _xlfn.XLOOKUP(DATE(YEAR($A$1)-1,1,1),$2:$2,212:212):
    _xlfn.XLOOKUP(EDATE($A$1,-12),$2:$2,212:212)
  ),"")</f>
        <v>18</v>
      </c>
      <c r="CD212" s="4517">
        <f t="shared" si="310"/>
        <v>-128</v>
      </c>
      <c r="CE212" s="5459"/>
      <c r="CF212" s="5459"/>
    </row>
    <row r="213" spans="1:84" ht="17.600000000000001" x14ac:dyDescent="0.55000000000000004">
      <c r="A213" s="7391"/>
      <c r="B213" s="5468" t="s">
        <v>207</v>
      </c>
      <c r="C213" s="1576"/>
      <c r="D213" s="5469">
        <v>644</v>
      </c>
      <c r="E213" s="2636">
        <v>713</v>
      </c>
      <c r="F213" s="2636">
        <v>674</v>
      </c>
      <c r="G213" s="2636">
        <v>670</v>
      </c>
      <c r="H213" s="2636">
        <v>709</v>
      </c>
      <c r="I213" s="2636">
        <v>687</v>
      </c>
      <c r="J213" s="2636">
        <v>635</v>
      </c>
      <c r="K213" s="2636">
        <v>638</v>
      </c>
      <c r="L213" s="2636">
        <v>600</v>
      </c>
      <c r="M213" s="2636">
        <v>619</v>
      </c>
      <c r="N213" s="2636">
        <v>603</v>
      </c>
      <c r="O213" s="2636">
        <v>568</v>
      </c>
      <c r="P213" s="2636">
        <v>7760</v>
      </c>
      <c r="Q213" s="5470">
        <v>646.66666666666663</v>
      </c>
      <c r="R213" s="2776"/>
      <c r="S213" s="5469">
        <v>584</v>
      </c>
      <c r="T213" s="2636">
        <v>649</v>
      </c>
      <c r="U213" s="2636">
        <v>658</v>
      </c>
      <c r="V213" s="2636">
        <v>533</v>
      </c>
      <c r="W213" s="2636">
        <v>504</v>
      </c>
      <c r="X213" s="2636">
        <v>506</v>
      </c>
      <c r="Y213" s="2636">
        <v>451</v>
      </c>
      <c r="Z213" s="2636">
        <v>528</v>
      </c>
      <c r="AA213" s="2636">
        <v>453</v>
      </c>
      <c r="AB213" s="2636">
        <v>524</v>
      </c>
      <c r="AC213" s="2636">
        <v>543</v>
      </c>
      <c r="AD213" s="2636">
        <v>464</v>
      </c>
      <c r="AE213" s="2636">
        <v>6397</v>
      </c>
      <c r="AF213" s="5470">
        <v>533.08333333333337</v>
      </c>
      <c r="AG213" s="2776"/>
      <c r="AH213" s="5469">
        <v>550</v>
      </c>
      <c r="AI213" s="2636">
        <v>485</v>
      </c>
      <c r="AJ213" s="2636">
        <v>488</v>
      </c>
      <c r="AK213" s="2636">
        <v>468</v>
      </c>
      <c r="AL213" s="2636">
        <v>495</v>
      </c>
      <c r="AM213" s="2636">
        <v>474</v>
      </c>
      <c r="AN213" s="2636">
        <v>478</v>
      </c>
      <c r="AO213" s="2636">
        <v>470</v>
      </c>
      <c r="AP213" s="2636">
        <v>482</v>
      </c>
      <c r="AQ213" s="2636">
        <v>545</v>
      </c>
      <c r="AR213" s="2636">
        <v>496</v>
      </c>
      <c r="AS213" s="2636">
        <v>436</v>
      </c>
      <c r="AT213" s="2636">
        <f t="shared" si="315"/>
        <v>5867</v>
      </c>
      <c r="AU213" s="5470">
        <f t="shared" si="307"/>
        <v>488.91666666666669</v>
      </c>
      <c r="AW213" s="5469">
        <v>408</v>
      </c>
      <c r="AX213" s="2636">
        <v>567</v>
      </c>
      <c r="AY213" s="2636">
        <v>531</v>
      </c>
      <c r="AZ213" s="2636">
        <v>467</v>
      </c>
      <c r="BA213" s="2636">
        <v>536</v>
      </c>
      <c r="BB213" s="2636">
        <v>516</v>
      </c>
      <c r="BC213" s="2636">
        <v>505</v>
      </c>
      <c r="BD213" s="2636">
        <v>537</v>
      </c>
      <c r="BE213" s="2636">
        <v>536</v>
      </c>
      <c r="BF213" s="2636">
        <v>539</v>
      </c>
      <c r="BG213" s="2636">
        <v>556</v>
      </c>
      <c r="BH213" s="2636">
        <v>554</v>
      </c>
      <c r="BI213" s="2636">
        <v>6252</v>
      </c>
      <c r="BJ213" s="5470">
        <v>521</v>
      </c>
      <c r="BL213" s="5469">
        <v>576</v>
      </c>
      <c r="BM213" s="2636">
        <v>497</v>
      </c>
      <c r="BN213" s="2636"/>
      <c r="BO213" s="2636"/>
      <c r="BP213" s="2636"/>
      <c r="BQ213" s="2636"/>
      <c r="BR213" s="2636"/>
      <c r="BS213" s="2636"/>
      <c r="BT213" s="2636"/>
      <c r="BU213" s="2636"/>
      <c r="BV213" s="2636"/>
      <c r="BW213" s="2636"/>
      <c r="BX213" s="2636">
        <f>SUM(BL213:BW213)</f>
        <v>1073</v>
      </c>
      <c r="BY213" s="5470">
        <f t="shared" si="319"/>
        <v>536.5</v>
      </c>
      <c r="CA213" s="169">
        <f t="shared" si="308"/>
        <v>-70</v>
      </c>
      <c r="CB213" s="169">
        <f t="shared" si="320"/>
        <v>32.083333333333314</v>
      </c>
      <c r="CC213" s="169">
        <f>IFERROR(
  SUM(
    _xlfn.XLOOKUP(DATE(YEAR($A$1),1,1),$2:$2,213:213):
    _xlfn.XLOOKUP($A$1,$2:$2,213:213)
  )
 -SUM(
    _xlfn.XLOOKUP(DATE(YEAR($A$1)-1,1,1),$2:$2,213:213):
    _xlfn.XLOOKUP(EDATE($A$1,-12),$2:$2,213:213)
  ),"")</f>
        <v>98</v>
      </c>
      <c r="CD213" s="4517">
        <f t="shared" si="310"/>
        <v>-79</v>
      </c>
      <c r="CE213" s="5459"/>
      <c r="CF213" s="5459"/>
    </row>
    <row r="214" spans="1:84" ht="17.600000000000001" x14ac:dyDescent="0.55000000000000004">
      <c r="A214" s="7391"/>
      <c r="B214" s="5468" t="s">
        <v>208</v>
      </c>
      <c r="C214" s="1576"/>
      <c r="D214" s="5469">
        <v>628</v>
      </c>
      <c r="E214" s="2636">
        <v>679</v>
      </c>
      <c r="F214" s="2636">
        <v>674</v>
      </c>
      <c r="G214" s="2636">
        <v>721</v>
      </c>
      <c r="H214" s="2636">
        <v>770</v>
      </c>
      <c r="I214" s="2636">
        <v>748</v>
      </c>
      <c r="J214" s="2636">
        <v>759</v>
      </c>
      <c r="K214" s="2636">
        <v>761</v>
      </c>
      <c r="L214" s="2636">
        <v>659</v>
      </c>
      <c r="M214" s="2636">
        <v>717</v>
      </c>
      <c r="N214" s="2636">
        <v>666</v>
      </c>
      <c r="O214" s="2636">
        <v>612</v>
      </c>
      <c r="P214" s="2636">
        <v>8394</v>
      </c>
      <c r="Q214" s="5470">
        <v>699.5</v>
      </c>
      <c r="R214" s="2776"/>
      <c r="S214" s="5469">
        <v>692</v>
      </c>
      <c r="T214" s="2636">
        <v>661</v>
      </c>
      <c r="U214" s="2636">
        <v>726</v>
      </c>
      <c r="V214" s="2636">
        <v>636</v>
      </c>
      <c r="W214" s="2636">
        <v>618</v>
      </c>
      <c r="X214" s="2636">
        <v>584</v>
      </c>
      <c r="Y214" s="2636">
        <v>576</v>
      </c>
      <c r="Z214" s="2636">
        <v>648</v>
      </c>
      <c r="AA214" s="2636">
        <v>593</v>
      </c>
      <c r="AB214" s="2636">
        <v>651</v>
      </c>
      <c r="AC214" s="2636">
        <v>593</v>
      </c>
      <c r="AD214" s="2636">
        <v>547</v>
      </c>
      <c r="AE214" s="2636">
        <v>7525</v>
      </c>
      <c r="AF214" s="5470">
        <v>627.08333333333337</v>
      </c>
      <c r="AG214" s="2776"/>
      <c r="AH214" s="5469">
        <v>572</v>
      </c>
      <c r="AI214" s="2636">
        <v>517</v>
      </c>
      <c r="AJ214" s="2636">
        <v>544</v>
      </c>
      <c r="AK214" s="2636">
        <v>569</v>
      </c>
      <c r="AL214" s="2636">
        <v>612</v>
      </c>
      <c r="AM214" s="2636">
        <v>620</v>
      </c>
      <c r="AN214" s="2636">
        <v>586</v>
      </c>
      <c r="AO214" s="2636">
        <v>560</v>
      </c>
      <c r="AP214" s="2636">
        <v>640</v>
      </c>
      <c r="AQ214" s="2636">
        <v>639</v>
      </c>
      <c r="AR214" s="2636">
        <v>585</v>
      </c>
      <c r="AS214" s="2636">
        <v>525</v>
      </c>
      <c r="AT214" s="2636">
        <f t="shared" si="315"/>
        <v>6969</v>
      </c>
      <c r="AU214" s="5470">
        <f t="shared" si="307"/>
        <v>580.75</v>
      </c>
      <c r="AW214" s="5469">
        <v>521</v>
      </c>
      <c r="AX214" s="2636">
        <v>664</v>
      </c>
      <c r="AY214" s="2636">
        <v>595</v>
      </c>
      <c r="AZ214" s="2636">
        <v>600</v>
      </c>
      <c r="BA214" s="2636">
        <v>671</v>
      </c>
      <c r="BB214" s="2636">
        <v>630</v>
      </c>
      <c r="BC214" s="2636">
        <v>628</v>
      </c>
      <c r="BD214" s="2636">
        <v>642</v>
      </c>
      <c r="BE214" s="2636">
        <v>616</v>
      </c>
      <c r="BF214" s="2636">
        <v>592</v>
      </c>
      <c r="BG214" s="2636">
        <v>588</v>
      </c>
      <c r="BH214" s="2636">
        <v>611</v>
      </c>
      <c r="BI214" s="2636">
        <v>7358</v>
      </c>
      <c r="BJ214" s="5470">
        <v>613.16666666666663</v>
      </c>
      <c r="BL214" s="5469">
        <v>664</v>
      </c>
      <c r="BM214" s="2636">
        <v>538</v>
      </c>
      <c r="BN214" s="2636"/>
      <c r="BO214" s="2636"/>
      <c r="BP214" s="2636"/>
      <c r="BQ214" s="2636"/>
      <c r="BR214" s="2636"/>
      <c r="BS214" s="2636"/>
      <c r="BT214" s="2636"/>
      <c r="BU214" s="2636"/>
      <c r="BV214" s="2636"/>
      <c r="BW214" s="2636"/>
      <c r="BX214" s="2636">
        <f t="shared" si="318"/>
        <v>1202</v>
      </c>
      <c r="BY214" s="5470">
        <f t="shared" si="319"/>
        <v>601</v>
      </c>
      <c r="CA214" s="169">
        <f t="shared" si="308"/>
        <v>-126</v>
      </c>
      <c r="CB214" s="169">
        <f t="shared" si="320"/>
        <v>32.416666666666629</v>
      </c>
      <c r="CC214" s="169">
        <f>IFERROR(
  SUM(
    _xlfn.XLOOKUP(DATE(YEAR($A$1),1,1),$2:$2,214:214):
    _xlfn.XLOOKUP($A$1,$2:$2,214:214)
  )
 -SUM(
    _xlfn.XLOOKUP(DATE(YEAR($A$1)-1,1,1),$2:$2,214:214):
    _xlfn.XLOOKUP(EDATE($A$1,-12),$2:$2,214:214)
  ),"")</f>
        <v>17</v>
      </c>
      <c r="CD214" s="4517">
        <f t="shared" si="310"/>
        <v>-126</v>
      </c>
      <c r="CE214" s="5459"/>
      <c r="CF214" s="5459"/>
    </row>
    <row r="215" spans="1:84" ht="17.600000000000001" x14ac:dyDescent="0.55000000000000004">
      <c r="A215" s="7391"/>
      <c r="B215" s="5468" t="s">
        <v>209</v>
      </c>
      <c r="C215" s="1576"/>
      <c r="D215" s="5469">
        <v>973</v>
      </c>
      <c r="E215" s="2636">
        <v>999</v>
      </c>
      <c r="F215" s="2636">
        <v>1106</v>
      </c>
      <c r="G215" s="2636">
        <v>1135</v>
      </c>
      <c r="H215" s="2636">
        <v>1114</v>
      </c>
      <c r="I215" s="2636">
        <v>1108</v>
      </c>
      <c r="J215" s="2636">
        <v>1119</v>
      </c>
      <c r="K215" s="2636">
        <v>1112</v>
      </c>
      <c r="L215" s="2636">
        <v>1080</v>
      </c>
      <c r="M215" s="2636">
        <v>1145</v>
      </c>
      <c r="N215" s="2636">
        <v>1088</v>
      </c>
      <c r="O215" s="2636">
        <v>899</v>
      </c>
      <c r="P215" s="2636">
        <v>12878</v>
      </c>
      <c r="Q215" s="5470">
        <v>1073.1666666666667</v>
      </c>
      <c r="R215" s="2776"/>
      <c r="S215" s="5469">
        <v>963</v>
      </c>
      <c r="T215" s="2636">
        <v>1047</v>
      </c>
      <c r="U215" s="2636">
        <v>1006</v>
      </c>
      <c r="V215" s="2636">
        <v>1017</v>
      </c>
      <c r="W215" s="2636">
        <v>983</v>
      </c>
      <c r="X215" s="2636">
        <v>944</v>
      </c>
      <c r="Y215" s="2636">
        <v>956</v>
      </c>
      <c r="Z215" s="2636">
        <v>1058</v>
      </c>
      <c r="AA215" s="2636">
        <v>1032</v>
      </c>
      <c r="AB215" s="2636">
        <v>1020</v>
      </c>
      <c r="AC215" s="2636">
        <v>990</v>
      </c>
      <c r="AD215" s="2636">
        <v>901</v>
      </c>
      <c r="AE215" s="2636">
        <v>11917</v>
      </c>
      <c r="AF215" s="5470">
        <v>993.08333333333337</v>
      </c>
      <c r="AG215" s="2776"/>
      <c r="AH215" s="5469">
        <v>1024</v>
      </c>
      <c r="AI215" s="2636">
        <v>985</v>
      </c>
      <c r="AJ215" s="2636">
        <v>1022</v>
      </c>
      <c r="AK215" s="2636">
        <v>1031</v>
      </c>
      <c r="AL215" s="2636">
        <v>1042</v>
      </c>
      <c r="AM215" s="2636">
        <v>1025</v>
      </c>
      <c r="AN215" s="2636">
        <v>1023</v>
      </c>
      <c r="AO215" s="2636">
        <v>950</v>
      </c>
      <c r="AP215" s="2636">
        <v>1097</v>
      </c>
      <c r="AQ215" s="2636">
        <v>1066</v>
      </c>
      <c r="AR215" s="2636">
        <v>1135</v>
      </c>
      <c r="AS215" s="2636">
        <v>1086</v>
      </c>
      <c r="AT215" s="2636">
        <f t="shared" si="315"/>
        <v>12486</v>
      </c>
      <c r="AU215" s="5470">
        <f t="shared" si="307"/>
        <v>1040.5</v>
      </c>
      <c r="AW215" s="5469">
        <v>1089</v>
      </c>
      <c r="AX215" s="2636">
        <v>1230</v>
      </c>
      <c r="AY215" s="2636">
        <v>1195</v>
      </c>
      <c r="AZ215" s="2636">
        <v>1264</v>
      </c>
      <c r="BA215" s="2636">
        <v>1394</v>
      </c>
      <c r="BB215" s="2636">
        <v>1401</v>
      </c>
      <c r="BC215" s="2636">
        <v>1369</v>
      </c>
      <c r="BD215" s="2636">
        <v>1312</v>
      </c>
      <c r="BE215" s="2636">
        <v>1335</v>
      </c>
      <c r="BF215" s="2636">
        <v>1313</v>
      </c>
      <c r="BG215" s="2636">
        <v>1224</v>
      </c>
      <c r="BH215" s="2636">
        <v>1269</v>
      </c>
      <c r="BI215" s="2636">
        <v>15395</v>
      </c>
      <c r="BJ215" s="5470">
        <v>1282.9166666666667</v>
      </c>
      <c r="BL215" s="5469">
        <v>1355</v>
      </c>
      <c r="BM215" s="2636">
        <v>1160</v>
      </c>
      <c r="BN215" s="2636"/>
      <c r="BO215" s="2636"/>
      <c r="BP215" s="2636"/>
      <c r="BQ215" s="2636"/>
      <c r="BR215" s="2636"/>
      <c r="BS215" s="2636"/>
      <c r="BT215" s="2636"/>
      <c r="BU215" s="2636"/>
      <c r="BV215" s="2636"/>
      <c r="BW215" s="2636"/>
      <c r="BX215" s="2636">
        <f t="shared" si="318"/>
        <v>2515</v>
      </c>
      <c r="BY215" s="5470">
        <f t="shared" si="319"/>
        <v>1257.5</v>
      </c>
      <c r="CA215" s="169">
        <f t="shared" si="308"/>
        <v>-70</v>
      </c>
      <c r="CB215" s="169">
        <f t="shared" si="320"/>
        <v>242.41666666666674</v>
      </c>
      <c r="CC215" s="169">
        <f>IFERROR(
  SUM(
    _xlfn.XLOOKUP(DATE(YEAR($A$1),1,1),$2:$2,215:215):
    _xlfn.XLOOKUP($A$1,$2:$2,215:215)
  )
 -SUM(
    _xlfn.XLOOKUP(DATE(YEAR($A$1)-1,1,1),$2:$2,215:215):
    _xlfn.XLOOKUP(EDATE($A$1,-12),$2:$2,215:215)
  ),"")</f>
        <v>196</v>
      </c>
      <c r="CD215" s="4517">
        <f t="shared" si="310"/>
        <v>-195</v>
      </c>
      <c r="CE215" s="5459"/>
      <c r="CF215" s="5459"/>
    </row>
    <row r="216" spans="1:84" ht="17.600000000000001" x14ac:dyDescent="0.55000000000000004">
      <c r="A216" s="7391"/>
      <c r="B216" s="5471" t="s">
        <v>210</v>
      </c>
      <c r="C216" s="1813"/>
      <c r="D216" s="5472">
        <v>1155</v>
      </c>
      <c r="E216" s="5473">
        <v>1134</v>
      </c>
      <c r="F216" s="5473">
        <v>1188</v>
      </c>
      <c r="G216" s="5473">
        <v>1175</v>
      </c>
      <c r="H216" s="5473">
        <v>1230</v>
      </c>
      <c r="I216" s="5473">
        <v>1193</v>
      </c>
      <c r="J216" s="5473">
        <v>1187</v>
      </c>
      <c r="K216" s="5473">
        <v>1113</v>
      </c>
      <c r="L216" s="5473">
        <v>1071</v>
      </c>
      <c r="M216" s="5473">
        <v>1150</v>
      </c>
      <c r="N216" s="5473">
        <v>1119</v>
      </c>
      <c r="O216" s="5473">
        <v>1071</v>
      </c>
      <c r="P216" s="5473">
        <v>13786</v>
      </c>
      <c r="Q216" s="5474">
        <v>1148.8333333333333</v>
      </c>
      <c r="R216" s="2776"/>
      <c r="S216" s="5472">
        <v>1151</v>
      </c>
      <c r="T216" s="5473">
        <v>1172</v>
      </c>
      <c r="U216" s="5473">
        <v>1131</v>
      </c>
      <c r="V216" s="5473">
        <v>1099</v>
      </c>
      <c r="W216" s="5473">
        <v>1039</v>
      </c>
      <c r="X216" s="5473">
        <v>1006</v>
      </c>
      <c r="Y216" s="5473">
        <v>971</v>
      </c>
      <c r="Z216" s="5473">
        <v>1059</v>
      </c>
      <c r="AA216" s="5473">
        <v>933</v>
      </c>
      <c r="AB216" s="5473">
        <v>973</v>
      </c>
      <c r="AC216" s="5473">
        <v>929</v>
      </c>
      <c r="AD216" s="5473">
        <v>847</v>
      </c>
      <c r="AE216" s="5473">
        <v>12310</v>
      </c>
      <c r="AF216" s="5474">
        <v>1025.8333333333333</v>
      </c>
      <c r="AG216" s="2776"/>
      <c r="AH216" s="5472">
        <v>999</v>
      </c>
      <c r="AI216" s="5473">
        <v>945</v>
      </c>
      <c r="AJ216" s="5473">
        <v>993</v>
      </c>
      <c r="AK216" s="5473">
        <v>1018</v>
      </c>
      <c r="AL216" s="5473">
        <v>983</v>
      </c>
      <c r="AM216" s="5473">
        <v>1020</v>
      </c>
      <c r="AN216" s="5473">
        <v>971</v>
      </c>
      <c r="AO216" s="5473">
        <v>875</v>
      </c>
      <c r="AP216" s="5473">
        <v>997</v>
      </c>
      <c r="AQ216" s="5473">
        <v>1024</v>
      </c>
      <c r="AR216" s="5473">
        <v>1032</v>
      </c>
      <c r="AS216" s="5473">
        <v>976</v>
      </c>
      <c r="AT216" s="5473">
        <f t="shared" si="315"/>
        <v>11833</v>
      </c>
      <c r="AU216" s="5474">
        <f t="shared" si="307"/>
        <v>986.08333333333337</v>
      </c>
      <c r="AW216" s="5472">
        <v>911</v>
      </c>
      <c r="AX216" s="5473">
        <v>1040</v>
      </c>
      <c r="AY216" s="5473">
        <v>998</v>
      </c>
      <c r="AZ216" s="5473">
        <v>1019</v>
      </c>
      <c r="BA216" s="5473">
        <v>1075</v>
      </c>
      <c r="BB216" s="5473">
        <v>1045</v>
      </c>
      <c r="BC216" s="5473">
        <v>1008</v>
      </c>
      <c r="BD216" s="5473">
        <v>1020</v>
      </c>
      <c r="BE216" s="5473">
        <v>1024</v>
      </c>
      <c r="BF216" s="5473">
        <v>1027</v>
      </c>
      <c r="BG216" s="5473">
        <v>1016</v>
      </c>
      <c r="BH216" s="5473">
        <v>968</v>
      </c>
      <c r="BI216" s="5473">
        <v>12151</v>
      </c>
      <c r="BJ216" s="5474">
        <v>1012.5833333333334</v>
      </c>
      <c r="BL216" s="5472">
        <v>1026</v>
      </c>
      <c r="BM216" s="5473">
        <v>880</v>
      </c>
      <c r="BN216" s="5473"/>
      <c r="BO216" s="5473"/>
      <c r="BP216" s="5473"/>
      <c r="BQ216" s="5473"/>
      <c r="BR216" s="5473"/>
      <c r="BS216" s="5473"/>
      <c r="BT216" s="5473"/>
      <c r="BU216" s="5473"/>
      <c r="BV216" s="5473"/>
      <c r="BW216" s="5473"/>
      <c r="BX216" s="5473">
        <f t="shared" si="318"/>
        <v>1906</v>
      </c>
      <c r="BY216" s="5474">
        <f t="shared" si="319"/>
        <v>953</v>
      </c>
      <c r="CA216" s="169">
        <f t="shared" si="308"/>
        <v>-160</v>
      </c>
      <c r="CB216" s="169">
        <f t="shared" si="320"/>
        <v>26.5</v>
      </c>
      <c r="CC216" s="169">
        <f>IFERROR(
  SUM(
    _xlfn.XLOOKUP(DATE(YEAR($A$1),1,1),$2:$2,216:216):
    _xlfn.XLOOKUP($A$1,$2:$2,216:216)
  )
 -SUM(
    _xlfn.XLOOKUP(DATE(YEAR($A$1)-1,1,1),$2:$2,216:216):
    _xlfn.XLOOKUP(EDATE($A$1,-12),$2:$2,216:216)
  ),"")</f>
        <v>-45</v>
      </c>
      <c r="CD216" s="4517">
        <f t="shared" si="310"/>
        <v>-146</v>
      </c>
      <c r="CE216" s="5459"/>
      <c r="CF216" s="5459"/>
    </row>
    <row r="217" spans="1:84" s="698" customFormat="1" ht="17.600000000000001" x14ac:dyDescent="0.55000000000000004">
      <c r="A217" s="7391"/>
      <c r="B217" s="5475"/>
      <c r="C217" s="2156" t="s">
        <v>226</v>
      </c>
      <c r="D217" s="5476">
        <v>539</v>
      </c>
      <c r="E217" s="5477">
        <v>599</v>
      </c>
      <c r="F217" s="5477">
        <v>608</v>
      </c>
      <c r="G217" s="5477">
        <v>628</v>
      </c>
      <c r="H217" s="5477">
        <v>648</v>
      </c>
      <c r="I217" s="5477">
        <v>664</v>
      </c>
      <c r="J217" s="5477">
        <v>636</v>
      </c>
      <c r="K217" s="5477">
        <v>674</v>
      </c>
      <c r="L217" s="5477">
        <v>591</v>
      </c>
      <c r="M217" s="5477">
        <v>643</v>
      </c>
      <c r="N217" s="5477">
        <v>615</v>
      </c>
      <c r="O217" s="5477">
        <v>563</v>
      </c>
      <c r="P217" s="5477">
        <f t="shared" si="311"/>
        <v>7408</v>
      </c>
      <c r="Q217" s="5478">
        <f t="shared" si="312"/>
        <v>617.33333333333337</v>
      </c>
      <c r="R217" s="5479"/>
      <c r="S217" s="5476">
        <v>571</v>
      </c>
      <c r="T217" s="5477">
        <v>611</v>
      </c>
      <c r="U217" s="5477">
        <v>570</v>
      </c>
      <c r="V217" s="5477">
        <v>541</v>
      </c>
      <c r="W217" s="5477">
        <v>573</v>
      </c>
      <c r="X217" s="5477">
        <v>509</v>
      </c>
      <c r="Y217" s="5477">
        <v>515</v>
      </c>
      <c r="Z217" s="5477">
        <v>547</v>
      </c>
      <c r="AA217" s="5477">
        <v>502</v>
      </c>
      <c r="AB217" s="5477">
        <v>555</v>
      </c>
      <c r="AC217" s="5477">
        <v>483</v>
      </c>
      <c r="AD217" s="5477">
        <v>460</v>
      </c>
      <c r="AE217" s="5477">
        <f t="shared" si="313"/>
        <v>6437</v>
      </c>
      <c r="AF217" s="5478">
        <f t="shared" si="314"/>
        <v>536.41666666666663</v>
      </c>
      <c r="AG217" s="5479"/>
      <c r="AH217" s="5476">
        <v>532</v>
      </c>
      <c r="AI217" s="5477">
        <v>458</v>
      </c>
      <c r="AJ217" s="5477">
        <v>516</v>
      </c>
      <c r="AK217" s="5477">
        <v>529</v>
      </c>
      <c r="AL217" s="5477">
        <v>549</v>
      </c>
      <c r="AM217" s="5477">
        <v>530</v>
      </c>
      <c r="AN217" s="5477">
        <v>566</v>
      </c>
      <c r="AO217" s="5477">
        <v>555</v>
      </c>
      <c r="AP217" s="5477">
        <v>579</v>
      </c>
      <c r="AQ217" s="5477">
        <v>579</v>
      </c>
      <c r="AR217" s="5477">
        <v>563</v>
      </c>
      <c r="AS217" s="5477">
        <v>535</v>
      </c>
      <c r="AT217" s="5477">
        <f t="shared" si="315"/>
        <v>6491</v>
      </c>
      <c r="AU217" s="5478">
        <f t="shared" si="307"/>
        <v>540.91666666666663</v>
      </c>
      <c r="AW217" s="5476">
        <v>503</v>
      </c>
      <c r="AX217" s="5477">
        <v>601</v>
      </c>
      <c r="AY217" s="5477">
        <v>549</v>
      </c>
      <c r="AZ217" s="5477">
        <v>556</v>
      </c>
      <c r="BA217" s="5477">
        <v>589</v>
      </c>
      <c r="BB217" s="5477">
        <v>554</v>
      </c>
      <c r="BC217" s="5477">
        <v>817</v>
      </c>
      <c r="BD217" s="5477">
        <v>796</v>
      </c>
      <c r="BE217" s="5477">
        <v>844</v>
      </c>
      <c r="BF217" s="5477">
        <v>798</v>
      </c>
      <c r="BG217" s="5477">
        <v>790</v>
      </c>
      <c r="BH217" s="5477">
        <v>810</v>
      </c>
      <c r="BI217" s="5477">
        <f t="shared" si="316"/>
        <v>8207</v>
      </c>
      <c r="BJ217" s="5478">
        <f t="shared" si="317"/>
        <v>683.91666666666663</v>
      </c>
      <c r="BL217" s="5476">
        <v>844</v>
      </c>
      <c r="BM217" s="5477">
        <v>716</v>
      </c>
      <c r="BN217" s="5477"/>
      <c r="BO217" s="5477"/>
      <c r="BP217" s="5477"/>
      <c r="BQ217" s="5477"/>
      <c r="BR217" s="5477"/>
      <c r="BS217" s="5477"/>
      <c r="BT217" s="5477"/>
      <c r="BU217" s="5477"/>
      <c r="BV217" s="5477"/>
      <c r="BW217" s="5477"/>
      <c r="BX217" s="5477">
        <f t="shared" si="318"/>
        <v>1560</v>
      </c>
      <c r="BY217" s="5478">
        <f t="shared" si="319"/>
        <v>780</v>
      </c>
      <c r="CA217" s="169">
        <f t="shared" si="308"/>
        <v>115</v>
      </c>
      <c r="CB217" s="169">
        <f t="shared" si="320"/>
        <v>143</v>
      </c>
      <c r="CC217" s="169">
        <f>IFERROR(
  SUM(
    _xlfn.XLOOKUP(DATE(YEAR($A$1),1,1),$2:$2,217:217):
    _xlfn.XLOOKUP($A$1,$2:$2,217:217)
  )
 -SUM(
    _xlfn.XLOOKUP(DATE(YEAR($A$1)-1,1,1),$2:$2,217:217):
    _xlfn.XLOOKUP(EDATE($A$1,-12),$2:$2,217:217)
  ),"")</f>
        <v>456</v>
      </c>
      <c r="CD217" s="4517">
        <f t="shared" si="310"/>
        <v>-128</v>
      </c>
      <c r="CE217" s="5459"/>
      <c r="CF217" s="5459"/>
    </row>
    <row r="218" spans="1:84" s="698" customFormat="1" ht="17.600000000000001" x14ac:dyDescent="0.55000000000000004">
      <c r="A218" s="7391"/>
      <c r="B218" s="5480"/>
      <c r="C218" s="681" t="s">
        <v>227</v>
      </c>
      <c r="D218" s="5481">
        <v>644</v>
      </c>
      <c r="E218" s="5482">
        <v>713</v>
      </c>
      <c r="F218" s="5482">
        <v>674</v>
      </c>
      <c r="G218" s="5482">
        <v>670</v>
      </c>
      <c r="H218" s="5482">
        <v>709</v>
      </c>
      <c r="I218" s="5482">
        <v>687</v>
      </c>
      <c r="J218" s="5482">
        <v>635</v>
      </c>
      <c r="K218" s="5482">
        <v>638</v>
      </c>
      <c r="L218" s="5482">
        <v>600</v>
      </c>
      <c r="M218" s="5482">
        <v>619</v>
      </c>
      <c r="N218" s="5482">
        <v>603</v>
      </c>
      <c r="O218" s="5482">
        <v>568</v>
      </c>
      <c r="P218" s="5482">
        <f t="shared" si="311"/>
        <v>7760</v>
      </c>
      <c r="Q218" s="5483">
        <f t="shared" si="312"/>
        <v>646.66666666666663</v>
      </c>
      <c r="R218" s="5479"/>
      <c r="S218" s="5481">
        <v>584</v>
      </c>
      <c r="T218" s="5482">
        <v>649</v>
      </c>
      <c r="U218" s="5482">
        <v>658</v>
      </c>
      <c r="V218" s="5482">
        <v>533</v>
      </c>
      <c r="W218" s="5482">
        <v>504</v>
      </c>
      <c r="X218" s="5482">
        <v>506</v>
      </c>
      <c r="Y218" s="5482">
        <v>451</v>
      </c>
      <c r="Z218" s="5482">
        <v>528</v>
      </c>
      <c r="AA218" s="5482">
        <v>453</v>
      </c>
      <c r="AB218" s="5482">
        <v>524</v>
      </c>
      <c r="AC218" s="5482">
        <v>543</v>
      </c>
      <c r="AD218" s="5482">
        <v>464</v>
      </c>
      <c r="AE218" s="5482">
        <f t="shared" si="313"/>
        <v>6397</v>
      </c>
      <c r="AF218" s="5483">
        <f t="shared" si="314"/>
        <v>533.08333333333337</v>
      </c>
      <c r="AG218" s="5479"/>
      <c r="AH218" s="5481">
        <v>550</v>
      </c>
      <c r="AI218" s="5482">
        <v>485</v>
      </c>
      <c r="AJ218" s="5482">
        <v>488</v>
      </c>
      <c r="AK218" s="5482">
        <v>468</v>
      </c>
      <c r="AL218" s="5482">
        <v>495</v>
      </c>
      <c r="AM218" s="5482">
        <v>474</v>
      </c>
      <c r="AN218" s="5482">
        <v>478</v>
      </c>
      <c r="AO218" s="5482">
        <v>470</v>
      </c>
      <c r="AP218" s="5482">
        <v>482</v>
      </c>
      <c r="AQ218" s="5482">
        <v>545</v>
      </c>
      <c r="AR218" s="5482">
        <v>496</v>
      </c>
      <c r="AS218" s="5482">
        <v>436</v>
      </c>
      <c r="AT218" s="5482">
        <f t="shared" si="315"/>
        <v>5867</v>
      </c>
      <c r="AU218" s="5483">
        <f t="shared" si="307"/>
        <v>488.91666666666669</v>
      </c>
      <c r="AW218" s="5481">
        <v>408</v>
      </c>
      <c r="AX218" s="5482">
        <v>567</v>
      </c>
      <c r="AY218" s="5482">
        <v>531</v>
      </c>
      <c r="AZ218" s="5482">
        <v>467</v>
      </c>
      <c r="BA218" s="5482">
        <v>536</v>
      </c>
      <c r="BB218" s="5482">
        <v>516</v>
      </c>
      <c r="BC218" s="5482">
        <v>505</v>
      </c>
      <c r="BD218" s="5482">
        <v>537</v>
      </c>
      <c r="BE218" s="5482">
        <v>536</v>
      </c>
      <c r="BF218" s="5482">
        <v>539</v>
      </c>
      <c r="BG218" s="5482">
        <v>556</v>
      </c>
      <c r="BH218" s="5482">
        <v>554</v>
      </c>
      <c r="BI218" s="5482">
        <f t="shared" si="316"/>
        <v>6252</v>
      </c>
      <c r="BJ218" s="5483">
        <f t="shared" si="317"/>
        <v>521</v>
      </c>
      <c r="BL218" s="5481">
        <v>576</v>
      </c>
      <c r="BM218" s="5482">
        <v>497</v>
      </c>
      <c r="BN218" s="5482"/>
      <c r="BO218" s="5482"/>
      <c r="BP218" s="5482"/>
      <c r="BQ218" s="5482"/>
      <c r="BR218" s="5482"/>
      <c r="BS218" s="5482"/>
      <c r="BT218" s="5482"/>
      <c r="BU218" s="5482"/>
      <c r="BV218" s="5482"/>
      <c r="BW218" s="5482"/>
      <c r="BX218" s="5482">
        <f t="shared" si="318"/>
        <v>1073</v>
      </c>
      <c r="BY218" s="5483">
        <f t="shared" si="319"/>
        <v>536.5</v>
      </c>
      <c r="CA218" s="169">
        <f t="shared" si="308"/>
        <v>-70</v>
      </c>
      <c r="CB218" s="169">
        <f t="shared" si="320"/>
        <v>32.083333333333314</v>
      </c>
      <c r="CC218" s="169">
        <f>IFERROR(
  SUM(
    _xlfn.XLOOKUP(DATE(YEAR($A$1),1,1),$2:$2,218:218):
    _xlfn.XLOOKUP($A$1,$2:$2,218:218)
  )
 -SUM(
    _xlfn.XLOOKUP(DATE(YEAR($A$1)-1,1,1),$2:$2,218:218):
    _xlfn.XLOOKUP(EDATE($A$1,-12),$2:$2,218:218)
  ),"")</f>
        <v>98</v>
      </c>
      <c r="CD218" s="4517">
        <f t="shared" si="310"/>
        <v>-79</v>
      </c>
      <c r="CE218" s="5459"/>
      <c r="CF218" s="5459"/>
    </row>
    <row r="219" spans="1:84" s="698" customFormat="1" ht="17.600000000000001" x14ac:dyDescent="0.55000000000000004">
      <c r="A219" s="7391"/>
      <c r="B219" s="5480"/>
      <c r="C219" s="804" t="s">
        <v>228</v>
      </c>
      <c r="D219" s="5484">
        <v>628</v>
      </c>
      <c r="E219" s="5485">
        <v>679</v>
      </c>
      <c r="F219" s="5485">
        <v>674</v>
      </c>
      <c r="G219" s="5485">
        <v>721</v>
      </c>
      <c r="H219" s="5485">
        <v>770</v>
      </c>
      <c r="I219" s="5485">
        <v>748</v>
      </c>
      <c r="J219" s="5485">
        <v>759</v>
      </c>
      <c r="K219" s="5485">
        <v>761</v>
      </c>
      <c r="L219" s="5485">
        <v>659</v>
      </c>
      <c r="M219" s="5485">
        <v>717</v>
      </c>
      <c r="N219" s="5485">
        <v>666</v>
      </c>
      <c r="O219" s="5485">
        <v>612</v>
      </c>
      <c r="P219" s="5485">
        <f t="shared" si="311"/>
        <v>8394</v>
      </c>
      <c r="Q219" s="5486">
        <f t="shared" si="312"/>
        <v>699.5</v>
      </c>
      <c r="R219" s="5479"/>
      <c r="S219" s="5484">
        <v>692</v>
      </c>
      <c r="T219" s="5485">
        <v>661</v>
      </c>
      <c r="U219" s="5485">
        <v>726</v>
      </c>
      <c r="V219" s="5485">
        <v>636</v>
      </c>
      <c r="W219" s="5485">
        <v>618</v>
      </c>
      <c r="X219" s="5485">
        <v>584</v>
      </c>
      <c r="Y219" s="5485">
        <v>576</v>
      </c>
      <c r="Z219" s="5485">
        <v>648</v>
      </c>
      <c r="AA219" s="5485">
        <v>593</v>
      </c>
      <c r="AB219" s="5485">
        <v>651</v>
      </c>
      <c r="AC219" s="5485">
        <v>593</v>
      </c>
      <c r="AD219" s="5485">
        <v>547</v>
      </c>
      <c r="AE219" s="5485">
        <f t="shared" si="313"/>
        <v>7525</v>
      </c>
      <c r="AF219" s="5486">
        <f t="shared" si="314"/>
        <v>627.08333333333337</v>
      </c>
      <c r="AG219" s="5479"/>
      <c r="AH219" s="5484">
        <v>572</v>
      </c>
      <c r="AI219" s="5485">
        <v>517</v>
      </c>
      <c r="AJ219" s="5485">
        <v>544</v>
      </c>
      <c r="AK219" s="5485">
        <v>569</v>
      </c>
      <c r="AL219" s="5485">
        <v>612</v>
      </c>
      <c r="AM219" s="5485">
        <v>620</v>
      </c>
      <c r="AN219" s="5485">
        <v>586</v>
      </c>
      <c r="AO219" s="5485">
        <v>560</v>
      </c>
      <c r="AP219" s="5485">
        <v>640</v>
      </c>
      <c r="AQ219" s="5485">
        <v>639</v>
      </c>
      <c r="AR219" s="5485">
        <v>585</v>
      </c>
      <c r="AS219" s="5485">
        <v>525</v>
      </c>
      <c r="AT219" s="5485">
        <f t="shared" si="315"/>
        <v>6969</v>
      </c>
      <c r="AU219" s="5486">
        <f t="shared" si="307"/>
        <v>580.75</v>
      </c>
      <c r="AW219" s="5484">
        <v>521</v>
      </c>
      <c r="AX219" s="5485">
        <v>664</v>
      </c>
      <c r="AY219" s="5485">
        <v>595</v>
      </c>
      <c r="AZ219" s="5485">
        <v>600</v>
      </c>
      <c r="BA219" s="5485">
        <v>671</v>
      </c>
      <c r="BB219" s="5485">
        <v>630</v>
      </c>
      <c r="BC219" s="5485">
        <v>628</v>
      </c>
      <c r="BD219" s="5485">
        <v>642</v>
      </c>
      <c r="BE219" s="5485">
        <v>616</v>
      </c>
      <c r="BF219" s="5485">
        <v>592</v>
      </c>
      <c r="BG219" s="5485">
        <v>588</v>
      </c>
      <c r="BH219" s="5485">
        <v>611</v>
      </c>
      <c r="BI219" s="5485">
        <f t="shared" si="316"/>
        <v>7358</v>
      </c>
      <c r="BJ219" s="5486">
        <f t="shared" si="317"/>
        <v>613.16666666666663</v>
      </c>
      <c r="BL219" s="5484">
        <v>664</v>
      </c>
      <c r="BM219" s="5485">
        <v>538</v>
      </c>
      <c r="BN219" s="5485"/>
      <c r="BO219" s="5485"/>
      <c r="BP219" s="5485"/>
      <c r="BQ219" s="5485"/>
      <c r="BR219" s="5485"/>
      <c r="BS219" s="5485"/>
      <c r="BT219" s="5485"/>
      <c r="BU219" s="5485"/>
      <c r="BV219" s="5485"/>
      <c r="BW219" s="5485"/>
      <c r="BX219" s="5485">
        <f t="shared" si="318"/>
        <v>1202</v>
      </c>
      <c r="BY219" s="5486">
        <f t="shared" si="319"/>
        <v>601</v>
      </c>
      <c r="CA219" s="169">
        <f t="shared" si="308"/>
        <v>-126</v>
      </c>
      <c r="CB219" s="169">
        <f t="shared" si="320"/>
        <v>32.416666666666629</v>
      </c>
      <c r="CC219" s="169">
        <f>IFERROR(
  SUM(
    _xlfn.XLOOKUP(DATE(YEAR($A$1),1,1),$2:$2,219:219):
    _xlfn.XLOOKUP($A$1,$2:$2,219:219)
  )
 -SUM(
    _xlfn.XLOOKUP(DATE(YEAR($A$1)-1,1,1),$2:$2,219:219):
    _xlfn.XLOOKUP(EDATE($A$1,-12),$2:$2,219:219)
  ),"")</f>
        <v>17</v>
      </c>
      <c r="CD219" s="4517">
        <f t="shared" si="310"/>
        <v>-126</v>
      </c>
      <c r="CE219" s="5459"/>
      <c r="CF219" s="5459"/>
    </row>
    <row r="220" spans="1:84" s="698" customFormat="1" ht="17.600000000000001" x14ac:dyDescent="0.55000000000000004">
      <c r="A220" s="7391"/>
      <c r="B220" s="5480"/>
      <c r="C220" s="681" t="s">
        <v>229</v>
      </c>
      <c r="D220" s="5481">
        <v>529</v>
      </c>
      <c r="E220" s="5482">
        <v>550</v>
      </c>
      <c r="F220" s="5482">
        <v>606</v>
      </c>
      <c r="G220" s="5482">
        <v>623</v>
      </c>
      <c r="H220" s="5482">
        <v>622</v>
      </c>
      <c r="I220" s="5482">
        <v>621</v>
      </c>
      <c r="J220" s="5482">
        <v>633</v>
      </c>
      <c r="K220" s="5482">
        <v>627</v>
      </c>
      <c r="L220" s="5482">
        <v>616</v>
      </c>
      <c r="M220" s="5482">
        <v>642</v>
      </c>
      <c r="N220" s="5482">
        <v>659</v>
      </c>
      <c r="O220" s="5482">
        <v>563</v>
      </c>
      <c r="P220" s="5482">
        <f t="shared" si="311"/>
        <v>7291</v>
      </c>
      <c r="Q220" s="5483">
        <f t="shared" si="312"/>
        <v>607.58333333333337</v>
      </c>
      <c r="R220" s="5479"/>
      <c r="S220" s="5481">
        <v>538</v>
      </c>
      <c r="T220" s="5482">
        <v>591</v>
      </c>
      <c r="U220" s="5482">
        <v>587</v>
      </c>
      <c r="V220" s="5482">
        <v>565</v>
      </c>
      <c r="W220" s="5482">
        <v>540</v>
      </c>
      <c r="X220" s="5482">
        <v>516</v>
      </c>
      <c r="Y220" s="5482">
        <v>539</v>
      </c>
      <c r="Z220" s="5482">
        <v>591</v>
      </c>
      <c r="AA220" s="5482">
        <v>584</v>
      </c>
      <c r="AB220" s="5482">
        <v>570</v>
      </c>
      <c r="AC220" s="5482">
        <v>553</v>
      </c>
      <c r="AD220" s="5482">
        <v>514</v>
      </c>
      <c r="AE220" s="5482">
        <f t="shared" si="313"/>
        <v>6688</v>
      </c>
      <c r="AF220" s="5483">
        <f t="shared" si="314"/>
        <v>557.33333333333337</v>
      </c>
      <c r="AG220" s="5479"/>
      <c r="AH220" s="5481">
        <v>584</v>
      </c>
      <c r="AI220" s="5482">
        <v>529</v>
      </c>
      <c r="AJ220" s="5482">
        <v>559</v>
      </c>
      <c r="AK220" s="5482">
        <v>568</v>
      </c>
      <c r="AL220" s="5482">
        <v>585</v>
      </c>
      <c r="AM220" s="5482">
        <v>581</v>
      </c>
      <c r="AN220" s="5482">
        <v>568</v>
      </c>
      <c r="AO220" s="5482">
        <v>532</v>
      </c>
      <c r="AP220" s="5482">
        <v>643</v>
      </c>
      <c r="AQ220" s="5482">
        <v>633</v>
      </c>
      <c r="AR220" s="5482">
        <v>677</v>
      </c>
      <c r="AS220" s="5482">
        <v>660</v>
      </c>
      <c r="AT220" s="5482">
        <f t="shared" si="315"/>
        <v>7119</v>
      </c>
      <c r="AU220" s="5483">
        <f t="shared" si="307"/>
        <v>593.25</v>
      </c>
      <c r="AW220" s="5481">
        <v>668</v>
      </c>
      <c r="AX220" s="5482">
        <v>746</v>
      </c>
      <c r="AY220" s="5482">
        <v>740</v>
      </c>
      <c r="AZ220" s="5482">
        <v>779</v>
      </c>
      <c r="BA220" s="5482">
        <v>851</v>
      </c>
      <c r="BB220" s="5482">
        <v>879</v>
      </c>
      <c r="BC220" s="5482">
        <v>858</v>
      </c>
      <c r="BD220" s="5482">
        <v>804</v>
      </c>
      <c r="BE220" s="5482">
        <v>782</v>
      </c>
      <c r="BF220" s="5482">
        <v>773</v>
      </c>
      <c r="BG220" s="5482">
        <v>708</v>
      </c>
      <c r="BH220" s="5482">
        <v>741</v>
      </c>
      <c r="BI220" s="5482">
        <f t="shared" si="316"/>
        <v>9329</v>
      </c>
      <c r="BJ220" s="5483">
        <f t="shared" si="317"/>
        <v>777.41666666666663</v>
      </c>
      <c r="BL220" s="5481">
        <v>780</v>
      </c>
      <c r="BM220" s="5482">
        <v>686</v>
      </c>
      <c r="BN220" s="5482"/>
      <c r="BO220" s="5482"/>
      <c r="BP220" s="5482"/>
      <c r="BQ220" s="5482"/>
      <c r="BR220" s="5482"/>
      <c r="BS220" s="5482"/>
      <c r="BT220" s="5482"/>
      <c r="BU220" s="5482"/>
      <c r="BV220" s="5482"/>
      <c r="BW220" s="5482"/>
      <c r="BX220" s="5482">
        <f t="shared" si="318"/>
        <v>1466</v>
      </c>
      <c r="BY220" s="5483">
        <f t="shared" si="319"/>
        <v>733</v>
      </c>
      <c r="CA220" s="169">
        <f t="shared" si="308"/>
        <v>-60</v>
      </c>
      <c r="CB220" s="169">
        <f t="shared" si="320"/>
        <v>184.16666666666663</v>
      </c>
      <c r="CC220" s="169">
        <f>IFERROR(
  SUM(
    _xlfn.XLOOKUP(DATE(YEAR($A$1),1,1),$2:$2,220:220):
    _xlfn.XLOOKUP($A$1,$2:$2,220:220)
  )
 -SUM(
    _xlfn.XLOOKUP(DATE(YEAR($A$1)-1,1,1),$2:$2,220:220):
    _xlfn.XLOOKUP(EDATE($A$1,-12),$2:$2,220:220)
  ),"")</f>
        <v>52</v>
      </c>
      <c r="CD220" s="4517">
        <f t="shared" si="310"/>
        <v>-94</v>
      </c>
      <c r="CE220" s="5459"/>
      <c r="CF220" s="5459"/>
    </row>
    <row r="221" spans="1:84" s="698" customFormat="1" ht="17.600000000000001" x14ac:dyDescent="0.55000000000000004">
      <c r="A221" s="7391"/>
      <c r="B221" s="5480"/>
      <c r="C221" s="681" t="s">
        <v>230</v>
      </c>
      <c r="D221" s="5481">
        <v>444</v>
      </c>
      <c r="E221" s="5482">
        <v>449</v>
      </c>
      <c r="F221" s="5482">
        <v>500</v>
      </c>
      <c r="G221" s="5482">
        <v>512</v>
      </c>
      <c r="H221" s="5482">
        <v>492</v>
      </c>
      <c r="I221" s="5482">
        <v>487</v>
      </c>
      <c r="J221" s="5482">
        <v>486</v>
      </c>
      <c r="K221" s="5482">
        <v>485</v>
      </c>
      <c r="L221" s="5482">
        <v>464</v>
      </c>
      <c r="M221" s="5482">
        <v>503</v>
      </c>
      <c r="N221" s="5482">
        <v>429</v>
      </c>
      <c r="O221" s="5482">
        <v>336</v>
      </c>
      <c r="P221" s="5482">
        <f t="shared" si="311"/>
        <v>5587</v>
      </c>
      <c r="Q221" s="5483">
        <f t="shared" si="312"/>
        <v>465.58333333333331</v>
      </c>
      <c r="R221" s="5479"/>
      <c r="S221" s="5481">
        <v>425</v>
      </c>
      <c r="T221" s="5482">
        <v>456</v>
      </c>
      <c r="U221" s="5482">
        <v>419</v>
      </c>
      <c r="V221" s="5482">
        <v>452</v>
      </c>
      <c r="W221" s="5482">
        <v>443</v>
      </c>
      <c r="X221" s="5482">
        <v>428</v>
      </c>
      <c r="Y221" s="5482">
        <v>417</v>
      </c>
      <c r="Z221" s="5482">
        <v>467</v>
      </c>
      <c r="AA221" s="5482">
        <v>448</v>
      </c>
      <c r="AB221" s="5482">
        <v>450</v>
      </c>
      <c r="AC221" s="5482">
        <v>437</v>
      </c>
      <c r="AD221" s="5482">
        <v>387</v>
      </c>
      <c r="AE221" s="5482">
        <f t="shared" si="313"/>
        <v>5229</v>
      </c>
      <c r="AF221" s="5483">
        <f t="shared" si="314"/>
        <v>435.75</v>
      </c>
      <c r="AG221" s="5479"/>
      <c r="AH221" s="5481">
        <v>440</v>
      </c>
      <c r="AI221" s="5482">
        <v>456</v>
      </c>
      <c r="AJ221" s="5482">
        <v>463</v>
      </c>
      <c r="AK221" s="5482">
        <v>463</v>
      </c>
      <c r="AL221" s="5482">
        <v>457</v>
      </c>
      <c r="AM221" s="5482">
        <v>444</v>
      </c>
      <c r="AN221" s="5482">
        <v>455</v>
      </c>
      <c r="AO221" s="5482">
        <v>418</v>
      </c>
      <c r="AP221" s="5482">
        <v>454</v>
      </c>
      <c r="AQ221" s="5482">
        <v>433</v>
      </c>
      <c r="AR221" s="5482">
        <v>458</v>
      </c>
      <c r="AS221" s="5482">
        <v>426</v>
      </c>
      <c r="AT221" s="5482">
        <f t="shared" si="315"/>
        <v>5367</v>
      </c>
      <c r="AU221" s="5483">
        <f t="shared" si="307"/>
        <v>447.25</v>
      </c>
      <c r="AW221" s="5481">
        <v>421</v>
      </c>
      <c r="AX221" s="5482">
        <v>484</v>
      </c>
      <c r="AY221" s="5482">
        <v>455</v>
      </c>
      <c r="AZ221" s="5482">
        <v>485</v>
      </c>
      <c r="BA221" s="5482">
        <v>543</v>
      </c>
      <c r="BB221" s="5482">
        <v>522</v>
      </c>
      <c r="BC221" s="5482">
        <v>511</v>
      </c>
      <c r="BD221" s="5482">
        <v>508</v>
      </c>
      <c r="BE221" s="5482">
        <v>553</v>
      </c>
      <c r="BF221" s="5482">
        <v>540</v>
      </c>
      <c r="BG221" s="5482">
        <v>516</v>
      </c>
      <c r="BH221" s="5482">
        <v>528</v>
      </c>
      <c r="BI221" s="5482">
        <f t="shared" si="316"/>
        <v>6066</v>
      </c>
      <c r="BJ221" s="5483">
        <f t="shared" si="317"/>
        <v>505.5</v>
      </c>
      <c r="BL221" s="5481">
        <v>575</v>
      </c>
      <c r="BM221" s="5482">
        <v>474</v>
      </c>
      <c r="BN221" s="5482"/>
      <c r="BO221" s="5482"/>
      <c r="BP221" s="5482"/>
      <c r="BQ221" s="5482"/>
      <c r="BR221" s="5482"/>
      <c r="BS221" s="5482"/>
      <c r="BT221" s="5482"/>
      <c r="BU221" s="5482"/>
      <c r="BV221" s="5482"/>
      <c r="BW221" s="5482"/>
      <c r="BX221" s="5482">
        <f t="shared" si="318"/>
        <v>1049</v>
      </c>
      <c r="BY221" s="5483">
        <f t="shared" si="319"/>
        <v>524.5</v>
      </c>
      <c r="CA221" s="169">
        <f t="shared" si="308"/>
        <v>-10</v>
      </c>
      <c r="CB221" s="169">
        <f t="shared" si="320"/>
        <v>58.25</v>
      </c>
      <c r="CC221" s="169">
        <f>IFERROR(
  SUM(
    _xlfn.XLOOKUP(DATE(YEAR($A$1),1,1),$2:$2,221:221):
    _xlfn.XLOOKUP($A$1,$2:$2,221:221)
  )
 -SUM(
    _xlfn.XLOOKUP(DATE(YEAR($A$1)-1,1,1),$2:$2,221:221):
    _xlfn.XLOOKUP(EDATE($A$1,-12),$2:$2,221:221)
  ),"")</f>
        <v>144</v>
      </c>
      <c r="CD221" s="4517">
        <f t="shared" si="310"/>
        <v>-101</v>
      </c>
      <c r="CE221" s="5459"/>
      <c r="CF221" s="5459"/>
    </row>
    <row r="222" spans="1:84" s="698" customFormat="1" ht="17.600000000000001" x14ac:dyDescent="0.55000000000000004">
      <c r="A222" s="7391"/>
      <c r="B222" s="5480"/>
      <c r="C222" s="804" t="s">
        <v>231</v>
      </c>
      <c r="D222" s="5484">
        <v>581</v>
      </c>
      <c r="E222" s="5485">
        <v>572</v>
      </c>
      <c r="F222" s="5485">
        <v>608</v>
      </c>
      <c r="G222" s="5485">
        <v>613</v>
      </c>
      <c r="H222" s="5485">
        <v>641</v>
      </c>
      <c r="I222" s="5485">
        <v>628</v>
      </c>
      <c r="J222" s="5485">
        <v>623</v>
      </c>
      <c r="K222" s="5485">
        <v>561</v>
      </c>
      <c r="L222" s="5485">
        <v>542</v>
      </c>
      <c r="M222" s="5485">
        <v>605</v>
      </c>
      <c r="N222" s="5485">
        <v>600</v>
      </c>
      <c r="O222" s="5485">
        <v>600</v>
      </c>
      <c r="P222" s="5485">
        <f t="shared" si="311"/>
        <v>7174</v>
      </c>
      <c r="Q222" s="5486">
        <f t="shared" si="312"/>
        <v>597.83333333333337</v>
      </c>
      <c r="R222" s="5479"/>
      <c r="S222" s="5484">
        <v>616</v>
      </c>
      <c r="T222" s="5485">
        <v>616</v>
      </c>
      <c r="U222" s="5485">
        <v>584</v>
      </c>
      <c r="V222" s="5485">
        <v>569</v>
      </c>
      <c r="W222" s="5485">
        <v>560</v>
      </c>
      <c r="X222" s="5485">
        <v>537</v>
      </c>
      <c r="Y222" s="5485">
        <v>564</v>
      </c>
      <c r="Z222" s="5485">
        <v>585</v>
      </c>
      <c r="AA222" s="5485">
        <v>521</v>
      </c>
      <c r="AB222" s="5485">
        <v>571</v>
      </c>
      <c r="AC222" s="5485">
        <v>549</v>
      </c>
      <c r="AD222" s="5485">
        <v>494</v>
      </c>
      <c r="AE222" s="5485">
        <f t="shared" si="313"/>
        <v>6766</v>
      </c>
      <c r="AF222" s="5486">
        <f t="shared" si="314"/>
        <v>563.83333333333337</v>
      </c>
      <c r="AG222" s="5479"/>
      <c r="AH222" s="5484">
        <v>553</v>
      </c>
      <c r="AI222" s="5485">
        <v>538</v>
      </c>
      <c r="AJ222" s="5485">
        <v>550</v>
      </c>
      <c r="AK222" s="5485">
        <v>572</v>
      </c>
      <c r="AL222" s="5485">
        <v>567</v>
      </c>
      <c r="AM222" s="5485">
        <v>572</v>
      </c>
      <c r="AN222" s="5485">
        <v>541</v>
      </c>
      <c r="AO222" s="5485">
        <v>476</v>
      </c>
      <c r="AP222" s="5485">
        <v>559</v>
      </c>
      <c r="AQ222" s="5485">
        <v>569</v>
      </c>
      <c r="AR222" s="5485">
        <v>574</v>
      </c>
      <c r="AS222" s="5485">
        <v>527</v>
      </c>
      <c r="AT222" s="5485">
        <f t="shared" si="315"/>
        <v>6598</v>
      </c>
      <c r="AU222" s="5486">
        <f t="shared" si="307"/>
        <v>549.83333333333337</v>
      </c>
      <c r="AW222" s="5484">
        <v>522</v>
      </c>
      <c r="AX222" s="5485">
        <v>586</v>
      </c>
      <c r="AY222" s="5485">
        <v>553</v>
      </c>
      <c r="AZ222" s="5485">
        <v>570</v>
      </c>
      <c r="BA222" s="5485">
        <v>606</v>
      </c>
      <c r="BB222" s="5485">
        <v>594</v>
      </c>
      <c r="BC222" s="5485">
        <v>571</v>
      </c>
      <c r="BD222" s="5485">
        <v>557</v>
      </c>
      <c r="BE222" s="5485">
        <v>558</v>
      </c>
      <c r="BF222" s="5485">
        <v>565</v>
      </c>
      <c r="BG222" s="5485">
        <v>551</v>
      </c>
      <c r="BH222" s="5485">
        <v>540</v>
      </c>
      <c r="BI222" s="5485">
        <f t="shared" si="316"/>
        <v>6773</v>
      </c>
      <c r="BJ222" s="5486">
        <f t="shared" si="317"/>
        <v>564.41666666666663</v>
      </c>
      <c r="BL222" s="5484">
        <v>578</v>
      </c>
      <c r="BM222" s="5485">
        <v>504</v>
      </c>
      <c r="BN222" s="5485"/>
      <c r="BO222" s="5485"/>
      <c r="BP222" s="5485"/>
      <c r="BQ222" s="5485"/>
      <c r="BR222" s="5485"/>
      <c r="BS222" s="5485"/>
      <c r="BT222" s="5485"/>
      <c r="BU222" s="5485"/>
      <c r="BV222" s="5485"/>
      <c r="BW222" s="5485"/>
      <c r="BX222" s="5485">
        <f t="shared" si="318"/>
        <v>1082</v>
      </c>
      <c r="BY222" s="5486">
        <f t="shared" si="319"/>
        <v>541</v>
      </c>
      <c r="CA222" s="169">
        <f t="shared" si="308"/>
        <v>-82</v>
      </c>
      <c r="CB222" s="169">
        <f t="shared" si="320"/>
        <v>14.583333333333258</v>
      </c>
      <c r="CC222" s="169">
        <f>IFERROR(
  SUM(
    _xlfn.XLOOKUP(DATE(YEAR($A$1),1,1),$2:$2,222:222):
    _xlfn.XLOOKUP($A$1,$2:$2,222:222)
  )
 -SUM(
    _xlfn.XLOOKUP(DATE(YEAR($A$1)-1,1,1),$2:$2,222:222):
    _xlfn.XLOOKUP(EDATE($A$1,-12),$2:$2,222:222)
  ),"")</f>
        <v>-26</v>
      </c>
      <c r="CD222" s="4517">
        <f t="shared" si="310"/>
        <v>-74</v>
      </c>
      <c r="CE222" s="5459"/>
      <c r="CF222" s="5459"/>
    </row>
    <row r="223" spans="1:84" s="698" customFormat="1" ht="18" thickBot="1" x14ac:dyDescent="0.6">
      <c r="A223" s="7391"/>
      <c r="B223" s="5487"/>
      <c r="C223" s="2183" t="s">
        <v>232</v>
      </c>
      <c r="D223" s="5488">
        <v>574</v>
      </c>
      <c r="E223" s="5489">
        <v>562</v>
      </c>
      <c r="F223" s="5489">
        <v>580</v>
      </c>
      <c r="G223" s="5489">
        <v>562</v>
      </c>
      <c r="H223" s="5489">
        <v>589</v>
      </c>
      <c r="I223" s="5489">
        <v>565</v>
      </c>
      <c r="J223" s="5489">
        <v>564</v>
      </c>
      <c r="K223" s="5489">
        <v>552</v>
      </c>
      <c r="L223" s="5489">
        <v>529</v>
      </c>
      <c r="M223" s="5489">
        <v>545</v>
      </c>
      <c r="N223" s="5489">
        <v>519</v>
      </c>
      <c r="O223" s="5489">
        <v>471</v>
      </c>
      <c r="P223" s="5489">
        <f t="shared" si="311"/>
        <v>6612</v>
      </c>
      <c r="Q223" s="5490">
        <f t="shared" si="312"/>
        <v>551</v>
      </c>
      <c r="R223" s="5479"/>
      <c r="S223" s="5488">
        <v>535</v>
      </c>
      <c r="T223" s="5489">
        <v>556</v>
      </c>
      <c r="U223" s="5489">
        <v>547</v>
      </c>
      <c r="V223" s="5489">
        <v>530</v>
      </c>
      <c r="W223" s="5489">
        <v>479</v>
      </c>
      <c r="X223" s="5489">
        <v>469</v>
      </c>
      <c r="Y223" s="5489">
        <v>407</v>
      </c>
      <c r="Z223" s="5489">
        <v>474</v>
      </c>
      <c r="AA223" s="5489">
        <v>412</v>
      </c>
      <c r="AB223" s="5489">
        <v>402</v>
      </c>
      <c r="AC223" s="5489">
        <v>380</v>
      </c>
      <c r="AD223" s="5489">
        <v>353</v>
      </c>
      <c r="AE223" s="5489">
        <f t="shared" si="313"/>
        <v>5544</v>
      </c>
      <c r="AF223" s="5490">
        <f t="shared" si="314"/>
        <v>462</v>
      </c>
      <c r="AG223" s="5479"/>
      <c r="AH223" s="5488">
        <v>446</v>
      </c>
      <c r="AI223" s="5489">
        <v>407</v>
      </c>
      <c r="AJ223" s="5489">
        <v>443</v>
      </c>
      <c r="AK223" s="5489">
        <v>446</v>
      </c>
      <c r="AL223" s="5489">
        <v>416</v>
      </c>
      <c r="AM223" s="5489">
        <v>448</v>
      </c>
      <c r="AN223" s="5489">
        <v>430</v>
      </c>
      <c r="AO223" s="5489">
        <v>399</v>
      </c>
      <c r="AP223" s="5489">
        <v>438</v>
      </c>
      <c r="AQ223" s="5489">
        <v>455</v>
      </c>
      <c r="AR223" s="5489">
        <v>458</v>
      </c>
      <c r="AS223" s="5489">
        <v>449</v>
      </c>
      <c r="AT223" s="5489">
        <f t="shared" si="315"/>
        <v>5235</v>
      </c>
      <c r="AU223" s="5490">
        <f t="shared" si="307"/>
        <v>436.25</v>
      </c>
      <c r="AW223" s="5488">
        <v>389</v>
      </c>
      <c r="AX223" s="5489">
        <v>454</v>
      </c>
      <c r="AY223" s="5489">
        <v>445</v>
      </c>
      <c r="AZ223" s="5489">
        <v>449</v>
      </c>
      <c r="BA223" s="5489">
        <v>469</v>
      </c>
      <c r="BB223" s="5489">
        <v>451</v>
      </c>
      <c r="BC223" s="5489">
        <v>437</v>
      </c>
      <c r="BD223" s="5489">
        <v>463</v>
      </c>
      <c r="BE223" s="5489">
        <v>466</v>
      </c>
      <c r="BF223" s="5489">
        <v>462</v>
      </c>
      <c r="BG223" s="5489">
        <v>465</v>
      </c>
      <c r="BH223" s="5489">
        <v>428</v>
      </c>
      <c r="BI223" s="5489">
        <f t="shared" si="316"/>
        <v>5378</v>
      </c>
      <c r="BJ223" s="5490">
        <f t="shared" si="317"/>
        <v>448.16666666666669</v>
      </c>
      <c r="BL223" s="5488">
        <v>448</v>
      </c>
      <c r="BM223" s="5489">
        <v>376</v>
      </c>
      <c r="BN223" s="5489"/>
      <c r="BO223" s="5489"/>
      <c r="BP223" s="5489"/>
      <c r="BQ223" s="5489"/>
      <c r="BR223" s="5489"/>
      <c r="BS223" s="5489"/>
      <c r="BT223" s="5489"/>
      <c r="BU223" s="5489"/>
      <c r="BV223" s="5489"/>
      <c r="BW223" s="5489"/>
      <c r="BX223" s="5489">
        <f t="shared" si="318"/>
        <v>824</v>
      </c>
      <c r="BY223" s="5490">
        <f t="shared" si="319"/>
        <v>412</v>
      </c>
      <c r="CA223" s="169">
        <f t="shared" si="308"/>
        <v>-78</v>
      </c>
      <c r="CB223" s="169">
        <f t="shared" si="320"/>
        <v>11.916666666666686</v>
      </c>
      <c r="CC223" s="169">
        <f>IFERROR(
  SUM(
    _xlfn.XLOOKUP(DATE(YEAR($A$1),1,1),$2:$2,223:223):
    _xlfn.XLOOKUP($A$1,$2:$2,223:223)
  )
 -SUM(
    _xlfn.XLOOKUP(DATE(YEAR($A$1)-1,1,1),$2:$2,223:223):
    _xlfn.XLOOKUP(EDATE($A$1,-12),$2:$2,223:223)
  ),"")</f>
        <v>-19</v>
      </c>
      <c r="CD223" s="4517">
        <f t="shared" si="310"/>
        <v>-72</v>
      </c>
      <c r="CE223" s="5459"/>
      <c r="CF223" s="5459"/>
    </row>
    <row r="224" spans="1:84" ht="17.600000000000001" x14ac:dyDescent="0.55000000000000004">
      <c r="A224" s="7391"/>
      <c r="B224" s="5131" t="s">
        <v>251</v>
      </c>
      <c r="C224" s="5132"/>
      <c r="D224" s="5456">
        <f t="shared" ref="D224:O224" si="321">SUM(D225:D227)</f>
        <v>960</v>
      </c>
      <c r="E224" s="5457">
        <f t="shared" si="321"/>
        <v>1036</v>
      </c>
      <c r="F224" s="5457">
        <f t="shared" si="321"/>
        <v>991</v>
      </c>
      <c r="G224" s="5457">
        <f t="shared" si="321"/>
        <v>1098</v>
      </c>
      <c r="H224" s="5457">
        <f t="shared" si="321"/>
        <v>1110</v>
      </c>
      <c r="I224" s="5457">
        <f t="shared" si="321"/>
        <v>968</v>
      </c>
      <c r="J224" s="5457">
        <f t="shared" si="321"/>
        <v>851</v>
      </c>
      <c r="K224" s="5457">
        <f t="shared" si="321"/>
        <v>934</v>
      </c>
      <c r="L224" s="5457">
        <f t="shared" si="321"/>
        <v>785</v>
      </c>
      <c r="M224" s="5457">
        <f t="shared" si="321"/>
        <v>817</v>
      </c>
      <c r="N224" s="5457">
        <f t="shared" si="321"/>
        <v>749</v>
      </c>
      <c r="O224" s="5457">
        <f t="shared" si="321"/>
        <v>667</v>
      </c>
      <c r="P224" s="5457">
        <f t="shared" si="311"/>
        <v>10966</v>
      </c>
      <c r="Q224" s="5458">
        <f t="shared" si="312"/>
        <v>913.83333333333337</v>
      </c>
      <c r="R224" s="2776"/>
      <c r="S224" s="5456">
        <f>SUM(S225:S227)</f>
        <v>708</v>
      </c>
      <c r="T224" s="5457">
        <f t="shared" ref="T224:AD224" si="322">SUM(T225:T227)</f>
        <v>826</v>
      </c>
      <c r="U224" s="5457">
        <f t="shared" si="322"/>
        <v>793</v>
      </c>
      <c r="V224" s="5457">
        <f t="shared" si="322"/>
        <v>720</v>
      </c>
      <c r="W224" s="5457">
        <f t="shared" si="322"/>
        <v>816</v>
      </c>
      <c r="X224" s="5457">
        <f t="shared" si="322"/>
        <v>716</v>
      </c>
      <c r="Y224" s="5457">
        <f t="shared" si="322"/>
        <v>750</v>
      </c>
      <c r="Z224" s="5457">
        <f t="shared" si="322"/>
        <v>881</v>
      </c>
      <c r="AA224" s="5457">
        <f t="shared" si="322"/>
        <v>745</v>
      </c>
      <c r="AB224" s="5457">
        <f t="shared" si="322"/>
        <v>813</v>
      </c>
      <c r="AC224" s="5457">
        <f t="shared" si="322"/>
        <v>742</v>
      </c>
      <c r="AD224" s="5457">
        <f t="shared" si="322"/>
        <v>596</v>
      </c>
      <c r="AE224" s="5457">
        <f t="shared" si="313"/>
        <v>9106</v>
      </c>
      <c r="AF224" s="5458">
        <f t="shared" si="314"/>
        <v>758.83333333333337</v>
      </c>
      <c r="AG224" s="2776"/>
      <c r="AH224" s="5456">
        <f t="shared" ref="AH224:AM224" si="323">SUM(AH225:AH227)</f>
        <v>939</v>
      </c>
      <c r="AI224" s="5457">
        <f t="shared" si="323"/>
        <v>817</v>
      </c>
      <c r="AJ224" s="5457">
        <f t="shared" si="323"/>
        <v>953</v>
      </c>
      <c r="AK224" s="5457">
        <f t="shared" si="323"/>
        <v>922</v>
      </c>
      <c r="AL224" s="5457">
        <f t="shared" si="323"/>
        <v>1022</v>
      </c>
      <c r="AM224" s="5457">
        <f t="shared" si="323"/>
        <v>1008</v>
      </c>
      <c r="AN224" s="5457">
        <v>1043</v>
      </c>
      <c r="AO224" s="5457">
        <f>SUM(AO225:AO227)</f>
        <v>956</v>
      </c>
      <c r="AP224" s="5457">
        <f>SUM(AP225:AP227)</f>
        <v>968</v>
      </c>
      <c r="AQ224" s="5457">
        <f>SUM(AQ225:AQ227)</f>
        <v>1056</v>
      </c>
      <c r="AR224" s="5457">
        <v>1114</v>
      </c>
      <c r="AS224" s="5457">
        <v>983</v>
      </c>
      <c r="AT224" s="5457">
        <f t="shared" si="315"/>
        <v>11781</v>
      </c>
      <c r="AU224" s="5458">
        <f t="shared" si="307"/>
        <v>981.75</v>
      </c>
      <c r="AW224" s="5456">
        <v>957</v>
      </c>
      <c r="AX224" s="5457">
        <v>1142</v>
      </c>
      <c r="AY224" s="5457">
        <v>998</v>
      </c>
      <c r="AZ224" s="5457">
        <v>1020</v>
      </c>
      <c r="BA224" s="5457">
        <v>1591</v>
      </c>
      <c r="BB224" s="5457">
        <v>1325</v>
      </c>
      <c r="BC224" s="5457">
        <v>1236</v>
      </c>
      <c r="BD224" s="5457">
        <v>998</v>
      </c>
      <c r="BE224" s="5457">
        <v>1083</v>
      </c>
      <c r="BF224" s="5457">
        <v>989</v>
      </c>
      <c r="BG224" s="5457">
        <v>975</v>
      </c>
      <c r="BH224" s="5457">
        <v>1035</v>
      </c>
      <c r="BI224" s="5457">
        <f t="shared" si="316"/>
        <v>13349</v>
      </c>
      <c r="BJ224" s="5458">
        <f t="shared" si="317"/>
        <v>1112.4166666666667</v>
      </c>
      <c r="BL224" s="5456">
        <v>1108</v>
      </c>
      <c r="BM224" s="5457">
        <v>838</v>
      </c>
      <c r="BN224" s="5457"/>
      <c r="BO224" s="5457"/>
      <c r="BP224" s="5457"/>
      <c r="BQ224" s="5457"/>
      <c r="BR224" s="5457"/>
      <c r="BS224" s="5457"/>
      <c r="BT224" s="5457"/>
      <c r="BU224" s="5457"/>
      <c r="BV224" s="5457"/>
      <c r="BW224" s="5457"/>
      <c r="BX224" s="5457">
        <f t="shared" si="318"/>
        <v>1946</v>
      </c>
      <c r="BY224" s="5458">
        <f t="shared" si="319"/>
        <v>973</v>
      </c>
      <c r="CA224" s="169">
        <f t="shared" si="308"/>
        <v>-304</v>
      </c>
      <c r="CB224" s="169">
        <f t="shared" si="320"/>
        <v>130.66666666666674</v>
      </c>
      <c r="CC224" s="169">
        <f>IFERROR(
  SUM(
    _xlfn.XLOOKUP(DATE(YEAR($A$1),1,1),$2:$2,224:224):
    _xlfn.XLOOKUP($A$1,$2:$2,224:224)
  )
 -SUM(
    _xlfn.XLOOKUP(DATE(YEAR($A$1)-1,1,1),$2:$2,224:224):
    _xlfn.XLOOKUP(EDATE($A$1,-12),$2:$2,224:224)
  ),"")</f>
        <v>-153</v>
      </c>
      <c r="CD224" s="4517">
        <f t="shared" si="310"/>
        <v>-270</v>
      </c>
      <c r="CE224" s="5459"/>
      <c r="CF224" s="5459"/>
    </row>
    <row r="225" spans="1:84" ht="17.600000000000001" x14ac:dyDescent="0.55000000000000004">
      <c r="A225" s="7391"/>
      <c r="B225" s="5460"/>
      <c r="C225" s="786" t="s">
        <v>250</v>
      </c>
      <c r="D225" s="5461">
        <v>165</v>
      </c>
      <c r="E225" s="5462">
        <v>160</v>
      </c>
      <c r="F225" s="5462">
        <v>183</v>
      </c>
      <c r="G225" s="5462">
        <v>224</v>
      </c>
      <c r="H225" s="5462">
        <v>245</v>
      </c>
      <c r="I225" s="5462">
        <v>221</v>
      </c>
      <c r="J225" s="5462">
        <v>143</v>
      </c>
      <c r="K225" s="5462">
        <v>161</v>
      </c>
      <c r="L225" s="5462">
        <v>120</v>
      </c>
      <c r="M225" s="5462">
        <v>152</v>
      </c>
      <c r="N225" s="5462">
        <v>110</v>
      </c>
      <c r="O225" s="5462">
        <v>101</v>
      </c>
      <c r="P225" s="5462">
        <f t="shared" si="311"/>
        <v>1985</v>
      </c>
      <c r="Q225" s="5463">
        <f t="shared" si="312"/>
        <v>165.41666666666666</v>
      </c>
      <c r="R225" s="2776"/>
      <c r="S225" s="5461">
        <v>113</v>
      </c>
      <c r="T225" s="5462">
        <v>141</v>
      </c>
      <c r="U225" s="5462">
        <v>108</v>
      </c>
      <c r="V225" s="5462">
        <v>101</v>
      </c>
      <c r="W225" s="5462">
        <v>150</v>
      </c>
      <c r="X225" s="5462">
        <v>119</v>
      </c>
      <c r="Y225" s="5462">
        <v>92</v>
      </c>
      <c r="Z225" s="5462">
        <v>149</v>
      </c>
      <c r="AA225" s="5462">
        <v>122</v>
      </c>
      <c r="AB225" s="5462">
        <v>134</v>
      </c>
      <c r="AC225" s="5462">
        <v>128</v>
      </c>
      <c r="AD225" s="5462">
        <v>82</v>
      </c>
      <c r="AE225" s="5462">
        <f t="shared" si="313"/>
        <v>1439</v>
      </c>
      <c r="AF225" s="5463">
        <f t="shared" si="314"/>
        <v>119.91666666666667</v>
      </c>
      <c r="AG225" s="2776"/>
      <c r="AH225" s="5461">
        <v>126</v>
      </c>
      <c r="AI225" s="5462">
        <v>109</v>
      </c>
      <c r="AJ225" s="5462">
        <v>120</v>
      </c>
      <c r="AK225" s="5462">
        <v>115</v>
      </c>
      <c r="AL225" s="5462">
        <v>164</v>
      </c>
      <c r="AM225" s="5462">
        <v>133</v>
      </c>
      <c r="AN225" s="5462">
        <v>129</v>
      </c>
      <c r="AO225" s="5462">
        <v>183</v>
      </c>
      <c r="AP225" s="5462">
        <v>183</v>
      </c>
      <c r="AQ225" s="5462">
        <v>173</v>
      </c>
      <c r="AR225" s="5462">
        <v>204</v>
      </c>
      <c r="AS225" s="5462">
        <v>198</v>
      </c>
      <c r="AT225" s="5462">
        <f t="shared" si="315"/>
        <v>1837</v>
      </c>
      <c r="AU225" s="5463">
        <f t="shared" si="307"/>
        <v>153.08333333333334</v>
      </c>
      <c r="AW225" s="5461">
        <v>194</v>
      </c>
      <c r="AX225" s="5462">
        <v>265</v>
      </c>
      <c r="AY225" s="5462">
        <v>208</v>
      </c>
      <c r="AZ225" s="5462">
        <v>232</v>
      </c>
      <c r="BA225" s="5462">
        <v>510</v>
      </c>
      <c r="BB225" s="5462">
        <v>359</v>
      </c>
      <c r="BC225" s="5462">
        <v>315</v>
      </c>
      <c r="BD225" s="5462">
        <v>205</v>
      </c>
      <c r="BE225" s="5462">
        <v>241</v>
      </c>
      <c r="BF225" s="5462">
        <v>210</v>
      </c>
      <c r="BG225" s="5462">
        <v>214</v>
      </c>
      <c r="BH225" s="5462">
        <v>205</v>
      </c>
      <c r="BI225" s="5462">
        <f t="shared" si="316"/>
        <v>3158</v>
      </c>
      <c r="BJ225" s="5463">
        <f t="shared" si="317"/>
        <v>263.16666666666669</v>
      </c>
      <c r="BL225" s="5461">
        <v>226</v>
      </c>
      <c r="BM225" s="5462">
        <v>140</v>
      </c>
      <c r="BN225" s="5462"/>
      <c r="BO225" s="5462"/>
      <c r="BP225" s="5462"/>
      <c r="BQ225" s="5462"/>
      <c r="BR225" s="5462"/>
      <c r="BS225" s="5462"/>
      <c r="BT225" s="5462"/>
      <c r="BU225" s="5462"/>
      <c r="BV225" s="5462"/>
      <c r="BW225" s="5462"/>
      <c r="BX225" s="5462">
        <f t="shared" si="318"/>
        <v>366</v>
      </c>
      <c r="BY225" s="5463">
        <f t="shared" si="319"/>
        <v>183</v>
      </c>
      <c r="CA225" s="169">
        <f t="shared" si="308"/>
        <v>-125</v>
      </c>
      <c r="CB225" s="169">
        <f t="shared" si="320"/>
        <v>110.08333333333334</v>
      </c>
      <c r="CC225" s="169">
        <f>IFERROR(
  SUM(
    _xlfn.XLOOKUP(DATE(YEAR($A$1),1,1),$2:$2,225:225):
    _xlfn.XLOOKUP($A$1,$2:$2,225:225)
  )
 -SUM(
    _xlfn.XLOOKUP(DATE(YEAR($A$1)-1,1,1),$2:$2,225:225):
    _xlfn.XLOOKUP(EDATE($A$1,-12),$2:$2,225:225)
  ),"")</f>
        <v>-93</v>
      </c>
      <c r="CD225" s="4517">
        <f t="shared" si="310"/>
        <v>-86</v>
      </c>
      <c r="CE225" s="5459"/>
      <c r="CF225" s="5459"/>
    </row>
    <row r="226" spans="1:84" ht="17.600000000000001" x14ac:dyDescent="0.55000000000000004">
      <c r="A226" s="7391"/>
      <c r="B226" s="5460"/>
      <c r="C226" s="786" t="s">
        <v>263</v>
      </c>
      <c r="D226" s="5461">
        <v>242</v>
      </c>
      <c r="E226" s="5462">
        <v>224</v>
      </c>
      <c r="F226" s="5462">
        <v>216</v>
      </c>
      <c r="G226" s="5462">
        <v>280</v>
      </c>
      <c r="H226" s="5462">
        <v>250</v>
      </c>
      <c r="I226" s="5462">
        <v>231</v>
      </c>
      <c r="J226" s="5462">
        <v>163</v>
      </c>
      <c r="K226" s="5462">
        <v>210</v>
      </c>
      <c r="L226" s="5462">
        <v>180</v>
      </c>
      <c r="M226" s="5462">
        <v>163</v>
      </c>
      <c r="N226" s="5462">
        <v>161</v>
      </c>
      <c r="O226" s="5462">
        <v>133</v>
      </c>
      <c r="P226" s="5462">
        <f t="shared" si="311"/>
        <v>2453</v>
      </c>
      <c r="Q226" s="5463">
        <f t="shared" si="312"/>
        <v>204.41666666666666</v>
      </c>
      <c r="R226" s="2776"/>
      <c r="S226" s="5461">
        <v>126</v>
      </c>
      <c r="T226" s="5462">
        <v>167</v>
      </c>
      <c r="U226" s="5462">
        <v>169</v>
      </c>
      <c r="V226" s="5462">
        <v>149</v>
      </c>
      <c r="W226" s="5462">
        <v>181</v>
      </c>
      <c r="X226" s="5462">
        <v>153</v>
      </c>
      <c r="Y226" s="5462">
        <v>174</v>
      </c>
      <c r="Z226" s="5462">
        <v>195</v>
      </c>
      <c r="AA226" s="5462">
        <v>179</v>
      </c>
      <c r="AB226" s="5462">
        <v>184</v>
      </c>
      <c r="AC226" s="5462">
        <v>191</v>
      </c>
      <c r="AD226" s="5462">
        <v>120</v>
      </c>
      <c r="AE226" s="5462">
        <f t="shared" si="313"/>
        <v>1988</v>
      </c>
      <c r="AF226" s="5463">
        <f t="shared" si="314"/>
        <v>165.66666666666666</v>
      </c>
      <c r="AG226" s="2776"/>
      <c r="AH226" s="5461">
        <v>214</v>
      </c>
      <c r="AI226" s="5462">
        <v>170</v>
      </c>
      <c r="AJ226" s="5462">
        <v>240</v>
      </c>
      <c r="AK226" s="5462">
        <v>212</v>
      </c>
      <c r="AL226" s="5462">
        <v>233</v>
      </c>
      <c r="AM226" s="5462">
        <v>221</v>
      </c>
      <c r="AN226" s="5462">
        <v>299</v>
      </c>
      <c r="AO226" s="5462">
        <v>217</v>
      </c>
      <c r="AP226" s="5462">
        <v>194</v>
      </c>
      <c r="AQ226" s="5462">
        <v>280</v>
      </c>
      <c r="AR226" s="5462">
        <v>268</v>
      </c>
      <c r="AS226" s="5462">
        <v>228</v>
      </c>
      <c r="AT226" s="5462">
        <f t="shared" si="315"/>
        <v>2776</v>
      </c>
      <c r="AU226" s="5463">
        <f t="shared" si="307"/>
        <v>231.33333333333334</v>
      </c>
      <c r="AW226" s="5461">
        <v>203</v>
      </c>
      <c r="AX226" s="5462">
        <v>246</v>
      </c>
      <c r="AY226" s="5462">
        <v>232</v>
      </c>
      <c r="AZ226" s="5462">
        <v>225</v>
      </c>
      <c r="BA226" s="5462">
        <v>360</v>
      </c>
      <c r="BB226" s="5462">
        <v>297</v>
      </c>
      <c r="BC226" s="5462">
        <v>288</v>
      </c>
      <c r="BD226" s="5462">
        <v>237</v>
      </c>
      <c r="BE226" s="5462">
        <v>270</v>
      </c>
      <c r="BF226" s="5462">
        <v>226</v>
      </c>
      <c r="BG226" s="5462">
        <v>221</v>
      </c>
      <c r="BH226" s="5462">
        <v>218</v>
      </c>
      <c r="BI226" s="5462">
        <f t="shared" si="316"/>
        <v>3023</v>
      </c>
      <c r="BJ226" s="5463">
        <f t="shared" si="317"/>
        <v>251.91666666666666</v>
      </c>
      <c r="BL226" s="5461">
        <v>234</v>
      </c>
      <c r="BM226" s="5462">
        <v>189</v>
      </c>
      <c r="BN226" s="5462"/>
      <c r="BO226" s="5462"/>
      <c r="BP226" s="5462"/>
      <c r="BQ226" s="5462"/>
      <c r="BR226" s="5462"/>
      <c r="BS226" s="5462"/>
      <c r="BT226" s="5462"/>
      <c r="BU226" s="5462"/>
      <c r="BV226" s="5462"/>
      <c r="BW226" s="5462"/>
      <c r="BX226" s="5462">
        <f t="shared" si="318"/>
        <v>423</v>
      </c>
      <c r="BY226" s="5463">
        <f t="shared" si="319"/>
        <v>211.5</v>
      </c>
      <c r="CA226" s="169">
        <f t="shared" si="308"/>
        <v>-57</v>
      </c>
      <c r="CB226" s="169">
        <f t="shared" si="320"/>
        <v>20.583333333333314</v>
      </c>
      <c r="CC226" s="169">
        <f>IFERROR(
  SUM(
    _xlfn.XLOOKUP(DATE(YEAR($A$1),1,1),$2:$2,226:226):
    _xlfn.XLOOKUP($A$1,$2:$2,226:226)
  )
 -SUM(
    _xlfn.XLOOKUP(DATE(YEAR($A$1)-1,1,1),$2:$2,226:226):
    _xlfn.XLOOKUP(EDATE($A$1,-12),$2:$2,226:226)
  ),"")</f>
        <v>-26</v>
      </c>
      <c r="CD226" s="4517">
        <f t="shared" si="310"/>
        <v>-45</v>
      </c>
      <c r="CE226" s="5459"/>
      <c r="CF226" s="5459"/>
    </row>
    <row r="227" spans="1:84" ht="17.600000000000001" x14ac:dyDescent="0.55000000000000004">
      <c r="A227" s="7391"/>
      <c r="B227" s="5460"/>
      <c r="C227" s="786" t="s">
        <v>262</v>
      </c>
      <c r="D227" s="5461">
        <v>553</v>
      </c>
      <c r="E227" s="5462">
        <v>652</v>
      </c>
      <c r="F227" s="5462">
        <v>592</v>
      </c>
      <c r="G227" s="5462">
        <v>594</v>
      </c>
      <c r="H227" s="5462">
        <v>615</v>
      </c>
      <c r="I227" s="5462">
        <v>516</v>
      </c>
      <c r="J227" s="5462">
        <v>545</v>
      </c>
      <c r="K227" s="5462">
        <v>563</v>
      </c>
      <c r="L227" s="5462">
        <v>485</v>
      </c>
      <c r="M227" s="5462">
        <v>502</v>
      </c>
      <c r="N227" s="5462">
        <v>478</v>
      </c>
      <c r="O227" s="5462">
        <v>433</v>
      </c>
      <c r="P227" s="5462">
        <f t="shared" si="311"/>
        <v>6528</v>
      </c>
      <c r="Q227" s="5463">
        <f t="shared" si="312"/>
        <v>544</v>
      </c>
      <c r="R227" s="2776"/>
      <c r="S227" s="5461">
        <v>469</v>
      </c>
      <c r="T227" s="5462">
        <v>518</v>
      </c>
      <c r="U227" s="5462">
        <v>516</v>
      </c>
      <c r="V227" s="5462">
        <v>470</v>
      </c>
      <c r="W227" s="5462">
        <v>485</v>
      </c>
      <c r="X227" s="5462">
        <v>444</v>
      </c>
      <c r="Y227" s="5462">
        <v>484</v>
      </c>
      <c r="Z227" s="5462">
        <v>537</v>
      </c>
      <c r="AA227" s="5462">
        <v>444</v>
      </c>
      <c r="AB227" s="5462">
        <v>495</v>
      </c>
      <c r="AC227" s="5462">
        <v>423</v>
      </c>
      <c r="AD227" s="5462">
        <v>394</v>
      </c>
      <c r="AE227" s="5462">
        <f t="shared" si="313"/>
        <v>5679</v>
      </c>
      <c r="AF227" s="5463">
        <f t="shared" si="314"/>
        <v>473.25</v>
      </c>
      <c r="AG227" s="2776"/>
      <c r="AH227" s="5461">
        <v>599</v>
      </c>
      <c r="AI227" s="5462">
        <v>538</v>
      </c>
      <c r="AJ227" s="5462">
        <v>593</v>
      </c>
      <c r="AK227" s="5462">
        <v>595</v>
      </c>
      <c r="AL227" s="5462">
        <v>625</v>
      </c>
      <c r="AM227" s="5462">
        <v>654</v>
      </c>
      <c r="AN227" s="5462">
        <v>615</v>
      </c>
      <c r="AO227" s="5462">
        <v>556</v>
      </c>
      <c r="AP227" s="5462">
        <v>591</v>
      </c>
      <c r="AQ227" s="5462">
        <v>603</v>
      </c>
      <c r="AR227" s="5462">
        <v>642</v>
      </c>
      <c r="AS227" s="5462">
        <v>557</v>
      </c>
      <c r="AT227" s="5462">
        <f t="shared" si="315"/>
        <v>7168</v>
      </c>
      <c r="AU227" s="5463">
        <f t="shared" si="307"/>
        <v>597.33333333333337</v>
      </c>
      <c r="AW227" s="5461">
        <v>560</v>
      </c>
      <c r="AX227" s="5462">
        <v>631</v>
      </c>
      <c r="AY227" s="5462">
        <v>558</v>
      </c>
      <c r="AZ227" s="5462">
        <v>563</v>
      </c>
      <c r="BA227" s="5462">
        <v>721</v>
      </c>
      <c r="BB227" s="5462">
        <v>669</v>
      </c>
      <c r="BC227" s="5462">
        <v>633</v>
      </c>
      <c r="BD227" s="5462">
        <v>556</v>
      </c>
      <c r="BE227" s="5462">
        <v>572</v>
      </c>
      <c r="BF227" s="5462">
        <v>553</v>
      </c>
      <c r="BG227" s="5462">
        <v>540</v>
      </c>
      <c r="BH227" s="5462">
        <v>612</v>
      </c>
      <c r="BI227" s="5462">
        <f t="shared" si="316"/>
        <v>7168</v>
      </c>
      <c r="BJ227" s="5463">
        <f t="shared" si="317"/>
        <v>597.33333333333337</v>
      </c>
      <c r="BL227" s="5461">
        <v>648</v>
      </c>
      <c r="BM227" s="5462">
        <v>509</v>
      </c>
      <c r="BN227" s="5462"/>
      <c r="BO227" s="5462"/>
      <c r="BP227" s="5462"/>
      <c r="BQ227" s="5462"/>
      <c r="BR227" s="5462"/>
      <c r="BS227" s="5462"/>
      <c r="BT227" s="5462"/>
      <c r="BU227" s="5462"/>
      <c r="BV227" s="5462"/>
      <c r="BW227" s="5462"/>
      <c r="BX227" s="5462">
        <f t="shared" si="318"/>
        <v>1157</v>
      </c>
      <c r="BY227" s="5463">
        <f t="shared" si="319"/>
        <v>578.5</v>
      </c>
      <c r="CA227" s="169">
        <f t="shared" si="308"/>
        <v>-122</v>
      </c>
      <c r="CB227" s="169">
        <f t="shared" si="320"/>
        <v>0</v>
      </c>
      <c r="CC227" s="169">
        <f>IFERROR(
  SUM(
    _xlfn.XLOOKUP(DATE(YEAR($A$1),1,1),$2:$2,227:227):
    _xlfn.XLOOKUP($A$1,$2:$2,227:227)
  )
 -SUM(
    _xlfn.XLOOKUP(DATE(YEAR($A$1)-1,1,1),$2:$2,227:227):
    _xlfn.XLOOKUP(EDATE($A$1,-12),$2:$2,227:227)
  ),"")</f>
        <v>-34</v>
      </c>
      <c r="CD227" s="4517">
        <f t="shared" si="310"/>
        <v>-139</v>
      </c>
      <c r="CE227" s="5459"/>
      <c r="CF227" s="5459"/>
    </row>
    <row r="228" spans="1:84" ht="17.600000000000001" x14ac:dyDescent="0.55000000000000004">
      <c r="A228" s="7391"/>
      <c r="B228" s="5464" t="s">
        <v>206</v>
      </c>
      <c r="C228" s="1799"/>
      <c r="D228" s="5465">
        <v>172</v>
      </c>
      <c r="E228" s="5466">
        <v>194</v>
      </c>
      <c r="F228" s="5466">
        <v>182</v>
      </c>
      <c r="G228" s="5466">
        <v>243</v>
      </c>
      <c r="H228" s="5466">
        <v>273</v>
      </c>
      <c r="I228" s="5466">
        <v>256</v>
      </c>
      <c r="J228" s="5466">
        <v>176</v>
      </c>
      <c r="K228" s="5466">
        <v>176</v>
      </c>
      <c r="L228" s="5466">
        <v>176</v>
      </c>
      <c r="M228" s="5466">
        <v>190</v>
      </c>
      <c r="N228" s="5466">
        <v>147</v>
      </c>
      <c r="O228" s="5466">
        <v>150</v>
      </c>
      <c r="P228" s="5466">
        <v>2335</v>
      </c>
      <c r="Q228" s="5467">
        <v>194.58333333333334</v>
      </c>
      <c r="R228" s="2776"/>
      <c r="S228" s="5465">
        <v>145</v>
      </c>
      <c r="T228" s="5466">
        <v>178</v>
      </c>
      <c r="U228" s="5466">
        <v>156</v>
      </c>
      <c r="V228" s="5466">
        <v>133</v>
      </c>
      <c r="W228" s="5466">
        <v>154</v>
      </c>
      <c r="X228" s="5466">
        <v>137</v>
      </c>
      <c r="Y228" s="5466">
        <v>153</v>
      </c>
      <c r="Z228" s="5466">
        <v>220</v>
      </c>
      <c r="AA228" s="5466">
        <v>135</v>
      </c>
      <c r="AB228" s="5466">
        <v>145</v>
      </c>
      <c r="AC228" s="5466">
        <v>141</v>
      </c>
      <c r="AD228" s="5466">
        <v>113</v>
      </c>
      <c r="AE228" s="5466">
        <v>1810</v>
      </c>
      <c r="AF228" s="5467">
        <v>150.83333333333334</v>
      </c>
      <c r="AG228" s="2776"/>
      <c r="AH228" s="5465">
        <v>186</v>
      </c>
      <c r="AI228" s="5466">
        <v>124</v>
      </c>
      <c r="AJ228" s="5466">
        <v>163</v>
      </c>
      <c r="AK228" s="5466">
        <v>160</v>
      </c>
      <c r="AL228" s="5466">
        <v>187</v>
      </c>
      <c r="AM228" s="5466">
        <v>190</v>
      </c>
      <c r="AN228" s="5466">
        <v>211</v>
      </c>
      <c r="AO228" s="5466">
        <v>182</v>
      </c>
      <c r="AP228" s="5466">
        <v>180</v>
      </c>
      <c r="AQ228" s="5466">
        <v>220</v>
      </c>
      <c r="AR228" s="5466">
        <v>222</v>
      </c>
      <c r="AS228" s="5466">
        <v>170</v>
      </c>
      <c r="AT228" s="5466">
        <f t="shared" si="315"/>
        <v>2195</v>
      </c>
      <c r="AU228" s="5467">
        <f t="shared" si="307"/>
        <v>182.91666666666666</v>
      </c>
      <c r="AW228" s="5465">
        <v>173</v>
      </c>
      <c r="AX228" s="5466">
        <v>210</v>
      </c>
      <c r="AY228" s="5466">
        <v>178</v>
      </c>
      <c r="AZ228" s="5466">
        <v>178</v>
      </c>
      <c r="BA228" s="5466">
        <v>288</v>
      </c>
      <c r="BB228" s="5466">
        <v>224</v>
      </c>
      <c r="BC228" s="5466">
        <v>216</v>
      </c>
      <c r="BD228" s="5466">
        <v>183</v>
      </c>
      <c r="BE228" s="5466">
        <v>209</v>
      </c>
      <c r="BF228" s="5466">
        <v>176</v>
      </c>
      <c r="BG228" s="5466">
        <v>196</v>
      </c>
      <c r="BH228" s="5466">
        <v>216</v>
      </c>
      <c r="BI228" s="5466">
        <f t="shared" si="316"/>
        <v>2447</v>
      </c>
      <c r="BJ228" s="5467">
        <f t="shared" si="317"/>
        <v>203.91666666666666</v>
      </c>
      <c r="BL228" s="5465">
        <v>183</v>
      </c>
      <c r="BM228" s="5466">
        <v>128</v>
      </c>
      <c r="BN228" s="5466"/>
      <c r="BO228" s="5466"/>
      <c r="BP228" s="5466"/>
      <c r="BQ228" s="5466"/>
      <c r="BR228" s="5466"/>
      <c r="BS228" s="5466"/>
      <c r="BT228" s="5466"/>
      <c r="BU228" s="5466"/>
      <c r="BV228" s="5466"/>
      <c r="BW228" s="5466"/>
      <c r="BX228" s="5466">
        <f t="shared" si="318"/>
        <v>311</v>
      </c>
      <c r="BY228" s="5467">
        <f t="shared" si="319"/>
        <v>155.5</v>
      </c>
      <c r="CA228" s="169">
        <f t="shared" si="308"/>
        <v>-82</v>
      </c>
      <c r="CB228" s="169">
        <f t="shared" si="320"/>
        <v>21</v>
      </c>
      <c r="CC228" s="169">
        <f>IFERROR(
  SUM(
    _xlfn.XLOOKUP(DATE(YEAR($A$1),1,1),$2:$2,228:228):
    _xlfn.XLOOKUP($A$1,$2:$2,228:228)
  )
 -SUM(
    _xlfn.XLOOKUP(DATE(YEAR($A$1)-1,1,1),$2:$2,228:228):
    _xlfn.XLOOKUP(EDATE($A$1,-12),$2:$2,228:228)
  ),"")</f>
        <v>-72</v>
      </c>
      <c r="CD228" s="4517">
        <f t="shared" si="310"/>
        <v>-55</v>
      </c>
      <c r="CE228" s="5459"/>
      <c r="CF228" s="5459"/>
    </row>
    <row r="229" spans="1:84" ht="17.600000000000001" x14ac:dyDescent="0.55000000000000004">
      <c r="A229" s="7391"/>
      <c r="B229" s="5468" t="s">
        <v>207</v>
      </c>
      <c r="C229" s="1576"/>
      <c r="D229" s="5469">
        <v>193</v>
      </c>
      <c r="E229" s="2636">
        <v>182</v>
      </c>
      <c r="F229" s="2636">
        <v>216</v>
      </c>
      <c r="G229" s="2636">
        <v>200</v>
      </c>
      <c r="H229" s="2636">
        <v>195</v>
      </c>
      <c r="I229" s="2636">
        <v>155</v>
      </c>
      <c r="J229" s="2636">
        <v>112</v>
      </c>
      <c r="K229" s="2636">
        <v>148</v>
      </c>
      <c r="L229" s="2636">
        <v>109</v>
      </c>
      <c r="M229" s="2636">
        <v>137</v>
      </c>
      <c r="N229" s="2636">
        <v>133</v>
      </c>
      <c r="O229" s="2636">
        <v>115</v>
      </c>
      <c r="P229" s="2636">
        <v>1895</v>
      </c>
      <c r="Q229" s="5470">
        <v>157.91666666666666</v>
      </c>
      <c r="R229" s="2776"/>
      <c r="S229" s="5469">
        <v>105</v>
      </c>
      <c r="T229" s="2636">
        <v>138</v>
      </c>
      <c r="U229" s="2636">
        <v>109</v>
      </c>
      <c r="V229" s="2636">
        <v>80</v>
      </c>
      <c r="W229" s="2636">
        <v>98</v>
      </c>
      <c r="X229" s="2636">
        <v>77</v>
      </c>
      <c r="Y229" s="2636">
        <v>100</v>
      </c>
      <c r="Z229" s="2636">
        <v>107</v>
      </c>
      <c r="AA229" s="2636">
        <v>115</v>
      </c>
      <c r="AB229" s="2636">
        <v>105</v>
      </c>
      <c r="AC229" s="2636">
        <v>102</v>
      </c>
      <c r="AD229" s="2636">
        <v>84</v>
      </c>
      <c r="AE229" s="2636">
        <v>1220</v>
      </c>
      <c r="AF229" s="5470">
        <v>101.66666666666667</v>
      </c>
      <c r="AG229" s="2776"/>
      <c r="AH229" s="5469">
        <v>123</v>
      </c>
      <c r="AI229" s="2636">
        <v>107</v>
      </c>
      <c r="AJ229" s="2636">
        <v>126</v>
      </c>
      <c r="AK229" s="2636">
        <v>111</v>
      </c>
      <c r="AL229" s="2636">
        <v>115</v>
      </c>
      <c r="AM229" s="2636">
        <v>131</v>
      </c>
      <c r="AN229" s="2636">
        <v>130</v>
      </c>
      <c r="AO229" s="2636">
        <v>147</v>
      </c>
      <c r="AP229" s="2636">
        <v>162</v>
      </c>
      <c r="AQ229" s="2636">
        <v>141</v>
      </c>
      <c r="AR229" s="2636">
        <v>154</v>
      </c>
      <c r="AS229" s="2636">
        <v>134</v>
      </c>
      <c r="AT229" s="2636">
        <f t="shared" si="315"/>
        <v>1581</v>
      </c>
      <c r="AU229" s="5470">
        <f t="shared" si="307"/>
        <v>131.75</v>
      </c>
      <c r="AW229" s="5469">
        <v>118</v>
      </c>
      <c r="AX229" s="2636">
        <v>145</v>
      </c>
      <c r="AY229" s="2636">
        <v>113</v>
      </c>
      <c r="AZ229" s="2636">
        <v>109</v>
      </c>
      <c r="BA229" s="2636">
        <v>219</v>
      </c>
      <c r="BB229" s="2636">
        <v>169</v>
      </c>
      <c r="BC229" s="2636">
        <v>154</v>
      </c>
      <c r="BD229" s="2636">
        <v>152</v>
      </c>
      <c r="BE229" s="2636">
        <v>158</v>
      </c>
      <c r="BF229" s="2636">
        <v>145</v>
      </c>
      <c r="BG229" s="2636">
        <v>136</v>
      </c>
      <c r="BH229" s="2636">
        <v>143</v>
      </c>
      <c r="BI229" s="2636">
        <f t="shared" si="316"/>
        <v>1761</v>
      </c>
      <c r="BJ229" s="5470">
        <f t="shared" si="317"/>
        <v>146.75</v>
      </c>
      <c r="BL229" s="5469">
        <v>177</v>
      </c>
      <c r="BM229" s="2636">
        <v>130</v>
      </c>
      <c r="BN229" s="2636"/>
      <c r="BO229" s="2636"/>
      <c r="BP229" s="2636"/>
      <c r="BQ229" s="2636"/>
      <c r="BR229" s="2636"/>
      <c r="BS229" s="2636"/>
      <c r="BT229" s="2636"/>
      <c r="BU229" s="2636"/>
      <c r="BV229" s="2636"/>
      <c r="BW229" s="2636"/>
      <c r="BX229" s="2636">
        <f t="shared" si="318"/>
        <v>307</v>
      </c>
      <c r="BY229" s="5470">
        <f t="shared" si="319"/>
        <v>153.5</v>
      </c>
      <c r="CA229" s="169">
        <f t="shared" si="308"/>
        <v>-15</v>
      </c>
      <c r="CB229" s="169">
        <f t="shared" si="320"/>
        <v>15</v>
      </c>
      <c r="CC229" s="169">
        <f>IFERROR(
  SUM(
    _xlfn.XLOOKUP(DATE(YEAR($A$1),1,1),$2:$2,229:229):
    _xlfn.XLOOKUP($A$1,$2:$2,229:229)
  )
 -SUM(
    _xlfn.XLOOKUP(DATE(YEAR($A$1)-1,1,1),$2:$2,229:229):
    _xlfn.XLOOKUP(EDATE($A$1,-12),$2:$2,229:229)
  ),"")</f>
        <v>44</v>
      </c>
      <c r="CD229" s="4517">
        <f t="shared" si="310"/>
        <v>-47</v>
      </c>
      <c r="CE229" s="5459"/>
      <c r="CF229" s="5459"/>
    </row>
    <row r="230" spans="1:84" ht="17.600000000000001" x14ac:dyDescent="0.55000000000000004">
      <c r="A230" s="7391"/>
      <c r="B230" s="5468" t="s">
        <v>208</v>
      </c>
      <c r="C230" s="1576"/>
      <c r="D230" s="5469">
        <v>161</v>
      </c>
      <c r="E230" s="2636">
        <v>174</v>
      </c>
      <c r="F230" s="2636">
        <v>131</v>
      </c>
      <c r="G230" s="2636">
        <v>201</v>
      </c>
      <c r="H230" s="2636">
        <v>185</v>
      </c>
      <c r="I230" s="2636">
        <v>145</v>
      </c>
      <c r="J230" s="2636">
        <v>122</v>
      </c>
      <c r="K230" s="2636">
        <v>122</v>
      </c>
      <c r="L230" s="2636">
        <v>84</v>
      </c>
      <c r="M230" s="2636">
        <v>82</v>
      </c>
      <c r="N230" s="2636">
        <v>65</v>
      </c>
      <c r="O230" s="2636">
        <v>76</v>
      </c>
      <c r="P230" s="2636">
        <v>1548</v>
      </c>
      <c r="Q230" s="5470">
        <v>129</v>
      </c>
      <c r="R230" s="2776"/>
      <c r="S230" s="5469">
        <v>73</v>
      </c>
      <c r="T230" s="2636">
        <v>84</v>
      </c>
      <c r="U230" s="2636">
        <v>92</v>
      </c>
      <c r="V230" s="2636">
        <v>76</v>
      </c>
      <c r="W230" s="2636">
        <v>91</v>
      </c>
      <c r="X230" s="2636">
        <v>82</v>
      </c>
      <c r="Y230" s="2636">
        <v>117</v>
      </c>
      <c r="Z230" s="2636">
        <v>119</v>
      </c>
      <c r="AA230" s="2636">
        <v>98</v>
      </c>
      <c r="AB230" s="2636">
        <v>112</v>
      </c>
      <c r="AC230" s="2636">
        <v>121</v>
      </c>
      <c r="AD230" s="2636">
        <v>84</v>
      </c>
      <c r="AE230" s="2636">
        <v>1149</v>
      </c>
      <c r="AF230" s="5470">
        <v>95.75</v>
      </c>
      <c r="AG230" s="2776"/>
      <c r="AH230" s="5469">
        <v>101</v>
      </c>
      <c r="AI230" s="2636">
        <v>107</v>
      </c>
      <c r="AJ230" s="2636">
        <v>128</v>
      </c>
      <c r="AK230" s="2636">
        <v>129</v>
      </c>
      <c r="AL230" s="2636">
        <v>155</v>
      </c>
      <c r="AM230" s="2636">
        <v>156</v>
      </c>
      <c r="AN230" s="2636">
        <v>157</v>
      </c>
      <c r="AO230" s="2636">
        <v>161</v>
      </c>
      <c r="AP230" s="2636">
        <v>134</v>
      </c>
      <c r="AQ230" s="2636">
        <v>164</v>
      </c>
      <c r="AR230" s="2636">
        <v>148</v>
      </c>
      <c r="AS230" s="2636">
        <v>138</v>
      </c>
      <c r="AT230" s="2636">
        <f t="shared" si="315"/>
        <v>1678</v>
      </c>
      <c r="AU230" s="5470">
        <f t="shared" si="307"/>
        <v>139.83333333333334</v>
      </c>
      <c r="AW230" s="5469">
        <v>129</v>
      </c>
      <c r="AX230" s="2636">
        <v>176</v>
      </c>
      <c r="AY230" s="2636">
        <v>137</v>
      </c>
      <c r="AZ230" s="2636">
        <v>152</v>
      </c>
      <c r="BA230" s="2636">
        <v>219</v>
      </c>
      <c r="BB230" s="2636">
        <v>194</v>
      </c>
      <c r="BC230" s="2636">
        <v>182</v>
      </c>
      <c r="BD230" s="2636">
        <v>152</v>
      </c>
      <c r="BE230" s="2636">
        <v>164</v>
      </c>
      <c r="BF230" s="2636">
        <v>147</v>
      </c>
      <c r="BG230" s="2636">
        <v>123</v>
      </c>
      <c r="BH230" s="2636">
        <v>148</v>
      </c>
      <c r="BI230" s="2636">
        <f t="shared" si="316"/>
        <v>1923</v>
      </c>
      <c r="BJ230" s="5470">
        <f t="shared" si="317"/>
        <v>160.25</v>
      </c>
      <c r="BL230" s="5469">
        <v>176</v>
      </c>
      <c r="BM230" s="2636">
        <v>145</v>
      </c>
      <c r="BN230" s="2636"/>
      <c r="BO230" s="2636"/>
      <c r="BP230" s="2636"/>
      <c r="BQ230" s="2636"/>
      <c r="BR230" s="2636"/>
      <c r="BS230" s="2636"/>
      <c r="BT230" s="2636"/>
      <c r="BU230" s="2636"/>
      <c r="BV230" s="2636"/>
      <c r="BW230" s="2636"/>
      <c r="BX230" s="2636">
        <f t="shared" si="318"/>
        <v>321</v>
      </c>
      <c r="BY230" s="5470">
        <f t="shared" si="319"/>
        <v>160.5</v>
      </c>
      <c r="CA230" s="169">
        <f t="shared" si="308"/>
        <v>-31</v>
      </c>
      <c r="CB230" s="169">
        <f t="shared" si="320"/>
        <v>20.416666666666657</v>
      </c>
      <c r="CC230" s="169">
        <f>IFERROR(
  SUM(
    _xlfn.XLOOKUP(DATE(YEAR($A$1),1,1),$2:$2,230:230):
    _xlfn.XLOOKUP($A$1,$2:$2,230:230)
  )
 -SUM(
    _xlfn.XLOOKUP(DATE(YEAR($A$1)-1,1,1),$2:$2,230:230):
    _xlfn.XLOOKUP(EDATE($A$1,-12),$2:$2,230:230)
  ),"")</f>
        <v>16</v>
      </c>
      <c r="CD230" s="4517">
        <f t="shared" si="310"/>
        <v>-31</v>
      </c>
      <c r="CE230" s="5459"/>
      <c r="CF230" s="5459"/>
    </row>
    <row r="231" spans="1:84" ht="17.600000000000001" x14ac:dyDescent="0.55000000000000004">
      <c r="A231" s="7391"/>
      <c r="B231" s="5468" t="s">
        <v>209</v>
      </c>
      <c r="C231" s="1576"/>
      <c r="D231" s="5469">
        <v>178</v>
      </c>
      <c r="E231" s="2636">
        <v>215</v>
      </c>
      <c r="F231" s="2636">
        <v>217</v>
      </c>
      <c r="G231" s="2636">
        <v>221</v>
      </c>
      <c r="H231" s="2636">
        <v>207</v>
      </c>
      <c r="I231" s="2636">
        <v>184</v>
      </c>
      <c r="J231" s="2636">
        <v>228</v>
      </c>
      <c r="K231" s="2636">
        <v>263</v>
      </c>
      <c r="L231" s="2636">
        <v>209</v>
      </c>
      <c r="M231" s="2636">
        <v>199</v>
      </c>
      <c r="N231" s="2636">
        <v>187</v>
      </c>
      <c r="O231" s="2636">
        <v>135</v>
      </c>
      <c r="P231" s="2636">
        <v>2443</v>
      </c>
      <c r="Q231" s="5470">
        <v>203.58333333333334</v>
      </c>
      <c r="R231" s="2776"/>
      <c r="S231" s="5469">
        <v>184</v>
      </c>
      <c r="T231" s="2636">
        <v>206</v>
      </c>
      <c r="U231" s="2636">
        <v>209</v>
      </c>
      <c r="V231" s="2636">
        <v>197</v>
      </c>
      <c r="W231" s="2636">
        <v>235</v>
      </c>
      <c r="X231" s="2636">
        <v>219</v>
      </c>
      <c r="Y231" s="2636">
        <v>194</v>
      </c>
      <c r="Z231" s="2636">
        <v>201</v>
      </c>
      <c r="AA231" s="2636">
        <v>217</v>
      </c>
      <c r="AB231" s="2636">
        <v>247</v>
      </c>
      <c r="AC231" s="2636">
        <v>179</v>
      </c>
      <c r="AD231" s="2636">
        <v>157</v>
      </c>
      <c r="AE231" s="2636">
        <v>2445</v>
      </c>
      <c r="AF231" s="5470">
        <v>203.75</v>
      </c>
      <c r="AG231" s="2776"/>
      <c r="AH231" s="5469">
        <v>255</v>
      </c>
      <c r="AI231" s="2636">
        <v>262</v>
      </c>
      <c r="AJ231" s="2636">
        <v>313</v>
      </c>
      <c r="AK231" s="2636">
        <v>284</v>
      </c>
      <c r="AL231" s="2636">
        <v>323</v>
      </c>
      <c r="AM231" s="2636">
        <v>297</v>
      </c>
      <c r="AN231" s="2636">
        <v>281</v>
      </c>
      <c r="AO231" s="2636">
        <v>273</v>
      </c>
      <c r="AP231" s="2636">
        <v>291</v>
      </c>
      <c r="AQ231" s="2636">
        <v>289</v>
      </c>
      <c r="AR231" s="2636">
        <v>329</v>
      </c>
      <c r="AS231" s="2636">
        <v>300</v>
      </c>
      <c r="AT231" s="2636">
        <f t="shared" si="315"/>
        <v>3497</v>
      </c>
      <c r="AU231" s="5470">
        <f t="shared" si="307"/>
        <v>291.41666666666669</v>
      </c>
      <c r="AW231" s="5469">
        <v>317</v>
      </c>
      <c r="AX231" s="2636">
        <v>329</v>
      </c>
      <c r="AY231" s="2636">
        <v>319</v>
      </c>
      <c r="AZ231" s="2636">
        <v>328</v>
      </c>
      <c r="BA231" s="2636">
        <v>516</v>
      </c>
      <c r="BB231" s="2636">
        <v>461</v>
      </c>
      <c r="BC231" s="2636">
        <v>407</v>
      </c>
      <c r="BD231" s="2636">
        <v>299</v>
      </c>
      <c r="BE231" s="2636">
        <v>330</v>
      </c>
      <c r="BF231" s="2636">
        <v>322</v>
      </c>
      <c r="BG231" s="2636">
        <v>299</v>
      </c>
      <c r="BH231" s="2636">
        <v>312</v>
      </c>
      <c r="BI231" s="2636">
        <f t="shared" si="316"/>
        <v>4239</v>
      </c>
      <c r="BJ231" s="5470">
        <f t="shared" si="317"/>
        <v>353.25</v>
      </c>
      <c r="BL231" s="5469">
        <v>341</v>
      </c>
      <c r="BM231" s="2636">
        <v>235</v>
      </c>
      <c r="BN231" s="2636"/>
      <c r="BO231" s="2636"/>
      <c r="BP231" s="2636"/>
      <c r="BQ231" s="2636"/>
      <c r="BR231" s="2636"/>
      <c r="BS231" s="2636"/>
      <c r="BT231" s="2636"/>
      <c r="BU231" s="2636"/>
      <c r="BV231" s="2636"/>
      <c r="BW231" s="2636"/>
      <c r="BX231" s="2636">
        <f t="shared" si="318"/>
        <v>576</v>
      </c>
      <c r="BY231" s="5470">
        <f t="shared" si="319"/>
        <v>288</v>
      </c>
      <c r="CA231" s="169">
        <f t="shared" si="308"/>
        <v>-94</v>
      </c>
      <c r="CB231" s="169">
        <f t="shared" si="320"/>
        <v>61.833333333333314</v>
      </c>
      <c r="CC231" s="169">
        <f>IFERROR(
  SUM(
    _xlfn.XLOOKUP(DATE(YEAR($A$1),1,1),$2:$2,231:231):
    _xlfn.XLOOKUP($A$1,$2:$2,231:231)
  )
 -SUM(
    _xlfn.XLOOKUP(DATE(YEAR($A$1)-1,1,1),$2:$2,231:231):
    _xlfn.XLOOKUP(EDATE($A$1,-12),$2:$2,231:231)
  ),"")</f>
        <v>-70</v>
      </c>
      <c r="CD231" s="4517">
        <f t="shared" si="310"/>
        <v>-106</v>
      </c>
      <c r="CE231" s="5459"/>
      <c r="CF231" s="5459"/>
    </row>
    <row r="232" spans="1:84" ht="17.600000000000001" x14ac:dyDescent="0.55000000000000004">
      <c r="A232" s="7391"/>
      <c r="B232" s="5471" t="s">
        <v>210</v>
      </c>
      <c r="C232" s="1813"/>
      <c r="D232" s="5472">
        <v>256</v>
      </c>
      <c r="E232" s="5473">
        <v>271</v>
      </c>
      <c r="F232" s="5473">
        <v>245</v>
      </c>
      <c r="G232" s="5473">
        <v>233</v>
      </c>
      <c r="H232" s="5473">
        <v>250</v>
      </c>
      <c r="I232" s="5473">
        <v>228</v>
      </c>
      <c r="J232" s="5473">
        <v>213</v>
      </c>
      <c r="K232" s="5473">
        <v>225</v>
      </c>
      <c r="L232" s="5473">
        <v>207</v>
      </c>
      <c r="M232" s="5473">
        <v>209</v>
      </c>
      <c r="N232" s="5473">
        <v>217</v>
      </c>
      <c r="O232" s="5473">
        <v>191</v>
      </c>
      <c r="P232" s="5473">
        <v>2745</v>
      </c>
      <c r="Q232" s="5474">
        <v>228.75</v>
      </c>
      <c r="R232" s="2776"/>
      <c r="S232" s="5472">
        <v>201</v>
      </c>
      <c r="T232" s="5473">
        <v>220</v>
      </c>
      <c r="U232" s="5473">
        <v>227</v>
      </c>
      <c r="V232" s="5473">
        <v>234</v>
      </c>
      <c r="W232" s="5473">
        <v>238</v>
      </c>
      <c r="X232" s="5473">
        <v>201</v>
      </c>
      <c r="Y232" s="5473">
        <v>186</v>
      </c>
      <c r="Z232" s="5473">
        <v>234</v>
      </c>
      <c r="AA232" s="5473">
        <v>180</v>
      </c>
      <c r="AB232" s="5473">
        <v>204</v>
      </c>
      <c r="AC232" s="5473">
        <v>199</v>
      </c>
      <c r="AD232" s="5473">
        <v>158</v>
      </c>
      <c r="AE232" s="5473">
        <v>2482</v>
      </c>
      <c r="AF232" s="5474">
        <v>206.83333333333334</v>
      </c>
      <c r="AG232" s="2776"/>
      <c r="AH232" s="5472">
        <v>274</v>
      </c>
      <c r="AI232" s="5473">
        <v>217</v>
      </c>
      <c r="AJ232" s="5473">
        <v>223</v>
      </c>
      <c r="AK232" s="5473">
        <v>238</v>
      </c>
      <c r="AL232" s="5473">
        <v>242</v>
      </c>
      <c r="AM232" s="5473">
        <v>235</v>
      </c>
      <c r="AN232" s="5473">
        <v>264</v>
      </c>
      <c r="AO232" s="5473">
        <v>193</v>
      </c>
      <c r="AP232" s="5473">
        <v>201</v>
      </c>
      <c r="AQ232" s="5473">
        <v>242</v>
      </c>
      <c r="AR232" s="5473">
        <v>261</v>
      </c>
      <c r="AS232" s="5473">
        <v>241</v>
      </c>
      <c r="AT232" s="5473">
        <f t="shared" si="315"/>
        <v>2831</v>
      </c>
      <c r="AU232" s="5474">
        <f t="shared" si="307"/>
        <v>235.91666666666666</v>
      </c>
      <c r="AW232" s="5472">
        <v>220</v>
      </c>
      <c r="AX232" s="5473">
        <v>282</v>
      </c>
      <c r="AY232" s="5473">
        <v>251</v>
      </c>
      <c r="AZ232" s="5473">
        <v>253</v>
      </c>
      <c r="BA232" s="5473">
        <v>349</v>
      </c>
      <c r="BB232" s="5473">
        <v>277</v>
      </c>
      <c r="BC232" s="5473">
        <v>277</v>
      </c>
      <c r="BD232" s="5473">
        <v>212</v>
      </c>
      <c r="BE232" s="5473">
        <v>222</v>
      </c>
      <c r="BF232" s="5473">
        <v>199</v>
      </c>
      <c r="BG232" s="5473">
        <v>221</v>
      </c>
      <c r="BH232" s="5473">
        <v>216</v>
      </c>
      <c r="BI232" s="5473">
        <f t="shared" si="316"/>
        <v>2979</v>
      </c>
      <c r="BJ232" s="5474">
        <f t="shared" si="317"/>
        <v>248.25</v>
      </c>
      <c r="BL232" s="5472">
        <v>231</v>
      </c>
      <c r="BM232" s="5473">
        <v>200</v>
      </c>
      <c r="BN232" s="5473"/>
      <c r="BO232" s="5473"/>
      <c r="BP232" s="5473"/>
      <c r="BQ232" s="5473"/>
      <c r="BR232" s="5473"/>
      <c r="BS232" s="5473"/>
      <c r="BT232" s="5473"/>
      <c r="BU232" s="5473"/>
      <c r="BV232" s="5473"/>
      <c r="BW232" s="5473"/>
      <c r="BX232" s="5473">
        <f t="shared" si="318"/>
        <v>431</v>
      </c>
      <c r="BY232" s="5474">
        <f t="shared" si="319"/>
        <v>215.5</v>
      </c>
      <c r="CA232" s="169">
        <f t="shared" si="308"/>
        <v>-82</v>
      </c>
      <c r="CB232" s="169">
        <f t="shared" si="320"/>
        <v>12.333333333333343</v>
      </c>
      <c r="CC232" s="169">
        <f>IFERROR(
  SUM(
    _xlfn.XLOOKUP(DATE(YEAR($A$1),1,1),$2:$2,232:232):
    _xlfn.XLOOKUP($A$1,$2:$2,232:232)
  )
 -SUM(
    _xlfn.XLOOKUP(DATE(YEAR($A$1)-1,1,1),$2:$2,232:232):
    _xlfn.XLOOKUP(EDATE($A$1,-12),$2:$2,232:232)
  ),"")</f>
        <v>-71</v>
      </c>
      <c r="CD232" s="4517">
        <f t="shared" si="310"/>
        <v>-31</v>
      </c>
      <c r="CE232" s="5459"/>
      <c r="CF232" s="5459"/>
    </row>
    <row r="233" spans="1:84" s="698" customFormat="1" ht="17.600000000000001" x14ac:dyDescent="0.55000000000000004">
      <c r="A233" s="7391"/>
      <c r="B233" s="5475"/>
      <c r="C233" s="2156" t="s">
        <v>226</v>
      </c>
      <c r="D233" s="5476">
        <v>122</v>
      </c>
      <c r="E233" s="5477">
        <v>145</v>
      </c>
      <c r="F233" s="5477">
        <v>134</v>
      </c>
      <c r="G233" s="5477">
        <v>191</v>
      </c>
      <c r="H233" s="5477">
        <v>215</v>
      </c>
      <c r="I233" s="5477">
        <v>207</v>
      </c>
      <c r="J233" s="5477">
        <v>149</v>
      </c>
      <c r="K233" s="5477">
        <v>137</v>
      </c>
      <c r="L233" s="5477">
        <v>144</v>
      </c>
      <c r="M233" s="5477">
        <v>151</v>
      </c>
      <c r="N233" s="5477">
        <v>114</v>
      </c>
      <c r="O233" s="5477">
        <v>126</v>
      </c>
      <c r="P233" s="5477">
        <f t="shared" si="311"/>
        <v>1835</v>
      </c>
      <c r="Q233" s="5478">
        <f t="shared" si="312"/>
        <v>152.91666666666666</v>
      </c>
      <c r="R233" s="5479"/>
      <c r="S233" s="5476">
        <v>120</v>
      </c>
      <c r="T233" s="5477">
        <v>149</v>
      </c>
      <c r="U233" s="5477">
        <v>120</v>
      </c>
      <c r="V233" s="5477">
        <v>105</v>
      </c>
      <c r="W233" s="5477">
        <v>120</v>
      </c>
      <c r="X233" s="5477">
        <v>108</v>
      </c>
      <c r="Y233" s="5477">
        <v>123</v>
      </c>
      <c r="Z233" s="5477">
        <v>181</v>
      </c>
      <c r="AA233" s="5477">
        <v>109</v>
      </c>
      <c r="AB233" s="5477">
        <v>111</v>
      </c>
      <c r="AC233" s="5477">
        <v>112</v>
      </c>
      <c r="AD233" s="5477">
        <v>83</v>
      </c>
      <c r="AE233" s="5477">
        <f t="shared" si="313"/>
        <v>1441</v>
      </c>
      <c r="AF233" s="5478">
        <f t="shared" si="314"/>
        <v>120.08333333333333</v>
      </c>
      <c r="AG233" s="5479"/>
      <c r="AH233" s="5476">
        <v>144</v>
      </c>
      <c r="AI233" s="5477">
        <v>91</v>
      </c>
      <c r="AJ233" s="5477">
        <v>121</v>
      </c>
      <c r="AK233" s="5477">
        <v>117</v>
      </c>
      <c r="AL233" s="5477">
        <v>132</v>
      </c>
      <c r="AM233" s="5477">
        <v>144</v>
      </c>
      <c r="AN233" s="5477">
        <v>146</v>
      </c>
      <c r="AO233" s="5477">
        <v>135</v>
      </c>
      <c r="AP233" s="5477">
        <v>132</v>
      </c>
      <c r="AQ233" s="5477">
        <v>173</v>
      </c>
      <c r="AR233" s="5477">
        <v>168</v>
      </c>
      <c r="AS233" s="5477">
        <v>122</v>
      </c>
      <c r="AT233" s="5477">
        <f t="shared" si="315"/>
        <v>1625</v>
      </c>
      <c r="AU233" s="5478">
        <f t="shared" si="307"/>
        <v>135.41666666666666</v>
      </c>
      <c r="AW233" s="5476">
        <v>115</v>
      </c>
      <c r="AX233" s="5477">
        <v>146</v>
      </c>
      <c r="AY233" s="5477">
        <v>121</v>
      </c>
      <c r="AZ233" s="5477">
        <v>122</v>
      </c>
      <c r="BA233" s="5477">
        <v>206</v>
      </c>
      <c r="BB233" s="5477">
        <v>161</v>
      </c>
      <c r="BC233" s="5477">
        <v>216</v>
      </c>
      <c r="BD233" s="5477">
        <v>183</v>
      </c>
      <c r="BE233" s="5477">
        <v>209</v>
      </c>
      <c r="BF233" s="5477">
        <v>176</v>
      </c>
      <c r="BG233" s="5477">
        <v>196</v>
      </c>
      <c r="BH233" s="5477">
        <v>216</v>
      </c>
      <c r="BI233" s="5477">
        <f t="shared" si="316"/>
        <v>2067</v>
      </c>
      <c r="BJ233" s="5478">
        <f t="shared" si="317"/>
        <v>172.25</v>
      </c>
      <c r="BL233" s="5476">
        <v>183</v>
      </c>
      <c r="BM233" s="5477">
        <v>128</v>
      </c>
      <c r="BN233" s="5477"/>
      <c r="BO233" s="5477"/>
      <c r="BP233" s="5477"/>
      <c r="BQ233" s="5477"/>
      <c r="BR233" s="5477"/>
      <c r="BS233" s="5477"/>
      <c r="BT233" s="5477"/>
      <c r="BU233" s="5477"/>
      <c r="BV233" s="5477"/>
      <c r="BW233" s="5477"/>
      <c r="BX233" s="5477">
        <f t="shared" si="318"/>
        <v>311</v>
      </c>
      <c r="BY233" s="5478">
        <f t="shared" si="319"/>
        <v>155.5</v>
      </c>
      <c r="CA233" s="169">
        <f t="shared" si="308"/>
        <v>-18</v>
      </c>
      <c r="CB233" s="169">
        <f t="shared" si="320"/>
        <v>36.833333333333343</v>
      </c>
      <c r="CC233" s="169">
        <f>IFERROR(
  SUM(
    _xlfn.XLOOKUP(DATE(YEAR($A$1),1,1),$2:$2,233:233):
    _xlfn.XLOOKUP($A$1,$2:$2,233:233)
  )
 -SUM(
    _xlfn.XLOOKUP(DATE(YEAR($A$1)-1,1,1),$2:$2,233:233):
    _xlfn.XLOOKUP(EDATE($A$1,-12),$2:$2,233:233)
  ),"")</f>
        <v>50</v>
      </c>
      <c r="CD233" s="4517">
        <f t="shared" si="310"/>
        <v>-55</v>
      </c>
      <c r="CE233" s="5459"/>
      <c r="CF233" s="5459"/>
    </row>
    <row r="234" spans="1:84" s="698" customFormat="1" ht="17.600000000000001" x14ac:dyDescent="0.55000000000000004">
      <c r="A234" s="7391"/>
      <c r="B234" s="5480"/>
      <c r="C234" s="681" t="s">
        <v>227</v>
      </c>
      <c r="D234" s="5481">
        <v>193</v>
      </c>
      <c r="E234" s="5482">
        <v>182</v>
      </c>
      <c r="F234" s="5482">
        <v>216</v>
      </c>
      <c r="G234" s="5482">
        <v>200</v>
      </c>
      <c r="H234" s="5482">
        <v>195</v>
      </c>
      <c r="I234" s="5482">
        <v>155</v>
      </c>
      <c r="J234" s="5482">
        <v>112</v>
      </c>
      <c r="K234" s="5482">
        <v>148</v>
      </c>
      <c r="L234" s="5482">
        <v>109</v>
      </c>
      <c r="M234" s="5482">
        <v>137</v>
      </c>
      <c r="N234" s="5482">
        <v>133</v>
      </c>
      <c r="O234" s="5482">
        <v>115</v>
      </c>
      <c r="P234" s="5482">
        <f t="shared" si="311"/>
        <v>1895</v>
      </c>
      <c r="Q234" s="5483">
        <f t="shared" si="312"/>
        <v>157.91666666666666</v>
      </c>
      <c r="R234" s="5479"/>
      <c r="S234" s="5481">
        <v>105</v>
      </c>
      <c r="T234" s="5482">
        <v>138</v>
      </c>
      <c r="U234" s="5482">
        <v>109</v>
      </c>
      <c r="V234" s="5482">
        <v>80</v>
      </c>
      <c r="W234" s="5482">
        <v>98</v>
      </c>
      <c r="X234" s="5482">
        <v>77</v>
      </c>
      <c r="Y234" s="5482">
        <v>100</v>
      </c>
      <c r="Z234" s="5482">
        <v>107</v>
      </c>
      <c r="AA234" s="5482">
        <v>115</v>
      </c>
      <c r="AB234" s="5482">
        <v>105</v>
      </c>
      <c r="AC234" s="5482">
        <v>102</v>
      </c>
      <c r="AD234" s="5482">
        <v>84</v>
      </c>
      <c r="AE234" s="5482">
        <f t="shared" si="313"/>
        <v>1220</v>
      </c>
      <c r="AF234" s="5483">
        <f t="shared" si="314"/>
        <v>101.66666666666667</v>
      </c>
      <c r="AG234" s="5479"/>
      <c r="AH234" s="5481">
        <v>123</v>
      </c>
      <c r="AI234" s="5482">
        <v>107</v>
      </c>
      <c r="AJ234" s="5482">
        <v>126</v>
      </c>
      <c r="AK234" s="5482">
        <v>111</v>
      </c>
      <c r="AL234" s="5482">
        <v>115</v>
      </c>
      <c r="AM234" s="5482">
        <v>131</v>
      </c>
      <c r="AN234" s="5482">
        <v>130</v>
      </c>
      <c r="AO234" s="5482">
        <v>147</v>
      </c>
      <c r="AP234" s="5482">
        <v>162</v>
      </c>
      <c r="AQ234" s="5482">
        <v>141</v>
      </c>
      <c r="AR234" s="5482">
        <v>154</v>
      </c>
      <c r="AS234" s="5482">
        <v>134</v>
      </c>
      <c r="AT234" s="5482">
        <f t="shared" si="315"/>
        <v>1581</v>
      </c>
      <c r="AU234" s="5483">
        <f t="shared" si="307"/>
        <v>131.75</v>
      </c>
      <c r="AW234" s="5481">
        <v>118</v>
      </c>
      <c r="AX234" s="5482">
        <v>145</v>
      </c>
      <c r="AY234" s="5482">
        <v>113</v>
      </c>
      <c r="AZ234" s="5482">
        <v>109</v>
      </c>
      <c r="BA234" s="5482">
        <v>219</v>
      </c>
      <c r="BB234" s="5482">
        <v>169</v>
      </c>
      <c r="BC234" s="5482">
        <v>154</v>
      </c>
      <c r="BD234" s="5482">
        <v>152</v>
      </c>
      <c r="BE234" s="5482">
        <v>158</v>
      </c>
      <c r="BF234" s="5482">
        <v>145</v>
      </c>
      <c r="BG234" s="5482">
        <v>136</v>
      </c>
      <c r="BH234" s="5482">
        <v>143</v>
      </c>
      <c r="BI234" s="5482">
        <f t="shared" si="316"/>
        <v>1761</v>
      </c>
      <c r="BJ234" s="5483">
        <f t="shared" si="317"/>
        <v>146.75</v>
      </c>
      <c r="BL234" s="5481">
        <v>177</v>
      </c>
      <c r="BM234" s="5482">
        <v>130</v>
      </c>
      <c r="BN234" s="5482"/>
      <c r="BO234" s="5482"/>
      <c r="BP234" s="5482"/>
      <c r="BQ234" s="5482"/>
      <c r="BR234" s="5482"/>
      <c r="BS234" s="5482"/>
      <c r="BT234" s="5482"/>
      <c r="BU234" s="5482"/>
      <c r="BV234" s="5482"/>
      <c r="BW234" s="5482"/>
      <c r="BX234" s="5482">
        <f t="shared" si="318"/>
        <v>307</v>
      </c>
      <c r="BY234" s="5483">
        <f t="shared" si="319"/>
        <v>153.5</v>
      </c>
      <c r="CA234" s="169">
        <f t="shared" si="308"/>
        <v>-15</v>
      </c>
      <c r="CB234" s="169">
        <f t="shared" si="320"/>
        <v>15</v>
      </c>
      <c r="CC234" s="169">
        <f>IFERROR(
  SUM(
    _xlfn.XLOOKUP(DATE(YEAR($A$1),1,1),$2:$2,234:234):
    _xlfn.XLOOKUP($A$1,$2:$2,234:234)
  )
 -SUM(
    _xlfn.XLOOKUP(DATE(YEAR($A$1)-1,1,1),$2:$2,234:234):
    _xlfn.XLOOKUP(EDATE($A$1,-12),$2:$2,234:234)
  ),"")</f>
        <v>44</v>
      </c>
      <c r="CD234" s="4517">
        <f t="shared" si="310"/>
        <v>-47</v>
      </c>
      <c r="CE234" s="5459"/>
      <c r="CF234" s="5459"/>
    </row>
    <row r="235" spans="1:84" s="698" customFormat="1" ht="17.600000000000001" x14ac:dyDescent="0.55000000000000004">
      <c r="A235" s="7391"/>
      <c r="B235" s="5480"/>
      <c r="C235" s="804" t="s">
        <v>228</v>
      </c>
      <c r="D235" s="5484">
        <v>161</v>
      </c>
      <c r="E235" s="5485">
        <v>174</v>
      </c>
      <c r="F235" s="5485">
        <v>131</v>
      </c>
      <c r="G235" s="5485">
        <v>201</v>
      </c>
      <c r="H235" s="5485">
        <v>185</v>
      </c>
      <c r="I235" s="5485">
        <v>145</v>
      </c>
      <c r="J235" s="5485">
        <v>122</v>
      </c>
      <c r="K235" s="5485">
        <v>122</v>
      </c>
      <c r="L235" s="5485">
        <v>84</v>
      </c>
      <c r="M235" s="5485">
        <v>82</v>
      </c>
      <c r="N235" s="5485">
        <v>65</v>
      </c>
      <c r="O235" s="5485">
        <v>76</v>
      </c>
      <c r="P235" s="5485">
        <f t="shared" si="311"/>
        <v>1548</v>
      </c>
      <c r="Q235" s="5486">
        <f t="shared" si="312"/>
        <v>129</v>
      </c>
      <c r="R235" s="5479"/>
      <c r="S235" s="5484">
        <v>73</v>
      </c>
      <c r="T235" s="5485">
        <v>84</v>
      </c>
      <c r="U235" s="5485">
        <v>92</v>
      </c>
      <c r="V235" s="5485">
        <v>76</v>
      </c>
      <c r="W235" s="5485">
        <v>91</v>
      </c>
      <c r="X235" s="5485">
        <v>82</v>
      </c>
      <c r="Y235" s="5485">
        <v>117</v>
      </c>
      <c r="Z235" s="5485">
        <v>119</v>
      </c>
      <c r="AA235" s="5485">
        <v>98</v>
      </c>
      <c r="AB235" s="5485">
        <v>112</v>
      </c>
      <c r="AC235" s="5485">
        <v>121</v>
      </c>
      <c r="AD235" s="5485">
        <v>84</v>
      </c>
      <c r="AE235" s="5485">
        <f t="shared" si="313"/>
        <v>1149</v>
      </c>
      <c r="AF235" s="5486">
        <f t="shared" si="314"/>
        <v>95.75</v>
      </c>
      <c r="AG235" s="5479"/>
      <c r="AH235" s="5484">
        <v>101</v>
      </c>
      <c r="AI235" s="5485">
        <v>107</v>
      </c>
      <c r="AJ235" s="5485">
        <v>128</v>
      </c>
      <c r="AK235" s="5485">
        <v>129</v>
      </c>
      <c r="AL235" s="5485">
        <v>155</v>
      </c>
      <c r="AM235" s="5485">
        <v>156</v>
      </c>
      <c r="AN235" s="5485">
        <v>157</v>
      </c>
      <c r="AO235" s="5485">
        <v>161</v>
      </c>
      <c r="AP235" s="5485">
        <v>134</v>
      </c>
      <c r="AQ235" s="5485">
        <v>164</v>
      </c>
      <c r="AR235" s="5485">
        <v>148</v>
      </c>
      <c r="AS235" s="5485">
        <v>138</v>
      </c>
      <c r="AT235" s="5485">
        <f t="shared" si="315"/>
        <v>1678</v>
      </c>
      <c r="AU235" s="5486">
        <f t="shared" si="307"/>
        <v>139.83333333333334</v>
      </c>
      <c r="AW235" s="5484">
        <v>129</v>
      </c>
      <c r="AX235" s="5485">
        <v>176</v>
      </c>
      <c r="AY235" s="5485">
        <v>137</v>
      </c>
      <c r="AZ235" s="5485">
        <v>152</v>
      </c>
      <c r="BA235" s="5485">
        <v>219</v>
      </c>
      <c r="BB235" s="5485">
        <v>194</v>
      </c>
      <c r="BC235" s="5485">
        <v>182</v>
      </c>
      <c r="BD235" s="5485">
        <v>152</v>
      </c>
      <c r="BE235" s="5485">
        <v>164</v>
      </c>
      <c r="BF235" s="5485">
        <v>147</v>
      </c>
      <c r="BG235" s="5485">
        <v>123</v>
      </c>
      <c r="BH235" s="5485">
        <v>148</v>
      </c>
      <c r="BI235" s="5485">
        <f t="shared" si="316"/>
        <v>1923</v>
      </c>
      <c r="BJ235" s="5486">
        <f t="shared" si="317"/>
        <v>160.25</v>
      </c>
      <c r="BL235" s="5484">
        <v>176</v>
      </c>
      <c r="BM235" s="5485">
        <v>145</v>
      </c>
      <c r="BN235" s="5485"/>
      <c r="BO235" s="5485"/>
      <c r="BP235" s="5485"/>
      <c r="BQ235" s="5485"/>
      <c r="BR235" s="5485"/>
      <c r="BS235" s="5485"/>
      <c r="BT235" s="5485"/>
      <c r="BU235" s="5485"/>
      <c r="BV235" s="5485"/>
      <c r="BW235" s="5485"/>
      <c r="BX235" s="5485">
        <f t="shared" si="318"/>
        <v>321</v>
      </c>
      <c r="BY235" s="5486">
        <f t="shared" si="319"/>
        <v>160.5</v>
      </c>
      <c r="CA235" s="169">
        <f t="shared" si="308"/>
        <v>-31</v>
      </c>
      <c r="CB235" s="169">
        <f t="shared" si="320"/>
        <v>20.416666666666657</v>
      </c>
      <c r="CC235" s="169">
        <f>IFERROR(
  SUM(
    _xlfn.XLOOKUP(DATE(YEAR($A$1),1,1),$2:$2,235:235):
    _xlfn.XLOOKUP($A$1,$2:$2,235:235)
  )
 -SUM(
    _xlfn.XLOOKUP(DATE(YEAR($A$1)-1,1,1),$2:$2,235:235):
    _xlfn.XLOOKUP(EDATE($A$1,-12),$2:$2,235:235)
  ),"")</f>
        <v>16</v>
      </c>
      <c r="CD235" s="4517">
        <f t="shared" si="310"/>
        <v>-31</v>
      </c>
      <c r="CE235" s="5459"/>
      <c r="CF235" s="5459"/>
    </row>
    <row r="236" spans="1:84" s="698" customFormat="1" ht="17.600000000000001" x14ac:dyDescent="0.55000000000000004">
      <c r="A236" s="7391"/>
      <c r="B236" s="5480"/>
      <c r="C236" s="681" t="s">
        <v>229</v>
      </c>
      <c r="D236" s="5481">
        <v>96</v>
      </c>
      <c r="E236" s="5482">
        <v>128</v>
      </c>
      <c r="F236" s="5482">
        <v>124</v>
      </c>
      <c r="G236" s="5482">
        <v>111</v>
      </c>
      <c r="H236" s="5482">
        <v>105</v>
      </c>
      <c r="I236" s="5482">
        <v>101</v>
      </c>
      <c r="J236" s="5482">
        <v>143</v>
      </c>
      <c r="K236" s="5482">
        <v>166</v>
      </c>
      <c r="L236" s="5482">
        <v>135</v>
      </c>
      <c r="M236" s="5482">
        <v>129</v>
      </c>
      <c r="N236" s="5482">
        <v>112</v>
      </c>
      <c r="O236" s="5482">
        <v>95</v>
      </c>
      <c r="P236" s="5482">
        <f t="shared" si="311"/>
        <v>1445</v>
      </c>
      <c r="Q236" s="5483">
        <f t="shared" si="312"/>
        <v>120.41666666666667</v>
      </c>
      <c r="R236" s="5479"/>
      <c r="S236" s="5481">
        <v>102</v>
      </c>
      <c r="T236" s="5482">
        <v>132</v>
      </c>
      <c r="U236" s="5482">
        <v>132</v>
      </c>
      <c r="V236" s="5482">
        <v>108</v>
      </c>
      <c r="W236" s="5482">
        <v>137</v>
      </c>
      <c r="X236" s="5482">
        <v>108</v>
      </c>
      <c r="Y236" s="5482">
        <v>103</v>
      </c>
      <c r="Z236" s="5482">
        <v>114</v>
      </c>
      <c r="AA236" s="5482">
        <v>127</v>
      </c>
      <c r="AB236" s="5482">
        <v>114</v>
      </c>
      <c r="AC236" s="5482">
        <v>103</v>
      </c>
      <c r="AD236" s="5482">
        <v>90</v>
      </c>
      <c r="AE236" s="5482">
        <f t="shared" si="313"/>
        <v>1370</v>
      </c>
      <c r="AF236" s="5483">
        <f t="shared" si="314"/>
        <v>114.16666666666667</v>
      </c>
      <c r="AG236" s="5479"/>
      <c r="AH236" s="5481">
        <v>163</v>
      </c>
      <c r="AI236" s="5482">
        <v>165</v>
      </c>
      <c r="AJ236" s="5482">
        <v>207</v>
      </c>
      <c r="AK236" s="5482">
        <v>198</v>
      </c>
      <c r="AL236" s="5482">
        <v>229</v>
      </c>
      <c r="AM236" s="5482">
        <v>202</v>
      </c>
      <c r="AN236" s="5482">
        <v>183</v>
      </c>
      <c r="AO236" s="5482">
        <v>166</v>
      </c>
      <c r="AP236" s="5482">
        <v>197</v>
      </c>
      <c r="AQ236" s="5482">
        <v>199</v>
      </c>
      <c r="AR236" s="5482">
        <v>215</v>
      </c>
      <c r="AS236" s="5482">
        <v>207</v>
      </c>
      <c r="AT236" s="5482">
        <f t="shared" si="315"/>
        <v>2331</v>
      </c>
      <c r="AU236" s="5483">
        <f t="shared" si="307"/>
        <v>194.25</v>
      </c>
      <c r="AW236" s="5481">
        <v>211</v>
      </c>
      <c r="AX236" s="5482">
        <v>215</v>
      </c>
      <c r="AY236" s="5482">
        <v>197</v>
      </c>
      <c r="AZ236" s="5482">
        <v>231</v>
      </c>
      <c r="BA236" s="5482">
        <v>343</v>
      </c>
      <c r="BB236" s="5482">
        <v>319</v>
      </c>
      <c r="BC236" s="5482">
        <v>273</v>
      </c>
      <c r="BD236" s="5482">
        <v>203</v>
      </c>
      <c r="BE236" s="5482">
        <v>213</v>
      </c>
      <c r="BF236" s="5482">
        <v>206</v>
      </c>
      <c r="BG236" s="5482">
        <v>187</v>
      </c>
      <c r="BH236" s="5482">
        <v>193</v>
      </c>
      <c r="BI236" s="5482">
        <f t="shared" si="316"/>
        <v>2791</v>
      </c>
      <c r="BJ236" s="5483">
        <f t="shared" si="317"/>
        <v>232.58333333333334</v>
      </c>
      <c r="BL236" s="5481">
        <v>192</v>
      </c>
      <c r="BM236" s="5482">
        <v>155</v>
      </c>
      <c r="BN236" s="5482"/>
      <c r="BO236" s="5482"/>
      <c r="BP236" s="5482"/>
      <c r="BQ236" s="5482"/>
      <c r="BR236" s="5482"/>
      <c r="BS236" s="5482"/>
      <c r="BT236" s="5482"/>
      <c r="BU236" s="5482"/>
      <c r="BV236" s="5482"/>
      <c r="BW236" s="5482"/>
      <c r="BX236" s="5482">
        <f t="shared" si="318"/>
        <v>347</v>
      </c>
      <c r="BY236" s="5483">
        <f t="shared" si="319"/>
        <v>173.5</v>
      </c>
      <c r="CA236" s="169">
        <f t="shared" si="308"/>
        <v>-60</v>
      </c>
      <c r="CB236" s="169">
        <f t="shared" si="320"/>
        <v>38.333333333333343</v>
      </c>
      <c r="CC236" s="169">
        <f>IFERROR(
  SUM(
    _xlfn.XLOOKUP(DATE(YEAR($A$1),1,1),$2:$2,236:236):
    _xlfn.XLOOKUP($A$1,$2:$2,236:236)
  )
 -SUM(
    _xlfn.XLOOKUP(DATE(YEAR($A$1)-1,1,1),$2:$2,236:236):
    _xlfn.XLOOKUP(EDATE($A$1,-12),$2:$2,236:236)
  ),"")</f>
        <v>-79</v>
      </c>
      <c r="CD236" s="4517">
        <f t="shared" si="310"/>
        <v>-37</v>
      </c>
      <c r="CE236" s="5459"/>
      <c r="CF236" s="5459"/>
    </row>
    <row r="237" spans="1:84" s="698" customFormat="1" ht="17.600000000000001" x14ac:dyDescent="0.55000000000000004">
      <c r="A237" s="7391"/>
      <c r="B237" s="5480"/>
      <c r="C237" s="681" t="s">
        <v>230</v>
      </c>
      <c r="D237" s="5481">
        <v>82</v>
      </c>
      <c r="E237" s="5482">
        <v>87</v>
      </c>
      <c r="F237" s="5482">
        <v>93</v>
      </c>
      <c r="G237" s="5482">
        <v>110</v>
      </c>
      <c r="H237" s="5482">
        <v>102</v>
      </c>
      <c r="I237" s="5482">
        <v>83</v>
      </c>
      <c r="J237" s="5482">
        <v>85</v>
      </c>
      <c r="K237" s="5482">
        <v>97</v>
      </c>
      <c r="L237" s="5482">
        <v>74</v>
      </c>
      <c r="M237" s="5482">
        <v>70</v>
      </c>
      <c r="N237" s="5482">
        <v>75</v>
      </c>
      <c r="O237" s="5482">
        <v>40</v>
      </c>
      <c r="P237" s="5482">
        <f t="shared" si="311"/>
        <v>998</v>
      </c>
      <c r="Q237" s="5483">
        <f t="shared" si="312"/>
        <v>83.166666666666671</v>
      </c>
      <c r="R237" s="5479"/>
      <c r="S237" s="5481">
        <v>82</v>
      </c>
      <c r="T237" s="5482">
        <v>74</v>
      </c>
      <c r="U237" s="5482">
        <v>77</v>
      </c>
      <c r="V237" s="5482">
        <v>89</v>
      </c>
      <c r="W237" s="5482">
        <v>98</v>
      </c>
      <c r="X237" s="5482">
        <v>111</v>
      </c>
      <c r="Y237" s="5482">
        <v>91</v>
      </c>
      <c r="Z237" s="5482">
        <v>87</v>
      </c>
      <c r="AA237" s="5482">
        <v>90</v>
      </c>
      <c r="AB237" s="5482">
        <v>133</v>
      </c>
      <c r="AC237" s="5482">
        <v>76</v>
      </c>
      <c r="AD237" s="5482">
        <v>67</v>
      </c>
      <c r="AE237" s="5482">
        <f t="shared" si="313"/>
        <v>1075</v>
      </c>
      <c r="AF237" s="5483">
        <f t="shared" si="314"/>
        <v>89.583333333333329</v>
      </c>
      <c r="AG237" s="5479"/>
      <c r="AH237" s="5481">
        <v>92</v>
      </c>
      <c r="AI237" s="5482">
        <v>97</v>
      </c>
      <c r="AJ237" s="5482">
        <v>106</v>
      </c>
      <c r="AK237" s="5482">
        <v>86</v>
      </c>
      <c r="AL237" s="5482">
        <v>94</v>
      </c>
      <c r="AM237" s="5482">
        <v>95</v>
      </c>
      <c r="AN237" s="5482">
        <v>98</v>
      </c>
      <c r="AO237" s="5482">
        <v>107</v>
      </c>
      <c r="AP237" s="5482">
        <v>94</v>
      </c>
      <c r="AQ237" s="5482">
        <v>90</v>
      </c>
      <c r="AR237" s="5482">
        <v>114</v>
      </c>
      <c r="AS237" s="5482">
        <v>93</v>
      </c>
      <c r="AT237" s="5482">
        <f t="shared" si="315"/>
        <v>1166</v>
      </c>
      <c r="AU237" s="5483">
        <f t="shared" si="307"/>
        <v>97.166666666666671</v>
      </c>
      <c r="AW237" s="5481">
        <v>106</v>
      </c>
      <c r="AX237" s="5482">
        <v>114</v>
      </c>
      <c r="AY237" s="5482">
        <v>122</v>
      </c>
      <c r="AZ237" s="5482">
        <v>97</v>
      </c>
      <c r="BA237" s="5482">
        <v>173</v>
      </c>
      <c r="BB237" s="5482">
        <v>142</v>
      </c>
      <c r="BC237" s="5482">
        <v>134</v>
      </c>
      <c r="BD237" s="5482">
        <v>96</v>
      </c>
      <c r="BE237" s="5482">
        <v>117</v>
      </c>
      <c r="BF237" s="5482">
        <v>116</v>
      </c>
      <c r="BG237" s="5482">
        <v>112</v>
      </c>
      <c r="BH237" s="5482">
        <v>119</v>
      </c>
      <c r="BI237" s="5482">
        <f t="shared" si="316"/>
        <v>1448</v>
      </c>
      <c r="BJ237" s="5483">
        <f t="shared" si="317"/>
        <v>120.66666666666667</v>
      </c>
      <c r="BL237" s="5481">
        <v>149</v>
      </c>
      <c r="BM237" s="5482">
        <v>80</v>
      </c>
      <c r="BN237" s="5482"/>
      <c r="BO237" s="5482"/>
      <c r="BP237" s="5482"/>
      <c r="BQ237" s="5482"/>
      <c r="BR237" s="5482"/>
      <c r="BS237" s="5482"/>
      <c r="BT237" s="5482"/>
      <c r="BU237" s="5482"/>
      <c r="BV237" s="5482"/>
      <c r="BW237" s="5482"/>
      <c r="BX237" s="5482">
        <f t="shared" si="318"/>
        <v>229</v>
      </c>
      <c r="BY237" s="5483">
        <f t="shared" si="319"/>
        <v>114.5</v>
      </c>
      <c r="CA237" s="169">
        <f t="shared" si="308"/>
        <v>-34</v>
      </c>
      <c r="CB237" s="169">
        <f t="shared" si="320"/>
        <v>23.5</v>
      </c>
      <c r="CC237" s="169">
        <f>IFERROR(
  SUM(
    _xlfn.XLOOKUP(DATE(YEAR($A$1),1,1),$2:$2,237:237):
    _xlfn.XLOOKUP($A$1,$2:$2,237:237)
  )
 -SUM(
    _xlfn.XLOOKUP(DATE(YEAR($A$1)-1,1,1),$2:$2,237:237):
    _xlfn.XLOOKUP(EDATE($A$1,-12),$2:$2,237:237)
  ),"")</f>
        <v>9</v>
      </c>
      <c r="CD237" s="4517">
        <f t="shared" si="310"/>
        <v>-69</v>
      </c>
      <c r="CE237" s="5459"/>
      <c r="CF237" s="5459"/>
    </row>
    <row r="238" spans="1:84" s="698" customFormat="1" ht="17.600000000000001" x14ac:dyDescent="0.55000000000000004">
      <c r="A238" s="7391"/>
      <c r="B238" s="5480"/>
      <c r="C238" s="804" t="s">
        <v>231</v>
      </c>
      <c r="D238" s="5484">
        <v>125</v>
      </c>
      <c r="E238" s="5485">
        <v>131</v>
      </c>
      <c r="F238" s="5485">
        <v>114</v>
      </c>
      <c r="G238" s="5485">
        <v>123</v>
      </c>
      <c r="H238" s="5485">
        <v>124</v>
      </c>
      <c r="I238" s="5485">
        <v>107</v>
      </c>
      <c r="J238" s="5485">
        <v>109</v>
      </c>
      <c r="K238" s="5485">
        <v>125</v>
      </c>
      <c r="L238" s="5485">
        <v>105</v>
      </c>
      <c r="M238" s="5485">
        <v>110</v>
      </c>
      <c r="N238" s="5485">
        <v>122</v>
      </c>
      <c r="O238" s="5485">
        <v>128</v>
      </c>
      <c r="P238" s="5485">
        <f t="shared" si="311"/>
        <v>1423</v>
      </c>
      <c r="Q238" s="5486">
        <f t="shared" si="312"/>
        <v>118.58333333333333</v>
      </c>
      <c r="R238" s="5479"/>
      <c r="S238" s="5484">
        <v>113</v>
      </c>
      <c r="T238" s="5485">
        <v>136</v>
      </c>
      <c r="U238" s="5485">
        <v>125</v>
      </c>
      <c r="V238" s="5485">
        <v>142</v>
      </c>
      <c r="W238" s="5485">
        <v>147</v>
      </c>
      <c r="X238" s="5485">
        <v>134</v>
      </c>
      <c r="Y238" s="5485">
        <v>112</v>
      </c>
      <c r="Z238" s="5485">
        <v>146</v>
      </c>
      <c r="AA238" s="5485">
        <v>130</v>
      </c>
      <c r="AB238" s="5485">
        <v>131</v>
      </c>
      <c r="AC238" s="5485">
        <v>131</v>
      </c>
      <c r="AD238" s="5485">
        <v>96</v>
      </c>
      <c r="AE238" s="5485">
        <f t="shared" si="313"/>
        <v>1543</v>
      </c>
      <c r="AF238" s="5486">
        <f t="shared" si="314"/>
        <v>128.58333333333334</v>
      </c>
      <c r="AG238" s="5479"/>
      <c r="AH238" s="5484">
        <v>139</v>
      </c>
      <c r="AI238" s="5485">
        <v>123</v>
      </c>
      <c r="AJ238" s="5485">
        <v>116</v>
      </c>
      <c r="AK238" s="5485">
        <v>132</v>
      </c>
      <c r="AL238" s="5485">
        <v>157</v>
      </c>
      <c r="AM238" s="5485">
        <v>142</v>
      </c>
      <c r="AN238" s="5485">
        <v>157</v>
      </c>
      <c r="AO238" s="5485">
        <v>112</v>
      </c>
      <c r="AP238" s="5485">
        <v>120</v>
      </c>
      <c r="AQ238" s="5485">
        <v>137</v>
      </c>
      <c r="AR238" s="5485">
        <v>137</v>
      </c>
      <c r="AS238" s="5485">
        <v>133</v>
      </c>
      <c r="AT238" s="5485">
        <f t="shared" si="315"/>
        <v>1605</v>
      </c>
      <c r="AU238" s="5486">
        <f t="shared" si="307"/>
        <v>133.75</v>
      </c>
      <c r="AW238" s="5484">
        <v>125</v>
      </c>
      <c r="AX238" s="5485">
        <v>152</v>
      </c>
      <c r="AY238" s="5485">
        <v>155</v>
      </c>
      <c r="AZ238" s="5485">
        <v>142</v>
      </c>
      <c r="BA238" s="5485">
        <v>213</v>
      </c>
      <c r="BB238" s="5485">
        <v>169</v>
      </c>
      <c r="BC238" s="5485">
        <v>169</v>
      </c>
      <c r="BD238" s="5485">
        <v>116</v>
      </c>
      <c r="BE238" s="5485">
        <v>142</v>
      </c>
      <c r="BF238" s="5485">
        <v>123</v>
      </c>
      <c r="BG238" s="5485">
        <v>136</v>
      </c>
      <c r="BH238" s="5485">
        <v>132</v>
      </c>
      <c r="BI238" s="5485">
        <f t="shared" si="316"/>
        <v>1774</v>
      </c>
      <c r="BJ238" s="5486">
        <f t="shared" si="317"/>
        <v>147.83333333333334</v>
      </c>
      <c r="BL238" s="5484">
        <v>135</v>
      </c>
      <c r="BM238" s="5485">
        <v>132</v>
      </c>
      <c r="BN238" s="5485"/>
      <c r="BO238" s="5485"/>
      <c r="BP238" s="5485"/>
      <c r="BQ238" s="5485"/>
      <c r="BR238" s="5485"/>
      <c r="BS238" s="5485"/>
      <c r="BT238" s="5485"/>
      <c r="BU238" s="5485"/>
      <c r="BV238" s="5485"/>
      <c r="BW238" s="5485"/>
      <c r="BX238" s="5485">
        <f t="shared" si="318"/>
        <v>267</v>
      </c>
      <c r="BY238" s="5486">
        <f t="shared" si="319"/>
        <v>133.5</v>
      </c>
      <c r="CA238" s="169">
        <f t="shared" si="308"/>
        <v>-20</v>
      </c>
      <c r="CB238" s="169">
        <f t="shared" si="320"/>
        <v>14.083333333333343</v>
      </c>
      <c r="CC238" s="169">
        <f>IFERROR(
  SUM(
    _xlfn.XLOOKUP(DATE(YEAR($A$1),1,1),$2:$2,238:238):
    _xlfn.XLOOKUP($A$1,$2:$2,238:238)
  )
 -SUM(
    _xlfn.XLOOKUP(DATE(YEAR($A$1)-1,1,1),$2:$2,238:238):
    _xlfn.XLOOKUP(EDATE($A$1,-12),$2:$2,238:238)
  ),"")</f>
        <v>-10</v>
      </c>
      <c r="CD238" s="4517">
        <f t="shared" si="310"/>
        <v>-3</v>
      </c>
      <c r="CE238" s="5459"/>
      <c r="CF238" s="5459"/>
    </row>
    <row r="239" spans="1:84" s="698" customFormat="1" ht="18" thickBot="1" x14ac:dyDescent="0.6">
      <c r="A239" s="7392"/>
      <c r="B239" s="5491"/>
      <c r="C239" s="5492" t="s">
        <v>232</v>
      </c>
      <c r="D239" s="5493">
        <v>131</v>
      </c>
      <c r="E239" s="5494">
        <v>140</v>
      </c>
      <c r="F239" s="5494">
        <v>131</v>
      </c>
      <c r="G239" s="5494">
        <v>110</v>
      </c>
      <c r="H239" s="5494">
        <v>126</v>
      </c>
      <c r="I239" s="5494">
        <v>121</v>
      </c>
      <c r="J239" s="5494">
        <v>104</v>
      </c>
      <c r="K239" s="5494">
        <v>100</v>
      </c>
      <c r="L239" s="5494">
        <v>102</v>
      </c>
      <c r="M239" s="5494">
        <v>99</v>
      </c>
      <c r="N239" s="5494">
        <v>95</v>
      </c>
      <c r="O239" s="5494">
        <v>63</v>
      </c>
      <c r="P239" s="5494">
        <f t="shared" si="311"/>
        <v>1322</v>
      </c>
      <c r="Q239" s="5495">
        <f t="shared" si="312"/>
        <v>110.16666666666667</v>
      </c>
      <c r="R239" s="5479"/>
      <c r="S239" s="5493">
        <v>88</v>
      </c>
      <c r="T239" s="5494">
        <v>84</v>
      </c>
      <c r="U239" s="5494">
        <v>102</v>
      </c>
      <c r="V239" s="5494">
        <v>92</v>
      </c>
      <c r="W239" s="5494">
        <v>91</v>
      </c>
      <c r="X239" s="5494">
        <v>67</v>
      </c>
      <c r="Y239" s="5494">
        <v>74</v>
      </c>
      <c r="Z239" s="5494">
        <v>88</v>
      </c>
      <c r="AA239" s="5494">
        <v>50</v>
      </c>
      <c r="AB239" s="5494">
        <v>73</v>
      </c>
      <c r="AC239" s="5494">
        <v>68</v>
      </c>
      <c r="AD239" s="5494">
        <v>62</v>
      </c>
      <c r="AE239" s="5494">
        <f t="shared" si="313"/>
        <v>939</v>
      </c>
      <c r="AF239" s="5495">
        <f t="shared" si="314"/>
        <v>78.25</v>
      </c>
      <c r="AG239" s="5479"/>
      <c r="AH239" s="5493">
        <v>135</v>
      </c>
      <c r="AI239" s="5494">
        <v>94</v>
      </c>
      <c r="AJ239" s="5494">
        <v>107</v>
      </c>
      <c r="AK239" s="5494">
        <v>106</v>
      </c>
      <c r="AL239" s="5494">
        <v>85</v>
      </c>
      <c r="AM239" s="5494">
        <v>93</v>
      </c>
      <c r="AN239" s="5494">
        <v>107</v>
      </c>
      <c r="AO239" s="5494">
        <v>81</v>
      </c>
      <c r="AP239" s="5494">
        <v>81</v>
      </c>
      <c r="AQ239" s="5494">
        <v>105</v>
      </c>
      <c r="AR239" s="5494">
        <v>124</v>
      </c>
      <c r="AS239" s="5494">
        <v>108</v>
      </c>
      <c r="AT239" s="5494">
        <f t="shared" si="315"/>
        <v>1226</v>
      </c>
      <c r="AU239" s="5495">
        <f t="shared" si="307"/>
        <v>102.16666666666667</v>
      </c>
      <c r="AW239" s="5493">
        <v>95</v>
      </c>
      <c r="AX239" s="5494">
        <v>130</v>
      </c>
      <c r="AY239" s="5494">
        <v>96</v>
      </c>
      <c r="AZ239" s="5494">
        <v>111</v>
      </c>
      <c r="BA239" s="5494">
        <v>136</v>
      </c>
      <c r="BB239" s="5489">
        <v>108</v>
      </c>
      <c r="BC239" s="5494">
        <v>108</v>
      </c>
      <c r="BD239" s="5494">
        <v>96</v>
      </c>
      <c r="BE239" s="5494">
        <v>80</v>
      </c>
      <c r="BF239" s="5494">
        <v>76</v>
      </c>
      <c r="BG239" s="5494">
        <v>85</v>
      </c>
      <c r="BH239" s="5494">
        <v>84</v>
      </c>
      <c r="BI239" s="5494">
        <f t="shared" si="316"/>
        <v>1205</v>
      </c>
      <c r="BJ239" s="5495">
        <f t="shared" si="317"/>
        <v>100.41666666666667</v>
      </c>
      <c r="BL239" s="5493">
        <v>96</v>
      </c>
      <c r="BM239" s="5494">
        <v>68</v>
      </c>
      <c r="BN239" s="5494"/>
      <c r="BO239" s="5494"/>
      <c r="BP239" s="5494"/>
      <c r="BQ239" s="5489"/>
      <c r="BR239" s="5494"/>
      <c r="BS239" s="5494"/>
      <c r="BT239" s="5494"/>
      <c r="BU239" s="5494"/>
      <c r="BV239" s="5494"/>
      <c r="BW239" s="5494"/>
      <c r="BX239" s="5494">
        <f t="shared" si="318"/>
        <v>164</v>
      </c>
      <c r="BY239" s="5495">
        <f t="shared" si="319"/>
        <v>82</v>
      </c>
      <c r="CA239" s="169">
        <f t="shared" si="308"/>
        <v>-62</v>
      </c>
      <c r="CB239" s="169">
        <f t="shared" si="320"/>
        <v>-1.75</v>
      </c>
      <c r="CC239" s="169">
        <f>IFERROR(
  SUM(
    _xlfn.XLOOKUP(DATE(YEAR($A$1),1,1),$2:$2,239:239):
    _xlfn.XLOOKUP($A$1,$2:$2,239:239)
  )
 -SUM(
    _xlfn.XLOOKUP(DATE(YEAR($A$1)-1,1,1),$2:$2,239:239):
    _xlfn.XLOOKUP(EDATE($A$1,-12),$2:$2,239:239)
  ),"")</f>
        <v>-61</v>
      </c>
      <c r="CD239" s="4517">
        <f t="shared" si="310"/>
        <v>-28</v>
      </c>
      <c r="CE239" s="5459"/>
      <c r="CF239" s="5459"/>
    </row>
    <row r="240" spans="1:84" ht="17.600000000000001" x14ac:dyDescent="0.55000000000000004">
      <c r="A240" s="7346" t="s">
        <v>380</v>
      </c>
      <c r="B240" s="5131" t="s">
        <v>249</v>
      </c>
      <c r="C240" s="5132"/>
      <c r="D240" s="5456">
        <f t="shared" ref="D240:O240" si="324">SUM(D241:D243)</f>
        <v>759</v>
      </c>
      <c r="E240" s="5457">
        <f t="shared" si="324"/>
        <v>834</v>
      </c>
      <c r="F240" s="5457">
        <f t="shared" si="324"/>
        <v>808</v>
      </c>
      <c r="G240" s="5457">
        <f t="shared" si="324"/>
        <v>823</v>
      </c>
      <c r="H240" s="5457">
        <f t="shared" si="324"/>
        <v>828</v>
      </c>
      <c r="I240" s="5457">
        <f t="shared" si="324"/>
        <v>729</v>
      </c>
      <c r="J240" s="5457">
        <f t="shared" si="324"/>
        <v>703</v>
      </c>
      <c r="K240" s="5457">
        <f t="shared" si="324"/>
        <v>737</v>
      </c>
      <c r="L240" s="5457">
        <f t="shared" si="324"/>
        <v>633</v>
      </c>
      <c r="M240" s="5457">
        <f t="shared" si="324"/>
        <v>945</v>
      </c>
      <c r="N240" s="5457">
        <f t="shared" si="324"/>
        <v>830</v>
      </c>
      <c r="O240" s="5457">
        <f t="shared" si="324"/>
        <v>699</v>
      </c>
      <c r="P240" s="5457">
        <f t="shared" si="311"/>
        <v>9328</v>
      </c>
      <c r="Q240" s="5458">
        <f t="shared" si="312"/>
        <v>777.33333333333337</v>
      </c>
      <c r="R240" s="2776"/>
      <c r="S240" s="5456">
        <f>SUM(S241:S243)</f>
        <v>976</v>
      </c>
      <c r="T240" s="5457">
        <f t="shared" ref="T240:AD240" si="325">SUM(T241:T243)</f>
        <v>934</v>
      </c>
      <c r="U240" s="5457">
        <f t="shared" si="325"/>
        <v>696</v>
      </c>
      <c r="V240" s="5457">
        <f t="shared" si="325"/>
        <v>725</v>
      </c>
      <c r="W240" s="5457">
        <f t="shared" si="325"/>
        <v>695</v>
      </c>
      <c r="X240" s="5457">
        <f t="shared" si="325"/>
        <v>631</v>
      </c>
      <c r="Y240" s="5457">
        <f t="shared" si="325"/>
        <v>697</v>
      </c>
      <c r="Z240" s="5457">
        <f t="shared" si="325"/>
        <v>862</v>
      </c>
      <c r="AA240" s="5457">
        <f t="shared" si="325"/>
        <v>512</v>
      </c>
      <c r="AB240" s="5457">
        <f t="shared" si="325"/>
        <v>744</v>
      </c>
      <c r="AC240" s="5457">
        <f t="shared" si="325"/>
        <v>589</v>
      </c>
      <c r="AD240" s="5457">
        <f t="shared" si="325"/>
        <v>582</v>
      </c>
      <c r="AE240" s="5457">
        <f t="shared" si="313"/>
        <v>8643</v>
      </c>
      <c r="AF240" s="5458">
        <f t="shared" si="314"/>
        <v>720.25</v>
      </c>
      <c r="AG240" s="2776"/>
      <c r="AH240" s="5456">
        <f t="shared" ref="AH240:AM240" si="326">SUM(AH241:AH243)</f>
        <v>1080</v>
      </c>
      <c r="AI240" s="5457">
        <f t="shared" si="326"/>
        <v>562</v>
      </c>
      <c r="AJ240" s="5457">
        <f t="shared" si="326"/>
        <v>777</v>
      </c>
      <c r="AK240" s="5457">
        <f t="shared" si="326"/>
        <v>669</v>
      </c>
      <c r="AL240" s="5457">
        <f t="shared" si="326"/>
        <v>665</v>
      </c>
      <c r="AM240" s="5457">
        <f t="shared" si="326"/>
        <v>607</v>
      </c>
      <c r="AN240" s="5457">
        <v>585</v>
      </c>
      <c r="AO240" s="5457">
        <f>SUM(AO241:AO243)</f>
        <v>545</v>
      </c>
      <c r="AP240" s="5457">
        <f>SUM(AP241:AP243)</f>
        <v>842</v>
      </c>
      <c r="AQ240" s="5457">
        <f>SUM(AQ241:AQ243)</f>
        <v>564</v>
      </c>
      <c r="AR240" s="5457">
        <v>548</v>
      </c>
      <c r="AS240" s="5457">
        <v>500</v>
      </c>
      <c r="AT240" s="5457">
        <f t="shared" si="315"/>
        <v>7944</v>
      </c>
      <c r="AU240" s="5458">
        <f t="shared" si="307"/>
        <v>662</v>
      </c>
      <c r="AW240" s="5456">
        <v>590</v>
      </c>
      <c r="AX240" s="5457">
        <v>1012</v>
      </c>
      <c r="AY240" s="5457">
        <v>494</v>
      </c>
      <c r="AZ240" s="5457">
        <v>658</v>
      </c>
      <c r="BA240" s="5457">
        <v>694</v>
      </c>
      <c r="BB240" s="5457">
        <v>508</v>
      </c>
      <c r="BC240" s="5457">
        <v>573</v>
      </c>
      <c r="BD240" s="5457">
        <v>577</v>
      </c>
      <c r="BE240" s="5496">
        <v>682</v>
      </c>
      <c r="BF240" s="5457">
        <v>559</v>
      </c>
      <c r="BG240" s="5457">
        <v>617</v>
      </c>
      <c r="BH240" s="5457">
        <v>725</v>
      </c>
      <c r="BI240" s="5457">
        <f t="shared" si="316"/>
        <v>7689</v>
      </c>
      <c r="BJ240" s="5458">
        <f t="shared" si="317"/>
        <v>640.75</v>
      </c>
      <c r="BL240" s="5456">
        <v>824</v>
      </c>
      <c r="BM240" s="5457">
        <v>433</v>
      </c>
      <c r="BN240" s="5457"/>
      <c r="BO240" s="5457"/>
      <c r="BP240" s="5457"/>
      <c r="BQ240" s="5457"/>
      <c r="BR240" s="5457"/>
      <c r="BS240" s="5457"/>
      <c r="BT240" s="5496"/>
      <c r="BU240" s="5457"/>
      <c r="BV240" s="5457"/>
      <c r="BW240" s="5457"/>
      <c r="BX240" s="5457">
        <f t="shared" si="318"/>
        <v>1257</v>
      </c>
      <c r="BY240" s="5458">
        <f t="shared" si="319"/>
        <v>628.5</v>
      </c>
      <c r="CA240" s="169">
        <f t="shared" si="308"/>
        <v>-579</v>
      </c>
      <c r="CB240" s="169">
        <f t="shared" si="320"/>
        <v>-21.25</v>
      </c>
      <c r="CC240" s="169">
        <f>IFERROR(
  SUM(
    _xlfn.XLOOKUP(DATE(YEAR($A$1),1,1),$2:$2,240:240):
    _xlfn.XLOOKUP($A$1,$2:$2,240:240)
  )
 -SUM(
    _xlfn.XLOOKUP(DATE(YEAR($A$1)-1,1,1),$2:$2,240:240):
    _xlfn.XLOOKUP(EDATE($A$1,-12),$2:$2,240:240)
  ),"")</f>
        <v>-345</v>
      </c>
      <c r="CD240" s="4517">
        <f t="shared" si="310"/>
        <v>-391</v>
      </c>
      <c r="CE240" s="5459"/>
      <c r="CF240" s="5459"/>
    </row>
    <row r="241" spans="1:84" ht="17.600000000000001" x14ac:dyDescent="0.55000000000000004">
      <c r="A241" s="7347"/>
      <c r="B241" s="5460"/>
      <c r="C241" s="786" t="s">
        <v>261</v>
      </c>
      <c r="D241" s="5461">
        <v>62</v>
      </c>
      <c r="E241" s="5462">
        <v>94</v>
      </c>
      <c r="F241" s="5462">
        <v>51</v>
      </c>
      <c r="G241" s="5462">
        <v>62</v>
      </c>
      <c r="H241" s="5462">
        <v>49</v>
      </c>
      <c r="I241" s="5462">
        <v>44</v>
      </c>
      <c r="J241" s="5462">
        <v>30</v>
      </c>
      <c r="K241" s="5462">
        <v>68</v>
      </c>
      <c r="L241" s="5462">
        <v>16</v>
      </c>
      <c r="M241" s="5462">
        <v>58</v>
      </c>
      <c r="N241" s="5462">
        <v>30</v>
      </c>
      <c r="O241" s="5462">
        <v>14</v>
      </c>
      <c r="P241" s="5462">
        <f t="shared" si="311"/>
        <v>578</v>
      </c>
      <c r="Q241" s="5463">
        <f t="shared" si="312"/>
        <v>48.166666666666664</v>
      </c>
      <c r="R241" s="2776"/>
      <c r="S241" s="5461">
        <v>34</v>
      </c>
      <c r="T241" s="5462">
        <v>51</v>
      </c>
      <c r="U241" s="5462">
        <v>17</v>
      </c>
      <c r="V241" s="5462">
        <v>27</v>
      </c>
      <c r="W241" s="5462">
        <v>13</v>
      </c>
      <c r="X241" s="5462">
        <v>18</v>
      </c>
      <c r="Y241" s="5462">
        <v>33</v>
      </c>
      <c r="Z241" s="5462">
        <v>145</v>
      </c>
      <c r="AA241" s="5462">
        <v>19</v>
      </c>
      <c r="AB241" s="5462">
        <v>47</v>
      </c>
      <c r="AC241" s="5462">
        <v>24</v>
      </c>
      <c r="AD241" s="5462">
        <v>18</v>
      </c>
      <c r="AE241" s="5462">
        <f t="shared" si="313"/>
        <v>446</v>
      </c>
      <c r="AF241" s="5463">
        <f t="shared" si="314"/>
        <v>37.166666666666664</v>
      </c>
      <c r="AG241" s="2776"/>
      <c r="AH241" s="5461">
        <v>88</v>
      </c>
      <c r="AI241" s="5462">
        <v>22</v>
      </c>
      <c r="AJ241" s="5462">
        <v>40</v>
      </c>
      <c r="AK241" s="5462">
        <v>33</v>
      </c>
      <c r="AL241" s="5462">
        <v>38</v>
      </c>
      <c r="AM241" s="5462">
        <v>35</v>
      </c>
      <c r="AN241" s="5462">
        <v>42</v>
      </c>
      <c r="AO241" s="5462">
        <v>36</v>
      </c>
      <c r="AP241" s="5462">
        <v>48</v>
      </c>
      <c r="AQ241" s="5462">
        <v>20</v>
      </c>
      <c r="AR241" s="5462">
        <v>45</v>
      </c>
      <c r="AS241" s="5462">
        <v>25</v>
      </c>
      <c r="AT241" s="5462">
        <f t="shared" si="315"/>
        <v>472</v>
      </c>
      <c r="AU241" s="5463">
        <f t="shared" si="307"/>
        <v>39.333333333333336</v>
      </c>
      <c r="AW241" s="5461">
        <v>28</v>
      </c>
      <c r="AX241" s="5462">
        <v>50</v>
      </c>
      <c r="AY241" s="5462">
        <v>47</v>
      </c>
      <c r="AZ241" s="5462">
        <v>57</v>
      </c>
      <c r="BA241" s="5462">
        <v>73</v>
      </c>
      <c r="BB241" s="5462">
        <v>90</v>
      </c>
      <c r="BC241" s="5462">
        <v>110</v>
      </c>
      <c r="BD241" s="5462">
        <v>68</v>
      </c>
      <c r="BE241" s="5462">
        <v>88</v>
      </c>
      <c r="BF241" s="5462">
        <v>87</v>
      </c>
      <c r="BG241" s="5462">
        <v>81</v>
      </c>
      <c r="BH241" s="5462">
        <v>87</v>
      </c>
      <c r="BI241" s="5462">
        <f t="shared" si="316"/>
        <v>866</v>
      </c>
      <c r="BJ241" s="5463">
        <f t="shared" si="317"/>
        <v>72.166666666666671</v>
      </c>
      <c r="BL241" s="5461">
        <v>134</v>
      </c>
      <c r="BM241" s="5462">
        <v>31</v>
      </c>
      <c r="BN241" s="5462"/>
      <c r="BO241" s="5462"/>
      <c r="BP241" s="5462"/>
      <c r="BQ241" s="5462"/>
      <c r="BR241" s="5462"/>
      <c r="BS241" s="5462"/>
      <c r="BT241" s="5462"/>
      <c r="BU241" s="5462"/>
      <c r="BV241" s="5462"/>
      <c r="BW241" s="5462"/>
      <c r="BX241" s="5462">
        <f t="shared" si="318"/>
        <v>165</v>
      </c>
      <c r="BY241" s="5463">
        <f t="shared" si="319"/>
        <v>82.5</v>
      </c>
      <c r="CA241" s="169">
        <f t="shared" si="308"/>
        <v>-19</v>
      </c>
      <c r="CB241" s="169">
        <f t="shared" si="320"/>
        <v>32.833333333333336</v>
      </c>
      <c r="CC241" s="169">
        <f>IFERROR(
  SUM(
    _xlfn.XLOOKUP(DATE(YEAR($A$1),1,1),$2:$2,241:241):
    _xlfn.XLOOKUP($A$1,$2:$2,241:241)
  )
 -SUM(
    _xlfn.XLOOKUP(DATE(YEAR($A$1)-1,1,1),$2:$2,241:241):
    _xlfn.XLOOKUP(EDATE($A$1,-12),$2:$2,241:241)
  ),"")</f>
        <v>87</v>
      </c>
      <c r="CD241" s="4517">
        <f t="shared" si="310"/>
        <v>-103</v>
      </c>
      <c r="CE241" s="5459"/>
      <c r="CF241" s="5459"/>
    </row>
    <row r="242" spans="1:84" ht="17.600000000000001" x14ac:dyDescent="0.55000000000000004">
      <c r="A242" s="7347"/>
      <c r="B242" s="5460"/>
      <c r="C242" s="786" t="s">
        <v>260</v>
      </c>
      <c r="D242" s="5461">
        <v>74</v>
      </c>
      <c r="E242" s="5462">
        <v>105</v>
      </c>
      <c r="F242" s="5462">
        <v>86</v>
      </c>
      <c r="G242" s="5462">
        <v>118</v>
      </c>
      <c r="H242" s="5462">
        <v>92</v>
      </c>
      <c r="I242" s="5462">
        <v>78</v>
      </c>
      <c r="J242" s="5462">
        <v>67</v>
      </c>
      <c r="K242" s="5462">
        <v>82</v>
      </c>
      <c r="L242" s="5462">
        <v>45</v>
      </c>
      <c r="M242" s="5462">
        <v>121</v>
      </c>
      <c r="N242" s="5462">
        <v>122</v>
      </c>
      <c r="O242" s="5462">
        <v>55</v>
      </c>
      <c r="P242" s="5462">
        <f t="shared" si="311"/>
        <v>1045</v>
      </c>
      <c r="Q242" s="5463">
        <f t="shared" si="312"/>
        <v>87.083333333333329</v>
      </c>
      <c r="R242" s="2776"/>
      <c r="S242" s="5461">
        <v>85</v>
      </c>
      <c r="T242" s="5462">
        <v>108</v>
      </c>
      <c r="U242" s="5462">
        <v>48</v>
      </c>
      <c r="V242" s="5462">
        <v>78</v>
      </c>
      <c r="W242" s="5462">
        <v>51</v>
      </c>
      <c r="X242" s="5462">
        <v>51</v>
      </c>
      <c r="Y242" s="5462">
        <v>59</v>
      </c>
      <c r="Z242" s="5462">
        <v>275</v>
      </c>
      <c r="AA242" s="5462">
        <v>42</v>
      </c>
      <c r="AB242" s="5462">
        <v>100</v>
      </c>
      <c r="AC242" s="5462">
        <v>52</v>
      </c>
      <c r="AD242" s="5462">
        <v>52</v>
      </c>
      <c r="AE242" s="5462">
        <f t="shared" si="313"/>
        <v>1001</v>
      </c>
      <c r="AF242" s="5463">
        <f t="shared" si="314"/>
        <v>83.416666666666671</v>
      </c>
      <c r="AG242" s="2776"/>
      <c r="AH242" s="5461">
        <v>178</v>
      </c>
      <c r="AI242" s="5462">
        <v>65</v>
      </c>
      <c r="AJ242" s="5462">
        <v>101</v>
      </c>
      <c r="AK242" s="5462">
        <v>80</v>
      </c>
      <c r="AL242" s="5462">
        <v>447</v>
      </c>
      <c r="AM242" s="5462">
        <v>63</v>
      </c>
      <c r="AN242" s="5462">
        <v>64</v>
      </c>
      <c r="AO242" s="5462">
        <v>57</v>
      </c>
      <c r="AP242" s="5462">
        <v>98</v>
      </c>
      <c r="AQ242" s="5462">
        <v>54</v>
      </c>
      <c r="AR242" s="5462">
        <v>61</v>
      </c>
      <c r="AS242" s="5462">
        <v>66</v>
      </c>
      <c r="AT242" s="5462">
        <f t="shared" si="315"/>
        <v>1334</v>
      </c>
      <c r="AU242" s="5463">
        <f t="shared" si="307"/>
        <v>111.16666666666667</v>
      </c>
      <c r="AW242" s="5461">
        <v>56</v>
      </c>
      <c r="AX242" s="5462">
        <v>93</v>
      </c>
      <c r="AY242" s="5462">
        <v>44</v>
      </c>
      <c r="AZ242" s="5462">
        <v>90</v>
      </c>
      <c r="BA242" s="5462">
        <v>119</v>
      </c>
      <c r="BB242" s="5462">
        <v>84</v>
      </c>
      <c r="BC242" s="5462">
        <v>77</v>
      </c>
      <c r="BD242" s="5462">
        <v>71</v>
      </c>
      <c r="BE242" s="5462">
        <v>81</v>
      </c>
      <c r="BF242" s="5462">
        <v>76</v>
      </c>
      <c r="BG242" s="5462">
        <v>61</v>
      </c>
      <c r="BH242" s="5462">
        <v>84</v>
      </c>
      <c r="BI242" s="5462">
        <f t="shared" si="316"/>
        <v>936</v>
      </c>
      <c r="BJ242" s="5463">
        <f t="shared" si="317"/>
        <v>78</v>
      </c>
      <c r="BL242" s="5461">
        <v>117</v>
      </c>
      <c r="BM242" s="5462">
        <v>45</v>
      </c>
      <c r="BN242" s="5462"/>
      <c r="BO242" s="5462"/>
      <c r="BP242" s="5462"/>
      <c r="BQ242" s="5462"/>
      <c r="BR242" s="5462"/>
      <c r="BS242" s="5462"/>
      <c r="BT242" s="5462"/>
      <c r="BU242" s="5462"/>
      <c r="BV242" s="5462"/>
      <c r="BW242" s="5462"/>
      <c r="BX242" s="5462">
        <f t="shared" si="318"/>
        <v>162</v>
      </c>
      <c r="BY242" s="5463">
        <f t="shared" si="319"/>
        <v>81</v>
      </c>
      <c r="CA242" s="169">
        <f t="shared" si="308"/>
        <v>-48</v>
      </c>
      <c r="CB242" s="169">
        <f t="shared" si="320"/>
        <v>-33.166666666666671</v>
      </c>
      <c r="CC242" s="169">
        <f>IFERROR(
  SUM(
    _xlfn.XLOOKUP(DATE(YEAR($A$1),1,1),$2:$2,242:242):
    _xlfn.XLOOKUP($A$1,$2:$2,242:242)
  )
 -SUM(
    _xlfn.XLOOKUP(DATE(YEAR($A$1)-1,1,1),$2:$2,242:242):
    _xlfn.XLOOKUP(EDATE($A$1,-12),$2:$2,242:242)
  ),"")</f>
        <v>13</v>
      </c>
      <c r="CD242" s="4517">
        <f t="shared" si="310"/>
        <v>-72</v>
      </c>
      <c r="CE242" s="5459"/>
      <c r="CF242" s="5459"/>
    </row>
    <row r="243" spans="1:84" ht="17.600000000000001" x14ac:dyDescent="0.55000000000000004">
      <c r="A243" s="7347"/>
      <c r="B243" s="5460"/>
      <c r="C243" s="786" t="s">
        <v>259</v>
      </c>
      <c r="D243" s="5461">
        <v>623</v>
      </c>
      <c r="E243" s="5462">
        <v>635</v>
      </c>
      <c r="F243" s="5462">
        <v>671</v>
      </c>
      <c r="G243" s="5462">
        <v>643</v>
      </c>
      <c r="H243" s="5462">
        <v>687</v>
      </c>
      <c r="I243" s="5462">
        <v>607</v>
      </c>
      <c r="J243" s="5462">
        <v>606</v>
      </c>
      <c r="K243" s="5462">
        <v>587</v>
      </c>
      <c r="L243" s="5462">
        <v>572</v>
      </c>
      <c r="M243" s="5462">
        <v>766</v>
      </c>
      <c r="N243" s="5462">
        <v>678</v>
      </c>
      <c r="O243" s="5462">
        <v>630</v>
      </c>
      <c r="P243" s="5462">
        <f t="shared" si="311"/>
        <v>7705</v>
      </c>
      <c r="Q243" s="5463">
        <f t="shared" si="312"/>
        <v>642.08333333333337</v>
      </c>
      <c r="R243" s="2776"/>
      <c r="S243" s="5461">
        <v>857</v>
      </c>
      <c r="T243" s="5462">
        <v>775</v>
      </c>
      <c r="U243" s="5462">
        <v>631</v>
      </c>
      <c r="V243" s="5462">
        <v>620</v>
      </c>
      <c r="W243" s="5462">
        <v>631</v>
      </c>
      <c r="X243" s="5462">
        <v>562</v>
      </c>
      <c r="Y243" s="5462">
        <v>605</v>
      </c>
      <c r="Z243" s="5462">
        <v>442</v>
      </c>
      <c r="AA243" s="5462">
        <v>451</v>
      </c>
      <c r="AB243" s="5462">
        <v>597</v>
      </c>
      <c r="AC243" s="5462">
        <v>513</v>
      </c>
      <c r="AD243" s="5462">
        <v>512</v>
      </c>
      <c r="AE243" s="5462">
        <f t="shared" si="313"/>
        <v>7196</v>
      </c>
      <c r="AF243" s="5463">
        <f t="shared" si="314"/>
        <v>599.66666666666663</v>
      </c>
      <c r="AG243" s="2776"/>
      <c r="AH243" s="5461">
        <v>814</v>
      </c>
      <c r="AI243" s="5462">
        <v>475</v>
      </c>
      <c r="AJ243" s="5462">
        <v>636</v>
      </c>
      <c r="AK243" s="5462">
        <v>556</v>
      </c>
      <c r="AL243" s="5462">
        <v>180</v>
      </c>
      <c r="AM243" s="5462">
        <v>509</v>
      </c>
      <c r="AN243" s="5462">
        <v>479</v>
      </c>
      <c r="AO243" s="5462">
        <v>452</v>
      </c>
      <c r="AP243" s="5462">
        <v>696</v>
      </c>
      <c r="AQ243" s="5462">
        <v>490</v>
      </c>
      <c r="AR243" s="5462">
        <v>442</v>
      </c>
      <c r="AS243" s="5462">
        <v>409</v>
      </c>
      <c r="AT243" s="5462">
        <f t="shared" si="315"/>
        <v>6138</v>
      </c>
      <c r="AU243" s="5463">
        <f t="shared" si="307"/>
        <v>511.5</v>
      </c>
      <c r="AW243" s="5461">
        <v>506</v>
      </c>
      <c r="AX243" s="5462">
        <v>869</v>
      </c>
      <c r="AY243" s="5462">
        <v>403</v>
      </c>
      <c r="AZ243" s="5462">
        <v>511</v>
      </c>
      <c r="BA243" s="5462">
        <v>502</v>
      </c>
      <c r="BB243" s="5462">
        <v>334</v>
      </c>
      <c r="BC243" s="5462">
        <v>386</v>
      </c>
      <c r="BD243" s="5462">
        <v>438</v>
      </c>
      <c r="BE243" s="5462">
        <v>513</v>
      </c>
      <c r="BF243" s="5462">
        <v>396</v>
      </c>
      <c r="BG243" s="5462">
        <v>475</v>
      </c>
      <c r="BH243" s="5462">
        <v>554</v>
      </c>
      <c r="BI243" s="5462">
        <f t="shared" si="316"/>
        <v>5887</v>
      </c>
      <c r="BJ243" s="5463">
        <f t="shared" si="317"/>
        <v>490.58333333333331</v>
      </c>
      <c r="BL243" s="5461">
        <v>573</v>
      </c>
      <c r="BM243" s="5462">
        <v>357</v>
      </c>
      <c r="BN243" s="5462"/>
      <c r="BO243" s="5462"/>
      <c r="BP243" s="5462"/>
      <c r="BQ243" s="5462"/>
      <c r="BR243" s="5462"/>
      <c r="BS243" s="5462"/>
      <c r="BT243" s="5462"/>
      <c r="BU243" s="5462"/>
      <c r="BV243" s="5462"/>
      <c r="BW243" s="5462"/>
      <c r="BX243" s="5462">
        <f t="shared" si="318"/>
        <v>930</v>
      </c>
      <c r="BY243" s="5463">
        <f t="shared" si="319"/>
        <v>465</v>
      </c>
      <c r="CA243" s="169">
        <f t="shared" si="308"/>
        <v>-512</v>
      </c>
      <c r="CB243" s="169">
        <f t="shared" si="320"/>
        <v>-20.916666666666686</v>
      </c>
      <c r="CC243" s="169">
        <f>IFERROR(
  SUM(
    _xlfn.XLOOKUP(DATE(YEAR($A$1),1,1),$2:$2,243:243):
    _xlfn.XLOOKUP($A$1,$2:$2,243:243)
  )
 -SUM(
    _xlfn.XLOOKUP(DATE(YEAR($A$1)-1,1,1),$2:$2,243:243):
    _xlfn.XLOOKUP(EDATE($A$1,-12),$2:$2,243:243)
  ),"")</f>
        <v>-445</v>
      </c>
      <c r="CD243" s="4517">
        <f t="shared" si="310"/>
        <v>-216</v>
      </c>
      <c r="CE243" s="5459"/>
      <c r="CF243" s="5459"/>
    </row>
    <row r="244" spans="1:84" ht="17.600000000000001" x14ac:dyDescent="0.55000000000000004">
      <c r="A244" s="7347"/>
      <c r="B244" s="5464" t="s">
        <v>206</v>
      </c>
      <c r="C244" s="1799"/>
      <c r="D244" s="5465">
        <v>154</v>
      </c>
      <c r="E244" s="5466">
        <v>170</v>
      </c>
      <c r="F244" s="5466">
        <v>146</v>
      </c>
      <c r="G244" s="5466">
        <v>163</v>
      </c>
      <c r="H244" s="5466">
        <v>156</v>
      </c>
      <c r="I244" s="5466">
        <v>151</v>
      </c>
      <c r="J244" s="5466">
        <v>108</v>
      </c>
      <c r="K244" s="5466">
        <v>157</v>
      </c>
      <c r="L244" s="5466">
        <v>92</v>
      </c>
      <c r="M244" s="5466">
        <v>181</v>
      </c>
      <c r="N244" s="5466">
        <v>131</v>
      </c>
      <c r="O244" s="5466">
        <v>133</v>
      </c>
      <c r="P244" s="5466">
        <v>1742</v>
      </c>
      <c r="Q244" s="5467">
        <v>145.16666666666666</v>
      </c>
      <c r="R244" s="2776"/>
      <c r="S244" s="5465">
        <v>174</v>
      </c>
      <c r="T244" s="5466">
        <v>183</v>
      </c>
      <c r="U244" s="5466">
        <v>123</v>
      </c>
      <c r="V244" s="5466">
        <v>144</v>
      </c>
      <c r="W244" s="5466">
        <v>152</v>
      </c>
      <c r="X244" s="5466">
        <v>101</v>
      </c>
      <c r="Y244" s="5466">
        <v>117</v>
      </c>
      <c r="Z244" s="5466">
        <v>132</v>
      </c>
      <c r="AA244" s="5466">
        <v>93</v>
      </c>
      <c r="AB244" s="5466">
        <v>141</v>
      </c>
      <c r="AC244" s="5466">
        <v>84</v>
      </c>
      <c r="AD244" s="5466">
        <v>119</v>
      </c>
      <c r="AE244" s="5466">
        <v>1563</v>
      </c>
      <c r="AF244" s="5467">
        <v>130.25</v>
      </c>
      <c r="AG244" s="2776"/>
      <c r="AH244" s="5465">
        <v>189</v>
      </c>
      <c r="AI244" s="5466">
        <v>62</v>
      </c>
      <c r="AJ244" s="5466">
        <v>164</v>
      </c>
      <c r="AK244" s="5466">
        <v>127</v>
      </c>
      <c r="AL244" s="5466">
        <v>121</v>
      </c>
      <c r="AM244" s="5466">
        <v>103</v>
      </c>
      <c r="AN244" s="5466">
        <v>139</v>
      </c>
      <c r="AO244" s="5466">
        <v>86</v>
      </c>
      <c r="AP244" s="5466">
        <v>103</v>
      </c>
      <c r="AQ244" s="5466">
        <v>91</v>
      </c>
      <c r="AR244" s="5466">
        <v>93</v>
      </c>
      <c r="AS244" s="5466">
        <v>111</v>
      </c>
      <c r="AT244" s="5466">
        <f t="shared" si="315"/>
        <v>1389</v>
      </c>
      <c r="AU244" s="5467">
        <f t="shared" si="307"/>
        <v>115.75</v>
      </c>
      <c r="AW244" s="5465">
        <v>119</v>
      </c>
      <c r="AX244" s="5466">
        <v>201</v>
      </c>
      <c r="AY244" s="5466">
        <v>83</v>
      </c>
      <c r="AZ244" s="5466">
        <v>135</v>
      </c>
      <c r="BA244" s="5466">
        <v>288</v>
      </c>
      <c r="BB244" s="5466">
        <v>123</v>
      </c>
      <c r="BC244" s="5466">
        <v>171</v>
      </c>
      <c r="BD244" s="5466">
        <v>135</v>
      </c>
      <c r="BE244" s="5466">
        <v>182</v>
      </c>
      <c r="BF244" s="5466">
        <v>135</v>
      </c>
      <c r="BG244" s="5466">
        <v>189</v>
      </c>
      <c r="BH244" s="5466">
        <v>192</v>
      </c>
      <c r="BI244" s="5466">
        <f t="shared" si="316"/>
        <v>1953</v>
      </c>
      <c r="BJ244" s="5467">
        <f t="shared" si="317"/>
        <v>162.75</v>
      </c>
      <c r="BL244" s="5465">
        <v>199</v>
      </c>
      <c r="BM244" s="5466">
        <v>62</v>
      </c>
      <c r="BN244" s="5466"/>
      <c r="BO244" s="5466"/>
      <c r="BP244" s="5466"/>
      <c r="BQ244" s="5466"/>
      <c r="BR244" s="5466"/>
      <c r="BS244" s="5466"/>
      <c r="BT244" s="5466"/>
      <c r="BU244" s="5466"/>
      <c r="BV244" s="5466"/>
      <c r="BW244" s="5466"/>
      <c r="BX244" s="5466">
        <f t="shared" si="318"/>
        <v>261</v>
      </c>
      <c r="BY244" s="5467">
        <f t="shared" si="319"/>
        <v>130.5</v>
      </c>
      <c r="CA244" s="169">
        <f t="shared" si="308"/>
        <v>-139</v>
      </c>
      <c r="CB244" s="169">
        <f t="shared" si="320"/>
        <v>47</v>
      </c>
      <c r="CC244" s="169">
        <f>IFERROR(
  SUM(
    _xlfn.XLOOKUP(DATE(YEAR($A$1),1,1),$2:$2,244:244):
    _xlfn.XLOOKUP($A$1,$2:$2,244:244)
  )
 -SUM(
    _xlfn.XLOOKUP(DATE(YEAR($A$1)-1,1,1),$2:$2,244:244):
    _xlfn.XLOOKUP(EDATE($A$1,-12),$2:$2,244:244)
  ),"")</f>
        <v>-59</v>
      </c>
      <c r="CD244" s="4517">
        <f t="shared" si="310"/>
        <v>-137</v>
      </c>
      <c r="CE244" s="5459"/>
      <c r="CF244" s="5459"/>
    </row>
    <row r="245" spans="1:84" ht="17.600000000000001" x14ac:dyDescent="0.55000000000000004">
      <c r="A245" s="7347"/>
      <c r="B245" s="5468" t="s">
        <v>207</v>
      </c>
      <c r="C245" s="1576"/>
      <c r="D245" s="5469">
        <v>142</v>
      </c>
      <c r="E245" s="2636">
        <v>181</v>
      </c>
      <c r="F245" s="2636">
        <v>109</v>
      </c>
      <c r="G245" s="2636">
        <v>135</v>
      </c>
      <c r="H245" s="2636">
        <v>134</v>
      </c>
      <c r="I245" s="2636">
        <v>112</v>
      </c>
      <c r="J245" s="2636">
        <v>104</v>
      </c>
      <c r="K245" s="2636">
        <v>130</v>
      </c>
      <c r="L245" s="2636">
        <v>104</v>
      </c>
      <c r="M245" s="2636">
        <v>128</v>
      </c>
      <c r="N245" s="2636">
        <v>122</v>
      </c>
      <c r="O245" s="2636">
        <v>107</v>
      </c>
      <c r="P245" s="2636">
        <v>1508</v>
      </c>
      <c r="Q245" s="5470">
        <v>125.66666666666667</v>
      </c>
      <c r="R245" s="2776"/>
      <c r="S245" s="5469">
        <v>119</v>
      </c>
      <c r="T245" s="2636">
        <v>154</v>
      </c>
      <c r="U245" s="2636">
        <v>100</v>
      </c>
      <c r="V245" s="2636">
        <v>52</v>
      </c>
      <c r="W245" s="2636">
        <v>111</v>
      </c>
      <c r="X245" s="2636">
        <v>108</v>
      </c>
      <c r="Y245" s="2636">
        <v>82</v>
      </c>
      <c r="Z245" s="2636">
        <v>127</v>
      </c>
      <c r="AA245" s="2636">
        <v>54</v>
      </c>
      <c r="AB245" s="2636">
        <v>127</v>
      </c>
      <c r="AC245" s="2636">
        <v>95</v>
      </c>
      <c r="AD245" s="2636">
        <v>58</v>
      </c>
      <c r="AE245" s="2636">
        <v>1187</v>
      </c>
      <c r="AF245" s="5470">
        <v>98.916666666666671</v>
      </c>
      <c r="AG245" s="2776"/>
      <c r="AH245" s="5469">
        <v>167</v>
      </c>
      <c r="AI245" s="2636">
        <v>66</v>
      </c>
      <c r="AJ245" s="2636">
        <v>121</v>
      </c>
      <c r="AK245" s="2636">
        <v>87</v>
      </c>
      <c r="AL245" s="2636">
        <v>101</v>
      </c>
      <c r="AM245" s="2636">
        <v>67</v>
      </c>
      <c r="AN245" s="2636">
        <v>82</v>
      </c>
      <c r="AO245" s="2636">
        <v>76</v>
      </c>
      <c r="AP245" s="2636">
        <v>86</v>
      </c>
      <c r="AQ245" s="2636">
        <v>115</v>
      </c>
      <c r="AR245" s="2636">
        <v>76</v>
      </c>
      <c r="AS245" s="2636">
        <v>72</v>
      </c>
      <c r="AT245" s="2636">
        <f t="shared" si="315"/>
        <v>1116</v>
      </c>
      <c r="AU245" s="5470">
        <f t="shared" si="307"/>
        <v>93</v>
      </c>
      <c r="AW245" s="5469">
        <v>59</v>
      </c>
      <c r="AX245" s="2636">
        <v>185</v>
      </c>
      <c r="AY245" s="2636">
        <v>64</v>
      </c>
      <c r="AZ245" s="2636">
        <v>60</v>
      </c>
      <c r="BA245" s="2636">
        <v>219</v>
      </c>
      <c r="BB245" s="2636">
        <v>46</v>
      </c>
      <c r="BC245" s="2636">
        <v>56</v>
      </c>
      <c r="BD245" s="2636">
        <v>86</v>
      </c>
      <c r="BE245" s="2636">
        <v>51</v>
      </c>
      <c r="BF245" s="2636">
        <v>70</v>
      </c>
      <c r="BG245" s="2636">
        <v>74</v>
      </c>
      <c r="BH245" s="2636">
        <v>70</v>
      </c>
      <c r="BI245" s="2636">
        <f t="shared" si="316"/>
        <v>1040</v>
      </c>
      <c r="BJ245" s="5470">
        <f t="shared" si="317"/>
        <v>86.666666666666671</v>
      </c>
      <c r="BL245" s="5469">
        <v>88</v>
      </c>
      <c r="BM245" s="2636">
        <v>64</v>
      </c>
      <c r="BN245" s="2636"/>
      <c r="BO245" s="2636"/>
      <c r="BP245" s="2636"/>
      <c r="BQ245" s="2636"/>
      <c r="BR245" s="2636"/>
      <c r="BS245" s="2636"/>
      <c r="BT245" s="2636"/>
      <c r="BU245" s="2636"/>
      <c r="BV245" s="2636"/>
      <c r="BW245" s="2636"/>
      <c r="BX245" s="2636">
        <f t="shared" si="318"/>
        <v>152</v>
      </c>
      <c r="BY245" s="5470">
        <f t="shared" si="319"/>
        <v>76</v>
      </c>
      <c r="CA245" s="169">
        <f t="shared" si="308"/>
        <v>-121</v>
      </c>
      <c r="CB245" s="169">
        <f t="shared" si="320"/>
        <v>-6.3333333333333286</v>
      </c>
      <c r="CC245" s="169">
        <f>IFERROR(
  SUM(
    _xlfn.XLOOKUP(DATE(YEAR($A$1),1,1),$2:$2,245:245):
    _xlfn.XLOOKUP($A$1,$2:$2,245:245)
  )
 -SUM(
    _xlfn.XLOOKUP(DATE(YEAR($A$1)-1,1,1),$2:$2,245:245):
    _xlfn.XLOOKUP(EDATE($A$1,-12),$2:$2,245:245)
  ),"")</f>
        <v>-92</v>
      </c>
      <c r="CD245" s="4517">
        <f t="shared" si="310"/>
        <v>-24</v>
      </c>
      <c r="CE245" s="5459"/>
      <c r="CF245" s="5459"/>
    </row>
    <row r="246" spans="1:84" ht="17.600000000000001" x14ac:dyDescent="0.55000000000000004">
      <c r="A246" s="7347"/>
      <c r="B246" s="5468" t="s">
        <v>208</v>
      </c>
      <c r="C246" s="1576"/>
      <c r="D246" s="5469">
        <v>146</v>
      </c>
      <c r="E246" s="2636">
        <v>161</v>
      </c>
      <c r="F246" s="2636">
        <v>145</v>
      </c>
      <c r="G246" s="2636">
        <v>177</v>
      </c>
      <c r="H246" s="2636">
        <v>178</v>
      </c>
      <c r="I246" s="2636">
        <v>119</v>
      </c>
      <c r="J246" s="2636">
        <v>146</v>
      </c>
      <c r="K246" s="2636">
        <v>135</v>
      </c>
      <c r="L246" s="2636">
        <v>109</v>
      </c>
      <c r="M246" s="2636">
        <v>186</v>
      </c>
      <c r="N246" s="2636">
        <v>177</v>
      </c>
      <c r="O246" s="2636">
        <v>154</v>
      </c>
      <c r="P246" s="2636">
        <v>1833</v>
      </c>
      <c r="Q246" s="5470">
        <v>152.75</v>
      </c>
      <c r="R246" s="2776"/>
      <c r="S246" s="5469">
        <v>215</v>
      </c>
      <c r="T246" s="2636">
        <v>158</v>
      </c>
      <c r="U246" s="2636">
        <v>176</v>
      </c>
      <c r="V246" s="2636">
        <v>171</v>
      </c>
      <c r="W246" s="2636">
        <v>142</v>
      </c>
      <c r="X246" s="2636">
        <v>114</v>
      </c>
      <c r="Y246" s="2636">
        <v>135</v>
      </c>
      <c r="Z246" s="2636">
        <v>169</v>
      </c>
      <c r="AA246" s="2636">
        <v>106</v>
      </c>
      <c r="AB246" s="2636">
        <v>148</v>
      </c>
      <c r="AC246" s="2636">
        <v>103</v>
      </c>
      <c r="AD246" s="2636">
        <v>121</v>
      </c>
      <c r="AE246" s="2636">
        <v>1758</v>
      </c>
      <c r="AF246" s="5470">
        <v>146.5</v>
      </c>
      <c r="AG246" s="2776"/>
      <c r="AH246" s="5469">
        <v>174</v>
      </c>
      <c r="AI246" s="2636">
        <v>119</v>
      </c>
      <c r="AJ246" s="2636">
        <v>134</v>
      </c>
      <c r="AK246" s="2636">
        <v>121</v>
      </c>
      <c r="AL246" s="2636">
        <v>119</v>
      </c>
      <c r="AM246" s="2636">
        <v>110</v>
      </c>
      <c r="AN246" s="2636">
        <v>87</v>
      </c>
      <c r="AO246" s="2636">
        <v>93</v>
      </c>
      <c r="AP246" s="2636">
        <v>153</v>
      </c>
      <c r="AQ246" s="2636">
        <v>90</v>
      </c>
      <c r="AR246" s="2636">
        <v>76</v>
      </c>
      <c r="AS246" s="2636">
        <v>87</v>
      </c>
      <c r="AT246" s="2636">
        <f t="shared" si="315"/>
        <v>1363</v>
      </c>
      <c r="AU246" s="5470">
        <f t="shared" si="307"/>
        <v>113.58333333333333</v>
      </c>
      <c r="AW246" s="5469">
        <v>136</v>
      </c>
      <c r="AX246" s="2636">
        <v>198</v>
      </c>
      <c r="AY246" s="2636">
        <v>90</v>
      </c>
      <c r="AZ246" s="2636">
        <v>122</v>
      </c>
      <c r="BA246" s="2636">
        <v>219</v>
      </c>
      <c r="BB246" s="2636">
        <v>63</v>
      </c>
      <c r="BC246" s="2636">
        <v>87</v>
      </c>
      <c r="BD246" s="2636">
        <v>90</v>
      </c>
      <c r="BE246" s="2636">
        <v>72</v>
      </c>
      <c r="BF246" s="2636">
        <v>84</v>
      </c>
      <c r="BG246" s="2636">
        <v>103</v>
      </c>
      <c r="BH246" s="2636">
        <v>115</v>
      </c>
      <c r="BI246" s="2636">
        <f t="shared" si="316"/>
        <v>1379</v>
      </c>
      <c r="BJ246" s="5470">
        <f t="shared" si="317"/>
        <v>114.91666666666667</v>
      </c>
      <c r="BL246" s="5469">
        <v>126</v>
      </c>
      <c r="BM246" s="2636">
        <v>53</v>
      </c>
      <c r="BN246" s="2636"/>
      <c r="BO246" s="2636"/>
      <c r="BP246" s="2636"/>
      <c r="BQ246" s="2636"/>
      <c r="BR246" s="2636"/>
      <c r="BS246" s="2636"/>
      <c r="BT246" s="2636"/>
      <c r="BU246" s="2636"/>
      <c r="BV246" s="2636"/>
      <c r="BW246" s="2636"/>
      <c r="BX246" s="2636">
        <f t="shared" si="318"/>
        <v>179</v>
      </c>
      <c r="BY246" s="5470">
        <f t="shared" si="319"/>
        <v>89.5</v>
      </c>
      <c r="CA246" s="169">
        <f t="shared" si="308"/>
        <v>-145</v>
      </c>
      <c r="CB246" s="169">
        <f t="shared" si="320"/>
        <v>1.3333333333333428</v>
      </c>
      <c r="CC246" s="169">
        <f>IFERROR(
  SUM(
    _xlfn.XLOOKUP(DATE(YEAR($A$1),1,1),$2:$2,246:246):
    _xlfn.XLOOKUP($A$1,$2:$2,246:246)
  )
 -SUM(
    _xlfn.XLOOKUP(DATE(YEAR($A$1)-1,1,1),$2:$2,246:246):
    _xlfn.XLOOKUP(EDATE($A$1,-12),$2:$2,246:246)
  ),"")</f>
        <v>-155</v>
      </c>
      <c r="CD246" s="4517">
        <f t="shared" si="310"/>
        <v>-73</v>
      </c>
      <c r="CE246" s="5459"/>
      <c r="CF246" s="5459"/>
    </row>
    <row r="247" spans="1:84" ht="17.600000000000001" x14ac:dyDescent="0.55000000000000004">
      <c r="A247" s="7347"/>
      <c r="B247" s="5468" t="s">
        <v>209</v>
      </c>
      <c r="C247" s="1576"/>
      <c r="D247" s="5469">
        <v>207</v>
      </c>
      <c r="E247" s="2636">
        <v>218</v>
      </c>
      <c r="F247" s="2636">
        <v>259</v>
      </c>
      <c r="G247" s="2636">
        <v>218</v>
      </c>
      <c r="H247" s="2636">
        <v>201</v>
      </c>
      <c r="I247" s="2636">
        <v>219</v>
      </c>
      <c r="J247" s="2636">
        <v>215</v>
      </c>
      <c r="K247" s="2636">
        <v>215</v>
      </c>
      <c r="L247" s="2636">
        <v>206</v>
      </c>
      <c r="M247" s="2636">
        <v>261</v>
      </c>
      <c r="N247" s="2636">
        <v>236</v>
      </c>
      <c r="O247" s="2636">
        <v>153</v>
      </c>
      <c r="P247" s="2636">
        <v>2608</v>
      </c>
      <c r="Q247" s="5470">
        <v>217.33333333333334</v>
      </c>
      <c r="R247" s="2776"/>
      <c r="S247" s="5469">
        <v>272</v>
      </c>
      <c r="T247" s="2636">
        <v>272</v>
      </c>
      <c r="U247" s="2636">
        <v>174</v>
      </c>
      <c r="V247" s="2636">
        <v>221</v>
      </c>
      <c r="W247" s="2636">
        <v>176</v>
      </c>
      <c r="X247" s="2636">
        <v>176</v>
      </c>
      <c r="Y247" s="2636">
        <v>198</v>
      </c>
      <c r="Z247" s="2636">
        <v>241</v>
      </c>
      <c r="AA247" s="2636">
        <v>171</v>
      </c>
      <c r="AB247" s="2636">
        <v>172</v>
      </c>
      <c r="AC247" s="2636">
        <v>182</v>
      </c>
      <c r="AD247" s="2636">
        <v>180</v>
      </c>
      <c r="AE247" s="2636">
        <v>2435</v>
      </c>
      <c r="AF247" s="5470">
        <v>202.91666666666666</v>
      </c>
      <c r="AG247" s="2776"/>
      <c r="AH247" s="5469">
        <v>291</v>
      </c>
      <c r="AI247" s="2636">
        <v>193</v>
      </c>
      <c r="AJ247" s="2636">
        <v>202</v>
      </c>
      <c r="AK247" s="2636">
        <v>200</v>
      </c>
      <c r="AL247" s="2636">
        <v>233</v>
      </c>
      <c r="AM247" s="2636">
        <v>192</v>
      </c>
      <c r="AN247" s="2636">
        <v>196</v>
      </c>
      <c r="AO247" s="2636">
        <v>185</v>
      </c>
      <c r="AP247" s="2636">
        <v>298</v>
      </c>
      <c r="AQ247" s="2636">
        <v>174</v>
      </c>
      <c r="AR247" s="2636">
        <v>228</v>
      </c>
      <c r="AS247" s="2636">
        <v>170</v>
      </c>
      <c r="AT247" s="2636">
        <f t="shared" si="315"/>
        <v>2562</v>
      </c>
      <c r="AU247" s="5470">
        <f t="shared" si="307"/>
        <v>213.5</v>
      </c>
      <c r="AW247" s="5469">
        <v>201</v>
      </c>
      <c r="AX247" s="2636">
        <v>261</v>
      </c>
      <c r="AY247" s="2636">
        <v>177</v>
      </c>
      <c r="AZ247" s="2636">
        <v>245</v>
      </c>
      <c r="BA247" s="2636">
        <v>516</v>
      </c>
      <c r="BB247" s="2636">
        <v>205</v>
      </c>
      <c r="BC247" s="2636">
        <v>182</v>
      </c>
      <c r="BD247" s="2636">
        <v>161</v>
      </c>
      <c r="BE247" s="2636">
        <v>267</v>
      </c>
      <c r="BF247" s="2636">
        <v>186</v>
      </c>
      <c r="BG247" s="2636">
        <v>163</v>
      </c>
      <c r="BH247" s="2636">
        <v>255</v>
      </c>
      <c r="BI247" s="2636">
        <f t="shared" si="316"/>
        <v>2819</v>
      </c>
      <c r="BJ247" s="5470">
        <f t="shared" si="317"/>
        <v>234.91666666666666</v>
      </c>
      <c r="BL247" s="5469">
        <v>269</v>
      </c>
      <c r="BM247" s="2636">
        <v>196</v>
      </c>
      <c r="BN247" s="2636"/>
      <c r="BO247" s="2636"/>
      <c r="BP247" s="2636"/>
      <c r="BQ247" s="2636"/>
      <c r="BR247" s="2636"/>
      <c r="BS247" s="2636"/>
      <c r="BT247" s="2636"/>
      <c r="BU247" s="2636"/>
      <c r="BV247" s="2636"/>
      <c r="BW247" s="2636"/>
      <c r="BX247" s="2636">
        <f t="shared" si="318"/>
        <v>465</v>
      </c>
      <c r="BY247" s="5470">
        <f t="shared" si="319"/>
        <v>232.5</v>
      </c>
      <c r="CA247" s="169">
        <f t="shared" si="308"/>
        <v>-65</v>
      </c>
      <c r="CB247" s="169">
        <f t="shared" si="320"/>
        <v>21.416666666666657</v>
      </c>
      <c r="CC247" s="169">
        <f>IFERROR(
  SUM(
    _xlfn.XLOOKUP(DATE(YEAR($A$1),1,1),$2:$2,247:247):
    _xlfn.XLOOKUP($A$1,$2:$2,247:247)
  )
 -SUM(
    _xlfn.XLOOKUP(DATE(YEAR($A$1)-1,1,1),$2:$2,247:247):
    _xlfn.XLOOKUP(EDATE($A$1,-12),$2:$2,247:247)
  ),"")</f>
        <v>3</v>
      </c>
      <c r="CD247" s="4517">
        <f t="shared" si="310"/>
        <v>-73</v>
      </c>
      <c r="CE247" s="5459"/>
      <c r="CF247" s="5459"/>
    </row>
    <row r="248" spans="1:84" ht="17.600000000000001" x14ac:dyDescent="0.55000000000000004">
      <c r="A248" s="7347"/>
      <c r="B248" s="5471" t="s">
        <v>210</v>
      </c>
      <c r="C248" s="1813"/>
      <c r="D248" s="5472">
        <v>110</v>
      </c>
      <c r="E248" s="5473">
        <v>104</v>
      </c>
      <c r="F248" s="5473">
        <v>149</v>
      </c>
      <c r="G248" s="5473">
        <v>130</v>
      </c>
      <c r="H248" s="5473">
        <v>159</v>
      </c>
      <c r="I248" s="5473">
        <v>128</v>
      </c>
      <c r="J248" s="5473">
        <v>130</v>
      </c>
      <c r="K248" s="5473">
        <v>100</v>
      </c>
      <c r="L248" s="5473">
        <v>122</v>
      </c>
      <c r="M248" s="5473">
        <v>189</v>
      </c>
      <c r="N248" s="5473">
        <v>164</v>
      </c>
      <c r="O248" s="5473">
        <v>152</v>
      </c>
      <c r="P248" s="5473">
        <v>1637</v>
      </c>
      <c r="Q248" s="5474">
        <v>136.41666666666666</v>
      </c>
      <c r="R248" s="2776"/>
      <c r="S248" s="5472">
        <v>196</v>
      </c>
      <c r="T248" s="5473">
        <v>167</v>
      </c>
      <c r="U248" s="5473">
        <v>123</v>
      </c>
      <c r="V248" s="5473">
        <v>137</v>
      </c>
      <c r="W248" s="5473">
        <v>114</v>
      </c>
      <c r="X248" s="5473">
        <v>132</v>
      </c>
      <c r="Y248" s="5473">
        <v>165</v>
      </c>
      <c r="Z248" s="5473">
        <v>193</v>
      </c>
      <c r="AA248" s="5473">
        <v>88</v>
      </c>
      <c r="AB248" s="5473">
        <v>156</v>
      </c>
      <c r="AC248" s="5473">
        <v>125</v>
      </c>
      <c r="AD248" s="5473">
        <v>104</v>
      </c>
      <c r="AE248" s="5473">
        <v>1700</v>
      </c>
      <c r="AF248" s="5474">
        <v>141.66666666666666</v>
      </c>
      <c r="AG248" s="2776"/>
      <c r="AH248" s="5472">
        <v>259</v>
      </c>
      <c r="AI248" s="5473">
        <v>122</v>
      </c>
      <c r="AJ248" s="5473">
        <v>156</v>
      </c>
      <c r="AK248" s="5473">
        <v>134</v>
      </c>
      <c r="AL248" s="5473">
        <v>91</v>
      </c>
      <c r="AM248" s="5473">
        <v>135</v>
      </c>
      <c r="AN248" s="5473">
        <v>81</v>
      </c>
      <c r="AO248" s="5473">
        <v>105</v>
      </c>
      <c r="AP248" s="5473">
        <v>202</v>
      </c>
      <c r="AQ248" s="5473">
        <v>92</v>
      </c>
      <c r="AR248" s="5473">
        <v>75</v>
      </c>
      <c r="AS248" s="5473">
        <v>60</v>
      </c>
      <c r="AT248" s="5473">
        <f t="shared" si="315"/>
        <v>1512</v>
      </c>
      <c r="AU248" s="5474">
        <f t="shared" si="307"/>
        <v>126</v>
      </c>
      <c r="AW248" s="5472">
        <v>75</v>
      </c>
      <c r="AX248" s="5473">
        <v>167</v>
      </c>
      <c r="AY248" s="5473">
        <v>80</v>
      </c>
      <c r="AZ248" s="5473">
        <v>96</v>
      </c>
      <c r="BA248" s="5473">
        <v>349</v>
      </c>
      <c r="BB248" s="5473">
        <v>71</v>
      </c>
      <c r="BC248" s="5473">
        <v>77</v>
      </c>
      <c r="BD248" s="5473">
        <v>105</v>
      </c>
      <c r="BE248" s="5473">
        <v>110</v>
      </c>
      <c r="BF248" s="5473">
        <v>84</v>
      </c>
      <c r="BG248" s="5473">
        <v>88</v>
      </c>
      <c r="BH248" s="5473">
        <v>93</v>
      </c>
      <c r="BI248" s="5473">
        <f t="shared" si="316"/>
        <v>1395</v>
      </c>
      <c r="BJ248" s="5474">
        <f t="shared" si="317"/>
        <v>116.25</v>
      </c>
      <c r="BL248" s="5472">
        <v>142</v>
      </c>
      <c r="BM248" s="5473">
        <v>58</v>
      </c>
      <c r="BN248" s="5473"/>
      <c r="BO248" s="5473"/>
      <c r="BP248" s="5473"/>
      <c r="BQ248" s="5473"/>
      <c r="BR248" s="5473"/>
      <c r="BS248" s="5473"/>
      <c r="BT248" s="5473"/>
      <c r="BU248" s="5473"/>
      <c r="BV248" s="5473"/>
      <c r="BW248" s="5473"/>
      <c r="BX248" s="5473">
        <f t="shared" si="318"/>
        <v>200</v>
      </c>
      <c r="BY248" s="5474">
        <f t="shared" si="319"/>
        <v>100</v>
      </c>
      <c r="CA248" s="169">
        <f t="shared" si="308"/>
        <v>-109</v>
      </c>
      <c r="CB248" s="169">
        <f t="shared" si="320"/>
        <v>-9.75</v>
      </c>
      <c r="CC248" s="169">
        <f>IFERROR(
  SUM(
    _xlfn.XLOOKUP(DATE(YEAR($A$1),1,1),$2:$2,248:248):
    _xlfn.XLOOKUP($A$1,$2:$2,248:248)
  )
 -SUM(
    _xlfn.XLOOKUP(DATE(YEAR($A$1)-1,1,1),$2:$2,248:248):
    _xlfn.XLOOKUP(EDATE($A$1,-12),$2:$2,248:248)
  ),"")</f>
        <v>-42</v>
      </c>
      <c r="CD248" s="4517">
        <f t="shared" si="310"/>
        <v>-84</v>
      </c>
      <c r="CE248" s="5459"/>
      <c r="CF248" s="5459"/>
    </row>
    <row r="249" spans="1:84" s="698" customFormat="1" ht="17.600000000000001" x14ac:dyDescent="0.55000000000000004">
      <c r="A249" s="7347"/>
      <c r="B249" s="5475"/>
      <c r="C249" s="2156" t="s">
        <v>226</v>
      </c>
      <c r="D249" s="5476">
        <v>125</v>
      </c>
      <c r="E249" s="5477">
        <v>135</v>
      </c>
      <c r="F249" s="5477">
        <v>113</v>
      </c>
      <c r="G249" s="5477">
        <v>111</v>
      </c>
      <c r="H249" s="5477">
        <v>124</v>
      </c>
      <c r="I249" s="5477">
        <v>112</v>
      </c>
      <c r="J249" s="5477">
        <v>85</v>
      </c>
      <c r="K249" s="5477">
        <v>124</v>
      </c>
      <c r="L249" s="5477">
        <v>67</v>
      </c>
      <c r="M249" s="5477">
        <v>137</v>
      </c>
      <c r="N249" s="5477">
        <v>107</v>
      </c>
      <c r="O249" s="5477">
        <v>104</v>
      </c>
      <c r="P249" s="5477">
        <f t="shared" si="311"/>
        <v>1344</v>
      </c>
      <c r="Q249" s="5478">
        <f t="shared" si="312"/>
        <v>112</v>
      </c>
      <c r="R249" s="5479"/>
      <c r="S249" s="5476">
        <v>133</v>
      </c>
      <c r="T249" s="5477">
        <v>137</v>
      </c>
      <c r="U249" s="5477">
        <v>87</v>
      </c>
      <c r="V249" s="5477">
        <v>106</v>
      </c>
      <c r="W249" s="5477">
        <v>116</v>
      </c>
      <c r="X249" s="5477">
        <v>71</v>
      </c>
      <c r="Y249" s="5477">
        <v>90</v>
      </c>
      <c r="Z249" s="5477">
        <v>93</v>
      </c>
      <c r="AA249" s="5477">
        <v>71</v>
      </c>
      <c r="AB249" s="5477">
        <v>99</v>
      </c>
      <c r="AC249" s="5477">
        <v>62</v>
      </c>
      <c r="AD249" s="5477">
        <v>87</v>
      </c>
      <c r="AE249" s="5477">
        <f t="shared" si="313"/>
        <v>1152</v>
      </c>
      <c r="AF249" s="5478">
        <f t="shared" si="314"/>
        <v>96</v>
      </c>
      <c r="AG249" s="5479"/>
      <c r="AH249" s="5476">
        <v>135</v>
      </c>
      <c r="AI249" s="5477">
        <v>55</v>
      </c>
      <c r="AJ249" s="5477">
        <v>123</v>
      </c>
      <c r="AK249" s="5477">
        <v>90</v>
      </c>
      <c r="AL249" s="5477">
        <v>89</v>
      </c>
      <c r="AM249" s="5477">
        <v>67</v>
      </c>
      <c r="AN249" s="5477">
        <v>97</v>
      </c>
      <c r="AO249" s="5477">
        <v>61</v>
      </c>
      <c r="AP249" s="5477">
        <v>72</v>
      </c>
      <c r="AQ249" s="5477">
        <v>56</v>
      </c>
      <c r="AR249" s="5477">
        <v>51</v>
      </c>
      <c r="AS249" s="5477">
        <v>89</v>
      </c>
      <c r="AT249" s="5477">
        <f t="shared" si="315"/>
        <v>985</v>
      </c>
      <c r="AU249" s="5478">
        <f t="shared" si="307"/>
        <v>82.083333333333329</v>
      </c>
      <c r="AW249" s="5476">
        <v>89</v>
      </c>
      <c r="AX249" s="5477">
        <v>138</v>
      </c>
      <c r="AY249" s="5477">
        <v>63</v>
      </c>
      <c r="AZ249" s="5477">
        <v>103</v>
      </c>
      <c r="BA249" s="5477">
        <v>94</v>
      </c>
      <c r="BB249" s="5477">
        <v>107</v>
      </c>
      <c r="BC249" s="5477">
        <v>171</v>
      </c>
      <c r="BD249" s="5477">
        <v>135</v>
      </c>
      <c r="BE249" s="5477">
        <v>182</v>
      </c>
      <c r="BF249" s="5477">
        <v>135</v>
      </c>
      <c r="BG249" s="5477">
        <v>189</v>
      </c>
      <c r="BH249" s="5477">
        <v>192</v>
      </c>
      <c r="BI249" s="5477">
        <f t="shared" si="316"/>
        <v>1598</v>
      </c>
      <c r="BJ249" s="5478">
        <f t="shared" si="317"/>
        <v>133.16666666666666</v>
      </c>
      <c r="BL249" s="5476">
        <v>199</v>
      </c>
      <c r="BM249" s="5477">
        <v>62</v>
      </c>
      <c r="BN249" s="5477"/>
      <c r="BO249" s="5477"/>
      <c r="BP249" s="5477"/>
      <c r="BQ249" s="5477"/>
      <c r="BR249" s="5477"/>
      <c r="BS249" s="5477"/>
      <c r="BT249" s="5477"/>
      <c r="BU249" s="5477"/>
      <c r="BV249" s="5477"/>
      <c r="BW249" s="5477"/>
      <c r="BX249" s="5477">
        <f t="shared" si="318"/>
        <v>261</v>
      </c>
      <c r="BY249" s="5478">
        <f t="shared" si="319"/>
        <v>130.5</v>
      </c>
      <c r="CA249" s="169">
        <f t="shared" si="308"/>
        <v>-76</v>
      </c>
      <c r="CB249" s="169">
        <f t="shared" si="320"/>
        <v>51.083333333333329</v>
      </c>
      <c r="CC249" s="169">
        <f>IFERROR(
  SUM(
    _xlfn.XLOOKUP(DATE(YEAR($A$1),1,1),$2:$2,249:249):
    _xlfn.XLOOKUP($A$1,$2:$2,249:249)
  )
 -SUM(
    _xlfn.XLOOKUP(DATE(YEAR($A$1)-1,1,1),$2:$2,249:249):
    _xlfn.XLOOKUP(EDATE($A$1,-12),$2:$2,249:249)
  ),"")</f>
        <v>34</v>
      </c>
      <c r="CD249" s="4517">
        <f t="shared" si="310"/>
        <v>-137</v>
      </c>
      <c r="CE249" s="5459"/>
      <c r="CF249" s="5459"/>
    </row>
    <row r="250" spans="1:84" s="698" customFormat="1" ht="17.600000000000001" x14ac:dyDescent="0.55000000000000004">
      <c r="A250" s="7347"/>
      <c r="B250" s="5480"/>
      <c r="C250" s="681" t="s">
        <v>227</v>
      </c>
      <c r="D250" s="5481">
        <v>142</v>
      </c>
      <c r="E250" s="5482">
        <v>181</v>
      </c>
      <c r="F250" s="5482">
        <v>109</v>
      </c>
      <c r="G250" s="5482">
        <v>135</v>
      </c>
      <c r="H250" s="5482">
        <v>134</v>
      </c>
      <c r="I250" s="5482">
        <v>112</v>
      </c>
      <c r="J250" s="5482">
        <v>104</v>
      </c>
      <c r="K250" s="5482">
        <v>130</v>
      </c>
      <c r="L250" s="5482">
        <v>104</v>
      </c>
      <c r="M250" s="5482">
        <v>128</v>
      </c>
      <c r="N250" s="5482">
        <v>122</v>
      </c>
      <c r="O250" s="5482">
        <v>107</v>
      </c>
      <c r="P250" s="5482">
        <f t="shared" si="311"/>
        <v>1508</v>
      </c>
      <c r="Q250" s="5483">
        <f t="shared" si="312"/>
        <v>125.66666666666667</v>
      </c>
      <c r="R250" s="5479"/>
      <c r="S250" s="5481">
        <v>119</v>
      </c>
      <c r="T250" s="5482">
        <v>154</v>
      </c>
      <c r="U250" s="5482">
        <v>100</v>
      </c>
      <c r="V250" s="5482">
        <v>52</v>
      </c>
      <c r="W250" s="5482">
        <v>111</v>
      </c>
      <c r="X250" s="5482">
        <v>108</v>
      </c>
      <c r="Y250" s="5482">
        <v>82</v>
      </c>
      <c r="Z250" s="5482">
        <v>127</v>
      </c>
      <c r="AA250" s="5482">
        <v>54</v>
      </c>
      <c r="AB250" s="5482">
        <v>127</v>
      </c>
      <c r="AC250" s="5482">
        <v>95</v>
      </c>
      <c r="AD250" s="5482">
        <v>58</v>
      </c>
      <c r="AE250" s="5482">
        <f t="shared" si="313"/>
        <v>1187</v>
      </c>
      <c r="AF250" s="5483">
        <f t="shared" si="314"/>
        <v>98.916666666666671</v>
      </c>
      <c r="AG250" s="5479"/>
      <c r="AH250" s="5481">
        <v>167</v>
      </c>
      <c r="AI250" s="5482">
        <v>66</v>
      </c>
      <c r="AJ250" s="5482">
        <v>121</v>
      </c>
      <c r="AK250" s="5482">
        <v>87</v>
      </c>
      <c r="AL250" s="5482">
        <v>101</v>
      </c>
      <c r="AM250" s="5482">
        <v>67</v>
      </c>
      <c r="AN250" s="5482">
        <v>82</v>
      </c>
      <c r="AO250" s="5482">
        <v>76</v>
      </c>
      <c r="AP250" s="5482">
        <v>86</v>
      </c>
      <c r="AQ250" s="5482">
        <v>115</v>
      </c>
      <c r="AR250" s="5482">
        <v>76</v>
      </c>
      <c r="AS250" s="5482">
        <v>72</v>
      </c>
      <c r="AT250" s="5482">
        <f t="shared" si="315"/>
        <v>1116</v>
      </c>
      <c r="AU250" s="5483">
        <f t="shared" si="307"/>
        <v>93</v>
      </c>
      <c r="AW250" s="5481">
        <v>59</v>
      </c>
      <c r="AX250" s="5482">
        <v>185</v>
      </c>
      <c r="AY250" s="5482">
        <v>64</v>
      </c>
      <c r="AZ250" s="5482">
        <v>60</v>
      </c>
      <c r="BA250" s="5482">
        <v>106</v>
      </c>
      <c r="BB250" s="5482">
        <v>46</v>
      </c>
      <c r="BC250" s="5482">
        <v>56</v>
      </c>
      <c r="BD250" s="5482">
        <v>86</v>
      </c>
      <c r="BE250" s="5482">
        <v>51</v>
      </c>
      <c r="BF250" s="5482">
        <v>70</v>
      </c>
      <c r="BG250" s="5482">
        <v>74</v>
      </c>
      <c r="BH250" s="5482">
        <v>70</v>
      </c>
      <c r="BI250" s="5482">
        <f t="shared" si="316"/>
        <v>927</v>
      </c>
      <c r="BJ250" s="5483">
        <f t="shared" si="317"/>
        <v>77.25</v>
      </c>
      <c r="BL250" s="5481">
        <v>88</v>
      </c>
      <c r="BM250" s="5482">
        <v>64</v>
      </c>
      <c r="BN250" s="5482"/>
      <c r="BO250" s="5482"/>
      <c r="BP250" s="5482"/>
      <c r="BQ250" s="5482"/>
      <c r="BR250" s="5482"/>
      <c r="BS250" s="5482"/>
      <c r="BT250" s="5482"/>
      <c r="BU250" s="5482"/>
      <c r="BV250" s="5482"/>
      <c r="BW250" s="5482"/>
      <c r="BX250" s="5482">
        <f t="shared" si="318"/>
        <v>152</v>
      </c>
      <c r="BY250" s="5483">
        <f t="shared" si="319"/>
        <v>76</v>
      </c>
      <c r="CA250" s="169">
        <f t="shared" si="308"/>
        <v>-121</v>
      </c>
      <c r="CB250" s="169">
        <f t="shared" si="320"/>
        <v>-15.75</v>
      </c>
      <c r="CC250" s="169">
        <f>IFERROR(
  SUM(
    _xlfn.XLOOKUP(DATE(YEAR($A$1),1,1),$2:$2,250:250):
    _xlfn.XLOOKUP($A$1,$2:$2,250:250)
  )
 -SUM(
    _xlfn.XLOOKUP(DATE(YEAR($A$1)-1,1,1),$2:$2,250:250):
    _xlfn.XLOOKUP(EDATE($A$1,-12),$2:$2,250:250)
  ),"")</f>
        <v>-92</v>
      </c>
      <c r="CD250" s="4517">
        <f t="shared" si="310"/>
        <v>-24</v>
      </c>
      <c r="CE250" s="5459"/>
      <c r="CF250" s="5459"/>
    </row>
    <row r="251" spans="1:84" s="698" customFormat="1" ht="17.600000000000001" x14ac:dyDescent="0.55000000000000004">
      <c r="A251" s="7347"/>
      <c r="B251" s="5480"/>
      <c r="C251" s="804" t="s">
        <v>228</v>
      </c>
      <c r="D251" s="5484">
        <v>146</v>
      </c>
      <c r="E251" s="5485">
        <v>161</v>
      </c>
      <c r="F251" s="5485">
        <v>145</v>
      </c>
      <c r="G251" s="5485">
        <v>177</v>
      </c>
      <c r="H251" s="5485">
        <v>178</v>
      </c>
      <c r="I251" s="5485">
        <v>119</v>
      </c>
      <c r="J251" s="5485">
        <v>146</v>
      </c>
      <c r="K251" s="5485">
        <v>135</v>
      </c>
      <c r="L251" s="5485">
        <v>109</v>
      </c>
      <c r="M251" s="5485">
        <v>186</v>
      </c>
      <c r="N251" s="5485">
        <v>177</v>
      </c>
      <c r="O251" s="5485">
        <v>154</v>
      </c>
      <c r="P251" s="5485">
        <f t="shared" si="311"/>
        <v>1833</v>
      </c>
      <c r="Q251" s="5486">
        <f t="shared" si="312"/>
        <v>152.75</v>
      </c>
      <c r="R251" s="5479"/>
      <c r="S251" s="5484">
        <v>215</v>
      </c>
      <c r="T251" s="5485">
        <v>158</v>
      </c>
      <c r="U251" s="5485">
        <v>176</v>
      </c>
      <c r="V251" s="5485">
        <v>171</v>
      </c>
      <c r="W251" s="5485">
        <v>142</v>
      </c>
      <c r="X251" s="5485">
        <v>114</v>
      </c>
      <c r="Y251" s="5485">
        <v>135</v>
      </c>
      <c r="Z251" s="5485">
        <v>169</v>
      </c>
      <c r="AA251" s="5485">
        <v>106</v>
      </c>
      <c r="AB251" s="5485">
        <v>148</v>
      </c>
      <c r="AC251" s="5485">
        <v>103</v>
      </c>
      <c r="AD251" s="5485">
        <v>121</v>
      </c>
      <c r="AE251" s="5485">
        <f t="shared" si="313"/>
        <v>1758</v>
      </c>
      <c r="AF251" s="5486">
        <f t="shared" si="314"/>
        <v>146.5</v>
      </c>
      <c r="AG251" s="5479"/>
      <c r="AH251" s="5484">
        <v>174</v>
      </c>
      <c r="AI251" s="5485">
        <v>119</v>
      </c>
      <c r="AJ251" s="5485">
        <v>134</v>
      </c>
      <c r="AK251" s="5485">
        <v>121</v>
      </c>
      <c r="AL251" s="5485">
        <v>119</v>
      </c>
      <c r="AM251" s="5485">
        <v>110</v>
      </c>
      <c r="AN251" s="5485">
        <v>87</v>
      </c>
      <c r="AO251" s="5485">
        <v>93</v>
      </c>
      <c r="AP251" s="5485">
        <v>153</v>
      </c>
      <c r="AQ251" s="5485">
        <v>90</v>
      </c>
      <c r="AR251" s="5485">
        <v>76</v>
      </c>
      <c r="AS251" s="5485">
        <v>87</v>
      </c>
      <c r="AT251" s="5485">
        <f t="shared" si="315"/>
        <v>1363</v>
      </c>
      <c r="AU251" s="5486">
        <f t="shared" si="307"/>
        <v>113.58333333333333</v>
      </c>
      <c r="AW251" s="5484">
        <v>136</v>
      </c>
      <c r="AX251" s="5485">
        <v>198</v>
      </c>
      <c r="AY251" s="5485">
        <v>90</v>
      </c>
      <c r="AZ251" s="5485">
        <v>122</v>
      </c>
      <c r="BA251" s="5485">
        <v>113</v>
      </c>
      <c r="BB251" s="5485">
        <v>63</v>
      </c>
      <c r="BC251" s="5485">
        <v>87</v>
      </c>
      <c r="BD251" s="5485">
        <v>90</v>
      </c>
      <c r="BE251" s="5485">
        <v>72</v>
      </c>
      <c r="BF251" s="5485">
        <v>84</v>
      </c>
      <c r="BG251" s="5485">
        <v>103</v>
      </c>
      <c r="BH251" s="5485">
        <v>115</v>
      </c>
      <c r="BI251" s="5485">
        <f t="shared" si="316"/>
        <v>1273</v>
      </c>
      <c r="BJ251" s="5486">
        <f t="shared" si="317"/>
        <v>106.08333333333333</v>
      </c>
      <c r="BL251" s="5484">
        <v>126</v>
      </c>
      <c r="BM251" s="5485">
        <v>53</v>
      </c>
      <c r="BN251" s="5485"/>
      <c r="BO251" s="5485"/>
      <c r="BP251" s="5485"/>
      <c r="BQ251" s="5485"/>
      <c r="BR251" s="5485"/>
      <c r="BS251" s="5485"/>
      <c r="BT251" s="5485"/>
      <c r="BU251" s="5485"/>
      <c r="BV251" s="5485"/>
      <c r="BW251" s="5485"/>
      <c r="BX251" s="5485">
        <f t="shared" si="318"/>
        <v>179</v>
      </c>
      <c r="BY251" s="5486">
        <f t="shared" si="319"/>
        <v>89.5</v>
      </c>
      <c r="CA251" s="169">
        <f t="shared" si="308"/>
        <v>-145</v>
      </c>
      <c r="CB251" s="169">
        <f t="shared" si="320"/>
        <v>-7.5</v>
      </c>
      <c r="CC251" s="169">
        <f>IFERROR(
  SUM(
    _xlfn.XLOOKUP(DATE(YEAR($A$1),1,1),$2:$2,251:251):
    _xlfn.XLOOKUP($A$1,$2:$2,251:251)
  )
 -SUM(
    _xlfn.XLOOKUP(DATE(YEAR($A$1)-1,1,1),$2:$2,251:251):
    _xlfn.XLOOKUP(EDATE($A$1,-12),$2:$2,251:251)
  ),"")</f>
        <v>-155</v>
      </c>
      <c r="CD251" s="4517">
        <f t="shared" si="310"/>
        <v>-73</v>
      </c>
      <c r="CE251" s="5459"/>
      <c r="CF251" s="5459"/>
    </row>
    <row r="252" spans="1:84" s="698" customFormat="1" ht="17.600000000000001" x14ac:dyDescent="0.55000000000000004">
      <c r="A252" s="7347"/>
      <c r="B252" s="5480"/>
      <c r="C252" s="681" t="s">
        <v>229</v>
      </c>
      <c r="D252" s="5481">
        <v>121</v>
      </c>
      <c r="E252" s="5482">
        <v>136</v>
      </c>
      <c r="F252" s="5482">
        <v>162</v>
      </c>
      <c r="G252" s="5482">
        <v>137</v>
      </c>
      <c r="H252" s="5482">
        <v>126</v>
      </c>
      <c r="I252" s="5482">
        <v>141</v>
      </c>
      <c r="J252" s="5482">
        <v>131</v>
      </c>
      <c r="K252" s="5482">
        <v>133</v>
      </c>
      <c r="L252" s="5482">
        <v>129</v>
      </c>
      <c r="M252" s="5482">
        <v>146</v>
      </c>
      <c r="N252" s="5482">
        <v>179</v>
      </c>
      <c r="O252" s="5482">
        <v>94</v>
      </c>
      <c r="P252" s="5482">
        <f t="shared" si="311"/>
        <v>1635</v>
      </c>
      <c r="Q252" s="5483">
        <f t="shared" si="312"/>
        <v>136.25</v>
      </c>
      <c r="R252" s="5479"/>
      <c r="S252" s="5481">
        <v>121</v>
      </c>
      <c r="T252" s="5482">
        <v>177</v>
      </c>
      <c r="U252" s="5482">
        <v>116</v>
      </c>
      <c r="V252" s="5482">
        <v>107</v>
      </c>
      <c r="W252" s="5482">
        <v>100</v>
      </c>
      <c r="X252" s="5482">
        <v>104</v>
      </c>
      <c r="Y252" s="5482">
        <v>133</v>
      </c>
      <c r="Z252" s="5482">
        <v>141</v>
      </c>
      <c r="AA252" s="5482">
        <v>99</v>
      </c>
      <c r="AB252" s="5482">
        <v>101</v>
      </c>
      <c r="AC252" s="5482">
        <v>107</v>
      </c>
      <c r="AD252" s="5482">
        <v>115</v>
      </c>
      <c r="AE252" s="5482">
        <f t="shared" si="313"/>
        <v>1421</v>
      </c>
      <c r="AF252" s="5483">
        <f t="shared" si="314"/>
        <v>118.41666666666667</v>
      </c>
      <c r="AG252" s="5479"/>
      <c r="AH252" s="5481">
        <v>177</v>
      </c>
      <c r="AI252" s="5482">
        <v>103</v>
      </c>
      <c r="AJ252" s="5482">
        <v>124</v>
      </c>
      <c r="AK252" s="5482">
        <v>124</v>
      </c>
      <c r="AL252" s="5482">
        <v>159</v>
      </c>
      <c r="AM252" s="5482">
        <v>116</v>
      </c>
      <c r="AN252" s="5482">
        <v>111</v>
      </c>
      <c r="AO252" s="5482">
        <v>122</v>
      </c>
      <c r="AP252" s="5482">
        <v>194</v>
      </c>
      <c r="AQ252" s="5482">
        <v>99</v>
      </c>
      <c r="AR252" s="5482">
        <v>136</v>
      </c>
      <c r="AS252" s="5482">
        <v>105</v>
      </c>
      <c r="AT252" s="5482">
        <f t="shared" si="315"/>
        <v>1570</v>
      </c>
      <c r="AU252" s="5483">
        <f t="shared" si="307"/>
        <v>130.83333333333334</v>
      </c>
      <c r="AW252" s="5481">
        <v>119</v>
      </c>
      <c r="AX252" s="5482">
        <v>151</v>
      </c>
      <c r="AY252" s="5482">
        <v>112</v>
      </c>
      <c r="AZ252" s="5482">
        <v>152</v>
      </c>
      <c r="BA252" s="5482">
        <v>135</v>
      </c>
      <c r="BB252" s="5482">
        <v>148</v>
      </c>
      <c r="BC252" s="5482">
        <v>104</v>
      </c>
      <c r="BD252" s="5482">
        <v>86</v>
      </c>
      <c r="BE252" s="5482">
        <v>148</v>
      </c>
      <c r="BF252" s="5482">
        <v>106</v>
      </c>
      <c r="BG252" s="5482">
        <v>77</v>
      </c>
      <c r="BH252" s="5482">
        <v>147</v>
      </c>
      <c r="BI252" s="5482">
        <f t="shared" si="316"/>
        <v>1485</v>
      </c>
      <c r="BJ252" s="5483">
        <f t="shared" si="317"/>
        <v>123.75</v>
      </c>
      <c r="BL252" s="5481">
        <v>145</v>
      </c>
      <c r="BM252" s="5482">
        <v>125</v>
      </c>
      <c r="BN252" s="5482"/>
      <c r="BO252" s="5482"/>
      <c r="BP252" s="5482"/>
      <c r="BQ252" s="5482"/>
      <c r="BR252" s="5482"/>
      <c r="BS252" s="5482"/>
      <c r="BT252" s="5482"/>
      <c r="BU252" s="5482"/>
      <c r="BV252" s="5482"/>
      <c r="BW252" s="5482"/>
      <c r="BX252" s="5482">
        <f t="shared" si="318"/>
        <v>270</v>
      </c>
      <c r="BY252" s="5483">
        <f t="shared" si="319"/>
        <v>135</v>
      </c>
      <c r="CA252" s="169">
        <f t="shared" si="308"/>
        <v>-26</v>
      </c>
      <c r="CB252" s="169">
        <f t="shared" si="320"/>
        <v>-7.0833333333333428</v>
      </c>
      <c r="CC252" s="169">
        <f>IFERROR(
  SUM(
    _xlfn.XLOOKUP(DATE(YEAR($A$1),1,1),$2:$2,252:252):
    _xlfn.XLOOKUP($A$1,$2:$2,252:252)
  )
 -SUM(
    _xlfn.XLOOKUP(DATE(YEAR($A$1)-1,1,1),$2:$2,252:252):
    _xlfn.XLOOKUP(EDATE($A$1,-12),$2:$2,252:252)
  ),"")</f>
        <v>0</v>
      </c>
      <c r="CD252" s="4517">
        <f t="shared" si="310"/>
        <v>-20</v>
      </c>
      <c r="CE252" s="5459"/>
      <c r="CF252" s="5459"/>
    </row>
    <row r="253" spans="1:84" s="698" customFormat="1" ht="17.600000000000001" x14ac:dyDescent="0.55000000000000004">
      <c r="A253" s="7347"/>
      <c r="B253" s="5480"/>
      <c r="C253" s="681" t="s">
        <v>230</v>
      </c>
      <c r="D253" s="5481">
        <v>86</v>
      </c>
      <c r="E253" s="5482">
        <v>82</v>
      </c>
      <c r="F253" s="5482">
        <v>97</v>
      </c>
      <c r="G253" s="5482">
        <v>81</v>
      </c>
      <c r="H253" s="5482">
        <v>75</v>
      </c>
      <c r="I253" s="5482">
        <v>78</v>
      </c>
      <c r="J253" s="5482">
        <v>84</v>
      </c>
      <c r="K253" s="5482">
        <v>82</v>
      </c>
      <c r="L253" s="5482">
        <v>77</v>
      </c>
      <c r="M253" s="5482">
        <v>115</v>
      </c>
      <c r="N253" s="5482">
        <v>57</v>
      </c>
      <c r="O253" s="5482">
        <v>59</v>
      </c>
      <c r="P253" s="5482">
        <f t="shared" si="311"/>
        <v>973</v>
      </c>
      <c r="Q253" s="5483">
        <f t="shared" si="312"/>
        <v>81.083333333333329</v>
      </c>
      <c r="R253" s="5479"/>
      <c r="S253" s="5481">
        <v>151</v>
      </c>
      <c r="T253" s="5482">
        <v>95</v>
      </c>
      <c r="U253" s="5482">
        <v>58</v>
      </c>
      <c r="V253" s="5482">
        <v>114</v>
      </c>
      <c r="W253" s="5482">
        <v>76</v>
      </c>
      <c r="X253" s="5482">
        <v>72</v>
      </c>
      <c r="Y253" s="5482">
        <v>65</v>
      </c>
      <c r="Z253" s="5482">
        <v>100</v>
      </c>
      <c r="AA253" s="5482">
        <v>72</v>
      </c>
      <c r="AB253" s="5482">
        <v>71</v>
      </c>
      <c r="AC253" s="5482">
        <v>75</v>
      </c>
      <c r="AD253" s="5482">
        <v>65</v>
      </c>
      <c r="AE253" s="5482">
        <f t="shared" si="313"/>
        <v>1014</v>
      </c>
      <c r="AF253" s="5483">
        <f t="shared" si="314"/>
        <v>84.5</v>
      </c>
      <c r="AG253" s="5479"/>
      <c r="AH253" s="5481">
        <v>114</v>
      </c>
      <c r="AI253" s="5482">
        <v>90</v>
      </c>
      <c r="AJ253" s="5482">
        <v>78</v>
      </c>
      <c r="AK253" s="5482">
        <v>76</v>
      </c>
      <c r="AL253" s="5482">
        <v>74</v>
      </c>
      <c r="AM253" s="5482">
        <v>76</v>
      </c>
      <c r="AN253" s="5482">
        <v>85</v>
      </c>
      <c r="AO253" s="5482">
        <v>63</v>
      </c>
      <c r="AP253" s="5482">
        <v>104</v>
      </c>
      <c r="AQ253" s="5482">
        <v>75</v>
      </c>
      <c r="AR253" s="5482">
        <v>92</v>
      </c>
      <c r="AS253" s="5482">
        <v>65</v>
      </c>
      <c r="AT253" s="5482">
        <f t="shared" si="315"/>
        <v>992</v>
      </c>
      <c r="AU253" s="5483">
        <f t="shared" si="307"/>
        <v>82.666666666666671</v>
      </c>
      <c r="AW253" s="5481">
        <v>82</v>
      </c>
      <c r="AX253" s="5482">
        <v>110</v>
      </c>
      <c r="AY253" s="5482">
        <v>65</v>
      </c>
      <c r="AZ253" s="5482">
        <v>93</v>
      </c>
      <c r="BA253" s="5482">
        <v>104</v>
      </c>
      <c r="BB253" s="5482">
        <v>57</v>
      </c>
      <c r="BC253" s="5482">
        <v>78</v>
      </c>
      <c r="BD253" s="5482">
        <v>75</v>
      </c>
      <c r="BE253" s="5482">
        <v>119</v>
      </c>
      <c r="BF253" s="5482">
        <v>80</v>
      </c>
      <c r="BG253" s="5482">
        <v>86</v>
      </c>
      <c r="BH253" s="5482">
        <v>108</v>
      </c>
      <c r="BI253" s="5482">
        <f t="shared" si="316"/>
        <v>1057</v>
      </c>
      <c r="BJ253" s="5483">
        <f t="shared" si="317"/>
        <v>88.083333333333329</v>
      </c>
      <c r="BL253" s="5481">
        <v>124</v>
      </c>
      <c r="BM253" s="5482">
        <v>71</v>
      </c>
      <c r="BN253" s="5482"/>
      <c r="BO253" s="5482"/>
      <c r="BP253" s="5482"/>
      <c r="BQ253" s="5482"/>
      <c r="BR253" s="5482"/>
      <c r="BS253" s="5482"/>
      <c r="BT253" s="5482"/>
      <c r="BU253" s="5482"/>
      <c r="BV253" s="5482"/>
      <c r="BW253" s="5482"/>
      <c r="BX253" s="5482">
        <f t="shared" si="318"/>
        <v>195</v>
      </c>
      <c r="BY253" s="5483">
        <f t="shared" si="319"/>
        <v>97.5</v>
      </c>
      <c r="CA253" s="169">
        <f t="shared" si="308"/>
        <v>-39</v>
      </c>
      <c r="CB253" s="169">
        <f t="shared" si="320"/>
        <v>5.4166666666666572</v>
      </c>
      <c r="CC253" s="169">
        <f>IFERROR(
  SUM(
    _xlfn.XLOOKUP(DATE(YEAR($A$1),1,1),$2:$2,253:253):
    _xlfn.XLOOKUP($A$1,$2:$2,253:253)
  )
 -SUM(
    _xlfn.XLOOKUP(DATE(YEAR($A$1)-1,1,1),$2:$2,253:253):
    _xlfn.XLOOKUP(EDATE($A$1,-12),$2:$2,253:253)
  ),"")</f>
        <v>3</v>
      </c>
      <c r="CD253" s="4517">
        <f t="shared" si="310"/>
        <v>-53</v>
      </c>
      <c r="CE253" s="5459"/>
      <c r="CF253" s="5459"/>
    </row>
    <row r="254" spans="1:84" s="698" customFormat="1" ht="17.600000000000001" x14ac:dyDescent="0.55000000000000004">
      <c r="A254" s="7347"/>
      <c r="B254" s="5480"/>
      <c r="C254" s="804" t="s">
        <v>231</v>
      </c>
      <c r="D254" s="5484">
        <v>50</v>
      </c>
      <c r="E254" s="5485">
        <v>58</v>
      </c>
      <c r="F254" s="5485">
        <v>91</v>
      </c>
      <c r="G254" s="5485">
        <v>66</v>
      </c>
      <c r="H254" s="5485">
        <v>84</v>
      </c>
      <c r="I254" s="5485">
        <v>74</v>
      </c>
      <c r="J254" s="5485">
        <v>68</v>
      </c>
      <c r="K254" s="5485">
        <v>51</v>
      </c>
      <c r="L254" s="5485">
        <v>75</v>
      </c>
      <c r="M254" s="5485">
        <v>114</v>
      </c>
      <c r="N254" s="5485">
        <v>90</v>
      </c>
      <c r="O254" s="5485">
        <v>93</v>
      </c>
      <c r="P254" s="5485">
        <f t="shared" si="311"/>
        <v>914</v>
      </c>
      <c r="Q254" s="5486">
        <f t="shared" si="312"/>
        <v>76.166666666666671</v>
      </c>
      <c r="R254" s="5479"/>
      <c r="S254" s="5484">
        <v>93</v>
      </c>
      <c r="T254" s="5485">
        <v>99</v>
      </c>
      <c r="U254" s="5485">
        <v>78</v>
      </c>
      <c r="V254" s="5485">
        <v>86</v>
      </c>
      <c r="W254" s="5485">
        <v>83</v>
      </c>
      <c r="X254" s="5485">
        <v>79</v>
      </c>
      <c r="Y254" s="5485">
        <v>110</v>
      </c>
      <c r="Z254" s="5485">
        <v>87</v>
      </c>
      <c r="AA254" s="5485">
        <v>56</v>
      </c>
      <c r="AB254" s="5485">
        <v>100</v>
      </c>
      <c r="AC254" s="5485">
        <v>59</v>
      </c>
      <c r="AD254" s="5485">
        <v>60</v>
      </c>
      <c r="AE254" s="5485">
        <f t="shared" si="313"/>
        <v>990</v>
      </c>
      <c r="AF254" s="5486">
        <f t="shared" si="314"/>
        <v>82.5</v>
      </c>
      <c r="AG254" s="5479"/>
      <c r="AH254" s="5484">
        <v>123</v>
      </c>
      <c r="AI254" s="5485">
        <v>83</v>
      </c>
      <c r="AJ254" s="5485">
        <v>87</v>
      </c>
      <c r="AK254" s="5485">
        <v>93</v>
      </c>
      <c r="AL254" s="5485">
        <v>61</v>
      </c>
      <c r="AM254" s="5485">
        <v>64</v>
      </c>
      <c r="AN254" s="5485">
        <v>50</v>
      </c>
      <c r="AO254" s="5485">
        <v>63</v>
      </c>
      <c r="AP254" s="5485">
        <v>141</v>
      </c>
      <c r="AQ254" s="5485">
        <v>57</v>
      </c>
      <c r="AR254" s="5485">
        <v>55</v>
      </c>
      <c r="AS254" s="5485">
        <v>45</v>
      </c>
      <c r="AT254" s="5485">
        <f t="shared" si="315"/>
        <v>922</v>
      </c>
      <c r="AU254" s="5486">
        <f t="shared" si="307"/>
        <v>76.833333333333329</v>
      </c>
      <c r="AW254" s="5484">
        <v>61</v>
      </c>
      <c r="AX254" s="5485">
        <v>92</v>
      </c>
      <c r="AY254" s="5485">
        <v>44</v>
      </c>
      <c r="AZ254" s="5485">
        <v>63</v>
      </c>
      <c r="BA254" s="5485">
        <v>71</v>
      </c>
      <c r="BB254" s="5485">
        <v>49</v>
      </c>
      <c r="BC254" s="5485">
        <v>44</v>
      </c>
      <c r="BD254" s="5485">
        <v>53</v>
      </c>
      <c r="BE254" s="5485">
        <v>84</v>
      </c>
      <c r="BF254" s="5485">
        <v>70</v>
      </c>
      <c r="BG254" s="5485">
        <v>65</v>
      </c>
      <c r="BH254" s="5485">
        <v>75</v>
      </c>
      <c r="BI254" s="5485">
        <f t="shared" si="316"/>
        <v>771</v>
      </c>
      <c r="BJ254" s="5486">
        <f t="shared" si="317"/>
        <v>64.25</v>
      </c>
      <c r="BL254" s="5484">
        <v>102</v>
      </c>
      <c r="BM254" s="5485">
        <v>41</v>
      </c>
      <c r="BN254" s="5485"/>
      <c r="BO254" s="5485"/>
      <c r="BP254" s="5485"/>
      <c r="BQ254" s="5485"/>
      <c r="BR254" s="5485"/>
      <c r="BS254" s="5485"/>
      <c r="BT254" s="5485"/>
      <c r="BU254" s="5485"/>
      <c r="BV254" s="5485"/>
      <c r="BW254" s="5485"/>
      <c r="BX254" s="5485">
        <f t="shared" si="318"/>
        <v>143</v>
      </c>
      <c r="BY254" s="5486">
        <f t="shared" si="319"/>
        <v>71.5</v>
      </c>
      <c r="CA254" s="169">
        <f t="shared" si="308"/>
        <v>-51</v>
      </c>
      <c r="CB254" s="169">
        <f t="shared" si="320"/>
        <v>-12.583333333333329</v>
      </c>
      <c r="CC254" s="169">
        <f>IFERROR(
  SUM(
    _xlfn.XLOOKUP(DATE(YEAR($A$1),1,1),$2:$2,254:254):
    _xlfn.XLOOKUP($A$1,$2:$2,254:254)
  )
 -SUM(
    _xlfn.XLOOKUP(DATE(YEAR($A$1)-1,1,1),$2:$2,254:254):
    _xlfn.XLOOKUP(EDATE($A$1,-12),$2:$2,254:254)
  ),"")</f>
        <v>-10</v>
      </c>
      <c r="CD254" s="4517">
        <f t="shared" si="310"/>
        <v>-61</v>
      </c>
      <c r="CE254" s="5459"/>
      <c r="CF254" s="5459"/>
    </row>
    <row r="255" spans="1:84" s="698" customFormat="1" ht="18" thickBot="1" x14ac:dyDescent="0.6">
      <c r="A255" s="7347"/>
      <c r="B255" s="5487"/>
      <c r="C255" s="2183" t="s">
        <v>232</v>
      </c>
      <c r="D255" s="5488">
        <v>60</v>
      </c>
      <c r="E255" s="5489">
        <v>46</v>
      </c>
      <c r="F255" s="5489">
        <v>58</v>
      </c>
      <c r="G255" s="5489">
        <v>64</v>
      </c>
      <c r="H255" s="5489">
        <v>75</v>
      </c>
      <c r="I255" s="5489">
        <v>54</v>
      </c>
      <c r="J255" s="5489">
        <v>62</v>
      </c>
      <c r="K255" s="5489">
        <v>49</v>
      </c>
      <c r="L255" s="5489">
        <v>47</v>
      </c>
      <c r="M255" s="5489">
        <v>75</v>
      </c>
      <c r="N255" s="5489">
        <v>74</v>
      </c>
      <c r="O255" s="5489">
        <v>59</v>
      </c>
      <c r="P255" s="5489">
        <f t="shared" si="311"/>
        <v>723</v>
      </c>
      <c r="Q255" s="5490">
        <f t="shared" si="312"/>
        <v>60.25</v>
      </c>
      <c r="R255" s="5479"/>
      <c r="S255" s="5488">
        <v>103</v>
      </c>
      <c r="T255" s="5489">
        <v>68</v>
      </c>
      <c r="U255" s="5489">
        <v>45</v>
      </c>
      <c r="V255" s="5489">
        <v>51</v>
      </c>
      <c r="W255" s="5489">
        <v>31</v>
      </c>
      <c r="X255" s="5489">
        <v>53</v>
      </c>
      <c r="Y255" s="5489">
        <v>55</v>
      </c>
      <c r="Z255" s="5489">
        <v>106</v>
      </c>
      <c r="AA255" s="5489">
        <v>32</v>
      </c>
      <c r="AB255" s="5489">
        <v>56</v>
      </c>
      <c r="AC255" s="5489">
        <v>66</v>
      </c>
      <c r="AD255" s="5489">
        <v>44</v>
      </c>
      <c r="AE255" s="5489">
        <f t="shared" si="313"/>
        <v>710</v>
      </c>
      <c r="AF255" s="5490">
        <f t="shared" si="314"/>
        <v>59.166666666666664</v>
      </c>
      <c r="AG255" s="5479"/>
      <c r="AH255" s="5488">
        <v>136</v>
      </c>
      <c r="AI255" s="5489">
        <v>39</v>
      </c>
      <c r="AJ255" s="5489">
        <v>69</v>
      </c>
      <c r="AK255" s="5489">
        <v>41</v>
      </c>
      <c r="AL255" s="5489">
        <v>30</v>
      </c>
      <c r="AM255" s="5489">
        <v>71</v>
      </c>
      <c r="AN255" s="5489">
        <v>31</v>
      </c>
      <c r="AO255" s="5489">
        <v>42</v>
      </c>
      <c r="AP255" s="5489">
        <v>61</v>
      </c>
      <c r="AQ255" s="5489">
        <v>35</v>
      </c>
      <c r="AR255" s="5489">
        <v>20</v>
      </c>
      <c r="AS255" s="5489">
        <v>15</v>
      </c>
      <c r="AT255" s="5489">
        <f t="shared" si="315"/>
        <v>590</v>
      </c>
      <c r="AU255" s="5490">
        <f t="shared" si="307"/>
        <v>49.166666666666664</v>
      </c>
      <c r="AW255" s="5488">
        <v>14</v>
      </c>
      <c r="AX255" s="5489">
        <v>75</v>
      </c>
      <c r="AY255" s="5489">
        <v>36</v>
      </c>
      <c r="AZ255" s="5489">
        <v>33</v>
      </c>
      <c r="BA255" s="5489">
        <v>37</v>
      </c>
      <c r="BB255" s="5489">
        <v>22</v>
      </c>
      <c r="BC255" s="5489">
        <v>33</v>
      </c>
      <c r="BD255" s="5489">
        <v>52</v>
      </c>
      <c r="BE255" s="5489">
        <v>26</v>
      </c>
      <c r="BF255" s="5489">
        <v>14</v>
      </c>
      <c r="BG255" s="5489">
        <v>23</v>
      </c>
      <c r="BH255" s="5489">
        <v>18</v>
      </c>
      <c r="BI255" s="5489">
        <f t="shared" si="316"/>
        <v>383</v>
      </c>
      <c r="BJ255" s="5490">
        <f t="shared" si="317"/>
        <v>31.916666666666668</v>
      </c>
      <c r="BL255" s="5488">
        <v>40</v>
      </c>
      <c r="BM255" s="5489">
        <v>17</v>
      </c>
      <c r="BN255" s="5489"/>
      <c r="BO255" s="5489"/>
      <c r="BP255" s="5489"/>
      <c r="BQ255" s="5489"/>
      <c r="BR255" s="5489"/>
      <c r="BS255" s="5489"/>
      <c r="BT255" s="5489"/>
      <c r="BU255" s="5489"/>
      <c r="BV255" s="5489"/>
      <c r="BW255" s="5489"/>
      <c r="BX255" s="5489">
        <f t="shared" si="318"/>
        <v>57</v>
      </c>
      <c r="BY255" s="5490">
        <f t="shared" si="319"/>
        <v>28.5</v>
      </c>
      <c r="CA255" s="169">
        <f t="shared" si="308"/>
        <v>-58</v>
      </c>
      <c r="CB255" s="169">
        <f t="shared" si="320"/>
        <v>-17.249999999999996</v>
      </c>
      <c r="CC255" s="169">
        <f>IFERROR(
  SUM(
    _xlfn.XLOOKUP(DATE(YEAR($A$1),1,1),$2:$2,255:255):
    _xlfn.XLOOKUP($A$1,$2:$2,255:255)
  )
 -SUM(
    _xlfn.XLOOKUP(DATE(YEAR($A$1)-1,1,1),$2:$2,255:255):
    _xlfn.XLOOKUP(EDATE($A$1,-12),$2:$2,255:255)
  ),"")</f>
        <v>-32</v>
      </c>
      <c r="CD255" s="4517">
        <f t="shared" si="310"/>
        <v>-23</v>
      </c>
      <c r="CE255" s="5459"/>
      <c r="CF255" s="5459"/>
    </row>
    <row r="256" spans="1:84" ht="17.600000000000001" x14ac:dyDescent="0.55000000000000004">
      <c r="A256" s="7347"/>
      <c r="B256" s="5131" t="s">
        <v>251</v>
      </c>
      <c r="C256" s="5132"/>
      <c r="D256" s="5456">
        <f t="shared" ref="D256:O256" si="327">SUM(D257:D259)</f>
        <v>555</v>
      </c>
      <c r="E256" s="5457">
        <f t="shared" si="327"/>
        <v>545</v>
      </c>
      <c r="F256" s="5457">
        <f t="shared" si="327"/>
        <v>532</v>
      </c>
      <c r="G256" s="5457">
        <f t="shared" si="327"/>
        <v>593</v>
      </c>
      <c r="H256" s="5457">
        <f t="shared" si="327"/>
        <v>568</v>
      </c>
      <c r="I256" s="5457">
        <f t="shared" si="327"/>
        <v>437</v>
      </c>
      <c r="J256" s="5457">
        <f t="shared" si="327"/>
        <v>521</v>
      </c>
      <c r="K256" s="5457">
        <f t="shared" si="327"/>
        <v>570</v>
      </c>
      <c r="L256" s="5457">
        <f t="shared" si="327"/>
        <v>441</v>
      </c>
      <c r="M256" s="5457">
        <f t="shared" si="327"/>
        <v>497</v>
      </c>
      <c r="N256" s="5457">
        <f t="shared" si="327"/>
        <v>443</v>
      </c>
      <c r="O256" s="5457">
        <f t="shared" si="327"/>
        <v>407</v>
      </c>
      <c r="P256" s="5457">
        <f t="shared" si="311"/>
        <v>6109</v>
      </c>
      <c r="Q256" s="5458">
        <f t="shared" si="312"/>
        <v>509.08333333333331</v>
      </c>
      <c r="R256" s="2776"/>
      <c r="S256" s="5456">
        <f>SUM(S257:S259)</f>
        <v>477</v>
      </c>
      <c r="T256" s="5457">
        <f t="shared" ref="T256:AD256" si="328">SUM(T257:T259)</f>
        <v>526</v>
      </c>
      <c r="U256" s="5457">
        <f t="shared" si="328"/>
        <v>498</v>
      </c>
      <c r="V256" s="5457">
        <f t="shared" si="328"/>
        <v>466</v>
      </c>
      <c r="W256" s="5457">
        <f t="shared" si="328"/>
        <v>482</v>
      </c>
      <c r="X256" s="5457">
        <f t="shared" si="328"/>
        <v>387</v>
      </c>
      <c r="Y256" s="5457">
        <f t="shared" si="328"/>
        <v>453</v>
      </c>
      <c r="Z256" s="5457">
        <f t="shared" si="328"/>
        <v>543</v>
      </c>
      <c r="AA256" s="5457">
        <f t="shared" si="328"/>
        <v>417</v>
      </c>
      <c r="AB256" s="5457">
        <f t="shared" si="328"/>
        <v>505</v>
      </c>
      <c r="AC256" s="5457">
        <f t="shared" si="328"/>
        <v>417</v>
      </c>
      <c r="AD256" s="5457">
        <f t="shared" si="328"/>
        <v>348</v>
      </c>
      <c r="AE256" s="5457">
        <f t="shared" si="313"/>
        <v>5519</v>
      </c>
      <c r="AF256" s="5458">
        <f t="shared" si="314"/>
        <v>459.91666666666669</v>
      </c>
      <c r="AG256" s="2776"/>
      <c r="AH256" s="5456">
        <f t="shared" ref="AH256:AM256" si="329">SUM(AH257:AH259)</f>
        <v>666</v>
      </c>
      <c r="AI256" s="5457">
        <f t="shared" si="329"/>
        <v>459</v>
      </c>
      <c r="AJ256" s="5457">
        <f t="shared" si="329"/>
        <v>592</v>
      </c>
      <c r="AK256" s="5457">
        <f t="shared" si="329"/>
        <v>515</v>
      </c>
      <c r="AL256" s="5457">
        <f t="shared" si="329"/>
        <v>607</v>
      </c>
      <c r="AM256" s="5457">
        <f t="shared" si="329"/>
        <v>549</v>
      </c>
      <c r="AN256" s="5457">
        <v>564</v>
      </c>
      <c r="AO256" s="5457">
        <f>SUM(AO257:AO259)</f>
        <v>506</v>
      </c>
      <c r="AP256" s="5457">
        <f>SUM(AP257:AP259)</f>
        <v>549</v>
      </c>
      <c r="AQ256" s="5457">
        <f>SUM(AQ257:AQ259)</f>
        <v>602</v>
      </c>
      <c r="AR256" s="5457">
        <v>600</v>
      </c>
      <c r="AS256" s="5457">
        <v>486</v>
      </c>
      <c r="AT256" s="5457">
        <f t="shared" si="315"/>
        <v>6695</v>
      </c>
      <c r="AU256" s="5458">
        <f t="shared" si="307"/>
        <v>557.91666666666663</v>
      </c>
      <c r="AW256" s="5456">
        <v>506</v>
      </c>
      <c r="AX256" s="5457">
        <v>662</v>
      </c>
      <c r="AY256" s="5457">
        <v>505</v>
      </c>
      <c r="AZ256" s="5457">
        <v>563</v>
      </c>
      <c r="BA256" s="5457">
        <v>563</v>
      </c>
      <c r="BB256" s="5457">
        <v>536</v>
      </c>
      <c r="BC256" s="5457">
        <v>626</v>
      </c>
      <c r="BD256" s="5457">
        <v>459</v>
      </c>
      <c r="BE256" s="5457">
        <v>601</v>
      </c>
      <c r="BF256" s="5457">
        <v>488</v>
      </c>
      <c r="BG256" s="5457">
        <v>510</v>
      </c>
      <c r="BH256" s="5457">
        <v>575</v>
      </c>
      <c r="BI256" s="5457">
        <f t="shared" si="316"/>
        <v>6594</v>
      </c>
      <c r="BJ256" s="5458">
        <f t="shared" si="317"/>
        <v>549.5</v>
      </c>
      <c r="BL256" s="5456">
        <v>634</v>
      </c>
      <c r="BM256" s="5457">
        <v>441</v>
      </c>
      <c r="BN256" s="5457"/>
      <c r="BO256" s="5457"/>
      <c r="BP256" s="5457"/>
      <c r="BQ256" s="5457"/>
      <c r="BR256" s="5457"/>
      <c r="BS256" s="5457"/>
      <c r="BT256" s="5457"/>
      <c r="BU256" s="5457"/>
      <c r="BV256" s="5457"/>
      <c r="BW256" s="5457"/>
      <c r="BX256" s="5457">
        <f t="shared" si="318"/>
        <v>1075</v>
      </c>
      <c r="BY256" s="5458">
        <f t="shared" si="319"/>
        <v>537.5</v>
      </c>
      <c r="CA256" s="169">
        <f t="shared" si="308"/>
        <v>-221</v>
      </c>
      <c r="CB256" s="169">
        <f t="shared" si="320"/>
        <v>-8.4166666666666288</v>
      </c>
      <c r="CC256" s="169">
        <f>IFERROR(
  SUM(
    _xlfn.XLOOKUP(DATE(YEAR($A$1),1,1),$2:$2,256:256):
    _xlfn.XLOOKUP($A$1,$2:$2,256:256)
  )
 -SUM(
    _xlfn.XLOOKUP(DATE(YEAR($A$1)-1,1,1),$2:$2,256:256):
    _xlfn.XLOOKUP(EDATE($A$1,-12),$2:$2,256:256)
  ),"")</f>
        <v>-93</v>
      </c>
      <c r="CD256" s="4517">
        <f t="shared" si="310"/>
        <v>-193</v>
      </c>
      <c r="CE256" s="5459"/>
      <c r="CF256" s="5459"/>
    </row>
    <row r="257" spans="1:84" ht="17.600000000000001" x14ac:dyDescent="0.55000000000000004">
      <c r="A257" s="7347"/>
      <c r="B257" s="5460"/>
      <c r="C257" s="786" t="s">
        <v>250</v>
      </c>
      <c r="D257" s="5461">
        <v>58</v>
      </c>
      <c r="E257" s="5462">
        <v>33</v>
      </c>
      <c r="F257" s="5462">
        <v>50</v>
      </c>
      <c r="G257" s="5462">
        <v>70</v>
      </c>
      <c r="H257" s="5462">
        <v>66</v>
      </c>
      <c r="I257" s="5462">
        <v>43</v>
      </c>
      <c r="J257" s="5462">
        <v>35</v>
      </c>
      <c r="K257" s="5462">
        <v>56</v>
      </c>
      <c r="L257" s="5462">
        <v>36</v>
      </c>
      <c r="M257" s="5462">
        <v>46</v>
      </c>
      <c r="N257" s="5462">
        <v>21</v>
      </c>
      <c r="O257" s="5462">
        <v>25</v>
      </c>
      <c r="P257" s="5462">
        <f t="shared" si="311"/>
        <v>539</v>
      </c>
      <c r="Q257" s="5463">
        <f t="shared" si="312"/>
        <v>44.916666666666664</v>
      </c>
      <c r="R257" s="2776"/>
      <c r="S257" s="5461">
        <v>40</v>
      </c>
      <c r="T257" s="5462">
        <v>48</v>
      </c>
      <c r="U257" s="5462">
        <v>27</v>
      </c>
      <c r="V257" s="5462">
        <v>24</v>
      </c>
      <c r="W257" s="5462">
        <v>41</v>
      </c>
      <c r="X257" s="5462">
        <v>30</v>
      </c>
      <c r="Y257" s="5462">
        <v>30</v>
      </c>
      <c r="Z257" s="5462">
        <v>54</v>
      </c>
      <c r="AA257" s="5462">
        <v>44</v>
      </c>
      <c r="AB257" s="5462">
        <v>45</v>
      </c>
      <c r="AC257" s="5462">
        <v>42</v>
      </c>
      <c r="AD257" s="5462">
        <v>24</v>
      </c>
      <c r="AE257" s="5462">
        <f t="shared" si="313"/>
        <v>449</v>
      </c>
      <c r="AF257" s="5463">
        <f t="shared" si="314"/>
        <v>37.416666666666664</v>
      </c>
      <c r="AG257" s="2776"/>
      <c r="AH257" s="5461">
        <v>57</v>
      </c>
      <c r="AI257" s="5462">
        <v>23</v>
      </c>
      <c r="AJ257" s="5462">
        <v>44</v>
      </c>
      <c r="AK257" s="5462">
        <v>31</v>
      </c>
      <c r="AL257" s="5462">
        <v>60</v>
      </c>
      <c r="AM257" s="5462">
        <v>32</v>
      </c>
      <c r="AN257" s="5462">
        <v>56</v>
      </c>
      <c r="AO257" s="5462">
        <v>53</v>
      </c>
      <c r="AP257" s="5462">
        <v>64</v>
      </c>
      <c r="AQ257" s="5462">
        <v>42</v>
      </c>
      <c r="AR257" s="5462">
        <v>56</v>
      </c>
      <c r="AS257" s="5462">
        <v>47</v>
      </c>
      <c r="AT257" s="5462">
        <f t="shared" si="315"/>
        <v>565</v>
      </c>
      <c r="AU257" s="5463">
        <f t="shared" si="307"/>
        <v>47.083333333333336</v>
      </c>
      <c r="AW257" s="5461">
        <v>43</v>
      </c>
      <c r="AX257" s="5462">
        <v>97</v>
      </c>
      <c r="AY257" s="5462">
        <v>57</v>
      </c>
      <c r="AZ257" s="5462">
        <v>57</v>
      </c>
      <c r="BA257" s="5462">
        <v>193</v>
      </c>
      <c r="BB257" s="5462">
        <v>68</v>
      </c>
      <c r="BC257" s="5462">
        <v>81</v>
      </c>
      <c r="BD257" s="5462">
        <v>40</v>
      </c>
      <c r="BE257" s="5462">
        <v>78</v>
      </c>
      <c r="BF257" s="5462">
        <v>57</v>
      </c>
      <c r="BG257" s="5462">
        <v>64</v>
      </c>
      <c r="BH257" s="5462">
        <v>54</v>
      </c>
      <c r="BI257" s="5462">
        <f t="shared" si="316"/>
        <v>889</v>
      </c>
      <c r="BJ257" s="5463">
        <f t="shared" si="317"/>
        <v>74.083333333333329</v>
      </c>
      <c r="BL257" s="5461">
        <v>79</v>
      </c>
      <c r="BM257" s="5462">
        <v>49</v>
      </c>
      <c r="BN257" s="5462"/>
      <c r="BO257" s="5462"/>
      <c r="BP257" s="5462"/>
      <c r="BQ257" s="5462"/>
      <c r="BR257" s="5462"/>
      <c r="BS257" s="5462"/>
      <c r="BT257" s="5462"/>
      <c r="BU257" s="5462"/>
      <c r="BV257" s="5462"/>
      <c r="BW257" s="5462"/>
      <c r="BX257" s="5462">
        <f t="shared" si="318"/>
        <v>128</v>
      </c>
      <c r="BY257" s="5463">
        <f t="shared" si="319"/>
        <v>64</v>
      </c>
      <c r="CA257" s="169">
        <f t="shared" si="308"/>
        <v>-48</v>
      </c>
      <c r="CB257" s="169">
        <f t="shared" si="320"/>
        <v>26.999999999999993</v>
      </c>
      <c r="CC257" s="169">
        <f>IFERROR(
  SUM(
    _xlfn.XLOOKUP(DATE(YEAR($A$1),1,1),$2:$2,257:257):
    _xlfn.XLOOKUP($A$1,$2:$2,257:257)
  )
 -SUM(
    _xlfn.XLOOKUP(DATE(YEAR($A$1)-1,1,1),$2:$2,257:257):
    _xlfn.XLOOKUP(EDATE($A$1,-12),$2:$2,257:257)
  ),"")</f>
        <v>-12</v>
      </c>
      <c r="CD257" s="4517">
        <f t="shared" si="310"/>
        <v>-30</v>
      </c>
      <c r="CE257" s="5459"/>
      <c r="CF257" s="5459"/>
    </row>
    <row r="258" spans="1:84" ht="17.600000000000001" x14ac:dyDescent="0.55000000000000004">
      <c r="A258" s="7347"/>
      <c r="B258" s="5460"/>
      <c r="C258" s="786" t="s">
        <v>263</v>
      </c>
      <c r="D258" s="5461">
        <v>129</v>
      </c>
      <c r="E258" s="5462">
        <v>113</v>
      </c>
      <c r="F258" s="5462">
        <v>116</v>
      </c>
      <c r="G258" s="5462">
        <v>140</v>
      </c>
      <c r="H258" s="5462">
        <v>115</v>
      </c>
      <c r="I258" s="5462">
        <v>94</v>
      </c>
      <c r="J258" s="5462">
        <v>100</v>
      </c>
      <c r="K258" s="5462">
        <v>109</v>
      </c>
      <c r="L258" s="5462">
        <v>94</v>
      </c>
      <c r="M258" s="5462">
        <v>91</v>
      </c>
      <c r="N258" s="5462">
        <v>83</v>
      </c>
      <c r="O258" s="5462">
        <v>89</v>
      </c>
      <c r="P258" s="5462">
        <f t="shared" si="311"/>
        <v>1273</v>
      </c>
      <c r="Q258" s="5463">
        <f t="shared" si="312"/>
        <v>106.08333333333333</v>
      </c>
      <c r="R258" s="2776"/>
      <c r="S258" s="5461">
        <v>78</v>
      </c>
      <c r="T258" s="5462">
        <v>110</v>
      </c>
      <c r="U258" s="5462">
        <v>97</v>
      </c>
      <c r="V258" s="5462">
        <v>94</v>
      </c>
      <c r="W258" s="5462">
        <v>96</v>
      </c>
      <c r="X258" s="5462">
        <v>86</v>
      </c>
      <c r="Y258" s="5462">
        <v>104</v>
      </c>
      <c r="Z258" s="5462">
        <v>116</v>
      </c>
      <c r="AA258" s="5462">
        <v>103</v>
      </c>
      <c r="AB258" s="5462">
        <v>113</v>
      </c>
      <c r="AC258" s="5462">
        <v>103</v>
      </c>
      <c r="AD258" s="5462">
        <v>64</v>
      </c>
      <c r="AE258" s="5462">
        <f t="shared" si="313"/>
        <v>1164</v>
      </c>
      <c r="AF258" s="5463">
        <f t="shared" si="314"/>
        <v>97</v>
      </c>
      <c r="AG258" s="2776"/>
      <c r="AH258" s="5461">
        <v>146</v>
      </c>
      <c r="AI258" s="5462">
        <v>93</v>
      </c>
      <c r="AJ258" s="5462">
        <v>144</v>
      </c>
      <c r="AK258" s="5462">
        <v>110</v>
      </c>
      <c r="AL258" s="5462">
        <v>131</v>
      </c>
      <c r="AM258" s="5462">
        <v>108</v>
      </c>
      <c r="AN258" s="5462">
        <v>124</v>
      </c>
      <c r="AO258" s="5462">
        <v>106</v>
      </c>
      <c r="AP258" s="5462">
        <v>93</v>
      </c>
      <c r="AQ258" s="5462">
        <v>166</v>
      </c>
      <c r="AR258" s="5462">
        <v>143</v>
      </c>
      <c r="AS258" s="5462">
        <v>98</v>
      </c>
      <c r="AT258" s="5462">
        <f t="shared" si="315"/>
        <v>1462</v>
      </c>
      <c r="AU258" s="5463">
        <f t="shared" si="307"/>
        <v>121.83333333333333</v>
      </c>
      <c r="AW258" s="5461">
        <v>100</v>
      </c>
      <c r="AX258" s="5462">
        <v>128</v>
      </c>
      <c r="AY258" s="5462">
        <v>123</v>
      </c>
      <c r="AZ258" s="5462">
        <v>129</v>
      </c>
      <c r="BA258" s="5462">
        <v>229</v>
      </c>
      <c r="BB258" s="5462">
        <v>115</v>
      </c>
      <c r="BC258" s="5462">
        <v>147</v>
      </c>
      <c r="BD258" s="5462">
        <v>105</v>
      </c>
      <c r="BE258" s="5462">
        <v>148</v>
      </c>
      <c r="BF258" s="5462">
        <v>105</v>
      </c>
      <c r="BG258" s="5462">
        <v>113</v>
      </c>
      <c r="BH258" s="5462">
        <v>121</v>
      </c>
      <c r="BI258" s="5462">
        <f t="shared" si="316"/>
        <v>1563</v>
      </c>
      <c r="BJ258" s="5463">
        <f t="shared" si="317"/>
        <v>130.25</v>
      </c>
      <c r="BL258" s="5461">
        <v>142</v>
      </c>
      <c r="BM258" s="5462">
        <v>86</v>
      </c>
      <c r="BN258" s="5462"/>
      <c r="BO258" s="5462"/>
      <c r="BP258" s="5462"/>
      <c r="BQ258" s="5462"/>
      <c r="BR258" s="5462"/>
      <c r="BS258" s="5462"/>
      <c r="BT258" s="5462"/>
      <c r="BU258" s="5462"/>
      <c r="BV258" s="5462"/>
      <c r="BW258" s="5462"/>
      <c r="BX258" s="5462">
        <f t="shared" si="318"/>
        <v>228</v>
      </c>
      <c r="BY258" s="5463">
        <f t="shared" si="319"/>
        <v>114</v>
      </c>
      <c r="CA258" s="169">
        <f t="shared" si="308"/>
        <v>-42</v>
      </c>
      <c r="CB258" s="169">
        <f t="shared" si="320"/>
        <v>8.4166666666666714</v>
      </c>
      <c r="CC258" s="169">
        <f>IFERROR(
  SUM(
    _xlfn.XLOOKUP(DATE(YEAR($A$1),1,1),$2:$2,258:258):
    _xlfn.XLOOKUP($A$1,$2:$2,258:258)
  )
 -SUM(
    _xlfn.XLOOKUP(DATE(YEAR($A$1)-1,1,1),$2:$2,258:258):
    _xlfn.XLOOKUP(EDATE($A$1,-12),$2:$2,258:258)
  ),"")</f>
        <v>0</v>
      </c>
      <c r="CD258" s="4517">
        <f t="shared" si="310"/>
        <v>-56</v>
      </c>
      <c r="CE258" s="5459"/>
      <c r="CF258" s="5459"/>
    </row>
    <row r="259" spans="1:84" ht="17.600000000000001" x14ac:dyDescent="0.55000000000000004">
      <c r="A259" s="7347"/>
      <c r="B259" s="5460"/>
      <c r="C259" s="786" t="s">
        <v>262</v>
      </c>
      <c r="D259" s="5461">
        <v>368</v>
      </c>
      <c r="E259" s="5462">
        <v>399</v>
      </c>
      <c r="F259" s="5462">
        <v>366</v>
      </c>
      <c r="G259" s="5462">
        <v>383</v>
      </c>
      <c r="H259" s="5462">
        <v>387</v>
      </c>
      <c r="I259" s="5462">
        <v>300</v>
      </c>
      <c r="J259" s="5462">
        <v>386</v>
      </c>
      <c r="K259" s="5462">
        <v>405</v>
      </c>
      <c r="L259" s="5462">
        <v>311</v>
      </c>
      <c r="M259" s="5462">
        <v>360</v>
      </c>
      <c r="N259" s="5462">
        <v>339</v>
      </c>
      <c r="O259" s="5462">
        <v>293</v>
      </c>
      <c r="P259" s="5462">
        <f t="shared" si="311"/>
        <v>4297</v>
      </c>
      <c r="Q259" s="5463">
        <f t="shared" si="312"/>
        <v>358.08333333333331</v>
      </c>
      <c r="R259" s="2776"/>
      <c r="S259" s="5461">
        <v>359</v>
      </c>
      <c r="T259" s="5462">
        <v>368</v>
      </c>
      <c r="U259" s="5462">
        <v>374</v>
      </c>
      <c r="V259" s="5462">
        <v>348</v>
      </c>
      <c r="W259" s="5462">
        <v>345</v>
      </c>
      <c r="X259" s="5462">
        <v>271</v>
      </c>
      <c r="Y259" s="5462">
        <v>319</v>
      </c>
      <c r="Z259" s="5462">
        <v>373</v>
      </c>
      <c r="AA259" s="5462">
        <v>270</v>
      </c>
      <c r="AB259" s="5462">
        <v>347</v>
      </c>
      <c r="AC259" s="5462">
        <v>272</v>
      </c>
      <c r="AD259" s="5462">
        <v>260</v>
      </c>
      <c r="AE259" s="5462">
        <f t="shared" si="313"/>
        <v>3906</v>
      </c>
      <c r="AF259" s="5463">
        <f t="shared" si="314"/>
        <v>325.5</v>
      </c>
      <c r="AG259" s="2776"/>
      <c r="AH259" s="5461">
        <v>463</v>
      </c>
      <c r="AI259" s="5462">
        <v>343</v>
      </c>
      <c r="AJ259" s="5462">
        <v>404</v>
      </c>
      <c r="AK259" s="5462">
        <v>374</v>
      </c>
      <c r="AL259" s="5462">
        <v>416</v>
      </c>
      <c r="AM259" s="5462">
        <v>409</v>
      </c>
      <c r="AN259" s="5462">
        <v>384</v>
      </c>
      <c r="AO259" s="5462">
        <v>347</v>
      </c>
      <c r="AP259" s="5462">
        <v>392</v>
      </c>
      <c r="AQ259" s="5462">
        <v>394</v>
      </c>
      <c r="AR259" s="5462">
        <v>401</v>
      </c>
      <c r="AS259" s="5462">
        <v>341</v>
      </c>
      <c r="AT259" s="5462">
        <f t="shared" si="315"/>
        <v>4668</v>
      </c>
      <c r="AU259" s="5463">
        <f t="shared" si="307"/>
        <v>389</v>
      </c>
      <c r="AW259" s="5461">
        <v>363</v>
      </c>
      <c r="AX259" s="5462">
        <v>437</v>
      </c>
      <c r="AY259" s="5462">
        <v>325</v>
      </c>
      <c r="AZ259" s="5462">
        <v>377</v>
      </c>
      <c r="BA259" s="5462">
        <v>528</v>
      </c>
      <c r="BB259" s="5462">
        <v>353</v>
      </c>
      <c r="BC259" s="5462">
        <v>398</v>
      </c>
      <c r="BD259" s="5462">
        <v>314</v>
      </c>
      <c r="BE259" s="5462">
        <v>375</v>
      </c>
      <c r="BF259" s="5462">
        <v>326</v>
      </c>
      <c r="BG259" s="5462">
        <v>333</v>
      </c>
      <c r="BH259" s="5462">
        <v>400</v>
      </c>
      <c r="BI259" s="5462">
        <f t="shared" si="316"/>
        <v>4529</v>
      </c>
      <c r="BJ259" s="5463">
        <f t="shared" si="317"/>
        <v>377.41666666666669</v>
      </c>
      <c r="BL259" s="5461">
        <v>413</v>
      </c>
      <c r="BM259" s="5462">
        <v>306</v>
      </c>
      <c r="BN259" s="5462"/>
      <c r="BO259" s="5462"/>
      <c r="BP259" s="5462"/>
      <c r="BQ259" s="5462"/>
      <c r="BR259" s="5462"/>
      <c r="BS259" s="5462"/>
      <c r="BT259" s="5462"/>
      <c r="BU259" s="5462"/>
      <c r="BV259" s="5462"/>
      <c r="BW259" s="5462"/>
      <c r="BX259" s="5462">
        <f t="shared" si="318"/>
        <v>719</v>
      </c>
      <c r="BY259" s="5463">
        <f t="shared" si="319"/>
        <v>359.5</v>
      </c>
      <c r="CA259" s="169">
        <f t="shared" si="308"/>
        <v>-131</v>
      </c>
      <c r="CB259" s="169">
        <f t="shared" si="320"/>
        <v>-11.583333333333314</v>
      </c>
      <c r="CC259" s="169">
        <f>IFERROR(
  SUM(
    _xlfn.XLOOKUP(DATE(YEAR($A$1),1,1),$2:$2,259:259):
    _xlfn.XLOOKUP($A$1,$2:$2,259:259)
  )
 -SUM(
    _xlfn.XLOOKUP(DATE(YEAR($A$1)-1,1,1),$2:$2,259:259):
    _xlfn.XLOOKUP(EDATE($A$1,-12),$2:$2,259:259)
  ),"")</f>
        <v>-81</v>
      </c>
      <c r="CD259" s="4517">
        <f t="shared" si="310"/>
        <v>-107</v>
      </c>
      <c r="CE259" s="5459"/>
      <c r="CF259" s="5459"/>
    </row>
    <row r="260" spans="1:84" ht="17.600000000000001" x14ac:dyDescent="0.55000000000000004">
      <c r="A260" s="7347"/>
      <c r="B260" s="5464" t="s">
        <v>206</v>
      </c>
      <c r="C260" s="1799"/>
      <c r="D260" s="5465">
        <v>107</v>
      </c>
      <c r="E260" s="5466">
        <v>110</v>
      </c>
      <c r="F260" s="5466">
        <v>107</v>
      </c>
      <c r="G260" s="5466">
        <v>149</v>
      </c>
      <c r="H260" s="5466">
        <v>157</v>
      </c>
      <c r="I260" s="5466">
        <v>126</v>
      </c>
      <c r="J260" s="5466">
        <v>94</v>
      </c>
      <c r="K260" s="5466">
        <v>112</v>
      </c>
      <c r="L260" s="5466">
        <v>107</v>
      </c>
      <c r="M260" s="5466">
        <v>121</v>
      </c>
      <c r="N260" s="5466">
        <v>77</v>
      </c>
      <c r="O260" s="5466">
        <v>94</v>
      </c>
      <c r="P260" s="5466">
        <v>1361</v>
      </c>
      <c r="Q260" s="5467">
        <v>113.41666666666667</v>
      </c>
      <c r="R260" s="2776"/>
      <c r="S260" s="5465">
        <v>99</v>
      </c>
      <c r="T260" s="5466">
        <v>110</v>
      </c>
      <c r="U260" s="5466">
        <v>90</v>
      </c>
      <c r="V260" s="5466">
        <v>76</v>
      </c>
      <c r="W260" s="5466">
        <v>93</v>
      </c>
      <c r="X260" s="5466">
        <v>77</v>
      </c>
      <c r="Y260" s="5466">
        <v>95</v>
      </c>
      <c r="Z260" s="5466">
        <v>150</v>
      </c>
      <c r="AA260" s="5466">
        <v>68</v>
      </c>
      <c r="AB260" s="5466">
        <v>93</v>
      </c>
      <c r="AC260" s="5466">
        <v>90</v>
      </c>
      <c r="AD260" s="5466">
        <v>65</v>
      </c>
      <c r="AE260" s="5466">
        <v>1106</v>
      </c>
      <c r="AF260" s="5467">
        <v>92.166666666666671</v>
      </c>
      <c r="AG260" s="2776"/>
      <c r="AH260" s="5465">
        <v>136</v>
      </c>
      <c r="AI260" s="5466">
        <v>65</v>
      </c>
      <c r="AJ260" s="5466">
        <v>118</v>
      </c>
      <c r="AK260" s="5466">
        <v>103</v>
      </c>
      <c r="AL260" s="5466">
        <v>116</v>
      </c>
      <c r="AM260" s="5466">
        <v>97</v>
      </c>
      <c r="AN260" s="5466">
        <v>114</v>
      </c>
      <c r="AO260" s="5466">
        <v>93</v>
      </c>
      <c r="AP260" s="5466">
        <v>112</v>
      </c>
      <c r="AQ260" s="5466">
        <v>137</v>
      </c>
      <c r="AR260" s="5466">
        <v>131</v>
      </c>
      <c r="AS260" s="5466">
        <v>93</v>
      </c>
      <c r="AT260" s="5466">
        <f t="shared" si="315"/>
        <v>1315</v>
      </c>
      <c r="AU260" s="5467">
        <f t="shared" si="307"/>
        <v>109.58333333333333</v>
      </c>
      <c r="AW260" s="5465">
        <v>94</v>
      </c>
      <c r="AX260" s="5466">
        <v>127</v>
      </c>
      <c r="AY260" s="5466">
        <v>95</v>
      </c>
      <c r="AZ260" s="5466">
        <v>108</v>
      </c>
      <c r="BA260" s="5466">
        <v>189</v>
      </c>
      <c r="BB260" s="5466">
        <v>88</v>
      </c>
      <c r="BC260" s="5466">
        <v>128</v>
      </c>
      <c r="BD260" s="5466">
        <v>95</v>
      </c>
      <c r="BE260" s="5466">
        <v>121</v>
      </c>
      <c r="BF260" s="5466">
        <v>99</v>
      </c>
      <c r="BG260" s="5466">
        <v>111</v>
      </c>
      <c r="BH260" s="5466">
        <v>131</v>
      </c>
      <c r="BI260" s="5466">
        <f t="shared" si="316"/>
        <v>1386</v>
      </c>
      <c r="BJ260" s="5467">
        <f t="shared" si="317"/>
        <v>115.5</v>
      </c>
      <c r="BL260" s="5465">
        <v>101</v>
      </c>
      <c r="BM260" s="5466">
        <v>66</v>
      </c>
      <c r="BN260" s="5466"/>
      <c r="BO260" s="5466"/>
      <c r="BP260" s="5466"/>
      <c r="BQ260" s="5466"/>
      <c r="BR260" s="5466"/>
      <c r="BS260" s="5466"/>
      <c r="BT260" s="5466"/>
      <c r="BU260" s="5466"/>
      <c r="BV260" s="5466"/>
      <c r="BW260" s="5466"/>
      <c r="BX260" s="5466">
        <f t="shared" si="318"/>
        <v>167</v>
      </c>
      <c r="BY260" s="5467">
        <f t="shared" si="319"/>
        <v>83.5</v>
      </c>
      <c r="CA260" s="169">
        <f t="shared" si="308"/>
        <v>-61</v>
      </c>
      <c r="CB260" s="169">
        <f t="shared" si="320"/>
        <v>5.9166666666666714</v>
      </c>
      <c r="CC260" s="169">
        <f>IFERROR(
  SUM(
    _xlfn.XLOOKUP(DATE(YEAR($A$1),1,1),$2:$2,260:260):
    _xlfn.XLOOKUP($A$1,$2:$2,260:260)
  )
 -SUM(
    _xlfn.XLOOKUP(DATE(YEAR($A$1)-1,1,1),$2:$2,260:260):
    _xlfn.XLOOKUP(EDATE($A$1,-12),$2:$2,260:260)
  ),"")</f>
        <v>-54</v>
      </c>
      <c r="CD260" s="4517">
        <f t="shared" si="310"/>
        <v>-35</v>
      </c>
      <c r="CE260" s="5459"/>
      <c r="CF260" s="5459"/>
    </row>
    <row r="261" spans="1:84" ht="17.600000000000001" x14ac:dyDescent="0.55000000000000004">
      <c r="A261" s="7347"/>
      <c r="B261" s="5468" t="s">
        <v>207</v>
      </c>
      <c r="C261" s="1576"/>
      <c r="D261" s="5469">
        <v>123</v>
      </c>
      <c r="E261" s="2636">
        <v>98</v>
      </c>
      <c r="F261" s="2636">
        <v>130</v>
      </c>
      <c r="G261" s="2636">
        <v>89</v>
      </c>
      <c r="H261" s="2636">
        <v>98</v>
      </c>
      <c r="I261" s="2636">
        <v>67</v>
      </c>
      <c r="J261" s="2636">
        <v>54</v>
      </c>
      <c r="K261" s="2636">
        <v>90</v>
      </c>
      <c r="L261" s="2636">
        <v>46</v>
      </c>
      <c r="M261" s="2636">
        <v>86</v>
      </c>
      <c r="N261" s="2636">
        <v>82</v>
      </c>
      <c r="O261" s="2636">
        <v>70</v>
      </c>
      <c r="P261" s="2636">
        <v>1033</v>
      </c>
      <c r="Q261" s="5470">
        <v>86.083333333333329</v>
      </c>
      <c r="R261" s="2776"/>
      <c r="S261" s="5469">
        <v>62</v>
      </c>
      <c r="T261" s="2636">
        <v>81</v>
      </c>
      <c r="U261" s="2636">
        <v>61</v>
      </c>
      <c r="V261" s="2636">
        <v>48</v>
      </c>
      <c r="W261" s="2636">
        <v>61</v>
      </c>
      <c r="X261" s="2636">
        <v>39</v>
      </c>
      <c r="Y261" s="2636">
        <v>67</v>
      </c>
      <c r="Z261" s="2636">
        <v>61</v>
      </c>
      <c r="AA261" s="2636">
        <v>64</v>
      </c>
      <c r="AB261" s="2636">
        <v>65</v>
      </c>
      <c r="AC261" s="2636">
        <v>57</v>
      </c>
      <c r="AD261" s="2636">
        <v>51</v>
      </c>
      <c r="AE261" s="2636">
        <v>717</v>
      </c>
      <c r="AF261" s="5470">
        <v>59.75</v>
      </c>
      <c r="AG261" s="2776"/>
      <c r="AH261" s="5469">
        <v>86</v>
      </c>
      <c r="AI261" s="2636">
        <v>66</v>
      </c>
      <c r="AJ261" s="2636">
        <v>82</v>
      </c>
      <c r="AK261" s="2636">
        <v>54</v>
      </c>
      <c r="AL261" s="2636">
        <v>69</v>
      </c>
      <c r="AM261" s="2636">
        <v>73</v>
      </c>
      <c r="AN261" s="2636">
        <v>64</v>
      </c>
      <c r="AO261" s="2636">
        <v>85</v>
      </c>
      <c r="AP261" s="2636">
        <v>88</v>
      </c>
      <c r="AQ261" s="2636">
        <v>61</v>
      </c>
      <c r="AR261" s="2636">
        <v>70</v>
      </c>
      <c r="AS261" s="2636">
        <v>58</v>
      </c>
      <c r="AT261" s="2636">
        <f t="shared" si="315"/>
        <v>856</v>
      </c>
      <c r="AU261" s="5470">
        <f t="shared" si="307"/>
        <v>71.333333333333329</v>
      </c>
      <c r="AW261" s="5469">
        <v>53</v>
      </c>
      <c r="AX261" s="2636">
        <v>82</v>
      </c>
      <c r="AY261" s="2636">
        <v>52</v>
      </c>
      <c r="AZ261" s="2636">
        <v>63</v>
      </c>
      <c r="BA261" s="2636">
        <v>144</v>
      </c>
      <c r="BB261" s="2636">
        <v>67</v>
      </c>
      <c r="BC261" s="2636">
        <v>75</v>
      </c>
      <c r="BD261" s="2636">
        <v>78</v>
      </c>
      <c r="BE261" s="2636">
        <v>81</v>
      </c>
      <c r="BF261" s="2636">
        <v>63</v>
      </c>
      <c r="BG261" s="2636">
        <v>59</v>
      </c>
      <c r="BH261" s="2636">
        <v>72</v>
      </c>
      <c r="BI261" s="2636">
        <f t="shared" si="316"/>
        <v>889</v>
      </c>
      <c r="BJ261" s="5470">
        <f t="shared" si="317"/>
        <v>74.083333333333329</v>
      </c>
      <c r="BL261" s="5469">
        <v>105</v>
      </c>
      <c r="BM261" s="2636">
        <v>62</v>
      </c>
      <c r="BN261" s="2636"/>
      <c r="BO261" s="2636"/>
      <c r="BP261" s="2636"/>
      <c r="BQ261" s="2636"/>
      <c r="BR261" s="2636"/>
      <c r="BS261" s="2636"/>
      <c r="BT261" s="2636"/>
      <c r="BU261" s="2636"/>
      <c r="BV261" s="2636"/>
      <c r="BW261" s="2636"/>
      <c r="BX261" s="2636">
        <f t="shared" si="318"/>
        <v>167</v>
      </c>
      <c r="BY261" s="5470">
        <f t="shared" si="319"/>
        <v>83.5</v>
      </c>
      <c r="CA261" s="169">
        <f t="shared" si="308"/>
        <v>-20</v>
      </c>
      <c r="CB261" s="169">
        <f t="shared" si="320"/>
        <v>2.75</v>
      </c>
      <c r="CC261" s="169">
        <f>IFERROR(
  SUM(
    _xlfn.XLOOKUP(DATE(YEAR($A$1),1,1),$2:$2,261:261):
    _xlfn.XLOOKUP($A$1,$2:$2,261:261)
  )
 -SUM(
    _xlfn.XLOOKUP(DATE(YEAR($A$1)-1,1,1),$2:$2,261:261):
    _xlfn.XLOOKUP(EDATE($A$1,-12),$2:$2,261:261)
  ),"")</f>
        <v>32</v>
      </c>
      <c r="CD261" s="4517">
        <f t="shared" si="310"/>
        <v>-43</v>
      </c>
      <c r="CE261" s="5459"/>
      <c r="CF261" s="5459"/>
    </row>
    <row r="262" spans="1:84" ht="17.600000000000001" x14ac:dyDescent="0.55000000000000004">
      <c r="A262" s="7347"/>
      <c r="B262" s="5468" t="s">
        <v>208</v>
      </c>
      <c r="C262" s="1576"/>
      <c r="D262" s="5469">
        <v>86</v>
      </c>
      <c r="E262" s="2636">
        <v>99</v>
      </c>
      <c r="F262" s="2636">
        <v>62</v>
      </c>
      <c r="G262" s="2636">
        <v>128</v>
      </c>
      <c r="H262" s="2636">
        <v>86</v>
      </c>
      <c r="I262" s="2636">
        <v>66</v>
      </c>
      <c r="J262" s="2636">
        <v>80</v>
      </c>
      <c r="K262" s="2636">
        <v>81</v>
      </c>
      <c r="L262" s="2636">
        <v>42</v>
      </c>
      <c r="M262" s="2636">
        <v>44</v>
      </c>
      <c r="N262" s="2636">
        <v>30</v>
      </c>
      <c r="O262" s="2636">
        <v>51</v>
      </c>
      <c r="P262" s="2636">
        <v>855</v>
      </c>
      <c r="Q262" s="5470">
        <v>71.25</v>
      </c>
      <c r="R262" s="2776"/>
      <c r="S262" s="5469">
        <v>54</v>
      </c>
      <c r="T262" s="2636">
        <v>52</v>
      </c>
      <c r="U262" s="2636">
        <v>66</v>
      </c>
      <c r="V262" s="2636">
        <v>50</v>
      </c>
      <c r="W262" s="2636">
        <v>51</v>
      </c>
      <c r="X262" s="2636">
        <v>39</v>
      </c>
      <c r="Y262" s="2636">
        <v>83</v>
      </c>
      <c r="Z262" s="2636">
        <v>72</v>
      </c>
      <c r="AA262" s="2636">
        <v>57</v>
      </c>
      <c r="AB262" s="2636">
        <v>75</v>
      </c>
      <c r="AC262" s="2636">
        <v>70</v>
      </c>
      <c r="AD262" s="2636">
        <v>49</v>
      </c>
      <c r="AE262" s="2636">
        <v>718</v>
      </c>
      <c r="AF262" s="5470">
        <v>59.833333333333336</v>
      </c>
      <c r="AG262" s="2776"/>
      <c r="AH262" s="5469">
        <v>71</v>
      </c>
      <c r="AI262" s="2636">
        <v>74</v>
      </c>
      <c r="AJ262" s="2636">
        <v>92</v>
      </c>
      <c r="AK262" s="2636">
        <v>78</v>
      </c>
      <c r="AL262" s="2636">
        <v>97</v>
      </c>
      <c r="AM262" s="2636">
        <v>98</v>
      </c>
      <c r="AN262" s="2636">
        <v>86</v>
      </c>
      <c r="AO262" s="2636">
        <v>85</v>
      </c>
      <c r="AP262" s="2636">
        <v>71</v>
      </c>
      <c r="AQ262" s="2636">
        <v>104</v>
      </c>
      <c r="AR262" s="2636">
        <v>75</v>
      </c>
      <c r="AS262" s="2636">
        <v>70</v>
      </c>
      <c r="AT262" s="2636">
        <f t="shared" si="315"/>
        <v>1001</v>
      </c>
      <c r="AU262" s="5470">
        <f t="shared" si="307"/>
        <v>83.416666666666671</v>
      </c>
      <c r="AW262" s="5469">
        <v>68</v>
      </c>
      <c r="AX262" s="2636">
        <v>112</v>
      </c>
      <c r="AY262" s="2636">
        <v>60</v>
      </c>
      <c r="AZ262" s="2636">
        <v>88</v>
      </c>
      <c r="BA262" s="2636">
        <v>125</v>
      </c>
      <c r="BB262" s="2636">
        <v>90</v>
      </c>
      <c r="BC262" s="2636">
        <v>96</v>
      </c>
      <c r="BD262" s="2636">
        <v>68</v>
      </c>
      <c r="BE262" s="2636">
        <v>88</v>
      </c>
      <c r="BF262" s="2636">
        <v>73</v>
      </c>
      <c r="BG262" s="2636">
        <v>67</v>
      </c>
      <c r="BH262" s="2636">
        <v>90</v>
      </c>
      <c r="BI262" s="2636">
        <f t="shared" si="316"/>
        <v>1025</v>
      </c>
      <c r="BJ262" s="5470">
        <f t="shared" si="317"/>
        <v>85.416666666666671</v>
      </c>
      <c r="BL262" s="5469">
        <v>102</v>
      </c>
      <c r="BM262" s="2636">
        <v>81</v>
      </c>
      <c r="BN262" s="2636"/>
      <c r="BO262" s="2636"/>
      <c r="BP262" s="2636"/>
      <c r="BQ262" s="2636"/>
      <c r="BR262" s="2636"/>
      <c r="BS262" s="2636"/>
      <c r="BT262" s="2636"/>
      <c r="BU262" s="2636"/>
      <c r="BV262" s="2636"/>
      <c r="BW262" s="2636"/>
      <c r="BX262" s="2636">
        <f t="shared" si="318"/>
        <v>183</v>
      </c>
      <c r="BY262" s="5470">
        <f t="shared" si="319"/>
        <v>91.5</v>
      </c>
      <c r="CA262" s="169">
        <f t="shared" si="308"/>
        <v>-31</v>
      </c>
      <c r="CB262" s="169">
        <f t="shared" si="320"/>
        <v>2</v>
      </c>
      <c r="CC262" s="169">
        <f>IFERROR(
  SUM(
    _xlfn.XLOOKUP(DATE(YEAR($A$1),1,1),$2:$2,262:262):
    _xlfn.XLOOKUP($A$1,$2:$2,262:262)
  )
 -SUM(
    _xlfn.XLOOKUP(DATE(YEAR($A$1)-1,1,1),$2:$2,262:262):
    _xlfn.XLOOKUP(EDATE($A$1,-12),$2:$2,262:262)
  ),"")</f>
        <v>3</v>
      </c>
      <c r="CD262" s="4517">
        <f t="shared" si="310"/>
        <v>-21</v>
      </c>
      <c r="CE262" s="5459"/>
      <c r="CF262" s="5459"/>
    </row>
    <row r="263" spans="1:84" ht="17.600000000000001" x14ac:dyDescent="0.55000000000000004">
      <c r="A263" s="7347"/>
      <c r="B263" s="5468" t="s">
        <v>209</v>
      </c>
      <c r="C263" s="1576"/>
      <c r="D263" s="5469">
        <v>98</v>
      </c>
      <c r="E263" s="2636">
        <v>125</v>
      </c>
      <c r="F263" s="2636">
        <v>126</v>
      </c>
      <c r="G263" s="2636">
        <v>117</v>
      </c>
      <c r="H263" s="2636">
        <v>110</v>
      </c>
      <c r="I263" s="2636">
        <v>84</v>
      </c>
      <c r="J263" s="2636">
        <v>156</v>
      </c>
      <c r="K263" s="2636">
        <v>144</v>
      </c>
      <c r="L263" s="2636">
        <v>113</v>
      </c>
      <c r="M263" s="2636">
        <v>122</v>
      </c>
      <c r="N263" s="2636">
        <v>119</v>
      </c>
      <c r="O263" s="2636">
        <v>78</v>
      </c>
      <c r="P263" s="2636">
        <v>1392</v>
      </c>
      <c r="Q263" s="5470">
        <v>116</v>
      </c>
      <c r="R263" s="2776"/>
      <c r="S263" s="5469">
        <v>131</v>
      </c>
      <c r="T263" s="2636">
        <v>137</v>
      </c>
      <c r="U263" s="2636">
        <v>134</v>
      </c>
      <c r="V263" s="2636">
        <v>133</v>
      </c>
      <c r="W263" s="2636">
        <v>142</v>
      </c>
      <c r="X263" s="2636">
        <v>123</v>
      </c>
      <c r="Y263" s="2636">
        <v>94</v>
      </c>
      <c r="Z263" s="2636">
        <v>106</v>
      </c>
      <c r="AA263" s="2636">
        <v>126</v>
      </c>
      <c r="AB263" s="2636">
        <v>145</v>
      </c>
      <c r="AC263" s="2636">
        <v>93</v>
      </c>
      <c r="AD263" s="2636">
        <v>98</v>
      </c>
      <c r="AE263" s="2636">
        <v>1462</v>
      </c>
      <c r="AF263" s="5470">
        <v>121.83333333333333</v>
      </c>
      <c r="AG263" s="2776"/>
      <c r="AH263" s="5469">
        <v>173</v>
      </c>
      <c r="AI263" s="2636">
        <v>132</v>
      </c>
      <c r="AJ263" s="2636">
        <v>163</v>
      </c>
      <c r="AK263" s="2636">
        <v>138</v>
      </c>
      <c r="AL263" s="2636">
        <v>178</v>
      </c>
      <c r="AM263" s="2636">
        <v>143</v>
      </c>
      <c r="AN263" s="2636">
        <v>148</v>
      </c>
      <c r="AO263" s="2636">
        <v>140</v>
      </c>
      <c r="AP263" s="2636">
        <v>154</v>
      </c>
      <c r="AQ263" s="2636">
        <v>147</v>
      </c>
      <c r="AR263" s="2636">
        <v>179</v>
      </c>
      <c r="AS263" s="2636">
        <v>139</v>
      </c>
      <c r="AT263" s="2636">
        <f t="shared" si="315"/>
        <v>1834</v>
      </c>
      <c r="AU263" s="5470">
        <f t="shared" si="307"/>
        <v>152.83333333333334</v>
      </c>
      <c r="AW263" s="5469">
        <v>170</v>
      </c>
      <c r="AX263" s="2636">
        <v>173</v>
      </c>
      <c r="AY263" s="2636">
        <v>176</v>
      </c>
      <c r="AZ263" s="2636">
        <v>181</v>
      </c>
      <c r="BA263" s="2636">
        <v>285</v>
      </c>
      <c r="BB263" s="2636">
        <v>179</v>
      </c>
      <c r="BC263" s="2636">
        <v>182</v>
      </c>
      <c r="BD263" s="2636">
        <v>124</v>
      </c>
      <c r="BE263" s="2636">
        <v>185</v>
      </c>
      <c r="BF263" s="2636">
        <v>158</v>
      </c>
      <c r="BG263" s="2636">
        <v>153</v>
      </c>
      <c r="BH263" s="2636">
        <v>160</v>
      </c>
      <c r="BI263" s="2636">
        <f t="shared" si="316"/>
        <v>2126</v>
      </c>
      <c r="BJ263" s="5470">
        <f t="shared" si="317"/>
        <v>177.16666666666666</v>
      </c>
      <c r="BL263" s="5469">
        <v>188</v>
      </c>
      <c r="BM263" s="2636">
        <v>120</v>
      </c>
      <c r="BN263" s="2636"/>
      <c r="BO263" s="2636"/>
      <c r="BP263" s="2636"/>
      <c r="BQ263" s="2636"/>
      <c r="BR263" s="2636"/>
      <c r="BS263" s="2636"/>
      <c r="BT263" s="2636"/>
      <c r="BU263" s="2636"/>
      <c r="BV263" s="2636"/>
      <c r="BW263" s="2636"/>
      <c r="BX263" s="2636">
        <f t="shared" si="318"/>
        <v>308</v>
      </c>
      <c r="BY263" s="5470">
        <f t="shared" si="319"/>
        <v>154</v>
      </c>
      <c r="CA263" s="169">
        <f t="shared" si="308"/>
        <v>-53</v>
      </c>
      <c r="CB263" s="169">
        <f t="shared" si="320"/>
        <v>24.333333333333314</v>
      </c>
      <c r="CC263" s="169">
        <f>IFERROR(
  SUM(
    _xlfn.XLOOKUP(DATE(YEAR($A$1),1,1),$2:$2,263:263):
    _xlfn.XLOOKUP($A$1,$2:$2,263:263)
  )
 -SUM(
    _xlfn.XLOOKUP(DATE(YEAR($A$1)-1,1,1),$2:$2,263:263):
    _xlfn.XLOOKUP(EDATE($A$1,-12),$2:$2,263:263)
  ),"")</f>
        <v>-35</v>
      </c>
      <c r="CD263" s="4517">
        <f t="shared" si="310"/>
        <v>-68</v>
      </c>
      <c r="CE263" s="5459"/>
      <c r="CF263" s="5459"/>
    </row>
    <row r="264" spans="1:84" ht="17.600000000000001" x14ac:dyDescent="0.55000000000000004">
      <c r="A264" s="7347"/>
      <c r="B264" s="5471" t="s">
        <v>210</v>
      </c>
      <c r="C264" s="1813"/>
      <c r="D264" s="5472">
        <v>141</v>
      </c>
      <c r="E264" s="5473">
        <v>113</v>
      </c>
      <c r="F264" s="5473">
        <v>107</v>
      </c>
      <c r="G264" s="5473">
        <v>110</v>
      </c>
      <c r="H264" s="5473">
        <v>117</v>
      </c>
      <c r="I264" s="5473">
        <v>94</v>
      </c>
      <c r="J264" s="5473">
        <v>137</v>
      </c>
      <c r="K264" s="5473">
        <v>143</v>
      </c>
      <c r="L264" s="5473">
        <v>133</v>
      </c>
      <c r="M264" s="5473">
        <v>124</v>
      </c>
      <c r="N264" s="5473">
        <v>135</v>
      </c>
      <c r="O264" s="5473">
        <v>114</v>
      </c>
      <c r="P264" s="5473">
        <v>1468</v>
      </c>
      <c r="Q264" s="5474">
        <v>122.33333333333333</v>
      </c>
      <c r="R264" s="2776"/>
      <c r="S264" s="5472">
        <v>131</v>
      </c>
      <c r="T264" s="5473">
        <v>146</v>
      </c>
      <c r="U264" s="5473">
        <v>147</v>
      </c>
      <c r="V264" s="5473">
        <v>159</v>
      </c>
      <c r="W264" s="5473">
        <v>135</v>
      </c>
      <c r="X264" s="5473">
        <v>109</v>
      </c>
      <c r="Y264" s="5473">
        <v>114</v>
      </c>
      <c r="Z264" s="5473">
        <v>154</v>
      </c>
      <c r="AA264" s="5473">
        <v>102</v>
      </c>
      <c r="AB264" s="5473">
        <v>127</v>
      </c>
      <c r="AC264" s="5473">
        <v>107</v>
      </c>
      <c r="AD264" s="5473">
        <v>85</v>
      </c>
      <c r="AE264" s="5473">
        <v>1516</v>
      </c>
      <c r="AF264" s="5474">
        <v>126.33333333333333</v>
      </c>
      <c r="AG264" s="2776"/>
      <c r="AH264" s="5472">
        <v>200</v>
      </c>
      <c r="AI264" s="5473">
        <v>122</v>
      </c>
      <c r="AJ264" s="5473">
        <v>137</v>
      </c>
      <c r="AK264" s="5473">
        <v>142</v>
      </c>
      <c r="AL264" s="5473">
        <v>147</v>
      </c>
      <c r="AM264" s="5473">
        <v>137</v>
      </c>
      <c r="AN264" s="5473">
        <v>152</v>
      </c>
      <c r="AO264" s="5473">
        <v>103</v>
      </c>
      <c r="AP264" s="5473">
        <v>124</v>
      </c>
      <c r="AQ264" s="5473">
        <v>153</v>
      </c>
      <c r="AR264" s="5473">
        <v>145</v>
      </c>
      <c r="AS264" s="5473">
        <v>126</v>
      </c>
      <c r="AT264" s="5473">
        <f t="shared" si="315"/>
        <v>1688</v>
      </c>
      <c r="AU264" s="5474">
        <f t="shared" si="307"/>
        <v>140.66666666666666</v>
      </c>
      <c r="AW264" s="5472">
        <v>121</v>
      </c>
      <c r="AX264" s="5473">
        <v>168</v>
      </c>
      <c r="AY264" s="5473">
        <v>122</v>
      </c>
      <c r="AZ264" s="5473">
        <v>123</v>
      </c>
      <c r="BA264" s="5473">
        <v>207</v>
      </c>
      <c r="BB264" s="5473">
        <v>112</v>
      </c>
      <c r="BC264" s="5473">
        <v>145</v>
      </c>
      <c r="BD264" s="5473">
        <v>94</v>
      </c>
      <c r="BE264" s="5473">
        <v>126</v>
      </c>
      <c r="BF264" s="5473">
        <v>95</v>
      </c>
      <c r="BG264" s="5473">
        <v>120</v>
      </c>
      <c r="BH264" s="5473">
        <v>122</v>
      </c>
      <c r="BI264" s="5473">
        <f t="shared" si="316"/>
        <v>1555</v>
      </c>
      <c r="BJ264" s="5474">
        <f t="shared" si="317"/>
        <v>129.58333333333334</v>
      </c>
      <c r="BL264" s="5472">
        <v>138</v>
      </c>
      <c r="BM264" s="5473">
        <v>112</v>
      </c>
      <c r="BN264" s="5473"/>
      <c r="BO264" s="5473"/>
      <c r="BP264" s="5473"/>
      <c r="BQ264" s="5473"/>
      <c r="BR264" s="5473"/>
      <c r="BS264" s="5473"/>
      <c r="BT264" s="5473"/>
      <c r="BU264" s="5473"/>
      <c r="BV264" s="5473"/>
      <c r="BW264" s="5473"/>
      <c r="BX264" s="5473">
        <f t="shared" si="318"/>
        <v>250</v>
      </c>
      <c r="BY264" s="5474">
        <f t="shared" si="319"/>
        <v>125</v>
      </c>
      <c r="CA264" s="169">
        <f t="shared" si="308"/>
        <v>-56</v>
      </c>
      <c r="CB264" s="169">
        <f t="shared" si="320"/>
        <v>-11.083333333333314</v>
      </c>
      <c r="CC264" s="169">
        <f>IFERROR(
  SUM(
    _xlfn.XLOOKUP(DATE(YEAR($A$1),1,1),$2:$2,264:264):
    _xlfn.XLOOKUP($A$1,$2:$2,264:264)
  )
 -SUM(
    _xlfn.XLOOKUP(DATE(YEAR($A$1)-1,1,1),$2:$2,264:264):
    _xlfn.XLOOKUP(EDATE($A$1,-12),$2:$2,264:264)
  ),"")</f>
        <v>-39</v>
      </c>
      <c r="CD264" s="4517">
        <f t="shared" si="310"/>
        <v>-26</v>
      </c>
      <c r="CE264" s="5459"/>
      <c r="CF264" s="5459"/>
    </row>
    <row r="265" spans="1:84" s="698" customFormat="1" ht="17.600000000000001" x14ac:dyDescent="0.55000000000000004">
      <c r="A265" s="7347"/>
      <c r="B265" s="5475"/>
      <c r="C265" s="2156" t="s">
        <v>226</v>
      </c>
      <c r="D265" s="5476">
        <v>81</v>
      </c>
      <c r="E265" s="5477">
        <v>82</v>
      </c>
      <c r="F265" s="5477">
        <v>77</v>
      </c>
      <c r="G265" s="5477">
        <v>117</v>
      </c>
      <c r="H265" s="5477">
        <v>119</v>
      </c>
      <c r="I265" s="5477">
        <v>101</v>
      </c>
      <c r="J265" s="5477">
        <v>77</v>
      </c>
      <c r="K265" s="5477">
        <v>85</v>
      </c>
      <c r="L265" s="5477">
        <v>84</v>
      </c>
      <c r="M265" s="5477">
        <v>90</v>
      </c>
      <c r="N265" s="5477">
        <v>57</v>
      </c>
      <c r="O265" s="5477">
        <v>79</v>
      </c>
      <c r="P265" s="5477">
        <f t="shared" si="311"/>
        <v>1049</v>
      </c>
      <c r="Q265" s="5478">
        <f t="shared" si="312"/>
        <v>87.416666666666671</v>
      </c>
      <c r="R265" s="5479"/>
      <c r="S265" s="5476">
        <v>79</v>
      </c>
      <c r="T265" s="5477">
        <v>91</v>
      </c>
      <c r="U265" s="5477">
        <v>65</v>
      </c>
      <c r="V265" s="5477">
        <v>60</v>
      </c>
      <c r="W265" s="5477">
        <v>67</v>
      </c>
      <c r="X265" s="5477">
        <v>57</v>
      </c>
      <c r="Y265" s="5477">
        <v>71</v>
      </c>
      <c r="Z265" s="5477">
        <v>121</v>
      </c>
      <c r="AA265" s="5477">
        <v>54</v>
      </c>
      <c r="AB265" s="5477">
        <v>66</v>
      </c>
      <c r="AC265" s="5477">
        <v>72</v>
      </c>
      <c r="AD265" s="5477">
        <v>46</v>
      </c>
      <c r="AE265" s="5477">
        <f t="shared" si="313"/>
        <v>849</v>
      </c>
      <c r="AF265" s="5478">
        <f t="shared" si="314"/>
        <v>70.75</v>
      </c>
      <c r="AG265" s="5479"/>
      <c r="AH265" s="5476">
        <v>104</v>
      </c>
      <c r="AI265" s="5477">
        <v>47</v>
      </c>
      <c r="AJ265" s="5477">
        <v>87</v>
      </c>
      <c r="AK265" s="5477">
        <v>73</v>
      </c>
      <c r="AL265" s="5477">
        <v>82</v>
      </c>
      <c r="AM265" s="5477">
        <v>79</v>
      </c>
      <c r="AN265" s="5477">
        <v>76</v>
      </c>
      <c r="AO265" s="5477">
        <v>72</v>
      </c>
      <c r="AP265" s="5477">
        <v>78</v>
      </c>
      <c r="AQ265" s="5477">
        <v>110</v>
      </c>
      <c r="AR265" s="5477">
        <v>92</v>
      </c>
      <c r="AS265" s="5477">
        <v>65</v>
      </c>
      <c r="AT265" s="5477">
        <f t="shared" si="315"/>
        <v>965</v>
      </c>
      <c r="AU265" s="5478">
        <f t="shared" si="307"/>
        <v>80.416666666666671</v>
      </c>
      <c r="AW265" s="5476">
        <v>62</v>
      </c>
      <c r="AX265" s="5477">
        <v>91</v>
      </c>
      <c r="AY265" s="5477">
        <v>66</v>
      </c>
      <c r="AZ265" s="5477">
        <v>71</v>
      </c>
      <c r="BA265" s="5477">
        <v>135</v>
      </c>
      <c r="BB265" s="5477">
        <v>60</v>
      </c>
      <c r="BC265" s="5477">
        <v>128</v>
      </c>
      <c r="BD265" s="5477">
        <v>95</v>
      </c>
      <c r="BE265" s="5477">
        <v>121</v>
      </c>
      <c r="BF265" s="5477">
        <v>99</v>
      </c>
      <c r="BG265" s="5477">
        <v>111</v>
      </c>
      <c r="BH265" s="5477">
        <v>131</v>
      </c>
      <c r="BI265" s="5477">
        <f t="shared" si="316"/>
        <v>1170</v>
      </c>
      <c r="BJ265" s="5478">
        <f t="shared" si="317"/>
        <v>97.5</v>
      </c>
      <c r="BL265" s="5476">
        <v>101</v>
      </c>
      <c r="BM265" s="5477">
        <v>66</v>
      </c>
      <c r="BN265" s="5477"/>
      <c r="BO265" s="5477"/>
      <c r="BP265" s="5477"/>
      <c r="BQ265" s="5477"/>
      <c r="BR265" s="5477"/>
      <c r="BS265" s="5477"/>
      <c r="BT265" s="5477"/>
      <c r="BU265" s="5477"/>
      <c r="BV265" s="5477"/>
      <c r="BW265" s="5477"/>
      <c r="BX265" s="5477">
        <f t="shared" si="318"/>
        <v>167</v>
      </c>
      <c r="BY265" s="5478">
        <f t="shared" si="319"/>
        <v>83.5</v>
      </c>
      <c r="CA265" s="169">
        <f t="shared" si="308"/>
        <v>-25</v>
      </c>
      <c r="CB265" s="169">
        <f t="shared" si="320"/>
        <v>17.083333333333329</v>
      </c>
      <c r="CC265" s="169">
        <f>IFERROR(
  SUM(
    _xlfn.XLOOKUP(DATE(YEAR($A$1),1,1),$2:$2,265:265):
    _xlfn.XLOOKUP($A$1,$2:$2,265:265)
  )
 -SUM(
    _xlfn.XLOOKUP(DATE(YEAR($A$1)-1,1,1),$2:$2,265:265):
    _xlfn.XLOOKUP(EDATE($A$1,-12),$2:$2,265:265)
  ),"")</f>
        <v>14</v>
      </c>
      <c r="CD265" s="4517">
        <f t="shared" si="310"/>
        <v>-35</v>
      </c>
      <c r="CE265" s="5459"/>
      <c r="CF265" s="5459"/>
    </row>
    <row r="266" spans="1:84" s="698" customFormat="1" ht="17.600000000000001" x14ac:dyDescent="0.55000000000000004">
      <c r="A266" s="7347"/>
      <c r="B266" s="5480"/>
      <c r="C266" s="681" t="s">
        <v>227</v>
      </c>
      <c r="D266" s="5481">
        <v>123</v>
      </c>
      <c r="E266" s="5482">
        <v>98</v>
      </c>
      <c r="F266" s="5482">
        <v>130</v>
      </c>
      <c r="G266" s="5482">
        <v>89</v>
      </c>
      <c r="H266" s="5482">
        <v>98</v>
      </c>
      <c r="I266" s="5482">
        <v>67</v>
      </c>
      <c r="J266" s="5482">
        <v>54</v>
      </c>
      <c r="K266" s="5482">
        <v>90</v>
      </c>
      <c r="L266" s="5482">
        <v>46</v>
      </c>
      <c r="M266" s="5482">
        <v>86</v>
      </c>
      <c r="N266" s="5482">
        <v>82</v>
      </c>
      <c r="O266" s="5482">
        <v>70</v>
      </c>
      <c r="P266" s="5482">
        <f t="shared" si="311"/>
        <v>1033</v>
      </c>
      <c r="Q266" s="5483">
        <f t="shared" si="312"/>
        <v>86.083333333333329</v>
      </c>
      <c r="R266" s="5479"/>
      <c r="S266" s="5481">
        <v>62</v>
      </c>
      <c r="T266" s="5482">
        <v>81</v>
      </c>
      <c r="U266" s="5482">
        <v>61</v>
      </c>
      <c r="V266" s="5482">
        <v>48</v>
      </c>
      <c r="W266" s="5482">
        <v>61</v>
      </c>
      <c r="X266" s="5482">
        <v>39</v>
      </c>
      <c r="Y266" s="5482">
        <v>67</v>
      </c>
      <c r="Z266" s="5482">
        <v>61</v>
      </c>
      <c r="AA266" s="5482">
        <v>64</v>
      </c>
      <c r="AB266" s="5482">
        <v>65</v>
      </c>
      <c r="AC266" s="5482">
        <v>57</v>
      </c>
      <c r="AD266" s="5482">
        <v>51</v>
      </c>
      <c r="AE266" s="5482">
        <f t="shared" si="313"/>
        <v>717</v>
      </c>
      <c r="AF266" s="5483">
        <f t="shared" si="314"/>
        <v>59.75</v>
      </c>
      <c r="AG266" s="5479"/>
      <c r="AH266" s="5481">
        <v>86</v>
      </c>
      <c r="AI266" s="5482">
        <v>66</v>
      </c>
      <c r="AJ266" s="5482">
        <v>82</v>
      </c>
      <c r="AK266" s="5482">
        <v>54</v>
      </c>
      <c r="AL266" s="5482">
        <v>69</v>
      </c>
      <c r="AM266" s="5482">
        <v>73</v>
      </c>
      <c r="AN266" s="5482">
        <v>64</v>
      </c>
      <c r="AO266" s="5482">
        <v>85</v>
      </c>
      <c r="AP266" s="5482">
        <v>88</v>
      </c>
      <c r="AQ266" s="5482">
        <v>61</v>
      </c>
      <c r="AR266" s="5482">
        <v>70</v>
      </c>
      <c r="AS266" s="5482">
        <v>58</v>
      </c>
      <c r="AT266" s="5482">
        <f t="shared" si="315"/>
        <v>856</v>
      </c>
      <c r="AU266" s="5483">
        <f t="shared" si="307"/>
        <v>71.333333333333329</v>
      </c>
      <c r="AW266" s="5481">
        <v>53</v>
      </c>
      <c r="AX266" s="5482">
        <v>82</v>
      </c>
      <c r="AY266" s="5482">
        <v>52</v>
      </c>
      <c r="AZ266" s="5482">
        <v>63</v>
      </c>
      <c r="BA266" s="5482">
        <v>144</v>
      </c>
      <c r="BB266" s="5482">
        <v>67</v>
      </c>
      <c r="BC266" s="5482">
        <v>75</v>
      </c>
      <c r="BD266" s="5482">
        <v>78</v>
      </c>
      <c r="BE266" s="5482">
        <v>81</v>
      </c>
      <c r="BF266" s="5482">
        <v>63</v>
      </c>
      <c r="BG266" s="5482">
        <v>59</v>
      </c>
      <c r="BH266" s="5482">
        <v>72</v>
      </c>
      <c r="BI266" s="5482">
        <f t="shared" si="316"/>
        <v>889</v>
      </c>
      <c r="BJ266" s="5483">
        <f t="shared" si="317"/>
        <v>74.083333333333329</v>
      </c>
      <c r="BL266" s="5481">
        <v>105</v>
      </c>
      <c r="BM266" s="5482">
        <v>62</v>
      </c>
      <c r="BN266" s="5482"/>
      <c r="BO266" s="5482"/>
      <c r="BP266" s="5482"/>
      <c r="BQ266" s="5482"/>
      <c r="BR266" s="5482"/>
      <c r="BS266" s="5482"/>
      <c r="BT266" s="5482"/>
      <c r="BU266" s="5482"/>
      <c r="BV266" s="5482"/>
      <c r="BW266" s="5482"/>
      <c r="BX266" s="5482">
        <f t="shared" si="318"/>
        <v>167</v>
      </c>
      <c r="BY266" s="5483">
        <f t="shared" si="319"/>
        <v>83.5</v>
      </c>
      <c r="CA266" s="169">
        <f t="shared" si="308"/>
        <v>-20</v>
      </c>
      <c r="CB266" s="169">
        <f t="shared" si="320"/>
        <v>2.75</v>
      </c>
      <c r="CC266" s="169">
        <f>IFERROR(
  SUM(
    _xlfn.XLOOKUP(DATE(YEAR($A$1),1,1),$2:$2,266:266):
    _xlfn.XLOOKUP($A$1,$2:$2,266:266)
  )
 -SUM(
    _xlfn.XLOOKUP(DATE(YEAR($A$1)-1,1,1),$2:$2,266:266):
    _xlfn.XLOOKUP(EDATE($A$1,-12),$2:$2,266:266)
  ),"")</f>
        <v>32</v>
      </c>
      <c r="CD266" s="4517">
        <f t="shared" si="310"/>
        <v>-43</v>
      </c>
      <c r="CE266" s="5459"/>
      <c r="CF266" s="5459"/>
    </row>
    <row r="267" spans="1:84" s="698" customFormat="1" ht="17.600000000000001" x14ac:dyDescent="0.55000000000000004">
      <c r="A267" s="7347"/>
      <c r="B267" s="5480"/>
      <c r="C267" s="804" t="s">
        <v>228</v>
      </c>
      <c r="D267" s="5484">
        <v>86</v>
      </c>
      <c r="E267" s="5485">
        <v>99</v>
      </c>
      <c r="F267" s="5485">
        <v>62</v>
      </c>
      <c r="G267" s="5485">
        <v>128</v>
      </c>
      <c r="H267" s="5485">
        <v>86</v>
      </c>
      <c r="I267" s="5485">
        <v>66</v>
      </c>
      <c r="J267" s="5485">
        <v>80</v>
      </c>
      <c r="K267" s="5485">
        <v>81</v>
      </c>
      <c r="L267" s="5485">
        <v>42</v>
      </c>
      <c r="M267" s="5485">
        <v>44</v>
      </c>
      <c r="N267" s="5485">
        <v>30</v>
      </c>
      <c r="O267" s="5485">
        <v>51</v>
      </c>
      <c r="P267" s="5485">
        <f t="shared" si="311"/>
        <v>855</v>
      </c>
      <c r="Q267" s="5486">
        <f t="shared" si="312"/>
        <v>71.25</v>
      </c>
      <c r="R267" s="5479"/>
      <c r="S267" s="5484">
        <v>54</v>
      </c>
      <c r="T267" s="5485">
        <v>52</v>
      </c>
      <c r="U267" s="5485">
        <v>66</v>
      </c>
      <c r="V267" s="5485">
        <v>50</v>
      </c>
      <c r="W267" s="5485">
        <v>51</v>
      </c>
      <c r="X267" s="5485">
        <v>39</v>
      </c>
      <c r="Y267" s="5485">
        <v>83</v>
      </c>
      <c r="Z267" s="5485">
        <v>72</v>
      </c>
      <c r="AA267" s="5485">
        <v>57</v>
      </c>
      <c r="AB267" s="5485">
        <v>75</v>
      </c>
      <c r="AC267" s="5485">
        <v>70</v>
      </c>
      <c r="AD267" s="5485">
        <v>49</v>
      </c>
      <c r="AE267" s="5485">
        <f t="shared" si="313"/>
        <v>718</v>
      </c>
      <c r="AF267" s="5486">
        <f t="shared" si="314"/>
        <v>59.833333333333336</v>
      </c>
      <c r="AG267" s="5479"/>
      <c r="AH267" s="5484">
        <v>71</v>
      </c>
      <c r="AI267" s="5485">
        <v>74</v>
      </c>
      <c r="AJ267" s="5485">
        <v>92</v>
      </c>
      <c r="AK267" s="5485">
        <v>78</v>
      </c>
      <c r="AL267" s="5485">
        <v>97</v>
      </c>
      <c r="AM267" s="5485">
        <v>98</v>
      </c>
      <c r="AN267" s="5485">
        <v>86</v>
      </c>
      <c r="AO267" s="5485">
        <v>85</v>
      </c>
      <c r="AP267" s="5485">
        <v>71</v>
      </c>
      <c r="AQ267" s="5485">
        <v>104</v>
      </c>
      <c r="AR267" s="5485">
        <v>75</v>
      </c>
      <c r="AS267" s="5485">
        <v>70</v>
      </c>
      <c r="AT267" s="5485">
        <f t="shared" si="315"/>
        <v>1001</v>
      </c>
      <c r="AU267" s="5486">
        <f t="shared" si="307"/>
        <v>83.416666666666671</v>
      </c>
      <c r="AW267" s="5484">
        <v>68</v>
      </c>
      <c r="AX267" s="5485">
        <v>112</v>
      </c>
      <c r="AY267" s="5485">
        <v>60</v>
      </c>
      <c r="AZ267" s="5485">
        <v>88</v>
      </c>
      <c r="BA267" s="5485">
        <v>125</v>
      </c>
      <c r="BB267" s="5485">
        <v>90</v>
      </c>
      <c r="BC267" s="5485">
        <v>96</v>
      </c>
      <c r="BD267" s="5485">
        <v>68</v>
      </c>
      <c r="BE267" s="5485">
        <v>88</v>
      </c>
      <c r="BF267" s="5485">
        <v>73</v>
      </c>
      <c r="BG267" s="5485">
        <v>67</v>
      </c>
      <c r="BH267" s="5485">
        <v>90</v>
      </c>
      <c r="BI267" s="5485">
        <f t="shared" si="316"/>
        <v>1025</v>
      </c>
      <c r="BJ267" s="5486">
        <f t="shared" si="317"/>
        <v>85.416666666666671</v>
      </c>
      <c r="BL267" s="5484">
        <v>102</v>
      </c>
      <c r="BM267" s="5485">
        <v>81</v>
      </c>
      <c r="BN267" s="5485"/>
      <c r="BO267" s="5485"/>
      <c r="BP267" s="5485"/>
      <c r="BQ267" s="5485"/>
      <c r="BR267" s="5485"/>
      <c r="BS267" s="5485"/>
      <c r="BT267" s="5485"/>
      <c r="BU267" s="5485"/>
      <c r="BV267" s="5485"/>
      <c r="BW267" s="5485"/>
      <c r="BX267" s="5485">
        <f t="shared" si="318"/>
        <v>183</v>
      </c>
      <c r="BY267" s="5486">
        <f t="shared" si="319"/>
        <v>91.5</v>
      </c>
      <c r="CA267" s="169">
        <f t="shared" si="308"/>
        <v>-31</v>
      </c>
      <c r="CB267" s="169">
        <f t="shared" si="320"/>
        <v>2</v>
      </c>
      <c r="CC267" s="169">
        <f>IFERROR(
  SUM(
    _xlfn.XLOOKUP(DATE(YEAR($A$1),1,1),$2:$2,267:267):
    _xlfn.XLOOKUP($A$1,$2:$2,267:267)
  )
 -SUM(
    _xlfn.XLOOKUP(DATE(YEAR($A$1)-1,1,1),$2:$2,267:267):
    _xlfn.XLOOKUP(EDATE($A$1,-12),$2:$2,267:267)
  ),"")</f>
        <v>3</v>
      </c>
      <c r="CD267" s="4517">
        <f t="shared" si="310"/>
        <v>-21</v>
      </c>
      <c r="CE267" s="5459"/>
      <c r="CF267" s="5459"/>
    </row>
    <row r="268" spans="1:84" s="698" customFormat="1" ht="17.600000000000001" x14ac:dyDescent="0.55000000000000004">
      <c r="A268" s="7347"/>
      <c r="B268" s="5480"/>
      <c r="C268" s="681" t="s">
        <v>229</v>
      </c>
      <c r="D268" s="5481">
        <v>52</v>
      </c>
      <c r="E268" s="5482">
        <v>80</v>
      </c>
      <c r="F268" s="5482">
        <v>68</v>
      </c>
      <c r="G268" s="5482">
        <v>53</v>
      </c>
      <c r="H268" s="5482">
        <v>48</v>
      </c>
      <c r="I268" s="5482">
        <v>39</v>
      </c>
      <c r="J268" s="5482">
        <v>108</v>
      </c>
      <c r="K268" s="5482">
        <v>93</v>
      </c>
      <c r="L268" s="5482">
        <v>66</v>
      </c>
      <c r="M268" s="5482">
        <v>78</v>
      </c>
      <c r="N268" s="5482">
        <v>67</v>
      </c>
      <c r="O268" s="5482">
        <v>57</v>
      </c>
      <c r="P268" s="5482">
        <f t="shared" si="311"/>
        <v>809</v>
      </c>
      <c r="Q268" s="5483">
        <f t="shared" si="312"/>
        <v>67.416666666666671</v>
      </c>
      <c r="R268" s="5479"/>
      <c r="S268" s="5481">
        <v>64</v>
      </c>
      <c r="T268" s="5482">
        <v>91</v>
      </c>
      <c r="U268" s="5482">
        <v>82</v>
      </c>
      <c r="V268" s="5482">
        <v>67</v>
      </c>
      <c r="W268" s="5482">
        <v>82</v>
      </c>
      <c r="X268" s="5482">
        <v>51</v>
      </c>
      <c r="Y268" s="5482">
        <v>55</v>
      </c>
      <c r="Z268" s="5482">
        <v>63</v>
      </c>
      <c r="AA268" s="5482">
        <v>79</v>
      </c>
      <c r="AB268" s="5482">
        <v>66</v>
      </c>
      <c r="AC268" s="5482">
        <v>56</v>
      </c>
      <c r="AD268" s="5482">
        <v>56</v>
      </c>
      <c r="AE268" s="5482">
        <f t="shared" si="313"/>
        <v>812</v>
      </c>
      <c r="AF268" s="5483">
        <f t="shared" si="314"/>
        <v>67.666666666666671</v>
      </c>
      <c r="AG268" s="5479"/>
      <c r="AH268" s="5481">
        <v>111</v>
      </c>
      <c r="AI268" s="5482">
        <v>71</v>
      </c>
      <c r="AJ268" s="5482">
        <v>102</v>
      </c>
      <c r="AK268" s="5482">
        <v>91</v>
      </c>
      <c r="AL268" s="5482">
        <v>121</v>
      </c>
      <c r="AM268" s="5482">
        <v>85</v>
      </c>
      <c r="AN268" s="5482">
        <v>86</v>
      </c>
      <c r="AO268" s="5482">
        <v>81</v>
      </c>
      <c r="AP268" s="5482">
        <v>103</v>
      </c>
      <c r="AQ268" s="5482">
        <v>98</v>
      </c>
      <c r="AR268" s="5482">
        <v>109</v>
      </c>
      <c r="AS268" s="5482">
        <v>97</v>
      </c>
      <c r="AT268" s="5482">
        <f t="shared" si="315"/>
        <v>1155</v>
      </c>
      <c r="AU268" s="5483">
        <f t="shared" si="307"/>
        <v>96.25</v>
      </c>
      <c r="AW268" s="5481">
        <v>115</v>
      </c>
      <c r="AX268" s="5482">
        <v>106</v>
      </c>
      <c r="AY268" s="5482">
        <v>105</v>
      </c>
      <c r="AZ268" s="5482">
        <v>133</v>
      </c>
      <c r="BA268" s="5482">
        <v>173</v>
      </c>
      <c r="BB268" s="5482">
        <v>124</v>
      </c>
      <c r="BC268" s="5482">
        <v>114</v>
      </c>
      <c r="BD268" s="5482">
        <v>72</v>
      </c>
      <c r="BE268" s="5482">
        <v>113</v>
      </c>
      <c r="BF268" s="5482">
        <v>92</v>
      </c>
      <c r="BG268" s="5482">
        <v>87</v>
      </c>
      <c r="BH268" s="5482">
        <v>93</v>
      </c>
      <c r="BI268" s="5482">
        <f t="shared" ref="BI268:BI328" si="330">SUM(AW268:BH268)</f>
        <v>1327</v>
      </c>
      <c r="BJ268" s="5483">
        <f t="shared" si="317"/>
        <v>110.58333333333333</v>
      </c>
      <c r="BL268" s="5481">
        <v>101</v>
      </c>
      <c r="BM268" s="5482">
        <v>88</v>
      </c>
      <c r="BN268" s="5482"/>
      <c r="BO268" s="5482"/>
      <c r="BP268" s="5482"/>
      <c r="BQ268" s="5482"/>
      <c r="BR268" s="5482"/>
      <c r="BS268" s="5482"/>
      <c r="BT268" s="5482"/>
      <c r="BU268" s="5482"/>
      <c r="BV268" s="5482"/>
      <c r="BW268" s="5482"/>
      <c r="BX268" s="5482">
        <f t="shared" ref="BX268:BX328" si="331">SUM(BL268:BW268)</f>
        <v>189</v>
      </c>
      <c r="BY268" s="5483">
        <f t="shared" si="319"/>
        <v>94.5</v>
      </c>
      <c r="CA268" s="169">
        <f t="shared" si="308"/>
        <v>-18</v>
      </c>
      <c r="CB268" s="169">
        <f t="shared" si="320"/>
        <v>14.333333333333329</v>
      </c>
      <c r="CC268" s="169">
        <f>IFERROR(
  SUM(
    _xlfn.XLOOKUP(DATE(YEAR($A$1),1,1),$2:$2,268:268):
    _xlfn.XLOOKUP($A$1,$2:$2,268:268)
  )
 -SUM(
    _xlfn.XLOOKUP(DATE(YEAR($A$1)-1,1,1),$2:$2,268:268):
    _xlfn.XLOOKUP(EDATE($A$1,-12),$2:$2,268:268)
  ),"")</f>
        <v>-32</v>
      </c>
      <c r="CD268" s="4517">
        <f t="shared" si="310"/>
        <v>-13</v>
      </c>
      <c r="CE268" s="5459"/>
      <c r="CF268" s="5459"/>
    </row>
    <row r="269" spans="1:84" s="698" customFormat="1" ht="17.600000000000001" x14ac:dyDescent="0.55000000000000004">
      <c r="A269" s="7347"/>
      <c r="B269" s="5480"/>
      <c r="C269" s="681" t="s">
        <v>230</v>
      </c>
      <c r="D269" s="5481">
        <v>46</v>
      </c>
      <c r="E269" s="5482">
        <v>45</v>
      </c>
      <c r="F269" s="5482">
        <v>58</v>
      </c>
      <c r="G269" s="5482">
        <v>64</v>
      </c>
      <c r="H269" s="5482">
        <v>62</v>
      </c>
      <c r="I269" s="5482">
        <v>45</v>
      </c>
      <c r="J269" s="5482">
        <v>48</v>
      </c>
      <c r="K269" s="5482">
        <v>51</v>
      </c>
      <c r="L269" s="5482">
        <v>47</v>
      </c>
      <c r="M269" s="5482">
        <v>44</v>
      </c>
      <c r="N269" s="5482">
        <v>52</v>
      </c>
      <c r="O269" s="5482">
        <v>21</v>
      </c>
      <c r="P269" s="5482">
        <f t="shared" ref="P269:P329" si="332">SUM(D269:O269)</f>
        <v>583</v>
      </c>
      <c r="Q269" s="5483">
        <f t="shared" ref="Q269:Q303" si="333">P269/12</f>
        <v>48.583333333333336</v>
      </c>
      <c r="R269" s="5479"/>
      <c r="S269" s="5481">
        <v>67</v>
      </c>
      <c r="T269" s="5482">
        <v>46</v>
      </c>
      <c r="U269" s="5482">
        <v>52</v>
      </c>
      <c r="V269" s="5482">
        <v>66</v>
      </c>
      <c r="W269" s="5482">
        <v>60</v>
      </c>
      <c r="X269" s="5482">
        <v>72</v>
      </c>
      <c r="Y269" s="5482">
        <v>39</v>
      </c>
      <c r="Z269" s="5482">
        <v>43</v>
      </c>
      <c r="AA269" s="5482">
        <v>47</v>
      </c>
      <c r="AB269" s="5482">
        <v>79</v>
      </c>
      <c r="AC269" s="5482">
        <v>37</v>
      </c>
      <c r="AD269" s="5482">
        <v>42</v>
      </c>
      <c r="AE269" s="5482">
        <f t="shared" ref="AE269:AE329" si="334">SUM(S269:AD269)</f>
        <v>650</v>
      </c>
      <c r="AF269" s="5483">
        <f t="shared" ref="AF269:AF303" si="335">AE269/12</f>
        <v>54.166666666666664</v>
      </c>
      <c r="AG269" s="5479"/>
      <c r="AH269" s="5481">
        <v>62</v>
      </c>
      <c r="AI269" s="5482">
        <v>61</v>
      </c>
      <c r="AJ269" s="5482">
        <v>61</v>
      </c>
      <c r="AK269" s="5482">
        <v>47</v>
      </c>
      <c r="AL269" s="5482">
        <v>57</v>
      </c>
      <c r="AM269" s="5482">
        <v>58</v>
      </c>
      <c r="AN269" s="5482">
        <v>62</v>
      </c>
      <c r="AO269" s="5482">
        <v>59</v>
      </c>
      <c r="AP269" s="5482">
        <v>51</v>
      </c>
      <c r="AQ269" s="5482">
        <v>49</v>
      </c>
      <c r="AR269" s="5482">
        <v>70</v>
      </c>
      <c r="AS269" s="5482">
        <v>42</v>
      </c>
      <c r="AT269" s="5482">
        <f t="shared" si="315"/>
        <v>679</v>
      </c>
      <c r="AU269" s="5483">
        <f t="shared" si="307"/>
        <v>56.583333333333336</v>
      </c>
      <c r="AW269" s="5481">
        <v>55</v>
      </c>
      <c r="AX269" s="5482">
        <v>67</v>
      </c>
      <c r="AY269" s="5482">
        <v>71</v>
      </c>
      <c r="AZ269" s="5482">
        <v>48</v>
      </c>
      <c r="BA269" s="5482">
        <v>112</v>
      </c>
      <c r="BB269" s="5482">
        <v>55</v>
      </c>
      <c r="BC269" s="5482">
        <v>68</v>
      </c>
      <c r="BD269" s="5482">
        <v>52</v>
      </c>
      <c r="BE269" s="5482">
        <v>72</v>
      </c>
      <c r="BF269" s="5482">
        <v>66</v>
      </c>
      <c r="BG269" s="5482">
        <v>66</v>
      </c>
      <c r="BH269" s="5482">
        <v>67</v>
      </c>
      <c r="BI269" s="5482">
        <f t="shared" si="330"/>
        <v>799</v>
      </c>
      <c r="BJ269" s="5483">
        <f t="shared" ref="BJ269:BJ329" si="336">AVERAGE(AW269:BH269)</f>
        <v>66.583333333333329</v>
      </c>
      <c r="BL269" s="5481">
        <v>87</v>
      </c>
      <c r="BM269" s="5482">
        <v>32</v>
      </c>
      <c r="BN269" s="5482"/>
      <c r="BO269" s="5482"/>
      <c r="BP269" s="5482"/>
      <c r="BQ269" s="5482"/>
      <c r="BR269" s="5482"/>
      <c r="BS269" s="5482"/>
      <c r="BT269" s="5482"/>
      <c r="BU269" s="5482"/>
      <c r="BV269" s="5482"/>
      <c r="BW269" s="5482"/>
      <c r="BX269" s="5482">
        <f t="shared" si="331"/>
        <v>119</v>
      </c>
      <c r="BY269" s="5483">
        <f t="shared" ref="BY269:BY329" si="337">AVERAGE(BL269:BW269)</f>
        <v>59.5</v>
      </c>
      <c r="CA269" s="169">
        <f t="shared" si="308"/>
        <v>-35</v>
      </c>
      <c r="CB269" s="169">
        <f t="shared" si="320"/>
        <v>9.9999999999999929</v>
      </c>
      <c r="CC269" s="169">
        <f>IFERROR(
  SUM(
    _xlfn.XLOOKUP(DATE(YEAR($A$1),1,1),$2:$2,269:269):
    _xlfn.XLOOKUP($A$1,$2:$2,269:269)
  )
 -SUM(
    _xlfn.XLOOKUP(DATE(YEAR($A$1)-1,1,1),$2:$2,269:269):
    _xlfn.XLOOKUP(EDATE($A$1,-12),$2:$2,269:269)
  ),"")</f>
        <v>-3</v>
      </c>
      <c r="CD269" s="4517">
        <f t="shared" si="310"/>
        <v>-55</v>
      </c>
      <c r="CE269" s="5459"/>
      <c r="CF269" s="5459"/>
    </row>
    <row r="270" spans="1:84" s="698" customFormat="1" ht="17.600000000000001" x14ac:dyDescent="0.55000000000000004">
      <c r="A270" s="7347"/>
      <c r="B270" s="5480"/>
      <c r="C270" s="804" t="s">
        <v>231</v>
      </c>
      <c r="D270" s="5484">
        <v>54</v>
      </c>
      <c r="E270" s="5485">
        <v>51</v>
      </c>
      <c r="F270" s="5485">
        <v>51</v>
      </c>
      <c r="G270" s="5485">
        <v>57</v>
      </c>
      <c r="H270" s="5485">
        <v>49</v>
      </c>
      <c r="I270" s="5485">
        <v>39</v>
      </c>
      <c r="J270" s="5485">
        <v>74</v>
      </c>
      <c r="K270" s="5485">
        <v>79</v>
      </c>
      <c r="L270" s="5485">
        <v>71</v>
      </c>
      <c r="M270" s="5485">
        <v>68</v>
      </c>
      <c r="N270" s="5485">
        <v>74</v>
      </c>
      <c r="O270" s="5485">
        <v>83</v>
      </c>
      <c r="P270" s="5485">
        <f t="shared" si="332"/>
        <v>750</v>
      </c>
      <c r="Q270" s="5486">
        <f t="shared" si="333"/>
        <v>62.5</v>
      </c>
      <c r="R270" s="5479"/>
      <c r="S270" s="5484">
        <v>67</v>
      </c>
      <c r="T270" s="5485">
        <v>90</v>
      </c>
      <c r="U270" s="5485">
        <v>76</v>
      </c>
      <c r="V270" s="5485">
        <v>100</v>
      </c>
      <c r="W270" s="5485">
        <v>81</v>
      </c>
      <c r="X270" s="5485">
        <v>71</v>
      </c>
      <c r="Y270" s="5485">
        <v>66</v>
      </c>
      <c r="Z270" s="5485">
        <v>94</v>
      </c>
      <c r="AA270" s="5485">
        <v>71</v>
      </c>
      <c r="AB270" s="5485">
        <v>75</v>
      </c>
      <c r="AC270" s="5485">
        <v>69</v>
      </c>
      <c r="AD270" s="5485">
        <v>52</v>
      </c>
      <c r="AE270" s="5485">
        <f t="shared" si="334"/>
        <v>912</v>
      </c>
      <c r="AF270" s="5486">
        <f t="shared" si="335"/>
        <v>76</v>
      </c>
      <c r="AG270" s="5479"/>
      <c r="AH270" s="5484">
        <v>98</v>
      </c>
      <c r="AI270" s="5485">
        <v>66</v>
      </c>
      <c r="AJ270" s="5485">
        <v>65</v>
      </c>
      <c r="AK270" s="5485">
        <v>81</v>
      </c>
      <c r="AL270" s="5485">
        <v>96</v>
      </c>
      <c r="AM270" s="5485">
        <v>73</v>
      </c>
      <c r="AN270" s="5485">
        <v>86</v>
      </c>
      <c r="AO270" s="5485">
        <v>56</v>
      </c>
      <c r="AP270" s="5485">
        <v>70</v>
      </c>
      <c r="AQ270" s="5485">
        <v>81</v>
      </c>
      <c r="AR270" s="5485">
        <v>72</v>
      </c>
      <c r="AS270" s="5485">
        <v>73</v>
      </c>
      <c r="AT270" s="5485">
        <f t="shared" si="315"/>
        <v>917</v>
      </c>
      <c r="AU270" s="5486">
        <f t="shared" si="307"/>
        <v>76.416666666666671</v>
      </c>
      <c r="AW270" s="5484">
        <v>64</v>
      </c>
      <c r="AX270" s="5485">
        <v>89</v>
      </c>
      <c r="AY270" s="5485">
        <v>82</v>
      </c>
      <c r="AZ270" s="5485">
        <v>65</v>
      </c>
      <c r="BA270" s="5485">
        <v>124</v>
      </c>
      <c r="BB270" s="5485">
        <v>62</v>
      </c>
      <c r="BC270" s="5485">
        <v>81</v>
      </c>
      <c r="BD270" s="5485">
        <v>50</v>
      </c>
      <c r="BE270" s="5485">
        <v>90</v>
      </c>
      <c r="BF270" s="5485">
        <v>60</v>
      </c>
      <c r="BG270" s="5485">
        <v>79</v>
      </c>
      <c r="BH270" s="5485">
        <v>70</v>
      </c>
      <c r="BI270" s="5485">
        <f t="shared" si="330"/>
        <v>916</v>
      </c>
      <c r="BJ270" s="5486">
        <f t="shared" si="336"/>
        <v>76.333333333333329</v>
      </c>
      <c r="BL270" s="5484">
        <v>85</v>
      </c>
      <c r="BM270" s="5485">
        <v>77</v>
      </c>
      <c r="BN270" s="5485"/>
      <c r="BO270" s="5485"/>
      <c r="BP270" s="5485"/>
      <c r="BQ270" s="5485"/>
      <c r="BR270" s="5485"/>
      <c r="BS270" s="5485"/>
      <c r="BT270" s="5485"/>
      <c r="BU270" s="5485"/>
      <c r="BV270" s="5485"/>
      <c r="BW270" s="5485"/>
      <c r="BX270" s="5485">
        <f t="shared" si="331"/>
        <v>162</v>
      </c>
      <c r="BY270" s="5486">
        <f t="shared" si="337"/>
        <v>81</v>
      </c>
      <c r="CA270" s="169">
        <f t="shared" si="308"/>
        <v>-12</v>
      </c>
      <c r="CB270" s="169">
        <f t="shared" si="320"/>
        <v>-8.3333333333342807E-2</v>
      </c>
      <c r="CC270" s="169">
        <f>IFERROR(
  SUM(
    _xlfn.XLOOKUP(DATE(YEAR($A$1),1,1),$2:$2,270:270):
    _xlfn.XLOOKUP($A$1,$2:$2,270:270)
  )
 -SUM(
    _xlfn.XLOOKUP(DATE(YEAR($A$1)-1,1,1),$2:$2,270:270):
    _xlfn.XLOOKUP(EDATE($A$1,-12),$2:$2,270:270)
  ),"")</f>
        <v>9</v>
      </c>
      <c r="CD270" s="4517">
        <f t="shared" si="310"/>
        <v>-8</v>
      </c>
      <c r="CE270" s="5459"/>
      <c r="CF270" s="5459"/>
    </row>
    <row r="271" spans="1:84" s="698" customFormat="1" ht="18" thickBot="1" x14ac:dyDescent="0.6">
      <c r="A271" s="7388"/>
      <c r="B271" s="5491"/>
      <c r="C271" s="5492" t="s">
        <v>232</v>
      </c>
      <c r="D271" s="5493">
        <v>87</v>
      </c>
      <c r="E271" s="5494">
        <v>62</v>
      </c>
      <c r="F271" s="5494">
        <v>56</v>
      </c>
      <c r="G271" s="5494">
        <v>53</v>
      </c>
      <c r="H271" s="5494">
        <v>68</v>
      </c>
      <c r="I271" s="5494">
        <v>55</v>
      </c>
      <c r="J271" s="5494">
        <v>63</v>
      </c>
      <c r="K271" s="5494">
        <v>64</v>
      </c>
      <c r="L271" s="5494">
        <v>62</v>
      </c>
      <c r="M271" s="5494">
        <v>56</v>
      </c>
      <c r="N271" s="5494">
        <v>61</v>
      </c>
      <c r="O271" s="5494">
        <v>31</v>
      </c>
      <c r="P271" s="5494">
        <f t="shared" si="332"/>
        <v>718</v>
      </c>
      <c r="Q271" s="5495">
        <f t="shared" si="333"/>
        <v>59.833333333333336</v>
      </c>
      <c r="R271" s="5479"/>
      <c r="S271" s="5493">
        <v>64</v>
      </c>
      <c r="T271" s="5494">
        <v>56</v>
      </c>
      <c r="U271" s="5494">
        <v>71</v>
      </c>
      <c r="V271" s="5494">
        <v>59</v>
      </c>
      <c r="W271" s="5494">
        <v>54</v>
      </c>
      <c r="X271" s="5494">
        <v>38</v>
      </c>
      <c r="Y271" s="5494">
        <v>48</v>
      </c>
      <c r="Z271" s="5494">
        <v>60</v>
      </c>
      <c r="AA271" s="5494">
        <v>31</v>
      </c>
      <c r="AB271" s="5494">
        <v>52</v>
      </c>
      <c r="AC271" s="5494">
        <v>38</v>
      </c>
      <c r="AD271" s="5494">
        <v>33</v>
      </c>
      <c r="AE271" s="5494">
        <f t="shared" si="334"/>
        <v>604</v>
      </c>
      <c r="AF271" s="5495">
        <f t="shared" si="335"/>
        <v>50.333333333333336</v>
      </c>
      <c r="AG271" s="5479"/>
      <c r="AH271" s="5493">
        <v>102</v>
      </c>
      <c r="AI271" s="5494">
        <v>56</v>
      </c>
      <c r="AJ271" s="5494">
        <v>72</v>
      </c>
      <c r="AK271" s="5494">
        <v>61</v>
      </c>
      <c r="AL271" s="5494">
        <v>51</v>
      </c>
      <c r="AM271" s="5494">
        <v>64</v>
      </c>
      <c r="AN271" s="5494">
        <v>66</v>
      </c>
      <c r="AO271" s="5494">
        <v>47</v>
      </c>
      <c r="AP271" s="5494">
        <v>54</v>
      </c>
      <c r="AQ271" s="5494">
        <v>72</v>
      </c>
      <c r="AR271" s="5494">
        <v>73</v>
      </c>
      <c r="AS271" s="5494">
        <v>53</v>
      </c>
      <c r="AT271" s="5494">
        <f t="shared" si="315"/>
        <v>771</v>
      </c>
      <c r="AU271" s="5495">
        <f t="shared" si="307"/>
        <v>64.25</v>
      </c>
      <c r="AW271" s="5493">
        <v>57</v>
      </c>
      <c r="AX271" s="5494">
        <v>79</v>
      </c>
      <c r="AY271" s="5494">
        <v>40</v>
      </c>
      <c r="AZ271" s="5494">
        <v>58</v>
      </c>
      <c r="BA271" s="5494">
        <v>83</v>
      </c>
      <c r="BB271" s="5489">
        <v>50</v>
      </c>
      <c r="BC271" s="5494">
        <v>64</v>
      </c>
      <c r="BD271" s="5494">
        <v>44</v>
      </c>
      <c r="BE271" s="5494">
        <v>36</v>
      </c>
      <c r="BF271" s="5494">
        <v>35</v>
      </c>
      <c r="BG271" s="5494">
        <v>41</v>
      </c>
      <c r="BH271" s="5494">
        <v>52</v>
      </c>
      <c r="BI271" s="5494">
        <f t="shared" si="330"/>
        <v>639</v>
      </c>
      <c r="BJ271" s="5495">
        <f t="shared" si="336"/>
        <v>53.25</v>
      </c>
      <c r="BL271" s="5493">
        <v>53</v>
      </c>
      <c r="BM271" s="5494">
        <v>35</v>
      </c>
      <c r="BN271" s="5494"/>
      <c r="BO271" s="5494"/>
      <c r="BP271" s="5494"/>
      <c r="BQ271" s="5489"/>
      <c r="BR271" s="5494"/>
      <c r="BS271" s="5494"/>
      <c r="BT271" s="5494"/>
      <c r="BU271" s="5494"/>
      <c r="BV271" s="5494"/>
      <c r="BW271" s="5494"/>
      <c r="BX271" s="5494">
        <f t="shared" si="331"/>
        <v>88</v>
      </c>
      <c r="BY271" s="5495">
        <f t="shared" si="337"/>
        <v>44</v>
      </c>
      <c r="CA271" s="169">
        <f t="shared" si="308"/>
        <v>-44</v>
      </c>
      <c r="CB271" s="169">
        <f t="shared" si="320"/>
        <v>-11</v>
      </c>
      <c r="CC271" s="169">
        <f>IFERROR(
  SUM(
    _xlfn.XLOOKUP(DATE(YEAR($A$1),1,1),$2:$2,271:271):
    _xlfn.XLOOKUP($A$1,$2:$2,271:271)
  )
 -SUM(
    _xlfn.XLOOKUP(DATE(YEAR($A$1)-1,1,1),$2:$2,271:271):
    _xlfn.XLOOKUP(EDATE($A$1,-12),$2:$2,271:271)
  ),"")</f>
        <v>-48</v>
      </c>
      <c r="CD271" s="4517">
        <f t="shared" si="310"/>
        <v>-18</v>
      </c>
      <c r="CE271" s="5459"/>
      <c r="CF271" s="5459"/>
    </row>
    <row r="272" spans="1:84" ht="17.600000000000001" x14ac:dyDescent="0.55000000000000004">
      <c r="A272" s="7346" t="s">
        <v>381</v>
      </c>
      <c r="B272" s="5131" t="s">
        <v>249</v>
      </c>
      <c r="C272" s="5132"/>
      <c r="D272" s="5456">
        <v>866</v>
      </c>
      <c r="E272" s="5457">
        <v>644</v>
      </c>
      <c r="F272" s="5457">
        <v>684</v>
      </c>
      <c r="G272" s="5457">
        <v>719</v>
      </c>
      <c r="H272" s="5457">
        <v>691</v>
      </c>
      <c r="I272" s="5457">
        <v>791</v>
      </c>
      <c r="J272" s="5457">
        <v>794</v>
      </c>
      <c r="K272" s="5457">
        <v>774</v>
      </c>
      <c r="L272" s="5457">
        <v>948</v>
      </c>
      <c r="M272" s="5457">
        <v>666</v>
      </c>
      <c r="N272" s="5457">
        <v>1037</v>
      </c>
      <c r="O272" s="5457">
        <v>1091</v>
      </c>
      <c r="P272" s="5457">
        <v>9705</v>
      </c>
      <c r="Q272" s="5458">
        <v>808.75</v>
      </c>
      <c r="R272" s="2776"/>
      <c r="S272" s="5456">
        <v>727</v>
      </c>
      <c r="T272" s="5457">
        <v>738</v>
      </c>
      <c r="U272" s="5457">
        <v>747</v>
      </c>
      <c r="V272" s="5457">
        <v>984</v>
      </c>
      <c r="W272" s="5457">
        <v>807</v>
      </c>
      <c r="X272" s="5457">
        <v>810</v>
      </c>
      <c r="Y272" s="5457">
        <v>777</v>
      </c>
      <c r="Z272" s="5457">
        <v>472</v>
      </c>
      <c r="AA272" s="5457">
        <v>865</v>
      </c>
      <c r="AB272" s="5457">
        <v>510</v>
      </c>
      <c r="AC272" s="5457">
        <v>795</v>
      </c>
      <c r="AD272" s="5457">
        <v>902</v>
      </c>
      <c r="AE272" s="5457">
        <v>9134</v>
      </c>
      <c r="AF272" s="5458">
        <v>761.16666666666663</v>
      </c>
      <c r="AG272" s="2776"/>
      <c r="AH272" s="5456">
        <v>585</v>
      </c>
      <c r="AI272" s="5457">
        <v>899</v>
      </c>
      <c r="AJ272" s="5457">
        <v>599</v>
      </c>
      <c r="AK272" s="5457">
        <v>602</v>
      </c>
      <c r="AL272" s="5457">
        <v>595</v>
      </c>
      <c r="AM272" s="5457">
        <v>614</v>
      </c>
      <c r="AN272" s="5457">
        <v>618</v>
      </c>
      <c r="AO272" s="5457">
        <v>761</v>
      </c>
      <c r="AP272" s="5457">
        <v>460</v>
      </c>
      <c r="AQ272" s="5457">
        <v>506</v>
      </c>
      <c r="AR272" s="5457">
        <v>580</v>
      </c>
      <c r="AS272" s="5457">
        <v>764</v>
      </c>
      <c r="AT272" s="5457">
        <f t="shared" si="315"/>
        <v>7583</v>
      </c>
      <c r="AU272" s="5458">
        <f t="shared" ref="AU272:AU335" si="338">SUM(AH272:AS272)/12</f>
        <v>631.91666666666663</v>
      </c>
      <c r="AW272" s="5456">
        <v>776</v>
      </c>
      <c r="AX272" s="5457">
        <v>291</v>
      </c>
      <c r="AY272" s="5457">
        <v>746</v>
      </c>
      <c r="AZ272" s="5457">
        <v>616</v>
      </c>
      <c r="BA272" s="5457">
        <v>319</v>
      </c>
      <c r="BB272" s="5457">
        <v>558</v>
      </c>
      <c r="BC272" s="5457">
        <v>536</v>
      </c>
      <c r="BD272" s="5457">
        <v>505</v>
      </c>
      <c r="BE272" s="5457">
        <v>554</v>
      </c>
      <c r="BF272" s="5457">
        <v>563</v>
      </c>
      <c r="BG272" s="5457">
        <v>620</v>
      </c>
      <c r="BH272" s="5457">
        <v>601</v>
      </c>
      <c r="BI272" s="5457">
        <f t="shared" si="330"/>
        <v>6685</v>
      </c>
      <c r="BJ272" s="5458">
        <f t="shared" si="336"/>
        <v>557.08333333333337</v>
      </c>
      <c r="BL272" s="5456">
        <v>483</v>
      </c>
      <c r="BM272" s="5457">
        <v>1128</v>
      </c>
      <c r="BN272" s="5457"/>
      <c r="BO272" s="5457"/>
      <c r="BP272" s="5457"/>
      <c r="BQ272" s="5457"/>
      <c r="BR272" s="5457"/>
      <c r="BS272" s="5457"/>
      <c r="BT272" s="5457"/>
      <c r="BU272" s="5457"/>
      <c r="BV272" s="5457"/>
      <c r="BW272" s="5457"/>
      <c r="BX272" s="5457">
        <f t="shared" si="331"/>
        <v>1611</v>
      </c>
      <c r="BY272" s="5458">
        <f t="shared" si="337"/>
        <v>805.5</v>
      </c>
      <c r="CA272" s="169">
        <f t="shared" ref="CA272:CA335" si="339">IFERROR(_xlfn.XLOOKUP($A$1,$2:$2,272:272)-_xlfn.XLOOKUP(EDATE($A$1,-12),$2:$2,272:272),"")</f>
        <v>837</v>
      </c>
      <c r="CB272" s="169">
        <f t="shared" si="320"/>
        <v>-74.833333333333258</v>
      </c>
      <c r="CC272" s="169">
        <f>IFERROR(
  SUM(
    _xlfn.XLOOKUP(DATE(YEAR($A$1),1,1),$2:$2,272:272):
    _xlfn.XLOOKUP($A$1,$2:$2,272:272)
  )
 -SUM(
    _xlfn.XLOOKUP(DATE(YEAR($A$1)-1,1,1),$2:$2,272:272):
    _xlfn.XLOOKUP(EDATE($A$1,-12),$2:$2,272:272)
  ),"")</f>
        <v>544</v>
      </c>
      <c r="CD272" s="4517">
        <f t="shared" ref="CD272:CD335" si="340">IFERROR(
  _xlfn.XLOOKUP($A$1,$2:$2,272:272)
 -_xlfn.XLOOKUP(EDATE($A$1,-1),$2:$2,272:272),"")</f>
        <v>645</v>
      </c>
      <c r="CE272" s="5459"/>
      <c r="CF272" s="5459"/>
    </row>
    <row r="273" spans="1:84" ht="17.600000000000001" hidden="1" x14ac:dyDescent="0.55000000000000004">
      <c r="A273" s="7347"/>
      <c r="B273" s="5460"/>
      <c r="C273" s="786" t="s">
        <v>261</v>
      </c>
      <c r="D273" s="5461">
        <v>0</v>
      </c>
      <c r="E273" s="5462">
        <v>0</v>
      </c>
      <c r="F273" s="5462">
        <v>0</v>
      </c>
      <c r="G273" s="5462">
        <v>0</v>
      </c>
      <c r="H273" s="5462">
        <v>0</v>
      </c>
      <c r="I273" s="5462">
        <v>0</v>
      </c>
      <c r="J273" s="5462">
        <v>0</v>
      </c>
      <c r="K273" s="5462">
        <v>0</v>
      </c>
      <c r="L273" s="5462">
        <v>0</v>
      </c>
      <c r="M273" s="5462">
        <v>0</v>
      </c>
      <c r="N273" s="5462">
        <v>0</v>
      </c>
      <c r="O273" s="5462">
        <v>0</v>
      </c>
      <c r="P273" s="5462">
        <v>0</v>
      </c>
      <c r="Q273" s="5463">
        <v>0</v>
      </c>
      <c r="R273" s="2776"/>
      <c r="S273" s="5461">
        <v>0</v>
      </c>
      <c r="T273" s="5462">
        <v>0</v>
      </c>
      <c r="U273" s="5462">
        <v>0</v>
      </c>
      <c r="V273" s="5462">
        <v>0</v>
      </c>
      <c r="W273" s="5462">
        <v>0</v>
      </c>
      <c r="X273" s="5462">
        <v>0</v>
      </c>
      <c r="Y273" s="5462">
        <v>0</v>
      </c>
      <c r="Z273" s="5462">
        <v>0</v>
      </c>
      <c r="AA273" s="5462">
        <v>0</v>
      </c>
      <c r="AB273" s="5462">
        <v>0</v>
      </c>
      <c r="AC273" s="5462">
        <v>0</v>
      </c>
      <c r="AD273" s="5462">
        <v>0</v>
      </c>
      <c r="AE273" s="5462">
        <v>0</v>
      </c>
      <c r="AF273" s="5463">
        <v>0</v>
      </c>
      <c r="AG273" s="2776"/>
      <c r="AH273" s="5461"/>
      <c r="AI273" s="5462"/>
      <c r="AJ273" s="5462"/>
      <c r="AK273" s="5462"/>
      <c r="AL273" s="5462"/>
      <c r="AM273" s="5462"/>
      <c r="AN273" s="5462"/>
      <c r="AO273" s="5462"/>
      <c r="AP273" s="5462"/>
      <c r="AQ273" s="5462"/>
      <c r="AR273" s="5462"/>
      <c r="AS273" s="5462"/>
      <c r="AT273" s="5462">
        <f t="shared" ref="AT273:AT336" si="341">SUM(AH273:AS273)</f>
        <v>0</v>
      </c>
      <c r="AU273" s="5463">
        <f t="shared" si="338"/>
        <v>0</v>
      </c>
      <c r="AW273" s="5461">
        <v>24</v>
      </c>
      <c r="AX273" s="5462">
        <v>7</v>
      </c>
      <c r="AY273" s="5462"/>
      <c r="AZ273" s="5462"/>
      <c r="BA273" s="5462"/>
      <c r="BB273" s="5462"/>
      <c r="BC273" s="5462"/>
      <c r="BD273" s="5462"/>
      <c r="BE273" s="5462">
        <v>78</v>
      </c>
      <c r="BF273" s="5462"/>
      <c r="BG273" s="5462"/>
      <c r="BH273" s="5462">
        <v>26</v>
      </c>
      <c r="BI273" s="5462">
        <f t="shared" si="330"/>
        <v>135</v>
      </c>
      <c r="BJ273" s="5463">
        <f t="shared" si="336"/>
        <v>33.75</v>
      </c>
      <c r="BL273" s="5461">
        <v>33</v>
      </c>
      <c r="BM273" s="5462">
        <v>141</v>
      </c>
      <c r="BN273" s="5462"/>
      <c r="BO273" s="5462"/>
      <c r="BP273" s="5462"/>
      <c r="BQ273" s="5462"/>
      <c r="BR273" s="5462"/>
      <c r="BS273" s="5462"/>
      <c r="BT273" s="5462"/>
      <c r="BU273" s="5462"/>
      <c r="BV273" s="5462"/>
      <c r="BW273" s="5462"/>
      <c r="BX273" s="5462">
        <f t="shared" si="331"/>
        <v>174</v>
      </c>
      <c r="BY273" s="5463">
        <f t="shared" si="337"/>
        <v>87</v>
      </c>
      <c r="CA273" s="169">
        <f t="shared" si="339"/>
        <v>134</v>
      </c>
      <c r="CB273" s="169">
        <f t="shared" ref="CB273:CB336" si="342">BJ273-AU273</f>
        <v>33.75</v>
      </c>
      <c r="CC273" s="169">
        <f>IFERROR(
  SUM(
    _xlfn.XLOOKUP(DATE(YEAR($A$1),1,1),$2:$2,273:273):
    _xlfn.XLOOKUP($A$1,$2:$2,273:273)
  )
 -SUM(
    _xlfn.XLOOKUP(DATE(YEAR($A$1)-1,1,1),$2:$2,273:273):
    _xlfn.XLOOKUP(EDATE($A$1,-12),$2:$2,273:273)
  ),"")</f>
        <v>143</v>
      </c>
      <c r="CD273" s="4517">
        <f t="shared" si="340"/>
        <v>108</v>
      </c>
      <c r="CE273" s="5459"/>
      <c r="CF273" s="5459"/>
    </row>
    <row r="274" spans="1:84" ht="17.600000000000001" hidden="1" x14ac:dyDescent="0.55000000000000004">
      <c r="A274" s="7347"/>
      <c r="B274" s="5460"/>
      <c r="C274" s="786" t="s">
        <v>260</v>
      </c>
      <c r="D274" s="5461">
        <v>0</v>
      </c>
      <c r="E274" s="5462">
        <v>0</v>
      </c>
      <c r="F274" s="5462">
        <v>0</v>
      </c>
      <c r="G274" s="5462">
        <v>0</v>
      </c>
      <c r="H274" s="5462">
        <v>0</v>
      </c>
      <c r="I274" s="5462">
        <v>0</v>
      </c>
      <c r="J274" s="5462">
        <v>0</v>
      </c>
      <c r="K274" s="5462">
        <v>0</v>
      </c>
      <c r="L274" s="5462">
        <v>0</v>
      </c>
      <c r="M274" s="5462">
        <v>0</v>
      </c>
      <c r="N274" s="5462">
        <v>0</v>
      </c>
      <c r="O274" s="5462">
        <v>0</v>
      </c>
      <c r="P274" s="5462">
        <v>0</v>
      </c>
      <c r="Q274" s="5463">
        <v>0</v>
      </c>
      <c r="R274" s="2776"/>
      <c r="S274" s="5461">
        <v>0</v>
      </c>
      <c r="T274" s="5462">
        <v>0</v>
      </c>
      <c r="U274" s="5462">
        <v>0</v>
      </c>
      <c r="V274" s="5462">
        <v>0</v>
      </c>
      <c r="W274" s="5462">
        <v>0</v>
      </c>
      <c r="X274" s="5462">
        <v>0</v>
      </c>
      <c r="Y274" s="5462">
        <v>0</v>
      </c>
      <c r="Z274" s="5462">
        <v>0</v>
      </c>
      <c r="AA274" s="5462">
        <v>0</v>
      </c>
      <c r="AB274" s="5462">
        <v>0</v>
      </c>
      <c r="AC274" s="5462">
        <v>0</v>
      </c>
      <c r="AD274" s="5462">
        <v>0</v>
      </c>
      <c r="AE274" s="5462">
        <v>0</v>
      </c>
      <c r="AF274" s="5463">
        <v>0</v>
      </c>
      <c r="AG274" s="2776"/>
      <c r="AH274" s="5461"/>
      <c r="AI274" s="5462"/>
      <c r="AJ274" s="5462"/>
      <c r="AK274" s="5462"/>
      <c r="AL274" s="5462"/>
      <c r="AM274" s="5462"/>
      <c r="AN274" s="5462"/>
      <c r="AO274" s="5462"/>
      <c r="AP274" s="5462"/>
      <c r="AQ274" s="5462"/>
      <c r="AR274" s="5462"/>
      <c r="AS274" s="5462"/>
      <c r="AT274" s="5462">
        <f t="shared" si="341"/>
        <v>0</v>
      </c>
      <c r="AU274" s="5463">
        <f t="shared" si="338"/>
        <v>0</v>
      </c>
      <c r="AW274" s="5461">
        <v>57</v>
      </c>
      <c r="AX274" s="5462">
        <v>23</v>
      </c>
      <c r="AY274" s="5462"/>
      <c r="AZ274" s="5462"/>
      <c r="BA274" s="5462"/>
      <c r="BB274" s="5462"/>
      <c r="BC274" s="5462"/>
      <c r="BD274" s="5462"/>
      <c r="BE274" s="5462">
        <v>148</v>
      </c>
      <c r="BF274" s="5462"/>
      <c r="BG274" s="5462"/>
      <c r="BH274" s="5462">
        <v>52</v>
      </c>
      <c r="BI274" s="5462">
        <f t="shared" si="330"/>
        <v>280</v>
      </c>
      <c r="BJ274" s="5463">
        <f t="shared" si="336"/>
        <v>70</v>
      </c>
      <c r="BL274" s="5461">
        <v>57</v>
      </c>
      <c r="BM274" s="5462">
        <v>162</v>
      </c>
      <c r="BN274" s="5462"/>
      <c r="BO274" s="5462"/>
      <c r="BP274" s="5462"/>
      <c r="BQ274" s="5462"/>
      <c r="BR274" s="5462"/>
      <c r="BS274" s="5462"/>
      <c r="BT274" s="5462"/>
      <c r="BU274" s="5462"/>
      <c r="BV274" s="5462"/>
      <c r="BW274" s="5462"/>
      <c r="BX274" s="5462">
        <f t="shared" si="331"/>
        <v>219</v>
      </c>
      <c r="BY274" s="5463">
        <f t="shared" si="337"/>
        <v>109.5</v>
      </c>
      <c r="CA274" s="169">
        <f t="shared" si="339"/>
        <v>139</v>
      </c>
      <c r="CB274" s="169">
        <f t="shared" si="342"/>
        <v>70</v>
      </c>
      <c r="CC274" s="169">
        <f>IFERROR(
  SUM(
    _xlfn.XLOOKUP(DATE(YEAR($A$1),1,1),$2:$2,274:274):
    _xlfn.XLOOKUP($A$1,$2:$2,274:274)
  )
 -SUM(
    _xlfn.XLOOKUP(DATE(YEAR($A$1)-1,1,1),$2:$2,274:274):
    _xlfn.XLOOKUP(EDATE($A$1,-12),$2:$2,274:274)
  ),"")</f>
        <v>139</v>
      </c>
      <c r="CD274" s="4517">
        <f t="shared" si="340"/>
        <v>105</v>
      </c>
      <c r="CE274" s="5459"/>
      <c r="CF274" s="5459"/>
    </row>
    <row r="275" spans="1:84" ht="17.600000000000001" hidden="1" x14ac:dyDescent="0.55000000000000004">
      <c r="A275" s="7347"/>
      <c r="B275" s="5460"/>
      <c r="C275" s="786" t="s">
        <v>259</v>
      </c>
      <c r="D275" s="5461">
        <v>0</v>
      </c>
      <c r="E275" s="5462">
        <v>0</v>
      </c>
      <c r="F275" s="5462">
        <v>0</v>
      </c>
      <c r="G275" s="5462">
        <v>0</v>
      </c>
      <c r="H275" s="5462">
        <v>0</v>
      </c>
      <c r="I275" s="5462">
        <v>0</v>
      </c>
      <c r="J275" s="5462">
        <v>0</v>
      </c>
      <c r="K275" s="5462">
        <v>0</v>
      </c>
      <c r="L275" s="5462">
        <v>0</v>
      </c>
      <c r="M275" s="5462">
        <v>0</v>
      </c>
      <c r="N275" s="5462">
        <v>0</v>
      </c>
      <c r="O275" s="5462">
        <v>0</v>
      </c>
      <c r="P275" s="5462">
        <v>0</v>
      </c>
      <c r="Q275" s="5463">
        <v>0</v>
      </c>
      <c r="R275" s="2776"/>
      <c r="S275" s="5461">
        <v>0</v>
      </c>
      <c r="T275" s="5462">
        <v>0</v>
      </c>
      <c r="U275" s="5462">
        <v>0</v>
      </c>
      <c r="V275" s="5462">
        <v>0</v>
      </c>
      <c r="W275" s="5462">
        <v>0</v>
      </c>
      <c r="X275" s="5462">
        <v>0</v>
      </c>
      <c r="Y275" s="5462">
        <v>0</v>
      </c>
      <c r="Z275" s="5462">
        <v>0</v>
      </c>
      <c r="AA275" s="5462">
        <v>0</v>
      </c>
      <c r="AB275" s="5462">
        <v>0</v>
      </c>
      <c r="AC275" s="5462">
        <v>0</v>
      </c>
      <c r="AD275" s="5462">
        <v>0</v>
      </c>
      <c r="AE275" s="5462">
        <v>0</v>
      </c>
      <c r="AF275" s="5463">
        <v>0</v>
      </c>
      <c r="AG275" s="2776"/>
      <c r="AH275" s="5461"/>
      <c r="AI275" s="5462"/>
      <c r="AJ275" s="5462"/>
      <c r="AK275" s="5462"/>
      <c r="AL275" s="5462"/>
      <c r="AM275" s="5462"/>
      <c r="AN275" s="5462"/>
      <c r="AO275" s="5462"/>
      <c r="AP275" s="5462"/>
      <c r="AQ275" s="5462"/>
      <c r="AR275" s="5462"/>
      <c r="AS275" s="5462"/>
      <c r="AT275" s="5462">
        <f t="shared" si="341"/>
        <v>0</v>
      </c>
      <c r="AU275" s="5463">
        <f t="shared" si="338"/>
        <v>0</v>
      </c>
      <c r="AW275" s="5461">
        <v>695</v>
      </c>
      <c r="AX275" s="5462">
        <v>261</v>
      </c>
      <c r="AY275" s="5462"/>
      <c r="AZ275" s="5462"/>
      <c r="BA275" s="5462"/>
      <c r="BB275" s="5462"/>
      <c r="BC275" s="5462"/>
      <c r="BD275" s="5462"/>
      <c r="BE275" s="5462">
        <v>375</v>
      </c>
      <c r="BF275" s="5462"/>
      <c r="BG275" s="5462"/>
      <c r="BH275" s="5462">
        <v>523</v>
      </c>
      <c r="BI275" s="5462">
        <f t="shared" si="330"/>
        <v>1854</v>
      </c>
      <c r="BJ275" s="5463">
        <f t="shared" si="336"/>
        <v>463.5</v>
      </c>
      <c r="BL275" s="5461">
        <v>393</v>
      </c>
      <c r="BM275" s="5462">
        <v>825</v>
      </c>
      <c r="BN275" s="5462"/>
      <c r="BO275" s="5462"/>
      <c r="BP275" s="5462"/>
      <c r="BQ275" s="5462"/>
      <c r="BR275" s="5462"/>
      <c r="BS275" s="5462"/>
      <c r="BT275" s="5462"/>
      <c r="BU275" s="5462"/>
      <c r="BV275" s="5462"/>
      <c r="BW275" s="5462"/>
      <c r="BX275" s="5462">
        <f t="shared" si="331"/>
        <v>1218</v>
      </c>
      <c r="BY275" s="5463">
        <f t="shared" si="337"/>
        <v>609</v>
      </c>
      <c r="CA275" s="169">
        <f t="shared" si="339"/>
        <v>564</v>
      </c>
      <c r="CB275" s="169">
        <f t="shared" si="342"/>
        <v>463.5</v>
      </c>
      <c r="CC275" s="169">
        <f>IFERROR(
  SUM(
    _xlfn.XLOOKUP(DATE(YEAR($A$1),1,1),$2:$2,275:275):
    _xlfn.XLOOKUP($A$1,$2:$2,275:275)
  )
 -SUM(
    _xlfn.XLOOKUP(DATE(YEAR($A$1)-1,1,1),$2:$2,275:275):
    _xlfn.XLOOKUP(EDATE($A$1,-12),$2:$2,275:275)
  ),"")</f>
        <v>262</v>
      </c>
      <c r="CD275" s="4517">
        <f t="shared" si="340"/>
        <v>432</v>
      </c>
      <c r="CE275" s="5459"/>
      <c r="CF275" s="5459"/>
    </row>
    <row r="276" spans="1:84" ht="17.600000000000001" x14ac:dyDescent="0.55000000000000004">
      <c r="A276" s="7347"/>
      <c r="B276" s="5464" t="s">
        <v>206</v>
      </c>
      <c r="C276" s="1799"/>
      <c r="D276" s="5465">
        <v>155</v>
      </c>
      <c r="E276" s="5466">
        <v>105</v>
      </c>
      <c r="F276" s="5466">
        <v>139</v>
      </c>
      <c r="G276" s="5466">
        <v>118</v>
      </c>
      <c r="H276" s="5466">
        <v>141</v>
      </c>
      <c r="I276" s="5466">
        <v>126</v>
      </c>
      <c r="J276" s="5466">
        <v>163</v>
      </c>
      <c r="K276" s="5466">
        <v>118</v>
      </c>
      <c r="L276" s="5466">
        <v>193</v>
      </c>
      <c r="M276" s="5466">
        <v>123</v>
      </c>
      <c r="N276" s="5466">
        <v>183</v>
      </c>
      <c r="O276" s="5466">
        <v>199</v>
      </c>
      <c r="P276" s="5466">
        <v>1763</v>
      </c>
      <c r="Q276" s="5467">
        <v>146.91666666666666</v>
      </c>
      <c r="R276" s="2776"/>
      <c r="S276" s="5465">
        <v>165</v>
      </c>
      <c r="T276" s="5466">
        <v>126</v>
      </c>
      <c r="U276" s="5466">
        <v>166</v>
      </c>
      <c r="V276" s="5466">
        <v>167</v>
      </c>
      <c r="W276" s="5466">
        <v>123</v>
      </c>
      <c r="X276" s="5466">
        <v>176</v>
      </c>
      <c r="Y276" s="5466">
        <v>111</v>
      </c>
      <c r="Z276" s="5466">
        <v>81</v>
      </c>
      <c r="AA276" s="5466">
        <v>164</v>
      </c>
      <c r="AB276" s="5466">
        <v>64</v>
      </c>
      <c r="AC276" s="5466">
        <v>177</v>
      </c>
      <c r="AD276" s="5466">
        <v>143</v>
      </c>
      <c r="AE276" s="5466">
        <v>1663</v>
      </c>
      <c r="AF276" s="5467">
        <v>138.58333333333334</v>
      </c>
      <c r="AG276" s="2776"/>
      <c r="AH276" s="5465">
        <v>80</v>
      </c>
      <c r="AI276" s="5466">
        <v>186</v>
      </c>
      <c r="AJ276" s="5466">
        <v>101</v>
      </c>
      <c r="AK276" s="5466">
        <v>99</v>
      </c>
      <c r="AL276" s="5466">
        <v>97</v>
      </c>
      <c r="AM276" s="5466">
        <v>117</v>
      </c>
      <c r="AN276" s="5466">
        <v>91</v>
      </c>
      <c r="AO276" s="5466">
        <v>99</v>
      </c>
      <c r="AP276" s="5466">
        <v>82</v>
      </c>
      <c r="AQ276" s="5466">
        <v>95</v>
      </c>
      <c r="AR276" s="5466">
        <v>96</v>
      </c>
      <c r="AS276" s="5466">
        <v>163</v>
      </c>
      <c r="AT276" s="5466">
        <f t="shared" si="341"/>
        <v>1306</v>
      </c>
      <c r="AU276" s="5467">
        <f t="shared" si="338"/>
        <v>108.83333333333333</v>
      </c>
      <c r="AW276" s="5465">
        <v>171</v>
      </c>
      <c r="AX276" s="5466">
        <v>53</v>
      </c>
      <c r="AY276" s="5466">
        <v>159</v>
      </c>
      <c r="AZ276" s="5466">
        <v>119</v>
      </c>
      <c r="BA276" s="5466">
        <v>85</v>
      </c>
      <c r="BB276" s="5466">
        <v>91</v>
      </c>
      <c r="BC276" s="5466">
        <v>50</v>
      </c>
      <c r="BD276" s="5466">
        <v>74</v>
      </c>
      <c r="BE276" s="5466">
        <v>51</v>
      </c>
      <c r="BF276" s="5466">
        <v>97</v>
      </c>
      <c r="BG276" s="5466">
        <v>110</v>
      </c>
      <c r="BH276" s="5466">
        <v>88</v>
      </c>
      <c r="BI276" s="5466">
        <f t="shared" si="330"/>
        <v>1148</v>
      </c>
      <c r="BJ276" s="5467">
        <f t="shared" si="336"/>
        <v>95.666666666666671</v>
      </c>
      <c r="BL276" s="5465">
        <v>78</v>
      </c>
      <c r="BM276" s="5466">
        <v>193</v>
      </c>
      <c r="BN276" s="5466"/>
      <c r="BO276" s="5466"/>
      <c r="BP276" s="5466"/>
      <c r="BQ276" s="5466"/>
      <c r="BR276" s="5466"/>
      <c r="BS276" s="5466"/>
      <c r="BT276" s="5466"/>
      <c r="BU276" s="5466"/>
      <c r="BV276" s="5466"/>
      <c r="BW276" s="5466"/>
      <c r="BX276" s="5466">
        <f t="shared" si="331"/>
        <v>271</v>
      </c>
      <c r="BY276" s="5467">
        <f t="shared" si="337"/>
        <v>135.5</v>
      </c>
      <c r="CA276" s="169">
        <f t="shared" si="339"/>
        <v>140</v>
      </c>
      <c r="CB276" s="169">
        <f t="shared" si="342"/>
        <v>-13.166666666666657</v>
      </c>
      <c r="CC276" s="169">
        <f>IFERROR(
  SUM(
    _xlfn.XLOOKUP(DATE(YEAR($A$1),1,1),$2:$2,276:276):
    _xlfn.XLOOKUP($A$1,$2:$2,276:276)
  )
 -SUM(
    _xlfn.XLOOKUP(DATE(YEAR($A$1)-1,1,1),$2:$2,276:276):
    _xlfn.XLOOKUP(EDATE($A$1,-12),$2:$2,276:276)
  ),"")</f>
        <v>47</v>
      </c>
      <c r="CD276" s="4517">
        <f t="shared" si="340"/>
        <v>115</v>
      </c>
      <c r="CE276" s="5459"/>
      <c r="CF276" s="5459"/>
    </row>
    <row r="277" spans="1:84" ht="17.600000000000001" x14ac:dyDescent="0.55000000000000004">
      <c r="A277" s="7347"/>
      <c r="B277" s="5468" t="s">
        <v>207</v>
      </c>
      <c r="C277" s="1576"/>
      <c r="D277" s="5469">
        <v>186</v>
      </c>
      <c r="E277" s="2636">
        <v>112</v>
      </c>
      <c r="F277" s="2636">
        <v>148</v>
      </c>
      <c r="G277" s="2636">
        <v>139</v>
      </c>
      <c r="H277" s="2636">
        <v>95</v>
      </c>
      <c r="I277" s="2636">
        <v>134</v>
      </c>
      <c r="J277" s="2636">
        <v>156</v>
      </c>
      <c r="K277" s="2636">
        <v>127</v>
      </c>
      <c r="L277" s="2636">
        <v>142</v>
      </c>
      <c r="M277" s="2636">
        <v>109</v>
      </c>
      <c r="N277" s="2636">
        <v>138</v>
      </c>
      <c r="O277" s="2636">
        <v>142</v>
      </c>
      <c r="P277" s="2636">
        <v>1628</v>
      </c>
      <c r="Q277" s="5470">
        <v>135.66666666666666</v>
      </c>
      <c r="R277" s="2776"/>
      <c r="S277" s="5469">
        <v>103</v>
      </c>
      <c r="T277" s="2636">
        <v>89</v>
      </c>
      <c r="U277" s="2636">
        <v>91</v>
      </c>
      <c r="V277" s="2636">
        <v>177</v>
      </c>
      <c r="W277" s="2636">
        <v>140</v>
      </c>
      <c r="X277" s="2636">
        <v>106</v>
      </c>
      <c r="Y277" s="2636">
        <v>137</v>
      </c>
      <c r="Z277" s="2636">
        <v>50</v>
      </c>
      <c r="AA277" s="2636">
        <v>129</v>
      </c>
      <c r="AB277" s="2636">
        <v>56</v>
      </c>
      <c r="AC277" s="2636">
        <v>76</v>
      </c>
      <c r="AD277" s="2636">
        <v>137</v>
      </c>
      <c r="AE277" s="2636">
        <v>1291</v>
      </c>
      <c r="AF277" s="5470">
        <v>107.58333333333333</v>
      </c>
      <c r="AG277" s="2776"/>
      <c r="AH277" s="5469">
        <v>81</v>
      </c>
      <c r="AI277" s="2636">
        <v>131</v>
      </c>
      <c r="AJ277" s="2636">
        <v>118</v>
      </c>
      <c r="AK277" s="2636">
        <v>107</v>
      </c>
      <c r="AL277" s="2636">
        <v>74</v>
      </c>
      <c r="AM277" s="2636">
        <v>88</v>
      </c>
      <c r="AN277" s="2636">
        <v>78</v>
      </c>
      <c r="AO277" s="2636">
        <v>84</v>
      </c>
      <c r="AP277" s="2636">
        <v>74</v>
      </c>
      <c r="AQ277" s="2636">
        <v>53</v>
      </c>
      <c r="AR277" s="2636">
        <v>125</v>
      </c>
      <c r="AS277" s="2636">
        <v>131</v>
      </c>
      <c r="AT277" s="2636">
        <f t="shared" si="341"/>
        <v>1144</v>
      </c>
      <c r="AU277" s="5470">
        <f t="shared" si="338"/>
        <v>95.333333333333329</v>
      </c>
      <c r="AW277" s="5469">
        <v>94</v>
      </c>
      <c r="AX277" s="2636">
        <v>26</v>
      </c>
      <c r="AY277" s="2636">
        <v>100</v>
      </c>
      <c r="AZ277" s="2636">
        <v>124</v>
      </c>
      <c r="BA277" s="2636">
        <v>36</v>
      </c>
      <c r="BB277" s="2636">
        <v>65</v>
      </c>
      <c r="BC277" s="2636">
        <v>68</v>
      </c>
      <c r="BD277" s="2636">
        <v>46</v>
      </c>
      <c r="BE277" s="2636">
        <v>54</v>
      </c>
      <c r="BF277" s="2636">
        <v>68</v>
      </c>
      <c r="BG277" s="2636">
        <v>56</v>
      </c>
      <c r="BH277" s="2636">
        <v>72</v>
      </c>
      <c r="BI277" s="2636">
        <f t="shared" si="330"/>
        <v>809</v>
      </c>
      <c r="BJ277" s="5470">
        <f t="shared" si="336"/>
        <v>67.416666666666671</v>
      </c>
      <c r="BL277" s="5469">
        <v>66</v>
      </c>
      <c r="BM277" s="2636">
        <v>141</v>
      </c>
      <c r="BN277" s="2636"/>
      <c r="BO277" s="2636"/>
      <c r="BP277" s="2636"/>
      <c r="BQ277" s="2636"/>
      <c r="BR277" s="2636"/>
      <c r="BS277" s="2636"/>
      <c r="BT277" s="2636"/>
      <c r="BU277" s="2636"/>
      <c r="BV277" s="2636"/>
      <c r="BW277" s="2636"/>
      <c r="BX277" s="2636">
        <f t="shared" si="331"/>
        <v>207</v>
      </c>
      <c r="BY277" s="5470">
        <f t="shared" si="337"/>
        <v>103.5</v>
      </c>
      <c r="CA277" s="169">
        <f t="shared" si="339"/>
        <v>115</v>
      </c>
      <c r="CB277" s="169">
        <f t="shared" si="342"/>
        <v>-27.916666666666657</v>
      </c>
      <c r="CC277" s="169">
        <f>IFERROR(
  SUM(
    _xlfn.XLOOKUP(DATE(YEAR($A$1),1,1),$2:$2,277:277):
    _xlfn.XLOOKUP($A$1,$2:$2,277:277)
  )
 -SUM(
    _xlfn.XLOOKUP(DATE(YEAR($A$1)-1,1,1),$2:$2,277:277):
    _xlfn.XLOOKUP(EDATE($A$1,-12),$2:$2,277:277)
  ),"")</f>
        <v>87</v>
      </c>
      <c r="CD277" s="4517">
        <f t="shared" si="340"/>
        <v>75</v>
      </c>
      <c r="CE277" s="5459"/>
      <c r="CF277" s="5459"/>
    </row>
    <row r="278" spans="1:84" ht="17.600000000000001" x14ac:dyDescent="0.55000000000000004">
      <c r="A278" s="7347"/>
      <c r="B278" s="5468" t="s">
        <v>208</v>
      </c>
      <c r="C278" s="1576"/>
      <c r="D278" s="5469">
        <v>166</v>
      </c>
      <c r="E278" s="2636">
        <v>110</v>
      </c>
      <c r="F278" s="2636">
        <v>150</v>
      </c>
      <c r="G278" s="2636">
        <v>130</v>
      </c>
      <c r="H278" s="2636">
        <v>129</v>
      </c>
      <c r="I278" s="2636">
        <v>141</v>
      </c>
      <c r="J278" s="2636">
        <v>135</v>
      </c>
      <c r="K278" s="2636">
        <v>133</v>
      </c>
      <c r="L278" s="2636">
        <v>211</v>
      </c>
      <c r="M278" s="2636">
        <v>128</v>
      </c>
      <c r="N278" s="2636">
        <v>228</v>
      </c>
      <c r="O278" s="2636">
        <v>208</v>
      </c>
      <c r="P278" s="2636">
        <v>1869</v>
      </c>
      <c r="Q278" s="5470">
        <v>155.75</v>
      </c>
      <c r="R278" s="2776"/>
      <c r="S278" s="5469">
        <v>135</v>
      </c>
      <c r="T278" s="2636">
        <v>189</v>
      </c>
      <c r="U278" s="2636">
        <v>111</v>
      </c>
      <c r="V278" s="2636">
        <v>261</v>
      </c>
      <c r="W278" s="2636">
        <v>160</v>
      </c>
      <c r="X278" s="2636">
        <v>148</v>
      </c>
      <c r="Y278" s="2636">
        <v>143</v>
      </c>
      <c r="Z278" s="2636">
        <v>97</v>
      </c>
      <c r="AA278" s="2636">
        <v>161</v>
      </c>
      <c r="AB278" s="2636">
        <v>90</v>
      </c>
      <c r="AC278" s="2636">
        <v>161</v>
      </c>
      <c r="AD278" s="2636">
        <v>167</v>
      </c>
      <c r="AE278" s="2636">
        <v>1823</v>
      </c>
      <c r="AF278" s="5470">
        <v>151.91666666666666</v>
      </c>
      <c r="AG278" s="2776"/>
      <c r="AH278" s="5469">
        <v>149</v>
      </c>
      <c r="AI278" s="2636">
        <v>174</v>
      </c>
      <c r="AJ278" s="2636">
        <v>107</v>
      </c>
      <c r="AK278" s="2636">
        <v>96</v>
      </c>
      <c r="AL278" s="2636">
        <v>76</v>
      </c>
      <c r="AM278" s="2636">
        <v>102</v>
      </c>
      <c r="AN278" s="2636">
        <v>121</v>
      </c>
      <c r="AO278" s="2636">
        <v>119</v>
      </c>
      <c r="AP278" s="2636">
        <v>73</v>
      </c>
      <c r="AQ278" s="2636">
        <v>91</v>
      </c>
      <c r="AR278" s="2636">
        <v>130</v>
      </c>
      <c r="AS278" s="2636">
        <v>146</v>
      </c>
      <c r="AT278" s="2636">
        <f t="shared" si="341"/>
        <v>1384</v>
      </c>
      <c r="AU278" s="5470">
        <f t="shared" si="338"/>
        <v>115.33333333333333</v>
      </c>
      <c r="AW278" s="5469">
        <v>149</v>
      </c>
      <c r="AX278" s="2636">
        <v>55</v>
      </c>
      <c r="AY278" s="2636">
        <v>159</v>
      </c>
      <c r="AZ278" s="2636">
        <v>118</v>
      </c>
      <c r="BA278" s="2636">
        <v>42</v>
      </c>
      <c r="BB278" s="2636">
        <v>104</v>
      </c>
      <c r="BC278" s="2636">
        <v>89</v>
      </c>
      <c r="BD278" s="2636">
        <v>75</v>
      </c>
      <c r="BE278" s="2636">
        <v>98</v>
      </c>
      <c r="BF278" s="2636">
        <v>108</v>
      </c>
      <c r="BG278" s="2636">
        <v>105</v>
      </c>
      <c r="BH278" s="2636">
        <v>92</v>
      </c>
      <c r="BI278" s="2636">
        <f t="shared" si="330"/>
        <v>1194</v>
      </c>
      <c r="BJ278" s="5470">
        <f t="shared" si="336"/>
        <v>99.5</v>
      </c>
      <c r="BL278" s="5469">
        <v>70</v>
      </c>
      <c r="BM278" s="2636">
        <v>180</v>
      </c>
      <c r="BN278" s="2636"/>
      <c r="BO278" s="2636"/>
      <c r="BP278" s="2636"/>
      <c r="BQ278" s="2636"/>
      <c r="BR278" s="2636"/>
      <c r="BS278" s="2636"/>
      <c r="BT278" s="2636"/>
      <c r="BU278" s="2636"/>
      <c r="BV278" s="2636"/>
      <c r="BW278" s="2636"/>
      <c r="BX278" s="2636">
        <f t="shared" si="331"/>
        <v>250</v>
      </c>
      <c r="BY278" s="5470">
        <f t="shared" si="337"/>
        <v>125</v>
      </c>
      <c r="CA278" s="169">
        <f t="shared" si="339"/>
        <v>125</v>
      </c>
      <c r="CB278" s="169">
        <f t="shared" si="342"/>
        <v>-15.833333333333329</v>
      </c>
      <c r="CC278" s="169">
        <f>IFERROR(
  SUM(
    _xlfn.XLOOKUP(DATE(YEAR($A$1),1,1),$2:$2,278:278):
    _xlfn.XLOOKUP($A$1,$2:$2,278:278)
  )
 -SUM(
    _xlfn.XLOOKUP(DATE(YEAR($A$1)-1,1,1),$2:$2,278:278):
    _xlfn.XLOOKUP(EDATE($A$1,-12),$2:$2,278:278)
  ),"")</f>
        <v>46</v>
      </c>
      <c r="CD278" s="4517">
        <f t="shared" si="340"/>
        <v>110</v>
      </c>
      <c r="CE278" s="5459"/>
      <c r="CF278" s="5459"/>
    </row>
    <row r="279" spans="1:84" ht="17.600000000000001" x14ac:dyDescent="0.55000000000000004">
      <c r="A279" s="7347"/>
      <c r="B279" s="5468" t="s">
        <v>209</v>
      </c>
      <c r="C279" s="1576"/>
      <c r="D279" s="5469">
        <v>235</v>
      </c>
      <c r="E279" s="2636">
        <v>192</v>
      </c>
      <c r="F279" s="2636">
        <v>152</v>
      </c>
      <c r="G279" s="2636">
        <v>189</v>
      </c>
      <c r="H279" s="2636">
        <v>222</v>
      </c>
      <c r="I279" s="2636">
        <v>225</v>
      </c>
      <c r="J279" s="2636">
        <v>204</v>
      </c>
      <c r="K279" s="2636">
        <v>222</v>
      </c>
      <c r="L279" s="2636">
        <v>238</v>
      </c>
      <c r="M279" s="2636">
        <v>196</v>
      </c>
      <c r="N279" s="2636">
        <v>293</v>
      </c>
      <c r="O279" s="2636">
        <v>342</v>
      </c>
      <c r="P279" s="2636">
        <v>2710</v>
      </c>
      <c r="Q279" s="5470">
        <v>225.83333333333334</v>
      </c>
      <c r="R279" s="2776"/>
      <c r="S279" s="5469">
        <v>208</v>
      </c>
      <c r="T279" s="2636">
        <v>188</v>
      </c>
      <c r="U279" s="2636">
        <v>215</v>
      </c>
      <c r="V279" s="2636">
        <v>210</v>
      </c>
      <c r="W279" s="2636">
        <v>210</v>
      </c>
      <c r="X279" s="2636">
        <v>215</v>
      </c>
      <c r="Y279" s="2636">
        <v>186</v>
      </c>
      <c r="Z279" s="2636">
        <v>139</v>
      </c>
      <c r="AA279" s="2636">
        <v>197</v>
      </c>
      <c r="AB279" s="2636">
        <v>184</v>
      </c>
      <c r="AC279" s="2636">
        <v>212</v>
      </c>
      <c r="AD279" s="2636">
        <v>269</v>
      </c>
      <c r="AE279" s="2636">
        <v>2433</v>
      </c>
      <c r="AF279" s="5470">
        <v>202.75</v>
      </c>
      <c r="AG279" s="2776"/>
      <c r="AH279" s="5469">
        <v>168</v>
      </c>
      <c r="AI279" s="2636">
        <v>232</v>
      </c>
      <c r="AJ279" s="2636">
        <v>165</v>
      </c>
      <c r="AK279" s="2636">
        <v>191</v>
      </c>
      <c r="AL279" s="2636">
        <v>222</v>
      </c>
      <c r="AM279" s="2636">
        <v>209</v>
      </c>
      <c r="AN279" s="2636">
        <v>198</v>
      </c>
      <c r="AO279" s="2636">
        <v>258</v>
      </c>
      <c r="AP279" s="2636">
        <v>151</v>
      </c>
      <c r="AQ279" s="2636">
        <v>204</v>
      </c>
      <c r="AR279" s="2636">
        <v>160</v>
      </c>
      <c r="AS279" s="2636">
        <v>209</v>
      </c>
      <c r="AT279" s="2636">
        <f t="shared" si="341"/>
        <v>2367</v>
      </c>
      <c r="AU279" s="5470">
        <f t="shared" si="338"/>
        <v>197.25</v>
      </c>
      <c r="AW279" s="5469">
        <v>211</v>
      </c>
      <c r="AX279" s="2636">
        <v>119</v>
      </c>
      <c r="AY279" s="2636">
        <v>208</v>
      </c>
      <c r="AZ279" s="2636">
        <v>178</v>
      </c>
      <c r="BA279" s="2636">
        <v>105</v>
      </c>
      <c r="BB279" s="2636">
        <v>199</v>
      </c>
      <c r="BC279" s="2636">
        <v>214</v>
      </c>
      <c r="BD279" s="2636">
        <v>218</v>
      </c>
      <c r="BE279" s="2636">
        <v>245</v>
      </c>
      <c r="BF279" s="2636">
        <v>208</v>
      </c>
      <c r="BG279" s="2636">
        <v>250</v>
      </c>
      <c r="BH279" s="2636">
        <v>211</v>
      </c>
      <c r="BI279" s="2636">
        <f t="shared" si="330"/>
        <v>2366</v>
      </c>
      <c r="BJ279" s="5470">
        <f t="shared" si="336"/>
        <v>197.16666666666666</v>
      </c>
      <c r="BL279" s="5469">
        <v>184</v>
      </c>
      <c r="BM279" s="2636">
        <v>403</v>
      </c>
      <c r="BN279" s="2636"/>
      <c r="BO279" s="2636"/>
      <c r="BP279" s="2636"/>
      <c r="BQ279" s="2636"/>
      <c r="BR279" s="2636"/>
      <c r="BS279" s="2636"/>
      <c r="BT279" s="2636"/>
      <c r="BU279" s="2636"/>
      <c r="BV279" s="2636"/>
      <c r="BW279" s="2636"/>
      <c r="BX279" s="2636">
        <f t="shared" si="331"/>
        <v>587</v>
      </c>
      <c r="BY279" s="5470">
        <f t="shared" si="337"/>
        <v>293.5</v>
      </c>
      <c r="CA279" s="169">
        <f t="shared" si="339"/>
        <v>284</v>
      </c>
      <c r="CB279" s="169">
        <f t="shared" si="342"/>
        <v>-8.3333333333342807E-2</v>
      </c>
      <c r="CC279" s="169">
        <f>IFERROR(
  SUM(
    _xlfn.XLOOKUP(DATE(YEAR($A$1),1,1),$2:$2,279:279):
    _xlfn.XLOOKUP($A$1,$2:$2,279:279)
  )
 -SUM(
    _xlfn.XLOOKUP(DATE(YEAR($A$1)-1,1,1),$2:$2,279:279):
    _xlfn.XLOOKUP(EDATE($A$1,-12),$2:$2,279:279)
  ),"")</f>
        <v>257</v>
      </c>
      <c r="CD279" s="4517">
        <f t="shared" si="340"/>
        <v>219</v>
      </c>
      <c r="CE279" s="5459"/>
      <c r="CF279" s="5459"/>
    </row>
    <row r="280" spans="1:84" ht="17.600000000000001" x14ac:dyDescent="0.55000000000000004">
      <c r="A280" s="7347"/>
      <c r="B280" s="5471" t="s">
        <v>210</v>
      </c>
      <c r="C280" s="1813"/>
      <c r="D280" s="5472">
        <v>124</v>
      </c>
      <c r="E280" s="5473">
        <v>125</v>
      </c>
      <c r="F280" s="5473">
        <v>95</v>
      </c>
      <c r="G280" s="5473">
        <v>143</v>
      </c>
      <c r="H280" s="5473">
        <v>104</v>
      </c>
      <c r="I280" s="5473">
        <v>165</v>
      </c>
      <c r="J280" s="5473">
        <v>136</v>
      </c>
      <c r="K280" s="5473">
        <v>174</v>
      </c>
      <c r="L280" s="5473">
        <v>164</v>
      </c>
      <c r="M280" s="5473">
        <v>110</v>
      </c>
      <c r="N280" s="5473">
        <v>195</v>
      </c>
      <c r="O280" s="5473">
        <v>200</v>
      </c>
      <c r="P280" s="5473">
        <v>1735</v>
      </c>
      <c r="Q280" s="5474">
        <v>144.58333333333334</v>
      </c>
      <c r="R280" s="2776"/>
      <c r="S280" s="5472">
        <v>116</v>
      </c>
      <c r="T280" s="5473">
        <v>146</v>
      </c>
      <c r="U280" s="5473">
        <v>164</v>
      </c>
      <c r="V280" s="5473">
        <v>169</v>
      </c>
      <c r="W280" s="5473">
        <v>174</v>
      </c>
      <c r="X280" s="5473">
        <v>165</v>
      </c>
      <c r="Y280" s="5473">
        <v>200</v>
      </c>
      <c r="Z280" s="5473">
        <v>105</v>
      </c>
      <c r="AA280" s="5473">
        <v>214</v>
      </c>
      <c r="AB280" s="5473">
        <v>116</v>
      </c>
      <c r="AC280" s="5473">
        <v>169</v>
      </c>
      <c r="AD280" s="5473">
        <v>186</v>
      </c>
      <c r="AE280" s="5473">
        <v>1924</v>
      </c>
      <c r="AF280" s="5474">
        <v>160.33333333333334</v>
      </c>
      <c r="AG280" s="2776"/>
      <c r="AH280" s="5472">
        <v>107</v>
      </c>
      <c r="AI280" s="5473">
        <v>176</v>
      </c>
      <c r="AJ280" s="5473">
        <v>108</v>
      </c>
      <c r="AK280" s="5473">
        <v>109</v>
      </c>
      <c r="AL280" s="5473">
        <v>126</v>
      </c>
      <c r="AM280" s="5473">
        <v>98</v>
      </c>
      <c r="AN280" s="5473">
        <v>130</v>
      </c>
      <c r="AO280" s="5473">
        <v>201</v>
      </c>
      <c r="AP280" s="5473">
        <v>80</v>
      </c>
      <c r="AQ280" s="5473">
        <v>63</v>
      </c>
      <c r="AR280" s="5473">
        <v>69</v>
      </c>
      <c r="AS280" s="5473">
        <v>115</v>
      </c>
      <c r="AT280" s="5473">
        <f t="shared" si="341"/>
        <v>1382</v>
      </c>
      <c r="AU280" s="5474">
        <f t="shared" si="338"/>
        <v>115.16666666666667</v>
      </c>
      <c r="AW280" s="5472">
        <v>151</v>
      </c>
      <c r="AX280" s="5473">
        <v>38</v>
      </c>
      <c r="AY280" s="5473">
        <v>120</v>
      </c>
      <c r="AZ280" s="5473">
        <v>77</v>
      </c>
      <c r="BA280" s="5473">
        <v>51</v>
      </c>
      <c r="BB280" s="5473">
        <v>99</v>
      </c>
      <c r="BC280" s="5473">
        <v>115</v>
      </c>
      <c r="BD280" s="5473">
        <v>92</v>
      </c>
      <c r="BE280" s="5473">
        <v>106</v>
      </c>
      <c r="BF280" s="5473">
        <v>82</v>
      </c>
      <c r="BG280" s="5473">
        <v>99</v>
      </c>
      <c r="BH280" s="5473">
        <v>138</v>
      </c>
      <c r="BI280" s="5473">
        <f t="shared" si="330"/>
        <v>1168</v>
      </c>
      <c r="BJ280" s="5474">
        <f t="shared" si="336"/>
        <v>97.333333333333329</v>
      </c>
      <c r="BL280" s="5472">
        <v>85</v>
      </c>
      <c r="BM280" s="5473">
        <v>211</v>
      </c>
      <c r="BN280" s="5473"/>
      <c r="BO280" s="5473"/>
      <c r="BP280" s="5473"/>
      <c r="BQ280" s="5473"/>
      <c r="BR280" s="5473"/>
      <c r="BS280" s="5473"/>
      <c r="BT280" s="5473"/>
      <c r="BU280" s="5473"/>
      <c r="BV280" s="5473"/>
      <c r="BW280" s="5473"/>
      <c r="BX280" s="5473">
        <f t="shared" si="331"/>
        <v>296</v>
      </c>
      <c r="BY280" s="5474">
        <f t="shared" si="337"/>
        <v>148</v>
      </c>
      <c r="CA280" s="169">
        <f t="shared" si="339"/>
        <v>173</v>
      </c>
      <c r="CB280" s="169">
        <f t="shared" si="342"/>
        <v>-17.833333333333343</v>
      </c>
      <c r="CC280" s="169">
        <f>IFERROR(
  SUM(
    _xlfn.XLOOKUP(DATE(YEAR($A$1),1,1),$2:$2,280:280):
    _xlfn.XLOOKUP($A$1,$2:$2,280:280)
  )
 -SUM(
    _xlfn.XLOOKUP(DATE(YEAR($A$1)-1,1,1),$2:$2,280:280):
    _xlfn.XLOOKUP(EDATE($A$1,-12),$2:$2,280:280)
  ),"")</f>
        <v>107</v>
      </c>
      <c r="CD280" s="4517">
        <f t="shared" si="340"/>
        <v>126</v>
      </c>
      <c r="CE280" s="5459"/>
      <c r="CF280" s="5459"/>
    </row>
    <row r="281" spans="1:84" s="698" customFormat="1" ht="17.600000000000001" x14ac:dyDescent="0.55000000000000004">
      <c r="A281" s="7347"/>
      <c r="B281" s="5475"/>
      <c r="C281" s="2156" t="s">
        <v>226</v>
      </c>
      <c r="D281" s="5476">
        <v>117</v>
      </c>
      <c r="E281" s="5477">
        <v>75</v>
      </c>
      <c r="F281" s="5477">
        <v>104</v>
      </c>
      <c r="G281" s="5477">
        <v>91</v>
      </c>
      <c r="H281" s="5477">
        <v>104</v>
      </c>
      <c r="I281" s="5477">
        <v>96</v>
      </c>
      <c r="J281" s="5477">
        <v>113</v>
      </c>
      <c r="K281" s="5477">
        <v>86</v>
      </c>
      <c r="L281" s="5477">
        <v>150</v>
      </c>
      <c r="M281" s="5477">
        <v>85</v>
      </c>
      <c r="N281" s="5477">
        <v>135</v>
      </c>
      <c r="O281" s="5477">
        <v>156</v>
      </c>
      <c r="P281" s="5477">
        <f t="shared" si="332"/>
        <v>1312</v>
      </c>
      <c r="Q281" s="5478">
        <f t="shared" si="333"/>
        <v>109.33333333333333</v>
      </c>
      <c r="R281" s="5479"/>
      <c r="S281" s="5476">
        <v>125</v>
      </c>
      <c r="T281" s="5477">
        <v>97</v>
      </c>
      <c r="U281" s="5477">
        <v>128</v>
      </c>
      <c r="V281" s="5477">
        <v>135</v>
      </c>
      <c r="W281" s="5477">
        <v>84</v>
      </c>
      <c r="X281" s="5477">
        <v>135</v>
      </c>
      <c r="Y281" s="5477">
        <v>84</v>
      </c>
      <c r="Z281" s="5477">
        <v>61</v>
      </c>
      <c r="AA281" s="5477">
        <v>116</v>
      </c>
      <c r="AB281" s="5477">
        <v>46</v>
      </c>
      <c r="AC281" s="5477">
        <v>134</v>
      </c>
      <c r="AD281" s="5477">
        <v>110</v>
      </c>
      <c r="AE281" s="5477">
        <f t="shared" si="334"/>
        <v>1255</v>
      </c>
      <c r="AF281" s="5478">
        <f t="shared" si="335"/>
        <v>104.58333333333333</v>
      </c>
      <c r="AG281" s="5479"/>
      <c r="AH281" s="5476">
        <v>63</v>
      </c>
      <c r="AI281" s="5477">
        <v>129</v>
      </c>
      <c r="AJ281" s="5477">
        <v>65</v>
      </c>
      <c r="AK281" s="5477">
        <v>77</v>
      </c>
      <c r="AL281" s="5477">
        <v>69</v>
      </c>
      <c r="AM281" s="5477">
        <v>86</v>
      </c>
      <c r="AN281" s="5477">
        <v>61</v>
      </c>
      <c r="AO281" s="5477">
        <v>72</v>
      </c>
      <c r="AP281" s="5477">
        <v>48</v>
      </c>
      <c r="AQ281" s="5477">
        <v>56</v>
      </c>
      <c r="AR281" s="5477">
        <v>67</v>
      </c>
      <c r="AS281" s="5477">
        <v>115</v>
      </c>
      <c r="AT281" s="5477">
        <f t="shared" si="341"/>
        <v>908</v>
      </c>
      <c r="AU281" s="5478">
        <f t="shared" si="338"/>
        <v>75.666666666666671</v>
      </c>
      <c r="AW281" s="5476">
        <v>131</v>
      </c>
      <c r="AX281" s="5477">
        <v>40</v>
      </c>
      <c r="AY281" s="5477">
        <v>114</v>
      </c>
      <c r="AZ281" s="5477">
        <v>97</v>
      </c>
      <c r="BA281" s="5477">
        <v>62</v>
      </c>
      <c r="BB281" s="5477">
        <v>55</v>
      </c>
      <c r="BC281" s="5477">
        <v>50</v>
      </c>
      <c r="BD281" s="5477">
        <v>74</v>
      </c>
      <c r="BE281" s="5477">
        <v>51</v>
      </c>
      <c r="BF281" s="5477">
        <v>97</v>
      </c>
      <c r="BG281" s="5477">
        <v>110</v>
      </c>
      <c r="BH281" s="5477">
        <v>88</v>
      </c>
      <c r="BI281" s="5477">
        <f t="shared" si="330"/>
        <v>969</v>
      </c>
      <c r="BJ281" s="5478">
        <f t="shared" si="336"/>
        <v>80.75</v>
      </c>
      <c r="BL281" s="5476">
        <v>78</v>
      </c>
      <c r="BM281" s="5477">
        <v>193</v>
      </c>
      <c r="BN281" s="5477"/>
      <c r="BO281" s="5477"/>
      <c r="BP281" s="5477"/>
      <c r="BQ281" s="5477"/>
      <c r="BR281" s="5477"/>
      <c r="BS281" s="5477"/>
      <c r="BT281" s="5477"/>
      <c r="BU281" s="5477"/>
      <c r="BV281" s="5477"/>
      <c r="BW281" s="5477"/>
      <c r="BX281" s="5477">
        <f t="shared" si="331"/>
        <v>271</v>
      </c>
      <c r="BY281" s="5478">
        <f t="shared" si="337"/>
        <v>135.5</v>
      </c>
      <c r="CA281" s="169">
        <f t="shared" si="339"/>
        <v>153</v>
      </c>
      <c r="CB281" s="169">
        <f t="shared" si="342"/>
        <v>5.0833333333333286</v>
      </c>
      <c r="CC281" s="169">
        <f>IFERROR(
  SUM(
    _xlfn.XLOOKUP(DATE(YEAR($A$1),1,1),$2:$2,281:281):
    _xlfn.XLOOKUP($A$1,$2:$2,281:281)
  )
 -SUM(
    _xlfn.XLOOKUP(DATE(YEAR($A$1)-1,1,1),$2:$2,281:281):
    _xlfn.XLOOKUP(EDATE($A$1,-12),$2:$2,281:281)
  ),"")</f>
        <v>100</v>
      </c>
      <c r="CD281" s="4517">
        <f t="shared" si="340"/>
        <v>115</v>
      </c>
      <c r="CE281" s="5459"/>
      <c r="CF281" s="5459"/>
    </row>
    <row r="282" spans="1:84" s="698" customFormat="1" ht="17.600000000000001" x14ac:dyDescent="0.55000000000000004">
      <c r="A282" s="7347"/>
      <c r="B282" s="5480"/>
      <c r="C282" s="681" t="s">
        <v>227</v>
      </c>
      <c r="D282" s="5481">
        <v>186</v>
      </c>
      <c r="E282" s="5482">
        <v>112</v>
      </c>
      <c r="F282" s="5482">
        <v>148</v>
      </c>
      <c r="G282" s="5482">
        <v>139</v>
      </c>
      <c r="H282" s="5482">
        <v>95</v>
      </c>
      <c r="I282" s="5482">
        <v>134</v>
      </c>
      <c r="J282" s="5482">
        <v>156</v>
      </c>
      <c r="K282" s="5482">
        <v>127</v>
      </c>
      <c r="L282" s="5482">
        <v>142</v>
      </c>
      <c r="M282" s="5482">
        <v>109</v>
      </c>
      <c r="N282" s="5482">
        <v>138</v>
      </c>
      <c r="O282" s="5482">
        <v>142</v>
      </c>
      <c r="P282" s="5482">
        <f t="shared" si="332"/>
        <v>1628</v>
      </c>
      <c r="Q282" s="5483">
        <f t="shared" si="333"/>
        <v>135.66666666666666</v>
      </c>
      <c r="R282" s="5479"/>
      <c r="S282" s="5481">
        <v>103</v>
      </c>
      <c r="T282" s="5482">
        <v>89</v>
      </c>
      <c r="U282" s="5482">
        <v>91</v>
      </c>
      <c r="V282" s="5482">
        <v>177</v>
      </c>
      <c r="W282" s="5482">
        <v>140</v>
      </c>
      <c r="X282" s="5482">
        <v>106</v>
      </c>
      <c r="Y282" s="5482">
        <v>137</v>
      </c>
      <c r="Z282" s="5482">
        <v>50</v>
      </c>
      <c r="AA282" s="5482">
        <v>129</v>
      </c>
      <c r="AB282" s="5482">
        <v>56</v>
      </c>
      <c r="AC282" s="5482">
        <v>76</v>
      </c>
      <c r="AD282" s="5482">
        <v>137</v>
      </c>
      <c r="AE282" s="5482">
        <f t="shared" si="334"/>
        <v>1291</v>
      </c>
      <c r="AF282" s="5483">
        <f t="shared" si="335"/>
        <v>107.58333333333333</v>
      </c>
      <c r="AG282" s="5479"/>
      <c r="AH282" s="5481">
        <v>81</v>
      </c>
      <c r="AI282" s="5482">
        <v>131</v>
      </c>
      <c r="AJ282" s="5482">
        <v>118</v>
      </c>
      <c r="AK282" s="5482">
        <v>107</v>
      </c>
      <c r="AL282" s="5482">
        <v>74</v>
      </c>
      <c r="AM282" s="5482">
        <v>88</v>
      </c>
      <c r="AN282" s="5482">
        <v>78</v>
      </c>
      <c r="AO282" s="5482">
        <v>84</v>
      </c>
      <c r="AP282" s="5482">
        <v>74</v>
      </c>
      <c r="AQ282" s="5482">
        <v>53</v>
      </c>
      <c r="AR282" s="5482">
        <v>125</v>
      </c>
      <c r="AS282" s="5482">
        <v>131</v>
      </c>
      <c r="AT282" s="5482">
        <f t="shared" si="341"/>
        <v>1144</v>
      </c>
      <c r="AU282" s="5483">
        <f t="shared" si="338"/>
        <v>95.333333333333329</v>
      </c>
      <c r="AW282" s="5481">
        <v>94</v>
      </c>
      <c r="AX282" s="5482">
        <v>26</v>
      </c>
      <c r="AY282" s="5482">
        <v>100</v>
      </c>
      <c r="AZ282" s="5482">
        <v>124</v>
      </c>
      <c r="BA282" s="5482">
        <v>36</v>
      </c>
      <c r="BB282" s="5482">
        <v>65</v>
      </c>
      <c r="BC282" s="5482">
        <v>68</v>
      </c>
      <c r="BD282" s="5482">
        <v>46</v>
      </c>
      <c r="BE282" s="5482">
        <v>54</v>
      </c>
      <c r="BF282" s="5482">
        <v>68</v>
      </c>
      <c r="BG282" s="5482">
        <v>56</v>
      </c>
      <c r="BH282" s="5482">
        <v>72</v>
      </c>
      <c r="BI282" s="5482">
        <f t="shared" si="330"/>
        <v>809</v>
      </c>
      <c r="BJ282" s="5483">
        <f t="shared" si="336"/>
        <v>67.416666666666671</v>
      </c>
      <c r="BL282" s="5481">
        <v>66</v>
      </c>
      <c r="BM282" s="5482">
        <v>141</v>
      </c>
      <c r="BN282" s="5482"/>
      <c r="BO282" s="5482"/>
      <c r="BP282" s="5482"/>
      <c r="BQ282" s="5482"/>
      <c r="BR282" s="5482"/>
      <c r="BS282" s="5482"/>
      <c r="BT282" s="5482"/>
      <c r="BU282" s="5482"/>
      <c r="BV282" s="5482"/>
      <c r="BW282" s="5482"/>
      <c r="BX282" s="5482">
        <f t="shared" si="331"/>
        <v>207</v>
      </c>
      <c r="BY282" s="5483">
        <f t="shared" si="337"/>
        <v>103.5</v>
      </c>
      <c r="CA282" s="169">
        <f t="shared" si="339"/>
        <v>115</v>
      </c>
      <c r="CB282" s="169">
        <f t="shared" si="342"/>
        <v>-27.916666666666657</v>
      </c>
      <c r="CC282" s="169">
        <f>IFERROR(
  SUM(
    _xlfn.XLOOKUP(DATE(YEAR($A$1),1,1),$2:$2,282:282):
    _xlfn.XLOOKUP($A$1,$2:$2,282:282)
  )
 -SUM(
    _xlfn.XLOOKUP(DATE(YEAR($A$1)-1,1,1),$2:$2,282:282):
    _xlfn.XLOOKUP(EDATE($A$1,-12),$2:$2,282:282)
  ),"")</f>
        <v>87</v>
      </c>
      <c r="CD282" s="4517">
        <f t="shared" si="340"/>
        <v>75</v>
      </c>
      <c r="CE282" s="5459"/>
      <c r="CF282" s="5459"/>
    </row>
    <row r="283" spans="1:84" s="698" customFormat="1" ht="17.600000000000001" x14ac:dyDescent="0.55000000000000004">
      <c r="A283" s="7347"/>
      <c r="B283" s="5480"/>
      <c r="C283" s="804" t="s">
        <v>228</v>
      </c>
      <c r="D283" s="5484">
        <v>166</v>
      </c>
      <c r="E283" s="5485">
        <v>110</v>
      </c>
      <c r="F283" s="5485">
        <v>150</v>
      </c>
      <c r="G283" s="5485">
        <v>130</v>
      </c>
      <c r="H283" s="5485">
        <v>129</v>
      </c>
      <c r="I283" s="5485">
        <v>141</v>
      </c>
      <c r="J283" s="5485">
        <v>135</v>
      </c>
      <c r="K283" s="5485">
        <v>133</v>
      </c>
      <c r="L283" s="5485">
        <v>211</v>
      </c>
      <c r="M283" s="5485">
        <v>128</v>
      </c>
      <c r="N283" s="5485">
        <v>228</v>
      </c>
      <c r="O283" s="5485">
        <v>208</v>
      </c>
      <c r="P283" s="5485">
        <f t="shared" si="332"/>
        <v>1869</v>
      </c>
      <c r="Q283" s="5486">
        <f t="shared" si="333"/>
        <v>155.75</v>
      </c>
      <c r="R283" s="5479"/>
      <c r="S283" s="5484">
        <v>135</v>
      </c>
      <c r="T283" s="5485">
        <v>189</v>
      </c>
      <c r="U283" s="5485">
        <v>111</v>
      </c>
      <c r="V283" s="5485">
        <v>261</v>
      </c>
      <c r="W283" s="5485">
        <v>160</v>
      </c>
      <c r="X283" s="5485">
        <v>148</v>
      </c>
      <c r="Y283" s="5485">
        <v>143</v>
      </c>
      <c r="Z283" s="5485">
        <v>97</v>
      </c>
      <c r="AA283" s="5485">
        <v>161</v>
      </c>
      <c r="AB283" s="5485">
        <v>90</v>
      </c>
      <c r="AC283" s="5485">
        <v>161</v>
      </c>
      <c r="AD283" s="5485">
        <v>167</v>
      </c>
      <c r="AE283" s="5485">
        <f t="shared" si="334"/>
        <v>1823</v>
      </c>
      <c r="AF283" s="5486">
        <f t="shared" si="335"/>
        <v>151.91666666666666</v>
      </c>
      <c r="AG283" s="5479"/>
      <c r="AH283" s="5484">
        <v>149</v>
      </c>
      <c r="AI283" s="5485">
        <v>174</v>
      </c>
      <c r="AJ283" s="5485">
        <v>107</v>
      </c>
      <c r="AK283" s="5485">
        <v>96</v>
      </c>
      <c r="AL283" s="5485">
        <v>76</v>
      </c>
      <c r="AM283" s="5485">
        <v>102</v>
      </c>
      <c r="AN283" s="5485">
        <v>121</v>
      </c>
      <c r="AO283" s="5485">
        <v>119</v>
      </c>
      <c r="AP283" s="5485">
        <v>73</v>
      </c>
      <c r="AQ283" s="5485">
        <v>91</v>
      </c>
      <c r="AR283" s="5485">
        <v>130</v>
      </c>
      <c r="AS283" s="5485">
        <v>146</v>
      </c>
      <c r="AT283" s="5485">
        <f t="shared" si="341"/>
        <v>1384</v>
      </c>
      <c r="AU283" s="5486">
        <f t="shared" si="338"/>
        <v>115.33333333333333</v>
      </c>
      <c r="AW283" s="5484">
        <v>149</v>
      </c>
      <c r="AX283" s="5485">
        <v>55</v>
      </c>
      <c r="AY283" s="5485">
        <v>159</v>
      </c>
      <c r="AZ283" s="5485">
        <v>118</v>
      </c>
      <c r="BA283" s="5485">
        <v>42</v>
      </c>
      <c r="BB283" s="5485">
        <v>104</v>
      </c>
      <c r="BC283" s="5485">
        <v>89</v>
      </c>
      <c r="BD283" s="5485">
        <v>75</v>
      </c>
      <c r="BE283" s="5485">
        <v>98</v>
      </c>
      <c r="BF283" s="5485">
        <v>108</v>
      </c>
      <c r="BG283" s="5485">
        <v>105</v>
      </c>
      <c r="BH283" s="5485">
        <v>92</v>
      </c>
      <c r="BI283" s="5485">
        <f t="shared" si="330"/>
        <v>1194</v>
      </c>
      <c r="BJ283" s="5486">
        <f t="shared" si="336"/>
        <v>99.5</v>
      </c>
      <c r="BL283" s="5484">
        <v>70</v>
      </c>
      <c r="BM283" s="5485">
        <v>180</v>
      </c>
      <c r="BN283" s="5485"/>
      <c r="BO283" s="5485"/>
      <c r="BP283" s="5485"/>
      <c r="BQ283" s="5485"/>
      <c r="BR283" s="5485"/>
      <c r="BS283" s="5485"/>
      <c r="BT283" s="5485"/>
      <c r="BU283" s="5485"/>
      <c r="BV283" s="5485"/>
      <c r="BW283" s="5485"/>
      <c r="BX283" s="5485">
        <f t="shared" si="331"/>
        <v>250</v>
      </c>
      <c r="BY283" s="5486">
        <f t="shared" si="337"/>
        <v>125</v>
      </c>
      <c r="CA283" s="169">
        <f t="shared" si="339"/>
        <v>125</v>
      </c>
      <c r="CB283" s="169">
        <f t="shared" si="342"/>
        <v>-15.833333333333329</v>
      </c>
      <c r="CC283" s="169">
        <f>IFERROR(
  SUM(
    _xlfn.XLOOKUP(DATE(YEAR($A$1),1,1),$2:$2,283:283):
    _xlfn.XLOOKUP($A$1,$2:$2,283:283)
  )
 -SUM(
    _xlfn.XLOOKUP(DATE(YEAR($A$1)-1,1,1),$2:$2,283:283):
    _xlfn.XLOOKUP(EDATE($A$1,-12),$2:$2,283:283)
  ),"")</f>
        <v>46</v>
      </c>
      <c r="CD283" s="4517">
        <f t="shared" si="340"/>
        <v>110</v>
      </c>
      <c r="CE283" s="5459"/>
      <c r="CF283" s="5459"/>
    </row>
    <row r="284" spans="1:84" s="698" customFormat="1" ht="17.600000000000001" x14ac:dyDescent="0.55000000000000004">
      <c r="A284" s="7347"/>
      <c r="B284" s="5480"/>
      <c r="C284" s="681" t="s">
        <v>229</v>
      </c>
      <c r="D284" s="5481">
        <v>151</v>
      </c>
      <c r="E284" s="5482">
        <v>115</v>
      </c>
      <c r="F284" s="5482">
        <v>106</v>
      </c>
      <c r="G284" s="5482">
        <v>120</v>
      </c>
      <c r="H284" s="5482">
        <v>127</v>
      </c>
      <c r="I284" s="5482">
        <v>142</v>
      </c>
      <c r="J284" s="5482">
        <v>119</v>
      </c>
      <c r="K284" s="5482">
        <v>139</v>
      </c>
      <c r="L284" s="5482">
        <v>140</v>
      </c>
      <c r="M284" s="5482">
        <v>120</v>
      </c>
      <c r="N284" s="5482">
        <v>162</v>
      </c>
      <c r="O284" s="5482">
        <v>190</v>
      </c>
      <c r="P284" s="5482">
        <f t="shared" si="332"/>
        <v>1631</v>
      </c>
      <c r="Q284" s="5483">
        <f t="shared" si="333"/>
        <v>135.91666666666666</v>
      </c>
      <c r="R284" s="5479"/>
      <c r="S284" s="5481">
        <v>146</v>
      </c>
      <c r="T284" s="5482">
        <v>124</v>
      </c>
      <c r="U284" s="5482">
        <v>120</v>
      </c>
      <c r="V284" s="5482">
        <v>129</v>
      </c>
      <c r="W284" s="5482">
        <v>125</v>
      </c>
      <c r="X284" s="5482">
        <v>128</v>
      </c>
      <c r="Y284" s="5482">
        <v>110</v>
      </c>
      <c r="Z284" s="5482">
        <v>89</v>
      </c>
      <c r="AA284" s="5482">
        <v>106</v>
      </c>
      <c r="AB284" s="5482">
        <v>115</v>
      </c>
      <c r="AC284" s="5482">
        <v>124</v>
      </c>
      <c r="AD284" s="5482">
        <v>154</v>
      </c>
      <c r="AE284" s="5482">
        <f t="shared" si="334"/>
        <v>1470</v>
      </c>
      <c r="AF284" s="5483">
        <f t="shared" si="335"/>
        <v>122.5</v>
      </c>
      <c r="AG284" s="5479"/>
      <c r="AH284" s="5481">
        <v>107</v>
      </c>
      <c r="AI284" s="5482">
        <v>158</v>
      </c>
      <c r="AJ284" s="5482">
        <v>94</v>
      </c>
      <c r="AK284" s="5482">
        <v>115</v>
      </c>
      <c r="AL284" s="5482">
        <v>142</v>
      </c>
      <c r="AM284" s="5482">
        <v>120</v>
      </c>
      <c r="AN284" s="5482">
        <v>124</v>
      </c>
      <c r="AO284" s="5482">
        <v>158</v>
      </c>
      <c r="AP284" s="5482">
        <v>83</v>
      </c>
      <c r="AQ284" s="5482">
        <v>109</v>
      </c>
      <c r="AR284" s="5482">
        <v>92</v>
      </c>
      <c r="AS284" s="5482">
        <v>117</v>
      </c>
      <c r="AT284" s="5482">
        <f t="shared" si="341"/>
        <v>1419</v>
      </c>
      <c r="AU284" s="5483">
        <f t="shared" si="338"/>
        <v>118.25</v>
      </c>
      <c r="AW284" s="5481">
        <v>120</v>
      </c>
      <c r="AX284" s="5482">
        <v>73</v>
      </c>
      <c r="AY284" s="5482">
        <v>118</v>
      </c>
      <c r="AZ284" s="5482">
        <v>113</v>
      </c>
      <c r="BA284" s="5482">
        <v>63</v>
      </c>
      <c r="BB284" s="5482">
        <v>120</v>
      </c>
      <c r="BC284" s="5482">
        <v>125</v>
      </c>
      <c r="BD284" s="5482">
        <v>140</v>
      </c>
      <c r="BE284" s="5482">
        <v>170</v>
      </c>
      <c r="BF284" s="5482">
        <v>115</v>
      </c>
      <c r="BG284" s="5482">
        <v>140</v>
      </c>
      <c r="BH284" s="5482">
        <v>115</v>
      </c>
      <c r="BI284" s="5482">
        <f t="shared" si="330"/>
        <v>1412</v>
      </c>
      <c r="BJ284" s="5483">
        <f t="shared" si="336"/>
        <v>117.66666666666667</v>
      </c>
      <c r="BL284" s="5481">
        <v>107</v>
      </c>
      <c r="BM284" s="5482">
        <v>224</v>
      </c>
      <c r="BN284" s="5482"/>
      <c r="BO284" s="5482"/>
      <c r="BP284" s="5482"/>
      <c r="BQ284" s="5482"/>
      <c r="BR284" s="5482"/>
      <c r="BS284" s="5482"/>
      <c r="BT284" s="5482"/>
      <c r="BU284" s="5482"/>
      <c r="BV284" s="5482"/>
      <c r="BW284" s="5482"/>
      <c r="BX284" s="5482">
        <f t="shared" si="331"/>
        <v>331</v>
      </c>
      <c r="BY284" s="5483">
        <f t="shared" si="337"/>
        <v>165.5</v>
      </c>
      <c r="CA284" s="169">
        <f t="shared" si="339"/>
        <v>151</v>
      </c>
      <c r="CB284" s="169">
        <f t="shared" si="342"/>
        <v>-0.5833333333333286</v>
      </c>
      <c r="CC284" s="169">
        <f>IFERROR(
  SUM(
    _xlfn.XLOOKUP(DATE(YEAR($A$1),1,1),$2:$2,284:284):
    _xlfn.XLOOKUP($A$1,$2:$2,284:284)
  )
 -SUM(
    _xlfn.XLOOKUP(DATE(YEAR($A$1)-1,1,1),$2:$2,284:284):
    _xlfn.XLOOKUP(EDATE($A$1,-12),$2:$2,284:284)
  ),"")</f>
        <v>138</v>
      </c>
      <c r="CD284" s="4517">
        <f t="shared" si="340"/>
        <v>117</v>
      </c>
      <c r="CE284" s="5459"/>
      <c r="CF284" s="5459"/>
    </row>
    <row r="285" spans="1:84" s="698" customFormat="1" ht="17.600000000000001" x14ac:dyDescent="0.55000000000000004">
      <c r="A285" s="7347"/>
      <c r="B285" s="5480"/>
      <c r="C285" s="681" t="s">
        <v>230</v>
      </c>
      <c r="D285" s="5481">
        <v>84</v>
      </c>
      <c r="E285" s="5482">
        <v>77</v>
      </c>
      <c r="F285" s="5482">
        <v>46</v>
      </c>
      <c r="G285" s="5482">
        <v>69</v>
      </c>
      <c r="H285" s="5482">
        <v>95</v>
      </c>
      <c r="I285" s="5482">
        <v>83</v>
      </c>
      <c r="J285" s="5482">
        <v>85</v>
      </c>
      <c r="K285" s="5482">
        <v>83</v>
      </c>
      <c r="L285" s="5482">
        <v>98</v>
      </c>
      <c r="M285" s="5482">
        <v>76</v>
      </c>
      <c r="N285" s="5482">
        <v>131</v>
      </c>
      <c r="O285" s="5482">
        <v>152</v>
      </c>
      <c r="P285" s="5482">
        <f t="shared" si="332"/>
        <v>1079</v>
      </c>
      <c r="Q285" s="5483">
        <f t="shared" si="333"/>
        <v>89.916666666666671</v>
      </c>
      <c r="R285" s="5479"/>
      <c r="S285" s="5481">
        <v>62</v>
      </c>
      <c r="T285" s="5482">
        <v>64</v>
      </c>
      <c r="U285" s="5482">
        <v>95</v>
      </c>
      <c r="V285" s="5482">
        <v>81</v>
      </c>
      <c r="W285" s="5482">
        <v>85</v>
      </c>
      <c r="X285" s="5482">
        <v>87</v>
      </c>
      <c r="Y285" s="5482">
        <v>76</v>
      </c>
      <c r="Z285" s="5482">
        <v>50</v>
      </c>
      <c r="AA285" s="5482">
        <v>91</v>
      </c>
      <c r="AB285" s="5482">
        <v>69</v>
      </c>
      <c r="AC285" s="5482">
        <v>88</v>
      </c>
      <c r="AD285" s="5482">
        <v>115</v>
      </c>
      <c r="AE285" s="5482">
        <f t="shared" si="334"/>
        <v>963</v>
      </c>
      <c r="AF285" s="5483">
        <f t="shared" si="335"/>
        <v>80.25</v>
      </c>
      <c r="AG285" s="5479"/>
      <c r="AH285" s="5481">
        <v>61</v>
      </c>
      <c r="AI285" s="5482">
        <v>74</v>
      </c>
      <c r="AJ285" s="5482">
        <v>71</v>
      </c>
      <c r="AK285" s="5482">
        <v>76</v>
      </c>
      <c r="AL285" s="5482">
        <v>80</v>
      </c>
      <c r="AM285" s="5482">
        <v>89</v>
      </c>
      <c r="AN285" s="5482">
        <v>74</v>
      </c>
      <c r="AO285" s="5482">
        <v>100</v>
      </c>
      <c r="AP285" s="5482">
        <v>68</v>
      </c>
      <c r="AQ285" s="5482">
        <v>95</v>
      </c>
      <c r="AR285" s="5482">
        <v>68</v>
      </c>
      <c r="AS285" s="5482">
        <v>92</v>
      </c>
      <c r="AT285" s="5482">
        <f t="shared" si="341"/>
        <v>948</v>
      </c>
      <c r="AU285" s="5483">
        <f t="shared" si="338"/>
        <v>79</v>
      </c>
      <c r="AW285" s="5481">
        <v>91</v>
      </c>
      <c r="AX285" s="5482">
        <v>46</v>
      </c>
      <c r="AY285" s="5482">
        <v>90</v>
      </c>
      <c r="AZ285" s="5482">
        <v>65</v>
      </c>
      <c r="BA285" s="5482">
        <v>42</v>
      </c>
      <c r="BB285" s="5482">
        <v>79</v>
      </c>
      <c r="BC285" s="5482">
        <v>89</v>
      </c>
      <c r="BD285" s="5482">
        <v>78</v>
      </c>
      <c r="BE285" s="5482">
        <v>75</v>
      </c>
      <c r="BF285" s="5482">
        <v>93</v>
      </c>
      <c r="BG285" s="5482">
        <v>110</v>
      </c>
      <c r="BH285" s="5482">
        <v>96</v>
      </c>
      <c r="BI285" s="5482">
        <f t="shared" si="330"/>
        <v>954</v>
      </c>
      <c r="BJ285" s="5483">
        <f t="shared" si="336"/>
        <v>79.5</v>
      </c>
      <c r="BL285" s="5481">
        <v>77</v>
      </c>
      <c r="BM285" s="5482">
        <v>179</v>
      </c>
      <c r="BN285" s="5482"/>
      <c r="BO285" s="5482"/>
      <c r="BP285" s="5482"/>
      <c r="BQ285" s="5482"/>
      <c r="BR285" s="5482"/>
      <c r="BS285" s="5482"/>
      <c r="BT285" s="5482"/>
      <c r="BU285" s="5482"/>
      <c r="BV285" s="5482"/>
      <c r="BW285" s="5482"/>
      <c r="BX285" s="5482">
        <f t="shared" si="331"/>
        <v>256</v>
      </c>
      <c r="BY285" s="5483">
        <f t="shared" si="337"/>
        <v>128</v>
      </c>
      <c r="CA285" s="169">
        <f t="shared" si="339"/>
        <v>133</v>
      </c>
      <c r="CB285" s="169">
        <f t="shared" si="342"/>
        <v>0.5</v>
      </c>
      <c r="CC285" s="169">
        <f>IFERROR(
  SUM(
    _xlfn.XLOOKUP(DATE(YEAR($A$1),1,1),$2:$2,285:285):
    _xlfn.XLOOKUP($A$1,$2:$2,285:285)
  )
 -SUM(
    _xlfn.XLOOKUP(DATE(YEAR($A$1)-1,1,1),$2:$2,285:285):
    _xlfn.XLOOKUP(EDATE($A$1,-12),$2:$2,285:285)
  ),"")</f>
        <v>119</v>
      </c>
      <c r="CD285" s="4517">
        <f t="shared" si="340"/>
        <v>102</v>
      </c>
      <c r="CE285" s="5459"/>
      <c r="CF285" s="5459"/>
    </row>
    <row r="286" spans="1:84" s="698" customFormat="1" ht="17.600000000000001" x14ac:dyDescent="0.55000000000000004">
      <c r="A286" s="7347"/>
      <c r="B286" s="5480"/>
      <c r="C286" s="804" t="s">
        <v>231</v>
      </c>
      <c r="D286" s="5484">
        <v>64</v>
      </c>
      <c r="E286" s="5485">
        <v>67</v>
      </c>
      <c r="F286" s="5485">
        <v>55</v>
      </c>
      <c r="G286" s="5485">
        <v>61</v>
      </c>
      <c r="H286" s="5485">
        <v>56</v>
      </c>
      <c r="I286" s="5485">
        <v>87</v>
      </c>
      <c r="J286" s="5485">
        <v>73</v>
      </c>
      <c r="K286" s="5485">
        <v>113</v>
      </c>
      <c r="L286" s="5485">
        <v>94</v>
      </c>
      <c r="M286" s="5485">
        <v>51</v>
      </c>
      <c r="N286" s="5485">
        <v>95</v>
      </c>
      <c r="O286" s="5485">
        <v>93</v>
      </c>
      <c r="P286" s="5485">
        <f t="shared" si="332"/>
        <v>909</v>
      </c>
      <c r="Q286" s="5486">
        <f t="shared" si="333"/>
        <v>75.75</v>
      </c>
      <c r="R286" s="5479"/>
      <c r="S286" s="5484">
        <v>77</v>
      </c>
      <c r="T286" s="5485">
        <v>99</v>
      </c>
      <c r="U286" s="5485">
        <v>110</v>
      </c>
      <c r="V286" s="5485">
        <v>101</v>
      </c>
      <c r="W286" s="5485">
        <v>92</v>
      </c>
      <c r="X286" s="5485">
        <v>102</v>
      </c>
      <c r="Y286" s="5485">
        <v>83</v>
      </c>
      <c r="Z286" s="5485">
        <v>66</v>
      </c>
      <c r="AA286" s="5485">
        <v>120</v>
      </c>
      <c r="AB286" s="5485">
        <v>50</v>
      </c>
      <c r="AC286" s="5485">
        <v>81</v>
      </c>
      <c r="AD286" s="5485">
        <v>115</v>
      </c>
      <c r="AE286" s="5485">
        <f t="shared" si="334"/>
        <v>1096</v>
      </c>
      <c r="AF286" s="5486">
        <f t="shared" si="335"/>
        <v>91.333333333333329</v>
      </c>
      <c r="AG286" s="5479"/>
      <c r="AH286" s="5484">
        <v>64</v>
      </c>
      <c r="AI286" s="5485">
        <v>98</v>
      </c>
      <c r="AJ286" s="5485">
        <v>75</v>
      </c>
      <c r="AK286" s="5485">
        <v>71</v>
      </c>
      <c r="AL286" s="5485">
        <v>66</v>
      </c>
      <c r="AM286" s="5485">
        <v>59</v>
      </c>
      <c r="AN286" s="5485">
        <v>81</v>
      </c>
      <c r="AO286" s="5485">
        <v>128</v>
      </c>
      <c r="AP286" s="5485">
        <v>58</v>
      </c>
      <c r="AQ286" s="5485">
        <v>47</v>
      </c>
      <c r="AR286" s="5485">
        <v>50</v>
      </c>
      <c r="AS286" s="5485">
        <v>91</v>
      </c>
      <c r="AT286" s="5485">
        <f t="shared" si="341"/>
        <v>888</v>
      </c>
      <c r="AU286" s="5486">
        <f t="shared" si="338"/>
        <v>74</v>
      </c>
      <c r="AW286" s="5484">
        <v>77</v>
      </c>
      <c r="AX286" s="5485">
        <v>28</v>
      </c>
      <c r="AY286" s="5485">
        <v>75</v>
      </c>
      <c r="AZ286" s="5485">
        <v>47</v>
      </c>
      <c r="BA286" s="5485">
        <v>34</v>
      </c>
      <c r="BB286" s="5485">
        <v>59</v>
      </c>
      <c r="BC286" s="5485">
        <v>68</v>
      </c>
      <c r="BD286" s="5485">
        <v>66</v>
      </c>
      <c r="BE286" s="5485">
        <v>84</v>
      </c>
      <c r="BF286" s="5485">
        <v>63</v>
      </c>
      <c r="BG286" s="5485">
        <v>79</v>
      </c>
      <c r="BH286" s="5485">
        <v>84</v>
      </c>
      <c r="BI286" s="5485">
        <f t="shared" si="330"/>
        <v>764</v>
      </c>
      <c r="BJ286" s="5486">
        <f t="shared" si="336"/>
        <v>63.666666666666664</v>
      </c>
      <c r="BL286" s="5484">
        <v>64</v>
      </c>
      <c r="BM286" s="5485">
        <v>125</v>
      </c>
      <c r="BN286" s="5485"/>
      <c r="BO286" s="5485"/>
      <c r="BP286" s="5485"/>
      <c r="BQ286" s="5485"/>
      <c r="BR286" s="5485"/>
      <c r="BS286" s="5485"/>
      <c r="BT286" s="5485"/>
      <c r="BU286" s="5485"/>
      <c r="BV286" s="5485"/>
      <c r="BW286" s="5485"/>
      <c r="BX286" s="5485">
        <f t="shared" si="331"/>
        <v>189</v>
      </c>
      <c r="BY286" s="5486">
        <f t="shared" si="337"/>
        <v>94.5</v>
      </c>
      <c r="CA286" s="169">
        <f t="shared" si="339"/>
        <v>97</v>
      </c>
      <c r="CB286" s="169">
        <f t="shared" si="342"/>
        <v>-10.333333333333336</v>
      </c>
      <c r="CC286" s="169">
        <f>IFERROR(
  SUM(
    _xlfn.XLOOKUP(DATE(YEAR($A$1),1,1),$2:$2,286:286):
    _xlfn.XLOOKUP($A$1,$2:$2,286:286)
  )
 -SUM(
    _xlfn.XLOOKUP(DATE(YEAR($A$1)-1,1,1),$2:$2,286:286):
    _xlfn.XLOOKUP(EDATE($A$1,-12),$2:$2,286:286)
  ),"")</f>
        <v>84</v>
      </c>
      <c r="CD286" s="4517">
        <f t="shared" si="340"/>
        <v>61</v>
      </c>
      <c r="CE286" s="5459"/>
      <c r="CF286" s="5459"/>
    </row>
    <row r="287" spans="1:84" s="698" customFormat="1" ht="18" thickBot="1" x14ac:dyDescent="0.6">
      <c r="A287" s="7347"/>
      <c r="B287" s="5487"/>
      <c r="C287" s="2183" t="s">
        <v>232</v>
      </c>
      <c r="D287" s="5488">
        <v>60</v>
      </c>
      <c r="E287" s="5489">
        <v>58</v>
      </c>
      <c r="F287" s="5489">
        <v>40</v>
      </c>
      <c r="G287" s="5489">
        <v>82</v>
      </c>
      <c r="H287" s="5489">
        <v>48</v>
      </c>
      <c r="I287" s="5489">
        <v>78</v>
      </c>
      <c r="J287" s="5489">
        <v>63</v>
      </c>
      <c r="K287" s="5489">
        <v>61</v>
      </c>
      <c r="L287" s="5489">
        <v>70</v>
      </c>
      <c r="M287" s="5489">
        <v>59</v>
      </c>
      <c r="N287" s="5489">
        <v>100</v>
      </c>
      <c r="O287" s="5489">
        <v>107</v>
      </c>
      <c r="P287" s="5489">
        <f t="shared" si="332"/>
        <v>826</v>
      </c>
      <c r="Q287" s="5490">
        <f t="shared" si="333"/>
        <v>68.833333333333329</v>
      </c>
      <c r="R287" s="5479"/>
      <c r="S287" s="5488">
        <v>39</v>
      </c>
      <c r="T287" s="5489">
        <v>47</v>
      </c>
      <c r="U287" s="5489">
        <v>54</v>
      </c>
      <c r="V287" s="5489">
        <v>68</v>
      </c>
      <c r="W287" s="5489">
        <v>82</v>
      </c>
      <c r="X287" s="5489">
        <v>63</v>
      </c>
      <c r="Y287" s="5489">
        <v>117</v>
      </c>
      <c r="Z287" s="5489">
        <v>39</v>
      </c>
      <c r="AA287" s="5489">
        <v>94</v>
      </c>
      <c r="AB287" s="5489">
        <v>66</v>
      </c>
      <c r="AC287" s="5489">
        <v>88</v>
      </c>
      <c r="AD287" s="5489">
        <v>71</v>
      </c>
      <c r="AE287" s="5489">
        <f t="shared" si="334"/>
        <v>828</v>
      </c>
      <c r="AF287" s="5490">
        <f t="shared" si="335"/>
        <v>69</v>
      </c>
      <c r="AG287" s="5479"/>
      <c r="AH287" s="5488">
        <v>43</v>
      </c>
      <c r="AI287" s="5489">
        <v>78</v>
      </c>
      <c r="AJ287" s="5489">
        <v>33</v>
      </c>
      <c r="AK287" s="5489">
        <v>38</v>
      </c>
      <c r="AL287" s="5489">
        <v>60</v>
      </c>
      <c r="AM287" s="5489">
        <v>39</v>
      </c>
      <c r="AN287" s="5489">
        <v>49</v>
      </c>
      <c r="AO287" s="5489">
        <v>73</v>
      </c>
      <c r="AP287" s="5489">
        <v>22</v>
      </c>
      <c r="AQ287" s="5489">
        <v>16</v>
      </c>
      <c r="AR287" s="5489">
        <v>19</v>
      </c>
      <c r="AS287" s="5489">
        <v>24</v>
      </c>
      <c r="AT287" s="5489">
        <f t="shared" si="341"/>
        <v>494</v>
      </c>
      <c r="AU287" s="5490">
        <f t="shared" si="338"/>
        <v>41.166666666666664</v>
      </c>
      <c r="AW287" s="5488">
        <v>74</v>
      </c>
      <c r="AX287" s="5489">
        <v>10</v>
      </c>
      <c r="AY287" s="5489">
        <v>45</v>
      </c>
      <c r="AZ287" s="5489">
        <v>30</v>
      </c>
      <c r="BA287" s="5489">
        <v>17</v>
      </c>
      <c r="BB287" s="5489">
        <v>40</v>
      </c>
      <c r="BC287" s="5489">
        <v>47</v>
      </c>
      <c r="BD287" s="5489">
        <v>26</v>
      </c>
      <c r="BE287" s="5489">
        <v>22</v>
      </c>
      <c r="BF287" s="5489">
        <v>19</v>
      </c>
      <c r="BG287" s="5489">
        <v>20</v>
      </c>
      <c r="BH287" s="5489">
        <v>54</v>
      </c>
      <c r="BI287" s="5489">
        <f t="shared" si="330"/>
        <v>404</v>
      </c>
      <c r="BJ287" s="5490">
        <f t="shared" si="336"/>
        <v>33.666666666666664</v>
      </c>
      <c r="BL287" s="5488">
        <v>21</v>
      </c>
      <c r="BM287" s="5489">
        <v>86</v>
      </c>
      <c r="BN287" s="5489"/>
      <c r="BO287" s="5489"/>
      <c r="BP287" s="5489"/>
      <c r="BQ287" s="5489"/>
      <c r="BR287" s="5489"/>
      <c r="BS287" s="5489"/>
      <c r="BT287" s="5489"/>
      <c r="BU287" s="5489"/>
      <c r="BV287" s="5489"/>
      <c r="BW287" s="5489"/>
      <c r="BX287" s="5489">
        <f t="shared" si="331"/>
        <v>107</v>
      </c>
      <c r="BY287" s="5490">
        <f t="shared" si="337"/>
        <v>53.5</v>
      </c>
      <c r="CA287" s="169">
        <f t="shared" si="339"/>
        <v>76</v>
      </c>
      <c r="CB287" s="169">
        <f t="shared" si="342"/>
        <v>-7.5</v>
      </c>
      <c r="CC287" s="169">
        <f>IFERROR(
  SUM(
    _xlfn.XLOOKUP(DATE(YEAR($A$1),1,1),$2:$2,287:287):
    _xlfn.XLOOKUP($A$1,$2:$2,287:287)
  )
 -SUM(
    _xlfn.XLOOKUP(DATE(YEAR($A$1)-1,1,1),$2:$2,287:287):
    _xlfn.XLOOKUP(EDATE($A$1,-12),$2:$2,287:287)
  ),"")</f>
        <v>23</v>
      </c>
      <c r="CD287" s="4517">
        <f t="shared" si="340"/>
        <v>65</v>
      </c>
      <c r="CE287" s="5459"/>
      <c r="CF287" s="5459"/>
    </row>
    <row r="288" spans="1:84" ht="17.600000000000001" x14ac:dyDescent="0.55000000000000004">
      <c r="A288" s="7347"/>
      <c r="B288" s="5131" t="s">
        <v>251</v>
      </c>
      <c r="C288" s="5132"/>
      <c r="D288" s="5456">
        <v>397</v>
      </c>
      <c r="E288" s="5457">
        <v>467</v>
      </c>
      <c r="F288" s="5457">
        <v>576</v>
      </c>
      <c r="G288" s="5457">
        <v>485</v>
      </c>
      <c r="H288" s="5457">
        <v>555</v>
      </c>
      <c r="I288" s="5457">
        <v>578</v>
      </c>
      <c r="J288" s="5457">
        <v>638</v>
      </c>
      <c r="K288" s="5457">
        <v>486</v>
      </c>
      <c r="L288" s="5457">
        <v>590</v>
      </c>
      <c r="M288" s="5457">
        <v>463</v>
      </c>
      <c r="N288" s="5457">
        <v>511</v>
      </c>
      <c r="O288" s="5457">
        <v>488</v>
      </c>
      <c r="P288" s="5457">
        <v>6234</v>
      </c>
      <c r="Q288" s="5458">
        <v>519.5</v>
      </c>
      <c r="R288" s="2776"/>
      <c r="S288" s="5456">
        <v>436</v>
      </c>
      <c r="T288" s="5457">
        <v>408</v>
      </c>
      <c r="U288" s="5457">
        <v>531</v>
      </c>
      <c r="V288" s="5457">
        <v>538</v>
      </c>
      <c r="W288" s="5457">
        <v>385</v>
      </c>
      <c r="X288" s="5457">
        <v>487</v>
      </c>
      <c r="Y288" s="5457">
        <v>418</v>
      </c>
      <c r="Z288" s="5457">
        <v>411</v>
      </c>
      <c r="AA288" s="5457">
        <v>552</v>
      </c>
      <c r="AB288" s="5457">
        <v>437</v>
      </c>
      <c r="AC288" s="5457">
        <v>486</v>
      </c>
      <c r="AD288" s="5457">
        <v>493</v>
      </c>
      <c r="AE288" s="5457">
        <v>5582</v>
      </c>
      <c r="AF288" s="5458">
        <v>465.16666666666669</v>
      </c>
      <c r="AG288" s="2776"/>
      <c r="AH288" s="5456">
        <v>322</v>
      </c>
      <c r="AI288" s="5457">
        <v>580</v>
      </c>
      <c r="AJ288" s="5457">
        <v>455</v>
      </c>
      <c r="AK288" s="5457">
        <v>546</v>
      </c>
      <c r="AL288" s="5457">
        <v>507</v>
      </c>
      <c r="AM288" s="5457">
        <v>562</v>
      </c>
      <c r="AN288" s="5457">
        <v>530</v>
      </c>
      <c r="AO288" s="5457">
        <v>593</v>
      </c>
      <c r="AP288" s="5457">
        <v>537</v>
      </c>
      <c r="AQ288" s="5457">
        <v>514</v>
      </c>
      <c r="AR288" s="5457">
        <v>542</v>
      </c>
      <c r="AS288" s="5457">
        <v>617</v>
      </c>
      <c r="AT288" s="5457">
        <f t="shared" si="341"/>
        <v>6305</v>
      </c>
      <c r="AU288" s="5458">
        <f t="shared" si="338"/>
        <v>525.41666666666663</v>
      </c>
      <c r="AW288" s="5456">
        <v>532</v>
      </c>
      <c r="AX288" s="5457">
        <v>477</v>
      </c>
      <c r="AY288" s="5457">
        <v>649</v>
      </c>
      <c r="AZ288" s="5457">
        <v>539</v>
      </c>
      <c r="BA288" s="5457">
        <v>378</v>
      </c>
      <c r="BB288" s="5457">
        <v>802</v>
      </c>
      <c r="BC288" s="5457">
        <v>715</v>
      </c>
      <c r="BD288" s="5457">
        <v>697</v>
      </c>
      <c r="BE288" s="5457">
        <v>516</v>
      </c>
      <c r="BF288" s="5457">
        <v>582</v>
      </c>
      <c r="BG288" s="5457">
        <v>524</v>
      </c>
      <c r="BH288" s="5457">
        <v>515</v>
      </c>
      <c r="BI288" s="5457">
        <f t="shared" si="330"/>
        <v>6926</v>
      </c>
      <c r="BJ288" s="5458">
        <f t="shared" si="336"/>
        <v>577.16666666666663</v>
      </c>
      <c r="BL288" s="5456">
        <v>561</v>
      </c>
      <c r="BM288" s="5457">
        <v>717</v>
      </c>
      <c r="BN288" s="5457"/>
      <c r="BO288" s="5457"/>
      <c r="BP288" s="5457"/>
      <c r="BQ288" s="5457"/>
      <c r="BR288" s="5457"/>
      <c r="BS288" s="5457"/>
      <c r="BT288" s="5457"/>
      <c r="BU288" s="5457"/>
      <c r="BV288" s="5457"/>
      <c r="BW288" s="5457"/>
      <c r="BX288" s="5457">
        <f t="shared" si="331"/>
        <v>1278</v>
      </c>
      <c r="BY288" s="5458">
        <f t="shared" si="337"/>
        <v>639</v>
      </c>
      <c r="CA288" s="169">
        <f t="shared" si="339"/>
        <v>240</v>
      </c>
      <c r="CB288" s="169">
        <f t="shared" si="342"/>
        <v>51.75</v>
      </c>
      <c r="CC288" s="169">
        <f>IFERROR(
  SUM(
    _xlfn.XLOOKUP(DATE(YEAR($A$1),1,1),$2:$2,288:288):
    _xlfn.XLOOKUP($A$1,$2:$2,288:288)
  )
 -SUM(
    _xlfn.XLOOKUP(DATE(YEAR($A$1)-1,1,1),$2:$2,288:288):
    _xlfn.XLOOKUP(EDATE($A$1,-12),$2:$2,288:288)
  ),"")</f>
        <v>269</v>
      </c>
      <c r="CD288" s="4517">
        <f t="shared" si="340"/>
        <v>156</v>
      </c>
      <c r="CE288" s="5459"/>
      <c r="CF288" s="5459"/>
    </row>
    <row r="289" spans="1:84" ht="17.600000000000001" hidden="1" x14ac:dyDescent="0.55000000000000004">
      <c r="A289" s="7347"/>
      <c r="B289" s="5460"/>
      <c r="C289" s="786" t="s">
        <v>250</v>
      </c>
      <c r="D289" s="5461">
        <v>0</v>
      </c>
      <c r="E289" s="5462">
        <v>0</v>
      </c>
      <c r="F289" s="5462">
        <v>0</v>
      </c>
      <c r="G289" s="5462">
        <v>0</v>
      </c>
      <c r="H289" s="5462">
        <v>0</v>
      </c>
      <c r="I289" s="5462">
        <v>0</v>
      </c>
      <c r="J289" s="5462">
        <v>0</v>
      </c>
      <c r="K289" s="5462">
        <v>0</v>
      </c>
      <c r="L289" s="5462">
        <v>0</v>
      </c>
      <c r="M289" s="5462">
        <v>0</v>
      </c>
      <c r="N289" s="5462">
        <v>0</v>
      </c>
      <c r="O289" s="5462">
        <v>0</v>
      </c>
      <c r="P289" s="5462">
        <v>0</v>
      </c>
      <c r="Q289" s="5463">
        <v>0</v>
      </c>
      <c r="R289" s="2776"/>
      <c r="S289" s="5461">
        <v>0</v>
      </c>
      <c r="T289" s="5462">
        <v>0</v>
      </c>
      <c r="U289" s="5462">
        <v>0</v>
      </c>
      <c r="V289" s="5462">
        <v>0</v>
      </c>
      <c r="W289" s="5462">
        <v>0</v>
      </c>
      <c r="X289" s="5462">
        <v>0</v>
      </c>
      <c r="Y289" s="5462">
        <v>0</v>
      </c>
      <c r="Z289" s="5462">
        <v>0</v>
      </c>
      <c r="AA289" s="5462">
        <v>0</v>
      </c>
      <c r="AB289" s="5462">
        <v>0</v>
      </c>
      <c r="AC289" s="5462">
        <v>0</v>
      </c>
      <c r="AD289" s="5462">
        <v>0</v>
      </c>
      <c r="AE289" s="5462">
        <v>0</v>
      </c>
      <c r="AF289" s="5463">
        <v>0</v>
      </c>
      <c r="AG289" s="2776"/>
      <c r="AH289" s="5461"/>
      <c r="AI289" s="5462"/>
      <c r="AJ289" s="5462"/>
      <c r="AK289" s="5462"/>
      <c r="AL289" s="5462"/>
      <c r="AM289" s="5462"/>
      <c r="AN289" s="5462"/>
      <c r="AO289" s="5462"/>
      <c r="AP289" s="5462"/>
      <c r="AQ289" s="5462"/>
      <c r="AR289" s="5462"/>
      <c r="AS289" s="5462"/>
      <c r="AT289" s="5462">
        <f t="shared" si="341"/>
        <v>0</v>
      </c>
      <c r="AU289" s="5463">
        <f t="shared" si="338"/>
        <v>0</v>
      </c>
      <c r="AW289" s="5461">
        <v>54</v>
      </c>
      <c r="AX289" s="5462">
        <v>37</v>
      </c>
      <c r="AY289" s="5462"/>
      <c r="AZ289" s="5462"/>
      <c r="BA289" s="5462"/>
      <c r="BB289" s="5462"/>
      <c r="BC289" s="5462"/>
      <c r="BD289" s="5462"/>
      <c r="BE289" s="5462">
        <v>78</v>
      </c>
      <c r="BF289" s="5462"/>
      <c r="BG289" s="5462"/>
      <c r="BH289" s="5462">
        <v>61</v>
      </c>
      <c r="BI289" s="5462">
        <f t="shared" si="330"/>
        <v>230</v>
      </c>
      <c r="BJ289" s="5463">
        <f t="shared" si="336"/>
        <v>57.5</v>
      </c>
      <c r="BL289" s="5461">
        <v>62</v>
      </c>
      <c r="BM289" s="5462">
        <v>111</v>
      </c>
      <c r="BN289" s="5462"/>
      <c r="BO289" s="5462"/>
      <c r="BP289" s="5462"/>
      <c r="BQ289" s="5462"/>
      <c r="BR289" s="5462"/>
      <c r="BS289" s="5462"/>
      <c r="BT289" s="5462"/>
      <c r="BU289" s="5462"/>
      <c r="BV289" s="5462"/>
      <c r="BW289" s="5462"/>
      <c r="BX289" s="5462">
        <f t="shared" si="331"/>
        <v>173</v>
      </c>
      <c r="BY289" s="5463">
        <f t="shared" si="337"/>
        <v>86.5</v>
      </c>
      <c r="CA289" s="169">
        <f t="shared" si="339"/>
        <v>74</v>
      </c>
      <c r="CB289" s="169">
        <f t="shared" si="342"/>
        <v>57.5</v>
      </c>
      <c r="CC289" s="169">
        <f>IFERROR(
  SUM(
    _xlfn.XLOOKUP(DATE(YEAR($A$1),1,1),$2:$2,289:289):
    _xlfn.XLOOKUP($A$1,$2:$2,289:289)
  )
 -SUM(
    _xlfn.XLOOKUP(DATE(YEAR($A$1)-1,1,1),$2:$2,289:289):
    _xlfn.XLOOKUP(EDATE($A$1,-12),$2:$2,289:289)
  ),"")</f>
        <v>82</v>
      </c>
      <c r="CD289" s="4517">
        <f t="shared" si="340"/>
        <v>49</v>
      </c>
      <c r="CE289" s="5459"/>
      <c r="CF289" s="5459"/>
    </row>
    <row r="290" spans="1:84" ht="17.600000000000001" hidden="1" x14ac:dyDescent="0.55000000000000004">
      <c r="A290" s="7347"/>
      <c r="B290" s="5460"/>
      <c r="C290" s="786" t="s">
        <v>263</v>
      </c>
      <c r="D290" s="5461">
        <v>0</v>
      </c>
      <c r="E290" s="5462">
        <v>0</v>
      </c>
      <c r="F290" s="5462">
        <v>0</v>
      </c>
      <c r="G290" s="5462">
        <v>0</v>
      </c>
      <c r="H290" s="5462">
        <v>0</v>
      </c>
      <c r="I290" s="5462">
        <v>0</v>
      </c>
      <c r="J290" s="5462">
        <v>0</v>
      </c>
      <c r="K290" s="5462">
        <v>0</v>
      </c>
      <c r="L290" s="5462">
        <v>0</v>
      </c>
      <c r="M290" s="5462">
        <v>0</v>
      </c>
      <c r="N290" s="5462">
        <v>0</v>
      </c>
      <c r="O290" s="5462">
        <v>0</v>
      </c>
      <c r="P290" s="5462">
        <v>0</v>
      </c>
      <c r="Q290" s="5463">
        <v>0</v>
      </c>
      <c r="R290" s="2776"/>
      <c r="S290" s="5461">
        <v>0</v>
      </c>
      <c r="T290" s="5462">
        <v>0</v>
      </c>
      <c r="U290" s="5462">
        <v>0</v>
      </c>
      <c r="V290" s="5462">
        <v>0</v>
      </c>
      <c r="W290" s="5462">
        <v>0</v>
      </c>
      <c r="X290" s="5462">
        <v>0</v>
      </c>
      <c r="Y290" s="5462">
        <v>0</v>
      </c>
      <c r="Z290" s="5462">
        <v>0</v>
      </c>
      <c r="AA290" s="5462">
        <v>0</v>
      </c>
      <c r="AB290" s="5462">
        <v>0</v>
      </c>
      <c r="AC290" s="5462">
        <v>0</v>
      </c>
      <c r="AD290" s="5462">
        <v>0</v>
      </c>
      <c r="AE290" s="5462">
        <v>0</v>
      </c>
      <c r="AF290" s="5463">
        <v>0</v>
      </c>
      <c r="AG290" s="2776"/>
      <c r="AH290" s="5461"/>
      <c r="AI290" s="5462"/>
      <c r="AJ290" s="5462"/>
      <c r="AK290" s="5462"/>
      <c r="AL290" s="5462"/>
      <c r="AM290" s="5462"/>
      <c r="AN290" s="5462"/>
      <c r="AO290" s="5462"/>
      <c r="AP290" s="5462"/>
      <c r="AQ290" s="5462"/>
      <c r="AR290" s="5462"/>
      <c r="AS290" s="5462"/>
      <c r="AT290" s="5462">
        <f t="shared" si="341"/>
        <v>0</v>
      </c>
      <c r="AU290" s="5463">
        <f t="shared" si="338"/>
        <v>0</v>
      </c>
      <c r="AW290" s="5461">
        <v>118</v>
      </c>
      <c r="AX290" s="5462">
        <v>89</v>
      </c>
      <c r="AY290" s="5462"/>
      <c r="AZ290" s="5462"/>
      <c r="BA290" s="5462"/>
      <c r="BB290" s="5462"/>
      <c r="BC290" s="5462"/>
      <c r="BD290" s="5462"/>
      <c r="BE290" s="5462">
        <v>148</v>
      </c>
      <c r="BF290" s="5462"/>
      <c r="BG290" s="5462"/>
      <c r="BH290" s="5462">
        <v>107</v>
      </c>
      <c r="BI290" s="5462">
        <f t="shared" si="330"/>
        <v>462</v>
      </c>
      <c r="BJ290" s="5463">
        <f t="shared" si="336"/>
        <v>115.5</v>
      </c>
      <c r="BL290" s="5461">
        <v>122</v>
      </c>
      <c r="BM290" s="5462">
        <v>135</v>
      </c>
      <c r="BN290" s="5462"/>
      <c r="BO290" s="5462"/>
      <c r="BP290" s="5462"/>
      <c r="BQ290" s="5462"/>
      <c r="BR290" s="5462"/>
      <c r="BS290" s="5462"/>
      <c r="BT290" s="5462"/>
      <c r="BU290" s="5462"/>
      <c r="BV290" s="5462"/>
      <c r="BW290" s="5462"/>
      <c r="BX290" s="5462">
        <f t="shared" si="331"/>
        <v>257</v>
      </c>
      <c r="BY290" s="5463">
        <f t="shared" si="337"/>
        <v>128.5</v>
      </c>
      <c r="CA290" s="169">
        <f t="shared" si="339"/>
        <v>46</v>
      </c>
      <c r="CB290" s="169">
        <f t="shared" si="342"/>
        <v>115.5</v>
      </c>
      <c r="CC290" s="169">
        <f>IFERROR(
  SUM(
    _xlfn.XLOOKUP(DATE(YEAR($A$1),1,1),$2:$2,290:290):
    _xlfn.XLOOKUP($A$1,$2:$2,290:290)
  )
 -SUM(
    _xlfn.XLOOKUP(DATE(YEAR($A$1)-1,1,1),$2:$2,290:290):
    _xlfn.XLOOKUP(EDATE($A$1,-12),$2:$2,290:290)
  ),"")</f>
        <v>50</v>
      </c>
      <c r="CD290" s="4517">
        <f t="shared" si="340"/>
        <v>13</v>
      </c>
      <c r="CE290" s="5459"/>
      <c r="CF290" s="5459"/>
    </row>
    <row r="291" spans="1:84" ht="17.600000000000001" hidden="1" x14ac:dyDescent="0.55000000000000004">
      <c r="A291" s="7347"/>
      <c r="B291" s="5460"/>
      <c r="C291" s="786" t="s">
        <v>262</v>
      </c>
      <c r="D291" s="5461">
        <v>0</v>
      </c>
      <c r="E291" s="5462">
        <v>0</v>
      </c>
      <c r="F291" s="5462">
        <v>0</v>
      </c>
      <c r="G291" s="5462">
        <v>0</v>
      </c>
      <c r="H291" s="5462">
        <v>0</v>
      </c>
      <c r="I291" s="5462">
        <v>0</v>
      </c>
      <c r="J291" s="5462">
        <v>0</v>
      </c>
      <c r="K291" s="5462">
        <v>0</v>
      </c>
      <c r="L291" s="5462">
        <v>0</v>
      </c>
      <c r="M291" s="5462">
        <v>0</v>
      </c>
      <c r="N291" s="5462">
        <v>0</v>
      </c>
      <c r="O291" s="5462">
        <v>0</v>
      </c>
      <c r="P291" s="5462">
        <v>0</v>
      </c>
      <c r="Q291" s="5463">
        <v>0</v>
      </c>
      <c r="R291" s="2776"/>
      <c r="S291" s="5461">
        <v>0</v>
      </c>
      <c r="T291" s="5462">
        <v>0</v>
      </c>
      <c r="U291" s="5462">
        <v>0</v>
      </c>
      <c r="V291" s="5462">
        <v>0</v>
      </c>
      <c r="W291" s="5462">
        <v>0</v>
      </c>
      <c r="X291" s="5462">
        <v>0</v>
      </c>
      <c r="Y291" s="5462">
        <v>0</v>
      </c>
      <c r="Z291" s="5462">
        <v>0</v>
      </c>
      <c r="AA291" s="5462">
        <v>0</v>
      </c>
      <c r="AB291" s="5462">
        <v>0</v>
      </c>
      <c r="AC291" s="5462">
        <v>0</v>
      </c>
      <c r="AD291" s="5462">
        <v>0</v>
      </c>
      <c r="AE291" s="5462">
        <v>0</v>
      </c>
      <c r="AF291" s="5463">
        <v>0</v>
      </c>
      <c r="AG291" s="2776"/>
      <c r="AH291" s="5461"/>
      <c r="AI291" s="5462"/>
      <c r="AJ291" s="5462"/>
      <c r="AK291" s="5462"/>
      <c r="AL291" s="5462"/>
      <c r="AM291" s="5462"/>
      <c r="AN291" s="5462"/>
      <c r="AO291" s="5462"/>
      <c r="AP291" s="5462"/>
      <c r="AQ291" s="5462"/>
      <c r="AR291" s="5462"/>
      <c r="AS291" s="5462"/>
      <c r="AT291" s="5462">
        <f t="shared" si="341"/>
        <v>0</v>
      </c>
      <c r="AU291" s="5463">
        <f t="shared" si="338"/>
        <v>0</v>
      </c>
      <c r="AW291" s="5461">
        <v>360</v>
      </c>
      <c r="AX291" s="5462">
        <v>351</v>
      </c>
      <c r="AY291" s="5462"/>
      <c r="AZ291" s="5462"/>
      <c r="BA291" s="5462"/>
      <c r="BB291" s="5462"/>
      <c r="BC291" s="5462"/>
      <c r="BD291" s="5462"/>
      <c r="BE291" s="5462">
        <v>375</v>
      </c>
      <c r="BF291" s="5462"/>
      <c r="BG291" s="5462"/>
      <c r="BH291" s="5462">
        <v>347</v>
      </c>
      <c r="BI291" s="5462">
        <f t="shared" si="330"/>
        <v>1433</v>
      </c>
      <c r="BJ291" s="5463">
        <f t="shared" si="336"/>
        <v>358.25</v>
      </c>
      <c r="BL291" s="5461">
        <v>377</v>
      </c>
      <c r="BM291" s="5462">
        <v>471</v>
      </c>
      <c r="BN291" s="5462"/>
      <c r="BO291" s="5462"/>
      <c r="BP291" s="5462"/>
      <c r="BQ291" s="5462"/>
      <c r="BR291" s="5462"/>
      <c r="BS291" s="5462"/>
      <c r="BT291" s="5462"/>
      <c r="BU291" s="5462"/>
      <c r="BV291" s="5462"/>
      <c r="BW291" s="5462"/>
      <c r="BX291" s="5462">
        <f t="shared" si="331"/>
        <v>848</v>
      </c>
      <c r="BY291" s="5463">
        <f t="shared" si="337"/>
        <v>424</v>
      </c>
      <c r="CA291" s="169">
        <f t="shared" si="339"/>
        <v>120</v>
      </c>
      <c r="CB291" s="169">
        <f t="shared" si="342"/>
        <v>358.25</v>
      </c>
      <c r="CC291" s="169">
        <f>IFERROR(
  SUM(
    _xlfn.XLOOKUP(DATE(YEAR($A$1),1,1),$2:$2,291:291):
    _xlfn.XLOOKUP($A$1,$2:$2,291:291)
  )
 -SUM(
    _xlfn.XLOOKUP(DATE(YEAR($A$1)-1,1,1),$2:$2,291:291):
    _xlfn.XLOOKUP(EDATE($A$1,-12),$2:$2,291:291)
  ),"")</f>
        <v>137</v>
      </c>
      <c r="CD291" s="4517">
        <f t="shared" si="340"/>
        <v>94</v>
      </c>
      <c r="CE291" s="5459"/>
      <c r="CF291" s="5459"/>
    </row>
    <row r="292" spans="1:84" ht="17.600000000000001" x14ac:dyDescent="0.55000000000000004">
      <c r="A292" s="7347"/>
      <c r="B292" s="5464" t="s">
        <v>206</v>
      </c>
      <c r="C292" s="1799"/>
      <c r="D292" s="5465">
        <v>68</v>
      </c>
      <c r="E292" s="5466">
        <v>88</v>
      </c>
      <c r="F292" s="5466">
        <v>119</v>
      </c>
      <c r="G292" s="5466">
        <v>88</v>
      </c>
      <c r="H292" s="5466">
        <v>127</v>
      </c>
      <c r="I292" s="5466">
        <v>143</v>
      </c>
      <c r="J292" s="5466">
        <v>174</v>
      </c>
      <c r="K292" s="5466">
        <v>112</v>
      </c>
      <c r="L292" s="5466">
        <v>107</v>
      </c>
      <c r="M292" s="5466">
        <v>107</v>
      </c>
      <c r="N292" s="5466">
        <v>120</v>
      </c>
      <c r="O292" s="5466">
        <v>91</v>
      </c>
      <c r="P292" s="5466">
        <v>1344</v>
      </c>
      <c r="Q292" s="5467">
        <v>112</v>
      </c>
      <c r="R292" s="2776"/>
      <c r="S292" s="5465">
        <v>104</v>
      </c>
      <c r="T292" s="5466">
        <v>77</v>
      </c>
      <c r="U292" s="5466">
        <v>112</v>
      </c>
      <c r="V292" s="5466">
        <v>99</v>
      </c>
      <c r="W292" s="5466">
        <v>72</v>
      </c>
      <c r="X292" s="5466">
        <v>94</v>
      </c>
      <c r="Y292" s="5466">
        <v>79</v>
      </c>
      <c r="Z292" s="5466">
        <v>83</v>
      </c>
      <c r="AA292" s="5466">
        <v>153</v>
      </c>
      <c r="AB292" s="5466">
        <v>83</v>
      </c>
      <c r="AC292" s="5466">
        <v>94</v>
      </c>
      <c r="AD292" s="5466">
        <v>93</v>
      </c>
      <c r="AE292" s="5466">
        <v>1143</v>
      </c>
      <c r="AF292" s="5467">
        <v>95.25</v>
      </c>
      <c r="AG292" s="2776"/>
      <c r="AH292" s="5465">
        <v>63</v>
      </c>
      <c r="AI292" s="5466">
        <v>127</v>
      </c>
      <c r="AJ292" s="5466">
        <v>79</v>
      </c>
      <c r="AK292" s="5466">
        <v>106</v>
      </c>
      <c r="AL292" s="5466">
        <v>89</v>
      </c>
      <c r="AM292" s="5466">
        <v>95</v>
      </c>
      <c r="AN292" s="5466">
        <v>93</v>
      </c>
      <c r="AO292" s="5466">
        <v>122</v>
      </c>
      <c r="AP292" s="5466">
        <v>114</v>
      </c>
      <c r="AQ292" s="5466">
        <v>97</v>
      </c>
      <c r="AR292" s="5466">
        <v>129</v>
      </c>
      <c r="AS292" s="5466">
        <v>145</v>
      </c>
      <c r="AT292" s="5466">
        <f t="shared" si="341"/>
        <v>1259</v>
      </c>
      <c r="AU292" s="5467">
        <f t="shared" si="338"/>
        <v>104.91666666666667</v>
      </c>
      <c r="AW292" s="5465">
        <v>91</v>
      </c>
      <c r="AX292" s="5466">
        <v>90</v>
      </c>
      <c r="AY292" s="5466">
        <v>127</v>
      </c>
      <c r="AZ292" s="5466">
        <v>106</v>
      </c>
      <c r="BA292" s="5466">
        <v>78</v>
      </c>
      <c r="BB292" s="5466">
        <v>152</v>
      </c>
      <c r="BC292" s="5466">
        <v>136</v>
      </c>
      <c r="BD292" s="5466">
        <v>128</v>
      </c>
      <c r="BE292" s="5466">
        <v>95</v>
      </c>
      <c r="BF292" s="5466">
        <v>132</v>
      </c>
      <c r="BG292" s="5466">
        <v>91</v>
      </c>
      <c r="BH292" s="5466">
        <v>111</v>
      </c>
      <c r="BI292" s="5466">
        <f t="shared" si="330"/>
        <v>1337</v>
      </c>
      <c r="BJ292" s="5467">
        <f t="shared" si="336"/>
        <v>111.41666666666667</v>
      </c>
      <c r="BL292" s="5465">
        <v>134</v>
      </c>
      <c r="BM292" s="5466">
        <v>121</v>
      </c>
      <c r="BN292" s="5466"/>
      <c r="BO292" s="5466"/>
      <c r="BP292" s="5466"/>
      <c r="BQ292" s="5466"/>
      <c r="BR292" s="5466"/>
      <c r="BS292" s="5466"/>
      <c r="BT292" s="5466"/>
      <c r="BU292" s="5466"/>
      <c r="BV292" s="5466"/>
      <c r="BW292" s="5466"/>
      <c r="BX292" s="5466">
        <f t="shared" si="331"/>
        <v>255</v>
      </c>
      <c r="BY292" s="5467">
        <f t="shared" si="337"/>
        <v>127.5</v>
      </c>
      <c r="CA292" s="169">
        <f t="shared" si="339"/>
        <v>31</v>
      </c>
      <c r="CB292" s="169">
        <f t="shared" si="342"/>
        <v>6.5</v>
      </c>
      <c r="CC292" s="169">
        <f>IFERROR(
  SUM(
    _xlfn.XLOOKUP(DATE(YEAR($A$1),1,1),$2:$2,292:292):
    _xlfn.XLOOKUP($A$1,$2:$2,292:292)
  )
 -SUM(
    _xlfn.XLOOKUP(DATE(YEAR($A$1)-1,1,1),$2:$2,292:292):
    _xlfn.XLOOKUP(EDATE($A$1,-12),$2:$2,292:292)
  ),"")</f>
        <v>74</v>
      </c>
      <c r="CD292" s="4517">
        <f t="shared" si="340"/>
        <v>-13</v>
      </c>
      <c r="CE292" s="5459"/>
      <c r="CF292" s="5459"/>
    </row>
    <row r="293" spans="1:84" ht="17.600000000000001" x14ac:dyDescent="0.55000000000000004">
      <c r="A293" s="7347"/>
      <c r="B293" s="5468" t="s">
        <v>207</v>
      </c>
      <c r="C293" s="1576"/>
      <c r="D293" s="5469">
        <v>84</v>
      </c>
      <c r="E293" s="2636">
        <v>109</v>
      </c>
      <c r="F293" s="2636">
        <v>95</v>
      </c>
      <c r="G293" s="2636">
        <v>105</v>
      </c>
      <c r="H293" s="2636">
        <v>104</v>
      </c>
      <c r="I293" s="2636">
        <v>107</v>
      </c>
      <c r="J293" s="2636">
        <v>97</v>
      </c>
      <c r="K293" s="2636">
        <v>54</v>
      </c>
      <c r="L293" s="2636">
        <v>85</v>
      </c>
      <c r="M293" s="2636">
        <v>58</v>
      </c>
      <c r="N293" s="2636">
        <v>86</v>
      </c>
      <c r="O293" s="2636">
        <v>88</v>
      </c>
      <c r="P293" s="2636">
        <v>1072</v>
      </c>
      <c r="Q293" s="5470">
        <v>89.333333333333329</v>
      </c>
      <c r="R293" s="2776"/>
      <c r="S293" s="5469">
        <v>73</v>
      </c>
      <c r="T293" s="2636">
        <v>48</v>
      </c>
      <c r="U293" s="2636">
        <v>90</v>
      </c>
      <c r="V293" s="2636">
        <v>77</v>
      </c>
      <c r="W293" s="2636">
        <v>43</v>
      </c>
      <c r="X293" s="2636">
        <v>60</v>
      </c>
      <c r="Y293" s="2636">
        <v>44</v>
      </c>
      <c r="Z293" s="2636">
        <v>54</v>
      </c>
      <c r="AA293" s="2636">
        <v>56</v>
      </c>
      <c r="AB293" s="2636">
        <v>75</v>
      </c>
      <c r="AC293" s="2636">
        <v>59</v>
      </c>
      <c r="AD293" s="2636">
        <v>69</v>
      </c>
      <c r="AE293" s="2636">
        <v>748</v>
      </c>
      <c r="AF293" s="5470">
        <v>62.333333333333336</v>
      </c>
      <c r="AG293" s="2776"/>
      <c r="AH293" s="5469">
        <v>47</v>
      </c>
      <c r="AI293" s="2636">
        <v>82</v>
      </c>
      <c r="AJ293" s="2636">
        <v>62</v>
      </c>
      <c r="AK293" s="2636">
        <v>69</v>
      </c>
      <c r="AL293" s="2636">
        <v>65</v>
      </c>
      <c r="AM293" s="2636">
        <v>57</v>
      </c>
      <c r="AN293" s="2636">
        <v>65</v>
      </c>
      <c r="AO293" s="2636">
        <v>68</v>
      </c>
      <c r="AP293" s="2636">
        <v>73</v>
      </c>
      <c r="AQ293" s="2636">
        <v>82</v>
      </c>
      <c r="AR293" s="2636">
        <v>57</v>
      </c>
      <c r="AS293" s="2636">
        <v>78</v>
      </c>
      <c r="AT293" s="2636">
        <f t="shared" si="341"/>
        <v>805</v>
      </c>
      <c r="AU293" s="5470">
        <f t="shared" si="338"/>
        <v>67.083333333333329</v>
      </c>
      <c r="AW293" s="5469">
        <v>69</v>
      </c>
      <c r="AX293" s="2636">
        <v>55</v>
      </c>
      <c r="AY293" s="2636">
        <v>84</v>
      </c>
      <c r="AZ293" s="2636">
        <v>67</v>
      </c>
      <c r="BA293" s="2636">
        <v>34</v>
      </c>
      <c r="BB293" s="2636">
        <v>117</v>
      </c>
      <c r="BC293" s="2636">
        <v>90</v>
      </c>
      <c r="BD293" s="2636">
        <v>80</v>
      </c>
      <c r="BE293" s="2636">
        <v>75</v>
      </c>
      <c r="BF293" s="2636">
        <v>76</v>
      </c>
      <c r="BG293" s="2636">
        <v>68</v>
      </c>
      <c r="BH293" s="2636">
        <v>65</v>
      </c>
      <c r="BI293" s="2636">
        <f t="shared" si="330"/>
        <v>880</v>
      </c>
      <c r="BJ293" s="5470">
        <f t="shared" si="336"/>
        <v>73.333333333333329</v>
      </c>
      <c r="BL293" s="5469">
        <v>71</v>
      </c>
      <c r="BM293" s="2636">
        <v>109</v>
      </c>
      <c r="BN293" s="2636"/>
      <c r="BO293" s="2636"/>
      <c r="BP293" s="2636"/>
      <c r="BQ293" s="2636"/>
      <c r="BR293" s="2636"/>
      <c r="BS293" s="2636"/>
      <c r="BT293" s="2636"/>
      <c r="BU293" s="2636"/>
      <c r="BV293" s="2636"/>
      <c r="BW293" s="2636"/>
      <c r="BX293" s="2636">
        <f t="shared" si="331"/>
        <v>180</v>
      </c>
      <c r="BY293" s="5470">
        <f t="shared" si="337"/>
        <v>90</v>
      </c>
      <c r="CA293" s="169">
        <f t="shared" si="339"/>
        <v>54</v>
      </c>
      <c r="CB293" s="169">
        <f t="shared" si="342"/>
        <v>6.25</v>
      </c>
      <c r="CC293" s="169">
        <f>IFERROR(
  SUM(
    _xlfn.XLOOKUP(DATE(YEAR($A$1),1,1),$2:$2,293:293):
    _xlfn.XLOOKUP($A$1,$2:$2,293:293)
  )
 -SUM(
    _xlfn.XLOOKUP(DATE(YEAR($A$1)-1,1,1),$2:$2,293:293):
    _xlfn.XLOOKUP(EDATE($A$1,-12),$2:$2,293:293)
  ),"")</f>
        <v>56</v>
      </c>
      <c r="CD293" s="4517">
        <f t="shared" si="340"/>
        <v>38</v>
      </c>
      <c r="CE293" s="5459"/>
      <c r="CF293" s="5459"/>
    </row>
    <row r="294" spans="1:84" ht="17.600000000000001" x14ac:dyDescent="0.55000000000000004">
      <c r="A294" s="7347"/>
      <c r="B294" s="5468" t="s">
        <v>208</v>
      </c>
      <c r="C294" s="1576"/>
      <c r="D294" s="5469">
        <v>71</v>
      </c>
      <c r="E294" s="2636">
        <v>85</v>
      </c>
      <c r="F294" s="2636">
        <v>106</v>
      </c>
      <c r="G294" s="2636">
        <v>58</v>
      </c>
      <c r="H294" s="2636">
        <v>101</v>
      </c>
      <c r="I294" s="2636">
        <v>105</v>
      </c>
      <c r="J294" s="2636">
        <v>103</v>
      </c>
      <c r="K294" s="2636">
        <v>82</v>
      </c>
      <c r="L294" s="2636">
        <v>80</v>
      </c>
      <c r="M294" s="2636">
        <v>45</v>
      </c>
      <c r="N294" s="2636">
        <v>48</v>
      </c>
      <c r="O294" s="2636">
        <v>39</v>
      </c>
      <c r="P294" s="2636">
        <v>923</v>
      </c>
      <c r="Q294" s="5470">
        <v>76.916666666666671</v>
      </c>
      <c r="R294" s="2776"/>
      <c r="S294" s="5469">
        <v>56</v>
      </c>
      <c r="T294" s="2636">
        <v>41</v>
      </c>
      <c r="U294" s="2636">
        <v>58</v>
      </c>
      <c r="V294" s="2636">
        <v>65</v>
      </c>
      <c r="W294" s="2636">
        <v>37</v>
      </c>
      <c r="X294" s="2636">
        <v>48</v>
      </c>
      <c r="Y294" s="2636">
        <v>47</v>
      </c>
      <c r="Z294" s="2636">
        <v>70</v>
      </c>
      <c r="AA294" s="2636">
        <v>77</v>
      </c>
      <c r="AB294" s="2636">
        <v>61</v>
      </c>
      <c r="AC294" s="2636">
        <v>60</v>
      </c>
      <c r="AD294" s="2636">
        <v>87</v>
      </c>
      <c r="AE294" s="2636">
        <v>707</v>
      </c>
      <c r="AF294" s="5470">
        <v>58.916666666666664</v>
      </c>
      <c r="AG294" s="2776"/>
      <c r="AH294" s="5469">
        <v>54</v>
      </c>
      <c r="AI294" s="2636">
        <v>67</v>
      </c>
      <c r="AJ294" s="2636">
        <v>72</v>
      </c>
      <c r="AK294" s="2636">
        <v>77</v>
      </c>
      <c r="AL294" s="2636">
        <v>71</v>
      </c>
      <c r="AM294" s="2636">
        <v>97</v>
      </c>
      <c r="AN294" s="2636">
        <v>85</v>
      </c>
      <c r="AO294" s="2636">
        <v>81</v>
      </c>
      <c r="AP294" s="2636">
        <v>98</v>
      </c>
      <c r="AQ294" s="2636">
        <v>74</v>
      </c>
      <c r="AR294" s="2636">
        <v>91</v>
      </c>
      <c r="AS294" s="2636">
        <v>80</v>
      </c>
      <c r="AT294" s="2636">
        <f t="shared" si="341"/>
        <v>947</v>
      </c>
      <c r="AU294" s="5470">
        <f t="shared" si="338"/>
        <v>78.916666666666671</v>
      </c>
      <c r="AW294" s="5469">
        <v>77</v>
      </c>
      <c r="AX294" s="2636">
        <v>65</v>
      </c>
      <c r="AY294" s="2636">
        <v>99</v>
      </c>
      <c r="AZ294" s="2636">
        <v>73</v>
      </c>
      <c r="BA294" s="2636">
        <v>58</v>
      </c>
      <c r="BB294" s="2636">
        <v>115</v>
      </c>
      <c r="BC294" s="2636">
        <v>108</v>
      </c>
      <c r="BD294" s="2636">
        <v>98</v>
      </c>
      <c r="BE294" s="2636">
        <v>76</v>
      </c>
      <c r="BF294" s="2636">
        <v>90</v>
      </c>
      <c r="BG294" s="2636">
        <v>91</v>
      </c>
      <c r="BH294" s="2636">
        <v>65</v>
      </c>
      <c r="BI294" s="2636">
        <f t="shared" si="330"/>
        <v>1015</v>
      </c>
      <c r="BJ294" s="5470">
        <f t="shared" si="336"/>
        <v>84.583333333333329</v>
      </c>
      <c r="BL294" s="5469">
        <v>74</v>
      </c>
      <c r="BM294" s="2636">
        <v>112</v>
      </c>
      <c r="BN294" s="2636"/>
      <c r="BO294" s="2636"/>
      <c r="BP294" s="2636"/>
      <c r="BQ294" s="2636"/>
      <c r="BR294" s="2636"/>
      <c r="BS294" s="2636"/>
      <c r="BT294" s="2636"/>
      <c r="BU294" s="2636"/>
      <c r="BV294" s="2636"/>
      <c r="BW294" s="2636"/>
      <c r="BX294" s="2636">
        <f t="shared" si="331"/>
        <v>186</v>
      </c>
      <c r="BY294" s="5470">
        <f t="shared" si="337"/>
        <v>93</v>
      </c>
      <c r="CA294" s="169">
        <f t="shared" si="339"/>
        <v>47</v>
      </c>
      <c r="CB294" s="169">
        <f t="shared" si="342"/>
        <v>5.6666666666666572</v>
      </c>
      <c r="CC294" s="169">
        <f>IFERROR(
  SUM(
    _xlfn.XLOOKUP(DATE(YEAR($A$1),1,1),$2:$2,294:294):
    _xlfn.XLOOKUP($A$1,$2:$2,294:294)
  )
 -SUM(
    _xlfn.XLOOKUP(DATE(YEAR($A$1)-1,1,1),$2:$2,294:294):
    _xlfn.XLOOKUP(EDATE($A$1,-12),$2:$2,294:294)
  ),"")</f>
        <v>44</v>
      </c>
      <c r="CD294" s="4517">
        <f t="shared" si="340"/>
        <v>38</v>
      </c>
      <c r="CE294" s="5459"/>
      <c r="CF294" s="5459"/>
    </row>
    <row r="295" spans="1:84" ht="17.600000000000001" x14ac:dyDescent="0.55000000000000004">
      <c r="A295" s="7347"/>
      <c r="B295" s="5468" t="s">
        <v>209</v>
      </c>
      <c r="C295" s="1576"/>
      <c r="D295" s="5469">
        <v>71</v>
      </c>
      <c r="E295" s="2636">
        <v>88</v>
      </c>
      <c r="F295" s="2636">
        <v>124</v>
      </c>
      <c r="G295" s="2636">
        <v>112</v>
      </c>
      <c r="H295" s="2636">
        <v>124</v>
      </c>
      <c r="I295" s="2636">
        <v>107</v>
      </c>
      <c r="J295" s="2636">
        <v>113</v>
      </c>
      <c r="K295" s="2636">
        <v>108</v>
      </c>
      <c r="L295" s="2636">
        <v>167</v>
      </c>
      <c r="M295" s="2636">
        <v>131</v>
      </c>
      <c r="N295" s="2636">
        <v>131</v>
      </c>
      <c r="O295" s="2636">
        <v>130</v>
      </c>
      <c r="P295" s="2636">
        <v>1406</v>
      </c>
      <c r="Q295" s="5470">
        <v>117.16666666666667</v>
      </c>
      <c r="R295" s="2776"/>
      <c r="S295" s="5469">
        <v>82</v>
      </c>
      <c r="T295" s="2636">
        <v>115</v>
      </c>
      <c r="U295" s="2636">
        <v>131</v>
      </c>
      <c r="V295" s="2636">
        <v>145</v>
      </c>
      <c r="W295" s="2636">
        <v>102</v>
      </c>
      <c r="X295" s="2636">
        <v>140</v>
      </c>
      <c r="Y295" s="2636">
        <v>119</v>
      </c>
      <c r="Z295" s="2636">
        <v>98</v>
      </c>
      <c r="AA295" s="2636">
        <v>111</v>
      </c>
      <c r="AB295" s="2636">
        <v>116</v>
      </c>
      <c r="AC295" s="2636">
        <v>162</v>
      </c>
      <c r="AD295" s="2636">
        <v>118</v>
      </c>
      <c r="AE295" s="2636">
        <v>1439</v>
      </c>
      <c r="AF295" s="5470">
        <v>119.91666666666667</v>
      </c>
      <c r="AG295" s="2776"/>
      <c r="AH295" s="5469">
        <v>74</v>
      </c>
      <c r="AI295" s="2636">
        <v>125</v>
      </c>
      <c r="AJ295" s="2636">
        <v>111</v>
      </c>
      <c r="AK295" s="2636">
        <v>168</v>
      </c>
      <c r="AL295" s="2636">
        <v>139</v>
      </c>
      <c r="AM295" s="2636">
        <v>169</v>
      </c>
      <c r="AN295" s="2636">
        <v>164</v>
      </c>
      <c r="AO295" s="2636">
        <v>148</v>
      </c>
      <c r="AP295" s="2636">
        <v>136</v>
      </c>
      <c r="AQ295" s="2636">
        <v>149</v>
      </c>
      <c r="AR295" s="2636">
        <v>139</v>
      </c>
      <c r="AS295" s="2636">
        <v>168</v>
      </c>
      <c r="AT295" s="2636">
        <f t="shared" si="341"/>
        <v>1690</v>
      </c>
      <c r="AU295" s="5470">
        <f t="shared" si="338"/>
        <v>140.83333333333334</v>
      </c>
      <c r="AW295" s="5469">
        <v>153</v>
      </c>
      <c r="AX295" s="2636">
        <v>161</v>
      </c>
      <c r="AY295" s="2636">
        <v>186</v>
      </c>
      <c r="AZ295" s="2636">
        <v>172</v>
      </c>
      <c r="BA295" s="2636">
        <v>97</v>
      </c>
      <c r="BB295" s="2636">
        <v>234</v>
      </c>
      <c r="BC295" s="2636">
        <v>236</v>
      </c>
      <c r="BD295" s="2636">
        <v>232</v>
      </c>
      <c r="BE295" s="2636">
        <v>154</v>
      </c>
      <c r="BF295" s="2636">
        <v>166</v>
      </c>
      <c r="BG295" s="2636">
        <v>176</v>
      </c>
      <c r="BH295" s="2636">
        <v>147</v>
      </c>
      <c r="BI295" s="2636">
        <f t="shared" si="330"/>
        <v>2114</v>
      </c>
      <c r="BJ295" s="5470">
        <f t="shared" si="336"/>
        <v>176.16666666666666</v>
      </c>
      <c r="BL295" s="5469">
        <v>159</v>
      </c>
      <c r="BM295" s="2636">
        <v>232</v>
      </c>
      <c r="BN295" s="2636"/>
      <c r="BO295" s="2636"/>
      <c r="BP295" s="2636"/>
      <c r="BQ295" s="2636"/>
      <c r="BR295" s="2636"/>
      <c r="BS295" s="2636"/>
      <c r="BT295" s="2636"/>
      <c r="BU295" s="2636"/>
      <c r="BV295" s="2636"/>
      <c r="BW295" s="2636"/>
      <c r="BX295" s="2636">
        <f t="shared" si="331"/>
        <v>391</v>
      </c>
      <c r="BY295" s="5470">
        <f t="shared" si="337"/>
        <v>195.5</v>
      </c>
      <c r="CA295" s="169">
        <f t="shared" si="339"/>
        <v>71</v>
      </c>
      <c r="CB295" s="169">
        <f t="shared" si="342"/>
        <v>35.333333333333314</v>
      </c>
      <c r="CC295" s="169">
        <f>IFERROR(
  SUM(
    _xlfn.XLOOKUP(DATE(YEAR($A$1),1,1),$2:$2,295:295):
    _xlfn.XLOOKUP($A$1,$2:$2,295:295)
  )
 -SUM(
    _xlfn.XLOOKUP(DATE(YEAR($A$1)-1,1,1),$2:$2,295:295):
    _xlfn.XLOOKUP(EDATE($A$1,-12),$2:$2,295:295)
  ),"")</f>
        <v>77</v>
      </c>
      <c r="CD295" s="4517">
        <f t="shared" si="340"/>
        <v>73</v>
      </c>
      <c r="CE295" s="5459"/>
      <c r="CF295" s="5459"/>
    </row>
    <row r="296" spans="1:84" ht="17.600000000000001" x14ac:dyDescent="0.55000000000000004">
      <c r="A296" s="7347"/>
      <c r="B296" s="5471" t="s">
        <v>210</v>
      </c>
      <c r="C296" s="1813"/>
      <c r="D296" s="5472">
        <v>103</v>
      </c>
      <c r="E296" s="5473">
        <v>97</v>
      </c>
      <c r="F296" s="5473">
        <v>132</v>
      </c>
      <c r="G296" s="5473">
        <v>122</v>
      </c>
      <c r="H296" s="5473">
        <v>99</v>
      </c>
      <c r="I296" s="5473">
        <v>116</v>
      </c>
      <c r="J296" s="5473">
        <v>151</v>
      </c>
      <c r="K296" s="5473">
        <v>130</v>
      </c>
      <c r="L296" s="5473">
        <v>151</v>
      </c>
      <c r="M296" s="5473">
        <v>122</v>
      </c>
      <c r="N296" s="5473">
        <v>126</v>
      </c>
      <c r="O296" s="5473">
        <v>140</v>
      </c>
      <c r="P296" s="5473">
        <v>1489</v>
      </c>
      <c r="Q296" s="5474">
        <v>124.08333333333333</v>
      </c>
      <c r="R296" s="2776"/>
      <c r="S296" s="5472">
        <v>121</v>
      </c>
      <c r="T296" s="5473">
        <v>127</v>
      </c>
      <c r="U296" s="5473">
        <v>140</v>
      </c>
      <c r="V296" s="5473">
        <v>152</v>
      </c>
      <c r="W296" s="5473">
        <v>131</v>
      </c>
      <c r="X296" s="5473">
        <v>145</v>
      </c>
      <c r="Y296" s="5473">
        <v>129</v>
      </c>
      <c r="Z296" s="5473">
        <v>106</v>
      </c>
      <c r="AA296" s="5473">
        <v>155</v>
      </c>
      <c r="AB296" s="5473">
        <v>102</v>
      </c>
      <c r="AC296" s="5473">
        <v>111</v>
      </c>
      <c r="AD296" s="5473">
        <v>126</v>
      </c>
      <c r="AE296" s="5473">
        <v>1545</v>
      </c>
      <c r="AF296" s="5474">
        <v>128.75</v>
      </c>
      <c r="AG296" s="2776"/>
      <c r="AH296" s="5472">
        <v>84</v>
      </c>
      <c r="AI296" s="5473">
        <v>179</v>
      </c>
      <c r="AJ296" s="5473">
        <v>131</v>
      </c>
      <c r="AK296" s="5473">
        <v>126</v>
      </c>
      <c r="AL296" s="5473">
        <v>143</v>
      </c>
      <c r="AM296" s="5473">
        <v>144</v>
      </c>
      <c r="AN296" s="5473">
        <v>123</v>
      </c>
      <c r="AO296" s="5473">
        <v>174</v>
      </c>
      <c r="AP296" s="5473">
        <v>116</v>
      </c>
      <c r="AQ296" s="5473">
        <v>112</v>
      </c>
      <c r="AR296" s="5473">
        <v>126</v>
      </c>
      <c r="AS296" s="5473">
        <v>146</v>
      </c>
      <c r="AT296" s="5473">
        <f t="shared" si="341"/>
        <v>1604</v>
      </c>
      <c r="AU296" s="5474">
        <f t="shared" si="338"/>
        <v>133.66666666666666</v>
      </c>
      <c r="AW296" s="5472">
        <v>142</v>
      </c>
      <c r="AX296" s="5473">
        <v>106</v>
      </c>
      <c r="AY296" s="5473">
        <v>153</v>
      </c>
      <c r="AZ296" s="5473">
        <v>121</v>
      </c>
      <c r="BA296" s="5473">
        <v>111</v>
      </c>
      <c r="BB296" s="5473">
        <v>184</v>
      </c>
      <c r="BC296" s="5473">
        <v>145</v>
      </c>
      <c r="BD296" s="5473">
        <v>159</v>
      </c>
      <c r="BE296" s="5473">
        <v>116</v>
      </c>
      <c r="BF296" s="5473">
        <v>118</v>
      </c>
      <c r="BG296" s="5473">
        <v>98</v>
      </c>
      <c r="BH296" s="5473">
        <v>127</v>
      </c>
      <c r="BI296" s="5473">
        <f t="shared" si="330"/>
        <v>1580</v>
      </c>
      <c r="BJ296" s="5474">
        <f t="shared" si="336"/>
        <v>131.66666666666666</v>
      </c>
      <c r="BL296" s="5472">
        <v>123</v>
      </c>
      <c r="BM296" s="5473">
        <v>143</v>
      </c>
      <c r="BN296" s="5473"/>
      <c r="BO296" s="5473"/>
      <c r="BP296" s="5473"/>
      <c r="BQ296" s="5473"/>
      <c r="BR296" s="5473"/>
      <c r="BS296" s="5473"/>
      <c r="BT296" s="5473"/>
      <c r="BU296" s="5473"/>
      <c r="BV296" s="5473"/>
      <c r="BW296" s="5473"/>
      <c r="BX296" s="5473">
        <f t="shared" si="331"/>
        <v>266</v>
      </c>
      <c r="BY296" s="5474">
        <f t="shared" si="337"/>
        <v>133</v>
      </c>
      <c r="CA296" s="169">
        <f t="shared" si="339"/>
        <v>37</v>
      </c>
      <c r="CB296" s="169">
        <f t="shared" si="342"/>
        <v>-2</v>
      </c>
      <c r="CC296" s="169">
        <f>IFERROR(
  SUM(
    _xlfn.XLOOKUP(DATE(YEAR($A$1),1,1),$2:$2,296:296):
    _xlfn.XLOOKUP($A$1,$2:$2,296:296)
  )
 -SUM(
    _xlfn.XLOOKUP(DATE(YEAR($A$1)-1,1,1),$2:$2,296:296):
    _xlfn.XLOOKUP(EDATE($A$1,-12),$2:$2,296:296)
  ),"")</f>
        <v>18</v>
      </c>
      <c r="CD296" s="4517">
        <f t="shared" si="340"/>
        <v>20</v>
      </c>
      <c r="CE296" s="5459"/>
      <c r="CF296" s="5459"/>
    </row>
    <row r="297" spans="1:84" s="698" customFormat="1" ht="17.600000000000001" x14ac:dyDescent="0.55000000000000004">
      <c r="A297" s="7347"/>
      <c r="B297" s="5475"/>
      <c r="C297" s="2156" t="s">
        <v>226</v>
      </c>
      <c r="D297" s="5476">
        <v>45</v>
      </c>
      <c r="E297" s="5477">
        <v>59</v>
      </c>
      <c r="F297" s="5477">
        <v>88</v>
      </c>
      <c r="G297" s="5477">
        <v>60</v>
      </c>
      <c r="H297" s="5477">
        <v>95</v>
      </c>
      <c r="I297" s="5477">
        <v>109</v>
      </c>
      <c r="J297" s="5477">
        <v>135</v>
      </c>
      <c r="K297" s="5477">
        <v>97</v>
      </c>
      <c r="L297" s="5477">
        <v>77</v>
      </c>
      <c r="M297" s="5477">
        <v>83</v>
      </c>
      <c r="N297" s="5477">
        <v>94</v>
      </c>
      <c r="O297" s="5477">
        <v>67</v>
      </c>
      <c r="P297" s="5477">
        <f t="shared" si="332"/>
        <v>1009</v>
      </c>
      <c r="Q297" s="5478">
        <f t="shared" si="333"/>
        <v>84.083333333333329</v>
      </c>
      <c r="R297" s="5479"/>
      <c r="S297" s="5476">
        <v>85</v>
      </c>
      <c r="T297" s="5477">
        <v>62</v>
      </c>
      <c r="U297" s="5477">
        <v>94</v>
      </c>
      <c r="V297" s="5477">
        <v>75</v>
      </c>
      <c r="W297" s="5477">
        <v>52</v>
      </c>
      <c r="X297" s="5477">
        <v>69</v>
      </c>
      <c r="Y297" s="5477">
        <v>56</v>
      </c>
      <c r="Z297" s="5477">
        <v>63</v>
      </c>
      <c r="AA297" s="5477">
        <v>126</v>
      </c>
      <c r="AB297" s="5477">
        <v>64</v>
      </c>
      <c r="AC297" s="5477">
        <v>71</v>
      </c>
      <c r="AD297" s="5477">
        <v>75</v>
      </c>
      <c r="AE297" s="5477">
        <f t="shared" si="334"/>
        <v>892</v>
      </c>
      <c r="AF297" s="5478">
        <f t="shared" si="335"/>
        <v>74.333333333333329</v>
      </c>
      <c r="AG297" s="5479"/>
      <c r="AH297" s="5476">
        <v>43</v>
      </c>
      <c r="AI297" s="5477">
        <v>100</v>
      </c>
      <c r="AJ297" s="5477">
        <v>57</v>
      </c>
      <c r="AK297" s="5477">
        <v>77</v>
      </c>
      <c r="AL297" s="5477">
        <v>67</v>
      </c>
      <c r="AM297" s="5477">
        <v>68</v>
      </c>
      <c r="AN297" s="5477">
        <v>74</v>
      </c>
      <c r="AO297" s="5477">
        <v>83</v>
      </c>
      <c r="AP297" s="5477">
        <v>81</v>
      </c>
      <c r="AQ297" s="5477">
        <v>69</v>
      </c>
      <c r="AR297" s="5477">
        <v>97</v>
      </c>
      <c r="AS297" s="5477">
        <v>111</v>
      </c>
      <c r="AT297" s="5477">
        <f t="shared" si="341"/>
        <v>927</v>
      </c>
      <c r="AU297" s="5478">
        <f t="shared" si="338"/>
        <v>77.25</v>
      </c>
      <c r="AW297" s="5476">
        <v>69</v>
      </c>
      <c r="AX297" s="5477">
        <v>60</v>
      </c>
      <c r="AY297" s="5477">
        <v>91</v>
      </c>
      <c r="AZ297" s="5477">
        <v>68</v>
      </c>
      <c r="BA297" s="5477">
        <v>50</v>
      </c>
      <c r="BB297" s="5477">
        <v>105</v>
      </c>
      <c r="BC297" s="5477">
        <v>136</v>
      </c>
      <c r="BD297" s="5477">
        <v>128</v>
      </c>
      <c r="BE297" s="5477">
        <v>95</v>
      </c>
      <c r="BF297" s="5477">
        <v>132</v>
      </c>
      <c r="BG297" s="5477">
        <v>91</v>
      </c>
      <c r="BH297" s="5477">
        <v>111</v>
      </c>
      <c r="BI297" s="5477">
        <f t="shared" si="330"/>
        <v>1136</v>
      </c>
      <c r="BJ297" s="5478">
        <f t="shared" si="336"/>
        <v>94.666666666666671</v>
      </c>
      <c r="BL297" s="5476">
        <v>134</v>
      </c>
      <c r="BM297" s="5477">
        <v>121</v>
      </c>
      <c r="BN297" s="5477"/>
      <c r="BO297" s="5477"/>
      <c r="BP297" s="5477"/>
      <c r="BQ297" s="5477"/>
      <c r="BR297" s="5477"/>
      <c r="BS297" s="5477"/>
      <c r="BT297" s="5477"/>
      <c r="BU297" s="5477"/>
      <c r="BV297" s="5477"/>
      <c r="BW297" s="5477"/>
      <c r="BX297" s="5477">
        <f t="shared" si="331"/>
        <v>255</v>
      </c>
      <c r="BY297" s="5478">
        <f t="shared" si="337"/>
        <v>127.5</v>
      </c>
      <c r="CA297" s="169">
        <f t="shared" si="339"/>
        <v>61</v>
      </c>
      <c r="CB297" s="169">
        <f t="shared" si="342"/>
        <v>17.416666666666671</v>
      </c>
      <c r="CC297" s="169">
        <f>IFERROR(
  SUM(
    _xlfn.XLOOKUP(DATE(YEAR($A$1),1,1),$2:$2,297:297):
    _xlfn.XLOOKUP($A$1,$2:$2,297:297)
  )
 -SUM(
    _xlfn.XLOOKUP(DATE(YEAR($A$1)-1,1,1),$2:$2,297:297):
    _xlfn.XLOOKUP(EDATE($A$1,-12),$2:$2,297:297)
  ),"")</f>
        <v>126</v>
      </c>
      <c r="CD297" s="4517">
        <f t="shared" si="340"/>
        <v>-13</v>
      </c>
      <c r="CE297" s="5459"/>
      <c r="CF297" s="5459"/>
    </row>
    <row r="298" spans="1:84" s="698" customFormat="1" ht="17.600000000000001" x14ac:dyDescent="0.55000000000000004">
      <c r="A298" s="7347"/>
      <c r="B298" s="5480"/>
      <c r="C298" s="681" t="s">
        <v>227</v>
      </c>
      <c r="D298" s="5481">
        <v>84</v>
      </c>
      <c r="E298" s="5482">
        <v>109</v>
      </c>
      <c r="F298" s="5482">
        <v>95</v>
      </c>
      <c r="G298" s="5482">
        <v>105</v>
      </c>
      <c r="H298" s="5482">
        <v>104</v>
      </c>
      <c r="I298" s="5482">
        <v>107</v>
      </c>
      <c r="J298" s="5482">
        <v>97</v>
      </c>
      <c r="K298" s="5482">
        <v>54</v>
      </c>
      <c r="L298" s="5482">
        <v>85</v>
      </c>
      <c r="M298" s="5482">
        <v>58</v>
      </c>
      <c r="N298" s="5482">
        <v>86</v>
      </c>
      <c r="O298" s="5482">
        <v>88</v>
      </c>
      <c r="P298" s="5482">
        <f t="shared" si="332"/>
        <v>1072</v>
      </c>
      <c r="Q298" s="5483">
        <f t="shared" si="333"/>
        <v>89.333333333333329</v>
      </c>
      <c r="R298" s="5479"/>
      <c r="S298" s="5481">
        <v>73</v>
      </c>
      <c r="T298" s="5482">
        <v>48</v>
      </c>
      <c r="U298" s="5482">
        <v>90</v>
      </c>
      <c r="V298" s="5482">
        <v>77</v>
      </c>
      <c r="W298" s="5482">
        <v>43</v>
      </c>
      <c r="X298" s="5482">
        <v>60</v>
      </c>
      <c r="Y298" s="5482">
        <v>44</v>
      </c>
      <c r="Z298" s="5482">
        <v>54</v>
      </c>
      <c r="AA298" s="5482">
        <v>56</v>
      </c>
      <c r="AB298" s="5482">
        <v>75</v>
      </c>
      <c r="AC298" s="5482">
        <v>59</v>
      </c>
      <c r="AD298" s="5482">
        <v>69</v>
      </c>
      <c r="AE298" s="5482">
        <f t="shared" si="334"/>
        <v>748</v>
      </c>
      <c r="AF298" s="5483">
        <f t="shared" si="335"/>
        <v>62.333333333333336</v>
      </c>
      <c r="AG298" s="5479"/>
      <c r="AH298" s="5481">
        <v>47</v>
      </c>
      <c r="AI298" s="5482">
        <v>82</v>
      </c>
      <c r="AJ298" s="5482">
        <v>62</v>
      </c>
      <c r="AK298" s="5482">
        <v>69</v>
      </c>
      <c r="AL298" s="5482">
        <v>65</v>
      </c>
      <c r="AM298" s="5482">
        <v>57</v>
      </c>
      <c r="AN298" s="5482">
        <v>65</v>
      </c>
      <c r="AO298" s="5482">
        <v>68</v>
      </c>
      <c r="AP298" s="5482">
        <v>73</v>
      </c>
      <c r="AQ298" s="5482">
        <v>82</v>
      </c>
      <c r="AR298" s="5482">
        <v>57</v>
      </c>
      <c r="AS298" s="5482">
        <v>78</v>
      </c>
      <c r="AT298" s="5482">
        <f t="shared" si="341"/>
        <v>805</v>
      </c>
      <c r="AU298" s="5483">
        <f t="shared" si="338"/>
        <v>67.083333333333329</v>
      </c>
      <c r="AW298" s="5481">
        <v>69</v>
      </c>
      <c r="AX298" s="5482">
        <v>55</v>
      </c>
      <c r="AY298" s="5482">
        <v>84</v>
      </c>
      <c r="AZ298" s="5482">
        <v>67</v>
      </c>
      <c r="BA298" s="5482">
        <v>34</v>
      </c>
      <c r="BB298" s="5482">
        <v>117</v>
      </c>
      <c r="BC298" s="5482">
        <v>90</v>
      </c>
      <c r="BD298" s="5482">
        <v>80</v>
      </c>
      <c r="BE298" s="5482">
        <v>75</v>
      </c>
      <c r="BF298" s="5482">
        <v>76</v>
      </c>
      <c r="BG298" s="5482">
        <v>68</v>
      </c>
      <c r="BH298" s="5482">
        <v>65</v>
      </c>
      <c r="BI298" s="5482">
        <f t="shared" si="330"/>
        <v>880</v>
      </c>
      <c r="BJ298" s="5483">
        <f t="shared" si="336"/>
        <v>73.333333333333329</v>
      </c>
      <c r="BL298" s="5481">
        <v>71</v>
      </c>
      <c r="BM298" s="5482">
        <v>109</v>
      </c>
      <c r="BN298" s="5482"/>
      <c r="BO298" s="5482"/>
      <c r="BP298" s="5482"/>
      <c r="BQ298" s="5482"/>
      <c r="BR298" s="5482"/>
      <c r="BS298" s="5482"/>
      <c r="BT298" s="5482"/>
      <c r="BU298" s="5482"/>
      <c r="BV298" s="5482"/>
      <c r="BW298" s="5482"/>
      <c r="BX298" s="5482">
        <f t="shared" si="331"/>
        <v>180</v>
      </c>
      <c r="BY298" s="5483">
        <f t="shared" si="337"/>
        <v>90</v>
      </c>
      <c r="CA298" s="169">
        <f t="shared" si="339"/>
        <v>54</v>
      </c>
      <c r="CB298" s="169">
        <f t="shared" si="342"/>
        <v>6.25</v>
      </c>
      <c r="CC298" s="169">
        <f>IFERROR(
  SUM(
    _xlfn.XLOOKUP(DATE(YEAR($A$1),1,1),$2:$2,298:298):
    _xlfn.XLOOKUP($A$1,$2:$2,298:298)
  )
 -SUM(
    _xlfn.XLOOKUP(DATE(YEAR($A$1)-1,1,1),$2:$2,298:298):
    _xlfn.XLOOKUP(EDATE($A$1,-12),$2:$2,298:298)
  ),"")</f>
        <v>56</v>
      </c>
      <c r="CD298" s="4517">
        <f t="shared" si="340"/>
        <v>38</v>
      </c>
      <c r="CE298" s="5459"/>
      <c r="CF298" s="5459"/>
    </row>
    <row r="299" spans="1:84" s="698" customFormat="1" ht="17.600000000000001" x14ac:dyDescent="0.55000000000000004">
      <c r="A299" s="7347"/>
      <c r="B299" s="5480"/>
      <c r="C299" s="804" t="s">
        <v>228</v>
      </c>
      <c r="D299" s="5484">
        <v>71</v>
      </c>
      <c r="E299" s="5485">
        <v>85</v>
      </c>
      <c r="F299" s="5485">
        <v>106</v>
      </c>
      <c r="G299" s="5485">
        <v>58</v>
      </c>
      <c r="H299" s="5485">
        <v>101</v>
      </c>
      <c r="I299" s="5485">
        <v>105</v>
      </c>
      <c r="J299" s="5485">
        <v>103</v>
      </c>
      <c r="K299" s="5485">
        <v>82</v>
      </c>
      <c r="L299" s="5485">
        <v>80</v>
      </c>
      <c r="M299" s="5485">
        <v>45</v>
      </c>
      <c r="N299" s="5485">
        <v>48</v>
      </c>
      <c r="O299" s="5485">
        <v>39</v>
      </c>
      <c r="P299" s="5485">
        <f t="shared" si="332"/>
        <v>923</v>
      </c>
      <c r="Q299" s="5486">
        <f t="shared" si="333"/>
        <v>76.916666666666671</v>
      </c>
      <c r="R299" s="5479"/>
      <c r="S299" s="5484">
        <v>56</v>
      </c>
      <c r="T299" s="5485">
        <v>41</v>
      </c>
      <c r="U299" s="5485">
        <v>58</v>
      </c>
      <c r="V299" s="5485">
        <v>65</v>
      </c>
      <c r="W299" s="5485">
        <v>37</v>
      </c>
      <c r="X299" s="5485">
        <v>48</v>
      </c>
      <c r="Y299" s="5485">
        <v>47</v>
      </c>
      <c r="Z299" s="5485">
        <v>70</v>
      </c>
      <c r="AA299" s="5485">
        <v>77</v>
      </c>
      <c r="AB299" s="5485">
        <v>61</v>
      </c>
      <c r="AC299" s="5485">
        <v>60</v>
      </c>
      <c r="AD299" s="5485">
        <v>87</v>
      </c>
      <c r="AE299" s="5485">
        <f t="shared" si="334"/>
        <v>707</v>
      </c>
      <c r="AF299" s="5486">
        <f t="shared" si="335"/>
        <v>58.916666666666664</v>
      </c>
      <c r="AG299" s="5479"/>
      <c r="AH299" s="5484">
        <v>54</v>
      </c>
      <c r="AI299" s="5485">
        <v>67</v>
      </c>
      <c r="AJ299" s="5485">
        <v>72</v>
      </c>
      <c r="AK299" s="5485">
        <v>77</v>
      </c>
      <c r="AL299" s="5485">
        <v>71</v>
      </c>
      <c r="AM299" s="5485">
        <v>97</v>
      </c>
      <c r="AN299" s="5485">
        <v>85</v>
      </c>
      <c r="AO299" s="5485">
        <v>81</v>
      </c>
      <c r="AP299" s="5485">
        <v>98</v>
      </c>
      <c r="AQ299" s="5485">
        <v>74</v>
      </c>
      <c r="AR299" s="5485">
        <v>91</v>
      </c>
      <c r="AS299" s="5485">
        <v>80</v>
      </c>
      <c r="AT299" s="5485">
        <f t="shared" si="341"/>
        <v>947</v>
      </c>
      <c r="AU299" s="5486">
        <f t="shared" si="338"/>
        <v>78.916666666666671</v>
      </c>
      <c r="AW299" s="5484">
        <v>77</v>
      </c>
      <c r="AX299" s="5485">
        <v>65</v>
      </c>
      <c r="AY299" s="5485">
        <v>99</v>
      </c>
      <c r="AZ299" s="5485">
        <v>73</v>
      </c>
      <c r="BA299" s="5485">
        <v>58</v>
      </c>
      <c r="BB299" s="5485">
        <v>115</v>
      </c>
      <c r="BC299" s="5485">
        <v>108</v>
      </c>
      <c r="BD299" s="5485">
        <v>98</v>
      </c>
      <c r="BE299" s="5485">
        <v>76</v>
      </c>
      <c r="BF299" s="5485">
        <v>90</v>
      </c>
      <c r="BG299" s="5485">
        <v>91</v>
      </c>
      <c r="BH299" s="5485">
        <v>65</v>
      </c>
      <c r="BI299" s="5485">
        <f t="shared" si="330"/>
        <v>1015</v>
      </c>
      <c r="BJ299" s="5486">
        <f t="shared" si="336"/>
        <v>84.583333333333329</v>
      </c>
      <c r="BL299" s="5484">
        <v>74</v>
      </c>
      <c r="BM299" s="5485">
        <v>112</v>
      </c>
      <c r="BN299" s="5485"/>
      <c r="BO299" s="5485"/>
      <c r="BP299" s="5485"/>
      <c r="BQ299" s="5485"/>
      <c r="BR299" s="5485"/>
      <c r="BS299" s="5485"/>
      <c r="BT299" s="5485"/>
      <c r="BU299" s="5485"/>
      <c r="BV299" s="5485"/>
      <c r="BW299" s="5485"/>
      <c r="BX299" s="5485">
        <f t="shared" si="331"/>
        <v>186</v>
      </c>
      <c r="BY299" s="5486">
        <f t="shared" si="337"/>
        <v>93</v>
      </c>
      <c r="CA299" s="169">
        <f t="shared" si="339"/>
        <v>47</v>
      </c>
      <c r="CB299" s="169">
        <f t="shared" si="342"/>
        <v>5.6666666666666572</v>
      </c>
      <c r="CC299" s="169">
        <f>IFERROR(
  SUM(
    _xlfn.XLOOKUP(DATE(YEAR($A$1),1,1),$2:$2,299:299):
    _xlfn.XLOOKUP($A$1,$2:$2,299:299)
  )
 -SUM(
    _xlfn.XLOOKUP(DATE(YEAR($A$1)-1,1,1),$2:$2,299:299):
    _xlfn.XLOOKUP(EDATE($A$1,-12),$2:$2,299:299)
  ),"")</f>
        <v>44</v>
      </c>
      <c r="CD299" s="4517">
        <f t="shared" si="340"/>
        <v>38</v>
      </c>
      <c r="CE299" s="5459"/>
      <c r="CF299" s="5459"/>
    </row>
    <row r="300" spans="1:84" s="698" customFormat="1" ht="17.600000000000001" x14ac:dyDescent="0.55000000000000004">
      <c r="A300" s="7347"/>
      <c r="B300" s="5480"/>
      <c r="C300" s="681" t="s">
        <v>229</v>
      </c>
      <c r="D300" s="5481">
        <v>28</v>
      </c>
      <c r="E300" s="5482">
        <v>48</v>
      </c>
      <c r="F300" s="5482">
        <v>71</v>
      </c>
      <c r="G300" s="5482">
        <v>66</v>
      </c>
      <c r="H300" s="5482">
        <v>54</v>
      </c>
      <c r="I300" s="5482">
        <v>44</v>
      </c>
      <c r="J300" s="5482">
        <v>66</v>
      </c>
      <c r="K300" s="5482">
        <v>69</v>
      </c>
      <c r="L300" s="5482">
        <v>97</v>
      </c>
      <c r="M300" s="5482">
        <v>83</v>
      </c>
      <c r="N300" s="5482">
        <v>83</v>
      </c>
      <c r="O300" s="5482">
        <v>75</v>
      </c>
      <c r="P300" s="5482">
        <f t="shared" si="332"/>
        <v>784</v>
      </c>
      <c r="Q300" s="5483">
        <f t="shared" si="333"/>
        <v>65.333333333333329</v>
      </c>
      <c r="R300" s="5479"/>
      <c r="S300" s="5481">
        <v>57</v>
      </c>
      <c r="T300" s="5482">
        <v>61</v>
      </c>
      <c r="U300" s="5482">
        <v>82</v>
      </c>
      <c r="V300" s="5482">
        <v>91</v>
      </c>
      <c r="W300" s="5482">
        <v>53</v>
      </c>
      <c r="X300" s="5482">
        <v>80</v>
      </c>
      <c r="Y300" s="5482">
        <v>61</v>
      </c>
      <c r="Z300" s="5482">
        <v>52</v>
      </c>
      <c r="AA300" s="5482">
        <v>67</v>
      </c>
      <c r="AB300" s="5482">
        <v>79</v>
      </c>
      <c r="AC300" s="5482">
        <v>69</v>
      </c>
      <c r="AD300" s="5482">
        <v>68</v>
      </c>
      <c r="AE300" s="5482">
        <f t="shared" si="334"/>
        <v>820</v>
      </c>
      <c r="AF300" s="5483">
        <f t="shared" si="335"/>
        <v>68.333333333333329</v>
      </c>
      <c r="AG300" s="5479"/>
      <c r="AH300" s="5481">
        <v>37</v>
      </c>
      <c r="AI300" s="5482">
        <v>69</v>
      </c>
      <c r="AJ300" s="5482">
        <v>59</v>
      </c>
      <c r="AK300" s="5482">
        <v>100</v>
      </c>
      <c r="AL300" s="5482">
        <v>90</v>
      </c>
      <c r="AM300" s="5482">
        <v>112</v>
      </c>
      <c r="AN300" s="5482">
        <v>105</v>
      </c>
      <c r="AO300" s="5482">
        <v>98</v>
      </c>
      <c r="AP300" s="5482">
        <v>72</v>
      </c>
      <c r="AQ300" s="5482">
        <v>96</v>
      </c>
      <c r="AR300" s="5482">
        <v>93</v>
      </c>
      <c r="AS300" s="5482">
        <v>105</v>
      </c>
      <c r="AT300" s="5482">
        <f t="shared" si="341"/>
        <v>1036</v>
      </c>
      <c r="AU300" s="5483">
        <f t="shared" si="338"/>
        <v>86.333333333333329</v>
      </c>
      <c r="AW300" s="5481">
        <v>111</v>
      </c>
      <c r="AX300" s="5482">
        <v>102</v>
      </c>
      <c r="AY300" s="5482">
        <v>123</v>
      </c>
      <c r="AZ300" s="5482">
        <v>99</v>
      </c>
      <c r="BA300" s="5482">
        <v>61</v>
      </c>
      <c r="BB300" s="5482">
        <v>148</v>
      </c>
      <c r="BC300" s="5482">
        <v>160</v>
      </c>
      <c r="BD300" s="5482">
        <v>142</v>
      </c>
      <c r="BE300" s="5482">
        <v>103</v>
      </c>
      <c r="BF300" s="5482">
        <v>99</v>
      </c>
      <c r="BG300" s="5482">
        <v>106</v>
      </c>
      <c r="BH300" s="5482">
        <v>87</v>
      </c>
      <c r="BI300" s="5482">
        <f t="shared" si="330"/>
        <v>1341</v>
      </c>
      <c r="BJ300" s="5483">
        <f t="shared" si="336"/>
        <v>111.75</v>
      </c>
      <c r="BL300" s="5481">
        <v>102</v>
      </c>
      <c r="BM300" s="5482">
        <v>129</v>
      </c>
      <c r="BN300" s="5482"/>
      <c r="BO300" s="5482"/>
      <c r="BP300" s="5482"/>
      <c r="BQ300" s="5482"/>
      <c r="BR300" s="5482"/>
      <c r="BS300" s="5482"/>
      <c r="BT300" s="5482"/>
      <c r="BU300" s="5482"/>
      <c r="BV300" s="5482"/>
      <c r="BW300" s="5482"/>
      <c r="BX300" s="5482">
        <f t="shared" si="331"/>
        <v>231</v>
      </c>
      <c r="BY300" s="5483">
        <f t="shared" si="337"/>
        <v>115.5</v>
      </c>
      <c r="CA300" s="169">
        <f t="shared" si="339"/>
        <v>27</v>
      </c>
      <c r="CB300" s="169">
        <f t="shared" si="342"/>
        <v>25.416666666666671</v>
      </c>
      <c r="CC300" s="169">
        <f>IFERROR(
  SUM(
    _xlfn.XLOOKUP(DATE(YEAR($A$1),1,1),$2:$2,300:300):
    _xlfn.XLOOKUP($A$1,$2:$2,300:300)
  )
 -SUM(
    _xlfn.XLOOKUP(DATE(YEAR($A$1)-1,1,1),$2:$2,300:300):
    _xlfn.XLOOKUP(EDATE($A$1,-12),$2:$2,300:300)
  ),"")</f>
        <v>18</v>
      </c>
      <c r="CD300" s="4517">
        <f t="shared" si="340"/>
        <v>27</v>
      </c>
      <c r="CE300" s="5459"/>
      <c r="CF300" s="5459"/>
    </row>
    <row r="301" spans="1:84" s="698" customFormat="1" ht="17.600000000000001" x14ac:dyDescent="0.55000000000000004">
      <c r="A301" s="7347"/>
      <c r="B301" s="5480"/>
      <c r="C301" s="681" t="s">
        <v>230</v>
      </c>
      <c r="D301" s="5481">
        <v>43</v>
      </c>
      <c r="E301" s="5482">
        <v>40</v>
      </c>
      <c r="F301" s="5482">
        <v>53</v>
      </c>
      <c r="G301" s="5482">
        <v>46</v>
      </c>
      <c r="H301" s="5482">
        <v>70</v>
      </c>
      <c r="I301" s="5482">
        <v>63</v>
      </c>
      <c r="J301" s="5482">
        <v>47</v>
      </c>
      <c r="K301" s="5482">
        <v>39</v>
      </c>
      <c r="L301" s="5482">
        <v>70</v>
      </c>
      <c r="M301" s="5482">
        <v>48</v>
      </c>
      <c r="N301" s="5482">
        <v>48</v>
      </c>
      <c r="O301" s="5482">
        <v>55</v>
      </c>
      <c r="P301" s="5482">
        <f t="shared" si="332"/>
        <v>622</v>
      </c>
      <c r="Q301" s="5483">
        <f t="shared" si="333"/>
        <v>51.833333333333336</v>
      </c>
      <c r="R301" s="5479"/>
      <c r="S301" s="5481">
        <v>25</v>
      </c>
      <c r="T301" s="5482">
        <v>54</v>
      </c>
      <c r="U301" s="5482">
        <v>49</v>
      </c>
      <c r="V301" s="5482">
        <v>54</v>
      </c>
      <c r="W301" s="5482">
        <v>49</v>
      </c>
      <c r="X301" s="5482">
        <v>60</v>
      </c>
      <c r="Y301" s="5482">
        <v>58</v>
      </c>
      <c r="Z301" s="5482">
        <v>46</v>
      </c>
      <c r="AA301" s="5482">
        <v>44</v>
      </c>
      <c r="AB301" s="5482">
        <v>37</v>
      </c>
      <c r="AC301" s="5482">
        <v>93</v>
      </c>
      <c r="AD301" s="5482">
        <v>50</v>
      </c>
      <c r="AE301" s="5482">
        <f t="shared" si="334"/>
        <v>619</v>
      </c>
      <c r="AF301" s="5483">
        <f t="shared" si="335"/>
        <v>51.583333333333336</v>
      </c>
      <c r="AG301" s="5479"/>
      <c r="AH301" s="5481">
        <v>37</v>
      </c>
      <c r="AI301" s="5482">
        <v>56</v>
      </c>
      <c r="AJ301" s="5482">
        <v>52</v>
      </c>
      <c r="AK301" s="5482">
        <v>68</v>
      </c>
      <c r="AL301" s="5482">
        <v>49</v>
      </c>
      <c r="AM301" s="5482">
        <v>57</v>
      </c>
      <c r="AN301" s="5482">
        <v>59</v>
      </c>
      <c r="AO301" s="5482">
        <v>50</v>
      </c>
      <c r="AP301" s="5482">
        <v>64</v>
      </c>
      <c r="AQ301" s="5482">
        <v>53</v>
      </c>
      <c r="AR301" s="5482">
        <v>46</v>
      </c>
      <c r="AS301" s="5482">
        <v>63</v>
      </c>
      <c r="AT301" s="5482">
        <f t="shared" si="341"/>
        <v>654</v>
      </c>
      <c r="AU301" s="5483">
        <f t="shared" si="338"/>
        <v>54.5</v>
      </c>
      <c r="AW301" s="5481">
        <v>42</v>
      </c>
      <c r="AX301" s="5482">
        <v>59</v>
      </c>
      <c r="AY301" s="5482">
        <v>63</v>
      </c>
      <c r="AZ301" s="5482">
        <v>73</v>
      </c>
      <c r="BA301" s="5482">
        <v>36</v>
      </c>
      <c r="BB301" s="5482">
        <v>86</v>
      </c>
      <c r="BC301" s="5482">
        <v>76</v>
      </c>
      <c r="BD301" s="5482">
        <v>90</v>
      </c>
      <c r="BE301" s="5482">
        <v>51</v>
      </c>
      <c r="BF301" s="5482">
        <v>67</v>
      </c>
      <c r="BG301" s="5482">
        <v>70</v>
      </c>
      <c r="BH301" s="5482">
        <v>60</v>
      </c>
      <c r="BI301" s="5482">
        <f t="shared" si="330"/>
        <v>773</v>
      </c>
      <c r="BJ301" s="5483">
        <f t="shared" si="336"/>
        <v>64.416666666666671</v>
      </c>
      <c r="BL301" s="5481">
        <v>57</v>
      </c>
      <c r="BM301" s="5482">
        <v>103</v>
      </c>
      <c r="BN301" s="5482"/>
      <c r="BO301" s="5482"/>
      <c r="BP301" s="5482"/>
      <c r="BQ301" s="5482"/>
      <c r="BR301" s="5482"/>
      <c r="BS301" s="5482"/>
      <c r="BT301" s="5482"/>
      <c r="BU301" s="5482"/>
      <c r="BV301" s="5482"/>
      <c r="BW301" s="5482"/>
      <c r="BX301" s="5482">
        <f t="shared" si="331"/>
        <v>160</v>
      </c>
      <c r="BY301" s="5483">
        <f t="shared" si="337"/>
        <v>80</v>
      </c>
      <c r="CA301" s="169">
        <f t="shared" si="339"/>
        <v>44</v>
      </c>
      <c r="CB301" s="169">
        <f t="shared" si="342"/>
        <v>9.9166666666666714</v>
      </c>
      <c r="CC301" s="169">
        <f>IFERROR(
  SUM(
    _xlfn.XLOOKUP(DATE(YEAR($A$1),1,1),$2:$2,301:301):
    _xlfn.XLOOKUP($A$1,$2:$2,301:301)
  )
 -SUM(
    _xlfn.XLOOKUP(DATE(YEAR($A$1)-1,1,1),$2:$2,301:301):
    _xlfn.XLOOKUP(EDATE($A$1,-12),$2:$2,301:301)
  ),"")</f>
        <v>59</v>
      </c>
      <c r="CD301" s="4517">
        <f t="shared" si="340"/>
        <v>46</v>
      </c>
      <c r="CE301" s="5459"/>
      <c r="CF301" s="5459"/>
    </row>
    <row r="302" spans="1:84" s="698" customFormat="1" ht="17.600000000000001" x14ac:dyDescent="0.55000000000000004">
      <c r="A302" s="7347"/>
      <c r="B302" s="5480"/>
      <c r="C302" s="804" t="s">
        <v>231</v>
      </c>
      <c r="D302" s="5484">
        <v>46</v>
      </c>
      <c r="E302" s="5485">
        <v>45</v>
      </c>
      <c r="F302" s="5485">
        <v>67</v>
      </c>
      <c r="G302" s="5485">
        <v>49</v>
      </c>
      <c r="H302" s="5485">
        <v>47</v>
      </c>
      <c r="I302" s="5485">
        <v>56</v>
      </c>
      <c r="J302" s="5485">
        <v>71</v>
      </c>
      <c r="K302" s="5485">
        <v>64</v>
      </c>
      <c r="L302" s="5485">
        <v>92</v>
      </c>
      <c r="M302" s="5485">
        <v>63</v>
      </c>
      <c r="N302" s="5485">
        <v>62</v>
      </c>
      <c r="O302" s="5485">
        <v>78</v>
      </c>
      <c r="P302" s="5485">
        <f t="shared" si="332"/>
        <v>740</v>
      </c>
      <c r="Q302" s="5486">
        <f t="shared" si="333"/>
        <v>61.666666666666664</v>
      </c>
      <c r="R302" s="5479"/>
      <c r="S302" s="5484">
        <v>82</v>
      </c>
      <c r="T302" s="5485">
        <v>68</v>
      </c>
      <c r="U302" s="5485">
        <v>87</v>
      </c>
      <c r="V302" s="5485">
        <v>83</v>
      </c>
      <c r="W302" s="5485">
        <v>78</v>
      </c>
      <c r="X302" s="5485">
        <v>83</v>
      </c>
      <c r="Y302" s="5485">
        <v>88</v>
      </c>
      <c r="Z302" s="5485">
        <v>60</v>
      </c>
      <c r="AA302" s="5485">
        <v>86</v>
      </c>
      <c r="AB302" s="5485">
        <v>73</v>
      </c>
      <c r="AC302" s="5485">
        <v>68</v>
      </c>
      <c r="AD302" s="5485">
        <v>87</v>
      </c>
      <c r="AE302" s="5485">
        <f t="shared" si="334"/>
        <v>943</v>
      </c>
      <c r="AF302" s="5486">
        <f t="shared" si="335"/>
        <v>78.583333333333329</v>
      </c>
      <c r="AG302" s="5479"/>
      <c r="AH302" s="5484">
        <v>55</v>
      </c>
      <c r="AI302" s="5485">
        <v>82</v>
      </c>
      <c r="AJ302" s="5485">
        <v>72</v>
      </c>
      <c r="AK302" s="5485">
        <v>65</v>
      </c>
      <c r="AL302" s="5485">
        <v>71</v>
      </c>
      <c r="AM302" s="5485">
        <v>88</v>
      </c>
      <c r="AN302" s="5485">
        <v>71</v>
      </c>
      <c r="AO302" s="5485">
        <v>101</v>
      </c>
      <c r="AP302" s="5485">
        <v>62</v>
      </c>
      <c r="AQ302" s="5485">
        <v>64</v>
      </c>
      <c r="AR302" s="5485">
        <v>72</v>
      </c>
      <c r="AS302" s="5485">
        <v>77</v>
      </c>
      <c r="AT302" s="5485">
        <f t="shared" si="341"/>
        <v>880</v>
      </c>
      <c r="AU302" s="5486">
        <f t="shared" si="338"/>
        <v>73.333333333333329</v>
      </c>
      <c r="AW302" s="5484">
        <v>72</v>
      </c>
      <c r="AX302" s="5485">
        <v>62</v>
      </c>
      <c r="AY302" s="5485">
        <v>79</v>
      </c>
      <c r="AZ302" s="5485">
        <v>78</v>
      </c>
      <c r="BA302" s="5485">
        <v>53</v>
      </c>
      <c r="BB302" s="5485">
        <v>106</v>
      </c>
      <c r="BC302" s="5485">
        <v>81</v>
      </c>
      <c r="BD302" s="5485">
        <v>103</v>
      </c>
      <c r="BE302" s="5485">
        <v>64</v>
      </c>
      <c r="BF302" s="5485">
        <v>79</v>
      </c>
      <c r="BG302" s="5485">
        <v>66</v>
      </c>
      <c r="BH302" s="5485">
        <v>74</v>
      </c>
      <c r="BI302" s="5485">
        <f t="shared" si="330"/>
        <v>917</v>
      </c>
      <c r="BJ302" s="5486">
        <f t="shared" si="336"/>
        <v>76.416666666666671</v>
      </c>
      <c r="BL302" s="5484">
        <v>82</v>
      </c>
      <c r="BM302" s="5485">
        <v>80</v>
      </c>
      <c r="BN302" s="5485"/>
      <c r="BO302" s="5485"/>
      <c r="BP302" s="5485"/>
      <c r="BQ302" s="5485"/>
      <c r="BR302" s="5485"/>
      <c r="BS302" s="5485"/>
      <c r="BT302" s="5485"/>
      <c r="BU302" s="5485"/>
      <c r="BV302" s="5485"/>
      <c r="BW302" s="5485"/>
      <c r="BX302" s="5485">
        <f t="shared" si="331"/>
        <v>162</v>
      </c>
      <c r="BY302" s="5486">
        <f t="shared" si="337"/>
        <v>81</v>
      </c>
      <c r="CA302" s="169">
        <f t="shared" si="339"/>
        <v>18</v>
      </c>
      <c r="CB302" s="169">
        <f t="shared" si="342"/>
        <v>3.0833333333333428</v>
      </c>
      <c r="CC302" s="169">
        <f>IFERROR(
  SUM(
    _xlfn.XLOOKUP(DATE(YEAR($A$1),1,1),$2:$2,302:302):
    _xlfn.XLOOKUP($A$1,$2:$2,302:302)
  )
 -SUM(
    _xlfn.XLOOKUP(DATE(YEAR($A$1)-1,1,1),$2:$2,302:302):
    _xlfn.XLOOKUP(EDATE($A$1,-12),$2:$2,302:302)
  ),"")</f>
        <v>28</v>
      </c>
      <c r="CD302" s="4517">
        <f t="shared" si="340"/>
        <v>-2</v>
      </c>
      <c r="CE302" s="5459"/>
      <c r="CF302" s="5459"/>
    </row>
    <row r="303" spans="1:84" s="698" customFormat="1" ht="18" thickBot="1" x14ac:dyDescent="0.6">
      <c r="A303" s="7388"/>
      <c r="B303" s="5491"/>
      <c r="C303" s="5492" t="s">
        <v>232</v>
      </c>
      <c r="D303" s="5493">
        <v>57</v>
      </c>
      <c r="E303" s="5494">
        <v>52</v>
      </c>
      <c r="F303" s="5494">
        <v>65</v>
      </c>
      <c r="G303" s="5494">
        <v>73</v>
      </c>
      <c r="H303" s="5494">
        <v>52</v>
      </c>
      <c r="I303" s="5494">
        <v>60</v>
      </c>
      <c r="J303" s="5494">
        <v>80</v>
      </c>
      <c r="K303" s="5494">
        <v>66</v>
      </c>
      <c r="L303" s="5494">
        <v>59</v>
      </c>
      <c r="M303" s="5494">
        <v>59</v>
      </c>
      <c r="N303" s="5494">
        <v>64</v>
      </c>
      <c r="O303" s="5494">
        <v>62</v>
      </c>
      <c r="P303" s="5494">
        <f t="shared" si="332"/>
        <v>749</v>
      </c>
      <c r="Q303" s="5495">
        <f t="shared" si="333"/>
        <v>62.416666666666664</v>
      </c>
      <c r="R303" s="5479"/>
      <c r="S303" s="5493">
        <v>39</v>
      </c>
      <c r="T303" s="5494">
        <v>59</v>
      </c>
      <c r="U303" s="5494">
        <v>53</v>
      </c>
      <c r="V303" s="5494">
        <v>69</v>
      </c>
      <c r="W303" s="5494">
        <v>53</v>
      </c>
      <c r="X303" s="5494">
        <v>62</v>
      </c>
      <c r="Y303" s="5494">
        <v>41</v>
      </c>
      <c r="Z303" s="5494">
        <v>46</v>
      </c>
      <c r="AA303" s="5494">
        <v>69</v>
      </c>
      <c r="AB303" s="5494">
        <v>29</v>
      </c>
      <c r="AC303" s="5494">
        <v>43</v>
      </c>
      <c r="AD303" s="5494">
        <v>39</v>
      </c>
      <c r="AE303" s="5494">
        <f t="shared" si="334"/>
        <v>602</v>
      </c>
      <c r="AF303" s="5495">
        <f t="shared" si="335"/>
        <v>50.166666666666664</v>
      </c>
      <c r="AG303" s="5479"/>
      <c r="AH303" s="5493">
        <v>29</v>
      </c>
      <c r="AI303" s="5494">
        <v>97</v>
      </c>
      <c r="AJ303" s="5494">
        <v>59</v>
      </c>
      <c r="AK303" s="5494">
        <v>61</v>
      </c>
      <c r="AL303" s="5494">
        <v>72</v>
      </c>
      <c r="AM303" s="5494">
        <v>56</v>
      </c>
      <c r="AN303" s="5494">
        <v>52</v>
      </c>
      <c r="AO303" s="5494">
        <v>73</v>
      </c>
      <c r="AP303" s="5494">
        <v>54</v>
      </c>
      <c r="AQ303" s="5494">
        <v>48</v>
      </c>
      <c r="AR303" s="5494">
        <v>54</v>
      </c>
      <c r="AS303" s="5494">
        <v>69</v>
      </c>
      <c r="AT303" s="5494">
        <f t="shared" si="341"/>
        <v>724</v>
      </c>
      <c r="AU303" s="5495">
        <f t="shared" si="338"/>
        <v>60.333333333333336</v>
      </c>
      <c r="AW303" s="5493">
        <v>70</v>
      </c>
      <c r="AX303" s="5494">
        <v>44</v>
      </c>
      <c r="AY303" s="5494">
        <v>74</v>
      </c>
      <c r="AZ303" s="5494">
        <v>43</v>
      </c>
      <c r="BA303" s="5494">
        <v>58</v>
      </c>
      <c r="BB303" s="5494">
        <v>78</v>
      </c>
      <c r="BC303" s="5494">
        <v>64</v>
      </c>
      <c r="BD303" s="5494">
        <v>56</v>
      </c>
      <c r="BE303" s="5494">
        <v>52</v>
      </c>
      <c r="BF303" s="5494">
        <v>39</v>
      </c>
      <c r="BG303" s="5494">
        <v>32</v>
      </c>
      <c r="BH303" s="5494">
        <v>53</v>
      </c>
      <c r="BI303" s="5494">
        <f t="shared" si="330"/>
        <v>663</v>
      </c>
      <c r="BJ303" s="5495">
        <f t="shared" si="336"/>
        <v>55.25</v>
      </c>
      <c r="BL303" s="5493">
        <v>41</v>
      </c>
      <c r="BM303" s="5494">
        <v>63</v>
      </c>
      <c r="BN303" s="5494"/>
      <c r="BO303" s="5494"/>
      <c r="BP303" s="5494"/>
      <c r="BQ303" s="5494"/>
      <c r="BR303" s="5494"/>
      <c r="BS303" s="5494"/>
      <c r="BT303" s="5494"/>
      <c r="BU303" s="5494"/>
      <c r="BV303" s="5494"/>
      <c r="BW303" s="5494"/>
      <c r="BX303" s="5494">
        <f t="shared" si="331"/>
        <v>104</v>
      </c>
      <c r="BY303" s="5495">
        <f t="shared" si="337"/>
        <v>52</v>
      </c>
      <c r="CA303" s="169">
        <f t="shared" si="339"/>
        <v>19</v>
      </c>
      <c r="CB303" s="169">
        <f t="shared" si="342"/>
        <v>-5.0833333333333357</v>
      </c>
      <c r="CC303" s="169">
        <f>IFERROR(
  SUM(
    _xlfn.XLOOKUP(DATE(YEAR($A$1),1,1),$2:$2,303:303):
    _xlfn.XLOOKUP($A$1,$2:$2,303:303)
  )
 -SUM(
    _xlfn.XLOOKUP(DATE(YEAR($A$1)-1,1,1),$2:$2,303:303):
    _xlfn.XLOOKUP(EDATE($A$1,-12),$2:$2,303:303)
  ),"")</f>
        <v>-10</v>
      </c>
      <c r="CD303" s="4517">
        <f t="shared" si="340"/>
        <v>22</v>
      </c>
      <c r="CE303" s="5459"/>
      <c r="CF303" s="5459"/>
    </row>
    <row r="304" spans="1:84" ht="17.600000000000001" x14ac:dyDescent="0.55000000000000004">
      <c r="A304" s="7346" t="s">
        <v>50</v>
      </c>
      <c r="B304" s="5131" t="s">
        <v>249</v>
      </c>
      <c r="C304" s="5132"/>
      <c r="D304" s="5497">
        <v>-107</v>
      </c>
      <c r="E304" s="5498">
        <v>190</v>
      </c>
      <c r="F304" s="5498">
        <v>124</v>
      </c>
      <c r="G304" s="5498">
        <v>104</v>
      </c>
      <c r="H304" s="5498">
        <v>137</v>
      </c>
      <c r="I304" s="5498">
        <v>-62</v>
      </c>
      <c r="J304" s="5498">
        <v>-91</v>
      </c>
      <c r="K304" s="5498">
        <v>-37</v>
      </c>
      <c r="L304" s="5498">
        <v>-315</v>
      </c>
      <c r="M304" s="5498">
        <v>279</v>
      </c>
      <c r="N304" s="5498">
        <v>-207</v>
      </c>
      <c r="O304" s="5498">
        <v>-392</v>
      </c>
      <c r="P304" s="5498">
        <v>-377</v>
      </c>
      <c r="Q304" s="5499">
        <v>-31.416666666666629</v>
      </c>
      <c r="R304" s="2776"/>
      <c r="S304" s="5497">
        <v>249</v>
      </c>
      <c r="T304" s="5498">
        <v>196</v>
      </c>
      <c r="U304" s="5498">
        <v>-51</v>
      </c>
      <c r="V304" s="5498">
        <v>-259</v>
      </c>
      <c r="W304" s="5498">
        <v>-112</v>
      </c>
      <c r="X304" s="5498">
        <v>-179</v>
      </c>
      <c r="Y304" s="5498">
        <v>-80</v>
      </c>
      <c r="Z304" s="5498">
        <v>390</v>
      </c>
      <c r="AA304" s="5498">
        <v>-353</v>
      </c>
      <c r="AB304" s="5498">
        <v>234</v>
      </c>
      <c r="AC304" s="5498">
        <v>-206</v>
      </c>
      <c r="AD304" s="5498">
        <v>-320</v>
      </c>
      <c r="AE304" s="5498">
        <v>-491</v>
      </c>
      <c r="AF304" s="5499">
        <v>-40.916666666666629</v>
      </c>
      <c r="AG304" s="5281"/>
      <c r="AH304" s="5497">
        <v>495</v>
      </c>
      <c r="AI304" s="5498">
        <v>-337</v>
      </c>
      <c r="AJ304" s="5498">
        <v>178</v>
      </c>
      <c r="AK304" s="5498">
        <v>67</v>
      </c>
      <c r="AL304" s="5498">
        <v>70</v>
      </c>
      <c r="AM304" s="5498">
        <v>-7</v>
      </c>
      <c r="AN304" s="5498">
        <v>-33</v>
      </c>
      <c r="AO304" s="5498">
        <v>-216</v>
      </c>
      <c r="AP304" s="5498">
        <v>382</v>
      </c>
      <c r="AQ304" s="5498">
        <v>58</v>
      </c>
      <c r="AR304" s="5498">
        <v>-32</v>
      </c>
      <c r="AS304" s="5498">
        <v>-264</v>
      </c>
      <c r="AT304" s="5498">
        <f t="shared" si="341"/>
        <v>361</v>
      </c>
      <c r="AU304" s="5499">
        <f t="shared" si="338"/>
        <v>30.083333333333332</v>
      </c>
      <c r="AW304" s="5456">
        <v>-186</v>
      </c>
      <c r="AX304" s="5498">
        <v>721</v>
      </c>
      <c r="AY304" s="5498">
        <v>-252</v>
      </c>
      <c r="AZ304" s="5498">
        <v>42</v>
      </c>
      <c r="BA304" s="5498">
        <v>375</v>
      </c>
      <c r="BB304" s="5498">
        <v>-50</v>
      </c>
      <c r="BC304" s="5500">
        <v>37</v>
      </c>
      <c r="BD304" s="5500">
        <v>72</v>
      </c>
      <c r="BE304" s="5498">
        <v>128</v>
      </c>
      <c r="BF304" s="5498">
        <v>-4</v>
      </c>
      <c r="BG304" s="5500">
        <v>-3</v>
      </c>
      <c r="BH304" s="5498">
        <v>124</v>
      </c>
      <c r="BI304" s="5498">
        <f t="shared" si="330"/>
        <v>1004</v>
      </c>
      <c r="BJ304" s="5499">
        <f t="shared" si="336"/>
        <v>83.666666666666671</v>
      </c>
      <c r="BL304" s="5456">
        <v>341</v>
      </c>
      <c r="BM304" s="5498">
        <v>-695</v>
      </c>
      <c r="BN304" s="5498"/>
      <c r="BO304" s="5498"/>
      <c r="BP304" s="5498"/>
      <c r="BQ304" s="5498"/>
      <c r="BR304" s="5500"/>
      <c r="BS304" s="5500"/>
      <c r="BT304" s="5498"/>
      <c r="BU304" s="5498"/>
      <c r="BV304" s="5500"/>
      <c r="BW304" s="5498"/>
      <c r="BX304" s="5498">
        <f t="shared" si="331"/>
        <v>-354</v>
      </c>
      <c r="BY304" s="6458">
        <f t="shared" si="337"/>
        <v>-177</v>
      </c>
      <c r="CA304" s="169">
        <f t="shared" si="339"/>
        <v>-1416</v>
      </c>
      <c r="CB304" s="169">
        <f t="shared" si="342"/>
        <v>53.583333333333343</v>
      </c>
      <c r="CC304" s="169">
        <f>IFERROR(
  SUM(
    _xlfn.XLOOKUP(DATE(YEAR($A$1),1,1),$2:$2,304:304):
    _xlfn.XLOOKUP($A$1,$2:$2,304:304)
  )
 -SUM(
    _xlfn.XLOOKUP(DATE(YEAR($A$1)-1,1,1),$2:$2,304:304):
    _xlfn.XLOOKUP(EDATE($A$1,-12),$2:$2,304:304)
  ),"")</f>
        <v>-889</v>
      </c>
      <c r="CD304" s="4517">
        <f t="shared" si="340"/>
        <v>-1036</v>
      </c>
      <c r="CE304" s="5459"/>
      <c r="CF304" s="5459"/>
    </row>
    <row r="305" spans="1:84" ht="17.600000000000001" hidden="1" x14ac:dyDescent="0.55000000000000004">
      <c r="A305" s="7347"/>
      <c r="B305" s="5460"/>
      <c r="C305" s="786" t="s">
        <v>261</v>
      </c>
      <c r="D305" s="5501">
        <v>62</v>
      </c>
      <c r="E305" s="5502">
        <v>94</v>
      </c>
      <c r="F305" s="5502">
        <v>51</v>
      </c>
      <c r="G305" s="5502">
        <v>62</v>
      </c>
      <c r="H305" s="5502">
        <v>49</v>
      </c>
      <c r="I305" s="5502">
        <v>44</v>
      </c>
      <c r="J305" s="5502">
        <v>30</v>
      </c>
      <c r="K305" s="5502">
        <v>68</v>
      </c>
      <c r="L305" s="5502">
        <v>16</v>
      </c>
      <c r="M305" s="5502">
        <v>58</v>
      </c>
      <c r="N305" s="5502">
        <v>30</v>
      </c>
      <c r="O305" s="5502">
        <v>14</v>
      </c>
      <c r="P305" s="5502">
        <v>578</v>
      </c>
      <c r="Q305" s="5503">
        <v>48.166666666666664</v>
      </c>
      <c r="R305" s="2776"/>
      <c r="S305" s="5501">
        <v>34</v>
      </c>
      <c r="T305" s="5502">
        <v>51</v>
      </c>
      <c r="U305" s="5502">
        <v>17</v>
      </c>
      <c r="V305" s="5502">
        <v>27</v>
      </c>
      <c r="W305" s="5502">
        <v>13</v>
      </c>
      <c r="X305" s="5502">
        <v>18</v>
      </c>
      <c r="Y305" s="5502">
        <v>33</v>
      </c>
      <c r="Z305" s="5502">
        <v>145</v>
      </c>
      <c r="AA305" s="5502">
        <v>19</v>
      </c>
      <c r="AB305" s="5502">
        <v>47</v>
      </c>
      <c r="AC305" s="5502">
        <v>24</v>
      </c>
      <c r="AD305" s="5502">
        <v>18</v>
      </c>
      <c r="AE305" s="5502">
        <v>446</v>
      </c>
      <c r="AF305" s="5503">
        <v>37.166666666666664</v>
      </c>
      <c r="AG305" s="5281"/>
      <c r="AH305" s="5501">
        <v>88</v>
      </c>
      <c r="AI305" s="5502">
        <v>22</v>
      </c>
      <c r="AJ305" s="5502">
        <v>40</v>
      </c>
      <c r="AK305" s="5502">
        <v>33</v>
      </c>
      <c r="AL305" s="5502">
        <v>38</v>
      </c>
      <c r="AM305" s="5502">
        <v>35</v>
      </c>
      <c r="AN305" s="5502">
        <v>42</v>
      </c>
      <c r="AO305" s="5502">
        <v>36</v>
      </c>
      <c r="AP305" s="5502">
        <v>48</v>
      </c>
      <c r="AQ305" s="5502">
        <v>20</v>
      </c>
      <c r="AR305" s="5502">
        <v>45</v>
      </c>
      <c r="AS305" s="5502">
        <v>25</v>
      </c>
      <c r="AT305" s="5502">
        <f t="shared" si="341"/>
        <v>472</v>
      </c>
      <c r="AU305" s="5503">
        <f t="shared" si="338"/>
        <v>39.333333333333336</v>
      </c>
      <c r="AW305" s="5501"/>
      <c r="AX305" s="5502"/>
      <c r="AY305" s="5502"/>
      <c r="AZ305" s="5502"/>
      <c r="BA305" s="5502"/>
      <c r="BB305" s="5502">
        <v>90</v>
      </c>
      <c r="BC305" s="5504">
        <v>110</v>
      </c>
      <c r="BD305" s="5504">
        <v>68</v>
      </c>
      <c r="BE305" s="5502">
        <v>10</v>
      </c>
      <c r="BF305" s="5502"/>
      <c r="BG305" s="5504"/>
      <c r="BH305" s="5502">
        <v>61</v>
      </c>
      <c r="BI305" s="5502">
        <f t="shared" si="330"/>
        <v>339</v>
      </c>
      <c r="BJ305" s="5503">
        <f t="shared" si="336"/>
        <v>67.8</v>
      </c>
      <c r="BL305" s="5501">
        <v>101</v>
      </c>
      <c r="BM305" s="5502">
        <v>-110</v>
      </c>
      <c r="BN305" s="5502"/>
      <c r="BO305" s="5502"/>
      <c r="BP305" s="5502"/>
      <c r="BQ305" s="5502"/>
      <c r="BR305" s="5504"/>
      <c r="BS305" s="5504"/>
      <c r="BT305" s="5502"/>
      <c r="BU305" s="5502"/>
      <c r="BV305" s="5504"/>
      <c r="BW305" s="5502"/>
      <c r="BX305" s="5502">
        <f t="shared" si="331"/>
        <v>-9</v>
      </c>
      <c r="BY305" s="6459">
        <f t="shared" si="337"/>
        <v>-4.5</v>
      </c>
      <c r="CA305" s="169">
        <f t="shared" si="339"/>
        <v>-110</v>
      </c>
      <c r="CB305" s="169">
        <f t="shared" si="342"/>
        <v>28.466666666666661</v>
      </c>
      <c r="CC305" s="169">
        <f>IFERROR(
  SUM(
    _xlfn.XLOOKUP(DATE(YEAR($A$1),1,1),$2:$2,305:305):
    _xlfn.XLOOKUP($A$1,$2:$2,305:305)
  )
 -SUM(
    _xlfn.XLOOKUP(DATE(YEAR($A$1)-1,1,1),$2:$2,305:305):
    _xlfn.XLOOKUP(EDATE($A$1,-12),$2:$2,305:305)
  ),"")</f>
        <v>-9</v>
      </c>
      <c r="CD305" s="4517">
        <f t="shared" si="340"/>
        <v>-211</v>
      </c>
      <c r="CE305" s="5459"/>
      <c r="CF305" s="5459"/>
    </row>
    <row r="306" spans="1:84" ht="17.600000000000001" hidden="1" x14ac:dyDescent="0.55000000000000004">
      <c r="A306" s="7347"/>
      <c r="B306" s="5460"/>
      <c r="C306" s="786" t="s">
        <v>260</v>
      </c>
      <c r="D306" s="5501">
        <v>74</v>
      </c>
      <c r="E306" s="5502">
        <v>105</v>
      </c>
      <c r="F306" s="5502">
        <v>86</v>
      </c>
      <c r="G306" s="5502">
        <v>118</v>
      </c>
      <c r="H306" s="5502">
        <v>92</v>
      </c>
      <c r="I306" s="5502">
        <v>78</v>
      </c>
      <c r="J306" s="5502">
        <v>67</v>
      </c>
      <c r="K306" s="5502">
        <v>82</v>
      </c>
      <c r="L306" s="5502">
        <v>45</v>
      </c>
      <c r="M306" s="5502">
        <v>121</v>
      </c>
      <c r="N306" s="5502">
        <v>122</v>
      </c>
      <c r="O306" s="5502">
        <v>55</v>
      </c>
      <c r="P306" s="5502">
        <v>1045</v>
      </c>
      <c r="Q306" s="5503">
        <v>87.083333333333329</v>
      </c>
      <c r="R306" s="2776"/>
      <c r="S306" s="5501">
        <v>85</v>
      </c>
      <c r="T306" s="5502">
        <v>108</v>
      </c>
      <c r="U306" s="5502">
        <v>48</v>
      </c>
      <c r="V306" s="5502">
        <v>78</v>
      </c>
      <c r="W306" s="5502">
        <v>51</v>
      </c>
      <c r="X306" s="5502">
        <v>51</v>
      </c>
      <c r="Y306" s="5502">
        <v>59</v>
      </c>
      <c r="Z306" s="5502">
        <v>275</v>
      </c>
      <c r="AA306" s="5502">
        <v>42</v>
      </c>
      <c r="AB306" s="5502">
        <v>100</v>
      </c>
      <c r="AC306" s="5502">
        <v>52</v>
      </c>
      <c r="AD306" s="5502">
        <v>52</v>
      </c>
      <c r="AE306" s="5502">
        <v>1001</v>
      </c>
      <c r="AF306" s="5503">
        <v>83.416666666666671</v>
      </c>
      <c r="AG306" s="5281"/>
      <c r="AH306" s="5501">
        <v>178</v>
      </c>
      <c r="AI306" s="5502">
        <v>65</v>
      </c>
      <c r="AJ306" s="5502">
        <v>101</v>
      </c>
      <c r="AK306" s="5502">
        <v>80</v>
      </c>
      <c r="AL306" s="5502">
        <v>447</v>
      </c>
      <c r="AM306" s="5502">
        <v>63</v>
      </c>
      <c r="AN306" s="5502">
        <v>64</v>
      </c>
      <c r="AO306" s="5502">
        <v>57</v>
      </c>
      <c r="AP306" s="5502">
        <v>98</v>
      </c>
      <c r="AQ306" s="5502">
        <v>54</v>
      </c>
      <c r="AR306" s="5502">
        <v>61</v>
      </c>
      <c r="AS306" s="5502">
        <v>66</v>
      </c>
      <c r="AT306" s="5502">
        <f t="shared" si="341"/>
        <v>1334</v>
      </c>
      <c r="AU306" s="5503">
        <f t="shared" si="338"/>
        <v>111.16666666666667</v>
      </c>
      <c r="AW306" s="5501"/>
      <c r="AX306" s="5502"/>
      <c r="AY306" s="5502"/>
      <c r="AZ306" s="5502"/>
      <c r="BA306" s="5502"/>
      <c r="BB306" s="5502">
        <v>84</v>
      </c>
      <c r="BC306" s="5504">
        <v>77</v>
      </c>
      <c r="BD306" s="5504">
        <v>71</v>
      </c>
      <c r="BE306" s="5502">
        <v>-67</v>
      </c>
      <c r="BF306" s="5502"/>
      <c r="BG306" s="5504"/>
      <c r="BH306" s="5502">
        <v>32</v>
      </c>
      <c r="BI306" s="5502">
        <f t="shared" si="330"/>
        <v>197</v>
      </c>
      <c r="BJ306" s="5503">
        <f t="shared" si="336"/>
        <v>39.4</v>
      </c>
      <c r="BL306" s="5501">
        <v>60</v>
      </c>
      <c r="BM306" s="5502">
        <v>-117</v>
      </c>
      <c r="BN306" s="5502"/>
      <c r="BO306" s="5502"/>
      <c r="BP306" s="5502"/>
      <c r="BQ306" s="5502"/>
      <c r="BR306" s="5504"/>
      <c r="BS306" s="5504"/>
      <c r="BT306" s="5502"/>
      <c r="BU306" s="5502"/>
      <c r="BV306" s="5504"/>
      <c r="BW306" s="5502"/>
      <c r="BX306" s="5502">
        <f t="shared" si="331"/>
        <v>-57</v>
      </c>
      <c r="BY306" s="6459">
        <f t="shared" si="337"/>
        <v>-28.5</v>
      </c>
      <c r="CA306" s="169">
        <f t="shared" si="339"/>
        <v>-117</v>
      </c>
      <c r="CB306" s="169">
        <f t="shared" si="342"/>
        <v>-71.76666666666668</v>
      </c>
      <c r="CC306" s="169">
        <f>IFERROR(
  SUM(
    _xlfn.XLOOKUP(DATE(YEAR($A$1),1,1),$2:$2,306:306):
    _xlfn.XLOOKUP($A$1,$2:$2,306:306)
  )
 -SUM(
    _xlfn.XLOOKUP(DATE(YEAR($A$1)-1,1,1),$2:$2,306:306):
    _xlfn.XLOOKUP(EDATE($A$1,-12),$2:$2,306:306)
  ),"")</f>
        <v>-57</v>
      </c>
      <c r="CD306" s="4517">
        <f t="shared" si="340"/>
        <v>-177</v>
      </c>
      <c r="CE306" s="5459"/>
      <c r="CF306" s="5459"/>
    </row>
    <row r="307" spans="1:84" ht="17.600000000000001" hidden="1" x14ac:dyDescent="0.55000000000000004">
      <c r="A307" s="7347"/>
      <c r="B307" s="5460"/>
      <c r="C307" s="786" t="s">
        <v>259</v>
      </c>
      <c r="D307" s="5501">
        <v>623</v>
      </c>
      <c r="E307" s="5502">
        <v>635</v>
      </c>
      <c r="F307" s="5502">
        <v>671</v>
      </c>
      <c r="G307" s="5502">
        <v>643</v>
      </c>
      <c r="H307" s="5502">
        <v>687</v>
      </c>
      <c r="I307" s="5502">
        <v>607</v>
      </c>
      <c r="J307" s="5502">
        <v>606</v>
      </c>
      <c r="K307" s="5502">
        <v>587</v>
      </c>
      <c r="L307" s="5502">
        <v>572</v>
      </c>
      <c r="M307" s="5502">
        <v>766</v>
      </c>
      <c r="N307" s="5502">
        <v>678</v>
      </c>
      <c r="O307" s="5502">
        <v>630</v>
      </c>
      <c r="P307" s="5502">
        <v>7705</v>
      </c>
      <c r="Q307" s="5503">
        <v>642.08333333333337</v>
      </c>
      <c r="R307" s="2776"/>
      <c r="S307" s="5501">
        <v>857</v>
      </c>
      <c r="T307" s="5502">
        <v>775</v>
      </c>
      <c r="U307" s="5502">
        <v>631</v>
      </c>
      <c r="V307" s="5502">
        <v>620</v>
      </c>
      <c r="W307" s="5502">
        <v>631</v>
      </c>
      <c r="X307" s="5502">
        <v>562</v>
      </c>
      <c r="Y307" s="5502">
        <v>605</v>
      </c>
      <c r="Z307" s="5502">
        <v>442</v>
      </c>
      <c r="AA307" s="5502">
        <v>451</v>
      </c>
      <c r="AB307" s="5502">
        <v>597</v>
      </c>
      <c r="AC307" s="5502">
        <v>513</v>
      </c>
      <c r="AD307" s="5502">
        <v>512</v>
      </c>
      <c r="AE307" s="5502">
        <v>7196</v>
      </c>
      <c r="AF307" s="5503">
        <v>599.66666666666663</v>
      </c>
      <c r="AG307" s="5281"/>
      <c r="AH307" s="5501">
        <v>814</v>
      </c>
      <c r="AI307" s="5502">
        <v>475</v>
      </c>
      <c r="AJ307" s="5502">
        <v>636</v>
      </c>
      <c r="AK307" s="5502">
        <v>556</v>
      </c>
      <c r="AL307" s="5502">
        <v>180</v>
      </c>
      <c r="AM307" s="5502">
        <v>509</v>
      </c>
      <c r="AN307" s="5502">
        <v>479</v>
      </c>
      <c r="AO307" s="5502">
        <v>452</v>
      </c>
      <c r="AP307" s="5502">
        <v>696</v>
      </c>
      <c r="AQ307" s="5502">
        <v>490</v>
      </c>
      <c r="AR307" s="5502">
        <v>442</v>
      </c>
      <c r="AS307" s="5502">
        <v>409</v>
      </c>
      <c r="AT307" s="5502">
        <f t="shared" si="341"/>
        <v>6138</v>
      </c>
      <c r="AU307" s="5503">
        <f t="shared" si="338"/>
        <v>511.5</v>
      </c>
      <c r="AW307" s="5501"/>
      <c r="AX307" s="5502"/>
      <c r="AY307" s="5502"/>
      <c r="AZ307" s="5502"/>
      <c r="BA307" s="5502"/>
      <c r="BB307" s="5502">
        <v>334</v>
      </c>
      <c r="BC307" s="5504">
        <v>386</v>
      </c>
      <c r="BD307" s="5504">
        <v>438</v>
      </c>
      <c r="BE307" s="5502">
        <v>138</v>
      </c>
      <c r="BF307" s="5502"/>
      <c r="BG307" s="5504"/>
      <c r="BH307" s="5502">
        <v>31</v>
      </c>
      <c r="BI307" s="5502">
        <f t="shared" si="330"/>
        <v>1327</v>
      </c>
      <c r="BJ307" s="5503">
        <f t="shared" si="336"/>
        <v>265.39999999999998</v>
      </c>
      <c r="BL307" s="5501">
        <v>180</v>
      </c>
      <c r="BM307" s="5502">
        <v>-468</v>
      </c>
      <c r="BN307" s="5502"/>
      <c r="BO307" s="5502"/>
      <c r="BP307" s="5502"/>
      <c r="BQ307" s="5502"/>
      <c r="BR307" s="5504"/>
      <c r="BS307" s="5504"/>
      <c r="BT307" s="5502"/>
      <c r="BU307" s="5502"/>
      <c r="BV307" s="5504"/>
      <c r="BW307" s="5502"/>
      <c r="BX307" s="5502">
        <f t="shared" si="331"/>
        <v>-288</v>
      </c>
      <c r="BY307" s="6459">
        <f t="shared" si="337"/>
        <v>-144</v>
      </c>
      <c r="CA307" s="169">
        <f t="shared" si="339"/>
        <v>-468</v>
      </c>
      <c r="CB307" s="169">
        <f t="shared" si="342"/>
        <v>-246.10000000000002</v>
      </c>
      <c r="CC307" s="169">
        <f>IFERROR(
  SUM(
    _xlfn.XLOOKUP(DATE(YEAR($A$1),1,1),$2:$2,307:307):
    _xlfn.XLOOKUP($A$1,$2:$2,307:307)
  )
 -SUM(
    _xlfn.XLOOKUP(DATE(YEAR($A$1)-1,1,1),$2:$2,307:307):
    _xlfn.XLOOKUP(EDATE($A$1,-12),$2:$2,307:307)
  ),"")</f>
        <v>-288</v>
      </c>
      <c r="CD307" s="4517">
        <f t="shared" si="340"/>
        <v>-648</v>
      </c>
      <c r="CE307" s="5459"/>
      <c r="CF307" s="5459"/>
    </row>
    <row r="308" spans="1:84" ht="17.600000000000001" x14ac:dyDescent="0.55000000000000004">
      <c r="A308" s="7347"/>
      <c r="B308" s="5464" t="s">
        <v>206</v>
      </c>
      <c r="C308" s="1799"/>
      <c r="D308" s="5505">
        <v>-1</v>
      </c>
      <c r="E308" s="5506">
        <v>65</v>
      </c>
      <c r="F308" s="5506">
        <v>7</v>
      </c>
      <c r="G308" s="5506">
        <v>45</v>
      </c>
      <c r="H308" s="5506">
        <v>15</v>
      </c>
      <c r="I308" s="5506">
        <v>25</v>
      </c>
      <c r="J308" s="5506">
        <v>-55</v>
      </c>
      <c r="K308" s="5506">
        <v>39</v>
      </c>
      <c r="L308" s="5506">
        <v>-101</v>
      </c>
      <c r="M308" s="5506">
        <v>58</v>
      </c>
      <c r="N308" s="5506">
        <v>-52</v>
      </c>
      <c r="O308" s="5506">
        <v>-66</v>
      </c>
      <c r="P308" s="5506">
        <v>-21</v>
      </c>
      <c r="Q308" s="5507">
        <v>-1.75</v>
      </c>
      <c r="R308" s="2776"/>
      <c r="S308" s="5505">
        <v>9</v>
      </c>
      <c r="T308" s="5506">
        <v>57</v>
      </c>
      <c r="U308" s="5506">
        <v>-43</v>
      </c>
      <c r="V308" s="5506">
        <v>-23</v>
      </c>
      <c r="W308" s="5506">
        <v>29</v>
      </c>
      <c r="X308" s="5506">
        <v>-75</v>
      </c>
      <c r="Y308" s="5506">
        <v>6</v>
      </c>
      <c r="Z308" s="5506">
        <v>51</v>
      </c>
      <c r="AA308" s="5506">
        <v>-71</v>
      </c>
      <c r="AB308" s="5506">
        <v>77</v>
      </c>
      <c r="AC308" s="5506">
        <v>-93</v>
      </c>
      <c r="AD308" s="5506">
        <v>-24</v>
      </c>
      <c r="AE308" s="5506">
        <v>-100</v>
      </c>
      <c r="AF308" s="5507">
        <v>-8.3333333333333428</v>
      </c>
      <c r="AG308" s="5281"/>
      <c r="AH308" s="5505">
        <v>109</v>
      </c>
      <c r="AI308" s="5506">
        <v>-124</v>
      </c>
      <c r="AJ308" s="5506">
        <v>63</v>
      </c>
      <c r="AK308" s="5506">
        <v>28</v>
      </c>
      <c r="AL308" s="5506">
        <v>24</v>
      </c>
      <c r="AM308" s="5506">
        <v>-14</v>
      </c>
      <c r="AN308" s="5506">
        <v>48</v>
      </c>
      <c r="AO308" s="5506">
        <v>-13</v>
      </c>
      <c r="AP308" s="5506">
        <v>21</v>
      </c>
      <c r="AQ308" s="5506">
        <v>-4</v>
      </c>
      <c r="AR308" s="5506">
        <v>-3</v>
      </c>
      <c r="AS308" s="5506">
        <v>-52</v>
      </c>
      <c r="AT308" s="5506">
        <f t="shared" si="341"/>
        <v>83</v>
      </c>
      <c r="AU308" s="5507">
        <f t="shared" si="338"/>
        <v>6.916666666666667</v>
      </c>
      <c r="AW308" s="5465">
        <v>-52</v>
      </c>
      <c r="AX308" s="5506">
        <v>148</v>
      </c>
      <c r="AY308" s="5506">
        <v>-76</v>
      </c>
      <c r="AZ308" s="5506">
        <v>16</v>
      </c>
      <c r="BA308" s="5506">
        <v>203</v>
      </c>
      <c r="BB308" s="5506">
        <v>32</v>
      </c>
      <c r="BC308" s="5508">
        <v>121</v>
      </c>
      <c r="BD308" s="5508">
        <v>61</v>
      </c>
      <c r="BE308" s="5506">
        <v>131</v>
      </c>
      <c r="BF308" s="5506">
        <v>38</v>
      </c>
      <c r="BG308" s="5508">
        <v>79</v>
      </c>
      <c r="BH308" s="5506">
        <v>104</v>
      </c>
      <c r="BI308" s="5506">
        <f t="shared" si="330"/>
        <v>805</v>
      </c>
      <c r="BJ308" s="5507">
        <f t="shared" si="336"/>
        <v>67.083333333333329</v>
      </c>
      <c r="BL308" s="5465">
        <v>121</v>
      </c>
      <c r="BM308" s="5506">
        <v>-131</v>
      </c>
      <c r="BN308" s="5506"/>
      <c r="BO308" s="5506"/>
      <c r="BP308" s="5506"/>
      <c r="BQ308" s="5506"/>
      <c r="BR308" s="5508"/>
      <c r="BS308" s="5508"/>
      <c r="BT308" s="5506"/>
      <c r="BU308" s="5506"/>
      <c r="BV308" s="5508"/>
      <c r="BW308" s="5506"/>
      <c r="BX308" s="5506">
        <f t="shared" si="331"/>
        <v>-10</v>
      </c>
      <c r="BY308" s="6460">
        <f t="shared" si="337"/>
        <v>-5</v>
      </c>
      <c r="CA308" s="169">
        <f t="shared" si="339"/>
        <v>-279</v>
      </c>
      <c r="CB308" s="169">
        <f t="shared" si="342"/>
        <v>60.166666666666664</v>
      </c>
      <c r="CC308" s="169">
        <f>IFERROR(
  SUM(
    _xlfn.XLOOKUP(DATE(YEAR($A$1),1,1),$2:$2,308:308):
    _xlfn.XLOOKUP($A$1,$2:$2,308:308)
  )
 -SUM(
    _xlfn.XLOOKUP(DATE(YEAR($A$1)-1,1,1),$2:$2,308:308):
    _xlfn.XLOOKUP(EDATE($A$1,-12),$2:$2,308:308)
  ),"")</f>
        <v>-106</v>
      </c>
      <c r="CD308" s="4517">
        <f t="shared" si="340"/>
        <v>-252</v>
      </c>
      <c r="CE308" s="5459"/>
      <c r="CF308" s="5459"/>
    </row>
    <row r="309" spans="1:84" ht="17.600000000000001" x14ac:dyDescent="0.55000000000000004">
      <c r="A309" s="7347"/>
      <c r="B309" s="5468" t="s">
        <v>207</v>
      </c>
      <c r="C309" s="1576"/>
      <c r="D309" s="5509">
        <v>-44</v>
      </c>
      <c r="E309" s="5292">
        <v>69</v>
      </c>
      <c r="F309" s="5292">
        <v>-39</v>
      </c>
      <c r="G309" s="5292">
        <v>-4</v>
      </c>
      <c r="H309" s="5292">
        <v>39</v>
      </c>
      <c r="I309" s="5292">
        <v>-22</v>
      </c>
      <c r="J309" s="5292">
        <v>-52</v>
      </c>
      <c r="K309" s="5292">
        <v>3</v>
      </c>
      <c r="L309" s="5292">
        <v>-38</v>
      </c>
      <c r="M309" s="5292">
        <v>19</v>
      </c>
      <c r="N309" s="5292">
        <v>-16</v>
      </c>
      <c r="O309" s="5292">
        <v>-35</v>
      </c>
      <c r="P309" s="5292">
        <v>-120</v>
      </c>
      <c r="Q309" s="5510">
        <v>-9.9999999999999858</v>
      </c>
      <c r="R309" s="2776"/>
      <c r="S309" s="5509">
        <v>16</v>
      </c>
      <c r="T309" s="5292">
        <v>65</v>
      </c>
      <c r="U309" s="5292">
        <v>9</v>
      </c>
      <c r="V309" s="5292">
        <v>-125</v>
      </c>
      <c r="W309" s="5292">
        <v>-29</v>
      </c>
      <c r="X309" s="5292">
        <v>2</v>
      </c>
      <c r="Y309" s="5292">
        <v>-55</v>
      </c>
      <c r="Z309" s="5292">
        <v>77</v>
      </c>
      <c r="AA309" s="5292">
        <v>-75</v>
      </c>
      <c r="AB309" s="5292">
        <v>71</v>
      </c>
      <c r="AC309" s="5292">
        <v>19</v>
      </c>
      <c r="AD309" s="5292">
        <v>-79</v>
      </c>
      <c r="AE309" s="5292">
        <v>-104</v>
      </c>
      <c r="AF309" s="5510">
        <v>-8.6666666666666572</v>
      </c>
      <c r="AG309" s="5281"/>
      <c r="AH309" s="5509">
        <v>86</v>
      </c>
      <c r="AI309" s="5292">
        <v>-65</v>
      </c>
      <c r="AJ309" s="5292">
        <v>3</v>
      </c>
      <c r="AK309" s="5292">
        <v>-20</v>
      </c>
      <c r="AL309" s="5292">
        <v>27</v>
      </c>
      <c r="AM309" s="5292">
        <v>-21</v>
      </c>
      <c r="AN309" s="5292">
        <v>4</v>
      </c>
      <c r="AO309" s="5292">
        <v>-8</v>
      </c>
      <c r="AP309" s="5292">
        <v>12</v>
      </c>
      <c r="AQ309" s="5292">
        <v>62</v>
      </c>
      <c r="AR309" s="5292">
        <v>-49</v>
      </c>
      <c r="AS309" s="5292">
        <v>-59</v>
      </c>
      <c r="AT309" s="5292">
        <f t="shared" si="341"/>
        <v>-28</v>
      </c>
      <c r="AU309" s="5510">
        <f t="shared" si="338"/>
        <v>-2.3333333333333335</v>
      </c>
      <c r="AW309" s="5469">
        <v>-35</v>
      </c>
      <c r="AX309" s="5292">
        <v>159</v>
      </c>
      <c r="AY309" s="5292">
        <v>-36</v>
      </c>
      <c r="AZ309" s="5292">
        <v>-64</v>
      </c>
      <c r="BA309" s="5292">
        <v>183</v>
      </c>
      <c r="BB309" s="5292">
        <v>-19</v>
      </c>
      <c r="BC309" s="5511">
        <v>-12</v>
      </c>
      <c r="BD309" s="5511">
        <v>40</v>
      </c>
      <c r="BE309" s="5292">
        <v>-3</v>
      </c>
      <c r="BF309" s="5292">
        <v>2</v>
      </c>
      <c r="BG309" s="5511">
        <v>18</v>
      </c>
      <c r="BH309" s="5292">
        <v>-2</v>
      </c>
      <c r="BI309" s="5292">
        <f t="shared" si="330"/>
        <v>231</v>
      </c>
      <c r="BJ309" s="5510">
        <f t="shared" si="336"/>
        <v>19.25</v>
      </c>
      <c r="BL309" s="5469">
        <v>22</v>
      </c>
      <c r="BM309" s="5292">
        <v>-77</v>
      </c>
      <c r="BN309" s="5292"/>
      <c r="BO309" s="5292"/>
      <c r="BP309" s="5292"/>
      <c r="BQ309" s="5292"/>
      <c r="BR309" s="5511"/>
      <c r="BS309" s="5511"/>
      <c r="BT309" s="5292"/>
      <c r="BU309" s="5292"/>
      <c r="BV309" s="5511"/>
      <c r="BW309" s="5292"/>
      <c r="BX309" s="5292">
        <f t="shared" si="331"/>
        <v>-55</v>
      </c>
      <c r="BY309" s="6461">
        <f t="shared" si="337"/>
        <v>-27.5</v>
      </c>
      <c r="CA309" s="169">
        <f t="shared" si="339"/>
        <v>-236</v>
      </c>
      <c r="CB309" s="169">
        <f t="shared" si="342"/>
        <v>21.583333333333332</v>
      </c>
      <c r="CC309" s="169">
        <f>IFERROR(
  SUM(
    _xlfn.XLOOKUP(DATE(YEAR($A$1),1,1),$2:$2,309:309):
    _xlfn.XLOOKUP($A$1,$2:$2,309:309)
  )
 -SUM(
    _xlfn.XLOOKUP(DATE(YEAR($A$1)-1,1,1),$2:$2,309:309):
    _xlfn.XLOOKUP(EDATE($A$1,-12),$2:$2,309:309)
  ),"")</f>
        <v>-179</v>
      </c>
      <c r="CD309" s="4517">
        <f t="shared" si="340"/>
        <v>-99</v>
      </c>
      <c r="CE309" s="5459"/>
      <c r="CF309" s="5459"/>
    </row>
    <row r="310" spans="1:84" ht="17.600000000000001" x14ac:dyDescent="0.55000000000000004">
      <c r="A310" s="7347"/>
      <c r="B310" s="5468" t="s">
        <v>208</v>
      </c>
      <c r="C310" s="1576"/>
      <c r="D310" s="5509">
        <v>-20</v>
      </c>
      <c r="E310" s="5292">
        <v>51</v>
      </c>
      <c r="F310" s="5292">
        <v>-5</v>
      </c>
      <c r="G310" s="5292">
        <v>47</v>
      </c>
      <c r="H310" s="5292">
        <v>49</v>
      </c>
      <c r="I310" s="5292">
        <v>-22</v>
      </c>
      <c r="J310" s="5292">
        <v>11</v>
      </c>
      <c r="K310" s="5292">
        <v>2</v>
      </c>
      <c r="L310" s="5292">
        <v>-102</v>
      </c>
      <c r="M310" s="5292">
        <v>58</v>
      </c>
      <c r="N310" s="5292">
        <v>-51</v>
      </c>
      <c r="O310" s="5292">
        <v>-54</v>
      </c>
      <c r="P310" s="5292">
        <v>-36</v>
      </c>
      <c r="Q310" s="5510">
        <v>-3</v>
      </c>
      <c r="R310" s="2776"/>
      <c r="S310" s="5509">
        <v>80</v>
      </c>
      <c r="T310" s="5292">
        <v>-31</v>
      </c>
      <c r="U310" s="5292">
        <v>65</v>
      </c>
      <c r="V310" s="5292">
        <v>-90</v>
      </c>
      <c r="W310" s="5292">
        <v>-18</v>
      </c>
      <c r="X310" s="5292">
        <v>-34</v>
      </c>
      <c r="Y310" s="5292">
        <v>-8</v>
      </c>
      <c r="Z310" s="5292">
        <v>72</v>
      </c>
      <c r="AA310" s="5292">
        <v>-55</v>
      </c>
      <c r="AB310" s="5292">
        <v>58</v>
      </c>
      <c r="AC310" s="5292">
        <v>-58</v>
      </c>
      <c r="AD310" s="5292">
        <v>-46</v>
      </c>
      <c r="AE310" s="5292">
        <v>-65</v>
      </c>
      <c r="AF310" s="5510">
        <v>-5.4166666666666572</v>
      </c>
      <c r="AG310" s="5281"/>
      <c r="AH310" s="5509">
        <v>25</v>
      </c>
      <c r="AI310" s="5292">
        <v>-55</v>
      </c>
      <c r="AJ310" s="5292">
        <v>27</v>
      </c>
      <c r="AK310" s="5292">
        <v>25</v>
      </c>
      <c r="AL310" s="5292">
        <v>43</v>
      </c>
      <c r="AM310" s="5292">
        <v>8</v>
      </c>
      <c r="AN310" s="5292">
        <v>-34</v>
      </c>
      <c r="AO310" s="5292">
        <v>-26</v>
      </c>
      <c r="AP310" s="5292">
        <v>80</v>
      </c>
      <c r="AQ310" s="5292">
        <v>-1</v>
      </c>
      <c r="AR310" s="5292">
        <v>-54</v>
      </c>
      <c r="AS310" s="5292">
        <v>-59</v>
      </c>
      <c r="AT310" s="5292">
        <f t="shared" si="341"/>
        <v>-21</v>
      </c>
      <c r="AU310" s="5510">
        <f t="shared" si="338"/>
        <v>-1.75</v>
      </c>
      <c r="AW310" s="5469">
        <v>-13</v>
      </c>
      <c r="AX310" s="5292">
        <v>143</v>
      </c>
      <c r="AY310" s="5292">
        <v>-69</v>
      </c>
      <c r="AZ310" s="5292">
        <v>4</v>
      </c>
      <c r="BA310" s="5292">
        <v>177</v>
      </c>
      <c r="BB310" s="5292">
        <v>-41</v>
      </c>
      <c r="BC310" s="5511">
        <v>-2</v>
      </c>
      <c r="BD310" s="5511">
        <v>15</v>
      </c>
      <c r="BE310" s="5292">
        <v>-26</v>
      </c>
      <c r="BF310" s="5292">
        <v>-24</v>
      </c>
      <c r="BG310" s="5511">
        <v>-2</v>
      </c>
      <c r="BH310" s="5292">
        <v>23</v>
      </c>
      <c r="BI310" s="5292">
        <f t="shared" si="330"/>
        <v>185</v>
      </c>
      <c r="BJ310" s="5510">
        <f t="shared" si="336"/>
        <v>15.416666666666666</v>
      </c>
      <c r="BL310" s="5469">
        <v>56</v>
      </c>
      <c r="BM310" s="5292">
        <v>-127</v>
      </c>
      <c r="BN310" s="5292"/>
      <c r="BO310" s="5292"/>
      <c r="BP310" s="5292"/>
      <c r="BQ310" s="5292"/>
      <c r="BR310" s="5511"/>
      <c r="BS310" s="5511"/>
      <c r="BT310" s="5292"/>
      <c r="BU310" s="5292"/>
      <c r="BV310" s="5511"/>
      <c r="BW310" s="5292"/>
      <c r="BX310" s="5292">
        <f t="shared" si="331"/>
        <v>-71</v>
      </c>
      <c r="BY310" s="6461">
        <f t="shared" si="337"/>
        <v>-35.5</v>
      </c>
      <c r="CA310" s="169">
        <f t="shared" si="339"/>
        <v>-270</v>
      </c>
      <c r="CB310" s="169">
        <f t="shared" si="342"/>
        <v>17.166666666666664</v>
      </c>
      <c r="CC310" s="169">
        <f>IFERROR(
  SUM(
    _xlfn.XLOOKUP(DATE(YEAR($A$1),1,1),$2:$2,310:310):
    _xlfn.XLOOKUP($A$1,$2:$2,310:310)
  )
 -SUM(
    _xlfn.XLOOKUP(DATE(YEAR($A$1)-1,1,1),$2:$2,310:310):
    _xlfn.XLOOKUP(EDATE($A$1,-12),$2:$2,310:310)
  ),"")</f>
        <v>-201</v>
      </c>
      <c r="CD310" s="4517">
        <f t="shared" si="340"/>
        <v>-183</v>
      </c>
      <c r="CE310" s="5459"/>
      <c r="CF310" s="5459"/>
    </row>
    <row r="311" spans="1:84" ht="17.600000000000001" x14ac:dyDescent="0.55000000000000004">
      <c r="A311" s="7347"/>
      <c r="B311" s="5468" t="s">
        <v>209</v>
      </c>
      <c r="C311" s="1576"/>
      <c r="D311" s="5509">
        <v>-28</v>
      </c>
      <c r="E311" s="5292">
        <v>26</v>
      </c>
      <c r="F311" s="5292">
        <v>107</v>
      </c>
      <c r="G311" s="5292">
        <v>29</v>
      </c>
      <c r="H311" s="5292">
        <v>-21</v>
      </c>
      <c r="I311" s="5292">
        <v>-6</v>
      </c>
      <c r="J311" s="5292">
        <v>11</v>
      </c>
      <c r="K311" s="5292">
        <v>-7</v>
      </c>
      <c r="L311" s="5292">
        <v>-32</v>
      </c>
      <c r="M311" s="5292">
        <v>65</v>
      </c>
      <c r="N311" s="5292">
        <v>-57</v>
      </c>
      <c r="O311" s="5292">
        <v>-189</v>
      </c>
      <c r="P311" s="5292">
        <v>-102</v>
      </c>
      <c r="Q311" s="5510">
        <v>-8.5</v>
      </c>
      <c r="R311" s="2776"/>
      <c r="S311" s="5509">
        <v>64</v>
      </c>
      <c r="T311" s="5292">
        <v>84</v>
      </c>
      <c r="U311" s="5292">
        <v>-41</v>
      </c>
      <c r="V311" s="5292">
        <v>11</v>
      </c>
      <c r="W311" s="5292">
        <v>-34</v>
      </c>
      <c r="X311" s="5292">
        <v>-39</v>
      </c>
      <c r="Y311" s="5292">
        <v>12</v>
      </c>
      <c r="Z311" s="5292">
        <v>102</v>
      </c>
      <c r="AA311" s="5292">
        <v>-26</v>
      </c>
      <c r="AB311" s="5292">
        <v>-12</v>
      </c>
      <c r="AC311" s="5292">
        <v>-30</v>
      </c>
      <c r="AD311" s="5292">
        <v>-89</v>
      </c>
      <c r="AE311" s="5292">
        <v>2</v>
      </c>
      <c r="AF311" s="5510">
        <v>0.16666666666665719</v>
      </c>
      <c r="AG311" s="5281"/>
      <c r="AH311" s="5509">
        <v>123</v>
      </c>
      <c r="AI311" s="5292">
        <v>-39</v>
      </c>
      <c r="AJ311" s="5292">
        <v>37</v>
      </c>
      <c r="AK311" s="5292">
        <v>9</v>
      </c>
      <c r="AL311" s="5292">
        <v>11</v>
      </c>
      <c r="AM311" s="5292">
        <v>-17</v>
      </c>
      <c r="AN311" s="5292">
        <v>-2</v>
      </c>
      <c r="AO311" s="5292">
        <v>-73</v>
      </c>
      <c r="AP311" s="5292">
        <v>147</v>
      </c>
      <c r="AQ311" s="5292">
        <v>-30</v>
      </c>
      <c r="AR311" s="5292">
        <v>68</v>
      </c>
      <c r="AS311" s="5292">
        <v>-39</v>
      </c>
      <c r="AT311" s="5292">
        <f t="shared" si="341"/>
        <v>195</v>
      </c>
      <c r="AU311" s="5510">
        <f t="shared" si="338"/>
        <v>16.25</v>
      </c>
      <c r="AW311" s="5469">
        <v>-10</v>
      </c>
      <c r="AX311" s="5292">
        <v>142</v>
      </c>
      <c r="AY311" s="5292">
        <v>-31</v>
      </c>
      <c r="AZ311" s="5292">
        <v>67</v>
      </c>
      <c r="BA311" s="5292">
        <v>411</v>
      </c>
      <c r="BB311" s="5292">
        <v>6</v>
      </c>
      <c r="BC311" s="5511">
        <v>-32</v>
      </c>
      <c r="BD311" s="5511">
        <v>-57</v>
      </c>
      <c r="BE311" s="5292">
        <v>22</v>
      </c>
      <c r="BF311" s="5292">
        <v>-22</v>
      </c>
      <c r="BG311" s="5511">
        <v>-87</v>
      </c>
      <c r="BH311" s="5292">
        <v>44</v>
      </c>
      <c r="BI311" s="5292">
        <f t="shared" si="330"/>
        <v>453</v>
      </c>
      <c r="BJ311" s="5510">
        <f t="shared" si="336"/>
        <v>37.75</v>
      </c>
      <c r="BL311" s="5469">
        <v>85</v>
      </c>
      <c r="BM311" s="5292">
        <v>-207</v>
      </c>
      <c r="BN311" s="5292"/>
      <c r="BO311" s="5292"/>
      <c r="BP311" s="5292"/>
      <c r="BQ311" s="5292"/>
      <c r="BR311" s="5511"/>
      <c r="BS311" s="5511"/>
      <c r="BT311" s="5292"/>
      <c r="BU311" s="5292"/>
      <c r="BV311" s="5511"/>
      <c r="BW311" s="5292"/>
      <c r="BX311" s="5292">
        <f t="shared" si="331"/>
        <v>-122</v>
      </c>
      <c r="BY311" s="6461">
        <f t="shared" si="337"/>
        <v>-61</v>
      </c>
      <c r="CA311" s="169">
        <f t="shared" si="339"/>
        <v>-349</v>
      </c>
      <c r="CB311" s="169">
        <f t="shared" si="342"/>
        <v>21.5</v>
      </c>
      <c r="CC311" s="169">
        <f>IFERROR(
  SUM(
    _xlfn.XLOOKUP(DATE(YEAR($A$1),1,1),$2:$2,311:311):
    _xlfn.XLOOKUP($A$1,$2:$2,311:311)
  )
 -SUM(
    _xlfn.XLOOKUP(DATE(YEAR($A$1)-1,1,1),$2:$2,311:311):
    _xlfn.XLOOKUP(EDATE($A$1,-12),$2:$2,311:311)
  ),"")</f>
        <v>-254</v>
      </c>
      <c r="CD311" s="4517">
        <f t="shared" si="340"/>
        <v>-292</v>
      </c>
      <c r="CE311" s="5459"/>
      <c r="CF311" s="5459"/>
    </row>
    <row r="312" spans="1:84" ht="17.600000000000001" x14ac:dyDescent="0.55000000000000004">
      <c r="A312" s="7347"/>
      <c r="B312" s="5471" t="s">
        <v>210</v>
      </c>
      <c r="C312" s="1813"/>
      <c r="D312" s="5512">
        <v>-14</v>
      </c>
      <c r="E312" s="5513">
        <v>-21</v>
      </c>
      <c r="F312" s="5513">
        <v>54</v>
      </c>
      <c r="G312" s="5513">
        <v>-13</v>
      </c>
      <c r="H312" s="5513">
        <v>55</v>
      </c>
      <c r="I312" s="5513">
        <v>-37</v>
      </c>
      <c r="J312" s="5513">
        <v>-6</v>
      </c>
      <c r="K312" s="5513">
        <v>-74</v>
      </c>
      <c r="L312" s="5513">
        <v>-42</v>
      </c>
      <c r="M312" s="5513">
        <v>79</v>
      </c>
      <c r="N312" s="5513">
        <v>-31</v>
      </c>
      <c r="O312" s="5513">
        <v>-48</v>
      </c>
      <c r="P312" s="5513">
        <v>-98</v>
      </c>
      <c r="Q312" s="5514">
        <v>-8.1666666666666856</v>
      </c>
      <c r="R312" s="2776"/>
      <c r="S312" s="5512">
        <v>80</v>
      </c>
      <c r="T312" s="5513">
        <v>21</v>
      </c>
      <c r="U312" s="5513">
        <v>-41</v>
      </c>
      <c r="V312" s="5513">
        <v>-32</v>
      </c>
      <c r="W312" s="5513">
        <v>-60</v>
      </c>
      <c r="X312" s="5513">
        <v>-33</v>
      </c>
      <c r="Y312" s="5513">
        <v>-35</v>
      </c>
      <c r="Z312" s="5513">
        <v>88</v>
      </c>
      <c r="AA312" s="5513">
        <v>-126</v>
      </c>
      <c r="AB312" s="5513">
        <v>40</v>
      </c>
      <c r="AC312" s="5513">
        <v>-44</v>
      </c>
      <c r="AD312" s="5513">
        <v>-82</v>
      </c>
      <c r="AE312" s="5513">
        <v>-224</v>
      </c>
      <c r="AF312" s="5514">
        <v>-18.666666666666686</v>
      </c>
      <c r="AG312" s="5281"/>
      <c r="AH312" s="5512">
        <v>152</v>
      </c>
      <c r="AI312" s="5513">
        <v>-54</v>
      </c>
      <c r="AJ312" s="5513">
        <v>48</v>
      </c>
      <c r="AK312" s="5513">
        <v>25</v>
      </c>
      <c r="AL312" s="5513">
        <v>-35</v>
      </c>
      <c r="AM312" s="5513">
        <v>37</v>
      </c>
      <c r="AN312" s="5513">
        <v>-49</v>
      </c>
      <c r="AO312" s="5513">
        <v>-96</v>
      </c>
      <c r="AP312" s="5513">
        <v>122</v>
      </c>
      <c r="AQ312" s="5513">
        <v>29</v>
      </c>
      <c r="AR312" s="5513">
        <v>6</v>
      </c>
      <c r="AS312" s="5513">
        <v>-55</v>
      </c>
      <c r="AT312" s="5513">
        <f t="shared" si="341"/>
        <v>130</v>
      </c>
      <c r="AU312" s="5514">
        <f t="shared" si="338"/>
        <v>10.833333333333334</v>
      </c>
      <c r="AW312" s="5472">
        <v>-76</v>
      </c>
      <c r="AX312" s="5513">
        <v>129</v>
      </c>
      <c r="AY312" s="5513">
        <v>-40</v>
      </c>
      <c r="AZ312" s="5513">
        <v>19</v>
      </c>
      <c r="BA312" s="5513">
        <v>298</v>
      </c>
      <c r="BB312" s="5513">
        <v>-28</v>
      </c>
      <c r="BC312" s="5515">
        <v>-38</v>
      </c>
      <c r="BD312" s="5515">
        <v>13</v>
      </c>
      <c r="BE312" s="5513">
        <v>4</v>
      </c>
      <c r="BF312" s="5513">
        <v>2</v>
      </c>
      <c r="BG312" s="5515">
        <v>-11</v>
      </c>
      <c r="BH312" s="5513">
        <v>-45</v>
      </c>
      <c r="BI312" s="5513">
        <f t="shared" si="330"/>
        <v>227</v>
      </c>
      <c r="BJ312" s="5514">
        <f t="shared" si="336"/>
        <v>18.916666666666668</v>
      </c>
      <c r="BL312" s="5472">
        <v>57</v>
      </c>
      <c r="BM312" s="5513">
        <v>-153</v>
      </c>
      <c r="BN312" s="5513"/>
      <c r="BO312" s="5513"/>
      <c r="BP312" s="5513"/>
      <c r="BQ312" s="5513"/>
      <c r="BR312" s="5515"/>
      <c r="BS312" s="5515"/>
      <c r="BT312" s="5513"/>
      <c r="BU312" s="5513"/>
      <c r="BV312" s="5515"/>
      <c r="BW312" s="5513"/>
      <c r="BX312" s="5513">
        <f t="shared" si="331"/>
        <v>-96</v>
      </c>
      <c r="BY312" s="6462">
        <f t="shared" si="337"/>
        <v>-48</v>
      </c>
      <c r="CA312" s="169">
        <f t="shared" si="339"/>
        <v>-282</v>
      </c>
      <c r="CB312" s="169">
        <f t="shared" si="342"/>
        <v>8.0833333333333339</v>
      </c>
      <c r="CC312" s="169">
        <f>IFERROR(
  SUM(
    _xlfn.XLOOKUP(DATE(YEAR($A$1),1,1),$2:$2,312:312):
    _xlfn.XLOOKUP($A$1,$2:$2,312:312)
  )
 -SUM(
    _xlfn.XLOOKUP(DATE(YEAR($A$1)-1,1,1),$2:$2,312:312):
    _xlfn.XLOOKUP(EDATE($A$1,-12),$2:$2,312:312)
  ),"")</f>
        <v>-149</v>
      </c>
      <c r="CD312" s="4517">
        <f t="shared" si="340"/>
        <v>-210</v>
      </c>
      <c r="CE312" s="5459"/>
      <c r="CF312" s="5459"/>
    </row>
    <row r="313" spans="1:84" s="698" customFormat="1" ht="17.600000000000001" x14ac:dyDescent="0.55000000000000004">
      <c r="A313" s="7347"/>
      <c r="B313" s="5475"/>
      <c r="C313" s="2156" t="s">
        <v>226</v>
      </c>
      <c r="D313" s="5516">
        <f t="shared" ref="D313:O313" si="343">D249-D281</f>
        <v>8</v>
      </c>
      <c r="E313" s="5517">
        <f t="shared" si="343"/>
        <v>60</v>
      </c>
      <c r="F313" s="5517">
        <f t="shared" si="343"/>
        <v>9</v>
      </c>
      <c r="G313" s="5517">
        <f t="shared" si="343"/>
        <v>20</v>
      </c>
      <c r="H313" s="5517">
        <f t="shared" si="343"/>
        <v>20</v>
      </c>
      <c r="I313" s="5517">
        <f t="shared" si="343"/>
        <v>16</v>
      </c>
      <c r="J313" s="5517">
        <f t="shared" si="343"/>
        <v>-28</v>
      </c>
      <c r="K313" s="5517">
        <f t="shared" si="343"/>
        <v>38</v>
      </c>
      <c r="L313" s="5517">
        <f t="shared" si="343"/>
        <v>-83</v>
      </c>
      <c r="M313" s="5517">
        <f t="shared" si="343"/>
        <v>52</v>
      </c>
      <c r="N313" s="5517">
        <f t="shared" si="343"/>
        <v>-28</v>
      </c>
      <c r="O313" s="5517">
        <f t="shared" si="343"/>
        <v>-52</v>
      </c>
      <c r="P313" s="5517">
        <f t="shared" si="332"/>
        <v>32</v>
      </c>
      <c r="Q313" s="5518">
        <f t="shared" ref="Q313:Q319" si="344">Q249-Q281</f>
        <v>2.6666666666666714</v>
      </c>
      <c r="R313" s="5479"/>
      <c r="S313" s="5516">
        <f t="shared" ref="S313:AD313" si="345">S249-S281</f>
        <v>8</v>
      </c>
      <c r="T313" s="5517">
        <f t="shared" si="345"/>
        <v>40</v>
      </c>
      <c r="U313" s="5517">
        <f t="shared" si="345"/>
        <v>-41</v>
      </c>
      <c r="V313" s="5517">
        <f t="shared" si="345"/>
        <v>-29</v>
      </c>
      <c r="W313" s="5517">
        <f t="shared" si="345"/>
        <v>32</v>
      </c>
      <c r="X313" s="5517">
        <f t="shared" si="345"/>
        <v>-64</v>
      </c>
      <c r="Y313" s="5517">
        <f t="shared" si="345"/>
        <v>6</v>
      </c>
      <c r="Z313" s="5517">
        <f t="shared" si="345"/>
        <v>32</v>
      </c>
      <c r="AA313" s="5517">
        <f t="shared" si="345"/>
        <v>-45</v>
      </c>
      <c r="AB313" s="5517">
        <f t="shared" si="345"/>
        <v>53</v>
      </c>
      <c r="AC313" s="5517">
        <f t="shared" si="345"/>
        <v>-72</v>
      </c>
      <c r="AD313" s="5517">
        <f t="shared" si="345"/>
        <v>-23</v>
      </c>
      <c r="AE313" s="5517">
        <f t="shared" si="334"/>
        <v>-103</v>
      </c>
      <c r="AF313" s="5518">
        <f t="shared" ref="AF313:AF319" si="346">AF249-AF281</f>
        <v>-8.5833333333333286</v>
      </c>
      <c r="AG313" s="5519"/>
      <c r="AH313" s="5516">
        <f t="shared" ref="AH313:AM319" si="347">AH249-AH281</f>
        <v>72</v>
      </c>
      <c r="AI313" s="5517">
        <f t="shared" si="347"/>
        <v>-74</v>
      </c>
      <c r="AJ313" s="5517">
        <f t="shared" si="347"/>
        <v>58</v>
      </c>
      <c r="AK313" s="5517">
        <f t="shared" si="347"/>
        <v>13</v>
      </c>
      <c r="AL313" s="5517">
        <f t="shared" si="347"/>
        <v>20</v>
      </c>
      <c r="AM313" s="5517">
        <f t="shared" si="347"/>
        <v>-19</v>
      </c>
      <c r="AN313" s="5517">
        <v>36</v>
      </c>
      <c r="AO313" s="5517">
        <f t="shared" ref="AO313:AQ319" si="348">AO249-AO281</f>
        <v>-11</v>
      </c>
      <c r="AP313" s="5517">
        <f t="shared" si="348"/>
        <v>24</v>
      </c>
      <c r="AQ313" s="5517">
        <f t="shared" si="348"/>
        <v>0</v>
      </c>
      <c r="AR313" s="5517">
        <v>-16</v>
      </c>
      <c r="AS313" s="5517">
        <v>-26</v>
      </c>
      <c r="AT313" s="5517">
        <f t="shared" si="341"/>
        <v>77</v>
      </c>
      <c r="AU313" s="5518">
        <f t="shared" si="338"/>
        <v>6.416666666666667</v>
      </c>
      <c r="AW313" s="5516">
        <v>-42</v>
      </c>
      <c r="AX313" s="5517">
        <v>98</v>
      </c>
      <c r="AY313" s="5517">
        <v>-51</v>
      </c>
      <c r="AZ313" s="5517">
        <v>6</v>
      </c>
      <c r="BA313" s="5517">
        <v>32</v>
      </c>
      <c r="BB313" s="5517">
        <v>52</v>
      </c>
      <c r="BC313" s="5517">
        <v>121</v>
      </c>
      <c r="BD313" s="5517">
        <v>61</v>
      </c>
      <c r="BE313" s="5517">
        <v>131</v>
      </c>
      <c r="BF313" s="5517">
        <v>38</v>
      </c>
      <c r="BG313" s="5517">
        <v>79</v>
      </c>
      <c r="BH313" s="5517">
        <v>104</v>
      </c>
      <c r="BI313" s="5517">
        <f t="shared" si="330"/>
        <v>629</v>
      </c>
      <c r="BJ313" s="5518">
        <f t="shared" si="336"/>
        <v>52.416666666666664</v>
      </c>
      <c r="BL313" s="5516">
        <v>121</v>
      </c>
      <c r="BM313" s="5517">
        <v>-131</v>
      </c>
      <c r="BN313" s="5517"/>
      <c r="BO313" s="5517"/>
      <c r="BP313" s="5517"/>
      <c r="BQ313" s="5517"/>
      <c r="BR313" s="5517"/>
      <c r="BS313" s="5517"/>
      <c r="BT313" s="5517"/>
      <c r="BU313" s="5517"/>
      <c r="BV313" s="5517"/>
      <c r="BW313" s="5517"/>
      <c r="BX313" s="5517">
        <f t="shared" si="331"/>
        <v>-10</v>
      </c>
      <c r="BY313" s="6463">
        <f t="shared" si="337"/>
        <v>-5</v>
      </c>
      <c r="CA313" s="169">
        <f t="shared" si="339"/>
        <v>-229</v>
      </c>
      <c r="CB313" s="169">
        <f t="shared" si="342"/>
        <v>46</v>
      </c>
      <c r="CC313" s="169">
        <f>IFERROR(
  SUM(
    _xlfn.XLOOKUP(DATE(YEAR($A$1),1,1),$2:$2,313:313):
    _xlfn.XLOOKUP($A$1,$2:$2,313:313)
  )
 -SUM(
    _xlfn.XLOOKUP(DATE(YEAR($A$1)-1,1,1),$2:$2,313:313):
    _xlfn.XLOOKUP(EDATE($A$1,-12),$2:$2,313:313)
  ),"")</f>
        <v>-66</v>
      </c>
      <c r="CD313" s="4517">
        <f t="shared" si="340"/>
        <v>-252</v>
      </c>
      <c r="CE313" s="5459"/>
      <c r="CF313" s="5459"/>
    </row>
    <row r="314" spans="1:84" s="698" customFormat="1" ht="17.600000000000001" x14ac:dyDescent="0.55000000000000004">
      <c r="A314" s="7347"/>
      <c r="B314" s="5480"/>
      <c r="C314" s="681" t="s">
        <v>227</v>
      </c>
      <c r="D314" s="5520">
        <f t="shared" ref="D314:O314" si="349">D250-D282</f>
        <v>-44</v>
      </c>
      <c r="E314" s="5521">
        <f t="shared" si="349"/>
        <v>69</v>
      </c>
      <c r="F314" s="5521">
        <f t="shared" si="349"/>
        <v>-39</v>
      </c>
      <c r="G314" s="5521">
        <f t="shared" si="349"/>
        <v>-4</v>
      </c>
      <c r="H314" s="5521">
        <f t="shared" si="349"/>
        <v>39</v>
      </c>
      <c r="I314" s="5521">
        <f t="shared" si="349"/>
        <v>-22</v>
      </c>
      <c r="J314" s="5521">
        <f t="shared" si="349"/>
        <v>-52</v>
      </c>
      <c r="K314" s="5521">
        <f t="shared" si="349"/>
        <v>3</v>
      </c>
      <c r="L314" s="5521">
        <f t="shared" si="349"/>
        <v>-38</v>
      </c>
      <c r="M314" s="5521">
        <f t="shared" si="349"/>
        <v>19</v>
      </c>
      <c r="N314" s="5521">
        <f t="shared" si="349"/>
        <v>-16</v>
      </c>
      <c r="O314" s="5521">
        <f t="shared" si="349"/>
        <v>-35</v>
      </c>
      <c r="P314" s="5521">
        <f t="shared" si="332"/>
        <v>-120</v>
      </c>
      <c r="Q314" s="5522">
        <f t="shared" si="344"/>
        <v>-9.9999999999999858</v>
      </c>
      <c r="R314" s="5479"/>
      <c r="S314" s="5520">
        <f t="shared" ref="S314:AD314" si="350">S250-S282</f>
        <v>16</v>
      </c>
      <c r="T314" s="5521">
        <f t="shared" si="350"/>
        <v>65</v>
      </c>
      <c r="U314" s="5521">
        <f t="shared" si="350"/>
        <v>9</v>
      </c>
      <c r="V314" s="5521">
        <f t="shared" si="350"/>
        <v>-125</v>
      </c>
      <c r="W314" s="5521">
        <f t="shared" si="350"/>
        <v>-29</v>
      </c>
      <c r="X314" s="5521">
        <f t="shared" si="350"/>
        <v>2</v>
      </c>
      <c r="Y314" s="5521">
        <f t="shared" si="350"/>
        <v>-55</v>
      </c>
      <c r="Z314" s="5521">
        <f t="shared" si="350"/>
        <v>77</v>
      </c>
      <c r="AA314" s="5521">
        <f t="shared" si="350"/>
        <v>-75</v>
      </c>
      <c r="AB314" s="5521">
        <f t="shared" si="350"/>
        <v>71</v>
      </c>
      <c r="AC314" s="5521">
        <f t="shared" si="350"/>
        <v>19</v>
      </c>
      <c r="AD314" s="5521">
        <f t="shared" si="350"/>
        <v>-79</v>
      </c>
      <c r="AE314" s="5521">
        <f t="shared" si="334"/>
        <v>-104</v>
      </c>
      <c r="AF314" s="5522">
        <f t="shared" si="346"/>
        <v>-8.6666666666666572</v>
      </c>
      <c r="AG314" s="5519"/>
      <c r="AH314" s="5520">
        <f t="shared" si="347"/>
        <v>86</v>
      </c>
      <c r="AI314" s="5521">
        <f t="shared" si="347"/>
        <v>-65</v>
      </c>
      <c r="AJ314" s="5521">
        <f t="shared" si="347"/>
        <v>3</v>
      </c>
      <c r="AK314" s="5521">
        <f t="shared" si="347"/>
        <v>-20</v>
      </c>
      <c r="AL314" s="5521">
        <f t="shared" si="347"/>
        <v>27</v>
      </c>
      <c r="AM314" s="5521">
        <f t="shared" si="347"/>
        <v>-21</v>
      </c>
      <c r="AN314" s="5521">
        <v>4</v>
      </c>
      <c r="AO314" s="5521">
        <f t="shared" si="348"/>
        <v>-8</v>
      </c>
      <c r="AP314" s="5521">
        <f t="shared" si="348"/>
        <v>12</v>
      </c>
      <c r="AQ314" s="5521">
        <f t="shared" si="348"/>
        <v>62</v>
      </c>
      <c r="AR314" s="5521">
        <v>-49</v>
      </c>
      <c r="AS314" s="5521">
        <v>-59</v>
      </c>
      <c r="AT314" s="5521">
        <f t="shared" si="341"/>
        <v>-28</v>
      </c>
      <c r="AU314" s="5522">
        <f t="shared" si="338"/>
        <v>-2.3333333333333335</v>
      </c>
      <c r="AW314" s="5520">
        <v>-35</v>
      </c>
      <c r="AX314" s="5521">
        <v>159</v>
      </c>
      <c r="AY314" s="5521">
        <v>-36</v>
      </c>
      <c r="AZ314" s="5521">
        <v>-64</v>
      </c>
      <c r="BA314" s="5521">
        <v>70</v>
      </c>
      <c r="BB314" s="5521">
        <v>-19</v>
      </c>
      <c r="BC314" s="5521">
        <v>-12</v>
      </c>
      <c r="BD314" s="5521">
        <v>40</v>
      </c>
      <c r="BE314" s="5521">
        <v>-3</v>
      </c>
      <c r="BF314" s="5521">
        <v>2</v>
      </c>
      <c r="BG314" s="5521">
        <v>18</v>
      </c>
      <c r="BH314" s="5521">
        <v>-2</v>
      </c>
      <c r="BI314" s="5521">
        <f t="shared" si="330"/>
        <v>118</v>
      </c>
      <c r="BJ314" s="5522">
        <f t="shared" si="336"/>
        <v>9.8333333333333339</v>
      </c>
      <c r="BL314" s="5520">
        <v>22</v>
      </c>
      <c r="BM314" s="5521">
        <v>-77</v>
      </c>
      <c r="BN314" s="5521"/>
      <c r="BO314" s="5521"/>
      <c r="BP314" s="5521"/>
      <c r="BQ314" s="5521"/>
      <c r="BR314" s="5521"/>
      <c r="BS314" s="5521"/>
      <c r="BT314" s="5521"/>
      <c r="BU314" s="5521"/>
      <c r="BV314" s="5521"/>
      <c r="BW314" s="5521"/>
      <c r="BX314" s="5521">
        <f t="shared" si="331"/>
        <v>-55</v>
      </c>
      <c r="BY314" s="6464">
        <f t="shared" si="337"/>
        <v>-27.5</v>
      </c>
      <c r="CA314" s="169">
        <f t="shared" si="339"/>
        <v>-236</v>
      </c>
      <c r="CB314" s="169">
        <f t="shared" si="342"/>
        <v>12.166666666666668</v>
      </c>
      <c r="CC314" s="169">
        <f>IFERROR(
  SUM(
    _xlfn.XLOOKUP(DATE(YEAR($A$1),1,1),$2:$2,314:314):
    _xlfn.XLOOKUP($A$1,$2:$2,314:314)
  )
 -SUM(
    _xlfn.XLOOKUP(DATE(YEAR($A$1)-1,1,1),$2:$2,314:314):
    _xlfn.XLOOKUP(EDATE($A$1,-12),$2:$2,314:314)
  ),"")</f>
        <v>-179</v>
      </c>
      <c r="CD314" s="4517">
        <f t="shared" si="340"/>
        <v>-99</v>
      </c>
      <c r="CE314" s="5459"/>
      <c r="CF314" s="5459"/>
    </row>
    <row r="315" spans="1:84" s="698" customFormat="1" ht="17.600000000000001" x14ac:dyDescent="0.55000000000000004">
      <c r="A315" s="7347"/>
      <c r="B315" s="5480"/>
      <c r="C315" s="804" t="s">
        <v>228</v>
      </c>
      <c r="D315" s="5523">
        <f t="shared" ref="D315:O315" si="351">D251-D283</f>
        <v>-20</v>
      </c>
      <c r="E315" s="5524">
        <f t="shared" si="351"/>
        <v>51</v>
      </c>
      <c r="F315" s="5524">
        <f t="shared" si="351"/>
        <v>-5</v>
      </c>
      <c r="G315" s="5524">
        <f t="shared" si="351"/>
        <v>47</v>
      </c>
      <c r="H315" s="5524">
        <f t="shared" si="351"/>
        <v>49</v>
      </c>
      <c r="I315" s="5524">
        <f t="shared" si="351"/>
        <v>-22</v>
      </c>
      <c r="J315" s="5524">
        <f t="shared" si="351"/>
        <v>11</v>
      </c>
      <c r="K315" s="5524">
        <f t="shared" si="351"/>
        <v>2</v>
      </c>
      <c r="L315" s="5524">
        <f t="shared" si="351"/>
        <v>-102</v>
      </c>
      <c r="M315" s="5524">
        <f t="shared" si="351"/>
        <v>58</v>
      </c>
      <c r="N315" s="5524">
        <f t="shared" si="351"/>
        <v>-51</v>
      </c>
      <c r="O315" s="5524">
        <f t="shared" si="351"/>
        <v>-54</v>
      </c>
      <c r="P315" s="5524">
        <f t="shared" si="332"/>
        <v>-36</v>
      </c>
      <c r="Q315" s="5525">
        <f t="shared" si="344"/>
        <v>-3</v>
      </c>
      <c r="R315" s="5479"/>
      <c r="S315" s="5523">
        <f t="shared" ref="S315:AD315" si="352">S251-S283</f>
        <v>80</v>
      </c>
      <c r="T315" s="5524">
        <f t="shared" si="352"/>
        <v>-31</v>
      </c>
      <c r="U315" s="5524">
        <f t="shared" si="352"/>
        <v>65</v>
      </c>
      <c r="V315" s="5524">
        <f t="shared" si="352"/>
        <v>-90</v>
      </c>
      <c r="W315" s="5524">
        <f t="shared" si="352"/>
        <v>-18</v>
      </c>
      <c r="X315" s="5524">
        <f t="shared" si="352"/>
        <v>-34</v>
      </c>
      <c r="Y315" s="5524">
        <f t="shared" si="352"/>
        <v>-8</v>
      </c>
      <c r="Z315" s="5524">
        <f t="shared" si="352"/>
        <v>72</v>
      </c>
      <c r="AA315" s="5524">
        <f t="shared" si="352"/>
        <v>-55</v>
      </c>
      <c r="AB315" s="5524">
        <f t="shared" si="352"/>
        <v>58</v>
      </c>
      <c r="AC315" s="5524">
        <f t="shared" si="352"/>
        <v>-58</v>
      </c>
      <c r="AD315" s="5524">
        <f t="shared" si="352"/>
        <v>-46</v>
      </c>
      <c r="AE315" s="5524">
        <f t="shared" si="334"/>
        <v>-65</v>
      </c>
      <c r="AF315" s="5525">
        <f t="shared" si="346"/>
        <v>-5.4166666666666572</v>
      </c>
      <c r="AG315" s="5519"/>
      <c r="AH315" s="5523">
        <f t="shared" si="347"/>
        <v>25</v>
      </c>
      <c r="AI315" s="5524">
        <f t="shared" si="347"/>
        <v>-55</v>
      </c>
      <c r="AJ315" s="5524">
        <f t="shared" si="347"/>
        <v>27</v>
      </c>
      <c r="AK315" s="5524">
        <f t="shared" si="347"/>
        <v>25</v>
      </c>
      <c r="AL315" s="5524">
        <f t="shared" si="347"/>
        <v>43</v>
      </c>
      <c r="AM315" s="5524">
        <f t="shared" si="347"/>
        <v>8</v>
      </c>
      <c r="AN315" s="5524">
        <v>-34</v>
      </c>
      <c r="AO315" s="5524">
        <f t="shared" si="348"/>
        <v>-26</v>
      </c>
      <c r="AP315" s="5524">
        <f t="shared" si="348"/>
        <v>80</v>
      </c>
      <c r="AQ315" s="5524">
        <f t="shared" si="348"/>
        <v>-1</v>
      </c>
      <c r="AR315" s="5524">
        <v>-54</v>
      </c>
      <c r="AS315" s="5524">
        <v>-59</v>
      </c>
      <c r="AT315" s="5524">
        <f t="shared" si="341"/>
        <v>-21</v>
      </c>
      <c r="AU315" s="5525">
        <f t="shared" si="338"/>
        <v>-1.75</v>
      </c>
      <c r="AW315" s="5523">
        <v>-13</v>
      </c>
      <c r="AX315" s="5524">
        <v>143</v>
      </c>
      <c r="AY315" s="5524">
        <v>-69</v>
      </c>
      <c r="AZ315" s="5524">
        <v>4</v>
      </c>
      <c r="BA315" s="5524">
        <v>71</v>
      </c>
      <c r="BB315" s="5524">
        <v>-41</v>
      </c>
      <c r="BC315" s="5524">
        <v>-2</v>
      </c>
      <c r="BD315" s="5524">
        <v>15</v>
      </c>
      <c r="BE315" s="5524">
        <v>-26</v>
      </c>
      <c r="BF315" s="5524">
        <v>-24</v>
      </c>
      <c r="BG315" s="5524">
        <v>-2</v>
      </c>
      <c r="BH315" s="5524">
        <v>23</v>
      </c>
      <c r="BI315" s="5524">
        <f t="shared" si="330"/>
        <v>79</v>
      </c>
      <c r="BJ315" s="5525">
        <f t="shared" si="336"/>
        <v>6.583333333333333</v>
      </c>
      <c r="BL315" s="5523">
        <v>56</v>
      </c>
      <c r="BM315" s="5524">
        <v>-127</v>
      </c>
      <c r="BN315" s="5524"/>
      <c r="BO315" s="5524"/>
      <c r="BP315" s="5524"/>
      <c r="BQ315" s="5524"/>
      <c r="BR315" s="5524"/>
      <c r="BS315" s="5524"/>
      <c r="BT315" s="5524"/>
      <c r="BU315" s="5524"/>
      <c r="BV315" s="5524"/>
      <c r="BW315" s="5524"/>
      <c r="BX315" s="5524">
        <f t="shared" si="331"/>
        <v>-71</v>
      </c>
      <c r="BY315" s="6465">
        <f t="shared" si="337"/>
        <v>-35.5</v>
      </c>
      <c r="CA315" s="169">
        <f t="shared" si="339"/>
        <v>-270</v>
      </c>
      <c r="CB315" s="169">
        <f t="shared" si="342"/>
        <v>8.3333333333333321</v>
      </c>
      <c r="CC315" s="169">
        <f>IFERROR(
  SUM(
    _xlfn.XLOOKUP(DATE(YEAR($A$1),1,1),$2:$2,315:315):
    _xlfn.XLOOKUP($A$1,$2:$2,315:315)
  )
 -SUM(
    _xlfn.XLOOKUP(DATE(YEAR($A$1)-1,1,1),$2:$2,315:315):
    _xlfn.XLOOKUP(EDATE($A$1,-12),$2:$2,315:315)
  ),"")</f>
        <v>-201</v>
      </c>
      <c r="CD315" s="4517">
        <f t="shared" si="340"/>
        <v>-183</v>
      </c>
      <c r="CE315" s="5459"/>
      <c r="CF315" s="5459"/>
    </row>
    <row r="316" spans="1:84" s="698" customFormat="1" ht="17.600000000000001" x14ac:dyDescent="0.55000000000000004">
      <c r="A316" s="7347"/>
      <c r="B316" s="5480"/>
      <c r="C316" s="681" t="s">
        <v>229</v>
      </c>
      <c r="D316" s="5520">
        <f t="shared" ref="D316:O316" si="353">D252-D284</f>
        <v>-30</v>
      </c>
      <c r="E316" s="5521">
        <f t="shared" si="353"/>
        <v>21</v>
      </c>
      <c r="F316" s="5521">
        <f t="shared" si="353"/>
        <v>56</v>
      </c>
      <c r="G316" s="5521">
        <f t="shared" si="353"/>
        <v>17</v>
      </c>
      <c r="H316" s="5521">
        <f t="shared" si="353"/>
        <v>-1</v>
      </c>
      <c r="I316" s="5521">
        <f t="shared" si="353"/>
        <v>-1</v>
      </c>
      <c r="J316" s="5521">
        <f t="shared" si="353"/>
        <v>12</v>
      </c>
      <c r="K316" s="5521">
        <f t="shared" si="353"/>
        <v>-6</v>
      </c>
      <c r="L316" s="5521">
        <f t="shared" si="353"/>
        <v>-11</v>
      </c>
      <c r="M316" s="5521">
        <f t="shared" si="353"/>
        <v>26</v>
      </c>
      <c r="N316" s="5521">
        <f t="shared" si="353"/>
        <v>17</v>
      </c>
      <c r="O316" s="5521">
        <f t="shared" si="353"/>
        <v>-96</v>
      </c>
      <c r="P316" s="5521">
        <f t="shared" si="332"/>
        <v>4</v>
      </c>
      <c r="Q316" s="5522">
        <f t="shared" si="344"/>
        <v>0.33333333333334281</v>
      </c>
      <c r="R316" s="5479"/>
      <c r="S316" s="5520">
        <f t="shared" ref="S316:AD316" si="354">S252-S284</f>
        <v>-25</v>
      </c>
      <c r="T316" s="5521">
        <f t="shared" si="354"/>
        <v>53</v>
      </c>
      <c r="U316" s="5521">
        <f t="shared" si="354"/>
        <v>-4</v>
      </c>
      <c r="V316" s="5521">
        <f t="shared" si="354"/>
        <v>-22</v>
      </c>
      <c r="W316" s="5521">
        <f t="shared" si="354"/>
        <v>-25</v>
      </c>
      <c r="X316" s="5521">
        <f t="shared" si="354"/>
        <v>-24</v>
      </c>
      <c r="Y316" s="5521">
        <f t="shared" si="354"/>
        <v>23</v>
      </c>
      <c r="Z316" s="5521">
        <f t="shared" si="354"/>
        <v>52</v>
      </c>
      <c r="AA316" s="5521">
        <f t="shared" si="354"/>
        <v>-7</v>
      </c>
      <c r="AB316" s="5521">
        <f t="shared" si="354"/>
        <v>-14</v>
      </c>
      <c r="AC316" s="5521">
        <f t="shared" si="354"/>
        <v>-17</v>
      </c>
      <c r="AD316" s="5521">
        <f t="shared" si="354"/>
        <v>-39</v>
      </c>
      <c r="AE316" s="5521">
        <f t="shared" si="334"/>
        <v>-49</v>
      </c>
      <c r="AF316" s="5522">
        <f t="shared" si="346"/>
        <v>-4.0833333333333286</v>
      </c>
      <c r="AG316" s="5519"/>
      <c r="AH316" s="5520">
        <f t="shared" si="347"/>
        <v>70</v>
      </c>
      <c r="AI316" s="5521">
        <f t="shared" si="347"/>
        <v>-55</v>
      </c>
      <c r="AJ316" s="5521">
        <f t="shared" si="347"/>
        <v>30</v>
      </c>
      <c r="AK316" s="5521">
        <f t="shared" si="347"/>
        <v>9</v>
      </c>
      <c r="AL316" s="5521">
        <f t="shared" si="347"/>
        <v>17</v>
      </c>
      <c r="AM316" s="5521">
        <f t="shared" si="347"/>
        <v>-4</v>
      </c>
      <c r="AN316" s="5521">
        <v>-13</v>
      </c>
      <c r="AO316" s="5521">
        <f t="shared" si="348"/>
        <v>-36</v>
      </c>
      <c r="AP316" s="5521">
        <f t="shared" si="348"/>
        <v>111</v>
      </c>
      <c r="AQ316" s="5521">
        <f t="shared" si="348"/>
        <v>-10</v>
      </c>
      <c r="AR316" s="5521">
        <v>44</v>
      </c>
      <c r="AS316" s="5521">
        <v>-12</v>
      </c>
      <c r="AT316" s="5521">
        <f t="shared" si="341"/>
        <v>151</v>
      </c>
      <c r="AU316" s="5522">
        <f t="shared" si="338"/>
        <v>12.583333333333334</v>
      </c>
      <c r="AW316" s="5520">
        <v>-1</v>
      </c>
      <c r="AX316" s="5521">
        <v>78</v>
      </c>
      <c r="AY316" s="5521">
        <v>-6</v>
      </c>
      <c r="AZ316" s="5521">
        <v>39</v>
      </c>
      <c r="BA316" s="5521">
        <v>72</v>
      </c>
      <c r="BB316" s="5521">
        <v>28</v>
      </c>
      <c r="BC316" s="5521">
        <v>-21</v>
      </c>
      <c r="BD316" s="5521">
        <v>-54</v>
      </c>
      <c r="BE316" s="5521">
        <v>-22</v>
      </c>
      <c r="BF316" s="5521">
        <v>-9</v>
      </c>
      <c r="BG316" s="5521">
        <v>-63</v>
      </c>
      <c r="BH316" s="5521">
        <v>32</v>
      </c>
      <c r="BI316" s="5521">
        <f t="shared" si="330"/>
        <v>73</v>
      </c>
      <c r="BJ316" s="5522">
        <f t="shared" si="336"/>
        <v>6.083333333333333</v>
      </c>
      <c r="BL316" s="5520">
        <v>38</v>
      </c>
      <c r="BM316" s="5521">
        <v>-99</v>
      </c>
      <c r="BN316" s="5521"/>
      <c r="BO316" s="5521"/>
      <c r="BP316" s="5521"/>
      <c r="BQ316" s="5521"/>
      <c r="BR316" s="5521"/>
      <c r="BS316" s="5521"/>
      <c r="BT316" s="5521"/>
      <c r="BU316" s="5521"/>
      <c r="BV316" s="5521"/>
      <c r="BW316" s="5521"/>
      <c r="BX316" s="5521">
        <f t="shared" si="331"/>
        <v>-61</v>
      </c>
      <c r="BY316" s="6464">
        <f t="shared" si="337"/>
        <v>-30.5</v>
      </c>
      <c r="CA316" s="169">
        <f t="shared" si="339"/>
        <v>-177</v>
      </c>
      <c r="CB316" s="169">
        <f t="shared" si="342"/>
        <v>-6.5000000000000009</v>
      </c>
      <c r="CC316" s="169">
        <f>IFERROR(
  SUM(
    _xlfn.XLOOKUP(DATE(YEAR($A$1),1,1),$2:$2,316:316):
    _xlfn.XLOOKUP($A$1,$2:$2,316:316)
  )
 -SUM(
    _xlfn.XLOOKUP(DATE(YEAR($A$1)-1,1,1),$2:$2,316:316):
    _xlfn.XLOOKUP(EDATE($A$1,-12),$2:$2,316:316)
  ),"")</f>
        <v>-138</v>
      </c>
      <c r="CD316" s="4517">
        <f t="shared" si="340"/>
        <v>-137</v>
      </c>
      <c r="CE316" s="5459"/>
      <c r="CF316" s="5459"/>
    </row>
    <row r="317" spans="1:84" s="698" customFormat="1" ht="17.600000000000001" x14ac:dyDescent="0.55000000000000004">
      <c r="A317" s="7347"/>
      <c r="B317" s="5480"/>
      <c r="C317" s="681" t="s">
        <v>230</v>
      </c>
      <c r="D317" s="5520">
        <f t="shared" ref="D317:O317" si="355">D253-D285</f>
        <v>2</v>
      </c>
      <c r="E317" s="5521">
        <f t="shared" si="355"/>
        <v>5</v>
      </c>
      <c r="F317" s="5521">
        <f t="shared" si="355"/>
        <v>51</v>
      </c>
      <c r="G317" s="5521">
        <f t="shared" si="355"/>
        <v>12</v>
      </c>
      <c r="H317" s="5521">
        <f t="shared" si="355"/>
        <v>-20</v>
      </c>
      <c r="I317" s="5521">
        <f t="shared" si="355"/>
        <v>-5</v>
      </c>
      <c r="J317" s="5521">
        <f t="shared" si="355"/>
        <v>-1</v>
      </c>
      <c r="K317" s="5521">
        <f t="shared" si="355"/>
        <v>-1</v>
      </c>
      <c r="L317" s="5521">
        <f t="shared" si="355"/>
        <v>-21</v>
      </c>
      <c r="M317" s="5521">
        <f t="shared" si="355"/>
        <v>39</v>
      </c>
      <c r="N317" s="5521">
        <f t="shared" si="355"/>
        <v>-74</v>
      </c>
      <c r="O317" s="5521">
        <f t="shared" si="355"/>
        <v>-93</v>
      </c>
      <c r="P317" s="5521">
        <f t="shared" si="332"/>
        <v>-106</v>
      </c>
      <c r="Q317" s="5522">
        <f t="shared" si="344"/>
        <v>-8.8333333333333428</v>
      </c>
      <c r="R317" s="5479"/>
      <c r="S317" s="5520">
        <f t="shared" ref="S317:AD317" si="356">S253-S285</f>
        <v>89</v>
      </c>
      <c r="T317" s="5521">
        <f t="shared" si="356"/>
        <v>31</v>
      </c>
      <c r="U317" s="5521">
        <f t="shared" si="356"/>
        <v>-37</v>
      </c>
      <c r="V317" s="5521">
        <f t="shared" si="356"/>
        <v>33</v>
      </c>
      <c r="W317" s="5521">
        <f t="shared" si="356"/>
        <v>-9</v>
      </c>
      <c r="X317" s="5521">
        <f t="shared" si="356"/>
        <v>-15</v>
      </c>
      <c r="Y317" s="5521">
        <f t="shared" si="356"/>
        <v>-11</v>
      </c>
      <c r="Z317" s="5521">
        <f t="shared" si="356"/>
        <v>50</v>
      </c>
      <c r="AA317" s="5521">
        <f t="shared" si="356"/>
        <v>-19</v>
      </c>
      <c r="AB317" s="5521">
        <f t="shared" si="356"/>
        <v>2</v>
      </c>
      <c r="AC317" s="5521">
        <f t="shared" si="356"/>
        <v>-13</v>
      </c>
      <c r="AD317" s="5521">
        <f t="shared" si="356"/>
        <v>-50</v>
      </c>
      <c r="AE317" s="5521">
        <f t="shared" si="334"/>
        <v>51</v>
      </c>
      <c r="AF317" s="5522">
        <f t="shared" si="346"/>
        <v>4.25</v>
      </c>
      <c r="AG317" s="5519"/>
      <c r="AH317" s="5520">
        <f t="shared" si="347"/>
        <v>53</v>
      </c>
      <c r="AI317" s="5521">
        <f t="shared" si="347"/>
        <v>16</v>
      </c>
      <c r="AJ317" s="5521">
        <f t="shared" si="347"/>
        <v>7</v>
      </c>
      <c r="AK317" s="5521">
        <f t="shared" si="347"/>
        <v>0</v>
      </c>
      <c r="AL317" s="5521">
        <f t="shared" si="347"/>
        <v>-6</v>
      </c>
      <c r="AM317" s="5521">
        <f t="shared" si="347"/>
        <v>-13</v>
      </c>
      <c r="AN317" s="5521">
        <v>11</v>
      </c>
      <c r="AO317" s="5521">
        <f t="shared" si="348"/>
        <v>-37</v>
      </c>
      <c r="AP317" s="5521">
        <f t="shared" si="348"/>
        <v>36</v>
      </c>
      <c r="AQ317" s="5521">
        <f t="shared" si="348"/>
        <v>-20</v>
      </c>
      <c r="AR317" s="5521">
        <v>24</v>
      </c>
      <c r="AS317" s="5521">
        <v>-27</v>
      </c>
      <c r="AT317" s="5521">
        <f t="shared" si="341"/>
        <v>44</v>
      </c>
      <c r="AU317" s="5522">
        <f t="shared" si="338"/>
        <v>3.6666666666666665</v>
      </c>
      <c r="AW317" s="5520">
        <v>-9</v>
      </c>
      <c r="AX317" s="5521">
        <v>64</v>
      </c>
      <c r="AY317" s="5521">
        <v>-25</v>
      </c>
      <c r="AZ317" s="5521">
        <v>28</v>
      </c>
      <c r="BA317" s="5521">
        <v>62</v>
      </c>
      <c r="BB317" s="5521">
        <v>-22</v>
      </c>
      <c r="BC317" s="5521">
        <v>-11</v>
      </c>
      <c r="BD317" s="5521">
        <v>-3</v>
      </c>
      <c r="BE317" s="5521">
        <v>44</v>
      </c>
      <c r="BF317" s="5521">
        <v>-13</v>
      </c>
      <c r="BG317" s="5521">
        <v>-24</v>
      </c>
      <c r="BH317" s="5521">
        <v>12</v>
      </c>
      <c r="BI317" s="5521">
        <f t="shared" si="330"/>
        <v>103</v>
      </c>
      <c r="BJ317" s="5522">
        <f t="shared" si="336"/>
        <v>8.5833333333333339</v>
      </c>
      <c r="BL317" s="5520">
        <v>47</v>
      </c>
      <c r="BM317" s="5521">
        <v>-108</v>
      </c>
      <c r="BN317" s="5521"/>
      <c r="BO317" s="5521"/>
      <c r="BP317" s="5521"/>
      <c r="BQ317" s="5521"/>
      <c r="BR317" s="5521"/>
      <c r="BS317" s="5521"/>
      <c r="BT317" s="5521"/>
      <c r="BU317" s="5521"/>
      <c r="BV317" s="5521"/>
      <c r="BW317" s="5521"/>
      <c r="BX317" s="5521">
        <f t="shared" si="331"/>
        <v>-61</v>
      </c>
      <c r="BY317" s="6464">
        <f t="shared" si="337"/>
        <v>-30.5</v>
      </c>
      <c r="CA317" s="169">
        <f t="shared" si="339"/>
        <v>-172</v>
      </c>
      <c r="CB317" s="169">
        <f t="shared" si="342"/>
        <v>4.9166666666666679</v>
      </c>
      <c r="CC317" s="169">
        <f>IFERROR(
  SUM(
    _xlfn.XLOOKUP(DATE(YEAR($A$1),1,1),$2:$2,317:317):
    _xlfn.XLOOKUP($A$1,$2:$2,317:317)
  )
 -SUM(
    _xlfn.XLOOKUP(DATE(YEAR($A$1)-1,1,1),$2:$2,317:317):
    _xlfn.XLOOKUP(EDATE($A$1,-12),$2:$2,317:317)
  ),"")</f>
        <v>-116</v>
      </c>
      <c r="CD317" s="4517">
        <f t="shared" si="340"/>
        <v>-155</v>
      </c>
      <c r="CE317" s="5459"/>
      <c r="CF317" s="5459"/>
    </row>
    <row r="318" spans="1:84" s="698" customFormat="1" ht="17.600000000000001" x14ac:dyDescent="0.55000000000000004">
      <c r="A318" s="7347"/>
      <c r="B318" s="5480"/>
      <c r="C318" s="804" t="s">
        <v>231</v>
      </c>
      <c r="D318" s="5523">
        <f t="shared" ref="D318:O318" si="357">D254-D286</f>
        <v>-14</v>
      </c>
      <c r="E318" s="5524">
        <f t="shared" si="357"/>
        <v>-9</v>
      </c>
      <c r="F318" s="5524">
        <f t="shared" si="357"/>
        <v>36</v>
      </c>
      <c r="G318" s="5524">
        <f t="shared" si="357"/>
        <v>5</v>
      </c>
      <c r="H318" s="5524">
        <f t="shared" si="357"/>
        <v>28</v>
      </c>
      <c r="I318" s="5524">
        <f t="shared" si="357"/>
        <v>-13</v>
      </c>
      <c r="J318" s="5524">
        <f t="shared" si="357"/>
        <v>-5</v>
      </c>
      <c r="K318" s="5524">
        <f t="shared" si="357"/>
        <v>-62</v>
      </c>
      <c r="L318" s="5524">
        <f t="shared" si="357"/>
        <v>-19</v>
      </c>
      <c r="M318" s="5524">
        <f t="shared" si="357"/>
        <v>63</v>
      </c>
      <c r="N318" s="5524">
        <f t="shared" si="357"/>
        <v>-5</v>
      </c>
      <c r="O318" s="5524">
        <f t="shared" si="357"/>
        <v>0</v>
      </c>
      <c r="P318" s="5524">
        <f t="shared" si="332"/>
        <v>5</v>
      </c>
      <c r="Q318" s="5525">
        <f t="shared" si="344"/>
        <v>0.4166666666666714</v>
      </c>
      <c r="R318" s="5479"/>
      <c r="S318" s="5523">
        <f t="shared" ref="S318:AD318" si="358">S254-S286</f>
        <v>16</v>
      </c>
      <c r="T318" s="5524">
        <f t="shared" si="358"/>
        <v>0</v>
      </c>
      <c r="U318" s="5524">
        <f t="shared" si="358"/>
        <v>-32</v>
      </c>
      <c r="V318" s="5524">
        <f t="shared" si="358"/>
        <v>-15</v>
      </c>
      <c r="W318" s="5524">
        <f t="shared" si="358"/>
        <v>-9</v>
      </c>
      <c r="X318" s="5524">
        <f t="shared" si="358"/>
        <v>-23</v>
      </c>
      <c r="Y318" s="5524">
        <f t="shared" si="358"/>
        <v>27</v>
      </c>
      <c r="Z318" s="5524">
        <f t="shared" si="358"/>
        <v>21</v>
      </c>
      <c r="AA318" s="5524">
        <f t="shared" si="358"/>
        <v>-64</v>
      </c>
      <c r="AB318" s="5524">
        <f t="shared" si="358"/>
        <v>50</v>
      </c>
      <c r="AC318" s="5524">
        <f t="shared" si="358"/>
        <v>-22</v>
      </c>
      <c r="AD318" s="5524">
        <f t="shared" si="358"/>
        <v>-55</v>
      </c>
      <c r="AE318" s="5524">
        <f t="shared" si="334"/>
        <v>-106</v>
      </c>
      <c r="AF318" s="5525">
        <f t="shared" si="346"/>
        <v>-8.8333333333333286</v>
      </c>
      <c r="AG318" s="5519"/>
      <c r="AH318" s="5523">
        <f t="shared" si="347"/>
        <v>59</v>
      </c>
      <c r="AI318" s="5524">
        <f t="shared" si="347"/>
        <v>-15</v>
      </c>
      <c r="AJ318" s="5524">
        <f t="shared" si="347"/>
        <v>12</v>
      </c>
      <c r="AK318" s="5524">
        <f t="shared" si="347"/>
        <v>22</v>
      </c>
      <c r="AL318" s="5524">
        <f t="shared" si="347"/>
        <v>-5</v>
      </c>
      <c r="AM318" s="5524">
        <f t="shared" si="347"/>
        <v>5</v>
      </c>
      <c r="AN318" s="5524">
        <v>-31</v>
      </c>
      <c r="AO318" s="5524">
        <f t="shared" si="348"/>
        <v>-65</v>
      </c>
      <c r="AP318" s="5524">
        <f t="shared" si="348"/>
        <v>83</v>
      </c>
      <c r="AQ318" s="5524">
        <f t="shared" si="348"/>
        <v>10</v>
      </c>
      <c r="AR318" s="5524">
        <v>5</v>
      </c>
      <c r="AS318" s="5524">
        <v>-46</v>
      </c>
      <c r="AT318" s="5524">
        <f t="shared" si="341"/>
        <v>34</v>
      </c>
      <c r="AU318" s="5525">
        <f t="shared" si="338"/>
        <v>2.8333333333333335</v>
      </c>
      <c r="AW318" s="5523">
        <v>-16</v>
      </c>
      <c r="AX318" s="5524">
        <v>64</v>
      </c>
      <c r="AY318" s="5524">
        <v>-31</v>
      </c>
      <c r="AZ318" s="5524">
        <v>16</v>
      </c>
      <c r="BA318" s="5524">
        <v>37</v>
      </c>
      <c r="BB318" s="5524">
        <v>-10</v>
      </c>
      <c r="BC318" s="5524">
        <v>-24</v>
      </c>
      <c r="BD318" s="5524">
        <v>-13</v>
      </c>
      <c r="BE318" s="5524">
        <v>0</v>
      </c>
      <c r="BF318" s="5524">
        <v>7</v>
      </c>
      <c r="BG318" s="5524">
        <v>-14</v>
      </c>
      <c r="BH318" s="5524">
        <v>-9</v>
      </c>
      <c r="BI318" s="5524">
        <f t="shared" si="330"/>
        <v>7</v>
      </c>
      <c r="BJ318" s="5525">
        <f t="shared" si="336"/>
        <v>0.58333333333333337</v>
      </c>
      <c r="BL318" s="5523">
        <v>38</v>
      </c>
      <c r="BM318" s="5524">
        <v>-84</v>
      </c>
      <c r="BN318" s="5524"/>
      <c r="BO318" s="5524"/>
      <c r="BP318" s="5524"/>
      <c r="BQ318" s="5524"/>
      <c r="BR318" s="5524"/>
      <c r="BS318" s="5524"/>
      <c r="BT318" s="5524"/>
      <c r="BU318" s="5524"/>
      <c r="BV318" s="5524"/>
      <c r="BW318" s="5524"/>
      <c r="BX318" s="5524">
        <f t="shared" si="331"/>
        <v>-46</v>
      </c>
      <c r="BY318" s="6465">
        <f t="shared" si="337"/>
        <v>-23</v>
      </c>
      <c r="CA318" s="169">
        <f t="shared" si="339"/>
        <v>-148</v>
      </c>
      <c r="CB318" s="169">
        <f t="shared" si="342"/>
        <v>-2.25</v>
      </c>
      <c r="CC318" s="169">
        <f>IFERROR(
  SUM(
    _xlfn.XLOOKUP(DATE(YEAR($A$1),1,1),$2:$2,318:318):
    _xlfn.XLOOKUP($A$1,$2:$2,318:318)
  )
 -SUM(
    _xlfn.XLOOKUP(DATE(YEAR($A$1)-1,1,1),$2:$2,318:318):
    _xlfn.XLOOKUP(EDATE($A$1,-12),$2:$2,318:318)
  ),"")</f>
        <v>-94</v>
      </c>
      <c r="CD318" s="4517">
        <f t="shared" si="340"/>
        <v>-122</v>
      </c>
      <c r="CE318" s="5459"/>
      <c r="CF318" s="5459"/>
    </row>
    <row r="319" spans="1:84" s="698" customFormat="1" ht="18" thickBot="1" x14ac:dyDescent="0.6">
      <c r="A319" s="7347"/>
      <c r="B319" s="5487"/>
      <c r="C319" s="2183" t="s">
        <v>232</v>
      </c>
      <c r="D319" s="5526">
        <f t="shared" ref="D319:O319" si="359">D255-D287</f>
        <v>0</v>
      </c>
      <c r="E319" s="5527">
        <f t="shared" si="359"/>
        <v>-12</v>
      </c>
      <c r="F319" s="5527">
        <f t="shared" si="359"/>
        <v>18</v>
      </c>
      <c r="G319" s="5527">
        <f t="shared" si="359"/>
        <v>-18</v>
      </c>
      <c r="H319" s="5527">
        <f t="shared" si="359"/>
        <v>27</v>
      </c>
      <c r="I319" s="5527">
        <f t="shared" si="359"/>
        <v>-24</v>
      </c>
      <c r="J319" s="5527">
        <f t="shared" si="359"/>
        <v>-1</v>
      </c>
      <c r="K319" s="5527">
        <f t="shared" si="359"/>
        <v>-12</v>
      </c>
      <c r="L319" s="5527">
        <f t="shared" si="359"/>
        <v>-23</v>
      </c>
      <c r="M319" s="5527">
        <f t="shared" si="359"/>
        <v>16</v>
      </c>
      <c r="N319" s="5527">
        <f t="shared" si="359"/>
        <v>-26</v>
      </c>
      <c r="O319" s="5527">
        <f t="shared" si="359"/>
        <v>-48</v>
      </c>
      <c r="P319" s="5527">
        <f t="shared" si="332"/>
        <v>-103</v>
      </c>
      <c r="Q319" s="5528">
        <f t="shared" si="344"/>
        <v>-8.5833333333333286</v>
      </c>
      <c r="R319" s="5479"/>
      <c r="S319" s="5526">
        <f t="shared" ref="S319:AD319" si="360">S255-S287</f>
        <v>64</v>
      </c>
      <c r="T319" s="5527">
        <f t="shared" si="360"/>
        <v>21</v>
      </c>
      <c r="U319" s="5527">
        <f t="shared" si="360"/>
        <v>-9</v>
      </c>
      <c r="V319" s="5527">
        <f t="shared" si="360"/>
        <v>-17</v>
      </c>
      <c r="W319" s="5527">
        <f t="shared" si="360"/>
        <v>-51</v>
      </c>
      <c r="X319" s="5527">
        <f t="shared" si="360"/>
        <v>-10</v>
      </c>
      <c r="Y319" s="5527">
        <f t="shared" si="360"/>
        <v>-62</v>
      </c>
      <c r="Z319" s="5527">
        <f t="shared" si="360"/>
        <v>67</v>
      </c>
      <c r="AA319" s="5527">
        <f t="shared" si="360"/>
        <v>-62</v>
      </c>
      <c r="AB319" s="5527">
        <f t="shared" si="360"/>
        <v>-10</v>
      </c>
      <c r="AC319" s="5527">
        <f t="shared" si="360"/>
        <v>-22</v>
      </c>
      <c r="AD319" s="5527">
        <f t="shared" si="360"/>
        <v>-27</v>
      </c>
      <c r="AE319" s="5527">
        <f t="shared" si="334"/>
        <v>-118</v>
      </c>
      <c r="AF319" s="5528">
        <f t="shared" si="346"/>
        <v>-9.8333333333333357</v>
      </c>
      <c r="AG319" s="5519"/>
      <c r="AH319" s="5526">
        <f t="shared" si="347"/>
        <v>93</v>
      </c>
      <c r="AI319" s="5527">
        <f t="shared" si="347"/>
        <v>-39</v>
      </c>
      <c r="AJ319" s="5527">
        <f t="shared" si="347"/>
        <v>36</v>
      </c>
      <c r="AK319" s="5527">
        <f t="shared" si="347"/>
        <v>3</v>
      </c>
      <c r="AL319" s="5527">
        <f t="shared" si="347"/>
        <v>-30</v>
      </c>
      <c r="AM319" s="5527">
        <f t="shared" si="347"/>
        <v>32</v>
      </c>
      <c r="AN319" s="5527">
        <v>-18</v>
      </c>
      <c r="AO319" s="5527">
        <f t="shared" si="348"/>
        <v>-31</v>
      </c>
      <c r="AP319" s="5527">
        <f t="shared" si="348"/>
        <v>39</v>
      </c>
      <c r="AQ319" s="5527">
        <f t="shared" si="348"/>
        <v>19</v>
      </c>
      <c r="AR319" s="5527">
        <v>1</v>
      </c>
      <c r="AS319" s="5527">
        <v>-9</v>
      </c>
      <c r="AT319" s="5527">
        <f t="shared" si="341"/>
        <v>96</v>
      </c>
      <c r="AU319" s="5528">
        <f t="shared" si="338"/>
        <v>8</v>
      </c>
      <c r="AW319" s="5526">
        <v>-60</v>
      </c>
      <c r="AX319" s="5527">
        <v>65</v>
      </c>
      <c r="AY319" s="5527">
        <v>-9</v>
      </c>
      <c r="AZ319" s="5527">
        <v>3</v>
      </c>
      <c r="BA319" s="5527">
        <v>20</v>
      </c>
      <c r="BB319" s="5527">
        <v>-18</v>
      </c>
      <c r="BC319" s="5527">
        <v>-14</v>
      </c>
      <c r="BD319" s="5527">
        <v>26</v>
      </c>
      <c r="BE319" s="5527">
        <v>4</v>
      </c>
      <c r="BF319" s="5527">
        <v>-5</v>
      </c>
      <c r="BG319" s="5527">
        <v>3</v>
      </c>
      <c r="BH319" s="5527">
        <v>-36</v>
      </c>
      <c r="BI319" s="5527">
        <f t="shared" si="330"/>
        <v>-21</v>
      </c>
      <c r="BJ319" s="5528">
        <f t="shared" si="336"/>
        <v>-1.75</v>
      </c>
      <c r="BL319" s="5526">
        <v>19</v>
      </c>
      <c r="BM319" s="5527">
        <v>-69</v>
      </c>
      <c r="BN319" s="5527"/>
      <c r="BO319" s="5527"/>
      <c r="BP319" s="5527"/>
      <c r="BQ319" s="5527"/>
      <c r="BR319" s="5527"/>
      <c r="BS319" s="5527"/>
      <c r="BT319" s="5527"/>
      <c r="BU319" s="5527"/>
      <c r="BV319" s="5527"/>
      <c r="BW319" s="5527"/>
      <c r="BX319" s="5527">
        <f t="shared" si="331"/>
        <v>-50</v>
      </c>
      <c r="BY319" s="6466">
        <f t="shared" si="337"/>
        <v>-25</v>
      </c>
      <c r="CA319" s="169">
        <f t="shared" si="339"/>
        <v>-134</v>
      </c>
      <c r="CB319" s="169">
        <f t="shared" si="342"/>
        <v>-9.75</v>
      </c>
      <c r="CC319" s="169">
        <f>IFERROR(
  SUM(
    _xlfn.XLOOKUP(DATE(YEAR($A$1),1,1),$2:$2,319:319):
    _xlfn.XLOOKUP($A$1,$2:$2,319:319)
  )
 -SUM(
    _xlfn.XLOOKUP(DATE(YEAR($A$1)-1,1,1),$2:$2,319:319):
    _xlfn.XLOOKUP(EDATE($A$1,-12),$2:$2,319:319)
  ),"")</f>
        <v>-55</v>
      </c>
      <c r="CD319" s="4517">
        <f t="shared" si="340"/>
        <v>-88</v>
      </c>
      <c r="CE319" s="5459"/>
      <c r="CF319" s="5459"/>
    </row>
    <row r="320" spans="1:84" ht="17.600000000000001" x14ac:dyDescent="0.55000000000000004">
      <c r="A320" s="7347"/>
      <c r="B320" s="5131" t="s">
        <v>251</v>
      </c>
      <c r="C320" s="5132"/>
      <c r="D320" s="5497">
        <v>158</v>
      </c>
      <c r="E320" s="5498">
        <v>78</v>
      </c>
      <c r="F320" s="5498">
        <v>-44</v>
      </c>
      <c r="G320" s="5498">
        <v>108</v>
      </c>
      <c r="H320" s="5498">
        <v>13</v>
      </c>
      <c r="I320" s="5498">
        <v>-141</v>
      </c>
      <c r="J320" s="5498">
        <v>-117</v>
      </c>
      <c r="K320" s="5498">
        <v>84</v>
      </c>
      <c r="L320" s="5498">
        <v>-149</v>
      </c>
      <c r="M320" s="5498">
        <v>34</v>
      </c>
      <c r="N320" s="5498">
        <v>-68</v>
      </c>
      <c r="O320" s="5498">
        <v>-81</v>
      </c>
      <c r="P320" s="5498">
        <v>-125</v>
      </c>
      <c r="Q320" s="5499">
        <v>-10.416666666666686</v>
      </c>
      <c r="R320" s="2776"/>
      <c r="S320" s="5497">
        <v>41</v>
      </c>
      <c r="T320" s="5498">
        <v>118</v>
      </c>
      <c r="U320" s="5498">
        <v>-33</v>
      </c>
      <c r="V320" s="5498">
        <v>-72</v>
      </c>
      <c r="W320" s="5498">
        <v>97</v>
      </c>
      <c r="X320" s="5498">
        <v>-100</v>
      </c>
      <c r="Y320" s="5498">
        <v>35</v>
      </c>
      <c r="Z320" s="5498">
        <v>132</v>
      </c>
      <c r="AA320" s="5498">
        <v>-135</v>
      </c>
      <c r="AB320" s="5498">
        <v>68</v>
      </c>
      <c r="AC320" s="5498">
        <v>-69</v>
      </c>
      <c r="AD320" s="5498">
        <v>-145</v>
      </c>
      <c r="AE320" s="5498">
        <v>-63</v>
      </c>
      <c r="AF320" s="5499">
        <v>-5.25</v>
      </c>
      <c r="AG320" s="5281"/>
      <c r="AH320" s="5497">
        <v>344</v>
      </c>
      <c r="AI320" s="5498">
        <v>-121</v>
      </c>
      <c r="AJ320" s="5498">
        <v>137</v>
      </c>
      <c r="AK320" s="5498">
        <v>-31</v>
      </c>
      <c r="AL320" s="5498">
        <v>100</v>
      </c>
      <c r="AM320" s="5498">
        <v>-13</v>
      </c>
      <c r="AN320" s="5498">
        <v>34</v>
      </c>
      <c r="AO320" s="5498">
        <v>-87</v>
      </c>
      <c r="AP320" s="5498">
        <v>12</v>
      </c>
      <c r="AQ320" s="5498">
        <v>88</v>
      </c>
      <c r="AR320" s="5498">
        <v>58</v>
      </c>
      <c r="AS320" s="5498">
        <v>-131</v>
      </c>
      <c r="AT320" s="5498">
        <f t="shared" si="341"/>
        <v>390</v>
      </c>
      <c r="AU320" s="5499">
        <f t="shared" si="338"/>
        <v>32.5</v>
      </c>
      <c r="AW320" s="5456">
        <v>-26</v>
      </c>
      <c r="AX320" s="5498">
        <v>185</v>
      </c>
      <c r="AY320" s="5498">
        <v>-144</v>
      </c>
      <c r="AZ320" s="5498">
        <v>24</v>
      </c>
      <c r="BA320" s="5498">
        <v>185</v>
      </c>
      <c r="BB320" s="5498">
        <v>-266</v>
      </c>
      <c r="BC320" s="5500">
        <v>-89</v>
      </c>
      <c r="BD320" s="5500">
        <v>-238</v>
      </c>
      <c r="BE320" s="5498">
        <v>85</v>
      </c>
      <c r="BF320" s="5498">
        <v>-94</v>
      </c>
      <c r="BG320" s="5500">
        <v>-14</v>
      </c>
      <c r="BH320" s="5498">
        <v>60</v>
      </c>
      <c r="BI320" s="5498">
        <f t="shared" si="330"/>
        <v>-332</v>
      </c>
      <c r="BJ320" s="5499">
        <f t="shared" si="336"/>
        <v>-27.666666666666668</v>
      </c>
      <c r="BL320" s="5456">
        <v>73</v>
      </c>
      <c r="BM320" s="5498">
        <v>-276</v>
      </c>
      <c r="BN320" s="5498"/>
      <c r="BO320" s="5498"/>
      <c r="BP320" s="5498"/>
      <c r="BQ320" s="5498"/>
      <c r="BR320" s="5500"/>
      <c r="BS320" s="5500"/>
      <c r="BT320" s="5498"/>
      <c r="BU320" s="5498"/>
      <c r="BV320" s="5500"/>
      <c r="BW320" s="5498"/>
      <c r="BX320" s="5498">
        <f t="shared" si="331"/>
        <v>-203</v>
      </c>
      <c r="BY320" s="6458">
        <f t="shared" si="337"/>
        <v>-101.5</v>
      </c>
      <c r="CA320" s="169">
        <f t="shared" si="339"/>
        <v>-461</v>
      </c>
      <c r="CB320" s="169">
        <f t="shared" si="342"/>
        <v>-60.166666666666671</v>
      </c>
      <c r="CC320" s="169">
        <f>IFERROR(
  SUM(
    _xlfn.XLOOKUP(DATE(YEAR($A$1),1,1),$2:$2,320:320):
    _xlfn.XLOOKUP($A$1,$2:$2,320:320)
  )
 -SUM(
    _xlfn.XLOOKUP(DATE(YEAR($A$1)-1,1,1),$2:$2,320:320):
    _xlfn.XLOOKUP(EDATE($A$1,-12),$2:$2,320:320)
  ),"")</f>
        <v>-362</v>
      </c>
      <c r="CD320" s="4517">
        <f t="shared" si="340"/>
        <v>-349</v>
      </c>
      <c r="CE320" s="5459"/>
      <c r="CF320" s="5459"/>
    </row>
    <row r="321" spans="1:84" ht="17.600000000000001" hidden="1" x14ac:dyDescent="0.55000000000000004">
      <c r="A321" s="7347"/>
      <c r="B321" s="5460"/>
      <c r="C321" s="786" t="s">
        <v>250</v>
      </c>
      <c r="D321" s="5501">
        <v>58</v>
      </c>
      <c r="E321" s="5502">
        <v>33</v>
      </c>
      <c r="F321" s="5502">
        <v>50</v>
      </c>
      <c r="G321" s="5502">
        <v>70</v>
      </c>
      <c r="H321" s="5502">
        <v>66</v>
      </c>
      <c r="I321" s="5502">
        <v>43</v>
      </c>
      <c r="J321" s="5502">
        <v>35</v>
      </c>
      <c r="K321" s="5502">
        <v>56</v>
      </c>
      <c r="L321" s="5502">
        <v>36</v>
      </c>
      <c r="M321" s="5502">
        <v>46</v>
      </c>
      <c r="N321" s="5502">
        <v>21</v>
      </c>
      <c r="O321" s="5502">
        <v>25</v>
      </c>
      <c r="P321" s="5502">
        <v>539</v>
      </c>
      <c r="Q321" s="5503">
        <v>44.916666666666664</v>
      </c>
      <c r="R321" s="2776"/>
      <c r="S321" s="5501">
        <v>40</v>
      </c>
      <c r="T321" s="5502">
        <v>48</v>
      </c>
      <c r="U321" s="5502">
        <v>27</v>
      </c>
      <c r="V321" s="5502">
        <v>24</v>
      </c>
      <c r="W321" s="5502">
        <v>41</v>
      </c>
      <c r="X321" s="5502">
        <v>30</v>
      </c>
      <c r="Y321" s="5502">
        <v>30</v>
      </c>
      <c r="Z321" s="5502">
        <v>54</v>
      </c>
      <c r="AA321" s="5502">
        <v>44</v>
      </c>
      <c r="AB321" s="5502">
        <v>45</v>
      </c>
      <c r="AC321" s="5502">
        <v>42</v>
      </c>
      <c r="AD321" s="5502">
        <v>24</v>
      </c>
      <c r="AE321" s="5502">
        <v>449</v>
      </c>
      <c r="AF321" s="5503">
        <v>37.416666666666664</v>
      </c>
      <c r="AG321" s="5281"/>
      <c r="AH321" s="5501">
        <v>57</v>
      </c>
      <c r="AI321" s="5502">
        <v>23</v>
      </c>
      <c r="AJ321" s="5502">
        <v>44</v>
      </c>
      <c r="AK321" s="5502">
        <v>31</v>
      </c>
      <c r="AL321" s="5502">
        <v>60</v>
      </c>
      <c r="AM321" s="5502">
        <v>32</v>
      </c>
      <c r="AN321" s="5502">
        <v>56</v>
      </c>
      <c r="AO321" s="5502">
        <v>53</v>
      </c>
      <c r="AP321" s="5502">
        <v>64</v>
      </c>
      <c r="AQ321" s="5502">
        <v>42</v>
      </c>
      <c r="AR321" s="5502">
        <v>56</v>
      </c>
      <c r="AS321" s="5502">
        <v>47</v>
      </c>
      <c r="AT321" s="5502">
        <f t="shared" si="341"/>
        <v>565</v>
      </c>
      <c r="AU321" s="5503">
        <f t="shared" si="338"/>
        <v>47.083333333333336</v>
      </c>
      <c r="AW321" s="5501"/>
      <c r="AX321" s="5502">
        <v>60</v>
      </c>
      <c r="AY321" s="5502"/>
      <c r="AZ321" s="5502"/>
      <c r="BA321" s="5502"/>
      <c r="BB321" s="5502">
        <v>68</v>
      </c>
      <c r="BC321" s="5504">
        <v>81</v>
      </c>
      <c r="BD321" s="5504">
        <v>40</v>
      </c>
      <c r="BE321" s="5502">
        <v>0</v>
      </c>
      <c r="BF321" s="5502"/>
      <c r="BG321" s="5504"/>
      <c r="BH321" s="5502">
        <v>-7</v>
      </c>
      <c r="BI321" s="5502">
        <f t="shared" si="330"/>
        <v>242</v>
      </c>
      <c r="BJ321" s="5503">
        <f t="shared" si="336"/>
        <v>40.333333333333336</v>
      </c>
      <c r="BL321" s="5501">
        <v>17</v>
      </c>
      <c r="BM321" s="5502">
        <v>-62</v>
      </c>
      <c r="BN321" s="5502"/>
      <c r="BO321" s="5502"/>
      <c r="BP321" s="5502"/>
      <c r="BQ321" s="5502"/>
      <c r="BR321" s="5504"/>
      <c r="BS321" s="5504"/>
      <c r="BT321" s="5502"/>
      <c r="BU321" s="5502"/>
      <c r="BV321" s="5504"/>
      <c r="BW321" s="5502"/>
      <c r="BX321" s="5502">
        <f t="shared" si="331"/>
        <v>-45</v>
      </c>
      <c r="BY321" s="6459">
        <f t="shared" si="337"/>
        <v>-22.5</v>
      </c>
      <c r="CA321" s="169">
        <f t="shared" si="339"/>
        <v>-122</v>
      </c>
      <c r="CB321" s="169">
        <f t="shared" si="342"/>
        <v>-6.75</v>
      </c>
      <c r="CC321" s="169">
        <f>IFERROR(
  SUM(
    _xlfn.XLOOKUP(DATE(YEAR($A$1),1,1),$2:$2,321:321):
    _xlfn.XLOOKUP($A$1,$2:$2,321:321)
  )
 -SUM(
    _xlfn.XLOOKUP(DATE(YEAR($A$1)-1,1,1),$2:$2,321:321):
    _xlfn.XLOOKUP(EDATE($A$1,-12),$2:$2,321:321)
  ),"")</f>
        <v>-105</v>
      </c>
      <c r="CD321" s="4517">
        <f t="shared" si="340"/>
        <v>-79</v>
      </c>
      <c r="CE321" s="5459"/>
      <c r="CF321" s="5459"/>
    </row>
    <row r="322" spans="1:84" ht="17.600000000000001" hidden="1" x14ac:dyDescent="0.55000000000000004">
      <c r="A322" s="7347"/>
      <c r="B322" s="5460"/>
      <c r="C322" s="786" t="s">
        <v>263</v>
      </c>
      <c r="D322" s="5501">
        <v>129</v>
      </c>
      <c r="E322" s="5502">
        <v>113</v>
      </c>
      <c r="F322" s="5502">
        <v>116</v>
      </c>
      <c r="G322" s="5502">
        <v>140</v>
      </c>
      <c r="H322" s="5502">
        <v>115</v>
      </c>
      <c r="I322" s="5502">
        <v>94</v>
      </c>
      <c r="J322" s="5502">
        <v>100</v>
      </c>
      <c r="K322" s="5502">
        <v>109</v>
      </c>
      <c r="L322" s="5502">
        <v>94</v>
      </c>
      <c r="M322" s="5502">
        <v>91</v>
      </c>
      <c r="N322" s="5502">
        <v>83</v>
      </c>
      <c r="O322" s="5502">
        <v>89</v>
      </c>
      <c r="P322" s="5502">
        <v>1273</v>
      </c>
      <c r="Q322" s="5503">
        <v>106.08333333333333</v>
      </c>
      <c r="R322" s="2776"/>
      <c r="S322" s="5501">
        <v>78</v>
      </c>
      <c r="T322" s="5502">
        <v>110</v>
      </c>
      <c r="U322" s="5502">
        <v>97</v>
      </c>
      <c r="V322" s="5502">
        <v>94</v>
      </c>
      <c r="W322" s="5502">
        <v>96</v>
      </c>
      <c r="X322" s="5502">
        <v>86</v>
      </c>
      <c r="Y322" s="5502">
        <v>104</v>
      </c>
      <c r="Z322" s="5502">
        <v>116</v>
      </c>
      <c r="AA322" s="5502">
        <v>103</v>
      </c>
      <c r="AB322" s="5502">
        <v>113</v>
      </c>
      <c r="AC322" s="5502">
        <v>103</v>
      </c>
      <c r="AD322" s="5502">
        <v>64</v>
      </c>
      <c r="AE322" s="5502">
        <v>1164</v>
      </c>
      <c r="AF322" s="5503">
        <v>97</v>
      </c>
      <c r="AG322" s="5281"/>
      <c r="AH322" s="5501">
        <v>146</v>
      </c>
      <c r="AI322" s="5502">
        <v>93</v>
      </c>
      <c r="AJ322" s="5502">
        <v>144</v>
      </c>
      <c r="AK322" s="5502">
        <v>110</v>
      </c>
      <c r="AL322" s="5502">
        <v>131</v>
      </c>
      <c r="AM322" s="5502">
        <v>108</v>
      </c>
      <c r="AN322" s="5502">
        <v>124</v>
      </c>
      <c r="AO322" s="5502">
        <v>106</v>
      </c>
      <c r="AP322" s="5502">
        <v>93</v>
      </c>
      <c r="AQ322" s="5502">
        <v>166</v>
      </c>
      <c r="AR322" s="5502">
        <v>143</v>
      </c>
      <c r="AS322" s="5502">
        <v>98</v>
      </c>
      <c r="AT322" s="5502">
        <f t="shared" si="341"/>
        <v>1462</v>
      </c>
      <c r="AU322" s="5503">
        <f t="shared" si="338"/>
        <v>121.83333333333333</v>
      </c>
      <c r="AW322" s="5501"/>
      <c r="AX322" s="5502">
        <v>39</v>
      </c>
      <c r="AY322" s="5502"/>
      <c r="AZ322" s="5502"/>
      <c r="BA322" s="5502"/>
      <c r="BB322" s="5502">
        <v>115</v>
      </c>
      <c r="BC322" s="5504">
        <v>147</v>
      </c>
      <c r="BD322" s="5504">
        <v>105</v>
      </c>
      <c r="BE322" s="5502">
        <v>0</v>
      </c>
      <c r="BF322" s="5502"/>
      <c r="BG322" s="5504"/>
      <c r="BH322" s="5502">
        <v>14</v>
      </c>
      <c r="BI322" s="5502">
        <f t="shared" si="330"/>
        <v>420</v>
      </c>
      <c r="BJ322" s="5503">
        <f t="shared" si="336"/>
        <v>70</v>
      </c>
      <c r="BL322" s="5501">
        <v>20</v>
      </c>
      <c r="BM322" s="5502">
        <v>-49</v>
      </c>
      <c r="BN322" s="5502"/>
      <c r="BO322" s="5502"/>
      <c r="BP322" s="5502"/>
      <c r="BQ322" s="5502"/>
      <c r="BR322" s="5504"/>
      <c r="BS322" s="5504"/>
      <c r="BT322" s="5502"/>
      <c r="BU322" s="5502"/>
      <c r="BV322" s="5504"/>
      <c r="BW322" s="5502"/>
      <c r="BX322" s="5502">
        <f t="shared" si="331"/>
        <v>-29</v>
      </c>
      <c r="BY322" s="6459">
        <f t="shared" si="337"/>
        <v>-14.5</v>
      </c>
      <c r="CA322" s="169">
        <f t="shared" si="339"/>
        <v>-88</v>
      </c>
      <c r="CB322" s="169">
        <f t="shared" si="342"/>
        <v>-51.833333333333329</v>
      </c>
      <c r="CC322" s="169">
        <f>IFERROR(
  SUM(
    _xlfn.XLOOKUP(DATE(YEAR($A$1),1,1),$2:$2,322:322):
    _xlfn.XLOOKUP($A$1,$2:$2,322:322)
  )
 -SUM(
    _xlfn.XLOOKUP(DATE(YEAR($A$1)-1,1,1),$2:$2,322:322):
    _xlfn.XLOOKUP(EDATE($A$1,-12),$2:$2,322:322)
  ),"")</f>
        <v>-68</v>
      </c>
      <c r="CD322" s="4517">
        <f t="shared" si="340"/>
        <v>-69</v>
      </c>
      <c r="CE322" s="5459"/>
      <c r="CF322" s="5459"/>
    </row>
    <row r="323" spans="1:84" ht="17.600000000000001" hidden="1" x14ac:dyDescent="0.55000000000000004">
      <c r="A323" s="7347"/>
      <c r="B323" s="5460"/>
      <c r="C323" s="786" t="s">
        <v>262</v>
      </c>
      <c r="D323" s="5501">
        <v>368</v>
      </c>
      <c r="E323" s="5502">
        <v>399</v>
      </c>
      <c r="F323" s="5502">
        <v>366</v>
      </c>
      <c r="G323" s="5502">
        <v>383</v>
      </c>
      <c r="H323" s="5502">
        <v>387</v>
      </c>
      <c r="I323" s="5502">
        <v>300</v>
      </c>
      <c r="J323" s="5502">
        <v>386</v>
      </c>
      <c r="K323" s="5502">
        <v>405</v>
      </c>
      <c r="L323" s="5502">
        <v>311</v>
      </c>
      <c r="M323" s="5502">
        <v>360</v>
      </c>
      <c r="N323" s="5502">
        <v>339</v>
      </c>
      <c r="O323" s="5502">
        <v>293</v>
      </c>
      <c r="P323" s="5502">
        <v>4297</v>
      </c>
      <c r="Q323" s="5503">
        <v>358.08333333333331</v>
      </c>
      <c r="R323" s="2776"/>
      <c r="S323" s="5501">
        <v>359</v>
      </c>
      <c r="T323" s="5502">
        <v>368</v>
      </c>
      <c r="U323" s="5502">
        <v>374</v>
      </c>
      <c r="V323" s="5502">
        <v>348</v>
      </c>
      <c r="W323" s="5502">
        <v>345</v>
      </c>
      <c r="X323" s="5502">
        <v>271</v>
      </c>
      <c r="Y323" s="5502">
        <v>319</v>
      </c>
      <c r="Z323" s="5502">
        <v>373</v>
      </c>
      <c r="AA323" s="5502">
        <v>270</v>
      </c>
      <c r="AB323" s="5502">
        <v>347</v>
      </c>
      <c r="AC323" s="5502">
        <v>272</v>
      </c>
      <c r="AD323" s="5502">
        <v>260</v>
      </c>
      <c r="AE323" s="5502">
        <v>3906</v>
      </c>
      <c r="AF323" s="5503">
        <v>325.5</v>
      </c>
      <c r="AG323" s="5281"/>
      <c r="AH323" s="5501">
        <v>463</v>
      </c>
      <c r="AI323" s="5502">
        <v>343</v>
      </c>
      <c r="AJ323" s="5502">
        <v>404</v>
      </c>
      <c r="AK323" s="5502">
        <v>374</v>
      </c>
      <c r="AL323" s="5502">
        <v>416</v>
      </c>
      <c r="AM323" s="5502">
        <v>409</v>
      </c>
      <c r="AN323" s="5502">
        <v>384</v>
      </c>
      <c r="AO323" s="5502">
        <v>347</v>
      </c>
      <c r="AP323" s="5502">
        <v>392</v>
      </c>
      <c r="AQ323" s="5502">
        <v>394</v>
      </c>
      <c r="AR323" s="5502">
        <v>401</v>
      </c>
      <c r="AS323" s="5502">
        <v>341</v>
      </c>
      <c r="AT323" s="5502">
        <f t="shared" si="341"/>
        <v>4668</v>
      </c>
      <c r="AU323" s="5503">
        <f t="shared" si="338"/>
        <v>389</v>
      </c>
      <c r="AW323" s="5501"/>
      <c r="AX323" s="5502">
        <v>86</v>
      </c>
      <c r="AY323" s="5502"/>
      <c r="AZ323" s="5502"/>
      <c r="BA323" s="5502"/>
      <c r="BB323" s="5502">
        <v>353</v>
      </c>
      <c r="BC323" s="5504">
        <v>398</v>
      </c>
      <c r="BD323" s="5504">
        <v>314</v>
      </c>
      <c r="BE323" s="5502">
        <v>0</v>
      </c>
      <c r="BF323" s="5502"/>
      <c r="BG323" s="5504"/>
      <c r="BH323" s="5502">
        <v>53</v>
      </c>
      <c r="BI323" s="5502">
        <f t="shared" si="330"/>
        <v>1204</v>
      </c>
      <c r="BJ323" s="5503">
        <f t="shared" si="336"/>
        <v>200.66666666666666</v>
      </c>
      <c r="BL323" s="5501">
        <v>36</v>
      </c>
      <c r="BM323" s="5502">
        <v>-165</v>
      </c>
      <c r="BN323" s="5502"/>
      <c r="BO323" s="5502"/>
      <c r="BP323" s="5502"/>
      <c r="BQ323" s="5502"/>
      <c r="BR323" s="5504"/>
      <c r="BS323" s="5504"/>
      <c r="BT323" s="5502"/>
      <c r="BU323" s="5502"/>
      <c r="BV323" s="5504"/>
      <c r="BW323" s="5502"/>
      <c r="BX323" s="5502">
        <f t="shared" si="331"/>
        <v>-129</v>
      </c>
      <c r="BY323" s="6459">
        <f t="shared" si="337"/>
        <v>-64.5</v>
      </c>
      <c r="CA323" s="169">
        <f t="shared" si="339"/>
        <v>-251</v>
      </c>
      <c r="CB323" s="169">
        <f t="shared" si="342"/>
        <v>-188.33333333333334</v>
      </c>
      <c r="CC323" s="169">
        <f>IFERROR(
  SUM(
    _xlfn.XLOOKUP(DATE(YEAR($A$1),1,1),$2:$2,323:323):
    _xlfn.XLOOKUP($A$1,$2:$2,323:323)
  )
 -SUM(
    _xlfn.XLOOKUP(DATE(YEAR($A$1)-1,1,1),$2:$2,323:323):
    _xlfn.XLOOKUP(EDATE($A$1,-12),$2:$2,323:323)
  ),"")</f>
        <v>-215</v>
      </c>
      <c r="CD323" s="4517">
        <f t="shared" si="340"/>
        <v>-201</v>
      </c>
      <c r="CE323" s="5459"/>
      <c r="CF323" s="5459"/>
    </row>
    <row r="324" spans="1:84" ht="17.600000000000001" x14ac:dyDescent="0.55000000000000004">
      <c r="A324" s="7347"/>
      <c r="B324" s="5464" t="s">
        <v>206</v>
      </c>
      <c r="C324" s="1799"/>
      <c r="D324" s="5505">
        <v>39</v>
      </c>
      <c r="E324" s="5506">
        <v>22</v>
      </c>
      <c r="F324" s="5506">
        <v>-12</v>
      </c>
      <c r="G324" s="5506">
        <v>61</v>
      </c>
      <c r="H324" s="5506">
        <v>30</v>
      </c>
      <c r="I324" s="5506">
        <v>-17</v>
      </c>
      <c r="J324" s="5506">
        <v>-80</v>
      </c>
      <c r="K324" s="5506">
        <v>0</v>
      </c>
      <c r="L324" s="5506">
        <v>0</v>
      </c>
      <c r="M324" s="5506">
        <v>14</v>
      </c>
      <c r="N324" s="5506">
        <v>-43</v>
      </c>
      <c r="O324" s="5506">
        <v>3</v>
      </c>
      <c r="P324" s="5506">
        <v>17</v>
      </c>
      <c r="Q324" s="5507">
        <v>1.4166666666666714</v>
      </c>
      <c r="R324" s="2776"/>
      <c r="S324" s="5505">
        <v>-5</v>
      </c>
      <c r="T324" s="5506">
        <v>33</v>
      </c>
      <c r="U324" s="5506">
        <v>-22</v>
      </c>
      <c r="V324" s="5506">
        <v>-23</v>
      </c>
      <c r="W324" s="5506">
        <v>21</v>
      </c>
      <c r="X324" s="5506">
        <v>-17</v>
      </c>
      <c r="Y324" s="5506">
        <v>16</v>
      </c>
      <c r="Z324" s="5506">
        <v>67</v>
      </c>
      <c r="AA324" s="5506">
        <v>-85</v>
      </c>
      <c r="AB324" s="5506">
        <v>10</v>
      </c>
      <c r="AC324" s="5506">
        <v>-4</v>
      </c>
      <c r="AD324" s="5506">
        <v>-28</v>
      </c>
      <c r="AE324" s="5506">
        <v>-37</v>
      </c>
      <c r="AF324" s="5507">
        <v>-3.0833333333333286</v>
      </c>
      <c r="AG324" s="5281"/>
      <c r="AH324" s="5505">
        <v>73</v>
      </c>
      <c r="AI324" s="5506">
        <v>-62</v>
      </c>
      <c r="AJ324" s="5506">
        <v>39</v>
      </c>
      <c r="AK324" s="5506">
        <v>-3</v>
      </c>
      <c r="AL324" s="5506">
        <v>27</v>
      </c>
      <c r="AM324" s="5506">
        <v>2</v>
      </c>
      <c r="AN324" s="5506">
        <v>21</v>
      </c>
      <c r="AO324" s="5506">
        <v>-29</v>
      </c>
      <c r="AP324" s="5506">
        <v>-2</v>
      </c>
      <c r="AQ324" s="5506">
        <v>40</v>
      </c>
      <c r="AR324" s="5506">
        <v>2</v>
      </c>
      <c r="AS324" s="5506">
        <v>-52</v>
      </c>
      <c r="AT324" s="5506">
        <f t="shared" si="341"/>
        <v>56</v>
      </c>
      <c r="AU324" s="5507">
        <f t="shared" si="338"/>
        <v>4.666666666666667</v>
      </c>
      <c r="AW324" s="5465">
        <v>3</v>
      </c>
      <c r="AX324" s="5506">
        <v>37</v>
      </c>
      <c r="AY324" s="5506">
        <v>-32</v>
      </c>
      <c r="AZ324" s="5506">
        <v>2</v>
      </c>
      <c r="BA324" s="5506">
        <v>111</v>
      </c>
      <c r="BB324" s="5506">
        <v>-64</v>
      </c>
      <c r="BC324" s="5508">
        <v>-8</v>
      </c>
      <c r="BD324" s="5508">
        <v>-33</v>
      </c>
      <c r="BE324" s="5506">
        <v>26</v>
      </c>
      <c r="BF324" s="5506">
        <v>-33</v>
      </c>
      <c r="BG324" s="5508">
        <v>20</v>
      </c>
      <c r="BH324" s="5506">
        <v>20</v>
      </c>
      <c r="BI324" s="5506">
        <f t="shared" si="330"/>
        <v>49</v>
      </c>
      <c r="BJ324" s="5507">
        <f t="shared" si="336"/>
        <v>4.083333333333333</v>
      </c>
      <c r="BL324" s="5465">
        <v>-33</v>
      </c>
      <c r="BM324" s="5506">
        <v>-55</v>
      </c>
      <c r="BN324" s="5506"/>
      <c r="BO324" s="5506"/>
      <c r="BP324" s="5506"/>
      <c r="BQ324" s="5506"/>
      <c r="BR324" s="5508"/>
      <c r="BS324" s="5508"/>
      <c r="BT324" s="5506"/>
      <c r="BU324" s="5506"/>
      <c r="BV324" s="5508"/>
      <c r="BW324" s="5506"/>
      <c r="BX324" s="5506">
        <f t="shared" si="331"/>
        <v>-88</v>
      </c>
      <c r="BY324" s="6460">
        <f t="shared" si="337"/>
        <v>-44</v>
      </c>
      <c r="CA324" s="169">
        <f t="shared" si="339"/>
        <v>-92</v>
      </c>
      <c r="CB324" s="169">
        <f t="shared" si="342"/>
        <v>-0.58333333333333393</v>
      </c>
      <c r="CC324" s="169">
        <f>IFERROR(
  SUM(
    _xlfn.XLOOKUP(DATE(YEAR($A$1),1,1),$2:$2,324:324):
    _xlfn.XLOOKUP($A$1,$2:$2,324:324)
  )
 -SUM(
    _xlfn.XLOOKUP(DATE(YEAR($A$1)-1,1,1),$2:$2,324:324):
    _xlfn.XLOOKUP(EDATE($A$1,-12),$2:$2,324:324)
  ),"")</f>
        <v>-128</v>
      </c>
      <c r="CD324" s="4517">
        <f t="shared" si="340"/>
        <v>-22</v>
      </c>
      <c r="CE324" s="5459"/>
      <c r="CF324" s="5459"/>
    </row>
    <row r="325" spans="1:84" ht="17.600000000000001" x14ac:dyDescent="0.55000000000000004">
      <c r="A325" s="7347"/>
      <c r="B325" s="5468" t="s">
        <v>207</v>
      </c>
      <c r="C325" s="1576"/>
      <c r="D325" s="5509">
        <v>39</v>
      </c>
      <c r="E325" s="5292">
        <v>-11</v>
      </c>
      <c r="F325" s="5292">
        <v>35</v>
      </c>
      <c r="G325" s="5292">
        <v>-16</v>
      </c>
      <c r="H325" s="5292">
        <v>-6</v>
      </c>
      <c r="I325" s="5292">
        <v>-40</v>
      </c>
      <c r="J325" s="5292">
        <v>-43</v>
      </c>
      <c r="K325" s="5292">
        <v>36</v>
      </c>
      <c r="L325" s="5292">
        <v>-39</v>
      </c>
      <c r="M325" s="5292">
        <v>28</v>
      </c>
      <c r="N325" s="5292">
        <v>-4</v>
      </c>
      <c r="O325" s="5292">
        <v>-18</v>
      </c>
      <c r="P325" s="5292">
        <v>-39</v>
      </c>
      <c r="Q325" s="5510">
        <v>-3.25</v>
      </c>
      <c r="R325" s="2776"/>
      <c r="S325" s="5509">
        <v>-11</v>
      </c>
      <c r="T325" s="5292">
        <v>33</v>
      </c>
      <c r="U325" s="5292">
        <v>-29</v>
      </c>
      <c r="V325" s="5292">
        <v>-29</v>
      </c>
      <c r="W325" s="5292">
        <v>18</v>
      </c>
      <c r="X325" s="5292">
        <v>-21</v>
      </c>
      <c r="Y325" s="5292">
        <v>23</v>
      </c>
      <c r="Z325" s="5292">
        <v>7</v>
      </c>
      <c r="AA325" s="5292">
        <v>8</v>
      </c>
      <c r="AB325" s="5292">
        <v>-10</v>
      </c>
      <c r="AC325" s="5292">
        <v>-2</v>
      </c>
      <c r="AD325" s="5292">
        <v>-18</v>
      </c>
      <c r="AE325" s="5292">
        <v>-31</v>
      </c>
      <c r="AF325" s="5510">
        <v>-2.5833333333333357</v>
      </c>
      <c r="AG325" s="5281"/>
      <c r="AH325" s="5509">
        <v>39</v>
      </c>
      <c r="AI325" s="5292">
        <v>-16</v>
      </c>
      <c r="AJ325" s="5292">
        <v>20</v>
      </c>
      <c r="AK325" s="5292">
        <v>-15</v>
      </c>
      <c r="AL325" s="5292">
        <v>4</v>
      </c>
      <c r="AM325" s="5292">
        <v>16</v>
      </c>
      <c r="AN325" s="5292">
        <v>-1</v>
      </c>
      <c r="AO325" s="5292">
        <v>17</v>
      </c>
      <c r="AP325" s="5292">
        <v>15</v>
      </c>
      <c r="AQ325" s="5292">
        <v>-21</v>
      </c>
      <c r="AR325" s="5292">
        <v>13</v>
      </c>
      <c r="AS325" s="5292">
        <v>-20</v>
      </c>
      <c r="AT325" s="5292">
        <f t="shared" si="341"/>
        <v>51</v>
      </c>
      <c r="AU325" s="5510">
        <f t="shared" si="338"/>
        <v>4.25</v>
      </c>
      <c r="AW325" s="5469">
        <v>-16</v>
      </c>
      <c r="AX325" s="5292">
        <v>27</v>
      </c>
      <c r="AY325" s="5292">
        <v>-32</v>
      </c>
      <c r="AZ325" s="5292">
        <v>-4</v>
      </c>
      <c r="BA325" s="5292">
        <v>110</v>
      </c>
      <c r="BB325" s="5292">
        <v>-50</v>
      </c>
      <c r="BC325" s="5511">
        <v>-15</v>
      </c>
      <c r="BD325" s="5511">
        <v>-2</v>
      </c>
      <c r="BE325" s="5292">
        <v>6</v>
      </c>
      <c r="BF325" s="5292">
        <v>-13</v>
      </c>
      <c r="BG325" s="5511">
        <v>-9</v>
      </c>
      <c r="BH325" s="5292">
        <v>7</v>
      </c>
      <c r="BI325" s="5292">
        <f t="shared" si="330"/>
        <v>9</v>
      </c>
      <c r="BJ325" s="5510">
        <f t="shared" si="336"/>
        <v>0.75</v>
      </c>
      <c r="BL325" s="5469">
        <v>34</v>
      </c>
      <c r="BM325" s="5292">
        <v>-47</v>
      </c>
      <c r="BN325" s="5292"/>
      <c r="BO325" s="5292"/>
      <c r="BP325" s="5292"/>
      <c r="BQ325" s="5292"/>
      <c r="BR325" s="5511"/>
      <c r="BS325" s="5511"/>
      <c r="BT325" s="5292"/>
      <c r="BU325" s="5292"/>
      <c r="BV325" s="5511"/>
      <c r="BW325" s="5292"/>
      <c r="BX325" s="5292">
        <f t="shared" si="331"/>
        <v>-13</v>
      </c>
      <c r="BY325" s="6461">
        <f t="shared" si="337"/>
        <v>-6.5</v>
      </c>
      <c r="CA325" s="169">
        <f t="shared" si="339"/>
        <v>-74</v>
      </c>
      <c r="CB325" s="169">
        <f t="shared" si="342"/>
        <v>-3.5</v>
      </c>
      <c r="CC325" s="169">
        <f>IFERROR(
  SUM(
    _xlfn.XLOOKUP(DATE(YEAR($A$1),1,1),$2:$2,325:325):
    _xlfn.XLOOKUP($A$1,$2:$2,325:325)
  )
 -SUM(
    _xlfn.XLOOKUP(DATE(YEAR($A$1)-1,1,1),$2:$2,325:325):
    _xlfn.XLOOKUP(EDATE($A$1,-12),$2:$2,325:325)
  ),"")</f>
        <v>-24</v>
      </c>
      <c r="CD325" s="4517">
        <f t="shared" si="340"/>
        <v>-81</v>
      </c>
      <c r="CE325" s="5459"/>
      <c r="CF325" s="5459"/>
    </row>
    <row r="326" spans="1:84" ht="17.600000000000001" x14ac:dyDescent="0.55000000000000004">
      <c r="A326" s="7347"/>
      <c r="B326" s="5468" t="s">
        <v>208</v>
      </c>
      <c r="C326" s="1576"/>
      <c r="D326" s="5509">
        <v>15</v>
      </c>
      <c r="E326" s="5292">
        <v>14</v>
      </c>
      <c r="F326" s="5292">
        <v>-44</v>
      </c>
      <c r="G326" s="5292">
        <v>70</v>
      </c>
      <c r="H326" s="5292">
        <v>-15</v>
      </c>
      <c r="I326" s="5292">
        <v>-39</v>
      </c>
      <c r="J326" s="5292">
        <v>-23</v>
      </c>
      <c r="K326" s="5292">
        <v>-1</v>
      </c>
      <c r="L326" s="5292">
        <v>-38</v>
      </c>
      <c r="M326" s="5292">
        <v>-1</v>
      </c>
      <c r="N326" s="5292">
        <v>-18</v>
      </c>
      <c r="O326" s="5292">
        <v>12</v>
      </c>
      <c r="P326" s="5292">
        <v>-68</v>
      </c>
      <c r="Q326" s="5510">
        <v>-5.6666666666666714</v>
      </c>
      <c r="R326" s="2776"/>
      <c r="S326" s="5509">
        <v>-2</v>
      </c>
      <c r="T326" s="5292">
        <v>11</v>
      </c>
      <c r="U326" s="5292">
        <v>8</v>
      </c>
      <c r="V326" s="5292">
        <v>-15</v>
      </c>
      <c r="W326" s="5292">
        <v>14</v>
      </c>
      <c r="X326" s="5292">
        <v>-9</v>
      </c>
      <c r="Y326" s="5292">
        <v>36</v>
      </c>
      <c r="Z326" s="5292">
        <v>2</v>
      </c>
      <c r="AA326" s="5292">
        <v>-20</v>
      </c>
      <c r="AB326" s="5292">
        <v>14</v>
      </c>
      <c r="AC326" s="5292">
        <v>10</v>
      </c>
      <c r="AD326" s="5292">
        <v>-38</v>
      </c>
      <c r="AE326" s="5292">
        <v>11</v>
      </c>
      <c r="AF326" s="5510">
        <v>0.9166666666666714</v>
      </c>
      <c r="AG326" s="5281"/>
      <c r="AH326" s="5509">
        <v>17</v>
      </c>
      <c r="AI326" s="5292">
        <v>7</v>
      </c>
      <c r="AJ326" s="5292">
        <v>20</v>
      </c>
      <c r="AK326" s="5292">
        <v>1</v>
      </c>
      <c r="AL326" s="5292">
        <v>26</v>
      </c>
      <c r="AM326" s="5292">
        <v>1</v>
      </c>
      <c r="AN326" s="5292">
        <v>1</v>
      </c>
      <c r="AO326" s="5292">
        <v>4</v>
      </c>
      <c r="AP326" s="5292">
        <v>-27</v>
      </c>
      <c r="AQ326" s="5292">
        <v>30</v>
      </c>
      <c r="AR326" s="5292">
        <v>-16</v>
      </c>
      <c r="AS326" s="5292">
        <v>-10</v>
      </c>
      <c r="AT326" s="5292">
        <f t="shared" si="341"/>
        <v>54</v>
      </c>
      <c r="AU326" s="5510">
        <f t="shared" si="338"/>
        <v>4.5</v>
      </c>
      <c r="AW326" s="5469">
        <v>-9</v>
      </c>
      <c r="AX326" s="5292">
        <v>47</v>
      </c>
      <c r="AY326" s="5292">
        <v>-39</v>
      </c>
      <c r="AZ326" s="5292">
        <v>15</v>
      </c>
      <c r="BA326" s="5292">
        <v>67</v>
      </c>
      <c r="BB326" s="5292">
        <v>-25</v>
      </c>
      <c r="BC326" s="5511">
        <v>-12</v>
      </c>
      <c r="BD326" s="5511">
        <v>-30</v>
      </c>
      <c r="BE326" s="5292">
        <v>12</v>
      </c>
      <c r="BF326" s="5292">
        <v>-17</v>
      </c>
      <c r="BG326" s="5511">
        <v>-24</v>
      </c>
      <c r="BH326" s="5292">
        <v>25</v>
      </c>
      <c r="BI326" s="5292">
        <f t="shared" si="330"/>
        <v>10</v>
      </c>
      <c r="BJ326" s="5510">
        <f t="shared" si="336"/>
        <v>0.83333333333333337</v>
      </c>
      <c r="BL326" s="5469">
        <v>28</v>
      </c>
      <c r="BM326" s="5292">
        <v>-31</v>
      </c>
      <c r="BN326" s="5292"/>
      <c r="BO326" s="5292"/>
      <c r="BP326" s="5292"/>
      <c r="BQ326" s="5292"/>
      <c r="BR326" s="5511"/>
      <c r="BS326" s="5511"/>
      <c r="BT326" s="5292"/>
      <c r="BU326" s="5292"/>
      <c r="BV326" s="5511"/>
      <c r="BW326" s="5292"/>
      <c r="BX326" s="5292">
        <f t="shared" si="331"/>
        <v>-3</v>
      </c>
      <c r="BY326" s="6461">
        <f t="shared" si="337"/>
        <v>-1.5</v>
      </c>
      <c r="CA326" s="169">
        <f t="shared" si="339"/>
        <v>-78</v>
      </c>
      <c r="CB326" s="169">
        <f t="shared" si="342"/>
        <v>-3.6666666666666665</v>
      </c>
      <c r="CC326" s="169">
        <f>IFERROR(
  SUM(
    _xlfn.XLOOKUP(DATE(YEAR($A$1),1,1),$2:$2,326:326):
    _xlfn.XLOOKUP($A$1,$2:$2,326:326)
  )
 -SUM(
    _xlfn.XLOOKUP(DATE(YEAR($A$1)-1,1,1),$2:$2,326:326):
    _xlfn.XLOOKUP(EDATE($A$1,-12),$2:$2,326:326)
  ),"")</f>
        <v>-41</v>
      </c>
      <c r="CD326" s="4517">
        <f t="shared" si="340"/>
        <v>-59</v>
      </c>
      <c r="CE326" s="5459"/>
      <c r="CF326" s="5459"/>
    </row>
    <row r="327" spans="1:84" ht="17.600000000000001" x14ac:dyDescent="0.55000000000000004">
      <c r="A327" s="7347"/>
      <c r="B327" s="5468" t="s">
        <v>209</v>
      </c>
      <c r="C327" s="1576"/>
      <c r="D327" s="5509">
        <v>27</v>
      </c>
      <c r="E327" s="5292">
        <v>37</v>
      </c>
      <c r="F327" s="5292">
        <v>2</v>
      </c>
      <c r="G327" s="5292">
        <v>5</v>
      </c>
      <c r="H327" s="5292">
        <v>-14</v>
      </c>
      <c r="I327" s="5292">
        <v>-23</v>
      </c>
      <c r="J327" s="5292">
        <v>43</v>
      </c>
      <c r="K327" s="5292">
        <v>36</v>
      </c>
      <c r="L327" s="5292">
        <v>-54</v>
      </c>
      <c r="M327" s="5292">
        <v>-9</v>
      </c>
      <c r="N327" s="5292">
        <v>-12</v>
      </c>
      <c r="O327" s="5292">
        <v>-52</v>
      </c>
      <c r="P327" s="5292">
        <v>-14</v>
      </c>
      <c r="Q327" s="5510">
        <v>-1.1666666666666714</v>
      </c>
      <c r="R327" s="2776"/>
      <c r="S327" s="5509">
        <v>49</v>
      </c>
      <c r="T327" s="5292">
        <v>22</v>
      </c>
      <c r="U327" s="5292">
        <v>3</v>
      </c>
      <c r="V327" s="5292">
        <v>-12</v>
      </c>
      <c r="W327" s="5292">
        <v>40</v>
      </c>
      <c r="X327" s="5292">
        <v>-17</v>
      </c>
      <c r="Y327" s="5292">
        <v>-25</v>
      </c>
      <c r="Z327" s="5292">
        <v>8</v>
      </c>
      <c r="AA327" s="5292">
        <v>15</v>
      </c>
      <c r="AB327" s="5292">
        <v>29</v>
      </c>
      <c r="AC327" s="5292">
        <v>-69</v>
      </c>
      <c r="AD327" s="5292">
        <v>-20</v>
      </c>
      <c r="AE327" s="5292">
        <v>23</v>
      </c>
      <c r="AF327" s="5510">
        <v>1.9166666666666572</v>
      </c>
      <c r="AG327" s="5281"/>
      <c r="AH327" s="5509">
        <v>99</v>
      </c>
      <c r="AI327" s="5292">
        <v>7</v>
      </c>
      <c r="AJ327" s="5292">
        <v>52</v>
      </c>
      <c r="AK327" s="5292">
        <v>-30</v>
      </c>
      <c r="AL327" s="5292">
        <v>39</v>
      </c>
      <c r="AM327" s="5292">
        <v>-26</v>
      </c>
      <c r="AN327" s="5292">
        <v>-16</v>
      </c>
      <c r="AO327" s="5292">
        <v>-8</v>
      </c>
      <c r="AP327" s="5292">
        <v>18</v>
      </c>
      <c r="AQ327" s="5292">
        <v>-2</v>
      </c>
      <c r="AR327" s="5292">
        <v>40</v>
      </c>
      <c r="AS327" s="5292">
        <v>-29</v>
      </c>
      <c r="AT327" s="5292">
        <f t="shared" si="341"/>
        <v>144</v>
      </c>
      <c r="AU327" s="5510">
        <f t="shared" si="338"/>
        <v>12</v>
      </c>
      <c r="AW327" s="5469">
        <v>17</v>
      </c>
      <c r="AX327" s="5292">
        <v>12</v>
      </c>
      <c r="AY327" s="5292">
        <v>-10</v>
      </c>
      <c r="AZ327" s="5292">
        <v>9</v>
      </c>
      <c r="BA327" s="5292">
        <v>188</v>
      </c>
      <c r="BB327" s="5292">
        <v>-55</v>
      </c>
      <c r="BC327" s="5511">
        <v>-54</v>
      </c>
      <c r="BD327" s="5511">
        <v>-108</v>
      </c>
      <c r="BE327" s="5292">
        <v>31</v>
      </c>
      <c r="BF327" s="5292">
        <v>-8</v>
      </c>
      <c r="BG327" s="5511">
        <v>-23</v>
      </c>
      <c r="BH327" s="5292">
        <v>13</v>
      </c>
      <c r="BI327" s="5292">
        <f t="shared" si="330"/>
        <v>12</v>
      </c>
      <c r="BJ327" s="5510">
        <f t="shared" si="336"/>
        <v>1</v>
      </c>
      <c r="BL327" s="5469">
        <v>29</v>
      </c>
      <c r="BM327" s="5292">
        <v>-112</v>
      </c>
      <c r="BN327" s="5292"/>
      <c r="BO327" s="5292"/>
      <c r="BP327" s="5292"/>
      <c r="BQ327" s="5292"/>
      <c r="BR327" s="5511"/>
      <c r="BS327" s="5511"/>
      <c r="BT327" s="5292"/>
      <c r="BU327" s="5292"/>
      <c r="BV327" s="5511"/>
      <c r="BW327" s="5292"/>
      <c r="BX327" s="5292">
        <f t="shared" si="331"/>
        <v>-83</v>
      </c>
      <c r="BY327" s="6461">
        <f t="shared" si="337"/>
        <v>-41.5</v>
      </c>
      <c r="CA327" s="169">
        <f t="shared" si="339"/>
        <v>-124</v>
      </c>
      <c r="CB327" s="169">
        <f t="shared" si="342"/>
        <v>-11</v>
      </c>
      <c r="CC327" s="169">
        <f>IFERROR(
  SUM(
    _xlfn.XLOOKUP(DATE(YEAR($A$1),1,1),$2:$2,327:327):
    _xlfn.XLOOKUP($A$1,$2:$2,327:327)
  )
 -SUM(
    _xlfn.XLOOKUP(DATE(YEAR($A$1)-1,1,1),$2:$2,327:327):
    _xlfn.XLOOKUP(EDATE($A$1,-12),$2:$2,327:327)
  ),"")</f>
        <v>-112</v>
      </c>
      <c r="CD327" s="4517">
        <f t="shared" si="340"/>
        <v>-141</v>
      </c>
      <c r="CE327" s="5459"/>
      <c r="CF327" s="5459"/>
    </row>
    <row r="328" spans="1:84" ht="17.600000000000001" x14ac:dyDescent="0.55000000000000004">
      <c r="A328" s="7347"/>
      <c r="B328" s="5471" t="s">
        <v>210</v>
      </c>
      <c r="C328" s="1813"/>
      <c r="D328" s="5512">
        <v>38</v>
      </c>
      <c r="E328" s="5513">
        <v>16</v>
      </c>
      <c r="F328" s="5513">
        <v>-25</v>
      </c>
      <c r="G328" s="5513">
        <v>-12</v>
      </c>
      <c r="H328" s="5513">
        <v>18</v>
      </c>
      <c r="I328" s="5513">
        <v>-22</v>
      </c>
      <c r="J328" s="5513">
        <v>-14</v>
      </c>
      <c r="K328" s="5513">
        <v>13</v>
      </c>
      <c r="L328" s="5513">
        <v>-18</v>
      </c>
      <c r="M328" s="5513">
        <v>2</v>
      </c>
      <c r="N328" s="5513">
        <v>9</v>
      </c>
      <c r="O328" s="5513">
        <v>-26</v>
      </c>
      <c r="P328" s="5513">
        <v>-21</v>
      </c>
      <c r="Q328" s="5514">
        <v>-1.75</v>
      </c>
      <c r="R328" s="2776"/>
      <c r="S328" s="5512">
        <v>10</v>
      </c>
      <c r="T328" s="5513">
        <v>19</v>
      </c>
      <c r="U328" s="5513">
        <v>7</v>
      </c>
      <c r="V328" s="5513">
        <v>7</v>
      </c>
      <c r="W328" s="5513">
        <v>4</v>
      </c>
      <c r="X328" s="5513">
        <v>-36</v>
      </c>
      <c r="Y328" s="5513">
        <v>-15</v>
      </c>
      <c r="Z328" s="5513">
        <v>48</v>
      </c>
      <c r="AA328" s="5513">
        <v>-53</v>
      </c>
      <c r="AB328" s="5513">
        <v>25</v>
      </c>
      <c r="AC328" s="5513">
        <v>-4</v>
      </c>
      <c r="AD328" s="5513">
        <v>-41</v>
      </c>
      <c r="AE328" s="5513">
        <v>-29</v>
      </c>
      <c r="AF328" s="5514">
        <v>-2.4166666666666714</v>
      </c>
      <c r="AG328" s="5281"/>
      <c r="AH328" s="5512">
        <v>116</v>
      </c>
      <c r="AI328" s="5513">
        <v>-57</v>
      </c>
      <c r="AJ328" s="5513">
        <v>6</v>
      </c>
      <c r="AK328" s="5513">
        <v>16</v>
      </c>
      <c r="AL328" s="5513">
        <v>4</v>
      </c>
      <c r="AM328" s="5513">
        <v>-7</v>
      </c>
      <c r="AN328" s="5513">
        <v>29</v>
      </c>
      <c r="AO328" s="5513">
        <v>-71</v>
      </c>
      <c r="AP328" s="5513">
        <v>8</v>
      </c>
      <c r="AQ328" s="5513">
        <v>41</v>
      </c>
      <c r="AR328" s="5513">
        <v>19</v>
      </c>
      <c r="AS328" s="5513">
        <v>-20</v>
      </c>
      <c r="AT328" s="5513">
        <f t="shared" si="341"/>
        <v>84</v>
      </c>
      <c r="AU328" s="5514">
        <f t="shared" si="338"/>
        <v>7</v>
      </c>
      <c r="AW328" s="5472">
        <v>-21</v>
      </c>
      <c r="AX328" s="5513">
        <v>62</v>
      </c>
      <c r="AY328" s="5513">
        <v>-31</v>
      </c>
      <c r="AZ328" s="5513">
        <v>2</v>
      </c>
      <c r="BA328" s="5513">
        <v>96</v>
      </c>
      <c r="BB328" s="5513">
        <v>-72</v>
      </c>
      <c r="BC328" s="5515">
        <v>0</v>
      </c>
      <c r="BD328" s="5515">
        <v>-65</v>
      </c>
      <c r="BE328" s="5513">
        <v>10</v>
      </c>
      <c r="BF328" s="5513">
        <v>-23</v>
      </c>
      <c r="BG328" s="5515">
        <v>22</v>
      </c>
      <c r="BH328" s="5513">
        <v>-5</v>
      </c>
      <c r="BI328" s="5513">
        <f t="shared" si="330"/>
        <v>-25</v>
      </c>
      <c r="BJ328" s="5514">
        <f t="shared" si="336"/>
        <v>-2.0833333333333335</v>
      </c>
      <c r="BL328" s="5472">
        <v>15</v>
      </c>
      <c r="BM328" s="5513">
        <v>-31</v>
      </c>
      <c r="BN328" s="5513"/>
      <c r="BO328" s="5513"/>
      <c r="BP328" s="5513"/>
      <c r="BQ328" s="5513"/>
      <c r="BR328" s="5515"/>
      <c r="BS328" s="5515"/>
      <c r="BT328" s="5513"/>
      <c r="BU328" s="5513"/>
      <c r="BV328" s="5515"/>
      <c r="BW328" s="5513"/>
      <c r="BX328" s="5513">
        <f t="shared" si="331"/>
        <v>-16</v>
      </c>
      <c r="BY328" s="6462">
        <f t="shared" si="337"/>
        <v>-8</v>
      </c>
      <c r="CA328" s="169">
        <f t="shared" si="339"/>
        <v>-93</v>
      </c>
      <c r="CB328" s="169">
        <f t="shared" si="342"/>
        <v>-9.0833333333333339</v>
      </c>
      <c r="CC328" s="169">
        <f>IFERROR(
  SUM(
    _xlfn.XLOOKUP(DATE(YEAR($A$1),1,1),$2:$2,328:328):
    _xlfn.XLOOKUP($A$1,$2:$2,328:328)
  )
 -SUM(
    _xlfn.XLOOKUP(DATE(YEAR($A$1)-1,1,1),$2:$2,328:328):
    _xlfn.XLOOKUP(EDATE($A$1,-12),$2:$2,328:328)
  ),"")</f>
        <v>-57</v>
      </c>
      <c r="CD328" s="4517">
        <f t="shared" si="340"/>
        <v>-46</v>
      </c>
      <c r="CE328" s="5459"/>
      <c r="CF328" s="5459"/>
    </row>
    <row r="329" spans="1:84" s="698" customFormat="1" ht="17.600000000000001" x14ac:dyDescent="0.55000000000000004">
      <c r="A329" s="7347"/>
      <c r="B329" s="5475"/>
      <c r="C329" s="2156" t="s">
        <v>226</v>
      </c>
      <c r="D329" s="5516">
        <f t="shared" ref="D329:O329" si="361">D265-D297</f>
        <v>36</v>
      </c>
      <c r="E329" s="5517">
        <f t="shared" si="361"/>
        <v>23</v>
      </c>
      <c r="F329" s="5517">
        <f t="shared" si="361"/>
        <v>-11</v>
      </c>
      <c r="G329" s="5517">
        <f t="shared" si="361"/>
        <v>57</v>
      </c>
      <c r="H329" s="5517">
        <f t="shared" si="361"/>
        <v>24</v>
      </c>
      <c r="I329" s="5517">
        <f t="shared" si="361"/>
        <v>-8</v>
      </c>
      <c r="J329" s="5517">
        <f t="shared" si="361"/>
        <v>-58</v>
      </c>
      <c r="K329" s="5517">
        <f t="shared" si="361"/>
        <v>-12</v>
      </c>
      <c r="L329" s="5517">
        <f t="shared" si="361"/>
        <v>7</v>
      </c>
      <c r="M329" s="5517">
        <f t="shared" si="361"/>
        <v>7</v>
      </c>
      <c r="N329" s="5517">
        <f t="shared" si="361"/>
        <v>-37</v>
      </c>
      <c r="O329" s="5517">
        <f t="shared" si="361"/>
        <v>12</v>
      </c>
      <c r="P329" s="5517">
        <f t="shared" si="332"/>
        <v>40</v>
      </c>
      <c r="Q329" s="5518">
        <f t="shared" ref="Q329:Q335" si="362">Q265-Q297</f>
        <v>3.3333333333333428</v>
      </c>
      <c r="R329" s="5479"/>
      <c r="S329" s="5516">
        <f t="shared" ref="S329:AD329" si="363">S265-S297</f>
        <v>-6</v>
      </c>
      <c r="T329" s="5517">
        <f t="shared" si="363"/>
        <v>29</v>
      </c>
      <c r="U329" s="5517">
        <f t="shared" si="363"/>
        <v>-29</v>
      </c>
      <c r="V329" s="5517">
        <f t="shared" si="363"/>
        <v>-15</v>
      </c>
      <c r="W329" s="5517">
        <f t="shared" si="363"/>
        <v>15</v>
      </c>
      <c r="X329" s="5517">
        <f t="shared" si="363"/>
        <v>-12</v>
      </c>
      <c r="Y329" s="5517">
        <f t="shared" si="363"/>
        <v>15</v>
      </c>
      <c r="Z329" s="5517">
        <f t="shared" si="363"/>
        <v>58</v>
      </c>
      <c r="AA329" s="5517">
        <f t="shared" si="363"/>
        <v>-72</v>
      </c>
      <c r="AB329" s="5517">
        <f t="shared" si="363"/>
        <v>2</v>
      </c>
      <c r="AC329" s="5517">
        <f t="shared" si="363"/>
        <v>1</v>
      </c>
      <c r="AD329" s="5517">
        <f t="shared" si="363"/>
        <v>-29</v>
      </c>
      <c r="AE329" s="5517">
        <f t="shared" si="334"/>
        <v>-43</v>
      </c>
      <c r="AF329" s="5518">
        <f t="shared" ref="AF329:AF335" si="364">AF265-AF297</f>
        <v>-3.5833333333333286</v>
      </c>
      <c r="AG329" s="5519"/>
      <c r="AH329" s="5516">
        <f t="shared" ref="AH329:AM335" si="365">AH265-AH297</f>
        <v>61</v>
      </c>
      <c r="AI329" s="5517">
        <f t="shared" si="365"/>
        <v>-53</v>
      </c>
      <c r="AJ329" s="5517">
        <f t="shared" si="365"/>
        <v>30</v>
      </c>
      <c r="AK329" s="5517">
        <f t="shared" si="365"/>
        <v>-4</v>
      </c>
      <c r="AL329" s="5517">
        <f t="shared" si="365"/>
        <v>15</v>
      </c>
      <c r="AM329" s="5517">
        <f t="shared" si="365"/>
        <v>11</v>
      </c>
      <c r="AN329" s="5517">
        <v>2</v>
      </c>
      <c r="AO329" s="5517">
        <f t="shared" ref="AO329:AQ335" si="366">AO265-AO297</f>
        <v>-11</v>
      </c>
      <c r="AP329" s="5517">
        <f t="shared" si="366"/>
        <v>-3</v>
      </c>
      <c r="AQ329" s="5517">
        <f t="shared" si="366"/>
        <v>41</v>
      </c>
      <c r="AR329" s="5517">
        <v>-5</v>
      </c>
      <c r="AS329" s="5517">
        <v>-46</v>
      </c>
      <c r="AT329" s="5517">
        <f t="shared" si="341"/>
        <v>38</v>
      </c>
      <c r="AU329" s="5518">
        <f t="shared" si="338"/>
        <v>3.1666666666666665</v>
      </c>
      <c r="AW329" s="5516">
        <v>-7</v>
      </c>
      <c r="AX329" s="5517">
        <v>31</v>
      </c>
      <c r="AY329" s="5517">
        <v>-25</v>
      </c>
      <c r="AZ329" s="5517">
        <v>3</v>
      </c>
      <c r="BA329" s="5517">
        <v>85</v>
      </c>
      <c r="BB329" s="5517">
        <v>-45</v>
      </c>
      <c r="BC329" s="5517">
        <v>-8</v>
      </c>
      <c r="BD329" s="5517">
        <v>-33</v>
      </c>
      <c r="BE329" s="5517">
        <v>26</v>
      </c>
      <c r="BF329" s="5517">
        <v>-33</v>
      </c>
      <c r="BG329" s="5517">
        <v>20</v>
      </c>
      <c r="BH329" s="5517">
        <v>20</v>
      </c>
      <c r="BI329" s="5517">
        <f t="shared" ref="BI329:BI335" si="367">SUM(AW329:BH329)</f>
        <v>34</v>
      </c>
      <c r="BJ329" s="5518">
        <f t="shared" si="336"/>
        <v>2.8333333333333335</v>
      </c>
      <c r="BL329" s="5516">
        <v>-33</v>
      </c>
      <c r="BM329" s="5517">
        <v>-55</v>
      </c>
      <c r="BN329" s="5517"/>
      <c r="BO329" s="5517"/>
      <c r="BP329" s="5517"/>
      <c r="BQ329" s="5517"/>
      <c r="BR329" s="5517"/>
      <c r="BS329" s="5517"/>
      <c r="BT329" s="5517"/>
      <c r="BU329" s="5517"/>
      <c r="BV329" s="5517"/>
      <c r="BW329" s="5517"/>
      <c r="BX329" s="5517">
        <f t="shared" ref="BX329:BX335" si="368">SUM(BL329:BW329)</f>
        <v>-88</v>
      </c>
      <c r="BY329" s="6463">
        <f t="shared" si="337"/>
        <v>-44</v>
      </c>
      <c r="CA329" s="169">
        <f t="shared" si="339"/>
        <v>-86</v>
      </c>
      <c r="CB329" s="169">
        <f t="shared" si="342"/>
        <v>-0.33333333333333304</v>
      </c>
      <c r="CC329" s="169">
        <f>IFERROR(
  SUM(
    _xlfn.XLOOKUP(DATE(YEAR($A$1),1,1),$2:$2,329:329):
    _xlfn.XLOOKUP($A$1,$2:$2,329:329)
  )
 -SUM(
    _xlfn.XLOOKUP(DATE(YEAR($A$1)-1,1,1),$2:$2,329:329):
    _xlfn.XLOOKUP(EDATE($A$1,-12),$2:$2,329:329)
  ),"")</f>
        <v>-112</v>
      </c>
      <c r="CD329" s="4517">
        <f t="shared" si="340"/>
        <v>-22</v>
      </c>
      <c r="CE329" s="5459"/>
      <c r="CF329" s="5459"/>
    </row>
    <row r="330" spans="1:84" s="698" customFormat="1" ht="17.600000000000001" x14ac:dyDescent="0.55000000000000004">
      <c r="A330" s="7347"/>
      <c r="B330" s="5480"/>
      <c r="C330" s="681" t="s">
        <v>227</v>
      </c>
      <c r="D330" s="5520">
        <f t="shared" ref="D330:O330" si="369">D266-D298</f>
        <v>39</v>
      </c>
      <c r="E330" s="5521">
        <f t="shared" si="369"/>
        <v>-11</v>
      </c>
      <c r="F330" s="5521">
        <f t="shared" si="369"/>
        <v>35</v>
      </c>
      <c r="G330" s="5521">
        <f t="shared" si="369"/>
        <v>-16</v>
      </c>
      <c r="H330" s="5521">
        <f t="shared" si="369"/>
        <v>-6</v>
      </c>
      <c r="I330" s="5521">
        <f t="shared" si="369"/>
        <v>-40</v>
      </c>
      <c r="J330" s="5521">
        <f t="shared" si="369"/>
        <v>-43</v>
      </c>
      <c r="K330" s="5521">
        <f t="shared" si="369"/>
        <v>36</v>
      </c>
      <c r="L330" s="5521">
        <f t="shared" si="369"/>
        <v>-39</v>
      </c>
      <c r="M330" s="5521">
        <f t="shared" si="369"/>
        <v>28</v>
      </c>
      <c r="N330" s="5521">
        <f t="shared" si="369"/>
        <v>-4</v>
      </c>
      <c r="O330" s="5521">
        <f t="shared" si="369"/>
        <v>-18</v>
      </c>
      <c r="P330" s="5521">
        <f t="shared" ref="P330:P335" si="370">SUM(D330:O330)</f>
        <v>-39</v>
      </c>
      <c r="Q330" s="5522">
        <f t="shared" si="362"/>
        <v>-3.25</v>
      </c>
      <c r="R330" s="5479"/>
      <c r="S330" s="5520">
        <f t="shared" ref="S330:AD330" si="371">S266-S298</f>
        <v>-11</v>
      </c>
      <c r="T330" s="5521">
        <f t="shared" si="371"/>
        <v>33</v>
      </c>
      <c r="U330" s="5521">
        <f t="shared" si="371"/>
        <v>-29</v>
      </c>
      <c r="V330" s="5521">
        <f t="shared" si="371"/>
        <v>-29</v>
      </c>
      <c r="W330" s="5521">
        <f t="shared" si="371"/>
        <v>18</v>
      </c>
      <c r="X330" s="5521">
        <f t="shared" si="371"/>
        <v>-21</v>
      </c>
      <c r="Y330" s="5521">
        <f t="shared" si="371"/>
        <v>23</v>
      </c>
      <c r="Z330" s="5521">
        <f t="shared" si="371"/>
        <v>7</v>
      </c>
      <c r="AA330" s="5521">
        <f t="shared" si="371"/>
        <v>8</v>
      </c>
      <c r="AB330" s="5521">
        <f t="shared" si="371"/>
        <v>-10</v>
      </c>
      <c r="AC330" s="5521">
        <f t="shared" si="371"/>
        <v>-2</v>
      </c>
      <c r="AD330" s="5521">
        <f t="shared" si="371"/>
        <v>-18</v>
      </c>
      <c r="AE330" s="5521">
        <f t="shared" ref="AE330:AE335" si="372">SUM(S330:AD330)</f>
        <v>-31</v>
      </c>
      <c r="AF330" s="5522">
        <f t="shared" si="364"/>
        <v>-2.5833333333333357</v>
      </c>
      <c r="AG330" s="5519"/>
      <c r="AH330" s="5520">
        <f t="shared" si="365"/>
        <v>39</v>
      </c>
      <c r="AI330" s="5521">
        <f t="shared" si="365"/>
        <v>-16</v>
      </c>
      <c r="AJ330" s="5521">
        <f t="shared" si="365"/>
        <v>20</v>
      </c>
      <c r="AK330" s="5521">
        <f t="shared" si="365"/>
        <v>-15</v>
      </c>
      <c r="AL330" s="5521">
        <f t="shared" si="365"/>
        <v>4</v>
      </c>
      <c r="AM330" s="5521">
        <f t="shared" si="365"/>
        <v>16</v>
      </c>
      <c r="AN330" s="5521">
        <v>-1</v>
      </c>
      <c r="AO330" s="5521">
        <f t="shared" si="366"/>
        <v>17</v>
      </c>
      <c r="AP330" s="5521">
        <f t="shared" si="366"/>
        <v>15</v>
      </c>
      <c r="AQ330" s="5521">
        <f t="shared" si="366"/>
        <v>-21</v>
      </c>
      <c r="AR330" s="5521">
        <v>13</v>
      </c>
      <c r="AS330" s="5521">
        <v>-20</v>
      </c>
      <c r="AT330" s="5521">
        <f t="shared" si="341"/>
        <v>51</v>
      </c>
      <c r="AU330" s="5522">
        <f t="shared" si="338"/>
        <v>4.25</v>
      </c>
      <c r="AW330" s="5520">
        <v>-16</v>
      </c>
      <c r="AX330" s="5521">
        <v>27</v>
      </c>
      <c r="AY330" s="5521">
        <v>-32</v>
      </c>
      <c r="AZ330" s="5521">
        <v>-4</v>
      </c>
      <c r="BA330" s="5521">
        <v>110</v>
      </c>
      <c r="BB330" s="5521">
        <v>-50</v>
      </c>
      <c r="BC330" s="5521">
        <v>-15</v>
      </c>
      <c r="BD330" s="5521">
        <v>-2</v>
      </c>
      <c r="BE330" s="5521">
        <v>6</v>
      </c>
      <c r="BF330" s="5521">
        <v>-13</v>
      </c>
      <c r="BG330" s="5521">
        <v>-9</v>
      </c>
      <c r="BH330" s="5521">
        <v>7</v>
      </c>
      <c r="BI330" s="5521">
        <f t="shared" si="367"/>
        <v>9</v>
      </c>
      <c r="BJ330" s="5522">
        <f t="shared" ref="BJ330:BJ389" si="373">AVERAGE(AW330:BH330)</f>
        <v>0.75</v>
      </c>
      <c r="BL330" s="5520">
        <v>34</v>
      </c>
      <c r="BM330" s="5521">
        <v>-47</v>
      </c>
      <c r="BN330" s="5521"/>
      <c r="BO330" s="5521"/>
      <c r="BP330" s="5521"/>
      <c r="BQ330" s="5521"/>
      <c r="BR330" s="5521"/>
      <c r="BS330" s="5521"/>
      <c r="BT330" s="5521"/>
      <c r="BU330" s="5521"/>
      <c r="BV330" s="5521"/>
      <c r="BW330" s="5521"/>
      <c r="BX330" s="5521">
        <f t="shared" si="368"/>
        <v>-13</v>
      </c>
      <c r="BY330" s="6464">
        <f t="shared" ref="BY330:BY335" si="374">AVERAGE(BL330:BW330)</f>
        <v>-6.5</v>
      </c>
      <c r="CA330" s="169">
        <f t="shared" si="339"/>
        <v>-74</v>
      </c>
      <c r="CB330" s="169">
        <f t="shared" si="342"/>
        <v>-3.5</v>
      </c>
      <c r="CC330" s="169">
        <f>IFERROR(
  SUM(
    _xlfn.XLOOKUP(DATE(YEAR($A$1),1,1),$2:$2,330:330):
    _xlfn.XLOOKUP($A$1,$2:$2,330:330)
  )
 -SUM(
    _xlfn.XLOOKUP(DATE(YEAR($A$1)-1,1,1),$2:$2,330:330):
    _xlfn.XLOOKUP(EDATE($A$1,-12),$2:$2,330:330)
  ),"")</f>
        <v>-24</v>
      </c>
      <c r="CD330" s="4517">
        <f t="shared" si="340"/>
        <v>-81</v>
      </c>
      <c r="CE330" s="5459"/>
      <c r="CF330" s="5459"/>
    </row>
    <row r="331" spans="1:84" s="698" customFormat="1" ht="17.600000000000001" x14ac:dyDescent="0.55000000000000004">
      <c r="A331" s="7347"/>
      <c r="B331" s="5480"/>
      <c r="C331" s="804" t="s">
        <v>228</v>
      </c>
      <c r="D331" s="5523">
        <f t="shared" ref="D331:O331" si="375">D267-D299</f>
        <v>15</v>
      </c>
      <c r="E331" s="5524">
        <f t="shared" si="375"/>
        <v>14</v>
      </c>
      <c r="F331" s="5524">
        <f t="shared" si="375"/>
        <v>-44</v>
      </c>
      <c r="G331" s="5524">
        <f t="shared" si="375"/>
        <v>70</v>
      </c>
      <c r="H331" s="5524">
        <f t="shared" si="375"/>
        <v>-15</v>
      </c>
      <c r="I331" s="5524">
        <f t="shared" si="375"/>
        <v>-39</v>
      </c>
      <c r="J331" s="5524">
        <f t="shared" si="375"/>
        <v>-23</v>
      </c>
      <c r="K331" s="5524">
        <f t="shared" si="375"/>
        <v>-1</v>
      </c>
      <c r="L331" s="5524">
        <f t="shared" si="375"/>
        <v>-38</v>
      </c>
      <c r="M331" s="5524">
        <f t="shared" si="375"/>
        <v>-1</v>
      </c>
      <c r="N331" s="5524">
        <f t="shared" si="375"/>
        <v>-18</v>
      </c>
      <c r="O331" s="5524">
        <f t="shared" si="375"/>
        <v>12</v>
      </c>
      <c r="P331" s="5524">
        <f t="shared" si="370"/>
        <v>-68</v>
      </c>
      <c r="Q331" s="5525">
        <f t="shared" si="362"/>
        <v>-5.6666666666666714</v>
      </c>
      <c r="R331" s="5479"/>
      <c r="S331" s="5523">
        <f t="shared" ref="S331:AD331" si="376">S267-S299</f>
        <v>-2</v>
      </c>
      <c r="T331" s="5524">
        <f t="shared" si="376"/>
        <v>11</v>
      </c>
      <c r="U331" s="5524">
        <f t="shared" si="376"/>
        <v>8</v>
      </c>
      <c r="V331" s="5524">
        <f t="shared" si="376"/>
        <v>-15</v>
      </c>
      <c r="W331" s="5524">
        <f t="shared" si="376"/>
        <v>14</v>
      </c>
      <c r="X331" s="5524">
        <f t="shared" si="376"/>
        <v>-9</v>
      </c>
      <c r="Y331" s="5524">
        <f t="shared" si="376"/>
        <v>36</v>
      </c>
      <c r="Z331" s="5524">
        <f t="shared" si="376"/>
        <v>2</v>
      </c>
      <c r="AA331" s="5524">
        <f t="shared" si="376"/>
        <v>-20</v>
      </c>
      <c r="AB331" s="5524">
        <f t="shared" si="376"/>
        <v>14</v>
      </c>
      <c r="AC331" s="5524">
        <f t="shared" si="376"/>
        <v>10</v>
      </c>
      <c r="AD331" s="5524">
        <f t="shared" si="376"/>
        <v>-38</v>
      </c>
      <c r="AE331" s="5524">
        <f t="shared" si="372"/>
        <v>11</v>
      </c>
      <c r="AF331" s="5525">
        <f t="shared" si="364"/>
        <v>0.9166666666666714</v>
      </c>
      <c r="AG331" s="5519"/>
      <c r="AH331" s="5523">
        <f t="shared" si="365"/>
        <v>17</v>
      </c>
      <c r="AI331" s="5524">
        <f t="shared" si="365"/>
        <v>7</v>
      </c>
      <c r="AJ331" s="5524">
        <f t="shared" si="365"/>
        <v>20</v>
      </c>
      <c r="AK331" s="5524">
        <f t="shared" si="365"/>
        <v>1</v>
      </c>
      <c r="AL331" s="5524">
        <f t="shared" si="365"/>
        <v>26</v>
      </c>
      <c r="AM331" s="5524">
        <f t="shared" si="365"/>
        <v>1</v>
      </c>
      <c r="AN331" s="5524">
        <v>1</v>
      </c>
      <c r="AO331" s="5524">
        <f t="shared" si="366"/>
        <v>4</v>
      </c>
      <c r="AP331" s="5524">
        <f t="shared" si="366"/>
        <v>-27</v>
      </c>
      <c r="AQ331" s="5524">
        <f t="shared" si="366"/>
        <v>30</v>
      </c>
      <c r="AR331" s="5524">
        <v>-16</v>
      </c>
      <c r="AS331" s="5524">
        <v>-10</v>
      </c>
      <c r="AT331" s="5524">
        <f t="shared" si="341"/>
        <v>54</v>
      </c>
      <c r="AU331" s="5525">
        <f t="shared" si="338"/>
        <v>4.5</v>
      </c>
      <c r="AW331" s="5523">
        <v>-9</v>
      </c>
      <c r="AX331" s="5524">
        <v>47</v>
      </c>
      <c r="AY331" s="5524">
        <v>-39</v>
      </c>
      <c r="AZ331" s="5524">
        <v>15</v>
      </c>
      <c r="BA331" s="5524">
        <v>67</v>
      </c>
      <c r="BB331" s="5524">
        <v>-25</v>
      </c>
      <c r="BC331" s="5524">
        <v>-12</v>
      </c>
      <c r="BD331" s="5524">
        <v>-30</v>
      </c>
      <c r="BE331" s="5524">
        <v>12</v>
      </c>
      <c r="BF331" s="5524">
        <v>-17</v>
      </c>
      <c r="BG331" s="5524">
        <v>-24</v>
      </c>
      <c r="BH331" s="5524">
        <v>25</v>
      </c>
      <c r="BI331" s="5524">
        <f t="shared" si="367"/>
        <v>10</v>
      </c>
      <c r="BJ331" s="5525">
        <f t="shared" si="373"/>
        <v>0.83333333333333337</v>
      </c>
      <c r="BL331" s="5523">
        <v>28</v>
      </c>
      <c r="BM331" s="5524">
        <v>-31</v>
      </c>
      <c r="BN331" s="5524"/>
      <c r="BO331" s="5524"/>
      <c r="BP331" s="5524"/>
      <c r="BQ331" s="5524"/>
      <c r="BR331" s="5524"/>
      <c r="BS331" s="5524"/>
      <c r="BT331" s="5524"/>
      <c r="BU331" s="5524"/>
      <c r="BV331" s="5524"/>
      <c r="BW331" s="5524"/>
      <c r="BX331" s="5524">
        <f t="shared" si="368"/>
        <v>-3</v>
      </c>
      <c r="BY331" s="6465">
        <f t="shared" si="374"/>
        <v>-1.5</v>
      </c>
      <c r="CA331" s="169">
        <f t="shared" si="339"/>
        <v>-78</v>
      </c>
      <c r="CB331" s="169">
        <f t="shared" si="342"/>
        <v>-3.6666666666666665</v>
      </c>
      <c r="CC331" s="169">
        <f>IFERROR(
  SUM(
    _xlfn.XLOOKUP(DATE(YEAR($A$1),1,1),$2:$2,331:331):
    _xlfn.XLOOKUP($A$1,$2:$2,331:331)
  )
 -SUM(
    _xlfn.XLOOKUP(DATE(YEAR($A$1)-1,1,1),$2:$2,331:331):
    _xlfn.XLOOKUP(EDATE($A$1,-12),$2:$2,331:331)
  ),"")</f>
        <v>-41</v>
      </c>
      <c r="CD331" s="4517">
        <f t="shared" si="340"/>
        <v>-59</v>
      </c>
      <c r="CE331" s="5459"/>
      <c r="CF331" s="5459"/>
    </row>
    <row r="332" spans="1:84" s="698" customFormat="1" ht="17.600000000000001" x14ac:dyDescent="0.55000000000000004">
      <c r="A332" s="7347"/>
      <c r="B332" s="5480"/>
      <c r="C332" s="681" t="s">
        <v>229</v>
      </c>
      <c r="D332" s="5520">
        <f t="shared" ref="D332:O332" si="377">D268-D300</f>
        <v>24</v>
      </c>
      <c r="E332" s="5521">
        <f t="shared" si="377"/>
        <v>32</v>
      </c>
      <c r="F332" s="5521">
        <f t="shared" si="377"/>
        <v>-3</v>
      </c>
      <c r="G332" s="5521">
        <f t="shared" si="377"/>
        <v>-13</v>
      </c>
      <c r="H332" s="5521">
        <f t="shared" si="377"/>
        <v>-6</v>
      </c>
      <c r="I332" s="5521">
        <f t="shared" si="377"/>
        <v>-5</v>
      </c>
      <c r="J332" s="5521">
        <f t="shared" si="377"/>
        <v>42</v>
      </c>
      <c r="K332" s="5521">
        <f t="shared" si="377"/>
        <v>24</v>
      </c>
      <c r="L332" s="5521">
        <f t="shared" si="377"/>
        <v>-31</v>
      </c>
      <c r="M332" s="5521">
        <f t="shared" si="377"/>
        <v>-5</v>
      </c>
      <c r="N332" s="5521">
        <f t="shared" si="377"/>
        <v>-16</v>
      </c>
      <c r="O332" s="5521">
        <f t="shared" si="377"/>
        <v>-18</v>
      </c>
      <c r="P332" s="5521">
        <f t="shared" si="370"/>
        <v>25</v>
      </c>
      <c r="Q332" s="5522">
        <f t="shared" si="362"/>
        <v>2.0833333333333428</v>
      </c>
      <c r="R332" s="5479"/>
      <c r="S332" s="5520">
        <f t="shared" ref="S332:AD332" si="378">S268-S300</f>
        <v>7</v>
      </c>
      <c r="T332" s="5521">
        <f t="shared" si="378"/>
        <v>30</v>
      </c>
      <c r="U332" s="5521">
        <f t="shared" si="378"/>
        <v>0</v>
      </c>
      <c r="V332" s="5521">
        <f t="shared" si="378"/>
        <v>-24</v>
      </c>
      <c r="W332" s="5521">
        <f t="shared" si="378"/>
        <v>29</v>
      </c>
      <c r="X332" s="5521">
        <f t="shared" si="378"/>
        <v>-29</v>
      </c>
      <c r="Y332" s="5521">
        <f t="shared" si="378"/>
        <v>-6</v>
      </c>
      <c r="Z332" s="5521">
        <f t="shared" si="378"/>
        <v>11</v>
      </c>
      <c r="AA332" s="5521">
        <f t="shared" si="378"/>
        <v>12</v>
      </c>
      <c r="AB332" s="5521">
        <f t="shared" si="378"/>
        <v>-13</v>
      </c>
      <c r="AC332" s="5521">
        <f t="shared" si="378"/>
        <v>-13</v>
      </c>
      <c r="AD332" s="5521">
        <f t="shared" si="378"/>
        <v>-12</v>
      </c>
      <c r="AE332" s="5521">
        <f t="shared" si="372"/>
        <v>-8</v>
      </c>
      <c r="AF332" s="5522">
        <f t="shared" si="364"/>
        <v>-0.66666666666665719</v>
      </c>
      <c r="AG332" s="5519"/>
      <c r="AH332" s="5520">
        <f t="shared" si="365"/>
        <v>74</v>
      </c>
      <c r="AI332" s="5521">
        <f t="shared" si="365"/>
        <v>2</v>
      </c>
      <c r="AJ332" s="5521">
        <f t="shared" si="365"/>
        <v>43</v>
      </c>
      <c r="AK332" s="5521">
        <f t="shared" si="365"/>
        <v>-9</v>
      </c>
      <c r="AL332" s="5521">
        <f t="shared" si="365"/>
        <v>31</v>
      </c>
      <c r="AM332" s="5521">
        <f t="shared" si="365"/>
        <v>-27</v>
      </c>
      <c r="AN332" s="5521">
        <v>-19</v>
      </c>
      <c r="AO332" s="5521">
        <f t="shared" si="366"/>
        <v>-17</v>
      </c>
      <c r="AP332" s="5521">
        <f t="shared" si="366"/>
        <v>31</v>
      </c>
      <c r="AQ332" s="5521">
        <f t="shared" si="366"/>
        <v>2</v>
      </c>
      <c r="AR332" s="5521">
        <v>16</v>
      </c>
      <c r="AS332" s="5521">
        <v>-8</v>
      </c>
      <c r="AT332" s="5521">
        <f t="shared" si="341"/>
        <v>119</v>
      </c>
      <c r="AU332" s="5522">
        <f t="shared" si="338"/>
        <v>9.9166666666666661</v>
      </c>
      <c r="AW332" s="5520">
        <v>4</v>
      </c>
      <c r="AX332" s="5521">
        <v>4</v>
      </c>
      <c r="AY332" s="5521">
        <v>-18</v>
      </c>
      <c r="AZ332" s="5521">
        <v>34</v>
      </c>
      <c r="BA332" s="5521">
        <v>112</v>
      </c>
      <c r="BB332" s="5521">
        <v>-24</v>
      </c>
      <c r="BC332" s="5521">
        <v>-46</v>
      </c>
      <c r="BD332" s="5521">
        <v>-70</v>
      </c>
      <c r="BE332" s="5521">
        <v>10</v>
      </c>
      <c r="BF332" s="5521">
        <v>-7</v>
      </c>
      <c r="BG332" s="5521">
        <v>-19</v>
      </c>
      <c r="BH332" s="5521">
        <v>6</v>
      </c>
      <c r="BI332" s="5521">
        <f t="shared" si="367"/>
        <v>-14</v>
      </c>
      <c r="BJ332" s="5522">
        <f t="shared" si="373"/>
        <v>-1.1666666666666667</v>
      </c>
      <c r="BL332" s="5520">
        <v>-1</v>
      </c>
      <c r="BM332" s="5521">
        <v>-41</v>
      </c>
      <c r="BN332" s="5521"/>
      <c r="BO332" s="5521"/>
      <c r="BP332" s="5521"/>
      <c r="BQ332" s="5521"/>
      <c r="BR332" s="5521"/>
      <c r="BS332" s="5521"/>
      <c r="BT332" s="5521"/>
      <c r="BU332" s="5521"/>
      <c r="BV332" s="5521"/>
      <c r="BW332" s="5521"/>
      <c r="BX332" s="5521">
        <f t="shared" si="368"/>
        <v>-42</v>
      </c>
      <c r="BY332" s="6464">
        <f t="shared" si="374"/>
        <v>-21</v>
      </c>
      <c r="CA332" s="169">
        <f t="shared" si="339"/>
        <v>-45</v>
      </c>
      <c r="CB332" s="169">
        <f t="shared" si="342"/>
        <v>-11.083333333333332</v>
      </c>
      <c r="CC332" s="169">
        <f>IFERROR(
  SUM(
    _xlfn.XLOOKUP(DATE(YEAR($A$1),1,1),$2:$2,332:332):
    _xlfn.XLOOKUP($A$1,$2:$2,332:332)
  )
 -SUM(
    _xlfn.XLOOKUP(DATE(YEAR($A$1)-1,1,1),$2:$2,332:332):
    _xlfn.XLOOKUP(EDATE($A$1,-12),$2:$2,332:332)
  ),"")</f>
        <v>-50</v>
      </c>
      <c r="CD332" s="4517">
        <f t="shared" si="340"/>
        <v>-40</v>
      </c>
      <c r="CE332" s="5459"/>
      <c r="CF332" s="5459"/>
    </row>
    <row r="333" spans="1:84" s="698" customFormat="1" ht="17.600000000000001" x14ac:dyDescent="0.55000000000000004">
      <c r="A333" s="7347"/>
      <c r="B333" s="5480"/>
      <c r="C333" s="681" t="s">
        <v>230</v>
      </c>
      <c r="D333" s="5520">
        <f t="shared" ref="D333:O333" si="379">D269-D301</f>
        <v>3</v>
      </c>
      <c r="E333" s="5521">
        <f t="shared" si="379"/>
        <v>5</v>
      </c>
      <c r="F333" s="5521">
        <f t="shared" si="379"/>
        <v>5</v>
      </c>
      <c r="G333" s="5521">
        <f t="shared" si="379"/>
        <v>18</v>
      </c>
      <c r="H333" s="5521">
        <f t="shared" si="379"/>
        <v>-8</v>
      </c>
      <c r="I333" s="5521">
        <f t="shared" si="379"/>
        <v>-18</v>
      </c>
      <c r="J333" s="5521">
        <f t="shared" si="379"/>
        <v>1</v>
      </c>
      <c r="K333" s="5521">
        <f t="shared" si="379"/>
        <v>12</v>
      </c>
      <c r="L333" s="5521">
        <f t="shared" si="379"/>
        <v>-23</v>
      </c>
      <c r="M333" s="5521">
        <f t="shared" si="379"/>
        <v>-4</v>
      </c>
      <c r="N333" s="5521">
        <f t="shared" si="379"/>
        <v>4</v>
      </c>
      <c r="O333" s="5521">
        <f t="shared" si="379"/>
        <v>-34</v>
      </c>
      <c r="P333" s="5521">
        <f t="shared" si="370"/>
        <v>-39</v>
      </c>
      <c r="Q333" s="5522">
        <f t="shared" si="362"/>
        <v>-3.25</v>
      </c>
      <c r="R333" s="5479"/>
      <c r="S333" s="5520">
        <f t="shared" ref="S333:AD333" si="380">S269-S301</f>
        <v>42</v>
      </c>
      <c r="T333" s="5521">
        <f t="shared" si="380"/>
        <v>-8</v>
      </c>
      <c r="U333" s="5521">
        <f t="shared" si="380"/>
        <v>3</v>
      </c>
      <c r="V333" s="5521">
        <f t="shared" si="380"/>
        <v>12</v>
      </c>
      <c r="W333" s="5521">
        <f t="shared" si="380"/>
        <v>11</v>
      </c>
      <c r="X333" s="5521">
        <f t="shared" si="380"/>
        <v>12</v>
      </c>
      <c r="Y333" s="5521">
        <f t="shared" si="380"/>
        <v>-19</v>
      </c>
      <c r="Z333" s="5521">
        <f t="shared" si="380"/>
        <v>-3</v>
      </c>
      <c r="AA333" s="5521">
        <f t="shared" si="380"/>
        <v>3</v>
      </c>
      <c r="AB333" s="5521">
        <f t="shared" si="380"/>
        <v>42</v>
      </c>
      <c r="AC333" s="5521">
        <f t="shared" si="380"/>
        <v>-56</v>
      </c>
      <c r="AD333" s="5521">
        <f t="shared" si="380"/>
        <v>-8</v>
      </c>
      <c r="AE333" s="5521">
        <f t="shared" si="372"/>
        <v>31</v>
      </c>
      <c r="AF333" s="5522">
        <f t="shared" si="364"/>
        <v>2.5833333333333286</v>
      </c>
      <c r="AG333" s="5519"/>
      <c r="AH333" s="5520">
        <f t="shared" si="365"/>
        <v>25</v>
      </c>
      <c r="AI333" s="5521">
        <f t="shared" si="365"/>
        <v>5</v>
      </c>
      <c r="AJ333" s="5521">
        <f t="shared" si="365"/>
        <v>9</v>
      </c>
      <c r="AK333" s="5521">
        <f t="shared" si="365"/>
        <v>-21</v>
      </c>
      <c r="AL333" s="5521">
        <f t="shared" si="365"/>
        <v>8</v>
      </c>
      <c r="AM333" s="5521">
        <f t="shared" si="365"/>
        <v>1</v>
      </c>
      <c r="AN333" s="5521">
        <v>3</v>
      </c>
      <c r="AO333" s="5521">
        <f t="shared" si="366"/>
        <v>9</v>
      </c>
      <c r="AP333" s="5521">
        <f t="shared" si="366"/>
        <v>-13</v>
      </c>
      <c r="AQ333" s="5521">
        <f t="shared" si="366"/>
        <v>-4</v>
      </c>
      <c r="AR333" s="5521">
        <v>24</v>
      </c>
      <c r="AS333" s="5521">
        <v>-21</v>
      </c>
      <c r="AT333" s="5521">
        <f t="shared" si="341"/>
        <v>25</v>
      </c>
      <c r="AU333" s="5522">
        <f t="shared" si="338"/>
        <v>2.0833333333333335</v>
      </c>
      <c r="AW333" s="5520">
        <v>13</v>
      </c>
      <c r="AX333" s="5521">
        <v>8</v>
      </c>
      <c r="AY333" s="5521">
        <v>8</v>
      </c>
      <c r="AZ333" s="5521">
        <v>-25</v>
      </c>
      <c r="BA333" s="5521">
        <v>76</v>
      </c>
      <c r="BB333" s="5521">
        <v>-31</v>
      </c>
      <c r="BC333" s="5521">
        <v>-8</v>
      </c>
      <c r="BD333" s="5521">
        <v>-38</v>
      </c>
      <c r="BE333" s="5521">
        <v>21</v>
      </c>
      <c r="BF333" s="5521">
        <v>-1</v>
      </c>
      <c r="BG333" s="5521">
        <v>-4</v>
      </c>
      <c r="BH333" s="5521">
        <v>7</v>
      </c>
      <c r="BI333" s="5521">
        <f t="shared" si="367"/>
        <v>26</v>
      </c>
      <c r="BJ333" s="5522">
        <f t="shared" si="373"/>
        <v>2.1666666666666665</v>
      </c>
      <c r="BL333" s="5520">
        <v>30</v>
      </c>
      <c r="BM333" s="5521">
        <v>-71</v>
      </c>
      <c r="BN333" s="5521"/>
      <c r="BO333" s="5521"/>
      <c r="BP333" s="5521"/>
      <c r="BQ333" s="5521"/>
      <c r="BR333" s="5521"/>
      <c r="BS333" s="5521"/>
      <c r="BT333" s="5521"/>
      <c r="BU333" s="5521"/>
      <c r="BV333" s="5521"/>
      <c r="BW333" s="5521"/>
      <c r="BX333" s="5521">
        <f t="shared" si="368"/>
        <v>-41</v>
      </c>
      <c r="BY333" s="6464">
        <f t="shared" si="374"/>
        <v>-20.5</v>
      </c>
      <c r="CA333" s="169">
        <f t="shared" si="339"/>
        <v>-79</v>
      </c>
      <c r="CB333" s="169">
        <f t="shared" si="342"/>
        <v>8.3333333333333037E-2</v>
      </c>
      <c r="CC333" s="169">
        <f>IFERROR(
  SUM(
    _xlfn.XLOOKUP(DATE(YEAR($A$1),1,1),$2:$2,333:333):
    _xlfn.XLOOKUP($A$1,$2:$2,333:333)
  )
 -SUM(
    _xlfn.XLOOKUP(DATE(YEAR($A$1)-1,1,1),$2:$2,333:333):
    _xlfn.XLOOKUP(EDATE($A$1,-12),$2:$2,333:333)
  ),"")</f>
        <v>-62</v>
      </c>
      <c r="CD333" s="4517">
        <f t="shared" si="340"/>
        <v>-101</v>
      </c>
      <c r="CE333" s="5459"/>
      <c r="CF333" s="5459"/>
    </row>
    <row r="334" spans="1:84" s="698" customFormat="1" ht="17.600000000000001" x14ac:dyDescent="0.55000000000000004">
      <c r="A334" s="7347"/>
      <c r="B334" s="5480"/>
      <c r="C334" s="804" t="s">
        <v>231</v>
      </c>
      <c r="D334" s="5523">
        <f t="shared" ref="D334:O334" si="381">D270-D302</f>
        <v>8</v>
      </c>
      <c r="E334" s="5524">
        <f t="shared" si="381"/>
        <v>6</v>
      </c>
      <c r="F334" s="5524">
        <f t="shared" si="381"/>
        <v>-16</v>
      </c>
      <c r="G334" s="5524">
        <f t="shared" si="381"/>
        <v>8</v>
      </c>
      <c r="H334" s="5524">
        <f t="shared" si="381"/>
        <v>2</v>
      </c>
      <c r="I334" s="5524">
        <f t="shared" si="381"/>
        <v>-17</v>
      </c>
      <c r="J334" s="5524">
        <f t="shared" si="381"/>
        <v>3</v>
      </c>
      <c r="K334" s="5524">
        <f t="shared" si="381"/>
        <v>15</v>
      </c>
      <c r="L334" s="5524">
        <f t="shared" si="381"/>
        <v>-21</v>
      </c>
      <c r="M334" s="5524">
        <f t="shared" si="381"/>
        <v>5</v>
      </c>
      <c r="N334" s="5524">
        <f t="shared" si="381"/>
        <v>12</v>
      </c>
      <c r="O334" s="5524">
        <f t="shared" si="381"/>
        <v>5</v>
      </c>
      <c r="P334" s="5524">
        <f t="shared" si="370"/>
        <v>10</v>
      </c>
      <c r="Q334" s="5525">
        <f t="shared" si="362"/>
        <v>0.8333333333333357</v>
      </c>
      <c r="R334" s="5479"/>
      <c r="S334" s="5523">
        <f t="shared" ref="S334:AD334" si="382">S270-S302</f>
        <v>-15</v>
      </c>
      <c r="T334" s="5524">
        <f t="shared" si="382"/>
        <v>22</v>
      </c>
      <c r="U334" s="5524">
        <f t="shared" si="382"/>
        <v>-11</v>
      </c>
      <c r="V334" s="5524">
        <f t="shared" si="382"/>
        <v>17</v>
      </c>
      <c r="W334" s="5524">
        <f t="shared" si="382"/>
        <v>3</v>
      </c>
      <c r="X334" s="5524">
        <f t="shared" si="382"/>
        <v>-12</v>
      </c>
      <c r="Y334" s="5524">
        <f t="shared" si="382"/>
        <v>-22</v>
      </c>
      <c r="Z334" s="5524">
        <f t="shared" si="382"/>
        <v>34</v>
      </c>
      <c r="AA334" s="5524">
        <f t="shared" si="382"/>
        <v>-15</v>
      </c>
      <c r="AB334" s="5524">
        <f t="shared" si="382"/>
        <v>2</v>
      </c>
      <c r="AC334" s="5524">
        <f t="shared" si="382"/>
        <v>1</v>
      </c>
      <c r="AD334" s="5524">
        <f t="shared" si="382"/>
        <v>-35</v>
      </c>
      <c r="AE334" s="5524">
        <f t="shared" si="372"/>
        <v>-31</v>
      </c>
      <c r="AF334" s="5525">
        <f t="shared" si="364"/>
        <v>-2.5833333333333286</v>
      </c>
      <c r="AG334" s="5519"/>
      <c r="AH334" s="5523">
        <f t="shared" si="365"/>
        <v>43</v>
      </c>
      <c r="AI334" s="5524">
        <f t="shared" si="365"/>
        <v>-16</v>
      </c>
      <c r="AJ334" s="5524">
        <f t="shared" si="365"/>
        <v>-7</v>
      </c>
      <c r="AK334" s="5524">
        <f t="shared" si="365"/>
        <v>16</v>
      </c>
      <c r="AL334" s="5524">
        <f t="shared" si="365"/>
        <v>25</v>
      </c>
      <c r="AM334" s="5524">
        <f t="shared" si="365"/>
        <v>-15</v>
      </c>
      <c r="AN334" s="5524">
        <v>15</v>
      </c>
      <c r="AO334" s="5524">
        <f t="shared" si="366"/>
        <v>-45</v>
      </c>
      <c r="AP334" s="5524">
        <f t="shared" si="366"/>
        <v>8</v>
      </c>
      <c r="AQ334" s="5524">
        <f t="shared" si="366"/>
        <v>17</v>
      </c>
      <c r="AR334" s="5524">
        <v>0</v>
      </c>
      <c r="AS334" s="5524">
        <v>-4</v>
      </c>
      <c r="AT334" s="5524">
        <f t="shared" si="341"/>
        <v>37</v>
      </c>
      <c r="AU334" s="5525">
        <f t="shared" si="338"/>
        <v>3.0833333333333335</v>
      </c>
      <c r="AW334" s="5523">
        <v>-8</v>
      </c>
      <c r="AX334" s="5524">
        <v>27</v>
      </c>
      <c r="AY334" s="5524">
        <v>3</v>
      </c>
      <c r="AZ334" s="5524">
        <v>-13</v>
      </c>
      <c r="BA334" s="5524">
        <v>71</v>
      </c>
      <c r="BB334" s="5524">
        <v>-44</v>
      </c>
      <c r="BC334" s="5524">
        <v>0</v>
      </c>
      <c r="BD334" s="5524">
        <v>-53</v>
      </c>
      <c r="BE334" s="5524">
        <v>26</v>
      </c>
      <c r="BF334" s="5524">
        <v>-19</v>
      </c>
      <c r="BG334" s="5524">
        <v>13</v>
      </c>
      <c r="BH334" s="5524">
        <v>-4</v>
      </c>
      <c r="BI334" s="5524">
        <f t="shared" si="367"/>
        <v>-1</v>
      </c>
      <c r="BJ334" s="5525">
        <f t="shared" si="373"/>
        <v>-8.3333333333333329E-2</v>
      </c>
      <c r="BL334" s="5523">
        <v>3</v>
      </c>
      <c r="BM334" s="5524">
        <v>-3</v>
      </c>
      <c r="BN334" s="5524"/>
      <c r="BO334" s="5524"/>
      <c r="BP334" s="5524"/>
      <c r="BQ334" s="5524"/>
      <c r="BR334" s="5524"/>
      <c r="BS334" s="5524"/>
      <c r="BT334" s="5524"/>
      <c r="BU334" s="5524"/>
      <c r="BV334" s="5524"/>
      <c r="BW334" s="5524"/>
      <c r="BX334" s="5524">
        <f t="shared" si="368"/>
        <v>0</v>
      </c>
      <c r="BY334" s="6465">
        <f t="shared" si="374"/>
        <v>0</v>
      </c>
      <c r="CA334" s="169">
        <f t="shared" si="339"/>
        <v>-30</v>
      </c>
      <c r="CB334" s="169">
        <f t="shared" si="342"/>
        <v>-3.166666666666667</v>
      </c>
      <c r="CC334" s="169">
        <f>IFERROR(
  SUM(
    _xlfn.XLOOKUP(DATE(YEAR($A$1),1,1),$2:$2,334:334):
    _xlfn.XLOOKUP($A$1,$2:$2,334:334)
  )
 -SUM(
    _xlfn.XLOOKUP(DATE(YEAR($A$1)-1,1,1),$2:$2,334:334):
    _xlfn.XLOOKUP(EDATE($A$1,-12),$2:$2,334:334)
  ),"")</f>
        <v>-19</v>
      </c>
      <c r="CD334" s="4517">
        <f t="shared" si="340"/>
        <v>-6</v>
      </c>
      <c r="CE334" s="5459"/>
      <c r="CF334" s="5459"/>
    </row>
    <row r="335" spans="1:84" s="698" customFormat="1" ht="18" thickBot="1" x14ac:dyDescent="0.6">
      <c r="A335" s="7388"/>
      <c r="B335" s="5491"/>
      <c r="C335" s="5492" t="s">
        <v>232</v>
      </c>
      <c r="D335" s="5529">
        <f t="shared" ref="D335:O335" si="383">D271-D303</f>
        <v>30</v>
      </c>
      <c r="E335" s="5530">
        <f t="shared" si="383"/>
        <v>10</v>
      </c>
      <c r="F335" s="5530">
        <f t="shared" si="383"/>
        <v>-9</v>
      </c>
      <c r="G335" s="5530">
        <f t="shared" si="383"/>
        <v>-20</v>
      </c>
      <c r="H335" s="5530">
        <f t="shared" si="383"/>
        <v>16</v>
      </c>
      <c r="I335" s="5530">
        <f t="shared" si="383"/>
        <v>-5</v>
      </c>
      <c r="J335" s="5530">
        <f t="shared" si="383"/>
        <v>-17</v>
      </c>
      <c r="K335" s="5530">
        <f t="shared" si="383"/>
        <v>-2</v>
      </c>
      <c r="L335" s="5530">
        <f t="shared" si="383"/>
        <v>3</v>
      </c>
      <c r="M335" s="5530">
        <f t="shared" si="383"/>
        <v>-3</v>
      </c>
      <c r="N335" s="5530">
        <f t="shared" si="383"/>
        <v>-3</v>
      </c>
      <c r="O335" s="5530">
        <f t="shared" si="383"/>
        <v>-31</v>
      </c>
      <c r="P335" s="5530">
        <f t="shared" si="370"/>
        <v>-31</v>
      </c>
      <c r="Q335" s="5531">
        <f t="shared" si="362"/>
        <v>-2.5833333333333286</v>
      </c>
      <c r="R335" s="5479"/>
      <c r="S335" s="5529">
        <f t="shared" ref="S335:AD335" si="384">S271-S303</f>
        <v>25</v>
      </c>
      <c r="T335" s="5530">
        <f t="shared" si="384"/>
        <v>-3</v>
      </c>
      <c r="U335" s="5530">
        <f t="shared" si="384"/>
        <v>18</v>
      </c>
      <c r="V335" s="5530">
        <f t="shared" si="384"/>
        <v>-10</v>
      </c>
      <c r="W335" s="5530">
        <f t="shared" si="384"/>
        <v>1</v>
      </c>
      <c r="X335" s="5530">
        <f t="shared" si="384"/>
        <v>-24</v>
      </c>
      <c r="Y335" s="5530">
        <f t="shared" si="384"/>
        <v>7</v>
      </c>
      <c r="Z335" s="5530">
        <f t="shared" si="384"/>
        <v>14</v>
      </c>
      <c r="AA335" s="5530">
        <f t="shared" si="384"/>
        <v>-38</v>
      </c>
      <c r="AB335" s="5530">
        <f t="shared" si="384"/>
        <v>23</v>
      </c>
      <c r="AC335" s="5530">
        <f t="shared" si="384"/>
        <v>-5</v>
      </c>
      <c r="AD335" s="5530">
        <f t="shared" si="384"/>
        <v>-6</v>
      </c>
      <c r="AE335" s="5530">
        <f t="shared" si="372"/>
        <v>2</v>
      </c>
      <c r="AF335" s="5531">
        <f t="shared" si="364"/>
        <v>0.1666666666666714</v>
      </c>
      <c r="AG335" s="5519"/>
      <c r="AH335" s="5529">
        <f t="shared" si="365"/>
        <v>73</v>
      </c>
      <c r="AI335" s="5530">
        <f t="shared" si="365"/>
        <v>-41</v>
      </c>
      <c r="AJ335" s="5530">
        <f t="shared" si="365"/>
        <v>13</v>
      </c>
      <c r="AK335" s="5530">
        <f t="shared" si="365"/>
        <v>0</v>
      </c>
      <c r="AL335" s="5530">
        <f t="shared" si="365"/>
        <v>-21</v>
      </c>
      <c r="AM335" s="5530">
        <f t="shared" si="365"/>
        <v>8</v>
      </c>
      <c r="AN335" s="5530">
        <v>14</v>
      </c>
      <c r="AO335" s="5530">
        <f t="shared" si="366"/>
        <v>-26</v>
      </c>
      <c r="AP335" s="5530">
        <f t="shared" si="366"/>
        <v>0</v>
      </c>
      <c r="AQ335" s="5530">
        <f t="shared" si="366"/>
        <v>24</v>
      </c>
      <c r="AR335" s="5530">
        <v>19</v>
      </c>
      <c r="AS335" s="5530">
        <v>-16</v>
      </c>
      <c r="AT335" s="5530">
        <f t="shared" si="341"/>
        <v>47</v>
      </c>
      <c r="AU335" s="5531">
        <f t="shared" si="338"/>
        <v>3.9166666666666665</v>
      </c>
      <c r="AW335" s="5529">
        <v>-13</v>
      </c>
      <c r="AX335" s="5530">
        <v>35</v>
      </c>
      <c r="AY335" s="5530">
        <v>-34</v>
      </c>
      <c r="AZ335" s="5530">
        <v>15</v>
      </c>
      <c r="BA335" s="5530">
        <v>25</v>
      </c>
      <c r="BB335" s="5530">
        <v>-28</v>
      </c>
      <c r="BC335" s="5530">
        <v>0</v>
      </c>
      <c r="BD335" s="5530">
        <v>-12</v>
      </c>
      <c r="BE335" s="5530">
        <v>-16</v>
      </c>
      <c r="BF335" s="5530">
        <v>-4</v>
      </c>
      <c r="BG335" s="5530">
        <v>9</v>
      </c>
      <c r="BH335" s="5530">
        <v>-1</v>
      </c>
      <c r="BI335" s="5530">
        <f t="shared" si="367"/>
        <v>-24</v>
      </c>
      <c r="BJ335" s="5531">
        <f t="shared" si="373"/>
        <v>-2</v>
      </c>
      <c r="BL335" s="5529">
        <v>12</v>
      </c>
      <c r="BM335" s="5530">
        <v>-28</v>
      </c>
      <c r="BN335" s="5530"/>
      <c r="BO335" s="5530"/>
      <c r="BP335" s="5530"/>
      <c r="BQ335" s="5530"/>
      <c r="BR335" s="5530"/>
      <c r="BS335" s="5530"/>
      <c r="BT335" s="5530"/>
      <c r="BU335" s="5530"/>
      <c r="BV335" s="5530"/>
      <c r="BW335" s="5530"/>
      <c r="BX335" s="5530">
        <f t="shared" si="368"/>
        <v>-16</v>
      </c>
      <c r="BY335" s="6467">
        <f t="shared" si="374"/>
        <v>-8</v>
      </c>
      <c r="CA335" s="169">
        <f t="shared" si="339"/>
        <v>-63</v>
      </c>
      <c r="CB335" s="169">
        <f t="shared" si="342"/>
        <v>-5.9166666666666661</v>
      </c>
      <c r="CC335" s="169">
        <f>IFERROR(
  SUM(
    _xlfn.XLOOKUP(DATE(YEAR($A$1),1,1),$2:$2,335:335):
    _xlfn.XLOOKUP($A$1,$2:$2,335:335)
  )
 -SUM(
    _xlfn.XLOOKUP(DATE(YEAR($A$1)-1,1,1),$2:$2,335:335):
    _xlfn.XLOOKUP(EDATE($A$1,-12),$2:$2,335:335)
  ),"")</f>
        <v>-38</v>
      </c>
      <c r="CD335" s="4517">
        <f t="shared" si="340"/>
        <v>-40</v>
      </c>
      <c r="CE335" s="5459"/>
      <c r="CF335" s="5459"/>
    </row>
    <row r="336" spans="1:84" ht="6" customHeight="1" thickBot="1" x14ac:dyDescent="0.6">
      <c r="D336" s="2843"/>
      <c r="E336" s="2843"/>
      <c r="F336" s="2843"/>
      <c r="G336" s="2843"/>
      <c r="H336" s="2843"/>
      <c r="I336" s="2843"/>
      <c r="J336" s="2843"/>
      <c r="K336" s="2843"/>
      <c r="L336" s="2843"/>
      <c r="M336" s="2843"/>
      <c r="N336" s="2843"/>
      <c r="O336" s="2843"/>
      <c r="P336" s="2843"/>
      <c r="Q336" s="2843"/>
      <c r="R336" s="2776"/>
      <c r="S336" s="2843"/>
      <c r="T336" s="2843"/>
      <c r="U336" s="2843"/>
      <c r="V336" s="2843"/>
      <c r="W336" s="2843"/>
      <c r="X336" s="2843"/>
      <c r="Y336" s="2843"/>
      <c r="Z336" s="2843"/>
      <c r="AA336" s="2843"/>
      <c r="AB336" s="2843"/>
      <c r="AC336" s="2843"/>
      <c r="AD336" s="2843"/>
      <c r="AE336" s="2843"/>
      <c r="AF336" s="2843"/>
      <c r="AG336" s="2776"/>
      <c r="AH336" s="2843"/>
      <c r="AI336" s="2843"/>
      <c r="AJ336" s="2843"/>
      <c r="AK336" s="2843"/>
      <c r="AL336" s="2843"/>
      <c r="AM336" s="2843"/>
      <c r="AN336" s="2843"/>
      <c r="AO336" s="2843"/>
      <c r="AP336" s="2843"/>
      <c r="AQ336" s="2843"/>
      <c r="AR336" s="2843"/>
      <c r="AS336" s="2843"/>
      <c r="AT336" s="2843">
        <f t="shared" si="341"/>
        <v>0</v>
      </c>
      <c r="AU336" s="2843">
        <f t="shared" ref="AU336:AU399" si="385">SUM(AH336:AS336)/12</f>
        <v>0</v>
      </c>
      <c r="AW336" s="2843"/>
      <c r="AX336" s="2843"/>
      <c r="AY336" s="2843"/>
      <c r="AZ336" s="2843"/>
      <c r="BA336" s="2843"/>
      <c r="BB336" s="2843"/>
      <c r="BC336" s="2843"/>
      <c r="BD336" s="2843"/>
      <c r="BE336" s="2843"/>
      <c r="BF336" s="2843"/>
      <c r="BG336" s="2843"/>
      <c r="BH336" s="2843"/>
      <c r="BI336" s="2843"/>
      <c r="BJ336" s="2843"/>
      <c r="BL336" s="2843"/>
      <c r="BM336" s="2843"/>
      <c r="BN336" s="2843"/>
      <c r="BO336" s="2843"/>
      <c r="BP336" s="2843"/>
      <c r="BQ336" s="2843"/>
      <c r="BR336" s="2843"/>
      <c r="BS336" s="2843"/>
      <c r="BT336" s="2843"/>
      <c r="BU336" s="2843"/>
      <c r="BV336" s="2843"/>
      <c r="BW336" s="2843"/>
      <c r="BX336" s="2843"/>
      <c r="CA336" s="169">
        <f t="shared" ref="CA336:CA399" si="386">IFERROR(_xlfn.XLOOKUP($A$1,$2:$2,336:336)-_xlfn.XLOOKUP(EDATE($A$1,-12),$2:$2,336:336),"")</f>
        <v>0</v>
      </c>
      <c r="CB336" s="169">
        <f t="shared" si="342"/>
        <v>0</v>
      </c>
      <c r="CC336" s="169">
        <f>IFERROR(
  SUM(
    _xlfn.XLOOKUP(DATE(YEAR($A$1),1,1),$2:$2,336:336):
    _xlfn.XLOOKUP($A$1,$2:$2,336:336)
  )
 -SUM(
    _xlfn.XLOOKUP(DATE(YEAR($A$1)-1,1,1),$2:$2,336:336):
    _xlfn.XLOOKUP(EDATE($A$1,-12),$2:$2,336:336)
  ),"")</f>
        <v>0</v>
      </c>
      <c r="CD336" s="4517">
        <f t="shared" ref="CD336:CD399" si="387">IFERROR(
  _xlfn.XLOOKUP($A$1,$2:$2,336:336)
 -_xlfn.XLOOKUP(EDATE($A$1,-1),$2:$2,336:336),"")</f>
        <v>0</v>
      </c>
      <c r="CE336" s="5459"/>
      <c r="CF336" s="5459"/>
    </row>
    <row r="337" spans="1:84" ht="17.600000000000001" x14ac:dyDescent="0.55000000000000004">
      <c r="A337" s="7346" t="s">
        <v>387</v>
      </c>
      <c r="B337" s="5131" t="s">
        <v>249</v>
      </c>
      <c r="C337" s="5132"/>
      <c r="D337" s="5532">
        <v>462.9795918367347</v>
      </c>
      <c r="E337" s="5533">
        <v>566.83673469387759</v>
      </c>
      <c r="F337" s="5533">
        <v>498.36734693877548</v>
      </c>
      <c r="G337" s="5533">
        <v>533.24489795918362</v>
      </c>
      <c r="H337" s="5533">
        <v>556.9795918367347</v>
      </c>
      <c r="I337" s="5533">
        <v>515.9795918367347</v>
      </c>
      <c r="J337" s="5533">
        <v>475.9387755102041</v>
      </c>
      <c r="K337" s="5533">
        <v>538.38775510204084</v>
      </c>
      <c r="L337" s="5533">
        <v>371.36734693877548</v>
      </c>
      <c r="M337" s="5533">
        <v>533.83673469387759</v>
      </c>
      <c r="N337" s="5533">
        <v>379.24489795918367</v>
      </c>
      <c r="O337" s="5533">
        <v>332.83673469387753</v>
      </c>
      <c r="P337" s="5457">
        <v>5766</v>
      </c>
      <c r="Q337" s="5534">
        <v>480.5</v>
      </c>
      <c r="R337" s="2776"/>
      <c r="S337" s="5532">
        <v>373.69387755102042</v>
      </c>
      <c r="T337" s="5533">
        <v>443.61224489795916</v>
      </c>
      <c r="U337" s="5533">
        <v>354.32653061224488</v>
      </c>
      <c r="V337" s="5533">
        <v>407.21428571428572</v>
      </c>
      <c r="W337" s="5533">
        <v>415.64285714285717</v>
      </c>
      <c r="X337" s="5533">
        <v>384.61904761904759</v>
      </c>
      <c r="Y337" s="5533">
        <v>438.5</v>
      </c>
      <c r="Z337" s="5533">
        <v>564.97619047619048</v>
      </c>
      <c r="AA337" s="5533">
        <v>391.88095238095241</v>
      </c>
      <c r="AB337" s="5533">
        <v>526.57142857142856</v>
      </c>
      <c r="AC337" s="5533">
        <v>391.52380952380952</v>
      </c>
      <c r="AD337" s="5533">
        <v>322.52380952380952</v>
      </c>
      <c r="AE337" s="5457">
        <v>5015.0850340136049</v>
      </c>
      <c r="AF337" s="5534">
        <v>417.92375283446705</v>
      </c>
      <c r="AG337" s="2776"/>
      <c r="AH337" s="5532">
        <v>499.88095238095241</v>
      </c>
      <c r="AI337" s="5533">
        <v>397.42857142857144</v>
      </c>
      <c r="AJ337" s="5533">
        <v>437.66666666666669</v>
      </c>
      <c r="AK337" s="5533">
        <v>438.85714285714283</v>
      </c>
      <c r="AL337" s="5533">
        <v>479.66666666666669</v>
      </c>
      <c r="AM337" s="5533">
        <v>443.52380952380952</v>
      </c>
      <c r="AN337" s="5535">
        <v>528.5</v>
      </c>
      <c r="AO337" s="5535">
        <v>424.52380952380952</v>
      </c>
      <c r="AP337" s="5533">
        <v>486.57</v>
      </c>
      <c r="AQ337" s="5533">
        <v>475.85</v>
      </c>
      <c r="AR337" s="5457">
        <v>484.04761904761904</v>
      </c>
      <c r="AS337" s="5457">
        <v>404.83333333333331</v>
      </c>
      <c r="AT337" s="5457">
        <f t="shared" ref="AT337:AT400" si="388">SUM(AH337:AS337)</f>
        <v>5501.3485714285716</v>
      </c>
      <c r="AU337" s="5534">
        <f t="shared" si="385"/>
        <v>458.4457142857143</v>
      </c>
      <c r="AW337" s="5456">
        <v>410.45238095238096</v>
      </c>
      <c r="AX337" s="5533">
        <v>618.66666666666663</v>
      </c>
      <c r="AY337" s="5533">
        <v>459.47619047619048</v>
      </c>
      <c r="AZ337" s="5533">
        <v>578.09523809523807</v>
      </c>
      <c r="BA337" s="5533">
        <v>868.02380952380952</v>
      </c>
      <c r="BB337" s="5533">
        <v>675.14285714285711</v>
      </c>
      <c r="BC337" s="5535">
        <v>781.71428571428567</v>
      </c>
      <c r="BD337" s="5535">
        <v>590.07142857142856</v>
      </c>
      <c r="BE337" s="5533">
        <v>646.61904761904759</v>
      </c>
      <c r="BF337" s="5533">
        <v>639.38095238095241</v>
      </c>
      <c r="BG337" s="5457">
        <v>537.90476190476193</v>
      </c>
      <c r="BH337" s="5457">
        <v>574.76190476190482</v>
      </c>
      <c r="BI337" s="5457">
        <f t="shared" ref="BI337:BI388" si="389">SUM(AW337:BH337)</f>
        <v>7380.3095238095229</v>
      </c>
      <c r="BJ337" s="5534">
        <f t="shared" si="373"/>
        <v>615.02579365079362</v>
      </c>
      <c r="BL337" s="5456">
        <v>896.40476190476193</v>
      </c>
      <c r="BM337" s="5533">
        <v>413.97619047619048</v>
      </c>
      <c r="BN337" s="5533"/>
      <c r="BO337" s="5533"/>
      <c r="BP337" s="5533"/>
      <c r="BQ337" s="5533"/>
      <c r="BR337" s="5535"/>
      <c r="BS337" s="5535"/>
      <c r="BT337" s="5533"/>
      <c r="BU337" s="5533"/>
      <c r="BV337" s="5457"/>
      <c r="BW337" s="5457"/>
      <c r="BX337" s="5457">
        <f t="shared" ref="BX337:BX384" si="390">SUM(BL337:BW337)</f>
        <v>1310.3809523809523</v>
      </c>
      <c r="BY337" s="5458">
        <f t="shared" ref="BY337:BY384" si="391">AVERAGE(BL337:BW337)</f>
        <v>655.19047619047615</v>
      </c>
      <c r="CA337" s="169">
        <f t="shared" si="386"/>
        <v>-204.69047619047615</v>
      </c>
      <c r="CB337" s="169">
        <f t="shared" ref="CB337:CB400" si="392">BJ337-AU337</f>
        <v>156.58007936507931</v>
      </c>
      <c r="CC337" s="169">
        <f>IFERROR(
  SUM(
    _xlfn.XLOOKUP(DATE(YEAR($A$1),1,1),$2:$2,337:337):
    _xlfn.XLOOKUP($A$1,$2:$2,337:337)
  )
 -SUM(
    _xlfn.XLOOKUP(DATE(YEAR($A$1)-1,1,1),$2:$2,337:337):
    _xlfn.XLOOKUP(EDATE($A$1,-12),$2:$2,337:337)
  ),"")</f>
        <v>281.26190476190459</v>
      </c>
      <c r="CD337" s="4517">
        <f t="shared" si="387"/>
        <v>-482.42857142857144</v>
      </c>
      <c r="CE337" s="5459"/>
      <c r="CF337" s="5459"/>
    </row>
    <row r="338" spans="1:84" ht="17.600000000000001" hidden="1" x14ac:dyDescent="0.55000000000000004">
      <c r="A338" s="7347"/>
      <c r="B338" s="5460"/>
      <c r="C338" s="786" t="s">
        <v>261</v>
      </c>
      <c r="D338" s="5461"/>
      <c r="E338" s="5462"/>
      <c r="F338" s="5462"/>
      <c r="G338" s="5462"/>
      <c r="H338" s="5462"/>
      <c r="I338" s="5462"/>
      <c r="J338" s="5462"/>
      <c r="K338" s="5462"/>
      <c r="L338" s="5462"/>
      <c r="M338" s="5462"/>
      <c r="N338" s="5462"/>
      <c r="O338" s="5462"/>
      <c r="P338" s="5462">
        <v>0</v>
      </c>
      <c r="Q338" s="5463">
        <v>0</v>
      </c>
      <c r="R338" s="2776"/>
      <c r="S338" s="5461"/>
      <c r="T338" s="5462"/>
      <c r="U338" s="5462"/>
      <c r="V338" s="5462"/>
      <c r="W338" s="5462"/>
      <c r="X338" s="5462"/>
      <c r="Y338" s="5462"/>
      <c r="Z338" s="5462"/>
      <c r="AA338" s="5462"/>
      <c r="AB338" s="5462"/>
      <c r="AC338" s="5462"/>
      <c r="AD338" s="5462"/>
      <c r="AE338" s="5462">
        <v>0</v>
      </c>
      <c r="AF338" s="5463">
        <v>0</v>
      </c>
      <c r="AG338" s="2776"/>
      <c r="AH338" s="5536"/>
      <c r="AI338" s="5537"/>
      <c r="AJ338" s="5537"/>
      <c r="AK338" s="5537"/>
      <c r="AL338" s="5537"/>
      <c r="AM338" s="5537"/>
      <c r="AN338" s="4146"/>
      <c r="AO338" s="4146"/>
      <c r="AP338" s="5537"/>
      <c r="AQ338" s="5537"/>
      <c r="AR338" s="5462"/>
      <c r="AS338" s="5462"/>
      <c r="AT338" s="5462">
        <f t="shared" si="388"/>
        <v>0</v>
      </c>
      <c r="AU338" s="5463">
        <f t="shared" si="385"/>
        <v>0</v>
      </c>
      <c r="AW338" s="5461"/>
      <c r="AX338" s="5537"/>
      <c r="AY338" s="5537"/>
      <c r="AZ338" s="5537"/>
      <c r="BA338" s="5537"/>
      <c r="BB338" s="5537"/>
      <c r="BC338" s="4146"/>
      <c r="BD338" s="4146"/>
      <c r="BE338" s="5537"/>
      <c r="BF338" s="5537"/>
      <c r="BG338" s="5462"/>
      <c r="BH338" s="5462"/>
      <c r="BI338" s="5462">
        <f t="shared" si="389"/>
        <v>0</v>
      </c>
      <c r="BJ338" s="5463" t="e">
        <f t="shared" si="373"/>
        <v>#DIV/0!</v>
      </c>
      <c r="BL338" s="5461"/>
      <c r="BM338" s="5537">
        <v>0</v>
      </c>
      <c r="BN338" s="5537"/>
      <c r="BO338" s="5537"/>
      <c r="BP338" s="5537"/>
      <c r="BQ338" s="5537"/>
      <c r="BR338" s="4146"/>
      <c r="BS338" s="4146"/>
      <c r="BT338" s="5537"/>
      <c r="BU338" s="5537"/>
      <c r="BV338" s="5462"/>
      <c r="BW338" s="5462"/>
      <c r="BX338" s="5462">
        <f t="shared" si="390"/>
        <v>0</v>
      </c>
      <c r="BY338" s="5463">
        <f t="shared" si="391"/>
        <v>0</v>
      </c>
      <c r="CA338" s="169">
        <f t="shared" si="386"/>
        <v>0</v>
      </c>
      <c r="CB338" s="169" t="e">
        <f t="shared" si="392"/>
        <v>#DIV/0!</v>
      </c>
      <c r="CC338" s="169">
        <f>IFERROR(
  SUM(
    _xlfn.XLOOKUP(DATE(YEAR($A$1),1,1),$2:$2,338:338):
    _xlfn.XLOOKUP($A$1,$2:$2,338:338)
  )
 -SUM(
    _xlfn.XLOOKUP(DATE(YEAR($A$1)-1,1,1),$2:$2,338:338):
    _xlfn.XLOOKUP(EDATE($A$1,-12),$2:$2,338:338)
  ),"")</f>
        <v>0</v>
      </c>
      <c r="CD338" s="4517">
        <f t="shared" si="387"/>
        <v>0</v>
      </c>
      <c r="CE338" s="5459"/>
      <c r="CF338" s="5459"/>
    </row>
    <row r="339" spans="1:84" ht="17.600000000000001" hidden="1" x14ac:dyDescent="0.55000000000000004">
      <c r="A339" s="7347"/>
      <c r="B339" s="5460"/>
      <c r="C339" s="786" t="s">
        <v>260</v>
      </c>
      <c r="D339" s="5461"/>
      <c r="E339" s="5462"/>
      <c r="F339" s="5462"/>
      <c r="G339" s="5462"/>
      <c r="H339" s="5462"/>
      <c r="I339" s="5462"/>
      <c r="J339" s="5462"/>
      <c r="K339" s="5462"/>
      <c r="L339" s="5462"/>
      <c r="M339" s="5462"/>
      <c r="N339" s="5462"/>
      <c r="O339" s="5462"/>
      <c r="P339" s="5462">
        <v>0</v>
      </c>
      <c r="Q339" s="5463">
        <v>0</v>
      </c>
      <c r="R339" s="2776"/>
      <c r="S339" s="5461"/>
      <c r="T339" s="5462"/>
      <c r="U339" s="5462"/>
      <c r="V339" s="5462"/>
      <c r="W339" s="5462"/>
      <c r="X339" s="5462"/>
      <c r="Y339" s="5462"/>
      <c r="Z339" s="5462"/>
      <c r="AA339" s="5462"/>
      <c r="AB339" s="5462"/>
      <c r="AC339" s="5462"/>
      <c r="AD339" s="5462"/>
      <c r="AE339" s="5462">
        <v>0</v>
      </c>
      <c r="AF339" s="5463">
        <v>0</v>
      </c>
      <c r="AG339" s="2776"/>
      <c r="AH339" s="5536"/>
      <c r="AI339" s="5537"/>
      <c r="AJ339" s="5537"/>
      <c r="AK339" s="5537"/>
      <c r="AL339" s="5537"/>
      <c r="AM339" s="5537"/>
      <c r="AN339" s="4146"/>
      <c r="AO339" s="4146"/>
      <c r="AP339" s="5537"/>
      <c r="AQ339" s="5537"/>
      <c r="AR339" s="5462"/>
      <c r="AS339" s="5462"/>
      <c r="AT339" s="5462">
        <f t="shared" si="388"/>
        <v>0</v>
      </c>
      <c r="AU339" s="5463">
        <f t="shared" si="385"/>
        <v>0</v>
      </c>
      <c r="AW339" s="5461"/>
      <c r="AX339" s="5537"/>
      <c r="AY339" s="5537"/>
      <c r="AZ339" s="5537"/>
      <c r="BA339" s="5537"/>
      <c r="BB339" s="5537"/>
      <c r="BC339" s="4146"/>
      <c r="BD339" s="4146"/>
      <c r="BE339" s="5537"/>
      <c r="BF339" s="5537"/>
      <c r="BG339" s="5462"/>
      <c r="BH339" s="5462"/>
      <c r="BI339" s="5462">
        <f t="shared" si="389"/>
        <v>0</v>
      </c>
      <c r="BJ339" s="5463" t="e">
        <f t="shared" si="373"/>
        <v>#DIV/0!</v>
      </c>
      <c r="BL339" s="5461"/>
      <c r="BM339" s="5537">
        <v>0</v>
      </c>
      <c r="BN339" s="5537"/>
      <c r="BO339" s="5537"/>
      <c r="BP339" s="5537"/>
      <c r="BQ339" s="5537"/>
      <c r="BR339" s="4146"/>
      <c r="BS339" s="4146"/>
      <c r="BT339" s="5537"/>
      <c r="BU339" s="5537"/>
      <c r="BV339" s="5462"/>
      <c r="BW339" s="5462"/>
      <c r="BX339" s="5462">
        <f t="shared" si="390"/>
        <v>0</v>
      </c>
      <c r="BY339" s="5463">
        <f t="shared" si="391"/>
        <v>0</v>
      </c>
      <c r="CA339" s="169">
        <f t="shared" si="386"/>
        <v>0</v>
      </c>
      <c r="CB339" s="169" t="e">
        <f t="shared" si="392"/>
        <v>#DIV/0!</v>
      </c>
      <c r="CC339" s="169">
        <f>IFERROR(
  SUM(
    _xlfn.XLOOKUP(DATE(YEAR($A$1),1,1),$2:$2,339:339):
    _xlfn.XLOOKUP($A$1,$2:$2,339:339)
  )
 -SUM(
    _xlfn.XLOOKUP(DATE(YEAR($A$1)-1,1,1),$2:$2,339:339):
    _xlfn.XLOOKUP(EDATE($A$1,-12),$2:$2,339:339)
  ),"")</f>
        <v>0</v>
      </c>
      <c r="CD339" s="4517">
        <f t="shared" si="387"/>
        <v>0</v>
      </c>
      <c r="CE339" s="5459"/>
      <c r="CF339" s="5459"/>
    </row>
    <row r="340" spans="1:84" ht="17.600000000000001" hidden="1" x14ac:dyDescent="0.55000000000000004">
      <c r="A340" s="7347"/>
      <c r="B340" s="5460"/>
      <c r="C340" s="786" t="s">
        <v>259</v>
      </c>
      <c r="D340" s="5461"/>
      <c r="E340" s="5462"/>
      <c r="F340" s="5462"/>
      <c r="G340" s="5462"/>
      <c r="H340" s="5462"/>
      <c r="I340" s="5462"/>
      <c r="J340" s="5462"/>
      <c r="K340" s="5462"/>
      <c r="L340" s="5462"/>
      <c r="M340" s="5462"/>
      <c r="N340" s="5462"/>
      <c r="O340" s="5462"/>
      <c r="P340" s="5462">
        <v>0</v>
      </c>
      <c r="Q340" s="5463">
        <v>0</v>
      </c>
      <c r="R340" s="2776"/>
      <c r="S340" s="5461"/>
      <c r="T340" s="5462"/>
      <c r="U340" s="5462"/>
      <c r="V340" s="5462"/>
      <c r="W340" s="5462"/>
      <c r="X340" s="5462"/>
      <c r="Y340" s="5462"/>
      <c r="Z340" s="5462"/>
      <c r="AA340" s="5462"/>
      <c r="AB340" s="5462"/>
      <c r="AC340" s="5462"/>
      <c r="AD340" s="5462"/>
      <c r="AE340" s="5462">
        <v>0</v>
      </c>
      <c r="AF340" s="5463">
        <v>0</v>
      </c>
      <c r="AG340" s="2776"/>
      <c r="AH340" s="5536"/>
      <c r="AI340" s="5537"/>
      <c r="AJ340" s="5537"/>
      <c r="AK340" s="5537"/>
      <c r="AL340" s="5537"/>
      <c r="AM340" s="5537"/>
      <c r="AN340" s="4146"/>
      <c r="AO340" s="4146"/>
      <c r="AP340" s="5537"/>
      <c r="AQ340" s="5537"/>
      <c r="AR340" s="5462"/>
      <c r="AS340" s="5462"/>
      <c r="AT340" s="5462">
        <f t="shared" si="388"/>
        <v>0</v>
      </c>
      <c r="AU340" s="5463">
        <f t="shared" si="385"/>
        <v>0</v>
      </c>
      <c r="AW340" s="5461"/>
      <c r="AX340" s="5537"/>
      <c r="AY340" s="5537"/>
      <c r="AZ340" s="5537"/>
      <c r="BA340" s="5537"/>
      <c r="BB340" s="5537"/>
      <c r="BC340" s="4146"/>
      <c r="BD340" s="4146"/>
      <c r="BE340" s="5537"/>
      <c r="BF340" s="5537"/>
      <c r="BG340" s="5462"/>
      <c r="BH340" s="5462"/>
      <c r="BI340" s="5462">
        <f t="shared" si="389"/>
        <v>0</v>
      </c>
      <c r="BJ340" s="5463" t="e">
        <f t="shared" si="373"/>
        <v>#DIV/0!</v>
      </c>
      <c r="BL340" s="5461"/>
      <c r="BM340" s="5537">
        <v>0</v>
      </c>
      <c r="BN340" s="5537"/>
      <c r="BO340" s="5537"/>
      <c r="BP340" s="5537"/>
      <c r="BQ340" s="5537"/>
      <c r="BR340" s="4146"/>
      <c r="BS340" s="4146"/>
      <c r="BT340" s="5537"/>
      <c r="BU340" s="5537"/>
      <c r="BV340" s="5462"/>
      <c r="BW340" s="5462"/>
      <c r="BX340" s="5462">
        <f t="shared" si="390"/>
        <v>0</v>
      </c>
      <c r="BY340" s="5463">
        <f t="shared" si="391"/>
        <v>0</v>
      </c>
      <c r="CA340" s="169">
        <f t="shared" si="386"/>
        <v>0</v>
      </c>
      <c r="CB340" s="169" t="e">
        <f t="shared" si="392"/>
        <v>#DIV/0!</v>
      </c>
      <c r="CC340" s="169">
        <f>IFERROR(
  SUM(
    _xlfn.XLOOKUP(DATE(YEAR($A$1),1,1),$2:$2,340:340):
    _xlfn.XLOOKUP($A$1,$2:$2,340:340)
  )
 -SUM(
    _xlfn.XLOOKUP(DATE(YEAR($A$1)-1,1,1),$2:$2,340:340):
    _xlfn.XLOOKUP(EDATE($A$1,-12),$2:$2,340:340)
  ),"")</f>
        <v>0</v>
      </c>
      <c r="CD340" s="4517">
        <f t="shared" si="387"/>
        <v>0</v>
      </c>
      <c r="CE340" s="5459"/>
      <c r="CF340" s="5459"/>
    </row>
    <row r="341" spans="1:84" ht="17.600000000000001" x14ac:dyDescent="0.55000000000000004">
      <c r="A341" s="7347"/>
      <c r="B341" s="5464" t="s">
        <v>206</v>
      </c>
      <c r="C341" s="1799"/>
      <c r="D341" s="5538">
        <v>453.44444444444446</v>
      </c>
      <c r="E341" s="5539">
        <v>597.55555555555554</v>
      </c>
      <c r="F341" s="5539">
        <v>504.22222222222223</v>
      </c>
      <c r="G341" s="5539">
        <v>566.55555555555554</v>
      </c>
      <c r="H341" s="5539">
        <v>598.66666666666663</v>
      </c>
      <c r="I341" s="5539">
        <v>639.22222222222217</v>
      </c>
      <c r="J341" s="5539">
        <v>534.22222222222217</v>
      </c>
      <c r="K341" s="5539">
        <v>585.44444444444446</v>
      </c>
      <c r="L341" s="5539">
        <v>384.66666666666669</v>
      </c>
      <c r="M341" s="5539">
        <v>601.33333333333337</v>
      </c>
      <c r="N341" s="5539">
        <v>410.11111111111109</v>
      </c>
      <c r="O341" s="5539">
        <v>370.11111111111109</v>
      </c>
      <c r="P341" s="5466">
        <v>6245.5555555555557</v>
      </c>
      <c r="Q341" s="5540">
        <v>520.46296296296293</v>
      </c>
      <c r="R341" s="2776"/>
      <c r="S341" s="5538">
        <v>393.88888888888891</v>
      </c>
      <c r="T341" s="5539">
        <v>483</v>
      </c>
      <c r="U341" s="5539">
        <v>369.22222222222223</v>
      </c>
      <c r="V341" s="5539">
        <v>388.33333333333331</v>
      </c>
      <c r="W341" s="5539">
        <v>393.77777777777777</v>
      </c>
      <c r="X341" s="5539">
        <v>359.77777777777777</v>
      </c>
      <c r="Y341" s="5539">
        <v>414.88888888888891</v>
      </c>
      <c r="Z341" s="5539">
        <v>531.22222222222217</v>
      </c>
      <c r="AA341" s="5539">
        <v>343</v>
      </c>
      <c r="AB341" s="5539">
        <v>505.77777777777777</v>
      </c>
      <c r="AC341" s="5539">
        <v>356.33333333333331</v>
      </c>
      <c r="AD341" s="5539">
        <v>295.22222222222223</v>
      </c>
      <c r="AE341" s="5466">
        <v>4834.4444444444443</v>
      </c>
      <c r="AF341" s="5540">
        <v>402.87037037037038</v>
      </c>
      <c r="AG341" s="2776"/>
      <c r="AH341" s="5538">
        <v>474.33333333333331</v>
      </c>
      <c r="AI341" s="5539">
        <v>342.11111111111109</v>
      </c>
      <c r="AJ341" s="5539">
        <v>401.66666666666669</v>
      </c>
      <c r="AK341" s="5539">
        <v>406</v>
      </c>
      <c r="AL341" s="5539">
        <v>467.33333333333331</v>
      </c>
      <c r="AM341" s="5539">
        <v>409</v>
      </c>
      <c r="AN341" s="5541">
        <v>522.33333333333337</v>
      </c>
      <c r="AO341" s="5541">
        <v>439.11111111111109</v>
      </c>
      <c r="AP341" s="5539">
        <v>435.66666666666669</v>
      </c>
      <c r="AQ341" s="5539">
        <v>434.77777777777777</v>
      </c>
      <c r="AR341" s="5466">
        <v>416.44444444444446</v>
      </c>
      <c r="AS341" s="5466">
        <v>325.33333333333331</v>
      </c>
      <c r="AT341" s="5466">
        <f t="shared" si="388"/>
        <v>5074.1111111111104</v>
      </c>
      <c r="AU341" s="5540">
        <f t="shared" si="385"/>
        <v>422.84259259259255</v>
      </c>
      <c r="AW341" s="5465">
        <v>324.11111111111109</v>
      </c>
      <c r="AX341" s="5539">
        <v>520.44444444444446</v>
      </c>
      <c r="AY341" s="5539">
        <v>377.22222222222223</v>
      </c>
      <c r="AZ341" s="5539">
        <v>457.77777777777777</v>
      </c>
      <c r="BA341" s="5539">
        <v>757</v>
      </c>
      <c r="BB341" s="5539">
        <v>502.66666666666669</v>
      </c>
      <c r="BC341" s="5541">
        <v>606.11111111111109</v>
      </c>
      <c r="BD341" s="5541">
        <v>454.44444444444446</v>
      </c>
      <c r="BE341" s="5539">
        <v>520.77777777777783</v>
      </c>
      <c r="BF341" s="5539">
        <v>478</v>
      </c>
      <c r="BG341" s="5466">
        <v>449.55555555555554</v>
      </c>
      <c r="BH341" s="5466">
        <v>500.88888888888891</v>
      </c>
      <c r="BI341" s="5466">
        <f t="shared" si="389"/>
        <v>5948.9999999999991</v>
      </c>
      <c r="BJ341" s="5540">
        <f t="shared" si="373"/>
        <v>495.74999999999994</v>
      </c>
      <c r="BL341" s="5465">
        <v>825.88888888888891</v>
      </c>
      <c r="BM341" s="5539">
        <v>380.22222222222223</v>
      </c>
      <c r="BN341" s="5539"/>
      <c r="BO341" s="5539"/>
      <c r="BP341" s="5539"/>
      <c r="BQ341" s="5539"/>
      <c r="BR341" s="5541"/>
      <c r="BS341" s="5541"/>
      <c r="BT341" s="5539"/>
      <c r="BU341" s="5539"/>
      <c r="BV341" s="5466"/>
      <c r="BW341" s="5466"/>
      <c r="BX341" s="5466">
        <f t="shared" si="390"/>
        <v>1206.1111111111111</v>
      </c>
      <c r="BY341" s="5467">
        <f t="shared" si="391"/>
        <v>603.05555555555554</v>
      </c>
      <c r="CA341" s="169">
        <f t="shared" si="386"/>
        <v>-140.22222222222223</v>
      </c>
      <c r="CB341" s="169">
        <f t="shared" si="392"/>
        <v>72.907407407407391</v>
      </c>
      <c r="CC341" s="169">
        <f>IFERROR(
  SUM(
    _xlfn.XLOOKUP(DATE(YEAR($A$1),1,1),$2:$2,341:341):
    _xlfn.XLOOKUP($A$1,$2:$2,341:341)
  )
 -SUM(
    _xlfn.XLOOKUP(DATE(YEAR($A$1)-1,1,1),$2:$2,341:341):
    _xlfn.XLOOKUP(EDATE($A$1,-12),$2:$2,341:341)
  ),"")</f>
        <v>361.55555555555554</v>
      </c>
      <c r="CD341" s="4517">
        <f t="shared" si="387"/>
        <v>-445.66666666666669</v>
      </c>
      <c r="CE341" s="5459"/>
      <c r="CF341" s="5459"/>
    </row>
    <row r="342" spans="1:84" ht="17.600000000000001" x14ac:dyDescent="0.55000000000000004">
      <c r="A342" s="7347"/>
      <c r="B342" s="5468" t="s">
        <v>207</v>
      </c>
      <c r="C342" s="1576"/>
      <c r="D342" s="5542">
        <v>456</v>
      </c>
      <c r="E342" s="5355">
        <v>673.83333333333337</v>
      </c>
      <c r="F342" s="5355">
        <v>550</v>
      </c>
      <c r="G342" s="5355">
        <v>639.83333333333337</v>
      </c>
      <c r="H342" s="5355">
        <v>650.83333333333337</v>
      </c>
      <c r="I342" s="5355">
        <v>591.66666666666663</v>
      </c>
      <c r="J342" s="5355">
        <v>519.16666666666663</v>
      </c>
      <c r="K342" s="5355">
        <v>663.16666666666663</v>
      </c>
      <c r="L342" s="5355">
        <v>429.16666666666669</v>
      </c>
      <c r="M342" s="5355">
        <v>581.5</v>
      </c>
      <c r="N342" s="5355">
        <v>434.5</v>
      </c>
      <c r="O342" s="5355">
        <v>384.66666666666669</v>
      </c>
      <c r="P342" s="2636">
        <v>6574.3333333333339</v>
      </c>
      <c r="Q342" s="5543">
        <v>547.8611111111112</v>
      </c>
      <c r="R342" s="2776"/>
      <c r="S342" s="5542">
        <v>424</v>
      </c>
      <c r="T342" s="5355">
        <v>488.5</v>
      </c>
      <c r="U342" s="5355">
        <v>337.5</v>
      </c>
      <c r="V342" s="5355">
        <v>300.16666666666669</v>
      </c>
      <c r="W342" s="5355">
        <v>342.16666666666669</v>
      </c>
      <c r="X342" s="5355">
        <v>334.83333333333331</v>
      </c>
      <c r="Y342" s="5355">
        <v>377</v>
      </c>
      <c r="Z342" s="5355">
        <v>512.5</v>
      </c>
      <c r="AA342" s="5355">
        <v>352.66666666666669</v>
      </c>
      <c r="AB342" s="5355">
        <v>510.33333333333331</v>
      </c>
      <c r="AC342" s="5355">
        <v>377.66666666666669</v>
      </c>
      <c r="AD342" s="5355">
        <v>312.83333333333331</v>
      </c>
      <c r="AE342" s="2636">
        <v>4670.166666666667</v>
      </c>
      <c r="AF342" s="5543">
        <v>389.1805555555556</v>
      </c>
      <c r="AG342" s="2776"/>
      <c r="AH342" s="5542">
        <v>458.5</v>
      </c>
      <c r="AI342" s="5355">
        <v>361</v>
      </c>
      <c r="AJ342" s="5355">
        <v>415.5</v>
      </c>
      <c r="AK342" s="5355">
        <v>417</v>
      </c>
      <c r="AL342" s="5355">
        <v>472.33333333333331</v>
      </c>
      <c r="AM342" s="5355">
        <v>436</v>
      </c>
      <c r="AN342" s="5544">
        <v>534.16666666666663</v>
      </c>
      <c r="AO342" s="5544">
        <v>457.33333333333331</v>
      </c>
      <c r="AP342" s="5355">
        <v>501.33333333333331</v>
      </c>
      <c r="AQ342" s="5355">
        <v>467</v>
      </c>
      <c r="AR342" s="2636">
        <v>429.66666666666669</v>
      </c>
      <c r="AS342" s="2636">
        <v>368.83333333333331</v>
      </c>
      <c r="AT342" s="2636">
        <f t="shared" si="388"/>
        <v>5318.666666666667</v>
      </c>
      <c r="AU342" s="5543">
        <f t="shared" si="385"/>
        <v>443.22222222222223</v>
      </c>
      <c r="AW342" s="5469">
        <v>329.66666666666669</v>
      </c>
      <c r="AX342" s="5355">
        <v>563.66666666666663</v>
      </c>
      <c r="AY342" s="5355">
        <v>380.83333333333331</v>
      </c>
      <c r="AZ342" s="5355">
        <v>438</v>
      </c>
      <c r="BA342" s="5355">
        <v>755.33333333333337</v>
      </c>
      <c r="BB342" s="5355">
        <v>531.16666666666663</v>
      </c>
      <c r="BC342" s="5544">
        <v>595.66666666666663</v>
      </c>
      <c r="BD342" s="5544">
        <v>526.83333333333337</v>
      </c>
      <c r="BE342" s="5355">
        <v>575.5</v>
      </c>
      <c r="BF342" s="5355">
        <v>591.66666666666663</v>
      </c>
      <c r="BG342" s="2636">
        <v>567.66666666666663</v>
      </c>
      <c r="BH342" s="2636">
        <v>518.16666666666663</v>
      </c>
      <c r="BI342" s="2636">
        <f t="shared" si="389"/>
        <v>6374.166666666667</v>
      </c>
      <c r="BJ342" s="5543">
        <f t="shared" si="373"/>
        <v>531.18055555555554</v>
      </c>
      <c r="BL342" s="5469">
        <v>795.66666666666663</v>
      </c>
      <c r="BM342" s="5355">
        <v>376.5</v>
      </c>
      <c r="BN342" s="5355"/>
      <c r="BO342" s="5355"/>
      <c r="BP342" s="5355"/>
      <c r="BQ342" s="5355"/>
      <c r="BR342" s="5544"/>
      <c r="BS342" s="5544"/>
      <c r="BT342" s="5355"/>
      <c r="BU342" s="5355"/>
      <c r="BV342" s="2636"/>
      <c r="BW342" s="2636"/>
      <c r="BX342" s="2636">
        <f t="shared" si="390"/>
        <v>1172.1666666666665</v>
      </c>
      <c r="BY342" s="5470">
        <f t="shared" si="391"/>
        <v>586.08333333333326</v>
      </c>
      <c r="CA342" s="169">
        <f t="shared" si="386"/>
        <v>-187.16666666666663</v>
      </c>
      <c r="CB342" s="169">
        <f t="shared" si="392"/>
        <v>87.958333333333314</v>
      </c>
      <c r="CC342" s="169">
        <f>IFERROR(
  SUM(
    _xlfn.XLOOKUP(DATE(YEAR($A$1),1,1),$2:$2,342:342):
    _xlfn.XLOOKUP($A$1,$2:$2,342:342)
  )
 -SUM(
    _xlfn.XLOOKUP(DATE(YEAR($A$1)-1,1,1),$2:$2,342:342):
    _xlfn.XLOOKUP(EDATE($A$1,-12),$2:$2,342:342)
  ),"")</f>
        <v>278.83333333333326</v>
      </c>
      <c r="CD342" s="4517">
        <f t="shared" si="387"/>
        <v>-419.16666666666663</v>
      </c>
      <c r="CE342" s="5459"/>
      <c r="CF342" s="5459"/>
    </row>
    <row r="343" spans="1:84" ht="17.600000000000001" x14ac:dyDescent="0.55000000000000004">
      <c r="A343" s="7347"/>
      <c r="B343" s="5468" t="s">
        <v>208</v>
      </c>
      <c r="C343" s="1576"/>
      <c r="D343" s="5542">
        <v>330.875</v>
      </c>
      <c r="E343" s="5355">
        <v>417.75</v>
      </c>
      <c r="F343" s="5355">
        <v>386.875</v>
      </c>
      <c r="G343" s="5355">
        <v>398.625</v>
      </c>
      <c r="H343" s="5355">
        <v>425.75</v>
      </c>
      <c r="I343" s="5355">
        <v>418.875</v>
      </c>
      <c r="J343" s="5355">
        <v>405.625</v>
      </c>
      <c r="K343" s="5355">
        <v>490.375</v>
      </c>
      <c r="L343" s="5355">
        <v>307</v>
      </c>
      <c r="M343" s="5355">
        <v>434.5</v>
      </c>
      <c r="N343" s="5355">
        <v>293.625</v>
      </c>
      <c r="O343" s="5355">
        <v>276.25</v>
      </c>
      <c r="P343" s="2636">
        <v>4586.125</v>
      </c>
      <c r="Q343" s="5543">
        <v>382.17708333333331</v>
      </c>
      <c r="R343" s="2776"/>
      <c r="S343" s="5542">
        <v>292.125</v>
      </c>
      <c r="T343" s="5355">
        <v>320.875</v>
      </c>
      <c r="U343" s="5355">
        <v>286.375</v>
      </c>
      <c r="V343" s="5355">
        <v>359</v>
      </c>
      <c r="W343" s="5355">
        <v>375.66666666666669</v>
      </c>
      <c r="X343" s="5355">
        <v>345.83333333333331</v>
      </c>
      <c r="Y343" s="5355">
        <v>438.83333333333331</v>
      </c>
      <c r="Z343" s="5355">
        <v>512.83333333333337</v>
      </c>
      <c r="AA343" s="5355">
        <v>341.33333333333331</v>
      </c>
      <c r="AB343" s="5355">
        <v>479.83333333333331</v>
      </c>
      <c r="AC343" s="5355">
        <v>351.16666666666669</v>
      </c>
      <c r="AD343" s="5355">
        <v>296.83333333333331</v>
      </c>
      <c r="AE343" s="2636">
        <v>4400.7083333333339</v>
      </c>
      <c r="AF343" s="5543">
        <v>366.72569444444451</v>
      </c>
      <c r="AG343" s="2776"/>
      <c r="AH343" s="5542">
        <v>406.66666666666669</v>
      </c>
      <c r="AI343" s="5355">
        <v>360.16666666666669</v>
      </c>
      <c r="AJ343" s="5355">
        <v>380.66666666666669</v>
      </c>
      <c r="AK343" s="5355">
        <v>391.16666666666669</v>
      </c>
      <c r="AL343" s="5355">
        <v>487</v>
      </c>
      <c r="AM343" s="5355">
        <v>477.83333333333331</v>
      </c>
      <c r="AN343" s="5544">
        <v>559.33333333333337</v>
      </c>
      <c r="AO343" s="5544">
        <v>440.16666666666669</v>
      </c>
      <c r="AP343" s="5355">
        <v>446.83333333333331</v>
      </c>
      <c r="AQ343" s="5355">
        <v>474.83333333333331</v>
      </c>
      <c r="AR343" s="2636">
        <v>414.66666666666669</v>
      </c>
      <c r="AS343" s="2636">
        <v>343.5</v>
      </c>
      <c r="AT343" s="2636">
        <f t="shared" si="388"/>
        <v>5182.8333333333339</v>
      </c>
      <c r="AU343" s="5543">
        <f t="shared" si="385"/>
        <v>431.90277777777783</v>
      </c>
      <c r="AW343" s="5469">
        <v>356</v>
      </c>
      <c r="AX343" s="5355">
        <v>552.66666666666663</v>
      </c>
      <c r="AY343" s="5355">
        <v>456.66666666666669</v>
      </c>
      <c r="AZ343" s="5355">
        <v>512</v>
      </c>
      <c r="BA343" s="5355">
        <v>808.33333333333337</v>
      </c>
      <c r="BB343" s="5355">
        <v>579.5</v>
      </c>
      <c r="BC343" s="5544">
        <v>696.16666666666663</v>
      </c>
      <c r="BD343" s="5544">
        <v>552.33333333333337</v>
      </c>
      <c r="BE343" s="5355">
        <v>602.66666666666663</v>
      </c>
      <c r="BF343" s="5355">
        <v>622.16666666666663</v>
      </c>
      <c r="BG343" s="2636">
        <v>486.33333333333331</v>
      </c>
      <c r="BH343" s="2636">
        <v>588.16666666666663</v>
      </c>
      <c r="BI343" s="2636">
        <f t="shared" si="389"/>
        <v>6813</v>
      </c>
      <c r="BJ343" s="5543">
        <f t="shared" si="373"/>
        <v>567.75</v>
      </c>
      <c r="BL343" s="5469">
        <v>915.66666666666663</v>
      </c>
      <c r="BM343" s="5355">
        <v>397.16666666666669</v>
      </c>
      <c r="BN343" s="5355"/>
      <c r="BO343" s="5355"/>
      <c r="BP343" s="5355"/>
      <c r="BQ343" s="5355"/>
      <c r="BR343" s="5544"/>
      <c r="BS343" s="5544"/>
      <c r="BT343" s="5355"/>
      <c r="BU343" s="5355"/>
      <c r="BV343" s="2636"/>
      <c r="BW343" s="2636"/>
      <c r="BX343" s="2636">
        <f t="shared" si="390"/>
        <v>1312.8333333333333</v>
      </c>
      <c r="BY343" s="5470">
        <f t="shared" si="391"/>
        <v>656.41666666666663</v>
      </c>
      <c r="CA343" s="169">
        <f t="shared" si="386"/>
        <v>-155.49999999999994</v>
      </c>
      <c r="CB343" s="169">
        <f t="shared" si="392"/>
        <v>135.84722222222217</v>
      </c>
      <c r="CC343" s="169">
        <f>IFERROR(
  SUM(
    _xlfn.XLOOKUP(DATE(YEAR($A$1),1,1),$2:$2,343:343):
    _xlfn.XLOOKUP($A$1,$2:$2,343:343)
  )
 -SUM(
    _xlfn.XLOOKUP(DATE(YEAR($A$1)-1,1,1),$2:$2,343:343):
    _xlfn.XLOOKUP(EDATE($A$1,-12),$2:$2,343:343)
  ),"")</f>
        <v>404.16666666666663</v>
      </c>
      <c r="CD343" s="4517">
        <f t="shared" si="387"/>
        <v>-518.5</v>
      </c>
      <c r="CE343" s="5459"/>
      <c r="CF343" s="5459"/>
    </row>
    <row r="344" spans="1:84" ht="17.600000000000001" x14ac:dyDescent="0.55000000000000004">
      <c r="A344" s="7347"/>
      <c r="B344" s="5468" t="s">
        <v>209</v>
      </c>
      <c r="C344" s="1576"/>
      <c r="D344" s="5542">
        <v>449.61538461538464</v>
      </c>
      <c r="E344" s="5355">
        <v>560.46153846153845</v>
      </c>
      <c r="F344" s="5355">
        <v>512.38461538461536</v>
      </c>
      <c r="G344" s="5355">
        <v>535.69230769230774</v>
      </c>
      <c r="H344" s="5355">
        <v>544.15384615384619</v>
      </c>
      <c r="I344" s="5355">
        <v>455.61538461538464</v>
      </c>
      <c r="J344" s="5355">
        <v>447.53846153846155</v>
      </c>
      <c r="K344" s="5355">
        <v>483.61538461538464</v>
      </c>
      <c r="L344" s="5355">
        <v>366.92307692307691</v>
      </c>
      <c r="M344" s="5355">
        <v>495.30769230769232</v>
      </c>
      <c r="N344" s="5355">
        <v>347.53846153846155</v>
      </c>
      <c r="O344" s="5355">
        <v>277.61538461538464</v>
      </c>
      <c r="P344" s="2636">
        <v>5476.461538461539</v>
      </c>
      <c r="Q344" s="5543">
        <v>456.37179487179492</v>
      </c>
      <c r="R344" s="2776"/>
      <c r="S344" s="5542">
        <v>337.07692307692309</v>
      </c>
      <c r="T344" s="5355">
        <v>425.30769230769232</v>
      </c>
      <c r="U344" s="5355">
        <v>345.38461538461536</v>
      </c>
      <c r="V344" s="5355">
        <v>412.09090909090907</v>
      </c>
      <c r="W344" s="5355">
        <v>420.63636363636363</v>
      </c>
      <c r="X344" s="5355">
        <v>380.81818181818181</v>
      </c>
      <c r="Y344" s="5355">
        <v>416.18181818181819</v>
      </c>
      <c r="Z344" s="5355">
        <v>555.09090909090912</v>
      </c>
      <c r="AA344" s="5355">
        <v>395.81818181818181</v>
      </c>
      <c r="AB344" s="5355">
        <v>514.4545454545455</v>
      </c>
      <c r="AC344" s="5355">
        <v>392.45454545454544</v>
      </c>
      <c r="AD344" s="5355">
        <v>306.36363636363637</v>
      </c>
      <c r="AE344" s="2636">
        <v>4901.6783216783215</v>
      </c>
      <c r="AF344" s="5543">
        <v>408.47319347319348</v>
      </c>
      <c r="AG344" s="2776"/>
      <c r="AH344" s="5542">
        <v>511.18181818181819</v>
      </c>
      <c r="AI344" s="5355">
        <v>406.63636363636363</v>
      </c>
      <c r="AJ344" s="5355">
        <v>436.81818181818181</v>
      </c>
      <c r="AK344" s="5355">
        <v>445.90909090909093</v>
      </c>
      <c r="AL344" s="5355">
        <v>456</v>
      </c>
      <c r="AM344" s="5355">
        <v>410</v>
      </c>
      <c r="AN344" s="5544">
        <v>481.90909090909093</v>
      </c>
      <c r="AO344" s="5544">
        <v>394.09090909090907</v>
      </c>
      <c r="AP344" s="5355">
        <v>494.54545454545456</v>
      </c>
      <c r="AQ344" s="5355">
        <v>474.90909090909093</v>
      </c>
      <c r="AR344" s="2636">
        <v>537.63636363636363</v>
      </c>
      <c r="AS344" s="2636">
        <v>471.45454545454544</v>
      </c>
      <c r="AT344" s="2636">
        <f t="shared" si="388"/>
        <v>5521.090909090909</v>
      </c>
      <c r="AU344" s="5543">
        <f t="shared" si="385"/>
        <v>460.09090909090907</v>
      </c>
      <c r="AW344" s="5469">
        <v>495.72727272727275</v>
      </c>
      <c r="AX344" s="5355">
        <v>738.27272727272725</v>
      </c>
      <c r="AY344" s="5355">
        <v>529.36363636363637</v>
      </c>
      <c r="AZ344" s="5355">
        <v>754.09090909090912</v>
      </c>
      <c r="BA344" s="5355">
        <v>1073</v>
      </c>
      <c r="BB344" s="5355">
        <v>940</v>
      </c>
      <c r="BC344" s="5544">
        <v>1033.090909090909</v>
      </c>
      <c r="BD344" s="5544">
        <v>779</v>
      </c>
      <c r="BE344" s="5355">
        <v>806.81818181818187</v>
      </c>
      <c r="BF344" s="5355">
        <v>854.4545454545455</v>
      </c>
      <c r="BG344" s="2636">
        <v>643.09090909090912</v>
      </c>
      <c r="BH344" s="2636">
        <v>717.5454545454545</v>
      </c>
      <c r="BI344" s="2636">
        <f t="shared" si="389"/>
        <v>9364.454545454546</v>
      </c>
      <c r="BJ344" s="5543">
        <f t="shared" si="373"/>
        <v>780.37121212121212</v>
      </c>
      <c r="BL344" s="5469">
        <v>1069.7272727272727</v>
      </c>
      <c r="BM344" s="5355">
        <v>507.54545454545456</v>
      </c>
      <c r="BN344" s="5355"/>
      <c r="BO344" s="5355"/>
      <c r="BP344" s="5355"/>
      <c r="BQ344" s="5355"/>
      <c r="BR344" s="5544"/>
      <c r="BS344" s="5544"/>
      <c r="BT344" s="5355"/>
      <c r="BU344" s="5355"/>
      <c r="BV344" s="2636"/>
      <c r="BW344" s="2636"/>
      <c r="BX344" s="2636">
        <f t="shared" si="390"/>
        <v>1577.2727272727273</v>
      </c>
      <c r="BY344" s="5470">
        <f t="shared" si="391"/>
        <v>788.63636363636363</v>
      </c>
      <c r="CA344" s="169">
        <f t="shared" si="386"/>
        <v>-230.72727272727269</v>
      </c>
      <c r="CB344" s="169">
        <f t="shared" si="392"/>
        <v>320.28030303030306</v>
      </c>
      <c r="CC344" s="169">
        <f>IFERROR(
  SUM(
    _xlfn.XLOOKUP(DATE(YEAR($A$1),1,1),$2:$2,344:344):
    _xlfn.XLOOKUP($A$1,$2:$2,344:344)
  )
 -SUM(
    _xlfn.XLOOKUP(DATE(YEAR($A$1)-1,1,1),$2:$2,344:344):
    _xlfn.XLOOKUP(EDATE($A$1,-12),$2:$2,344:344)
  ),"")</f>
        <v>343.27272727272725</v>
      </c>
      <c r="CD344" s="4517">
        <f t="shared" si="387"/>
        <v>-562.18181818181824</v>
      </c>
      <c r="CE344" s="5459"/>
      <c r="CF344" s="5459"/>
    </row>
    <row r="345" spans="1:84" ht="17.600000000000001" x14ac:dyDescent="0.55000000000000004">
      <c r="A345" s="7347"/>
      <c r="B345" s="5471" t="s">
        <v>210</v>
      </c>
      <c r="C345" s="1813"/>
      <c r="D345" s="5545">
        <v>567.46153846153845</v>
      </c>
      <c r="E345" s="5546">
        <v>594.30769230769226</v>
      </c>
      <c r="F345" s="5546">
        <v>525.07692307692309</v>
      </c>
      <c r="G345" s="5546">
        <v>541.38461538461536</v>
      </c>
      <c r="H345" s="5546">
        <v>578.38461538461536</v>
      </c>
      <c r="I345" s="5546">
        <v>515.84615384615381</v>
      </c>
      <c r="J345" s="5546">
        <v>487.30769230769232</v>
      </c>
      <c r="K345" s="5546">
        <v>532.53846153846155</v>
      </c>
      <c r="L345" s="5546">
        <v>379.53846153846155</v>
      </c>
      <c r="M345" s="5546">
        <v>564.76923076923072</v>
      </c>
      <c r="N345" s="5546">
        <v>416.76923076923077</v>
      </c>
      <c r="O345" s="5546">
        <v>373.15384615384613</v>
      </c>
      <c r="P345" s="5473">
        <v>6076.538461538461</v>
      </c>
      <c r="Q345" s="5547">
        <v>506.37820512820508</v>
      </c>
      <c r="R345" s="2776"/>
      <c r="S345" s="5545">
        <v>423.30769230769232</v>
      </c>
      <c r="T345" s="5546">
        <v>489.46153846153845</v>
      </c>
      <c r="U345" s="5546">
        <v>402.53846153846155</v>
      </c>
      <c r="V345" s="5546">
        <v>512</v>
      </c>
      <c r="W345" s="5546">
        <v>497.9</v>
      </c>
      <c r="X345" s="5546">
        <v>464.3</v>
      </c>
      <c r="Y345" s="5546">
        <v>521</v>
      </c>
      <c r="Z345" s="5546">
        <v>669</v>
      </c>
      <c r="AA345" s="5546">
        <v>485.4</v>
      </c>
      <c r="AB345" s="5546">
        <v>596.4</v>
      </c>
      <c r="AC345" s="5546">
        <v>454.7</v>
      </c>
      <c r="AD345" s="5546">
        <v>386.1</v>
      </c>
      <c r="AE345" s="5473">
        <v>5902.1076923076926</v>
      </c>
      <c r="AF345" s="5547">
        <v>491.84230769230771</v>
      </c>
      <c r="AG345" s="2776"/>
      <c r="AH345" s="5545">
        <v>591.20000000000005</v>
      </c>
      <c r="AI345" s="5546">
        <v>481.3</v>
      </c>
      <c r="AJ345" s="5546">
        <v>518.5</v>
      </c>
      <c r="AK345" s="5546">
        <v>502.4</v>
      </c>
      <c r="AL345" s="5546">
        <v>516.79999999999995</v>
      </c>
      <c r="AM345" s="5546">
        <v>495.4</v>
      </c>
      <c r="AN345" s="5548">
        <v>563.4</v>
      </c>
      <c r="AO345" s="5548">
        <v>415.8</v>
      </c>
      <c r="AP345" s="5546">
        <v>538.6</v>
      </c>
      <c r="AQ345" s="5546">
        <v>519.79999999999995</v>
      </c>
      <c r="AR345" s="5473">
        <v>560.20000000000005</v>
      </c>
      <c r="AS345" s="5473">
        <v>461.5</v>
      </c>
      <c r="AT345" s="5473">
        <f t="shared" si="388"/>
        <v>6164.9000000000005</v>
      </c>
      <c r="AU345" s="5547">
        <f t="shared" si="385"/>
        <v>513.74166666666667</v>
      </c>
      <c r="AW345" s="5472">
        <v>475.5</v>
      </c>
      <c r="AX345" s="5546">
        <v>648.1</v>
      </c>
      <c r="AY345" s="5546">
        <v>505.5</v>
      </c>
      <c r="AZ345" s="5546">
        <v>616.5</v>
      </c>
      <c r="BA345" s="5546">
        <v>845.9</v>
      </c>
      <c r="BB345" s="5546">
        <v>682.8</v>
      </c>
      <c r="BC345" s="5548">
        <v>826.2</v>
      </c>
      <c r="BD345" s="5548">
        <v>564.9</v>
      </c>
      <c r="BE345" s="5546">
        <v>652.70000000000005</v>
      </c>
      <c r="BF345" s="5546">
        <v>587</v>
      </c>
      <c r="BG345" s="5473">
        <v>514.79999999999995</v>
      </c>
      <c r="BH345" s="5473">
        <v>510.1</v>
      </c>
      <c r="BI345" s="5473">
        <f t="shared" si="389"/>
        <v>7430</v>
      </c>
      <c r="BJ345" s="5547">
        <f t="shared" si="373"/>
        <v>619.16666666666663</v>
      </c>
      <c r="BL345" s="5472">
        <v>818.1</v>
      </c>
      <c r="BM345" s="5546">
        <v>374</v>
      </c>
      <c r="BN345" s="5546"/>
      <c r="BO345" s="5546"/>
      <c r="BP345" s="5546"/>
      <c r="BQ345" s="5546"/>
      <c r="BR345" s="5548"/>
      <c r="BS345" s="5548"/>
      <c r="BT345" s="5546"/>
      <c r="BU345" s="5546"/>
      <c r="BV345" s="5473"/>
      <c r="BW345" s="5473"/>
      <c r="BX345" s="5473">
        <f t="shared" si="390"/>
        <v>1192.0999999999999</v>
      </c>
      <c r="BY345" s="5474">
        <f t="shared" si="391"/>
        <v>596.04999999999995</v>
      </c>
      <c r="CA345" s="169">
        <f t="shared" si="386"/>
        <v>-274.10000000000002</v>
      </c>
      <c r="CB345" s="169">
        <f t="shared" si="392"/>
        <v>105.42499999999995</v>
      </c>
      <c r="CC345" s="169">
        <f>IFERROR(
  SUM(
    _xlfn.XLOOKUP(DATE(YEAR($A$1),1,1),$2:$2,345:345):
    _xlfn.XLOOKUP($A$1,$2:$2,345:345)
  )
 -SUM(
    _xlfn.XLOOKUP(DATE(YEAR($A$1)-1,1,1),$2:$2,345:345):
    _xlfn.XLOOKUP(EDATE($A$1,-12),$2:$2,345:345)
  ),"")</f>
        <v>68.5</v>
      </c>
      <c r="CD345" s="4517">
        <f t="shared" si="387"/>
        <v>-444.1</v>
      </c>
      <c r="CE345" s="5459"/>
      <c r="CF345" s="5459"/>
    </row>
    <row r="346" spans="1:84" s="698" customFormat="1" ht="17.600000000000001" x14ac:dyDescent="0.55000000000000004">
      <c r="A346" s="7347"/>
      <c r="B346" s="5475"/>
      <c r="C346" s="2156" t="s">
        <v>226</v>
      </c>
      <c r="D346" s="5549">
        <v>428</v>
      </c>
      <c r="E346" s="5550">
        <v>582.33333333333337</v>
      </c>
      <c r="F346" s="5550">
        <v>492.66666666666669</v>
      </c>
      <c r="G346" s="5550">
        <v>558.5</v>
      </c>
      <c r="H346" s="5550">
        <v>589.5</v>
      </c>
      <c r="I346" s="5550">
        <v>629.83333333333337</v>
      </c>
      <c r="J346" s="5550">
        <v>549</v>
      </c>
      <c r="K346" s="5550">
        <v>609.16666666666663</v>
      </c>
      <c r="L346" s="5550">
        <v>405.33333333333331</v>
      </c>
      <c r="M346" s="5550">
        <v>630.33333333333337</v>
      </c>
      <c r="N346" s="5550">
        <v>422.33333333333331</v>
      </c>
      <c r="O346" s="5550">
        <v>402.5</v>
      </c>
      <c r="P346" s="5477">
        <f t="shared" ref="P346:P352" si="393">SUM(D346:O346)</f>
        <v>6299.4999999999991</v>
      </c>
      <c r="Q346" s="5551">
        <f t="shared" ref="Q346:Q352" si="394">P346/12</f>
        <v>524.95833333333326</v>
      </c>
      <c r="R346" s="5479"/>
      <c r="S346" s="5549">
        <v>419.33333333333331</v>
      </c>
      <c r="T346" s="5550">
        <v>514.5</v>
      </c>
      <c r="U346" s="5550">
        <v>386</v>
      </c>
      <c r="V346" s="5550">
        <v>410.5</v>
      </c>
      <c r="W346" s="5550">
        <v>421</v>
      </c>
      <c r="X346" s="5550">
        <v>378.83333333333331</v>
      </c>
      <c r="Y346" s="5550">
        <v>441.33333333333331</v>
      </c>
      <c r="Z346" s="5550">
        <v>552</v>
      </c>
      <c r="AA346" s="5550">
        <v>360</v>
      </c>
      <c r="AB346" s="5550">
        <v>523.5</v>
      </c>
      <c r="AC346" s="5550">
        <v>374.83333333333331</v>
      </c>
      <c r="AD346" s="5550">
        <v>301.16666666666669</v>
      </c>
      <c r="AE346" s="5477">
        <f t="shared" ref="AE346:AE352" si="395">SUM(S346:AD346)</f>
        <v>5083</v>
      </c>
      <c r="AF346" s="5551">
        <f t="shared" ref="AF346:AF352" si="396">AE346/12</f>
        <v>423.58333333333331</v>
      </c>
      <c r="AG346" s="5479"/>
      <c r="AH346" s="5549">
        <v>489.33333333333331</v>
      </c>
      <c r="AI346" s="5550">
        <v>351</v>
      </c>
      <c r="AJ346" s="5550">
        <v>434</v>
      </c>
      <c r="AK346" s="5550">
        <v>419</v>
      </c>
      <c r="AL346" s="5550">
        <v>496.33333333333331</v>
      </c>
      <c r="AM346" s="5550">
        <v>432</v>
      </c>
      <c r="AN346" s="5552">
        <v>538</v>
      </c>
      <c r="AO346" s="5552">
        <v>460.33333333333331</v>
      </c>
      <c r="AP346" s="5550">
        <v>457.33333333333331</v>
      </c>
      <c r="AQ346" s="5550">
        <v>473</v>
      </c>
      <c r="AR346" s="5477">
        <v>451.83333333333331</v>
      </c>
      <c r="AS346" s="5477">
        <v>340.66666666666669</v>
      </c>
      <c r="AT346" s="5477">
        <f t="shared" si="388"/>
        <v>5342.8333333333339</v>
      </c>
      <c r="AU346" s="5551">
        <f t="shared" si="385"/>
        <v>445.23611111111114</v>
      </c>
      <c r="AW346" s="5476">
        <v>349.83333333333331</v>
      </c>
      <c r="AX346" s="5550">
        <v>548.16666666666663</v>
      </c>
      <c r="AY346" s="5550">
        <v>388.33333333333331</v>
      </c>
      <c r="AZ346" s="5550">
        <v>480.5</v>
      </c>
      <c r="BA346" s="5550">
        <v>779.66666666666663</v>
      </c>
      <c r="BB346" s="5550">
        <v>515.66666666666663</v>
      </c>
      <c r="BC346" s="5552">
        <v>606.11111111111109</v>
      </c>
      <c r="BD346" s="5552">
        <v>454.44444444444446</v>
      </c>
      <c r="BE346" s="5550">
        <v>520.77777777777783</v>
      </c>
      <c r="BF346" s="5550">
        <v>478</v>
      </c>
      <c r="BG346" s="5477">
        <v>449.55555555555554</v>
      </c>
      <c r="BH346" s="5477">
        <v>500.88888888888891</v>
      </c>
      <c r="BI346" s="5477">
        <f t="shared" si="389"/>
        <v>6071.9444444444443</v>
      </c>
      <c r="BJ346" s="5551">
        <f t="shared" si="373"/>
        <v>505.99537037037038</v>
      </c>
      <c r="BL346" s="5476">
        <v>825.88888888888891</v>
      </c>
      <c r="BM346" s="5550">
        <v>380.22222222222223</v>
      </c>
      <c r="BN346" s="5550"/>
      <c r="BO346" s="5550"/>
      <c r="BP346" s="5550"/>
      <c r="BQ346" s="5550"/>
      <c r="BR346" s="5552"/>
      <c r="BS346" s="5552"/>
      <c r="BT346" s="5550"/>
      <c r="BU346" s="5550"/>
      <c r="BV346" s="5477"/>
      <c r="BW346" s="5477"/>
      <c r="BX346" s="5477">
        <f t="shared" si="390"/>
        <v>1206.1111111111111</v>
      </c>
      <c r="BY346" s="5478">
        <f t="shared" si="391"/>
        <v>603.05555555555554</v>
      </c>
      <c r="CA346" s="169">
        <f t="shared" si="386"/>
        <v>-167.9444444444444</v>
      </c>
      <c r="CB346" s="169">
        <f t="shared" si="392"/>
        <v>60.759259259259238</v>
      </c>
      <c r="CC346" s="169">
        <f>IFERROR(
  SUM(
    _xlfn.XLOOKUP(DATE(YEAR($A$1),1,1),$2:$2,346:346):
    _xlfn.XLOOKUP($A$1,$2:$2,346:346)
  )
 -SUM(
    _xlfn.XLOOKUP(DATE(YEAR($A$1)-1,1,1),$2:$2,346:346):
    _xlfn.XLOOKUP(EDATE($A$1,-12),$2:$2,346:346)
  ),"")</f>
        <v>308.11111111111109</v>
      </c>
      <c r="CD346" s="4517">
        <f t="shared" si="387"/>
        <v>-445.66666666666669</v>
      </c>
      <c r="CE346" s="5459"/>
      <c r="CF346" s="5459"/>
    </row>
    <row r="347" spans="1:84" s="698" customFormat="1" ht="17.600000000000001" x14ac:dyDescent="0.55000000000000004">
      <c r="A347" s="7347"/>
      <c r="B347" s="5480"/>
      <c r="C347" s="681" t="s">
        <v>227</v>
      </c>
      <c r="D347" s="5553">
        <v>456</v>
      </c>
      <c r="E347" s="5554">
        <v>673.83333333333337</v>
      </c>
      <c r="F347" s="5554">
        <v>550</v>
      </c>
      <c r="G347" s="5554">
        <v>639.83333333333337</v>
      </c>
      <c r="H347" s="5554">
        <v>650.83333333333337</v>
      </c>
      <c r="I347" s="5554">
        <v>591.66666666666663</v>
      </c>
      <c r="J347" s="5554">
        <v>519.16666666666663</v>
      </c>
      <c r="K347" s="5554">
        <v>663.16666666666663</v>
      </c>
      <c r="L347" s="5554">
        <v>429.16666666666669</v>
      </c>
      <c r="M347" s="5554">
        <v>581.5</v>
      </c>
      <c r="N347" s="5554">
        <v>434.5</v>
      </c>
      <c r="O347" s="5554">
        <v>384.66666666666669</v>
      </c>
      <c r="P347" s="5482">
        <f t="shared" si="393"/>
        <v>6574.3333333333339</v>
      </c>
      <c r="Q347" s="5555">
        <f t="shared" si="394"/>
        <v>547.8611111111112</v>
      </c>
      <c r="R347" s="5479"/>
      <c r="S347" s="5553">
        <v>424</v>
      </c>
      <c r="T347" s="5554">
        <v>488.5</v>
      </c>
      <c r="U347" s="5554">
        <v>337.5</v>
      </c>
      <c r="V347" s="5554">
        <v>300.16666666666669</v>
      </c>
      <c r="W347" s="5554">
        <v>342.16666666666669</v>
      </c>
      <c r="X347" s="5554">
        <v>334.83333333333331</v>
      </c>
      <c r="Y347" s="5554">
        <v>377</v>
      </c>
      <c r="Z347" s="5554">
        <v>512.5</v>
      </c>
      <c r="AA347" s="5554">
        <v>352.66666666666669</v>
      </c>
      <c r="AB347" s="5554">
        <v>510.33333333333331</v>
      </c>
      <c r="AC347" s="5554">
        <v>377.66666666666669</v>
      </c>
      <c r="AD347" s="5554">
        <v>312.83333333333331</v>
      </c>
      <c r="AE347" s="5482">
        <f t="shared" si="395"/>
        <v>4670.166666666667</v>
      </c>
      <c r="AF347" s="5555">
        <f t="shared" si="396"/>
        <v>389.1805555555556</v>
      </c>
      <c r="AG347" s="5479"/>
      <c r="AH347" s="5553">
        <v>458.5</v>
      </c>
      <c r="AI347" s="5554">
        <v>361</v>
      </c>
      <c r="AJ347" s="5554">
        <v>415.5</v>
      </c>
      <c r="AK347" s="5554">
        <v>417</v>
      </c>
      <c r="AL347" s="5554">
        <v>472.33333333333331</v>
      </c>
      <c r="AM347" s="5554">
        <v>436</v>
      </c>
      <c r="AN347" s="5556">
        <v>534.16666666666663</v>
      </c>
      <c r="AO347" s="5556">
        <v>457.33333333333331</v>
      </c>
      <c r="AP347" s="5554">
        <v>501.33333333333331</v>
      </c>
      <c r="AQ347" s="5554">
        <v>467</v>
      </c>
      <c r="AR347" s="5482">
        <v>429.66666666666669</v>
      </c>
      <c r="AS347" s="5482">
        <v>368.83333333333331</v>
      </c>
      <c r="AT347" s="5482">
        <f t="shared" si="388"/>
        <v>5318.666666666667</v>
      </c>
      <c r="AU347" s="5555">
        <f t="shared" si="385"/>
        <v>443.22222222222223</v>
      </c>
      <c r="AW347" s="5481">
        <v>329.66666666666669</v>
      </c>
      <c r="AX347" s="5554">
        <v>563.66666666666663</v>
      </c>
      <c r="AY347" s="5554">
        <v>380.83333333333331</v>
      </c>
      <c r="AZ347" s="5554">
        <v>438</v>
      </c>
      <c r="BA347" s="5554">
        <v>755.33333333333337</v>
      </c>
      <c r="BB347" s="5554">
        <v>531.16666666666663</v>
      </c>
      <c r="BC347" s="5556">
        <v>595.66666666666663</v>
      </c>
      <c r="BD347" s="5556">
        <v>526.83333333333337</v>
      </c>
      <c r="BE347" s="5554">
        <v>575.5</v>
      </c>
      <c r="BF347" s="5554">
        <v>591.66666666666663</v>
      </c>
      <c r="BG347" s="5482">
        <v>567.66666666666663</v>
      </c>
      <c r="BH347" s="5482">
        <v>518.16666666666663</v>
      </c>
      <c r="BI347" s="5482">
        <f t="shared" si="389"/>
        <v>6374.166666666667</v>
      </c>
      <c r="BJ347" s="5555">
        <f t="shared" si="373"/>
        <v>531.18055555555554</v>
      </c>
      <c r="BL347" s="5481">
        <v>795.66666666666663</v>
      </c>
      <c r="BM347" s="5554">
        <v>376.5</v>
      </c>
      <c r="BN347" s="5554"/>
      <c r="BO347" s="5554"/>
      <c r="BP347" s="5554"/>
      <c r="BQ347" s="5554"/>
      <c r="BR347" s="5556"/>
      <c r="BS347" s="5556"/>
      <c r="BT347" s="5554"/>
      <c r="BU347" s="5554"/>
      <c r="BV347" s="5482"/>
      <c r="BW347" s="5482"/>
      <c r="BX347" s="5482">
        <f t="shared" si="390"/>
        <v>1172.1666666666665</v>
      </c>
      <c r="BY347" s="5483">
        <f t="shared" si="391"/>
        <v>586.08333333333326</v>
      </c>
      <c r="CA347" s="169">
        <f t="shared" si="386"/>
        <v>-187.16666666666663</v>
      </c>
      <c r="CB347" s="169">
        <f t="shared" si="392"/>
        <v>87.958333333333314</v>
      </c>
      <c r="CC347" s="169">
        <f>IFERROR(
  SUM(
    _xlfn.XLOOKUP(DATE(YEAR($A$1),1,1),$2:$2,347:347):
    _xlfn.XLOOKUP($A$1,$2:$2,347:347)
  )
 -SUM(
    _xlfn.XLOOKUP(DATE(YEAR($A$1)-1,1,1),$2:$2,347:347):
    _xlfn.XLOOKUP(EDATE($A$1,-12),$2:$2,347:347)
  ),"")</f>
        <v>278.83333333333326</v>
      </c>
      <c r="CD347" s="4517">
        <f t="shared" si="387"/>
        <v>-419.16666666666663</v>
      </c>
      <c r="CE347" s="5459"/>
      <c r="CF347" s="5459"/>
    </row>
    <row r="348" spans="1:84" s="698" customFormat="1" ht="17.600000000000001" x14ac:dyDescent="0.55000000000000004">
      <c r="A348" s="7347"/>
      <c r="B348" s="5480"/>
      <c r="C348" s="804" t="s">
        <v>228</v>
      </c>
      <c r="D348" s="5557">
        <v>330.875</v>
      </c>
      <c r="E348" s="5558">
        <v>417.75</v>
      </c>
      <c r="F348" s="5558">
        <v>386.875</v>
      </c>
      <c r="G348" s="5558">
        <v>398.625</v>
      </c>
      <c r="H348" s="5558">
        <v>425.75</v>
      </c>
      <c r="I348" s="5558">
        <v>418.875</v>
      </c>
      <c r="J348" s="5558">
        <v>405.625</v>
      </c>
      <c r="K348" s="5558">
        <v>490.375</v>
      </c>
      <c r="L348" s="5558">
        <v>307</v>
      </c>
      <c r="M348" s="5558">
        <v>434.5</v>
      </c>
      <c r="N348" s="5558">
        <v>293.625</v>
      </c>
      <c r="O348" s="5558">
        <v>276.25</v>
      </c>
      <c r="P348" s="5485">
        <f t="shared" si="393"/>
        <v>4586.125</v>
      </c>
      <c r="Q348" s="5559">
        <f t="shared" si="394"/>
        <v>382.17708333333331</v>
      </c>
      <c r="R348" s="5479"/>
      <c r="S348" s="5557">
        <v>292.125</v>
      </c>
      <c r="T348" s="5558">
        <v>320.875</v>
      </c>
      <c r="U348" s="5558">
        <v>286.375</v>
      </c>
      <c r="V348" s="5558">
        <v>359</v>
      </c>
      <c r="W348" s="5558">
        <v>375.66666666666669</v>
      </c>
      <c r="X348" s="5558">
        <v>345.83333333333331</v>
      </c>
      <c r="Y348" s="5558">
        <v>438.83333333333331</v>
      </c>
      <c r="Z348" s="5558">
        <v>512.83333333333337</v>
      </c>
      <c r="AA348" s="5558">
        <v>341.33333333333331</v>
      </c>
      <c r="AB348" s="5558">
        <v>479.83333333333331</v>
      </c>
      <c r="AC348" s="5558">
        <v>351.16666666666669</v>
      </c>
      <c r="AD348" s="5558">
        <v>296.83333333333331</v>
      </c>
      <c r="AE348" s="5485">
        <f t="shared" si="395"/>
        <v>4400.7083333333339</v>
      </c>
      <c r="AF348" s="5559">
        <f t="shared" si="396"/>
        <v>366.72569444444451</v>
      </c>
      <c r="AG348" s="5479"/>
      <c r="AH348" s="5557">
        <v>406.66666666666669</v>
      </c>
      <c r="AI348" s="5558">
        <v>360.16666666666669</v>
      </c>
      <c r="AJ348" s="5558">
        <v>380.66666666666669</v>
      </c>
      <c r="AK348" s="5558">
        <v>391.16666666666669</v>
      </c>
      <c r="AL348" s="5558">
        <v>487</v>
      </c>
      <c r="AM348" s="5558">
        <v>477.83333333333331</v>
      </c>
      <c r="AN348" s="5560">
        <v>559.33333333333337</v>
      </c>
      <c r="AO348" s="5560">
        <v>440.16666666666669</v>
      </c>
      <c r="AP348" s="5558">
        <v>446.83333333333331</v>
      </c>
      <c r="AQ348" s="5558">
        <v>474.83333333333331</v>
      </c>
      <c r="AR348" s="5485">
        <v>414.66666666666669</v>
      </c>
      <c r="AS348" s="5485">
        <v>343.5</v>
      </c>
      <c r="AT348" s="5485">
        <f t="shared" si="388"/>
        <v>5182.8333333333339</v>
      </c>
      <c r="AU348" s="5559">
        <f t="shared" si="385"/>
        <v>431.90277777777783</v>
      </c>
      <c r="AW348" s="5484">
        <v>356</v>
      </c>
      <c r="AX348" s="5558">
        <v>552.66666666666663</v>
      </c>
      <c r="AY348" s="5558">
        <v>456.66666666666669</v>
      </c>
      <c r="AZ348" s="5558">
        <v>512</v>
      </c>
      <c r="BA348" s="5558">
        <v>808.33333333333337</v>
      </c>
      <c r="BB348" s="5558">
        <v>579.5</v>
      </c>
      <c r="BC348" s="5560">
        <v>696.16666666666663</v>
      </c>
      <c r="BD348" s="5560">
        <v>552.33333333333337</v>
      </c>
      <c r="BE348" s="5558">
        <v>602.66666666666663</v>
      </c>
      <c r="BF348" s="5558">
        <v>622.16666666666663</v>
      </c>
      <c r="BG348" s="5485">
        <v>486.33333333333331</v>
      </c>
      <c r="BH348" s="5485">
        <v>588.16666666666663</v>
      </c>
      <c r="BI348" s="5485">
        <f t="shared" si="389"/>
        <v>6813</v>
      </c>
      <c r="BJ348" s="5559">
        <f t="shared" si="373"/>
        <v>567.75</v>
      </c>
      <c r="BL348" s="5484">
        <v>915.66666666666663</v>
      </c>
      <c r="BM348" s="5558">
        <v>397.16666666666669</v>
      </c>
      <c r="BN348" s="5558"/>
      <c r="BO348" s="5558"/>
      <c r="BP348" s="5558"/>
      <c r="BQ348" s="5558"/>
      <c r="BR348" s="5560"/>
      <c r="BS348" s="5560"/>
      <c r="BT348" s="5558"/>
      <c r="BU348" s="5558"/>
      <c r="BV348" s="5485"/>
      <c r="BW348" s="5485"/>
      <c r="BX348" s="5485">
        <f t="shared" si="390"/>
        <v>1312.8333333333333</v>
      </c>
      <c r="BY348" s="5486">
        <f t="shared" si="391"/>
        <v>656.41666666666663</v>
      </c>
      <c r="CA348" s="169">
        <f t="shared" si="386"/>
        <v>-155.49999999999994</v>
      </c>
      <c r="CB348" s="169">
        <f t="shared" si="392"/>
        <v>135.84722222222217</v>
      </c>
      <c r="CC348" s="169">
        <f>IFERROR(
  SUM(
    _xlfn.XLOOKUP(DATE(YEAR($A$1),1,1),$2:$2,348:348):
    _xlfn.XLOOKUP($A$1,$2:$2,348:348)
  )
 -SUM(
    _xlfn.XLOOKUP(DATE(YEAR($A$1)-1,1,1),$2:$2,348:348):
    _xlfn.XLOOKUP(EDATE($A$1,-12),$2:$2,348:348)
  ),"")</f>
        <v>404.16666666666663</v>
      </c>
      <c r="CD348" s="4517">
        <f t="shared" si="387"/>
        <v>-518.5</v>
      </c>
      <c r="CE348" s="5459"/>
      <c r="CF348" s="5459"/>
    </row>
    <row r="349" spans="1:84" s="698" customFormat="1" ht="17.600000000000001" x14ac:dyDescent="0.55000000000000004">
      <c r="A349" s="7347"/>
      <c r="B349" s="5480"/>
      <c r="C349" s="681" t="s">
        <v>229</v>
      </c>
      <c r="D349" s="5553">
        <v>465.14285714285717</v>
      </c>
      <c r="E349" s="5554">
        <v>601.57142857142856</v>
      </c>
      <c r="F349" s="5554">
        <v>563</v>
      </c>
      <c r="G349" s="5554">
        <v>565.14285714285711</v>
      </c>
      <c r="H349" s="5554">
        <v>593.42857142857144</v>
      </c>
      <c r="I349" s="5554">
        <v>486.57142857142856</v>
      </c>
      <c r="J349" s="5554">
        <v>471.85714285714283</v>
      </c>
      <c r="K349" s="5554">
        <v>494.71428571428572</v>
      </c>
      <c r="L349" s="5554">
        <v>405.28571428571428</v>
      </c>
      <c r="M349" s="5554">
        <v>531</v>
      </c>
      <c r="N349" s="5554">
        <v>407.42857142857144</v>
      </c>
      <c r="O349" s="5554">
        <v>352.85714285714283</v>
      </c>
      <c r="P349" s="5482">
        <f t="shared" si="393"/>
        <v>5938.0000000000009</v>
      </c>
      <c r="Q349" s="5555">
        <f t="shared" si="394"/>
        <v>494.83333333333343</v>
      </c>
      <c r="R349" s="5479"/>
      <c r="S349" s="5553">
        <v>363.85714285714283</v>
      </c>
      <c r="T349" s="5554">
        <v>430.14285714285717</v>
      </c>
      <c r="U349" s="5554">
        <v>390.42857142857144</v>
      </c>
      <c r="V349" s="5554">
        <v>419.83333333333331</v>
      </c>
      <c r="W349" s="5554">
        <v>433.83333333333331</v>
      </c>
      <c r="X349" s="5554">
        <v>379.66666666666669</v>
      </c>
      <c r="Y349" s="5554">
        <v>435.83333333333331</v>
      </c>
      <c r="Z349" s="5554">
        <v>556.16666666666663</v>
      </c>
      <c r="AA349" s="5554">
        <v>432.5</v>
      </c>
      <c r="AB349" s="5554">
        <v>547.33333333333337</v>
      </c>
      <c r="AC349" s="5554">
        <v>424.83333333333331</v>
      </c>
      <c r="AD349" s="5554">
        <v>343.33333333333331</v>
      </c>
      <c r="AE349" s="5482">
        <f t="shared" si="395"/>
        <v>5157.7619047619037</v>
      </c>
      <c r="AF349" s="5555">
        <f t="shared" si="396"/>
        <v>429.81349206349199</v>
      </c>
      <c r="AG349" s="5479"/>
      <c r="AH349" s="5553">
        <v>559</v>
      </c>
      <c r="AI349" s="5554">
        <v>443.83333333333331</v>
      </c>
      <c r="AJ349" s="5554">
        <v>460.16666666666669</v>
      </c>
      <c r="AK349" s="5554">
        <v>499.16666666666669</v>
      </c>
      <c r="AL349" s="5554">
        <v>488</v>
      </c>
      <c r="AM349" s="5554">
        <v>452</v>
      </c>
      <c r="AN349" s="5556">
        <v>521.5</v>
      </c>
      <c r="AO349" s="5556">
        <v>429.83333333333331</v>
      </c>
      <c r="AP349" s="5554">
        <v>570.5</v>
      </c>
      <c r="AQ349" s="5554">
        <v>558.5</v>
      </c>
      <c r="AR349" s="5482">
        <v>659</v>
      </c>
      <c r="AS349" s="5482">
        <v>571.66666666666663</v>
      </c>
      <c r="AT349" s="5482">
        <f t="shared" si="388"/>
        <v>6213.166666666667</v>
      </c>
      <c r="AU349" s="5555">
        <f t="shared" si="385"/>
        <v>517.76388888888891</v>
      </c>
      <c r="AW349" s="5481">
        <v>574.16666666666663</v>
      </c>
      <c r="AX349" s="5554">
        <v>848.5</v>
      </c>
      <c r="AY349" s="5554">
        <v>623.66666666666663</v>
      </c>
      <c r="AZ349" s="5554">
        <v>903.66666666666663</v>
      </c>
      <c r="BA349" s="5554">
        <v>1269.5</v>
      </c>
      <c r="BB349" s="5554">
        <v>1133.5</v>
      </c>
      <c r="BC349" s="5556">
        <v>1261.6666666666667</v>
      </c>
      <c r="BD349" s="5556">
        <v>918.5</v>
      </c>
      <c r="BE349" s="5554">
        <v>922.16666666666663</v>
      </c>
      <c r="BF349" s="5554">
        <v>946.66666666666663</v>
      </c>
      <c r="BG349" s="5482">
        <v>695.66666666666663</v>
      </c>
      <c r="BH349" s="5482">
        <v>764.33333333333337</v>
      </c>
      <c r="BI349" s="5482">
        <f t="shared" si="389"/>
        <v>10862</v>
      </c>
      <c r="BJ349" s="5555">
        <f t="shared" si="373"/>
        <v>905.16666666666663</v>
      </c>
      <c r="BL349" s="5481">
        <v>1142</v>
      </c>
      <c r="BM349" s="5554">
        <v>581.33333333333337</v>
      </c>
      <c r="BN349" s="5554"/>
      <c r="BO349" s="5554"/>
      <c r="BP349" s="5554"/>
      <c r="BQ349" s="5554"/>
      <c r="BR349" s="5556"/>
      <c r="BS349" s="5556"/>
      <c r="BT349" s="5554"/>
      <c r="BU349" s="5554"/>
      <c r="BV349" s="5482"/>
      <c r="BW349" s="5482"/>
      <c r="BX349" s="5482">
        <f t="shared" si="390"/>
        <v>1723.3333333333335</v>
      </c>
      <c r="BY349" s="5483">
        <f t="shared" si="391"/>
        <v>861.66666666666674</v>
      </c>
      <c r="CA349" s="169">
        <f t="shared" si="386"/>
        <v>-267.16666666666663</v>
      </c>
      <c r="CB349" s="169">
        <f t="shared" si="392"/>
        <v>387.40277777777771</v>
      </c>
      <c r="CC349" s="169">
        <f>IFERROR(
  SUM(
    _xlfn.XLOOKUP(DATE(YEAR($A$1),1,1),$2:$2,349:349):
    _xlfn.XLOOKUP($A$1,$2:$2,349:349)
  )
 -SUM(
    _xlfn.XLOOKUP(DATE(YEAR($A$1)-1,1,1),$2:$2,349:349):
    _xlfn.XLOOKUP(EDATE($A$1,-12),$2:$2,349:349)
  ),"")</f>
        <v>300.66666666666697</v>
      </c>
      <c r="CD349" s="4517">
        <f t="shared" si="387"/>
        <v>-560.66666666666663</v>
      </c>
      <c r="CE349" s="5459"/>
      <c r="CF349" s="5459"/>
    </row>
    <row r="350" spans="1:84" s="698" customFormat="1" ht="17.600000000000001" x14ac:dyDescent="0.55000000000000004">
      <c r="A350" s="7347"/>
      <c r="B350" s="5480"/>
      <c r="C350" s="681" t="s">
        <v>230</v>
      </c>
      <c r="D350" s="5553">
        <v>431.5</v>
      </c>
      <c r="E350" s="5554">
        <v>512.5</v>
      </c>
      <c r="F350" s="5554">
        <v>453.33333333333331</v>
      </c>
      <c r="G350" s="5554">
        <v>501.33333333333331</v>
      </c>
      <c r="H350" s="5554">
        <v>486.66666666666669</v>
      </c>
      <c r="I350" s="5554">
        <v>419.5</v>
      </c>
      <c r="J350" s="5554">
        <v>419.16666666666669</v>
      </c>
      <c r="K350" s="5554">
        <v>470.66666666666669</v>
      </c>
      <c r="L350" s="5554">
        <v>322.16666666666669</v>
      </c>
      <c r="M350" s="5554">
        <v>453.66666666666669</v>
      </c>
      <c r="N350" s="5554">
        <v>277.66666666666669</v>
      </c>
      <c r="O350" s="5554">
        <v>189.83333333333334</v>
      </c>
      <c r="P350" s="5482">
        <f t="shared" si="393"/>
        <v>4937.9999999999991</v>
      </c>
      <c r="Q350" s="5555">
        <f t="shared" si="394"/>
        <v>411.49999999999994</v>
      </c>
      <c r="R350" s="5479"/>
      <c r="S350" s="5553">
        <v>305.83333333333331</v>
      </c>
      <c r="T350" s="5554">
        <v>419.66666666666669</v>
      </c>
      <c r="U350" s="5554">
        <v>292.83333333333331</v>
      </c>
      <c r="V350" s="5554">
        <v>402.8</v>
      </c>
      <c r="W350" s="5554">
        <v>404.8</v>
      </c>
      <c r="X350" s="5554">
        <v>382.2</v>
      </c>
      <c r="Y350" s="5554">
        <v>392.6</v>
      </c>
      <c r="Z350" s="5554">
        <v>553.79999999999995</v>
      </c>
      <c r="AA350" s="5554">
        <v>351.8</v>
      </c>
      <c r="AB350" s="5554">
        <v>475</v>
      </c>
      <c r="AC350" s="5554">
        <v>353.6</v>
      </c>
      <c r="AD350" s="5554">
        <v>262</v>
      </c>
      <c r="AE350" s="5482">
        <f t="shared" si="395"/>
        <v>4596.9333333333334</v>
      </c>
      <c r="AF350" s="5555">
        <f t="shared" si="396"/>
        <v>383.07777777777778</v>
      </c>
      <c r="AG350" s="5479"/>
      <c r="AH350" s="5553">
        <v>453.8</v>
      </c>
      <c r="AI350" s="5554">
        <v>362</v>
      </c>
      <c r="AJ350" s="5554">
        <v>408.8</v>
      </c>
      <c r="AK350" s="5554">
        <v>382</v>
      </c>
      <c r="AL350" s="5554">
        <v>417.6</v>
      </c>
      <c r="AM350" s="5554">
        <v>359.6</v>
      </c>
      <c r="AN350" s="5556">
        <v>434.4</v>
      </c>
      <c r="AO350" s="5556">
        <v>351.2</v>
      </c>
      <c r="AP350" s="5554">
        <v>403.4</v>
      </c>
      <c r="AQ350" s="5554">
        <v>374.6</v>
      </c>
      <c r="AR350" s="5482">
        <v>392</v>
      </c>
      <c r="AS350" s="5482">
        <v>351.2</v>
      </c>
      <c r="AT350" s="5482">
        <f t="shared" si="388"/>
        <v>4690.5999999999995</v>
      </c>
      <c r="AU350" s="5555">
        <f t="shared" si="385"/>
        <v>390.88333333333327</v>
      </c>
      <c r="AW350" s="5481">
        <v>401.6</v>
      </c>
      <c r="AX350" s="5554">
        <v>606</v>
      </c>
      <c r="AY350" s="5554">
        <v>416.2</v>
      </c>
      <c r="AZ350" s="5554">
        <v>574.6</v>
      </c>
      <c r="BA350" s="5554">
        <v>837.2</v>
      </c>
      <c r="BB350" s="5554">
        <v>707.8</v>
      </c>
      <c r="BC350" s="5556">
        <v>758.8</v>
      </c>
      <c r="BD350" s="5556">
        <v>611.6</v>
      </c>
      <c r="BE350" s="5554">
        <v>668.4</v>
      </c>
      <c r="BF350" s="5554">
        <v>743.8</v>
      </c>
      <c r="BG350" s="5482">
        <v>580</v>
      </c>
      <c r="BH350" s="5482">
        <v>661.4</v>
      </c>
      <c r="BI350" s="5482">
        <f t="shared" si="389"/>
        <v>7567.4000000000005</v>
      </c>
      <c r="BJ350" s="5555">
        <f t="shared" si="373"/>
        <v>630.61666666666667</v>
      </c>
      <c r="BL350" s="5481">
        <v>983</v>
      </c>
      <c r="BM350" s="5554">
        <v>419</v>
      </c>
      <c r="BN350" s="5554"/>
      <c r="BO350" s="5554"/>
      <c r="BP350" s="5554"/>
      <c r="BQ350" s="5554"/>
      <c r="BR350" s="5556"/>
      <c r="BS350" s="5556"/>
      <c r="BT350" s="5554"/>
      <c r="BU350" s="5554"/>
      <c r="BV350" s="5482"/>
      <c r="BW350" s="5482"/>
      <c r="BX350" s="5482">
        <f t="shared" si="390"/>
        <v>1402</v>
      </c>
      <c r="BY350" s="5483">
        <f t="shared" si="391"/>
        <v>701</v>
      </c>
      <c r="CA350" s="169">
        <f t="shared" si="386"/>
        <v>-187</v>
      </c>
      <c r="CB350" s="169">
        <f t="shared" si="392"/>
        <v>239.73333333333341</v>
      </c>
      <c r="CC350" s="169">
        <f>IFERROR(
  SUM(
    _xlfn.XLOOKUP(DATE(YEAR($A$1),1,1),$2:$2,350:350):
    _xlfn.XLOOKUP($A$1,$2:$2,350:350)
  )
 -SUM(
    _xlfn.XLOOKUP(DATE(YEAR($A$1)-1,1,1),$2:$2,350:350):
    _xlfn.XLOOKUP(EDATE($A$1,-12),$2:$2,350:350)
  ),"")</f>
        <v>394.4</v>
      </c>
      <c r="CD350" s="4517">
        <f t="shared" si="387"/>
        <v>-564</v>
      </c>
      <c r="CE350" s="5459"/>
      <c r="CF350" s="5459"/>
    </row>
    <row r="351" spans="1:84" s="698" customFormat="1" ht="17.600000000000001" x14ac:dyDescent="0.55000000000000004">
      <c r="A351" s="7347"/>
      <c r="B351" s="5480"/>
      <c r="C351" s="804" t="s">
        <v>231</v>
      </c>
      <c r="D351" s="5557">
        <v>690.16666666666663</v>
      </c>
      <c r="E351" s="5558">
        <v>704.83333333333337</v>
      </c>
      <c r="F351" s="5558">
        <v>628.33333333333337</v>
      </c>
      <c r="G351" s="5558">
        <v>642.16666666666663</v>
      </c>
      <c r="H351" s="5558">
        <v>662.66666666666663</v>
      </c>
      <c r="I351" s="5558">
        <v>641.33333333333337</v>
      </c>
      <c r="J351" s="5558">
        <v>613.83333333333337</v>
      </c>
      <c r="K351" s="5558">
        <v>674.83333333333337</v>
      </c>
      <c r="L351" s="5558">
        <v>474.66666666666669</v>
      </c>
      <c r="M351" s="5558">
        <v>676.83333333333337</v>
      </c>
      <c r="N351" s="5558">
        <v>502.83333333333331</v>
      </c>
      <c r="O351" s="5558">
        <v>475.16666666666669</v>
      </c>
      <c r="P351" s="5485">
        <f t="shared" si="393"/>
        <v>7387.6666666666661</v>
      </c>
      <c r="Q351" s="5559">
        <f t="shared" si="394"/>
        <v>615.6388888888888</v>
      </c>
      <c r="R351" s="5479"/>
      <c r="S351" s="5557">
        <v>530.5</v>
      </c>
      <c r="T351" s="5558">
        <v>620.33333333333337</v>
      </c>
      <c r="U351" s="5558">
        <v>538.16666666666663</v>
      </c>
      <c r="V351" s="5558">
        <v>613.20000000000005</v>
      </c>
      <c r="W351" s="5558">
        <v>613</v>
      </c>
      <c r="X351" s="5558">
        <v>567.4</v>
      </c>
      <c r="Y351" s="5558">
        <v>632.6</v>
      </c>
      <c r="Z351" s="5558">
        <v>807.8</v>
      </c>
      <c r="AA351" s="5558">
        <v>572.79999999999995</v>
      </c>
      <c r="AB351" s="5558">
        <v>719.8</v>
      </c>
      <c r="AC351" s="5558">
        <v>551.79999999999995</v>
      </c>
      <c r="AD351" s="5558">
        <v>458.4</v>
      </c>
      <c r="AE351" s="5485">
        <f t="shared" si="395"/>
        <v>7225.8</v>
      </c>
      <c r="AF351" s="5559">
        <f t="shared" si="396"/>
        <v>602.15</v>
      </c>
      <c r="AG351" s="5479"/>
      <c r="AH351" s="5557">
        <v>719.2</v>
      </c>
      <c r="AI351" s="5558">
        <v>557</v>
      </c>
      <c r="AJ351" s="5558">
        <v>613.20000000000005</v>
      </c>
      <c r="AK351" s="5558">
        <v>630.20000000000005</v>
      </c>
      <c r="AL351" s="5558">
        <v>656</v>
      </c>
      <c r="AM351" s="5558">
        <v>571.6</v>
      </c>
      <c r="AN351" s="5560">
        <v>674.2</v>
      </c>
      <c r="AO351" s="5560">
        <v>462.6</v>
      </c>
      <c r="AP351" s="5558">
        <v>666.8</v>
      </c>
      <c r="AQ351" s="5558">
        <v>631</v>
      </c>
      <c r="AR351" s="5485">
        <v>662.4</v>
      </c>
      <c r="AS351" s="5485">
        <v>544.6</v>
      </c>
      <c r="AT351" s="5485">
        <f t="shared" si="388"/>
        <v>7388.8000000000011</v>
      </c>
      <c r="AU351" s="5559">
        <f t="shared" si="385"/>
        <v>615.73333333333346</v>
      </c>
      <c r="AW351" s="5484">
        <v>561</v>
      </c>
      <c r="AX351" s="5558">
        <v>774.6</v>
      </c>
      <c r="AY351" s="5558">
        <v>628.4</v>
      </c>
      <c r="AZ351" s="5558">
        <v>748.8</v>
      </c>
      <c r="BA351" s="5558">
        <v>1088</v>
      </c>
      <c r="BB351" s="5558">
        <v>899</v>
      </c>
      <c r="BC351" s="5560">
        <v>1037.2</v>
      </c>
      <c r="BD351" s="5560">
        <v>685.2</v>
      </c>
      <c r="BE351" s="5558">
        <v>784.4</v>
      </c>
      <c r="BF351" s="5558">
        <v>715.2</v>
      </c>
      <c r="BG351" s="5485">
        <v>628.79999999999995</v>
      </c>
      <c r="BH351" s="5485">
        <v>639.6</v>
      </c>
      <c r="BI351" s="5485">
        <f t="shared" si="389"/>
        <v>9190.1999999999989</v>
      </c>
      <c r="BJ351" s="5559">
        <f t="shared" si="373"/>
        <v>765.84999999999991</v>
      </c>
      <c r="BL351" s="5484">
        <v>994.4</v>
      </c>
      <c r="BM351" s="5558">
        <v>460.4</v>
      </c>
      <c r="BN351" s="5558"/>
      <c r="BO351" s="5558"/>
      <c r="BP351" s="5558"/>
      <c r="BQ351" s="5558"/>
      <c r="BR351" s="5560"/>
      <c r="BS351" s="5560"/>
      <c r="BT351" s="5558"/>
      <c r="BU351" s="5558"/>
      <c r="BV351" s="5485"/>
      <c r="BW351" s="5485"/>
      <c r="BX351" s="5485">
        <f t="shared" si="390"/>
        <v>1454.8</v>
      </c>
      <c r="BY351" s="5486">
        <f t="shared" si="391"/>
        <v>727.4</v>
      </c>
      <c r="CA351" s="169">
        <f t="shared" si="386"/>
        <v>-314.20000000000005</v>
      </c>
      <c r="CB351" s="169">
        <f t="shared" si="392"/>
        <v>150.11666666666645</v>
      </c>
      <c r="CC351" s="169">
        <f>IFERROR(
  SUM(
    _xlfn.XLOOKUP(DATE(YEAR($A$1),1,1),$2:$2,351:351):
    _xlfn.XLOOKUP($A$1,$2:$2,351:351)
  )
 -SUM(
    _xlfn.XLOOKUP(DATE(YEAR($A$1)-1,1,1),$2:$2,351:351):
    _xlfn.XLOOKUP(EDATE($A$1,-12),$2:$2,351:351)
  ),"")</f>
        <v>119.20000000000005</v>
      </c>
      <c r="CD351" s="4517">
        <f t="shared" si="387"/>
        <v>-534</v>
      </c>
      <c r="CE351" s="5459"/>
      <c r="CF351" s="5459"/>
    </row>
    <row r="352" spans="1:84" s="698" customFormat="1" ht="18" thickBot="1" x14ac:dyDescent="0.6">
      <c r="A352" s="7347"/>
      <c r="B352" s="5487"/>
      <c r="C352" s="2183" t="s">
        <v>232</v>
      </c>
      <c r="D352" s="5561">
        <v>462.28571428571428</v>
      </c>
      <c r="E352" s="5562">
        <v>499.57142857142856</v>
      </c>
      <c r="F352" s="5562">
        <v>436.57142857142856</v>
      </c>
      <c r="G352" s="5562">
        <v>455</v>
      </c>
      <c r="H352" s="5562">
        <v>506.14285714285717</v>
      </c>
      <c r="I352" s="5562">
        <v>408.28571428571428</v>
      </c>
      <c r="J352" s="5562">
        <v>378.85714285714283</v>
      </c>
      <c r="K352" s="5562">
        <v>410.57142857142856</v>
      </c>
      <c r="L352" s="5562">
        <v>298</v>
      </c>
      <c r="M352" s="5562">
        <v>468.71428571428572</v>
      </c>
      <c r="N352" s="5562">
        <v>343</v>
      </c>
      <c r="O352" s="5562">
        <v>285.71428571428572</v>
      </c>
      <c r="P352" s="5489">
        <f t="shared" si="393"/>
        <v>4952.7142857142853</v>
      </c>
      <c r="Q352" s="5563">
        <f t="shared" si="394"/>
        <v>412.72619047619042</v>
      </c>
      <c r="R352" s="5479"/>
      <c r="S352" s="5561">
        <v>331.42857142857144</v>
      </c>
      <c r="T352" s="5562">
        <v>377.28571428571428</v>
      </c>
      <c r="U352" s="5562">
        <v>286.28571428571428</v>
      </c>
      <c r="V352" s="5562">
        <v>410.8</v>
      </c>
      <c r="W352" s="5562">
        <v>382.8</v>
      </c>
      <c r="X352" s="5562">
        <v>361.2</v>
      </c>
      <c r="Y352" s="5562">
        <v>409.4</v>
      </c>
      <c r="Z352" s="5562">
        <v>530.20000000000005</v>
      </c>
      <c r="AA352" s="5562">
        <v>398</v>
      </c>
      <c r="AB352" s="5562">
        <v>473</v>
      </c>
      <c r="AC352" s="5562">
        <v>357.6</v>
      </c>
      <c r="AD352" s="5562">
        <v>313.8</v>
      </c>
      <c r="AE352" s="5489">
        <f t="shared" si="395"/>
        <v>4631.8</v>
      </c>
      <c r="AF352" s="5563">
        <f t="shared" si="396"/>
        <v>385.98333333333335</v>
      </c>
      <c r="AG352" s="5479"/>
      <c r="AH352" s="5561">
        <v>463.2</v>
      </c>
      <c r="AI352" s="5562">
        <v>405.6</v>
      </c>
      <c r="AJ352" s="5562">
        <v>423.8</v>
      </c>
      <c r="AK352" s="5562">
        <v>374.6</v>
      </c>
      <c r="AL352" s="5562">
        <v>377.6</v>
      </c>
      <c r="AM352" s="5562">
        <v>419.2</v>
      </c>
      <c r="AN352" s="5564">
        <v>452.6</v>
      </c>
      <c r="AO352" s="5564">
        <v>369</v>
      </c>
      <c r="AP352" s="5562">
        <v>410.4</v>
      </c>
      <c r="AQ352" s="5562">
        <v>408.6</v>
      </c>
      <c r="AR352" s="5489">
        <v>458</v>
      </c>
      <c r="AS352" s="5489">
        <v>378.4</v>
      </c>
      <c r="AT352" s="5489">
        <f t="shared" si="388"/>
        <v>4940.9999999999991</v>
      </c>
      <c r="AU352" s="5563">
        <f t="shared" si="385"/>
        <v>411.74999999999994</v>
      </c>
      <c r="AW352" s="5488">
        <v>390</v>
      </c>
      <c r="AX352" s="5562">
        <v>521.6</v>
      </c>
      <c r="AY352" s="5562">
        <v>382.6</v>
      </c>
      <c r="AZ352" s="5562">
        <v>484.2</v>
      </c>
      <c r="BA352" s="5562">
        <v>603.79999999999995</v>
      </c>
      <c r="BB352" s="5562">
        <v>466.6</v>
      </c>
      <c r="BC352" s="5564">
        <v>615.20000000000005</v>
      </c>
      <c r="BD352" s="5564">
        <v>444.6</v>
      </c>
      <c r="BE352" s="5562">
        <v>521</v>
      </c>
      <c r="BF352" s="5562">
        <v>458.8</v>
      </c>
      <c r="BG352" s="5489">
        <v>400.8</v>
      </c>
      <c r="BH352" s="5489">
        <v>380.6</v>
      </c>
      <c r="BI352" s="5489">
        <f t="shared" si="389"/>
        <v>5669.8000000000011</v>
      </c>
      <c r="BJ352" s="5563">
        <f t="shared" si="373"/>
        <v>472.48333333333341</v>
      </c>
      <c r="BL352" s="5488">
        <v>641.79999999999995</v>
      </c>
      <c r="BM352" s="5562">
        <v>287.60000000000002</v>
      </c>
      <c r="BN352" s="5562"/>
      <c r="BO352" s="5562"/>
      <c r="BP352" s="5562"/>
      <c r="BQ352" s="5562"/>
      <c r="BR352" s="5564"/>
      <c r="BS352" s="5564"/>
      <c r="BT352" s="5562"/>
      <c r="BU352" s="5562"/>
      <c r="BV352" s="5489"/>
      <c r="BW352" s="5489"/>
      <c r="BX352" s="5489">
        <f t="shared" si="390"/>
        <v>929.4</v>
      </c>
      <c r="BY352" s="5490">
        <f t="shared" si="391"/>
        <v>464.7</v>
      </c>
      <c r="CA352" s="169">
        <f t="shared" si="386"/>
        <v>-234</v>
      </c>
      <c r="CB352" s="169">
        <f t="shared" si="392"/>
        <v>60.733333333333462</v>
      </c>
      <c r="CC352" s="169">
        <f>IFERROR(
  SUM(
    _xlfn.XLOOKUP(DATE(YEAR($A$1),1,1),$2:$2,352:352):
    _xlfn.XLOOKUP($A$1,$2:$2,352:352)
  )
 -SUM(
    _xlfn.XLOOKUP(DATE(YEAR($A$1)-1,1,1),$2:$2,352:352):
    _xlfn.XLOOKUP(EDATE($A$1,-12),$2:$2,352:352)
  ),"")</f>
        <v>17.799999999999955</v>
      </c>
      <c r="CD352" s="4517">
        <f t="shared" si="387"/>
        <v>-354.19999999999993</v>
      </c>
      <c r="CE352" s="5459"/>
      <c r="CF352" s="5459"/>
    </row>
    <row r="353" spans="1:84" ht="17.600000000000001" x14ac:dyDescent="0.55000000000000004">
      <c r="A353" s="7346" t="s">
        <v>389</v>
      </c>
      <c r="B353" s="5131" t="s">
        <v>249</v>
      </c>
      <c r="C353" s="5132"/>
      <c r="D353" s="5532">
        <v>5.429870751555768</v>
      </c>
      <c r="E353" s="5533">
        <v>6.3587454212454215</v>
      </c>
      <c r="F353" s="5533">
        <v>5.4363312555654497</v>
      </c>
      <c r="G353" s="5533">
        <v>5.6826881252718575</v>
      </c>
      <c r="H353" s="5533">
        <v>5.7663215719416856</v>
      </c>
      <c r="I353" s="5533">
        <v>5.412759580389638</v>
      </c>
      <c r="J353" s="5533">
        <v>5.0919213973799122</v>
      </c>
      <c r="K353" s="5533">
        <v>5.8069557561082981</v>
      </c>
      <c r="L353" s="5533">
        <v>4.3039262062440873</v>
      </c>
      <c r="M353" s="5533">
        <v>5.8038606611936983</v>
      </c>
      <c r="N353" s="5533">
        <v>4.3216279069767438</v>
      </c>
      <c r="O353" s="5533">
        <v>4.1732343909928353</v>
      </c>
      <c r="P353" s="5533">
        <v>63.588243024865392</v>
      </c>
      <c r="Q353" s="5534">
        <v>5.2990202520721157</v>
      </c>
      <c r="R353" s="2776"/>
      <c r="S353" s="5532">
        <v>4.4048592735145542</v>
      </c>
      <c r="T353" s="5533">
        <v>4.9935676544911551</v>
      </c>
      <c r="U353" s="5533">
        <v>4.032984901277584</v>
      </c>
      <c r="V353" s="5533">
        <v>4.2302745486025231</v>
      </c>
      <c r="W353" s="5533">
        <v>4.4408547443398625</v>
      </c>
      <c r="X353" s="5533">
        <v>4.3054371002132195</v>
      </c>
      <c r="Y353" s="5533">
        <v>5.0155228758169939</v>
      </c>
      <c r="Z353" s="5533">
        <v>5.8417035942885276</v>
      </c>
      <c r="AA353" s="5533">
        <v>4.4375842545160422</v>
      </c>
      <c r="AB353" s="5533">
        <v>5.6089272127821452</v>
      </c>
      <c r="AC353" s="5533">
        <v>4.4003211131924003</v>
      </c>
      <c r="AD353" s="5533">
        <v>3.964296166227685</v>
      </c>
      <c r="AE353" s="5533">
        <v>55.676333439262685</v>
      </c>
      <c r="AF353" s="5534">
        <v>4.6396944532718907</v>
      </c>
      <c r="AG353" s="5565"/>
      <c r="AH353" s="5532">
        <v>5.0553816518179628</v>
      </c>
      <c r="AI353" s="5533">
        <v>4.5932856356631815</v>
      </c>
      <c r="AJ353" s="5533">
        <v>4.8979483080202506</v>
      </c>
      <c r="AK353" s="5533">
        <v>4.825130890052356</v>
      </c>
      <c r="AL353" s="5533">
        <v>5.1789203084832902</v>
      </c>
      <c r="AM353" s="5533">
        <v>4.7973216585114606</v>
      </c>
      <c r="AN353" s="5535">
        <v>5.7654545454545456</v>
      </c>
      <c r="AO353" s="5535">
        <v>4.906439185470556</v>
      </c>
      <c r="AP353" s="5533">
        <v>5.0886454183266929</v>
      </c>
      <c r="AQ353" s="5533">
        <v>4.9000000000000004</v>
      </c>
      <c r="AR353" s="5533">
        <v>5.0296882731321126</v>
      </c>
      <c r="AS353" s="5533">
        <v>4.5220744680851066</v>
      </c>
      <c r="AT353" s="5533">
        <f t="shared" si="388"/>
        <v>59.560290343017513</v>
      </c>
      <c r="AU353" s="5534">
        <f t="shared" si="385"/>
        <v>4.9633575285847931</v>
      </c>
      <c r="AW353" s="5532">
        <v>4.7542746828461118</v>
      </c>
      <c r="AX353" s="5533">
        <v>5.9788311090658075</v>
      </c>
      <c r="AY353" s="5533">
        <v>4.7218008319060436</v>
      </c>
      <c r="AZ353" s="5533">
        <v>5.8718258766626361</v>
      </c>
      <c r="BA353" s="5533">
        <v>8.0925638179800217</v>
      </c>
      <c r="BB353" s="5533">
        <v>6.494732020155749</v>
      </c>
      <c r="BC353" s="5535">
        <v>7.5877051074647559</v>
      </c>
      <c r="BD353" s="5535">
        <v>5.7541211980496865</v>
      </c>
      <c r="BE353" s="5533">
        <v>6.2360505166475315</v>
      </c>
      <c r="BF353" s="5533">
        <v>6.2904661513234954</v>
      </c>
      <c r="BG353" s="5533">
        <v>5.4125539051269769</v>
      </c>
      <c r="BH353" s="5533">
        <v>5.7312440645773979</v>
      </c>
      <c r="BI353" s="5533">
        <f t="shared" si="389"/>
        <v>72.92616928180621</v>
      </c>
      <c r="BJ353" s="5534">
        <f t="shared" si="373"/>
        <v>6.0771807734838506</v>
      </c>
      <c r="BL353" s="5532">
        <v>8.4320268756998882</v>
      </c>
      <c r="BM353" s="5533">
        <v>4.5863888156159325</v>
      </c>
      <c r="BN353" s="5533"/>
      <c r="BO353" s="5533"/>
      <c r="BP353" s="5533"/>
      <c r="BQ353" s="5533"/>
      <c r="BR353" s="5535"/>
      <c r="BS353" s="5535"/>
      <c r="BT353" s="5533"/>
      <c r="BU353" s="5533"/>
      <c r="BV353" s="5533"/>
      <c r="BW353" s="5533"/>
      <c r="BX353" s="5533">
        <f t="shared" si="390"/>
        <v>13.01841569131582</v>
      </c>
      <c r="BY353" s="5458">
        <f t="shared" si="391"/>
        <v>6.5092078456579099</v>
      </c>
      <c r="CA353" s="169">
        <f t="shared" si="386"/>
        <v>-1.392442293449875</v>
      </c>
      <c r="CB353" s="169">
        <f t="shared" si="392"/>
        <v>1.1138232448990575</v>
      </c>
      <c r="CC353" s="169">
        <f>IFERROR(
  SUM(
    _xlfn.XLOOKUP(DATE(YEAR($A$1),1,1),$2:$2,353:353):
    _xlfn.XLOOKUP($A$1,$2:$2,353:353)
  )
 -SUM(
    _xlfn.XLOOKUP(DATE(YEAR($A$1)-1,1,1),$2:$2,353:353):
    _xlfn.XLOOKUP(EDATE($A$1,-12),$2:$2,353:353)
  ),"")</f>
        <v>2.2853098994039005</v>
      </c>
      <c r="CD353" s="4517">
        <f t="shared" si="387"/>
        <v>-3.8456380600839557</v>
      </c>
      <c r="CE353" s="5459"/>
      <c r="CF353" s="5459"/>
    </row>
    <row r="354" spans="1:84" ht="17.600000000000001" hidden="1" x14ac:dyDescent="0.55000000000000004">
      <c r="A354" s="7347"/>
      <c r="B354" s="5460"/>
      <c r="C354" s="786" t="s">
        <v>261</v>
      </c>
      <c r="D354" s="5461"/>
      <c r="E354" s="5462"/>
      <c r="F354" s="5462"/>
      <c r="G354" s="5462"/>
      <c r="H354" s="5462"/>
      <c r="I354" s="5462"/>
      <c r="J354" s="5462"/>
      <c r="K354" s="5462"/>
      <c r="L354" s="5462"/>
      <c r="M354" s="5462"/>
      <c r="N354" s="5462"/>
      <c r="O354" s="5462"/>
      <c r="P354" s="5462">
        <v>0</v>
      </c>
      <c r="Q354" s="5463">
        <v>0</v>
      </c>
      <c r="R354" s="2776"/>
      <c r="S354" s="5461"/>
      <c r="T354" s="5462"/>
      <c r="U354" s="5462"/>
      <c r="V354" s="5462"/>
      <c r="W354" s="5462"/>
      <c r="X354" s="5462"/>
      <c r="Y354" s="5462"/>
      <c r="Z354" s="5462"/>
      <c r="AA354" s="5462"/>
      <c r="AB354" s="5462"/>
      <c r="AC354" s="5462"/>
      <c r="AD354" s="5462"/>
      <c r="AE354" s="5462">
        <v>0</v>
      </c>
      <c r="AF354" s="5463">
        <v>0</v>
      </c>
      <c r="AG354" s="2776"/>
      <c r="AH354" s="5461"/>
      <c r="AI354" s="5462"/>
      <c r="AJ354" s="5462"/>
      <c r="AK354" s="5537"/>
      <c r="AL354" s="5537"/>
      <c r="AM354" s="5537"/>
      <c r="AN354" s="4146"/>
      <c r="AO354" s="4146"/>
      <c r="AP354" s="5537"/>
      <c r="AQ354" s="5537"/>
      <c r="AR354" s="5537"/>
      <c r="AS354" s="5537"/>
      <c r="AT354" s="5537">
        <f t="shared" si="388"/>
        <v>0</v>
      </c>
      <c r="AU354" s="5566">
        <f t="shared" si="385"/>
        <v>0</v>
      </c>
      <c r="AW354" s="5536"/>
      <c r="AX354" s="5462"/>
      <c r="AY354" s="5462"/>
      <c r="AZ354" s="5537"/>
      <c r="BA354" s="5537"/>
      <c r="BB354" s="5537"/>
      <c r="BC354" s="4146"/>
      <c r="BD354" s="4146"/>
      <c r="BE354" s="5537"/>
      <c r="BF354" s="5537"/>
      <c r="BG354" s="5537"/>
      <c r="BH354" s="5537"/>
      <c r="BI354" s="5537">
        <f t="shared" si="389"/>
        <v>0</v>
      </c>
      <c r="BJ354" s="5566" t="e">
        <f t="shared" si="373"/>
        <v>#DIV/0!</v>
      </c>
      <c r="BL354" s="5536"/>
      <c r="BM354" s="5462">
        <v>0</v>
      </c>
      <c r="BN354" s="5462"/>
      <c r="BO354" s="5537"/>
      <c r="BP354" s="5537"/>
      <c r="BQ354" s="5537"/>
      <c r="BR354" s="4146"/>
      <c r="BS354" s="4146"/>
      <c r="BT354" s="5537"/>
      <c r="BU354" s="5537"/>
      <c r="BV354" s="5537"/>
      <c r="BW354" s="5537"/>
      <c r="BX354" s="5537">
        <f t="shared" si="390"/>
        <v>0</v>
      </c>
      <c r="BY354" s="5463">
        <f t="shared" si="391"/>
        <v>0</v>
      </c>
      <c r="CA354" s="169">
        <f t="shared" si="386"/>
        <v>0</v>
      </c>
      <c r="CB354" s="169" t="e">
        <f t="shared" si="392"/>
        <v>#DIV/0!</v>
      </c>
      <c r="CC354" s="169">
        <f>IFERROR(
  SUM(
    _xlfn.XLOOKUP(DATE(YEAR($A$1),1,1),$2:$2,354:354):
    _xlfn.XLOOKUP($A$1,$2:$2,354:354)
  )
 -SUM(
    _xlfn.XLOOKUP(DATE(YEAR($A$1)-1,1,1),$2:$2,354:354):
    _xlfn.XLOOKUP(EDATE($A$1,-12),$2:$2,354:354)
  ),"")</f>
        <v>0</v>
      </c>
      <c r="CD354" s="4517">
        <f t="shared" si="387"/>
        <v>0</v>
      </c>
      <c r="CE354" s="5459"/>
      <c r="CF354" s="5459"/>
    </row>
    <row r="355" spans="1:84" ht="17.600000000000001" hidden="1" x14ac:dyDescent="0.55000000000000004">
      <c r="A355" s="7347"/>
      <c r="B355" s="5460"/>
      <c r="C355" s="786" t="s">
        <v>260</v>
      </c>
      <c r="D355" s="5461"/>
      <c r="E355" s="5462"/>
      <c r="F355" s="5462"/>
      <c r="G355" s="5462"/>
      <c r="H355" s="5462"/>
      <c r="I355" s="5462"/>
      <c r="J355" s="5462"/>
      <c r="K355" s="5462"/>
      <c r="L355" s="5462"/>
      <c r="M355" s="5462"/>
      <c r="N355" s="5462"/>
      <c r="O355" s="5462"/>
      <c r="P355" s="5462">
        <v>0</v>
      </c>
      <c r="Q355" s="5463">
        <v>0</v>
      </c>
      <c r="R355" s="2776"/>
      <c r="S355" s="5461"/>
      <c r="T355" s="5462"/>
      <c r="U355" s="5462"/>
      <c r="V355" s="5462"/>
      <c r="W355" s="5462"/>
      <c r="X355" s="5462"/>
      <c r="Y355" s="5462"/>
      <c r="Z355" s="5462"/>
      <c r="AA355" s="5462"/>
      <c r="AB355" s="5462"/>
      <c r="AC355" s="5462"/>
      <c r="AD355" s="5462"/>
      <c r="AE355" s="5462">
        <v>0</v>
      </c>
      <c r="AF355" s="5463">
        <v>0</v>
      </c>
      <c r="AG355" s="2776"/>
      <c r="AH355" s="5461"/>
      <c r="AI355" s="5462"/>
      <c r="AJ355" s="5462"/>
      <c r="AK355" s="5537"/>
      <c r="AL355" s="5537"/>
      <c r="AM355" s="5537"/>
      <c r="AN355" s="4146"/>
      <c r="AO355" s="4146"/>
      <c r="AP355" s="5537"/>
      <c r="AQ355" s="5537"/>
      <c r="AR355" s="5537"/>
      <c r="AS355" s="5537"/>
      <c r="AT355" s="5537">
        <f t="shared" si="388"/>
        <v>0</v>
      </c>
      <c r="AU355" s="5566">
        <f t="shared" si="385"/>
        <v>0</v>
      </c>
      <c r="AW355" s="5536"/>
      <c r="AX355" s="5462"/>
      <c r="AY355" s="5462"/>
      <c r="AZ355" s="5537"/>
      <c r="BA355" s="5537"/>
      <c r="BB355" s="5537"/>
      <c r="BC355" s="4146"/>
      <c r="BD355" s="4146"/>
      <c r="BE355" s="5537"/>
      <c r="BF355" s="5537"/>
      <c r="BG355" s="5537"/>
      <c r="BH355" s="5537"/>
      <c r="BI355" s="5537">
        <f t="shared" si="389"/>
        <v>0</v>
      </c>
      <c r="BJ355" s="5566" t="e">
        <f t="shared" si="373"/>
        <v>#DIV/0!</v>
      </c>
      <c r="BL355" s="5536"/>
      <c r="BM355" s="5462">
        <v>0</v>
      </c>
      <c r="BN355" s="5462"/>
      <c r="BO355" s="5537"/>
      <c r="BP355" s="5537"/>
      <c r="BQ355" s="5537"/>
      <c r="BR355" s="4146"/>
      <c r="BS355" s="4146"/>
      <c r="BT355" s="5537"/>
      <c r="BU355" s="5537"/>
      <c r="BV355" s="5537"/>
      <c r="BW355" s="5537"/>
      <c r="BX355" s="5537">
        <f t="shared" si="390"/>
        <v>0</v>
      </c>
      <c r="BY355" s="5463">
        <f t="shared" si="391"/>
        <v>0</v>
      </c>
      <c r="CA355" s="169">
        <f t="shared" si="386"/>
        <v>0</v>
      </c>
      <c r="CB355" s="169" t="e">
        <f t="shared" si="392"/>
        <v>#DIV/0!</v>
      </c>
      <c r="CC355" s="169">
        <f>IFERROR(
  SUM(
    _xlfn.XLOOKUP(DATE(YEAR($A$1),1,1),$2:$2,355:355):
    _xlfn.XLOOKUP($A$1,$2:$2,355:355)
  )
 -SUM(
    _xlfn.XLOOKUP(DATE(YEAR($A$1)-1,1,1),$2:$2,355:355):
    _xlfn.XLOOKUP(EDATE($A$1,-12),$2:$2,355:355)
  ),"")</f>
        <v>0</v>
      </c>
      <c r="CD355" s="4517">
        <f t="shared" si="387"/>
        <v>0</v>
      </c>
      <c r="CE355" s="5459"/>
      <c r="CF355" s="5459"/>
    </row>
    <row r="356" spans="1:84" ht="17.600000000000001" hidden="1" x14ac:dyDescent="0.55000000000000004">
      <c r="A356" s="7347"/>
      <c r="B356" s="5460"/>
      <c r="C356" s="786" t="s">
        <v>259</v>
      </c>
      <c r="D356" s="5461"/>
      <c r="E356" s="5462"/>
      <c r="F356" s="5462"/>
      <c r="G356" s="5462"/>
      <c r="H356" s="5462"/>
      <c r="I356" s="5462"/>
      <c r="J356" s="5462"/>
      <c r="K356" s="5462"/>
      <c r="L356" s="5462"/>
      <c r="M356" s="5462"/>
      <c r="N356" s="5462"/>
      <c r="O356" s="5462"/>
      <c r="P356" s="5462">
        <v>0</v>
      </c>
      <c r="Q356" s="5463">
        <v>0</v>
      </c>
      <c r="R356" s="2776"/>
      <c r="S356" s="5461"/>
      <c r="T356" s="5462"/>
      <c r="U356" s="5462"/>
      <c r="V356" s="5462"/>
      <c r="W356" s="5462"/>
      <c r="X356" s="5462"/>
      <c r="Y356" s="5462"/>
      <c r="Z356" s="5462"/>
      <c r="AA356" s="5462"/>
      <c r="AB356" s="5462"/>
      <c r="AC356" s="5462"/>
      <c r="AD356" s="5462"/>
      <c r="AE356" s="5462">
        <v>0</v>
      </c>
      <c r="AF356" s="5463">
        <v>0</v>
      </c>
      <c r="AG356" s="2776"/>
      <c r="AH356" s="5461"/>
      <c r="AI356" s="5462"/>
      <c r="AJ356" s="5462"/>
      <c r="AK356" s="5537"/>
      <c r="AL356" s="5537"/>
      <c r="AM356" s="5537"/>
      <c r="AN356" s="4146"/>
      <c r="AO356" s="4146"/>
      <c r="AP356" s="5537"/>
      <c r="AQ356" s="5537"/>
      <c r="AR356" s="5537"/>
      <c r="AS356" s="5537"/>
      <c r="AT356" s="5537">
        <f t="shared" si="388"/>
        <v>0</v>
      </c>
      <c r="AU356" s="5566">
        <f t="shared" si="385"/>
        <v>0</v>
      </c>
      <c r="AW356" s="5536"/>
      <c r="AX356" s="5462"/>
      <c r="AY356" s="5462"/>
      <c r="AZ356" s="5537"/>
      <c r="BA356" s="5537"/>
      <c r="BB356" s="5537"/>
      <c r="BC356" s="4146"/>
      <c r="BD356" s="4146"/>
      <c r="BE356" s="5537"/>
      <c r="BF356" s="5537"/>
      <c r="BG356" s="5537"/>
      <c r="BH356" s="5537"/>
      <c r="BI356" s="5537">
        <f t="shared" si="389"/>
        <v>0</v>
      </c>
      <c r="BJ356" s="5566" t="e">
        <f t="shared" si="373"/>
        <v>#DIV/0!</v>
      </c>
      <c r="BL356" s="5536"/>
      <c r="BM356" s="5462">
        <v>0</v>
      </c>
      <c r="BN356" s="5462"/>
      <c r="BO356" s="5537"/>
      <c r="BP356" s="5537"/>
      <c r="BQ356" s="5537"/>
      <c r="BR356" s="4146"/>
      <c r="BS356" s="4146"/>
      <c r="BT356" s="5537"/>
      <c r="BU356" s="5537"/>
      <c r="BV356" s="5537"/>
      <c r="BW356" s="5537"/>
      <c r="BX356" s="5537">
        <f t="shared" si="390"/>
        <v>0</v>
      </c>
      <c r="BY356" s="5463">
        <f t="shared" si="391"/>
        <v>0</v>
      </c>
      <c r="CA356" s="169">
        <f t="shared" si="386"/>
        <v>0</v>
      </c>
      <c r="CB356" s="169" t="e">
        <f t="shared" si="392"/>
        <v>#DIV/0!</v>
      </c>
      <c r="CC356" s="169">
        <f>IFERROR(
  SUM(
    _xlfn.XLOOKUP(DATE(YEAR($A$1),1,1),$2:$2,356:356):
    _xlfn.XLOOKUP($A$1,$2:$2,356:356)
  )
 -SUM(
    _xlfn.XLOOKUP(DATE(YEAR($A$1)-1,1,1),$2:$2,356:356):
    _xlfn.XLOOKUP(EDATE($A$1,-12),$2:$2,356:356)
  ),"")</f>
        <v>0</v>
      </c>
      <c r="CD356" s="4517">
        <f t="shared" si="387"/>
        <v>0</v>
      </c>
      <c r="CE356" s="5459"/>
      <c r="CF356" s="5459"/>
    </row>
    <row r="357" spans="1:84" ht="17.600000000000001" x14ac:dyDescent="0.55000000000000004">
      <c r="A357" s="7347"/>
      <c r="B357" s="5464" t="s">
        <v>206</v>
      </c>
      <c r="C357" s="1799"/>
      <c r="D357" s="5538">
        <v>5.2455012853470437</v>
      </c>
      <c r="E357" s="5539">
        <v>6.3795966785290625</v>
      </c>
      <c r="F357" s="5539">
        <v>5.3388235294117647</v>
      </c>
      <c r="G357" s="5539">
        <v>5.6972067039106147</v>
      </c>
      <c r="H357" s="5539">
        <v>5.9208791208791212</v>
      </c>
      <c r="I357" s="5539">
        <v>6.1529411764705886</v>
      </c>
      <c r="J357" s="5539">
        <v>5.4636363636363638</v>
      </c>
      <c r="K357" s="5539">
        <v>5.7334058759521218</v>
      </c>
      <c r="L357" s="5539">
        <v>4.2322738386308068</v>
      </c>
      <c r="M357" s="5539">
        <v>6.1780821917808222</v>
      </c>
      <c r="N357" s="5539">
        <v>4.4793689320388346</v>
      </c>
      <c r="O357" s="5539">
        <v>4.394459102902375</v>
      </c>
      <c r="P357" s="5539">
        <v>65.216174799489522</v>
      </c>
      <c r="Q357" s="5540">
        <v>5.4346812332907932</v>
      </c>
      <c r="R357" s="2776"/>
      <c r="S357" s="5538">
        <v>4.6219035202086047</v>
      </c>
      <c r="T357" s="5539">
        <v>5.275485436893204</v>
      </c>
      <c r="U357" s="5539">
        <v>4.2548015364916774</v>
      </c>
      <c r="V357" s="5539">
        <v>4.6108179419525062</v>
      </c>
      <c r="W357" s="5539">
        <v>4.5031766200762391</v>
      </c>
      <c r="X357" s="5539">
        <v>4.547752808988764</v>
      </c>
      <c r="Y357" s="5539">
        <v>5.2005571030640665</v>
      </c>
      <c r="Z357" s="5539">
        <v>6.2171651495448632</v>
      </c>
      <c r="AA357" s="5539">
        <v>4.4226361031518628</v>
      </c>
      <c r="AB357" s="5539">
        <v>5.8735483870967746</v>
      </c>
      <c r="AC357" s="5539">
        <v>4.7023460410557183</v>
      </c>
      <c r="AD357" s="5539">
        <v>4.0379939209726441</v>
      </c>
      <c r="AE357" s="5539">
        <v>58.268184569496931</v>
      </c>
      <c r="AF357" s="5540">
        <v>4.8556820474580773</v>
      </c>
      <c r="AG357" s="2776"/>
      <c r="AH357" s="5538">
        <v>5.5658409387222942</v>
      </c>
      <c r="AI357" s="5539">
        <v>4.6793313069908811</v>
      </c>
      <c r="AJ357" s="5539">
        <v>5.120396600566572</v>
      </c>
      <c r="AK357" s="5539">
        <v>4.9782016348773839</v>
      </c>
      <c r="AL357" s="5539">
        <v>5.5488126649076515</v>
      </c>
      <c r="AM357" s="5539">
        <v>4.94758064516129</v>
      </c>
      <c r="AN357" s="5541">
        <v>5.9356060606060606</v>
      </c>
      <c r="AO357" s="5541">
        <v>5.0731707317073171</v>
      </c>
      <c r="AP357" s="5539">
        <v>4.9012500000000001</v>
      </c>
      <c r="AQ357" s="5539">
        <v>4.9096612296110411</v>
      </c>
      <c r="AR357" s="5539">
        <v>4.7204030226700251</v>
      </c>
      <c r="AS357" s="5539">
        <v>3.9728629579375849</v>
      </c>
      <c r="AT357" s="5539">
        <f t="shared" si="388"/>
        <v>60.353117793758095</v>
      </c>
      <c r="AU357" s="5540">
        <f t="shared" si="385"/>
        <v>5.0294264828131743</v>
      </c>
      <c r="AW357" s="5538">
        <v>4.185078909612626</v>
      </c>
      <c r="AX357" s="5539">
        <v>5.5431952662721891</v>
      </c>
      <c r="AY357" s="5539">
        <v>4.420572916666667</v>
      </c>
      <c r="AZ357" s="5539">
        <v>5.2484076433121016</v>
      </c>
      <c r="BA357" s="5539">
        <v>8.2183353437876967</v>
      </c>
      <c r="BB357" s="5539">
        <v>5.8449612403100772</v>
      </c>
      <c r="BC357" s="5541">
        <v>6.6768665850673194</v>
      </c>
      <c r="BD357" s="5541">
        <v>5.1381909547738696</v>
      </c>
      <c r="BE357" s="5539">
        <v>5.5533175355450233</v>
      </c>
      <c r="BF357" s="5539">
        <v>5.3909774436090228</v>
      </c>
      <c r="BG357" s="5539">
        <v>5.1215189873417719</v>
      </c>
      <c r="BH357" s="5539">
        <v>5.5654320987654318</v>
      </c>
      <c r="BI357" s="5539">
        <f t="shared" si="389"/>
        <v>66.906854925063797</v>
      </c>
      <c r="BJ357" s="5540">
        <f t="shared" si="373"/>
        <v>5.5755712437553164</v>
      </c>
      <c r="BL357" s="5538">
        <v>8.8068720379146921</v>
      </c>
      <c r="BM357" s="5539">
        <v>4.7793296089385473</v>
      </c>
      <c r="BN357" s="5539"/>
      <c r="BO357" s="5539"/>
      <c r="BP357" s="5539"/>
      <c r="BQ357" s="5539"/>
      <c r="BR357" s="5541"/>
      <c r="BS357" s="5541"/>
      <c r="BT357" s="5539"/>
      <c r="BU357" s="5539"/>
      <c r="BV357" s="5539"/>
      <c r="BW357" s="5539"/>
      <c r="BX357" s="5539">
        <f t="shared" si="390"/>
        <v>13.58620164685324</v>
      </c>
      <c r="BY357" s="5467">
        <f t="shared" si="391"/>
        <v>6.7931008234266201</v>
      </c>
      <c r="CA357" s="169">
        <f t="shared" si="386"/>
        <v>-0.76386565733364176</v>
      </c>
      <c r="CB357" s="169">
        <f t="shared" si="392"/>
        <v>0.54614476094214215</v>
      </c>
      <c r="CC357" s="169">
        <f>IFERROR(
  SUM(
    _xlfn.XLOOKUP(DATE(YEAR($A$1),1,1),$2:$2,357:357):
    _xlfn.XLOOKUP($A$1,$2:$2,357:357)
  )
 -SUM(
    _xlfn.XLOOKUP(DATE(YEAR($A$1)-1,1,1),$2:$2,357:357):
    _xlfn.XLOOKUP(EDATE($A$1,-12),$2:$2,357:357)
  ),"")</f>
        <v>3.8579274709684253</v>
      </c>
      <c r="CD357" s="4517">
        <f t="shared" si="387"/>
        <v>-4.0275424289761448</v>
      </c>
      <c r="CE357" s="5459"/>
      <c r="CF357" s="5459"/>
    </row>
    <row r="358" spans="1:84" ht="17.600000000000001" x14ac:dyDescent="0.55000000000000004">
      <c r="A358" s="7347"/>
      <c r="B358" s="5468" t="s">
        <v>207</v>
      </c>
      <c r="C358" s="1576"/>
      <c r="D358" s="5542">
        <v>4.2484472049689437</v>
      </c>
      <c r="E358" s="5355">
        <v>5.6704067321178124</v>
      </c>
      <c r="F358" s="5355">
        <v>4.896142433234421</v>
      </c>
      <c r="G358" s="5355">
        <v>5.7298507462686565</v>
      </c>
      <c r="H358" s="5355">
        <v>5.5077574047954867</v>
      </c>
      <c r="I358" s="5355">
        <v>5.1673944687045124</v>
      </c>
      <c r="J358" s="5355">
        <v>4.9055118110236222</v>
      </c>
      <c r="K358" s="5355">
        <v>6.2366771159874608</v>
      </c>
      <c r="L358" s="5355">
        <v>4.291666666666667</v>
      </c>
      <c r="M358" s="5355">
        <v>5.6365105008077547</v>
      </c>
      <c r="N358" s="5355">
        <v>4.3233830845771148</v>
      </c>
      <c r="O358" s="5355">
        <v>4.063380281690141</v>
      </c>
      <c r="P358" s="5355">
        <v>60.677128450842588</v>
      </c>
      <c r="Q358" s="5543">
        <v>5.056427370903549</v>
      </c>
      <c r="R358" s="2776"/>
      <c r="S358" s="5542">
        <v>4.3561643835616435</v>
      </c>
      <c r="T358" s="5355">
        <v>4.5161787365177197</v>
      </c>
      <c r="U358" s="5355">
        <v>3.0775075987841944</v>
      </c>
      <c r="V358" s="5355">
        <v>3.3789868667917449</v>
      </c>
      <c r="W358" s="5355">
        <v>4.0734126984126986</v>
      </c>
      <c r="X358" s="5355">
        <v>3.9703557312252964</v>
      </c>
      <c r="Y358" s="5355">
        <v>5.0155210643015522</v>
      </c>
      <c r="Z358" s="5355">
        <v>5.8238636363636367</v>
      </c>
      <c r="AA358" s="5355">
        <v>4.6710816777041941</v>
      </c>
      <c r="AB358" s="5355">
        <v>5.843511450381679</v>
      </c>
      <c r="AC358" s="5355">
        <v>4.1731123388581954</v>
      </c>
      <c r="AD358" s="5355">
        <v>4.0452586206896548</v>
      </c>
      <c r="AE358" s="5355">
        <v>52.944954803592211</v>
      </c>
      <c r="AF358" s="5543">
        <v>4.4120795669660176</v>
      </c>
      <c r="AG358" s="2776"/>
      <c r="AH358" s="5542">
        <v>5.0018181818181819</v>
      </c>
      <c r="AI358" s="5355">
        <v>4.3935091277890468</v>
      </c>
      <c r="AJ358" s="5355">
        <v>5.1086065573770494</v>
      </c>
      <c r="AK358" s="5355">
        <v>5.3461538461538458</v>
      </c>
      <c r="AL358" s="5355">
        <v>5.7252525252525253</v>
      </c>
      <c r="AM358" s="5355">
        <v>5.518987341772152</v>
      </c>
      <c r="AN358" s="5544">
        <v>6.7050209205020916</v>
      </c>
      <c r="AO358" s="5544">
        <v>5.8382978723404255</v>
      </c>
      <c r="AP358" s="5355">
        <v>6.2406639004149378</v>
      </c>
      <c r="AQ358" s="5355">
        <v>5.1412844036697249</v>
      </c>
      <c r="AR358" s="5355">
        <v>5.19758064516129</v>
      </c>
      <c r="AS358" s="5355">
        <v>5.0756880733944953</v>
      </c>
      <c r="AT358" s="5355">
        <f t="shared" si="388"/>
        <v>65.292863395645753</v>
      </c>
      <c r="AU358" s="5543">
        <f t="shared" si="385"/>
        <v>5.4410719496371458</v>
      </c>
      <c r="AW358" s="5542">
        <v>4.8480392156862742</v>
      </c>
      <c r="AX358" s="5355">
        <v>5.9647266313932983</v>
      </c>
      <c r="AY358" s="5355">
        <v>4.3032015065913374</v>
      </c>
      <c r="AZ358" s="5355">
        <v>5.627408993576017</v>
      </c>
      <c r="BA358" s="5355">
        <v>8.4552238805970141</v>
      </c>
      <c r="BB358" s="5355">
        <v>6.1763565891472867</v>
      </c>
      <c r="BC358" s="5544">
        <v>7.0772277227722773</v>
      </c>
      <c r="BD358" s="5544">
        <v>5.8864059590316575</v>
      </c>
      <c r="BE358" s="5355">
        <v>6.4421641791044779</v>
      </c>
      <c r="BF358" s="5355">
        <v>6.5862708719851577</v>
      </c>
      <c r="BG358" s="5355">
        <v>6.1258992805755392</v>
      </c>
      <c r="BH358" s="5355">
        <v>5.6119133574007218</v>
      </c>
      <c r="BI358" s="5355">
        <f t="shared" si="389"/>
        <v>73.104838187861063</v>
      </c>
      <c r="BJ358" s="5543">
        <f t="shared" si="373"/>
        <v>6.0920698489884222</v>
      </c>
      <c r="BL358" s="5542">
        <v>8.2881944444444446</v>
      </c>
      <c r="BM358" s="5355">
        <v>4.5452716297786724</v>
      </c>
      <c r="BN358" s="5355"/>
      <c r="BO358" s="5355"/>
      <c r="BP358" s="5355"/>
      <c r="BQ358" s="5355"/>
      <c r="BR358" s="5544"/>
      <c r="BS358" s="5544"/>
      <c r="BT358" s="5355"/>
      <c r="BU358" s="5355"/>
      <c r="BV358" s="5355"/>
      <c r="BW358" s="5355"/>
      <c r="BX358" s="5355">
        <f t="shared" si="390"/>
        <v>12.833466074223118</v>
      </c>
      <c r="BY358" s="5470">
        <f t="shared" si="391"/>
        <v>6.416733037111559</v>
      </c>
      <c r="CA358" s="169">
        <f t="shared" si="386"/>
        <v>-1.4194550016146259</v>
      </c>
      <c r="CB358" s="169">
        <f t="shared" si="392"/>
        <v>0.65099789935127639</v>
      </c>
      <c r="CC358" s="169">
        <f>IFERROR(
  SUM(
    _xlfn.XLOOKUP(DATE(YEAR($A$1),1,1),$2:$2,358:358):
    _xlfn.XLOOKUP($A$1,$2:$2,358:358)
  )
 -SUM(
    _xlfn.XLOOKUP(DATE(YEAR($A$1)-1,1,1),$2:$2,358:358):
    _xlfn.XLOOKUP(EDATE($A$1,-12),$2:$2,358:358)
  ),"")</f>
        <v>2.0207002271435464</v>
      </c>
      <c r="CD358" s="4517">
        <f t="shared" si="387"/>
        <v>-3.7429228146657723</v>
      </c>
      <c r="CE358" s="5459"/>
      <c r="CF358" s="5459"/>
    </row>
    <row r="359" spans="1:84" ht="17.600000000000001" x14ac:dyDescent="0.55000000000000004">
      <c r="A359" s="7347"/>
      <c r="B359" s="5468" t="s">
        <v>208</v>
      </c>
      <c r="C359" s="1576"/>
      <c r="D359" s="5542">
        <v>4.2149681528662422</v>
      </c>
      <c r="E359" s="5355">
        <v>4.9219440353460975</v>
      </c>
      <c r="F359" s="5355">
        <v>4.5919881305637986</v>
      </c>
      <c r="G359" s="5355">
        <v>4.4230235783633844</v>
      </c>
      <c r="H359" s="5355">
        <v>4.4233766233766234</v>
      </c>
      <c r="I359" s="5355">
        <v>4.4799465240641707</v>
      </c>
      <c r="J359" s="5355">
        <v>4.27536231884058</v>
      </c>
      <c r="K359" s="5355">
        <v>5.1550591327201047</v>
      </c>
      <c r="L359" s="5355">
        <v>3.7268588770864945</v>
      </c>
      <c r="M359" s="5355">
        <v>4.8479776847977689</v>
      </c>
      <c r="N359" s="5355">
        <v>3.5270270270270272</v>
      </c>
      <c r="O359" s="5355">
        <v>3.6111111111111112</v>
      </c>
      <c r="P359" s="5355">
        <v>52.198643196163403</v>
      </c>
      <c r="Q359" s="5543">
        <v>4.3498869330136172</v>
      </c>
      <c r="R359" s="2776"/>
      <c r="S359" s="5542">
        <v>3.3771676300578033</v>
      </c>
      <c r="T359" s="5355">
        <v>3.8835098335854767</v>
      </c>
      <c r="U359" s="5355">
        <v>3.1556473829201104</v>
      </c>
      <c r="V359" s="5355">
        <v>3.3867924528301887</v>
      </c>
      <c r="W359" s="5355">
        <v>3.6472491909385112</v>
      </c>
      <c r="X359" s="5355">
        <v>3.5530821917808217</v>
      </c>
      <c r="Y359" s="5355">
        <v>4.5711805555555554</v>
      </c>
      <c r="Z359" s="5355">
        <v>4.7484567901234565</v>
      </c>
      <c r="AA359" s="5355">
        <v>3.4536256323777401</v>
      </c>
      <c r="AB359" s="5355">
        <v>4.4224270353302613</v>
      </c>
      <c r="AC359" s="5355">
        <v>3.5531197301854975</v>
      </c>
      <c r="AD359" s="5355">
        <v>3.2559414990859232</v>
      </c>
      <c r="AE359" s="5355">
        <v>45.008199924771347</v>
      </c>
      <c r="AF359" s="5543">
        <v>3.7506833270642788</v>
      </c>
      <c r="AG359" s="2776"/>
      <c r="AH359" s="5542">
        <v>3.0012300123001232</v>
      </c>
      <c r="AI359" s="5355">
        <v>4.116190476190476</v>
      </c>
      <c r="AJ359" s="5355">
        <v>4.1985294117647056</v>
      </c>
      <c r="AK359" s="5355">
        <v>4.1247803163444638</v>
      </c>
      <c r="AL359" s="5355">
        <v>4.7745098039215685</v>
      </c>
      <c r="AM359" s="5355">
        <v>4.6241935483870966</v>
      </c>
      <c r="AN359" s="5544">
        <v>5.7269624573378843</v>
      </c>
      <c r="AO359" s="5544">
        <v>4.7160714285714285</v>
      </c>
      <c r="AP359" s="5355">
        <v>4.1890625000000004</v>
      </c>
      <c r="AQ359" s="5355">
        <v>4.4585289514866977</v>
      </c>
      <c r="AR359" s="5355">
        <v>4.252991452991453</v>
      </c>
      <c r="AS359" s="5355">
        <v>3.9257142857142857</v>
      </c>
      <c r="AT359" s="5355">
        <f t="shared" si="388"/>
        <v>52.108764645010183</v>
      </c>
      <c r="AU359" s="5543">
        <f t="shared" si="385"/>
        <v>4.3423970537508483</v>
      </c>
      <c r="AW359" s="5542">
        <v>4.0998080614203456</v>
      </c>
      <c r="AX359" s="5355">
        <v>4.9939759036144578</v>
      </c>
      <c r="AY359" s="5355">
        <v>4.6050420168067223</v>
      </c>
      <c r="AZ359" s="5355">
        <v>5.12</v>
      </c>
      <c r="BA359" s="5355">
        <v>7.2280178837555891</v>
      </c>
      <c r="BB359" s="5355">
        <v>5.519047619047619</v>
      </c>
      <c r="BC359" s="5544">
        <v>6.6512738853503182</v>
      </c>
      <c r="BD359" s="5544">
        <v>5.1619937694704046</v>
      </c>
      <c r="BE359" s="5355">
        <v>5.8701298701298699</v>
      </c>
      <c r="BF359" s="5355">
        <v>6.305743243243243</v>
      </c>
      <c r="BG359" s="5355">
        <v>4.9625850340136051</v>
      </c>
      <c r="BH359" s="5355">
        <v>5.7757774140752867</v>
      </c>
      <c r="BI359" s="5355">
        <f t="shared" si="389"/>
        <v>66.293394700927465</v>
      </c>
      <c r="BJ359" s="5543">
        <f t="shared" si="373"/>
        <v>5.5244495584106224</v>
      </c>
      <c r="BL359" s="5542">
        <v>8.274096385542169</v>
      </c>
      <c r="BM359" s="5355">
        <v>4.4293680297397771</v>
      </c>
      <c r="BN359" s="5355"/>
      <c r="BO359" s="5355"/>
      <c r="BP359" s="5355"/>
      <c r="BQ359" s="5355"/>
      <c r="BR359" s="5544"/>
      <c r="BS359" s="5544"/>
      <c r="BT359" s="5355"/>
      <c r="BU359" s="5355"/>
      <c r="BV359" s="5355"/>
      <c r="BW359" s="5355"/>
      <c r="BX359" s="5355">
        <f t="shared" si="390"/>
        <v>12.703464415281946</v>
      </c>
      <c r="BY359" s="5470">
        <f t="shared" si="391"/>
        <v>6.351732207640973</v>
      </c>
      <c r="CA359" s="169">
        <f t="shared" si="386"/>
        <v>-0.5646078738746807</v>
      </c>
      <c r="CB359" s="169">
        <f t="shared" si="392"/>
        <v>1.1820525046597741</v>
      </c>
      <c r="CC359" s="169">
        <f>IFERROR(
  SUM(
    _xlfn.XLOOKUP(DATE(YEAR($A$1),1,1),$2:$2,359:359):
    _xlfn.XLOOKUP($A$1,$2:$2,359:359)
  )
 -SUM(
    _xlfn.XLOOKUP(DATE(YEAR($A$1)-1,1,1),$2:$2,359:359):
    _xlfn.XLOOKUP(EDATE($A$1,-12),$2:$2,359:359)
  ),"")</f>
        <v>3.6096804502471436</v>
      </c>
      <c r="CD359" s="4517">
        <f t="shared" si="387"/>
        <v>-3.8447283558023919</v>
      </c>
      <c r="CE359" s="5459"/>
      <c r="CF359" s="5459"/>
    </row>
    <row r="360" spans="1:84" ht="17.600000000000001" x14ac:dyDescent="0.55000000000000004">
      <c r="A360" s="7347"/>
      <c r="B360" s="5468" t="s">
        <v>209</v>
      </c>
      <c r="C360" s="1576"/>
      <c r="D360" s="5542">
        <v>6.0071942446043165</v>
      </c>
      <c r="E360" s="5355">
        <v>7.293293293293293</v>
      </c>
      <c r="F360" s="5355">
        <v>6.0226039783001806</v>
      </c>
      <c r="G360" s="5355">
        <v>6.13568281938326</v>
      </c>
      <c r="H360" s="5355">
        <v>6.3500897666068221</v>
      </c>
      <c r="I360" s="5355">
        <v>5.3456678700361007</v>
      </c>
      <c r="J360" s="5355">
        <v>5.1992850759606792</v>
      </c>
      <c r="K360" s="5355">
        <v>5.653776978417266</v>
      </c>
      <c r="L360" s="5355">
        <v>4.416666666666667</v>
      </c>
      <c r="M360" s="5355">
        <v>5.623580786026201</v>
      </c>
      <c r="N360" s="5355">
        <v>4.1525735294117645</v>
      </c>
      <c r="O360" s="5355">
        <v>4.0144605116796441</v>
      </c>
      <c r="P360" s="5355">
        <v>66.214875520386201</v>
      </c>
      <c r="Q360" s="5543">
        <v>5.5179062933655167</v>
      </c>
      <c r="R360" s="2776"/>
      <c r="S360" s="5542">
        <v>4.5503634475597092</v>
      </c>
      <c r="T360" s="5355">
        <v>5.2808022922636102</v>
      </c>
      <c r="U360" s="5355">
        <v>4.4499504459861248</v>
      </c>
      <c r="V360" s="5355">
        <v>4.4572271386430682</v>
      </c>
      <c r="W360" s="5355">
        <v>4.7070193285859609</v>
      </c>
      <c r="X360" s="5355">
        <v>4.4375</v>
      </c>
      <c r="Y360" s="5355">
        <v>4.7887029288702925</v>
      </c>
      <c r="Z360" s="5355">
        <v>5.7712665406427224</v>
      </c>
      <c r="AA360" s="5355">
        <v>4.2189922480620154</v>
      </c>
      <c r="AB360" s="5355">
        <v>5.5480392156862743</v>
      </c>
      <c r="AC360" s="5355">
        <v>4.3606060606060604</v>
      </c>
      <c r="AD360" s="5355">
        <v>3.7402885682574918</v>
      </c>
      <c r="AE360" s="5355">
        <v>56.310758215163325</v>
      </c>
      <c r="AF360" s="5543">
        <v>4.6925631845969438</v>
      </c>
      <c r="AG360" s="2776"/>
      <c r="AH360" s="5542">
        <v>5.4912109375</v>
      </c>
      <c r="AI360" s="5355">
        <v>4.5</v>
      </c>
      <c r="AJ360" s="5355">
        <v>4.7015655577299409</v>
      </c>
      <c r="AK360" s="5355">
        <v>4.7575169738118328</v>
      </c>
      <c r="AL360" s="5355">
        <v>4.8138195777351251</v>
      </c>
      <c r="AM360" s="5355">
        <v>4.4000000000000004</v>
      </c>
      <c r="AN360" s="5544">
        <v>5.1818181818181817</v>
      </c>
      <c r="AO360" s="5544">
        <v>4.5631578947368423</v>
      </c>
      <c r="AP360" s="5355">
        <v>4.9589790337283501</v>
      </c>
      <c r="AQ360" s="5355">
        <v>4.9005628517823636</v>
      </c>
      <c r="AR360" s="5355">
        <v>5.21057268722467</v>
      </c>
      <c r="AS360" s="5355">
        <v>4.7753222836095768</v>
      </c>
      <c r="AT360" s="5355">
        <f t="shared" si="388"/>
        <v>58.25452597967687</v>
      </c>
      <c r="AU360" s="5543">
        <f t="shared" si="385"/>
        <v>4.8545438316397389</v>
      </c>
      <c r="AW360" s="5542">
        <v>5.0073461891643714</v>
      </c>
      <c r="AX360" s="5355">
        <v>6.602439024390244</v>
      </c>
      <c r="AY360" s="5355">
        <v>4.8728033472803345</v>
      </c>
      <c r="AZ360" s="5355">
        <v>6.5625</v>
      </c>
      <c r="BA360" s="5355">
        <v>8.4670014347202294</v>
      </c>
      <c r="BB360" s="5355">
        <v>7.3804425410421128</v>
      </c>
      <c r="BC360" s="5544">
        <v>8.3009495982468948</v>
      </c>
      <c r="BD360" s="5544">
        <v>6.53125</v>
      </c>
      <c r="BE360" s="5355">
        <v>6.6479400749063666</v>
      </c>
      <c r="BF360" s="5355">
        <v>7.1584158415841586</v>
      </c>
      <c r="BG360" s="5355">
        <v>5.7794117647058822</v>
      </c>
      <c r="BH360" s="5355">
        <v>6.2198581560283692</v>
      </c>
      <c r="BI360" s="5355">
        <f t="shared" si="389"/>
        <v>79.530357972068956</v>
      </c>
      <c r="BJ360" s="5543">
        <f t="shared" si="373"/>
        <v>6.627529831005746</v>
      </c>
      <c r="BL360" s="5542">
        <v>8.6841328413284131</v>
      </c>
      <c r="BM360" s="5355">
        <v>4.8129310344827587</v>
      </c>
      <c r="BN360" s="5355"/>
      <c r="BO360" s="5355"/>
      <c r="BP360" s="5355"/>
      <c r="BQ360" s="5355"/>
      <c r="BR360" s="5544"/>
      <c r="BS360" s="5544"/>
      <c r="BT360" s="5355"/>
      <c r="BU360" s="5355"/>
      <c r="BV360" s="5355"/>
      <c r="BW360" s="5355"/>
      <c r="BX360" s="5355">
        <f t="shared" si="390"/>
        <v>13.497063875811172</v>
      </c>
      <c r="BY360" s="5470">
        <f t="shared" si="391"/>
        <v>6.7485319379055859</v>
      </c>
      <c r="CA360" s="169">
        <f t="shared" si="386"/>
        <v>-1.7895079899074853</v>
      </c>
      <c r="CB360" s="169">
        <f t="shared" si="392"/>
        <v>1.7729859993660071</v>
      </c>
      <c r="CC360" s="169">
        <f>IFERROR(
  SUM(
    _xlfn.XLOOKUP(DATE(YEAR($A$1),1,1),$2:$2,360:360):
    _xlfn.XLOOKUP($A$1,$2:$2,360:360)
  )
 -SUM(
    _xlfn.XLOOKUP(DATE(YEAR($A$1)-1,1,1),$2:$2,360:360):
    _xlfn.XLOOKUP(EDATE($A$1,-12),$2:$2,360:360)
  ),"")</f>
        <v>1.8872786622565556</v>
      </c>
      <c r="CD360" s="4517">
        <f t="shared" si="387"/>
        <v>-3.8712018068456544</v>
      </c>
      <c r="CE360" s="5459"/>
      <c r="CF360" s="5459"/>
    </row>
    <row r="361" spans="1:84" ht="17.600000000000001" x14ac:dyDescent="0.55000000000000004">
      <c r="A361" s="7347"/>
      <c r="B361" s="5471" t="s">
        <v>210</v>
      </c>
      <c r="C361" s="1813"/>
      <c r="D361" s="5545">
        <v>6.3870129870129873</v>
      </c>
      <c r="E361" s="5546">
        <v>6.8130511463844794</v>
      </c>
      <c r="F361" s="5546">
        <v>5.7457912457912457</v>
      </c>
      <c r="G361" s="5546">
        <v>5.9796091758708583</v>
      </c>
      <c r="H361" s="5546">
        <v>6.1130081300813011</v>
      </c>
      <c r="I361" s="5546">
        <v>5.6211232187761944</v>
      </c>
      <c r="J361" s="5546">
        <v>5.3369839932603202</v>
      </c>
      <c r="K361" s="5546">
        <v>6.2201257861635222</v>
      </c>
      <c r="L361" s="5546">
        <v>4.6069094304388418</v>
      </c>
      <c r="M361" s="5546">
        <v>6.3843478260869562</v>
      </c>
      <c r="N361" s="5546">
        <v>4.8418230563002682</v>
      </c>
      <c r="O361" s="5546">
        <v>4.5294117647058822</v>
      </c>
      <c r="P361" s="5546">
        <v>68.579197760872859</v>
      </c>
      <c r="Q361" s="5547">
        <v>5.7149331467394049</v>
      </c>
      <c r="R361" s="2776"/>
      <c r="S361" s="5545">
        <v>4.781059947871416</v>
      </c>
      <c r="T361" s="5546">
        <v>5.4291808873720138</v>
      </c>
      <c r="U361" s="5546">
        <v>4.6268788682581787</v>
      </c>
      <c r="V361" s="5546">
        <v>4.6587807097361233</v>
      </c>
      <c r="W361" s="5546">
        <v>4.7921077959576515</v>
      </c>
      <c r="X361" s="5546">
        <v>4.6153081510934397</v>
      </c>
      <c r="Y361" s="5546">
        <v>5.3656024716786819</v>
      </c>
      <c r="Z361" s="5546">
        <v>6.3172804532577906</v>
      </c>
      <c r="AA361" s="5546">
        <v>5.202572347266881</v>
      </c>
      <c r="AB361" s="5546">
        <v>6.1294964028776979</v>
      </c>
      <c r="AC361" s="5546">
        <v>4.8945102260495155</v>
      </c>
      <c r="AD361" s="5546">
        <v>4.5584415584415581</v>
      </c>
      <c r="AE361" s="5546">
        <v>61.37121981986094</v>
      </c>
      <c r="AF361" s="5547">
        <v>5.114268318321745</v>
      </c>
      <c r="AG361" s="2776"/>
      <c r="AH361" s="5545">
        <v>5.9179179179179178</v>
      </c>
      <c r="AI361" s="5546">
        <v>4.9927385892116183</v>
      </c>
      <c r="AJ361" s="5546">
        <v>5.2215508559919437</v>
      </c>
      <c r="AK361" s="5546">
        <v>4.9351669941060905</v>
      </c>
      <c r="AL361" s="5546">
        <v>5.2573753814852493</v>
      </c>
      <c r="AM361" s="5546">
        <v>4.8568627450980388</v>
      </c>
      <c r="AN361" s="5548">
        <v>5.8022657054582902</v>
      </c>
      <c r="AO361" s="5548">
        <v>4.7519999999999998</v>
      </c>
      <c r="AP361" s="5546">
        <v>5.4022066198595784</v>
      </c>
      <c r="AQ361" s="5546">
        <v>5.076171875</v>
      </c>
      <c r="AR361" s="5546">
        <v>5.4282945736434112</v>
      </c>
      <c r="AS361" s="5546">
        <v>4.7284836065573774</v>
      </c>
      <c r="AT361" s="5546">
        <f t="shared" si="388"/>
        <v>62.371034864329516</v>
      </c>
      <c r="AU361" s="5547">
        <f t="shared" si="385"/>
        <v>5.1975862386941261</v>
      </c>
      <c r="AW361" s="5545">
        <v>5.2195389681668498</v>
      </c>
      <c r="AX361" s="5546">
        <v>6.2317307692307695</v>
      </c>
      <c r="AY361" s="5546">
        <v>5.065130260521042</v>
      </c>
      <c r="AZ361" s="5546">
        <v>6.0500490677134442</v>
      </c>
      <c r="BA361" s="5546">
        <v>7.8688372093023258</v>
      </c>
      <c r="BB361" s="5546">
        <v>6.5339712918660284</v>
      </c>
      <c r="BC361" s="5548">
        <v>8.1964285714285712</v>
      </c>
      <c r="BD361" s="5548">
        <v>5.5382352941176469</v>
      </c>
      <c r="BE361" s="5546">
        <v>6.3740234375</v>
      </c>
      <c r="BF361" s="5546">
        <v>5.7156767283349561</v>
      </c>
      <c r="BG361" s="5546">
        <v>5.0669291338582676</v>
      </c>
      <c r="BH361" s="5546">
        <v>5.2696280991735538</v>
      </c>
      <c r="BI361" s="5546">
        <f t="shared" si="389"/>
        <v>73.13017883121347</v>
      </c>
      <c r="BJ361" s="5547">
        <f t="shared" si="373"/>
        <v>6.0941815692677892</v>
      </c>
      <c r="BL361" s="5545">
        <v>7.9736842105263159</v>
      </c>
      <c r="BM361" s="5546">
        <v>4.25</v>
      </c>
      <c r="BN361" s="5546"/>
      <c r="BO361" s="5546"/>
      <c r="BP361" s="5546"/>
      <c r="BQ361" s="5546"/>
      <c r="BR361" s="5548"/>
      <c r="BS361" s="5548"/>
      <c r="BT361" s="5546"/>
      <c r="BU361" s="5546"/>
      <c r="BV361" s="5546"/>
      <c r="BW361" s="5546"/>
      <c r="BX361" s="5546">
        <f t="shared" si="390"/>
        <v>12.223684210526315</v>
      </c>
      <c r="BY361" s="5474">
        <f t="shared" si="391"/>
        <v>6.1118421052631575</v>
      </c>
      <c r="CA361" s="169">
        <f t="shared" si="386"/>
        <v>-1.9817307692307695</v>
      </c>
      <c r="CB361" s="169">
        <f t="shared" si="392"/>
        <v>0.89659533057366314</v>
      </c>
      <c r="CC361" s="169">
        <f>IFERROR(
  SUM(
    _xlfn.XLOOKUP(DATE(YEAR($A$1),1,1),$2:$2,361:361):
    _xlfn.XLOOKUP($A$1,$2:$2,361:361)
  )
 -SUM(
    _xlfn.XLOOKUP(DATE(YEAR($A$1)-1,1,1),$2:$2,361:361):
    _xlfn.XLOOKUP(EDATE($A$1,-12),$2:$2,361:361)
  ),"")</f>
        <v>0.77241447312869482</v>
      </c>
      <c r="CD361" s="4517">
        <f t="shared" si="387"/>
        <v>-3.7236842105263159</v>
      </c>
      <c r="CE361" s="5459"/>
      <c r="CF361" s="5459"/>
    </row>
    <row r="362" spans="1:84" s="698" customFormat="1" ht="17.600000000000001" x14ac:dyDescent="0.55000000000000004">
      <c r="A362" s="7347"/>
      <c r="B362" s="5475"/>
      <c r="C362" s="2156" t="s">
        <v>226</v>
      </c>
      <c r="D362" s="5549">
        <v>4.7643784786641925</v>
      </c>
      <c r="E362" s="5550">
        <v>5.8330550918196993</v>
      </c>
      <c r="F362" s="5550">
        <v>4.8618421052631575</v>
      </c>
      <c r="G362" s="5550">
        <v>5.3359872611464967</v>
      </c>
      <c r="H362" s="5550">
        <v>5.458333333333333</v>
      </c>
      <c r="I362" s="5550">
        <v>5.6912650602409638</v>
      </c>
      <c r="J362" s="5550">
        <v>5.1792452830188678</v>
      </c>
      <c r="K362" s="5550">
        <v>5.4228486646884271</v>
      </c>
      <c r="L362" s="5550">
        <v>4.115059221658206</v>
      </c>
      <c r="M362" s="5550">
        <v>5.8818040435458787</v>
      </c>
      <c r="N362" s="5550">
        <v>4.1203252032520323</v>
      </c>
      <c r="O362" s="5550">
        <v>4.2895204262877442</v>
      </c>
      <c r="P362" s="5550">
        <f t="shared" ref="P362:P368" si="397">SUM(D362:O362)</f>
        <v>60.953664172918991</v>
      </c>
      <c r="Q362" s="5551">
        <f t="shared" ref="Q362:Q368" si="398">P362/12</f>
        <v>5.0794720144099159</v>
      </c>
      <c r="R362" s="5479"/>
      <c r="S362" s="5549">
        <v>4.4063047285464094</v>
      </c>
      <c r="T362" s="5550">
        <v>5.0523731587561374</v>
      </c>
      <c r="U362" s="5550">
        <v>4.0631578947368423</v>
      </c>
      <c r="V362" s="5550">
        <v>4.5526802218114604</v>
      </c>
      <c r="W362" s="5550">
        <v>4.4083769633507854</v>
      </c>
      <c r="X362" s="5550">
        <v>4.4656188605108058</v>
      </c>
      <c r="Y362" s="5550">
        <v>5.1417475728155342</v>
      </c>
      <c r="Z362" s="5550">
        <v>6.0548446069469835</v>
      </c>
      <c r="AA362" s="5550">
        <v>4.3027888446215137</v>
      </c>
      <c r="AB362" s="5550">
        <v>5.6594594594594598</v>
      </c>
      <c r="AC362" s="5550">
        <v>4.6563146997929605</v>
      </c>
      <c r="AD362" s="5550">
        <v>3.9282608695652175</v>
      </c>
      <c r="AE362" s="5550">
        <f t="shared" ref="AE362:AE368" si="399">SUM(S362:AD362)</f>
        <v>56.691927880914108</v>
      </c>
      <c r="AF362" s="5551">
        <f t="shared" ref="AF362:AF368" si="400">AE362/12</f>
        <v>4.7243273234095087</v>
      </c>
      <c r="AG362" s="5479"/>
      <c r="AH362" s="5549">
        <v>5.518796992481203</v>
      </c>
      <c r="AI362" s="5550">
        <v>4.4904051172707886</v>
      </c>
      <c r="AJ362" s="5550">
        <v>5.0465116279069768</v>
      </c>
      <c r="AK362" s="5550">
        <v>4.7523629489603021</v>
      </c>
      <c r="AL362" s="5550">
        <v>5.4244080145719487</v>
      </c>
      <c r="AM362" s="5550">
        <v>4.8905660377358489</v>
      </c>
      <c r="AN362" s="5552">
        <v>5.7031802120141339</v>
      </c>
      <c r="AO362" s="5552">
        <v>4.9765765765765764</v>
      </c>
      <c r="AP362" s="5550">
        <v>4.7392055267702933</v>
      </c>
      <c r="AQ362" s="5550">
        <v>4.9015544041450774</v>
      </c>
      <c r="AR362" s="5550">
        <v>4.8152753108348136</v>
      </c>
      <c r="AS362" s="5550">
        <v>3.8205607476635515</v>
      </c>
      <c r="AT362" s="5550">
        <f t="shared" si="388"/>
        <v>59.079403516931514</v>
      </c>
      <c r="AU362" s="5551">
        <f t="shared" si="385"/>
        <v>4.9232836264109592</v>
      </c>
      <c r="AW362" s="5549">
        <v>4.1729622266401591</v>
      </c>
      <c r="AX362" s="5550">
        <v>5.472545757071547</v>
      </c>
      <c r="AY362" s="5550">
        <v>4.2440801457194901</v>
      </c>
      <c r="AZ362" s="5550">
        <v>5.1852517985611515</v>
      </c>
      <c r="BA362" s="5550">
        <v>7.9422750424448214</v>
      </c>
      <c r="BB362" s="5550">
        <v>5.5848375451263541</v>
      </c>
      <c r="BC362" s="5552">
        <v>6.6768665850673194</v>
      </c>
      <c r="BD362" s="5552">
        <v>5.1381909547738696</v>
      </c>
      <c r="BE362" s="5550">
        <v>5.5533175355450233</v>
      </c>
      <c r="BF362" s="5550">
        <v>5.3909774436090228</v>
      </c>
      <c r="BG362" s="5550">
        <v>5.1215189873417719</v>
      </c>
      <c r="BH362" s="5550">
        <v>5.5654320987654318</v>
      </c>
      <c r="BI362" s="5550">
        <f t="shared" si="389"/>
        <v>66.048256120665968</v>
      </c>
      <c r="BJ362" s="5551">
        <f t="shared" si="373"/>
        <v>5.504021343388831</v>
      </c>
      <c r="BL362" s="5549">
        <v>8.8068720379146921</v>
      </c>
      <c r="BM362" s="5550">
        <v>4.7793296089385473</v>
      </c>
      <c r="BN362" s="5550"/>
      <c r="BO362" s="5550"/>
      <c r="BP362" s="5550"/>
      <c r="BQ362" s="5550"/>
      <c r="BR362" s="5552"/>
      <c r="BS362" s="5552"/>
      <c r="BT362" s="5550"/>
      <c r="BU362" s="5550"/>
      <c r="BV362" s="5550"/>
      <c r="BW362" s="5550"/>
      <c r="BX362" s="5550">
        <f t="shared" si="390"/>
        <v>13.58620164685324</v>
      </c>
      <c r="BY362" s="5478">
        <f t="shared" si="391"/>
        <v>6.7931008234266201</v>
      </c>
      <c r="CA362" s="169">
        <f t="shared" si="386"/>
        <v>-0.6932161481329997</v>
      </c>
      <c r="CB362" s="169">
        <f t="shared" si="392"/>
        <v>0.5807377169778718</v>
      </c>
      <c r="CC362" s="169">
        <f>IFERROR(
  SUM(
    _xlfn.XLOOKUP(DATE(YEAR($A$1),1,1),$2:$2,362:362):
    _xlfn.XLOOKUP($A$1,$2:$2,362:362)
  )
 -SUM(
    _xlfn.XLOOKUP(DATE(YEAR($A$1)-1,1,1),$2:$2,362:362):
    _xlfn.XLOOKUP(EDATE($A$1,-12),$2:$2,362:362)
  ),"")</f>
        <v>3.9406936631415341</v>
      </c>
      <c r="CD362" s="4517">
        <f t="shared" si="387"/>
        <v>-4.0275424289761448</v>
      </c>
      <c r="CE362" s="5459"/>
      <c r="CF362" s="5459"/>
    </row>
    <row r="363" spans="1:84" s="698" customFormat="1" ht="17.600000000000001" x14ac:dyDescent="0.55000000000000004">
      <c r="A363" s="7347"/>
      <c r="B363" s="5480"/>
      <c r="C363" s="681" t="s">
        <v>227</v>
      </c>
      <c r="D363" s="5553">
        <v>4.2484472049689437</v>
      </c>
      <c r="E363" s="5554">
        <v>5.6704067321178124</v>
      </c>
      <c r="F363" s="5554">
        <v>4.896142433234421</v>
      </c>
      <c r="G363" s="5554">
        <v>5.7298507462686565</v>
      </c>
      <c r="H363" s="5554">
        <v>5.5077574047954867</v>
      </c>
      <c r="I363" s="5554">
        <v>5.1673944687045124</v>
      </c>
      <c r="J363" s="5554">
        <v>4.9055118110236222</v>
      </c>
      <c r="K363" s="5554">
        <v>6.2366771159874608</v>
      </c>
      <c r="L363" s="5554">
        <v>4.291666666666667</v>
      </c>
      <c r="M363" s="5554">
        <v>5.6365105008077547</v>
      </c>
      <c r="N363" s="5554">
        <v>4.3233830845771148</v>
      </c>
      <c r="O363" s="5554">
        <v>4.063380281690141</v>
      </c>
      <c r="P363" s="5554">
        <f t="shared" si="397"/>
        <v>60.677128450842588</v>
      </c>
      <c r="Q363" s="5555">
        <f t="shared" si="398"/>
        <v>5.056427370903549</v>
      </c>
      <c r="R363" s="5479"/>
      <c r="S363" s="5553">
        <v>4.3561643835616435</v>
      </c>
      <c r="T363" s="5554">
        <v>4.5161787365177197</v>
      </c>
      <c r="U363" s="5554">
        <v>3.0775075987841944</v>
      </c>
      <c r="V363" s="5554">
        <v>3.3789868667917449</v>
      </c>
      <c r="W363" s="5554">
        <v>4.0734126984126986</v>
      </c>
      <c r="X363" s="5554">
        <v>3.9703557312252964</v>
      </c>
      <c r="Y363" s="5554">
        <v>5.0155210643015522</v>
      </c>
      <c r="Z363" s="5554">
        <v>5.8238636363636367</v>
      </c>
      <c r="AA363" s="5554">
        <v>4.6710816777041941</v>
      </c>
      <c r="AB363" s="5554">
        <v>5.843511450381679</v>
      </c>
      <c r="AC363" s="5554">
        <v>4.1731123388581954</v>
      </c>
      <c r="AD363" s="5554">
        <v>4.0452586206896548</v>
      </c>
      <c r="AE363" s="5554">
        <f t="shared" si="399"/>
        <v>52.944954803592211</v>
      </c>
      <c r="AF363" s="5555">
        <f t="shared" si="400"/>
        <v>4.4120795669660176</v>
      </c>
      <c r="AG363" s="5479"/>
      <c r="AH363" s="5553">
        <v>5.0018181818181819</v>
      </c>
      <c r="AI363" s="5554">
        <v>4.3935091277890468</v>
      </c>
      <c r="AJ363" s="5554">
        <v>5.1086065573770494</v>
      </c>
      <c r="AK363" s="5554">
        <v>5.3461538461538458</v>
      </c>
      <c r="AL363" s="5554">
        <v>5.7252525252525253</v>
      </c>
      <c r="AM363" s="5554">
        <v>5.518987341772152</v>
      </c>
      <c r="AN363" s="5556">
        <v>6.7050209205020916</v>
      </c>
      <c r="AO363" s="5556">
        <v>5.8382978723404255</v>
      </c>
      <c r="AP363" s="5554">
        <v>6.2406639004149378</v>
      </c>
      <c r="AQ363" s="5554">
        <v>5.1412844036697249</v>
      </c>
      <c r="AR363" s="5554">
        <v>5.19758064516129</v>
      </c>
      <c r="AS363" s="5554">
        <v>5.0756880733944953</v>
      </c>
      <c r="AT363" s="5554">
        <f t="shared" si="388"/>
        <v>65.292863395645753</v>
      </c>
      <c r="AU363" s="5555">
        <f t="shared" si="385"/>
        <v>5.4410719496371458</v>
      </c>
      <c r="AW363" s="5553">
        <v>4.8480392156862742</v>
      </c>
      <c r="AX363" s="5554">
        <v>5.9647266313932983</v>
      </c>
      <c r="AY363" s="5554">
        <v>4.3032015065913374</v>
      </c>
      <c r="AZ363" s="5554">
        <v>5.627408993576017</v>
      </c>
      <c r="BA363" s="5554">
        <v>8.4552238805970141</v>
      </c>
      <c r="BB363" s="5554">
        <v>6.1763565891472867</v>
      </c>
      <c r="BC363" s="5556">
        <v>7.0772277227722773</v>
      </c>
      <c r="BD363" s="5556">
        <v>5.8864059590316575</v>
      </c>
      <c r="BE363" s="5554">
        <v>6.4421641791044779</v>
      </c>
      <c r="BF363" s="5554">
        <v>6.5862708719851577</v>
      </c>
      <c r="BG363" s="5554">
        <v>6.1258992805755392</v>
      </c>
      <c r="BH363" s="5554">
        <v>5.6119133574007218</v>
      </c>
      <c r="BI363" s="5554">
        <f t="shared" si="389"/>
        <v>73.104838187861063</v>
      </c>
      <c r="BJ363" s="5555">
        <f t="shared" si="373"/>
        <v>6.0920698489884222</v>
      </c>
      <c r="BL363" s="5553">
        <v>8.2881944444444446</v>
      </c>
      <c r="BM363" s="5554">
        <v>4.5452716297786724</v>
      </c>
      <c r="BN363" s="5554"/>
      <c r="BO363" s="5554"/>
      <c r="BP363" s="5554"/>
      <c r="BQ363" s="5554"/>
      <c r="BR363" s="5556"/>
      <c r="BS363" s="5556"/>
      <c r="BT363" s="5554"/>
      <c r="BU363" s="5554"/>
      <c r="BV363" s="5554"/>
      <c r="BW363" s="5554"/>
      <c r="BX363" s="5554">
        <f t="shared" si="390"/>
        <v>12.833466074223118</v>
      </c>
      <c r="BY363" s="5483">
        <f t="shared" si="391"/>
        <v>6.416733037111559</v>
      </c>
      <c r="CA363" s="169">
        <f t="shared" si="386"/>
        <v>-1.4194550016146259</v>
      </c>
      <c r="CB363" s="169">
        <f t="shared" si="392"/>
        <v>0.65099789935127639</v>
      </c>
      <c r="CC363" s="169">
        <f>IFERROR(
  SUM(
    _xlfn.XLOOKUP(DATE(YEAR($A$1),1,1),$2:$2,363:363):
    _xlfn.XLOOKUP($A$1,$2:$2,363:363)
  )
 -SUM(
    _xlfn.XLOOKUP(DATE(YEAR($A$1)-1,1,1),$2:$2,363:363):
    _xlfn.XLOOKUP(EDATE($A$1,-12),$2:$2,363:363)
  ),"")</f>
        <v>2.0207002271435464</v>
      </c>
      <c r="CD363" s="4517">
        <f t="shared" si="387"/>
        <v>-3.7429228146657723</v>
      </c>
      <c r="CE363" s="5459"/>
      <c r="CF363" s="5459"/>
    </row>
    <row r="364" spans="1:84" s="698" customFormat="1" ht="17.600000000000001" x14ac:dyDescent="0.55000000000000004">
      <c r="A364" s="7347"/>
      <c r="B364" s="5480"/>
      <c r="C364" s="804" t="s">
        <v>228</v>
      </c>
      <c r="D364" s="5557">
        <v>4.2149681528662422</v>
      </c>
      <c r="E364" s="5558">
        <v>4.9219440353460975</v>
      </c>
      <c r="F364" s="5558">
        <v>4.5919881305637986</v>
      </c>
      <c r="G364" s="5558">
        <v>4.4230235783633844</v>
      </c>
      <c r="H364" s="5558">
        <v>4.4233766233766234</v>
      </c>
      <c r="I364" s="5558">
        <v>4.4799465240641707</v>
      </c>
      <c r="J364" s="5558">
        <v>4.27536231884058</v>
      </c>
      <c r="K364" s="5558">
        <v>5.1550591327201047</v>
      </c>
      <c r="L364" s="5558">
        <v>3.7268588770864945</v>
      </c>
      <c r="M364" s="5558">
        <v>4.8479776847977689</v>
      </c>
      <c r="N364" s="5558">
        <v>3.5270270270270272</v>
      </c>
      <c r="O364" s="5558">
        <v>3.6111111111111112</v>
      </c>
      <c r="P364" s="5558">
        <f t="shared" si="397"/>
        <v>52.198643196163403</v>
      </c>
      <c r="Q364" s="5559">
        <f t="shared" si="398"/>
        <v>4.3498869330136172</v>
      </c>
      <c r="R364" s="5479"/>
      <c r="S364" s="5557">
        <v>3.3771676300578033</v>
      </c>
      <c r="T364" s="5558">
        <v>3.8835098335854767</v>
      </c>
      <c r="U364" s="5558">
        <v>3.1556473829201104</v>
      </c>
      <c r="V364" s="5558">
        <v>3.3867924528301887</v>
      </c>
      <c r="W364" s="5558">
        <v>3.6472491909385112</v>
      </c>
      <c r="X364" s="5558">
        <v>3.5530821917808217</v>
      </c>
      <c r="Y364" s="5558">
        <v>4.5711805555555554</v>
      </c>
      <c r="Z364" s="5558">
        <v>4.7484567901234565</v>
      </c>
      <c r="AA364" s="5558">
        <v>3.4536256323777401</v>
      </c>
      <c r="AB364" s="5558">
        <v>4.4224270353302613</v>
      </c>
      <c r="AC364" s="5558">
        <v>3.5531197301854975</v>
      </c>
      <c r="AD364" s="5558">
        <v>3.2559414990859232</v>
      </c>
      <c r="AE364" s="5558">
        <f t="shared" si="399"/>
        <v>45.008199924771347</v>
      </c>
      <c r="AF364" s="5559">
        <f t="shared" si="400"/>
        <v>3.7506833270642788</v>
      </c>
      <c r="AG364" s="5479"/>
      <c r="AH364" s="5557">
        <v>3.0012300123001232</v>
      </c>
      <c r="AI364" s="5558">
        <v>4.116190476190476</v>
      </c>
      <c r="AJ364" s="5558">
        <v>4.1985294117647056</v>
      </c>
      <c r="AK364" s="5558">
        <v>4.1247803163444638</v>
      </c>
      <c r="AL364" s="5558">
        <v>4.7745098039215685</v>
      </c>
      <c r="AM364" s="5558">
        <v>4.6241935483870966</v>
      </c>
      <c r="AN364" s="5560">
        <v>5.7269624573378843</v>
      </c>
      <c r="AO364" s="5560">
        <v>4.7160714285714285</v>
      </c>
      <c r="AP364" s="5558">
        <v>4.1890625000000004</v>
      </c>
      <c r="AQ364" s="5558">
        <v>4.4585289514866977</v>
      </c>
      <c r="AR364" s="5558">
        <v>4.252991452991453</v>
      </c>
      <c r="AS364" s="5558">
        <v>3.9257142857142857</v>
      </c>
      <c r="AT364" s="5558">
        <f t="shared" si="388"/>
        <v>52.108764645010183</v>
      </c>
      <c r="AU364" s="5559">
        <f t="shared" si="385"/>
        <v>4.3423970537508483</v>
      </c>
      <c r="AW364" s="5557">
        <v>4.0998080614203456</v>
      </c>
      <c r="AX364" s="5558">
        <v>4.9939759036144578</v>
      </c>
      <c r="AY364" s="5558">
        <v>4.6050420168067223</v>
      </c>
      <c r="AZ364" s="5558">
        <v>5.12</v>
      </c>
      <c r="BA364" s="5558">
        <v>7.2280178837555891</v>
      </c>
      <c r="BB364" s="5558">
        <v>5.519047619047619</v>
      </c>
      <c r="BC364" s="5560">
        <v>6.6512738853503182</v>
      </c>
      <c r="BD364" s="5560">
        <v>5.1619937694704046</v>
      </c>
      <c r="BE364" s="5558">
        <v>5.8701298701298699</v>
      </c>
      <c r="BF364" s="5558">
        <v>6.305743243243243</v>
      </c>
      <c r="BG364" s="5558">
        <v>4.9625850340136051</v>
      </c>
      <c r="BH364" s="5558">
        <v>5.7757774140752867</v>
      </c>
      <c r="BI364" s="5558">
        <f t="shared" si="389"/>
        <v>66.293394700927465</v>
      </c>
      <c r="BJ364" s="5559">
        <f t="shared" si="373"/>
        <v>5.5244495584106224</v>
      </c>
      <c r="BL364" s="5557">
        <v>8.274096385542169</v>
      </c>
      <c r="BM364" s="5558">
        <v>4.4293680297397771</v>
      </c>
      <c r="BN364" s="5558"/>
      <c r="BO364" s="5558"/>
      <c r="BP364" s="5558"/>
      <c r="BQ364" s="5558"/>
      <c r="BR364" s="5560"/>
      <c r="BS364" s="5560"/>
      <c r="BT364" s="5558"/>
      <c r="BU364" s="5558"/>
      <c r="BV364" s="5558"/>
      <c r="BW364" s="5558"/>
      <c r="BX364" s="5558">
        <f t="shared" si="390"/>
        <v>12.703464415281946</v>
      </c>
      <c r="BY364" s="5486">
        <f t="shared" si="391"/>
        <v>6.351732207640973</v>
      </c>
      <c r="CA364" s="169">
        <f t="shared" si="386"/>
        <v>-0.5646078738746807</v>
      </c>
      <c r="CB364" s="169">
        <f t="shared" si="392"/>
        <v>1.1820525046597741</v>
      </c>
      <c r="CC364" s="169">
        <f>IFERROR(
  SUM(
    _xlfn.XLOOKUP(DATE(YEAR($A$1),1,1),$2:$2,364:364):
    _xlfn.XLOOKUP($A$1,$2:$2,364:364)
  )
 -SUM(
    _xlfn.XLOOKUP(DATE(YEAR($A$1)-1,1,1),$2:$2,364:364):
    _xlfn.XLOOKUP(EDATE($A$1,-12),$2:$2,364:364)
  ),"")</f>
        <v>3.6096804502471436</v>
      </c>
      <c r="CD364" s="4517">
        <f t="shared" si="387"/>
        <v>-3.8447283558023919</v>
      </c>
      <c r="CE364" s="5459"/>
      <c r="CF364" s="5459"/>
    </row>
    <row r="365" spans="1:84" s="698" customFormat="1" ht="17.600000000000001" x14ac:dyDescent="0.55000000000000004">
      <c r="A365" s="7347"/>
      <c r="B365" s="5480"/>
      <c r="C365" s="681" t="s">
        <v>229</v>
      </c>
      <c r="D365" s="5553">
        <v>6.1550094517958414</v>
      </c>
      <c r="E365" s="5554">
        <v>7.6563636363636363</v>
      </c>
      <c r="F365" s="5554">
        <v>6.503300330033003</v>
      </c>
      <c r="G365" s="5554">
        <v>6.3499197431781704</v>
      </c>
      <c r="H365" s="5554">
        <v>6.678456591639871</v>
      </c>
      <c r="I365" s="5554">
        <v>5.4847020933977459</v>
      </c>
      <c r="J365" s="5554">
        <v>5.218009478672986</v>
      </c>
      <c r="K365" s="5554">
        <v>5.5231259968102071</v>
      </c>
      <c r="L365" s="5554">
        <v>4.6055194805194803</v>
      </c>
      <c r="M365" s="5554">
        <v>5.7897196261682247</v>
      </c>
      <c r="N365" s="5554">
        <v>4.327769347496206</v>
      </c>
      <c r="O365" s="5554">
        <v>4.3872113676731797</v>
      </c>
      <c r="P365" s="5554">
        <f t="shared" si="397"/>
        <v>68.679107143748539</v>
      </c>
      <c r="Q365" s="5555">
        <f t="shared" si="398"/>
        <v>5.7232589286457118</v>
      </c>
      <c r="R365" s="5479"/>
      <c r="S365" s="5553">
        <v>4.7342007434944238</v>
      </c>
      <c r="T365" s="5554">
        <v>5.0947546531302876</v>
      </c>
      <c r="U365" s="5554">
        <v>4.65587734241908</v>
      </c>
      <c r="V365" s="5554">
        <v>4.458407079646018</v>
      </c>
      <c r="W365" s="5554">
        <v>4.8203703703703704</v>
      </c>
      <c r="X365" s="5554">
        <v>4.4147286821705425</v>
      </c>
      <c r="Y365" s="5554">
        <v>4.8515769944341374</v>
      </c>
      <c r="Z365" s="5554">
        <v>5.6463620981387477</v>
      </c>
      <c r="AA365" s="5554">
        <v>4.4434931506849313</v>
      </c>
      <c r="AB365" s="5554">
        <v>5.76140350877193</v>
      </c>
      <c r="AC365" s="5554">
        <v>4.6094032549728752</v>
      </c>
      <c r="AD365" s="5554">
        <v>4.0077821011673151</v>
      </c>
      <c r="AE365" s="5554">
        <f t="shared" si="399"/>
        <v>57.498359979400654</v>
      </c>
      <c r="AF365" s="5555">
        <f t="shared" si="400"/>
        <v>4.7915299982833881</v>
      </c>
      <c r="AG365" s="5479"/>
      <c r="AH365" s="5553">
        <v>5.743150684931507</v>
      </c>
      <c r="AI365" s="5554">
        <v>4.9682835820895521</v>
      </c>
      <c r="AJ365" s="5554">
        <v>4.9391771019677995</v>
      </c>
      <c r="AK365" s="5554">
        <v>5.272887323943662</v>
      </c>
      <c r="AL365" s="5554">
        <v>5.0051282051282051</v>
      </c>
      <c r="AM365" s="5554">
        <v>4.6678141135972462</v>
      </c>
      <c r="AN365" s="5556">
        <v>5.5088028169014081</v>
      </c>
      <c r="AO365" s="5556">
        <v>4.8477443609022552</v>
      </c>
      <c r="AP365" s="5554">
        <v>5.3234836702954897</v>
      </c>
      <c r="AQ365" s="5554">
        <v>5.2938388625592419</v>
      </c>
      <c r="AR365" s="5554">
        <v>5.8404726735598231</v>
      </c>
      <c r="AS365" s="5554">
        <v>5.1969696969696972</v>
      </c>
      <c r="AT365" s="5554">
        <f t="shared" si="388"/>
        <v>62.607753092845883</v>
      </c>
      <c r="AU365" s="5555">
        <f t="shared" si="385"/>
        <v>5.2173127577371572</v>
      </c>
      <c r="AW365" s="5553">
        <v>5.1571856287425151</v>
      </c>
      <c r="AX365" s="5554">
        <v>6.8243967828418235</v>
      </c>
      <c r="AY365" s="5554">
        <v>5.0567567567567568</v>
      </c>
      <c r="AZ365" s="5554">
        <v>6.9602053915275999</v>
      </c>
      <c r="BA365" s="5554">
        <v>8.9506462984723854</v>
      </c>
      <c r="BB365" s="5554">
        <v>7.7372013651877136</v>
      </c>
      <c r="BC365" s="5556">
        <v>8.8228438228438222</v>
      </c>
      <c r="BD365" s="5556">
        <v>6.8544776119402986</v>
      </c>
      <c r="BE365" s="5554">
        <v>7.0754475703324804</v>
      </c>
      <c r="BF365" s="5554">
        <v>7.347994825355757</v>
      </c>
      <c r="BG365" s="5554">
        <v>5.8954802259887007</v>
      </c>
      <c r="BH365" s="5554">
        <v>6.188933873144399</v>
      </c>
      <c r="BI365" s="5554">
        <f t="shared" si="389"/>
        <v>82.871570153134257</v>
      </c>
      <c r="BJ365" s="5555">
        <f t="shared" si="373"/>
        <v>6.9059641794278548</v>
      </c>
      <c r="BL365" s="5553">
        <v>8.7846153846153854</v>
      </c>
      <c r="BM365" s="5554">
        <v>5.0845481049562684</v>
      </c>
      <c r="BN365" s="5554"/>
      <c r="BO365" s="5554"/>
      <c r="BP365" s="5554"/>
      <c r="BQ365" s="5554"/>
      <c r="BR365" s="5556"/>
      <c r="BS365" s="5556"/>
      <c r="BT365" s="5554"/>
      <c r="BU365" s="5554"/>
      <c r="BV365" s="5554"/>
      <c r="BW365" s="5554"/>
      <c r="BX365" s="5554">
        <f t="shared" si="390"/>
        <v>13.869163489571655</v>
      </c>
      <c r="BY365" s="5483">
        <f t="shared" si="391"/>
        <v>6.9345817447858273</v>
      </c>
      <c r="CA365" s="169">
        <f t="shared" si="386"/>
        <v>-1.7398486778855551</v>
      </c>
      <c r="CB365" s="169">
        <f t="shared" si="392"/>
        <v>1.6886514216906976</v>
      </c>
      <c r="CC365" s="169">
        <f>IFERROR(
  SUM(
    _xlfn.XLOOKUP(DATE(YEAR($A$1),1,1),$2:$2,365:365):
    _xlfn.XLOOKUP($A$1,$2:$2,365:365)
  )
 -SUM(
    _xlfn.XLOOKUP(DATE(YEAR($A$1)-1,1,1),$2:$2,365:365):
    _xlfn.XLOOKUP(EDATE($A$1,-12),$2:$2,365:365)
  ),"")</f>
        <v>1.887581077987317</v>
      </c>
      <c r="CD365" s="4517">
        <f t="shared" si="387"/>
        <v>-3.700067279659117</v>
      </c>
      <c r="CE365" s="5459"/>
      <c r="CF365" s="5459"/>
    </row>
    <row r="366" spans="1:84" s="698" customFormat="1" ht="17.600000000000001" x14ac:dyDescent="0.55000000000000004">
      <c r="A366" s="7347"/>
      <c r="B366" s="5480"/>
      <c r="C366" s="681" t="s">
        <v>230</v>
      </c>
      <c r="D366" s="5553">
        <v>5.8310810810810807</v>
      </c>
      <c r="E366" s="5554">
        <v>6.8485523385300668</v>
      </c>
      <c r="F366" s="5554">
        <v>5.44</v>
      </c>
      <c r="G366" s="5554">
        <v>5.875</v>
      </c>
      <c r="H366" s="5554">
        <v>5.9349593495934956</v>
      </c>
      <c r="I366" s="5554">
        <v>5.1683778234086244</v>
      </c>
      <c r="J366" s="5554">
        <v>5.1748971193415638</v>
      </c>
      <c r="K366" s="5554">
        <v>5.8226804123711338</v>
      </c>
      <c r="L366" s="5554">
        <v>4.1659482758620694</v>
      </c>
      <c r="M366" s="5554">
        <v>5.4115308151093435</v>
      </c>
      <c r="N366" s="5554">
        <v>3.8834498834498836</v>
      </c>
      <c r="O366" s="5554">
        <v>3.3898809523809526</v>
      </c>
      <c r="P366" s="5554">
        <f t="shared" si="397"/>
        <v>62.946358051128215</v>
      </c>
      <c r="Q366" s="5555">
        <f t="shared" si="398"/>
        <v>5.2455298375940176</v>
      </c>
      <c r="R366" s="5479"/>
      <c r="S366" s="5553">
        <v>4.3176470588235292</v>
      </c>
      <c r="T366" s="5554">
        <v>5.5219298245614032</v>
      </c>
      <c r="U366" s="5554">
        <v>4.1635071090047395</v>
      </c>
      <c r="V366" s="5554">
        <v>4.4557522123893802</v>
      </c>
      <c r="W366" s="5554">
        <v>4.5688487584650117</v>
      </c>
      <c r="X366" s="5554">
        <v>4.4649532710280377</v>
      </c>
      <c r="Y366" s="5554">
        <v>4.7074340527577938</v>
      </c>
      <c r="Z366" s="5554">
        <v>5.9293361884368307</v>
      </c>
      <c r="AA366" s="5554">
        <v>3.9263392857142856</v>
      </c>
      <c r="AB366" s="5554">
        <v>5.2777777777777777</v>
      </c>
      <c r="AC366" s="5554">
        <v>4.0457665903890163</v>
      </c>
      <c r="AD366" s="5554">
        <v>3.3850129198966408</v>
      </c>
      <c r="AE366" s="5554">
        <f t="shared" si="399"/>
        <v>54.764305049244442</v>
      </c>
      <c r="AF366" s="5555">
        <f t="shared" si="400"/>
        <v>4.5636920874370368</v>
      </c>
      <c r="AG366" s="5479"/>
      <c r="AH366" s="5553">
        <v>5.1568181818181822</v>
      </c>
      <c r="AI366" s="5554">
        <v>3.9519650655021836</v>
      </c>
      <c r="AJ366" s="5554">
        <v>4.4146868250539955</v>
      </c>
      <c r="AK366" s="5554">
        <v>4.1252699784017279</v>
      </c>
      <c r="AL366" s="5554">
        <v>4.5689277899343548</v>
      </c>
      <c r="AM366" s="5554">
        <v>4.0495495495495497</v>
      </c>
      <c r="AN366" s="5556">
        <v>4.7736263736263735</v>
      </c>
      <c r="AO366" s="5556">
        <v>4.2009569377990434</v>
      </c>
      <c r="AP366" s="5554">
        <v>4.4427312775330394</v>
      </c>
      <c r="AQ366" s="5554">
        <v>4.3256351039260972</v>
      </c>
      <c r="AR366" s="5554">
        <v>4.2794759825327509</v>
      </c>
      <c r="AS366" s="5554">
        <v>4.1220657276995309</v>
      </c>
      <c r="AT366" s="5554">
        <f t="shared" si="388"/>
        <v>52.411708793376832</v>
      </c>
      <c r="AU366" s="5555">
        <f t="shared" si="385"/>
        <v>4.3676423994480693</v>
      </c>
      <c r="AW366" s="5553">
        <v>4.7695961995249405</v>
      </c>
      <c r="AX366" s="5554">
        <v>6.2603305785123968</v>
      </c>
      <c r="AY366" s="5554">
        <v>4.5736263736263734</v>
      </c>
      <c r="AZ366" s="5554">
        <v>5.9237113402061858</v>
      </c>
      <c r="BA366" s="5554">
        <v>7.70902394106814</v>
      </c>
      <c r="BB366" s="5554">
        <v>6.7796934865900385</v>
      </c>
      <c r="BC366" s="5556">
        <v>7.4246575342465757</v>
      </c>
      <c r="BD366" s="5556">
        <v>6.0196850393700787</v>
      </c>
      <c r="BE366" s="5554">
        <v>6.0433996383363473</v>
      </c>
      <c r="BF366" s="5554">
        <v>6.8870370370370368</v>
      </c>
      <c r="BG366" s="5554">
        <v>5.6201550387596901</v>
      </c>
      <c r="BH366" s="5554">
        <v>6.2632575757575761</v>
      </c>
      <c r="BI366" s="5554">
        <f t="shared" si="389"/>
        <v>74.27417378303538</v>
      </c>
      <c r="BJ366" s="5555">
        <f t="shared" si="373"/>
        <v>6.1895144819196153</v>
      </c>
      <c r="BL366" s="5553">
        <v>8.5478260869565226</v>
      </c>
      <c r="BM366" s="5554">
        <v>4.4198312236286919</v>
      </c>
      <c r="BN366" s="5554"/>
      <c r="BO366" s="5554"/>
      <c r="BP366" s="5554"/>
      <c r="BQ366" s="5554"/>
      <c r="BR366" s="5556"/>
      <c r="BS366" s="5556"/>
      <c r="BT366" s="5554"/>
      <c r="BU366" s="5554"/>
      <c r="BV366" s="5554"/>
      <c r="BW366" s="5554"/>
      <c r="BX366" s="5554">
        <f t="shared" si="390"/>
        <v>12.967657310585214</v>
      </c>
      <c r="BY366" s="5483">
        <f t="shared" si="391"/>
        <v>6.4838286552926068</v>
      </c>
      <c r="CA366" s="169">
        <f t="shared" si="386"/>
        <v>-1.840499354883705</v>
      </c>
      <c r="CB366" s="169">
        <f t="shared" si="392"/>
        <v>1.821872082471546</v>
      </c>
      <c r="CC366" s="169">
        <f>IFERROR(
  SUM(
    _xlfn.XLOOKUP(DATE(YEAR($A$1),1,1),$2:$2,366:366):
    _xlfn.XLOOKUP($A$1,$2:$2,366:366)
  )
 -SUM(
    _xlfn.XLOOKUP(DATE(YEAR($A$1)-1,1,1),$2:$2,366:366):
    _xlfn.XLOOKUP(EDATE($A$1,-12),$2:$2,366:366)
  ),"")</f>
        <v>1.9377305325478762</v>
      </c>
      <c r="CD366" s="4517">
        <f t="shared" si="387"/>
        <v>-4.1279948633278307</v>
      </c>
      <c r="CE366" s="5459"/>
      <c r="CF366" s="5459"/>
    </row>
    <row r="367" spans="1:84" s="698" customFormat="1" ht="17.600000000000001" x14ac:dyDescent="0.55000000000000004">
      <c r="A367" s="7347"/>
      <c r="B367" s="5480"/>
      <c r="C367" s="804" t="s">
        <v>231</v>
      </c>
      <c r="D367" s="5557">
        <v>7.1273666092943202</v>
      </c>
      <c r="E367" s="5558">
        <v>7.3933566433566433</v>
      </c>
      <c r="F367" s="5558">
        <v>6.2006578947368425</v>
      </c>
      <c r="G367" s="5558">
        <v>6.2650406504065037</v>
      </c>
      <c r="H367" s="5558">
        <v>6.2028081123244929</v>
      </c>
      <c r="I367" s="5558">
        <v>6.1273885350318471</v>
      </c>
      <c r="J367" s="5558">
        <v>5.9117174959871592</v>
      </c>
      <c r="K367" s="5558">
        <v>7.2174688057041001</v>
      </c>
      <c r="L367" s="5558">
        <v>5.2546125461254611</v>
      </c>
      <c r="M367" s="5558">
        <v>6.7123966942148758</v>
      </c>
      <c r="N367" s="5558">
        <v>5.0283333333333333</v>
      </c>
      <c r="O367" s="5558">
        <v>4.7516666666666669</v>
      </c>
      <c r="P367" s="5558">
        <f t="shared" si="397"/>
        <v>74.192813987182248</v>
      </c>
      <c r="Q367" s="5559">
        <f t="shared" si="398"/>
        <v>6.182734498931854</v>
      </c>
      <c r="R367" s="5479"/>
      <c r="S367" s="5557">
        <v>5.1672077922077921</v>
      </c>
      <c r="T367" s="5558">
        <v>6.0422077922077921</v>
      </c>
      <c r="U367" s="5558">
        <v>5.529109589041096</v>
      </c>
      <c r="V367" s="5558">
        <v>5.3884007029876981</v>
      </c>
      <c r="W367" s="5558">
        <v>5.4732142857142856</v>
      </c>
      <c r="X367" s="5558">
        <v>5.2830540037243949</v>
      </c>
      <c r="Y367" s="5558">
        <v>5.6081560283687946</v>
      </c>
      <c r="Z367" s="5558">
        <v>6.9042735042735046</v>
      </c>
      <c r="AA367" s="5558">
        <v>5.4971209213051822</v>
      </c>
      <c r="AB367" s="5558">
        <v>6.3029772329246931</v>
      </c>
      <c r="AC367" s="5558">
        <v>5.0255009107468123</v>
      </c>
      <c r="AD367" s="5558">
        <v>4.6396761133603235</v>
      </c>
      <c r="AE367" s="5558">
        <f t="shared" si="399"/>
        <v>66.860898876862365</v>
      </c>
      <c r="AF367" s="5559">
        <f t="shared" si="400"/>
        <v>5.571741573071864</v>
      </c>
      <c r="AG367" s="5479"/>
      <c r="AH367" s="5557">
        <v>6.5027124773960221</v>
      </c>
      <c r="AI367" s="5558">
        <v>5.1289134438305712</v>
      </c>
      <c r="AJ367" s="5558">
        <v>5.5745454545454542</v>
      </c>
      <c r="AK367" s="5558">
        <v>5.5087412587412583</v>
      </c>
      <c r="AL367" s="5558">
        <v>5.7848324514991178</v>
      </c>
      <c r="AM367" s="5558">
        <v>4.9965034965034967</v>
      </c>
      <c r="AN367" s="5560">
        <v>6.2310536044362292</v>
      </c>
      <c r="AO367" s="5560">
        <v>4.8592436974789912</v>
      </c>
      <c r="AP367" s="5558">
        <v>5.9642218246869412</v>
      </c>
      <c r="AQ367" s="5558">
        <v>5.54481546572935</v>
      </c>
      <c r="AR367" s="5558">
        <v>5.7700348432055746</v>
      </c>
      <c r="AS367" s="5558">
        <v>5.1669829222011385</v>
      </c>
      <c r="AT367" s="5558">
        <f t="shared" si="388"/>
        <v>67.032600940254142</v>
      </c>
      <c r="AU367" s="5559">
        <f t="shared" si="385"/>
        <v>5.5860500783545115</v>
      </c>
      <c r="AW367" s="5557">
        <v>5.3735632183908049</v>
      </c>
      <c r="AX367" s="5558">
        <v>6.6092150170648463</v>
      </c>
      <c r="AY367" s="5558">
        <v>5.6817359855334537</v>
      </c>
      <c r="AZ367" s="5558">
        <v>6.5684210526315789</v>
      </c>
      <c r="BA367" s="5558">
        <v>8.9768976897689772</v>
      </c>
      <c r="BB367" s="5558">
        <v>7.5673400673400675</v>
      </c>
      <c r="BC367" s="5560">
        <v>9.082311733800351</v>
      </c>
      <c r="BD367" s="5560">
        <v>6.1508078994613999</v>
      </c>
      <c r="BE367" s="5558">
        <v>7.0286738351254483</v>
      </c>
      <c r="BF367" s="5558">
        <v>6.3292035398230091</v>
      </c>
      <c r="BG367" s="5558">
        <v>5.7059891107078036</v>
      </c>
      <c r="BH367" s="5558">
        <v>5.9222222222222225</v>
      </c>
      <c r="BI367" s="5558">
        <f t="shared" si="389"/>
        <v>80.996381371869958</v>
      </c>
      <c r="BJ367" s="5559">
        <f t="shared" si="373"/>
        <v>6.7496984476558302</v>
      </c>
      <c r="BL367" s="5557">
        <v>8.6020761245674748</v>
      </c>
      <c r="BM367" s="5558">
        <v>4.5674603174603172</v>
      </c>
      <c r="BN367" s="5558"/>
      <c r="BO367" s="5558"/>
      <c r="BP367" s="5558"/>
      <c r="BQ367" s="5558"/>
      <c r="BR367" s="5560"/>
      <c r="BS367" s="5560"/>
      <c r="BT367" s="5558"/>
      <c r="BU367" s="5558"/>
      <c r="BV367" s="5558"/>
      <c r="BW367" s="5558"/>
      <c r="BX367" s="5558">
        <f t="shared" si="390"/>
        <v>13.169536442027791</v>
      </c>
      <c r="BY367" s="5486">
        <f t="shared" si="391"/>
        <v>6.5847682210138956</v>
      </c>
      <c r="CA367" s="169">
        <f t="shared" si="386"/>
        <v>-2.041754699604529</v>
      </c>
      <c r="CB367" s="169">
        <f t="shared" si="392"/>
        <v>1.1636483693013187</v>
      </c>
      <c r="CC367" s="169">
        <f>IFERROR(
  SUM(
    _xlfn.XLOOKUP(DATE(YEAR($A$1),1,1),$2:$2,367:367):
    _xlfn.XLOOKUP($A$1,$2:$2,367:367)
  )
 -SUM(
    _xlfn.XLOOKUP(DATE(YEAR($A$1)-1,1,1),$2:$2,367:367):
    _xlfn.XLOOKUP(EDATE($A$1,-12),$2:$2,367:367)
  ),"")</f>
        <v>1.18675820657214</v>
      </c>
      <c r="CD367" s="4517">
        <f t="shared" si="387"/>
        <v>-4.0346158071071576</v>
      </c>
      <c r="CE367" s="5459"/>
      <c r="CF367" s="5459"/>
    </row>
    <row r="368" spans="1:84" s="698" customFormat="1" ht="18" thickBot="1" x14ac:dyDescent="0.6">
      <c r="A368" s="7388"/>
      <c r="B368" s="5491"/>
      <c r="C368" s="5492" t="s">
        <v>232</v>
      </c>
      <c r="D368" s="5567">
        <v>5.6376306620209062</v>
      </c>
      <c r="E368" s="5568">
        <v>6.222419928825623</v>
      </c>
      <c r="F368" s="5568">
        <v>5.2689655172413792</v>
      </c>
      <c r="G368" s="5568">
        <v>5.6672597864768681</v>
      </c>
      <c r="H368" s="5568">
        <v>6.0152801358234296</v>
      </c>
      <c r="I368" s="5568">
        <v>5.0584070796460177</v>
      </c>
      <c r="J368" s="5568">
        <v>4.7021276595744679</v>
      </c>
      <c r="K368" s="5568">
        <v>5.2065217391304346</v>
      </c>
      <c r="L368" s="5568">
        <v>3.9432892249527409</v>
      </c>
      <c r="M368" s="5568">
        <v>6.0201834862385324</v>
      </c>
      <c r="N368" s="5568">
        <v>4.6262042389210016</v>
      </c>
      <c r="O368" s="5568">
        <v>4.2462845010615711</v>
      </c>
      <c r="P368" s="5568">
        <f t="shared" si="397"/>
        <v>62.614573959912981</v>
      </c>
      <c r="Q368" s="5569">
        <f t="shared" si="398"/>
        <v>5.2178811633260818</v>
      </c>
      <c r="R368" s="5479"/>
      <c r="S368" s="5567">
        <v>4.3364485981308407</v>
      </c>
      <c r="T368" s="5568">
        <v>4.75</v>
      </c>
      <c r="U368" s="5568">
        <v>3.6636197440585008</v>
      </c>
      <c r="V368" s="5568">
        <v>3.8754716981132074</v>
      </c>
      <c r="W368" s="5568">
        <v>3.9958246346555324</v>
      </c>
      <c r="X368" s="5568">
        <v>3.8507462686567164</v>
      </c>
      <c r="Y368" s="5568">
        <v>5.0294840294840295</v>
      </c>
      <c r="Z368" s="5568">
        <v>5.5928270042194095</v>
      </c>
      <c r="AA368" s="5568">
        <v>4.8300970873786406</v>
      </c>
      <c r="AB368" s="5568">
        <v>5.8830845771144276</v>
      </c>
      <c r="AC368" s="5568">
        <v>4.7052631578947368</v>
      </c>
      <c r="AD368" s="5568">
        <v>4.4447592067988673</v>
      </c>
      <c r="AE368" s="5568">
        <f t="shared" si="399"/>
        <v>54.957626006504896</v>
      </c>
      <c r="AF368" s="5569">
        <f t="shared" si="400"/>
        <v>4.579802167208741</v>
      </c>
      <c r="AG368" s="5479"/>
      <c r="AH368" s="5567">
        <v>5.1928251121076237</v>
      </c>
      <c r="AI368" s="5568">
        <v>4.817102137767221</v>
      </c>
      <c r="AJ368" s="5568">
        <v>4.7832957110609478</v>
      </c>
      <c r="AK368" s="5568">
        <v>4.1995515695067267</v>
      </c>
      <c r="AL368" s="5568">
        <v>4.5384615384615383</v>
      </c>
      <c r="AM368" s="5568">
        <v>4.6785714285714288</v>
      </c>
      <c r="AN368" s="5570">
        <v>5.2627906976744185</v>
      </c>
      <c r="AO368" s="5570">
        <v>4.6240601503759402</v>
      </c>
      <c r="AP368" s="5568">
        <v>4.6849315068493151</v>
      </c>
      <c r="AQ368" s="5568">
        <v>4.4901098901098901</v>
      </c>
      <c r="AR368" s="5568">
        <v>5</v>
      </c>
      <c r="AS368" s="5568">
        <v>4.2138084632516701</v>
      </c>
      <c r="AT368" s="5568">
        <f t="shared" si="388"/>
        <v>56.485508205736721</v>
      </c>
      <c r="AU368" s="5569">
        <f t="shared" si="385"/>
        <v>4.7071256838113937</v>
      </c>
      <c r="AW368" s="5567">
        <v>5.012853470437018</v>
      </c>
      <c r="AX368" s="5568">
        <v>5.7444933920704848</v>
      </c>
      <c r="AY368" s="5568">
        <v>4.2988764044943819</v>
      </c>
      <c r="AZ368" s="5568">
        <v>5.3919821826280625</v>
      </c>
      <c r="BA368" s="5568">
        <v>6.4371002132196162</v>
      </c>
      <c r="BB368" s="5568">
        <v>5.1729490022172948</v>
      </c>
      <c r="BC368" s="5570">
        <v>7.0389016018306636</v>
      </c>
      <c r="BD368" s="5570">
        <v>4.8012958963282939</v>
      </c>
      <c r="BE368" s="5568">
        <v>5.5901287553648071</v>
      </c>
      <c r="BF368" s="5568">
        <v>4.9653679653679657</v>
      </c>
      <c r="BG368" s="5568">
        <v>4.3096774193548386</v>
      </c>
      <c r="BH368" s="5568">
        <v>4.4462616822429908</v>
      </c>
      <c r="BI368" s="5568">
        <f t="shared" si="389"/>
        <v>63.209887985556428</v>
      </c>
      <c r="BJ368" s="5569">
        <f t="shared" si="373"/>
        <v>5.2674906654630353</v>
      </c>
      <c r="BL368" s="5567">
        <v>7.1629464285714288</v>
      </c>
      <c r="BM368" s="5568">
        <v>3.8244680851063828</v>
      </c>
      <c r="BN368" s="5568"/>
      <c r="BO368" s="5568"/>
      <c r="BP368" s="5568"/>
      <c r="BQ368" s="5568"/>
      <c r="BR368" s="5570"/>
      <c r="BS368" s="5570"/>
      <c r="BT368" s="5568"/>
      <c r="BU368" s="5568"/>
      <c r="BV368" s="5568"/>
      <c r="BW368" s="5568"/>
      <c r="BX368" s="5568">
        <f t="shared" si="390"/>
        <v>10.987414513677813</v>
      </c>
      <c r="BY368" s="5495">
        <f t="shared" si="391"/>
        <v>5.4937072568389063</v>
      </c>
      <c r="CA368" s="169">
        <f t="shared" si="386"/>
        <v>-1.920025306964102</v>
      </c>
      <c r="CB368" s="169">
        <f t="shared" si="392"/>
        <v>0.56036498165164161</v>
      </c>
      <c r="CC368" s="169">
        <f>IFERROR(
  SUM(
    _xlfn.XLOOKUP(DATE(YEAR($A$1),1,1),$2:$2,368:368):
    _xlfn.XLOOKUP($A$1,$2:$2,368:368)
  )
 -SUM(
    _xlfn.XLOOKUP(DATE(YEAR($A$1)-1,1,1),$2:$2,368:368):
    _xlfn.XLOOKUP(EDATE($A$1,-12),$2:$2,368:368)
  ),"")</f>
        <v>0.23006765117030881</v>
      </c>
      <c r="CD368" s="4517">
        <f t="shared" si="387"/>
        <v>-3.338478343465046</v>
      </c>
      <c r="CE368" s="5459"/>
      <c r="CF368" s="5459"/>
    </row>
    <row r="369" spans="1:84" ht="17.600000000000001" x14ac:dyDescent="0.55000000000000004">
      <c r="A369" s="7346" t="s">
        <v>379</v>
      </c>
      <c r="B369" s="5131" t="s">
        <v>249</v>
      </c>
      <c r="C369" s="5132"/>
      <c r="D369" s="5532">
        <v>55.602941176470587</v>
      </c>
      <c r="E369" s="5533">
        <v>69.092039800995025</v>
      </c>
      <c r="F369" s="5533">
        <v>61.05</v>
      </c>
      <c r="G369" s="5533">
        <v>65.159600997506232</v>
      </c>
      <c r="H369" s="5533">
        <v>68.059850374064837</v>
      </c>
      <c r="I369" s="5533">
        <v>64.333333333333329</v>
      </c>
      <c r="J369" s="5533">
        <v>59.190355329949242</v>
      </c>
      <c r="K369" s="5533">
        <v>66.787341772151905</v>
      </c>
      <c r="L369" s="5533">
        <v>47.142487046632127</v>
      </c>
      <c r="M369" s="5533">
        <v>68.119791666666671</v>
      </c>
      <c r="N369" s="5533">
        <v>48.393229166666664</v>
      </c>
      <c r="O369" s="5533">
        <v>42.471354166666664</v>
      </c>
      <c r="P369" s="5533">
        <v>715.4023248311031</v>
      </c>
      <c r="Q369" s="5534">
        <v>59.616860402591925</v>
      </c>
      <c r="R369" s="2776"/>
      <c r="S369" s="5532">
        <v>48.829333333333331</v>
      </c>
      <c r="T369" s="5533">
        <v>57.657824933687003</v>
      </c>
      <c r="U369" s="5533">
        <v>46.053050397877982</v>
      </c>
      <c r="V369" s="5533">
        <v>46.349593495934961</v>
      </c>
      <c r="W369" s="5533">
        <v>49.036516853932582</v>
      </c>
      <c r="X369" s="5533">
        <v>45.762039660056658</v>
      </c>
      <c r="Y369" s="5533">
        <v>52.025423728813557</v>
      </c>
      <c r="Z369" s="5533">
        <v>69.180758017492707</v>
      </c>
      <c r="AA369" s="5533">
        <v>47.985422740524783</v>
      </c>
      <c r="AB369" s="5533">
        <v>63.919075144508668</v>
      </c>
      <c r="AC369" s="5533">
        <v>47.663768115942027</v>
      </c>
      <c r="AD369" s="5533">
        <v>39.037463976945247</v>
      </c>
      <c r="AE369" s="5533">
        <v>613.50027039904944</v>
      </c>
      <c r="AF369" s="5534">
        <v>51.125022533254118</v>
      </c>
      <c r="AG369" s="5565"/>
      <c r="AH369" s="5532">
        <v>60.679190751445084</v>
      </c>
      <c r="AI369" s="5533">
        <v>48.950146627565985</v>
      </c>
      <c r="AJ369" s="5533">
        <v>54.384615384615387</v>
      </c>
      <c r="AK369" s="5533">
        <v>54.052785923753667</v>
      </c>
      <c r="AL369" s="5533">
        <v>59.252941176470586</v>
      </c>
      <c r="AM369" s="5533">
        <v>55.93993993993994</v>
      </c>
      <c r="AN369" s="5535">
        <v>67.900000000000006</v>
      </c>
      <c r="AO369" s="5571">
        <v>54.030299999999997</v>
      </c>
      <c r="AP369" s="5533">
        <v>62.115499999999997</v>
      </c>
      <c r="AQ369" s="5533">
        <v>60.01</v>
      </c>
      <c r="AR369" s="5457">
        <v>59.794117647058826</v>
      </c>
      <c r="AS369" s="5457">
        <v>49.862170087976537</v>
      </c>
      <c r="AT369" s="5533">
        <f t="shared" si="388"/>
        <v>686.97170753882608</v>
      </c>
      <c r="AU369" s="5534">
        <f t="shared" si="385"/>
        <v>57.247642294902171</v>
      </c>
      <c r="AW369" s="5532">
        <v>49.968115942028987</v>
      </c>
      <c r="AX369" s="5533">
        <v>75.315942028985503</v>
      </c>
      <c r="AY369" s="5533">
        <v>56.758823529411764</v>
      </c>
      <c r="AZ369" s="5533">
        <v>72.047477744807125</v>
      </c>
      <c r="BA369" s="5533">
        <v>110.47575757575757</v>
      </c>
      <c r="BB369" s="5533">
        <v>88.336448598130843</v>
      </c>
      <c r="BC369" s="5535">
        <v>103.57097791798107</v>
      </c>
      <c r="BD369" s="5571">
        <v>78.67619047619047</v>
      </c>
      <c r="BE369" s="5533">
        <v>87.044871794871796</v>
      </c>
      <c r="BF369" s="5533">
        <v>86.625806451612902</v>
      </c>
      <c r="BG369" s="5457">
        <v>71.949044585987266</v>
      </c>
      <c r="BH369" s="5457">
        <v>75.673981191222566</v>
      </c>
      <c r="BI369" s="5533">
        <f t="shared" si="389"/>
        <v>956.44343783698787</v>
      </c>
      <c r="BJ369" s="5534">
        <f t="shared" si="373"/>
        <v>79.703619819748994</v>
      </c>
      <c r="BL369" s="5532">
        <v>120.28434504792332</v>
      </c>
      <c r="BM369" s="5533">
        <v>55.549520766773163</v>
      </c>
      <c r="BN369" s="5533"/>
      <c r="BO369" s="5533"/>
      <c r="BP369" s="5533"/>
      <c r="BQ369" s="5533"/>
      <c r="BR369" s="5535"/>
      <c r="BS369" s="5571"/>
      <c r="BT369" s="5533"/>
      <c r="BU369" s="5533"/>
      <c r="BV369" s="5457"/>
      <c r="BW369" s="5457"/>
      <c r="BX369" s="5533">
        <f t="shared" si="390"/>
        <v>175.83386581469648</v>
      </c>
      <c r="BY369" s="5458">
        <f t="shared" si="391"/>
        <v>87.91693290734824</v>
      </c>
      <c r="CA369" s="169">
        <f t="shared" si="386"/>
        <v>-19.76642126221234</v>
      </c>
      <c r="CB369" s="169">
        <f t="shared" si="392"/>
        <v>22.455977524846823</v>
      </c>
      <c r="CC369" s="169">
        <f>IFERROR(
  SUM(
    _xlfn.XLOOKUP(DATE(YEAR($A$1),1,1),$2:$2,369:369):
    _xlfn.XLOOKUP($A$1,$2:$2,369:369)
  )
 -SUM(
    _xlfn.XLOOKUP(DATE(YEAR($A$1)-1,1,1),$2:$2,369:369):
    _xlfn.XLOOKUP(EDATE($A$1,-12),$2:$2,369:369)
  ),"")</f>
        <v>50.54980784368199</v>
      </c>
      <c r="CD369" s="4517">
        <f t="shared" si="387"/>
        <v>-64.734824281150168</v>
      </c>
      <c r="CE369" s="5459"/>
      <c r="CF369" s="5459"/>
    </row>
    <row r="370" spans="1:84" ht="17.600000000000001" hidden="1" x14ac:dyDescent="0.55000000000000004">
      <c r="A370" s="7347"/>
      <c r="B370" s="5460"/>
      <c r="C370" s="786" t="s">
        <v>261</v>
      </c>
      <c r="D370" s="5461"/>
      <c r="E370" s="5462"/>
      <c r="F370" s="5462"/>
      <c r="G370" s="5462"/>
      <c r="H370" s="5462"/>
      <c r="I370" s="5462"/>
      <c r="J370" s="5462"/>
      <c r="K370" s="5462"/>
      <c r="L370" s="5462"/>
      <c r="M370" s="5462"/>
      <c r="N370" s="5462"/>
      <c r="O370" s="5462"/>
      <c r="P370" s="5462">
        <v>0</v>
      </c>
      <c r="Q370" s="5463">
        <v>0</v>
      </c>
      <c r="R370" s="2776"/>
      <c r="S370" s="5461"/>
      <c r="T370" s="5462"/>
      <c r="U370" s="5462"/>
      <c r="V370" s="5462"/>
      <c r="W370" s="5462"/>
      <c r="X370" s="5462"/>
      <c r="Y370" s="5462"/>
      <c r="Z370" s="5462"/>
      <c r="AA370" s="5462"/>
      <c r="AB370" s="5462"/>
      <c r="AC370" s="5462"/>
      <c r="AD370" s="5462"/>
      <c r="AE370" s="5462">
        <v>0</v>
      </c>
      <c r="AF370" s="5463">
        <v>0</v>
      </c>
      <c r="AG370" s="2776"/>
      <c r="AH370" s="5461"/>
      <c r="AI370" s="5462"/>
      <c r="AJ370" s="5462"/>
      <c r="AK370" s="5537"/>
      <c r="AL370" s="5537"/>
      <c r="AM370" s="5537"/>
      <c r="AN370" s="4146"/>
      <c r="AO370" s="3948"/>
      <c r="AP370" s="5537"/>
      <c r="AQ370" s="5537"/>
      <c r="AR370" s="5462"/>
      <c r="AS370" s="5462"/>
      <c r="AT370" s="5462">
        <f t="shared" si="388"/>
        <v>0</v>
      </c>
      <c r="AU370" s="5566">
        <f t="shared" si="385"/>
        <v>0</v>
      </c>
      <c r="AW370" s="5536"/>
      <c r="AX370" s="5462"/>
      <c r="AY370" s="5462"/>
      <c r="AZ370" s="5537"/>
      <c r="BA370" s="5537"/>
      <c r="BB370" s="5537"/>
      <c r="BC370" s="4146"/>
      <c r="BD370" s="3948"/>
      <c r="BE370" s="5537"/>
      <c r="BF370" s="5537"/>
      <c r="BG370" s="5462"/>
      <c r="BH370" s="5462"/>
      <c r="BI370" s="5462">
        <f t="shared" si="389"/>
        <v>0</v>
      </c>
      <c r="BJ370" s="5566" t="e">
        <f t="shared" si="373"/>
        <v>#DIV/0!</v>
      </c>
      <c r="BL370" s="5536"/>
      <c r="BM370" s="5462">
        <v>0</v>
      </c>
      <c r="BN370" s="5462"/>
      <c r="BO370" s="5537"/>
      <c r="BP370" s="5537"/>
      <c r="BQ370" s="5537"/>
      <c r="BR370" s="4146"/>
      <c r="BS370" s="3948"/>
      <c r="BT370" s="5537"/>
      <c r="BU370" s="5537"/>
      <c r="BV370" s="5462"/>
      <c r="BW370" s="5462"/>
      <c r="BX370" s="5462">
        <f t="shared" si="390"/>
        <v>0</v>
      </c>
      <c r="BY370" s="5463">
        <f t="shared" si="391"/>
        <v>0</v>
      </c>
      <c r="CA370" s="169">
        <f t="shared" si="386"/>
        <v>0</v>
      </c>
      <c r="CB370" s="169" t="e">
        <f t="shared" si="392"/>
        <v>#DIV/0!</v>
      </c>
      <c r="CC370" s="169">
        <f>IFERROR(
  SUM(
    _xlfn.XLOOKUP(DATE(YEAR($A$1),1,1),$2:$2,370:370):
    _xlfn.XLOOKUP($A$1,$2:$2,370:370)
  )
 -SUM(
    _xlfn.XLOOKUP(DATE(YEAR($A$1)-1,1,1),$2:$2,370:370):
    _xlfn.XLOOKUP(EDATE($A$1,-12),$2:$2,370:370)
  ),"")</f>
        <v>0</v>
      </c>
      <c r="CD370" s="4517">
        <f t="shared" si="387"/>
        <v>0</v>
      </c>
      <c r="CE370" s="5459"/>
      <c r="CF370" s="5459"/>
    </row>
    <row r="371" spans="1:84" ht="17.600000000000001" hidden="1" x14ac:dyDescent="0.55000000000000004">
      <c r="A371" s="7347"/>
      <c r="B371" s="5460"/>
      <c r="C371" s="786" t="s">
        <v>260</v>
      </c>
      <c r="D371" s="5461"/>
      <c r="E371" s="5462"/>
      <c r="F371" s="5462"/>
      <c r="G371" s="5462"/>
      <c r="H371" s="5462"/>
      <c r="I371" s="5462"/>
      <c r="J371" s="5462"/>
      <c r="K371" s="5462"/>
      <c r="L371" s="5462"/>
      <c r="M371" s="5462"/>
      <c r="N371" s="5462"/>
      <c r="O371" s="5462"/>
      <c r="P371" s="5462">
        <v>0</v>
      </c>
      <c r="Q371" s="5463">
        <v>0</v>
      </c>
      <c r="R371" s="2776"/>
      <c r="S371" s="5461"/>
      <c r="T371" s="5462"/>
      <c r="U371" s="5462"/>
      <c r="V371" s="5462"/>
      <c r="W371" s="5462"/>
      <c r="X371" s="5462"/>
      <c r="Y371" s="5462"/>
      <c r="Z371" s="5462"/>
      <c r="AA371" s="5462"/>
      <c r="AB371" s="5462"/>
      <c r="AC371" s="5462"/>
      <c r="AD371" s="5462"/>
      <c r="AE371" s="5462">
        <v>0</v>
      </c>
      <c r="AF371" s="5463">
        <v>0</v>
      </c>
      <c r="AG371" s="2776"/>
      <c r="AH371" s="5461"/>
      <c r="AI371" s="5462"/>
      <c r="AJ371" s="5462"/>
      <c r="AK371" s="5537"/>
      <c r="AL371" s="5537"/>
      <c r="AM371" s="5537"/>
      <c r="AN371" s="4146"/>
      <c r="AO371" s="3948"/>
      <c r="AP371" s="5537"/>
      <c r="AQ371" s="5537"/>
      <c r="AR371" s="5462"/>
      <c r="AS371" s="5462"/>
      <c r="AT371" s="5462">
        <f t="shared" si="388"/>
        <v>0</v>
      </c>
      <c r="AU371" s="5566">
        <f t="shared" si="385"/>
        <v>0</v>
      </c>
      <c r="AW371" s="5536"/>
      <c r="AX371" s="5462"/>
      <c r="AY371" s="5462"/>
      <c r="AZ371" s="5537"/>
      <c r="BA371" s="5537"/>
      <c r="BB371" s="5537"/>
      <c r="BC371" s="4146"/>
      <c r="BD371" s="3948"/>
      <c r="BE371" s="5537"/>
      <c r="BF371" s="5537"/>
      <c r="BG371" s="5462"/>
      <c r="BH371" s="5462"/>
      <c r="BI371" s="5462">
        <f t="shared" si="389"/>
        <v>0</v>
      </c>
      <c r="BJ371" s="5566" t="e">
        <f t="shared" si="373"/>
        <v>#DIV/0!</v>
      </c>
      <c r="BL371" s="5536"/>
      <c r="BM371" s="5462">
        <v>0</v>
      </c>
      <c r="BN371" s="5462"/>
      <c r="BO371" s="5537"/>
      <c r="BP371" s="5537"/>
      <c r="BQ371" s="5537"/>
      <c r="BR371" s="4146"/>
      <c r="BS371" s="3948"/>
      <c r="BT371" s="5537"/>
      <c r="BU371" s="5537"/>
      <c r="BV371" s="5462"/>
      <c r="BW371" s="5462"/>
      <c r="BX371" s="5462">
        <f t="shared" si="390"/>
        <v>0</v>
      </c>
      <c r="BY371" s="5463">
        <f t="shared" si="391"/>
        <v>0</v>
      </c>
      <c r="CA371" s="169">
        <f t="shared" si="386"/>
        <v>0</v>
      </c>
      <c r="CB371" s="169" t="e">
        <f t="shared" si="392"/>
        <v>#DIV/0!</v>
      </c>
      <c r="CC371" s="169">
        <f>IFERROR(
  SUM(
    _xlfn.XLOOKUP(DATE(YEAR($A$1),1,1),$2:$2,371:371):
    _xlfn.XLOOKUP($A$1,$2:$2,371:371)
  )
 -SUM(
    _xlfn.XLOOKUP(DATE(YEAR($A$1)-1,1,1),$2:$2,371:371):
    _xlfn.XLOOKUP(EDATE($A$1,-12),$2:$2,371:371)
  ),"")</f>
        <v>0</v>
      </c>
      <c r="CD371" s="4517">
        <f t="shared" si="387"/>
        <v>0</v>
      </c>
      <c r="CE371" s="5459"/>
      <c r="CF371" s="5459"/>
    </row>
    <row r="372" spans="1:84" ht="17.600000000000001" hidden="1" x14ac:dyDescent="0.55000000000000004">
      <c r="A372" s="7347"/>
      <c r="B372" s="5460"/>
      <c r="C372" s="786" t="s">
        <v>259</v>
      </c>
      <c r="D372" s="5461"/>
      <c r="E372" s="5462"/>
      <c r="F372" s="5462"/>
      <c r="G372" s="5462"/>
      <c r="H372" s="5462"/>
      <c r="I372" s="5462"/>
      <c r="J372" s="5462"/>
      <c r="K372" s="5462"/>
      <c r="L372" s="5462"/>
      <c r="M372" s="5462"/>
      <c r="N372" s="5462"/>
      <c r="O372" s="5462"/>
      <c r="P372" s="5462">
        <v>0</v>
      </c>
      <c r="Q372" s="5463">
        <v>0</v>
      </c>
      <c r="R372" s="2776"/>
      <c r="S372" s="5461"/>
      <c r="T372" s="5462"/>
      <c r="U372" s="5462"/>
      <c r="V372" s="5462"/>
      <c r="W372" s="5462"/>
      <c r="X372" s="5462"/>
      <c r="Y372" s="5462"/>
      <c r="Z372" s="5462"/>
      <c r="AA372" s="5462"/>
      <c r="AB372" s="5462"/>
      <c r="AC372" s="5462"/>
      <c r="AD372" s="5462"/>
      <c r="AE372" s="5462">
        <v>0</v>
      </c>
      <c r="AF372" s="5463">
        <v>0</v>
      </c>
      <c r="AG372" s="2776"/>
      <c r="AH372" s="5461"/>
      <c r="AI372" s="5462"/>
      <c r="AJ372" s="5462"/>
      <c r="AK372" s="5537"/>
      <c r="AL372" s="5537"/>
      <c r="AM372" s="5537"/>
      <c r="AN372" s="4146"/>
      <c r="AO372" s="3948"/>
      <c r="AP372" s="5537"/>
      <c r="AQ372" s="5537"/>
      <c r="AR372" s="5462"/>
      <c r="AS372" s="5462"/>
      <c r="AT372" s="5462">
        <f t="shared" si="388"/>
        <v>0</v>
      </c>
      <c r="AU372" s="5566">
        <f t="shared" si="385"/>
        <v>0</v>
      </c>
      <c r="AW372" s="5536"/>
      <c r="AX372" s="5462"/>
      <c r="AY372" s="5462"/>
      <c r="AZ372" s="5537"/>
      <c r="BA372" s="5537"/>
      <c r="BB372" s="5537"/>
      <c r="BC372" s="4146"/>
      <c r="BD372" s="3948"/>
      <c r="BE372" s="5537"/>
      <c r="BF372" s="5537"/>
      <c r="BG372" s="5462"/>
      <c r="BH372" s="5462"/>
      <c r="BI372" s="5462">
        <f t="shared" si="389"/>
        <v>0</v>
      </c>
      <c r="BJ372" s="5566" t="e">
        <f t="shared" si="373"/>
        <v>#DIV/0!</v>
      </c>
      <c r="BL372" s="5536"/>
      <c r="BM372" s="5462">
        <v>0</v>
      </c>
      <c r="BN372" s="5462"/>
      <c r="BO372" s="5537"/>
      <c r="BP372" s="5537"/>
      <c r="BQ372" s="5537"/>
      <c r="BR372" s="4146"/>
      <c r="BS372" s="3948"/>
      <c r="BT372" s="5537"/>
      <c r="BU372" s="5537"/>
      <c r="BV372" s="5462"/>
      <c r="BW372" s="5462"/>
      <c r="BX372" s="5462">
        <f t="shared" si="390"/>
        <v>0</v>
      </c>
      <c r="BY372" s="5463">
        <f t="shared" si="391"/>
        <v>0</v>
      </c>
      <c r="CA372" s="169">
        <f t="shared" si="386"/>
        <v>0</v>
      </c>
      <c r="CB372" s="169" t="e">
        <f t="shared" si="392"/>
        <v>#DIV/0!</v>
      </c>
      <c r="CC372" s="169">
        <f>IFERROR(
  SUM(
    _xlfn.XLOOKUP(DATE(YEAR($A$1),1,1),$2:$2,372:372):
    _xlfn.XLOOKUP($A$1,$2:$2,372:372)
  )
 -SUM(
    _xlfn.XLOOKUP(DATE(YEAR($A$1)-1,1,1),$2:$2,372:372):
    _xlfn.XLOOKUP(EDATE($A$1,-12),$2:$2,372:372)
  ),"")</f>
        <v>0</v>
      </c>
      <c r="CD372" s="4517">
        <f t="shared" si="387"/>
        <v>0</v>
      </c>
      <c r="CE372" s="5459"/>
      <c r="CF372" s="5459"/>
    </row>
    <row r="373" spans="1:84" ht="17.600000000000001" x14ac:dyDescent="0.55000000000000004">
      <c r="A373" s="7347"/>
      <c r="B373" s="5464" t="s">
        <v>206</v>
      </c>
      <c r="C373" s="1799"/>
      <c r="D373" s="5538">
        <v>52.320512820512818</v>
      </c>
      <c r="E373" s="5539">
        <v>68.075949367088612</v>
      </c>
      <c r="F373" s="5539">
        <v>57.443037974683541</v>
      </c>
      <c r="G373" s="5539">
        <v>63.737499999999997</v>
      </c>
      <c r="H373" s="5539">
        <v>67.349999999999994</v>
      </c>
      <c r="I373" s="5539">
        <v>73.756410256410263</v>
      </c>
      <c r="J373" s="5539">
        <v>61.641025641025642</v>
      </c>
      <c r="K373" s="5539">
        <v>69.328947368421055</v>
      </c>
      <c r="L373" s="5539">
        <v>46.16</v>
      </c>
      <c r="M373" s="5539">
        <v>73.13513513513513</v>
      </c>
      <c r="N373" s="5539">
        <v>49.213333333333331</v>
      </c>
      <c r="O373" s="5539">
        <v>43.828947368421055</v>
      </c>
      <c r="P373" s="5539">
        <v>725.99079926503134</v>
      </c>
      <c r="Q373" s="5540">
        <v>60.499233272085945</v>
      </c>
      <c r="R373" s="2776"/>
      <c r="S373" s="5538">
        <v>47.266666666666666</v>
      </c>
      <c r="T373" s="5539">
        <v>57.96</v>
      </c>
      <c r="U373" s="5539">
        <v>43.723684210526315</v>
      </c>
      <c r="V373" s="5539">
        <v>46.6</v>
      </c>
      <c r="W373" s="5539">
        <v>48.547945205479451</v>
      </c>
      <c r="X373" s="5539">
        <v>43.756756756756758</v>
      </c>
      <c r="Y373" s="5539">
        <v>54.911764705882355</v>
      </c>
      <c r="Z373" s="5539">
        <v>69.289855072463766</v>
      </c>
      <c r="AA373" s="5539">
        <v>44.739130434782609</v>
      </c>
      <c r="AB373" s="5539">
        <v>65.028571428571425</v>
      </c>
      <c r="AC373" s="5539">
        <v>45.814285714285717</v>
      </c>
      <c r="AD373" s="5539">
        <v>39.073529411764703</v>
      </c>
      <c r="AE373" s="5539">
        <v>606.71218960717988</v>
      </c>
      <c r="AF373" s="5540">
        <v>50.559349133931654</v>
      </c>
      <c r="AG373" s="2776"/>
      <c r="AH373" s="5538">
        <v>62.779411764705884</v>
      </c>
      <c r="AI373" s="5539">
        <v>44.623188405797102</v>
      </c>
      <c r="AJ373" s="5539">
        <v>53.161764705882355</v>
      </c>
      <c r="AK373" s="5539">
        <v>52.956521739130437</v>
      </c>
      <c r="AL373" s="5539">
        <v>60.085714285714289</v>
      </c>
      <c r="AM373" s="5539">
        <v>54.132352941176471</v>
      </c>
      <c r="AN373" s="5541">
        <v>68.130434782608702</v>
      </c>
      <c r="AO373" s="5572">
        <v>57.275362318840578</v>
      </c>
      <c r="AP373" s="5539">
        <v>59.409090909090907</v>
      </c>
      <c r="AQ373" s="5539">
        <v>57.544117647058826</v>
      </c>
      <c r="AR373" s="5466">
        <v>54.318840579710148</v>
      </c>
      <c r="AS373" s="5466">
        <v>41.239436619718312</v>
      </c>
      <c r="AT373" s="5539">
        <f t="shared" si="388"/>
        <v>665.65623669943386</v>
      </c>
      <c r="AU373" s="5540">
        <f t="shared" si="385"/>
        <v>55.471353058286155</v>
      </c>
      <c r="AW373" s="5538">
        <v>40.513888888888886</v>
      </c>
      <c r="AX373" s="5539">
        <v>63.297297297297298</v>
      </c>
      <c r="AY373" s="5539">
        <v>47.152777777777779</v>
      </c>
      <c r="AZ373" s="5539">
        <v>57.222222222222221</v>
      </c>
      <c r="BA373" s="5539">
        <v>97.328571428571422</v>
      </c>
      <c r="BB373" s="5539">
        <v>67.522388059701498</v>
      </c>
      <c r="BC373" s="5541">
        <v>83.92307692307692</v>
      </c>
      <c r="BD373" s="5572">
        <v>63.90625</v>
      </c>
      <c r="BE373" s="5539">
        <v>75.596774193548384</v>
      </c>
      <c r="BF373" s="5539">
        <v>68.285714285714292</v>
      </c>
      <c r="BG373" s="5466">
        <v>67.433333333333337</v>
      </c>
      <c r="BH373" s="5466">
        <v>70.4375</v>
      </c>
      <c r="BI373" s="5539">
        <f t="shared" si="389"/>
        <v>802.61979441013204</v>
      </c>
      <c r="BJ373" s="5540">
        <f t="shared" si="373"/>
        <v>66.884982867510999</v>
      </c>
      <c r="BL373" s="5538">
        <v>119.88709677419355</v>
      </c>
      <c r="BM373" s="5539">
        <v>55.193548387096776</v>
      </c>
      <c r="BN373" s="5539"/>
      <c r="BO373" s="5539"/>
      <c r="BP373" s="5539"/>
      <c r="BQ373" s="5539"/>
      <c r="BR373" s="5541"/>
      <c r="BS373" s="5572"/>
      <c r="BT373" s="5539"/>
      <c r="BU373" s="5539"/>
      <c r="BV373" s="5466"/>
      <c r="BW373" s="5466"/>
      <c r="BX373" s="5539">
        <f t="shared" si="390"/>
        <v>175.08064516129033</v>
      </c>
      <c r="BY373" s="5467">
        <f t="shared" si="391"/>
        <v>87.540322580645167</v>
      </c>
      <c r="CA373" s="169">
        <f t="shared" si="386"/>
        <v>-8.1037489102005225</v>
      </c>
      <c r="CB373" s="169">
        <f t="shared" si="392"/>
        <v>11.413629809224844</v>
      </c>
      <c r="CC373" s="169">
        <f>IFERROR(
  SUM(
    _xlfn.XLOOKUP(DATE(YEAR($A$1),1,1),$2:$2,373:373):
    _xlfn.XLOOKUP($A$1,$2:$2,373:373)
  )
 -SUM(
    _xlfn.XLOOKUP(DATE(YEAR($A$1)-1,1,1),$2:$2,373:373):
    _xlfn.XLOOKUP(EDATE($A$1,-12),$2:$2,373:373)
  ),"")</f>
        <v>71.269458975104158</v>
      </c>
      <c r="CD373" s="4517">
        <f t="shared" si="387"/>
        <v>-64.693548387096769</v>
      </c>
      <c r="CE373" s="5459"/>
      <c r="CF373" s="5459"/>
    </row>
    <row r="374" spans="1:84" ht="17.600000000000001" x14ac:dyDescent="0.55000000000000004">
      <c r="A374" s="7347"/>
      <c r="B374" s="5468" t="s">
        <v>207</v>
      </c>
      <c r="C374" s="1576"/>
      <c r="D374" s="5542">
        <v>46.372881355932201</v>
      </c>
      <c r="E374" s="5355">
        <v>70.929824561403507</v>
      </c>
      <c r="F374" s="5355">
        <v>56.896551724137929</v>
      </c>
      <c r="G374" s="5355">
        <v>65.067796610169495</v>
      </c>
      <c r="H374" s="5355">
        <v>66.186440677966104</v>
      </c>
      <c r="I374" s="5355">
        <v>63.392857142857146</v>
      </c>
      <c r="J374" s="5355">
        <v>56.636363636363633</v>
      </c>
      <c r="K374" s="5355">
        <v>75.075471698113205</v>
      </c>
      <c r="L374" s="5355">
        <v>50.490196078431374</v>
      </c>
      <c r="M374" s="5355">
        <v>68.411764705882348</v>
      </c>
      <c r="N374" s="5355">
        <v>50.134615384615387</v>
      </c>
      <c r="O374" s="5355">
        <v>47.102040816326529</v>
      </c>
      <c r="P374" s="5355">
        <v>716.69680439219883</v>
      </c>
      <c r="Q374" s="5543">
        <v>59.724733699349905</v>
      </c>
      <c r="R374" s="2776"/>
      <c r="S374" s="5542">
        <v>54.127659574468083</v>
      </c>
      <c r="T374" s="5355">
        <v>61.0625</v>
      </c>
      <c r="U374" s="5355">
        <v>42.1875</v>
      </c>
      <c r="V374" s="5355">
        <v>37.520833333333336</v>
      </c>
      <c r="W374" s="5355">
        <v>46.659090909090907</v>
      </c>
      <c r="X374" s="5355">
        <v>46.720930232558139</v>
      </c>
      <c r="Y374" s="5355">
        <v>50.266666666666666</v>
      </c>
      <c r="Z374" s="5355">
        <v>71.511627906976742</v>
      </c>
      <c r="AA374" s="5355">
        <v>48.090909090909093</v>
      </c>
      <c r="AB374" s="5355">
        <v>71.20930232558139</v>
      </c>
      <c r="AC374" s="5355">
        <v>53.952380952380949</v>
      </c>
      <c r="AD374" s="5355">
        <v>41.711111111111109</v>
      </c>
      <c r="AE374" s="5355">
        <v>625.02051210307638</v>
      </c>
      <c r="AF374" s="5543">
        <v>52.085042675256368</v>
      </c>
      <c r="AG374" s="2776"/>
      <c r="AH374" s="5542">
        <v>62.522727272727273</v>
      </c>
      <c r="AI374" s="5355">
        <v>48.133333333333333</v>
      </c>
      <c r="AJ374" s="5355">
        <v>55.4</v>
      </c>
      <c r="AK374" s="5355">
        <v>50.04</v>
      </c>
      <c r="AL374" s="5355">
        <v>56.68</v>
      </c>
      <c r="AM374" s="5355">
        <v>55.659574468085104</v>
      </c>
      <c r="AN374" s="5544">
        <v>66.770833333333329</v>
      </c>
      <c r="AO374" s="5573">
        <v>58.382978723404257</v>
      </c>
      <c r="AP374" s="5355">
        <v>64</v>
      </c>
      <c r="AQ374" s="5355">
        <v>58.375</v>
      </c>
      <c r="AR374" s="2636">
        <v>56.043478260869563</v>
      </c>
      <c r="AS374" s="2636">
        <v>48.108695652173914</v>
      </c>
      <c r="AT374" s="5355">
        <f t="shared" si="388"/>
        <v>680.11662104392678</v>
      </c>
      <c r="AU374" s="5543">
        <f t="shared" si="385"/>
        <v>56.676385086993896</v>
      </c>
      <c r="AW374" s="5542">
        <v>41.208333333333336</v>
      </c>
      <c r="AX374" s="5355">
        <v>69.020408163265301</v>
      </c>
      <c r="AY374" s="5355">
        <v>47.604166666666664</v>
      </c>
      <c r="AZ374" s="5355">
        <v>57.130434782608695</v>
      </c>
      <c r="BA374" s="5355">
        <v>103</v>
      </c>
      <c r="BB374" s="5355">
        <v>70.822222222222223</v>
      </c>
      <c r="BC374" s="5544">
        <v>81.227272727272734</v>
      </c>
      <c r="BD374" s="5573">
        <v>71.840909090909093</v>
      </c>
      <c r="BE374" s="5355">
        <v>80.302325581395351</v>
      </c>
      <c r="BF374" s="5355">
        <v>86.58536585365853</v>
      </c>
      <c r="BG374" s="2636">
        <v>79.20930232558139</v>
      </c>
      <c r="BH374" s="2636">
        <v>70.659090909090907</v>
      </c>
      <c r="BI374" s="5355">
        <f t="shared" si="389"/>
        <v>858.6098316560043</v>
      </c>
      <c r="BJ374" s="5543">
        <f t="shared" si="373"/>
        <v>71.55081930466703</v>
      </c>
      <c r="BL374" s="5542">
        <v>106.08888888888889</v>
      </c>
      <c r="BM374" s="5355">
        <v>50.2</v>
      </c>
      <c r="BN374" s="5355"/>
      <c r="BO374" s="5355"/>
      <c r="BP374" s="5355"/>
      <c r="BQ374" s="5355"/>
      <c r="BR374" s="5544"/>
      <c r="BS374" s="5573"/>
      <c r="BT374" s="5355"/>
      <c r="BU374" s="5355"/>
      <c r="BV374" s="2636"/>
      <c r="BW374" s="2636"/>
      <c r="BX374" s="5355">
        <f t="shared" si="390"/>
        <v>156.28888888888889</v>
      </c>
      <c r="BY374" s="5470">
        <f t="shared" si="391"/>
        <v>78.144444444444446</v>
      </c>
      <c r="CA374" s="169">
        <f t="shared" si="386"/>
        <v>-18.820408163265299</v>
      </c>
      <c r="CB374" s="169">
        <f t="shared" si="392"/>
        <v>14.874434217673134</v>
      </c>
      <c r="CC374" s="169">
        <f>IFERROR(
  SUM(
    _xlfn.XLOOKUP(DATE(YEAR($A$1),1,1),$2:$2,374:374):
    _xlfn.XLOOKUP($A$1,$2:$2,374:374)
  )
 -SUM(
    _xlfn.XLOOKUP(DATE(YEAR($A$1)-1,1,1),$2:$2,374:374):
    _xlfn.XLOOKUP(EDATE($A$1,-12),$2:$2,374:374)
  ),"")</f>
        <v>46.060147392290247</v>
      </c>
      <c r="CD374" s="4517">
        <f t="shared" si="387"/>
        <v>-55.888888888888886</v>
      </c>
      <c r="CE374" s="5459"/>
      <c r="CF374" s="5459"/>
    </row>
    <row r="375" spans="1:84" ht="17.600000000000001" x14ac:dyDescent="0.55000000000000004">
      <c r="A375" s="7347"/>
      <c r="B375" s="5468" t="s">
        <v>208</v>
      </c>
      <c r="C375" s="1576"/>
      <c r="D375" s="5542">
        <v>45.637931034482762</v>
      </c>
      <c r="E375" s="5355">
        <v>57.620689655172413</v>
      </c>
      <c r="F375" s="5355">
        <v>56.272727272727273</v>
      </c>
      <c r="G375" s="5355">
        <v>56.946428571428569</v>
      </c>
      <c r="H375" s="5355">
        <v>60.821428571428569</v>
      </c>
      <c r="I375" s="5355">
        <v>62.055555555555557</v>
      </c>
      <c r="J375" s="5355">
        <v>63.627450980392155</v>
      </c>
      <c r="K375" s="5355">
        <v>76.921568627450981</v>
      </c>
      <c r="L375" s="5355">
        <v>49.12</v>
      </c>
      <c r="M375" s="5355">
        <v>68.156862745098039</v>
      </c>
      <c r="N375" s="5355">
        <v>43.5</v>
      </c>
      <c r="O375" s="5355">
        <v>42.5</v>
      </c>
      <c r="P375" s="5355">
        <v>683.18064301373624</v>
      </c>
      <c r="Q375" s="5543">
        <v>56.931720251144689</v>
      </c>
      <c r="R375" s="2776"/>
      <c r="S375" s="5542">
        <v>42.490909090909092</v>
      </c>
      <c r="T375" s="5355">
        <v>46.672727272727272</v>
      </c>
      <c r="U375" s="5355">
        <v>40.910714285714285</v>
      </c>
      <c r="V375" s="5355">
        <v>41.42307692307692</v>
      </c>
      <c r="W375" s="5355">
        <v>47.957446808510639</v>
      </c>
      <c r="X375" s="5355">
        <v>44.148936170212764</v>
      </c>
      <c r="Y375" s="5355">
        <v>53.734693877551024</v>
      </c>
      <c r="Z375" s="5355">
        <v>66.891304347826093</v>
      </c>
      <c r="AA375" s="5355">
        <v>44.521739130434781</v>
      </c>
      <c r="AB375" s="5355">
        <v>61.255319148936174</v>
      </c>
      <c r="AC375" s="5355">
        <v>45.804347826086953</v>
      </c>
      <c r="AD375" s="5355">
        <v>36.346938775510203</v>
      </c>
      <c r="AE375" s="5355">
        <v>572.1581536574962</v>
      </c>
      <c r="AF375" s="5543">
        <v>47.679846138124681</v>
      </c>
      <c r="AG375" s="2776"/>
      <c r="AH375" s="5542">
        <v>48.8</v>
      </c>
      <c r="AI375" s="5355">
        <v>46.978260869565219</v>
      </c>
      <c r="AJ375" s="5355">
        <v>49.652173913043477</v>
      </c>
      <c r="AK375" s="5355">
        <v>52.155555555555559</v>
      </c>
      <c r="AL375" s="5355">
        <v>66.409090909090907</v>
      </c>
      <c r="AM375" s="5355">
        <v>66.674418604651166</v>
      </c>
      <c r="AN375" s="5544">
        <v>81.853658536585371</v>
      </c>
      <c r="AO375" s="5573">
        <v>62.88095238095238</v>
      </c>
      <c r="AP375" s="5355">
        <v>60.93181818181818</v>
      </c>
      <c r="AQ375" s="5355">
        <v>66.255813953488371</v>
      </c>
      <c r="AR375" s="2636">
        <v>55.288888888888891</v>
      </c>
      <c r="AS375" s="2636">
        <v>45.8</v>
      </c>
      <c r="AT375" s="5355">
        <f t="shared" si="388"/>
        <v>703.68063179363946</v>
      </c>
      <c r="AU375" s="5543">
        <f t="shared" si="385"/>
        <v>58.640052649469958</v>
      </c>
      <c r="AW375" s="5542">
        <v>48.545454545454547</v>
      </c>
      <c r="AX375" s="5355">
        <v>78.952380952380949</v>
      </c>
      <c r="AY375" s="5355">
        <v>62.272727272727273</v>
      </c>
      <c r="AZ375" s="5355">
        <v>68.266666666666666</v>
      </c>
      <c r="BA375" s="5355">
        <v>112.79069767441861</v>
      </c>
      <c r="BB375" s="5355">
        <v>86.924999999999997</v>
      </c>
      <c r="BC375" s="5544">
        <v>97.139534883720927</v>
      </c>
      <c r="BD375" s="5573">
        <v>77.069767441860463</v>
      </c>
      <c r="BE375" s="5355">
        <v>80.355555555555554</v>
      </c>
      <c r="BF375" s="5355">
        <v>84.840909090909093</v>
      </c>
      <c r="BG375" s="2636">
        <v>72.95</v>
      </c>
      <c r="BH375" s="2636">
        <v>86.073170731707322</v>
      </c>
      <c r="BI375" s="5355">
        <f t="shared" si="389"/>
        <v>956.18186481540147</v>
      </c>
      <c r="BJ375" s="5543">
        <f t="shared" si="373"/>
        <v>79.681822067950122</v>
      </c>
      <c r="BL375" s="5542">
        <v>137.35</v>
      </c>
      <c r="BM375" s="5355">
        <v>59.575000000000003</v>
      </c>
      <c r="BN375" s="5355"/>
      <c r="BO375" s="5355"/>
      <c r="BP375" s="5355"/>
      <c r="BQ375" s="5355"/>
      <c r="BR375" s="5544"/>
      <c r="BS375" s="5573"/>
      <c r="BT375" s="5355"/>
      <c r="BU375" s="5355"/>
      <c r="BV375" s="2636"/>
      <c r="BW375" s="2636"/>
      <c r="BX375" s="5355">
        <f t="shared" si="390"/>
        <v>196.92500000000001</v>
      </c>
      <c r="BY375" s="5470">
        <f t="shared" si="391"/>
        <v>98.462500000000006</v>
      </c>
      <c r="CA375" s="169">
        <f t="shared" si="386"/>
        <v>-19.377380952380946</v>
      </c>
      <c r="CB375" s="169">
        <f t="shared" si="392"/>
        <v>21.041769418480165</v>
      </c>
      <c r="CC375" s="169">
        <f>IFERROR(
  SUM(
    _xlfn.XLOOKUP(DATE(YEAR($A$1),1,1),$2:$2,375:375):
    _xlfn.XLOOKUP($A$1,$2:$2,375:375)
  )
 -SUM(
    _xlfn.XLOOKUP(DATE(YEAR($A$1)-1,1,1),$2:$2,375:375):
    _xlfn.XLOOKUP(EDATE($A$1,-12),$2:$2,375:375)
  ),"")</f>
        <v>69.427164502164516</v>
      </c>
      <c r="CD375" s="4517">
        <f t="shared" si="387"/>
        <v>-77.774999999999991</v>
      </c>
      <c r="CE375" s="5459"/>
      <c r="CF375" s="5459"/>
    </row>
    <row r="376" spans="1:84" ht="17.600000000000001" x14ac:dyDescent="0.55000000000000004">
      <c r="A376" s="7347"/>
      <c r="B376" s="5468" t="s">
        <v>209</v>
      </c>
      <c r="C376" s="1576"/>
      <c r="D376" s="5542">
        <v>51.271929824561404</v>
      </c>
      <c r="E376" s="5355">
        <v>63.912280701754383</v>
      </c>
      <c r="F376" s="5355">
        <v>58.429824561403507</v>
      </c>
      <c r="G376" s="5355">
        <v>60.03448275862069</v>
      </c>
      <c r="H376" s="5355">
        <v>60.982758620689658</v>
      </c>
      <c r="I376" s="5355">
        <v>51.956140350877192</v>
      </c>
      <c r="J376" s="5355">
        <v>51.035087719298247</v>
      </c>
      <c r="K376" s="5355">
        <v>53.279661016949156</v>
      </c>
      <c r="L376" s="5355">
        <v>41.120689655172413</v>
      </c>
      <c r="M376" s="5355">
        <v>55.991304347826087</v>
      </c>
      <c r="N376" s="5355">
        <v>40.702702702702702</v>
      </c>
      <c r="O376" s="5355">
        <v>32.223214285714285</v>
      </c>
      <c r="P376" s="5355">
        <v>620.9400765455697</v>
      </c>
      <c r="Q376" s="5543">
        <v>51.745006378797477</v>
      </c>
      <c r="R376" s="2776"/>
      <c r="S376" s="5542">
        <v>41.733333333333334</v>
      </c>
      <c r="T376" s="5355">
        <v>52.160377358490564</v>
      </c>
      <c r="U376" s="5355">
        <v>41.574074074074076</v>
      </c>
      <c r="V376" s="5355">
        <v>43.58653846153846</v>
      </c>
      <c r="W376" s="5355">
        <v>46.27</v>
      </c>
      <c r="X376" s="5355">
        <v>41.068627450980394</v>
      </c>
      <c r="Y376" s="5355">
        <v>43.188679245283019</v>
      </c>
      <c r="Z376" s="5355">
        <v>59.28155339805825</v>
      </c>
      <c r="AA376" s="5355">
        <v>42.686274509803923</v>
      </c>
      <c r="AB376" s="5355">
        <v>56.029702970297031</v>
      </c>
      <c r="AC376" s="5355">
        <v>43.17</v>
      </c>
      <c r="AD376" s="5355">
        <v>34.387755102040813</v>
      </c>
      <c r="AE376" s="5355">
        <v>545.13691590389988</v>
      </c>
      <c r="AF376" s="5543">
        <v>45.428076325324987</v>
      </c>
      <c r="AG376" s="2776"/>
      <c r="AH376" s="5542">
        <v>56.797979797979799</v>
      </c>
      <c r="AI376" s="5355">
        <v>46.59375</v>
      </c>
      <c r="AJ376" s="5355">
        <v>49.536082474226802</v>
      </c>
      <c r="AK376" s="5355">
        <v>50.051020408163268</v>
      </c>
      <c r="AL376" s="5355">
        <v>52.25</v>
      </c>
      <c r="AM376" s="5355">
        <v>47.473684210526315</v>
      </c>
      <c r="AN376" s="5544">
        <v>57</v>
      </c>
      <c r="AO376" s="5573">
        <v>46.612903225806448</v>
      </c>
      <c r="AP376" s="5355">
        <v>58.494623655913976</v>
      </c>
      <c r="AQ376" s="5355">
        <v>53.855670103092784</v>
      </c>
      <c r="AR376" s="2636">
        <v>59.737373737373737</v>
      </c>
      <c r="AS376" s="2636">
        <v>52.383838383838381</v>
      </c>
      <c r="AT376" s="5355">
        <f t="shared" si="388"/>
        <v>630.78692599692147</v>
      </c>
      <c r="AU376" s="5543">
        <f t="shared" si="385"/>
        <v>52.565577166410122</v>
      </c>
      <c r="AW376" s="5542">
        <v>52.941747572815537</v>
      </c>
      <c r="AX376" s="5355">
        <v>78.84466019417475</v>
      </c>
      <c r="AY376" s="5355">
        <v>58.23</v>
      </c>
      <c r="AZ376" s="5355">
        <v>85.515463917525778</v>
      </c>
      <c r="BA376" s="5355">
        <v>120.43877551020408</v>
      </c>
      <c r="BB376" s="5355">
        <v>111.18279569892474</v>
      </c>
      <c r="BC376" s="5544">
        <v>117.15463917525773</v>
      </c>
      <c r="BD376" s="5573">
        <v>87.438775510204081</v>
      </c>
      <c r="BE376" s="5355">
        <v>87.009803921568633</v>
      </c>
      <c r="BF376" s="5355">
        <v>97.90625</v>
      </c>
      <c r="BG376" s="2636">
        <v>70.739999999999995</v>
      </c>
      <c r="BH376" s="2636">
        <v>81.371134020618555</v>
      </c>
      <c r="BI376" s="5355">
        <f t="shared" si="389"/>
        <v>1048.7740455212938</v>
      </c>
      <c r="BJ376" s="5543">
        <f t="shared" si="373"/>
        <v>87.39783712677449</v>
      </c>
      <c r="BL376" s="5542">
        <v>123.86315789473684</v>
      </c>
      <c r="BM376" s="5355">
        <v>58.768421052631581</v>
      </c>
      <c r="BN376" s="5355"/>
      <c r="BO376" s="5355"/>
      <c r="BP376" s="5355"/>
      <c r="BQ376" s="5355"/>
      <c r="BR376" s="5544"/>
      <c r="BS376" s="5573"/>
      <c r="BT376" s="5355"/>
      <c r="BU376" s="5355"/>
      <c r="BV376" s="2636"/>
      <c r="BW376" s="2636"/>
      <c r="BX376" s="5355">
        <f t="shared" si="390"/>
        <v>182.63157894736844</v>
      </c>
      <c r="BY376" s="5470">
        <f t="shared" si="391"/>
        <v>91.31578947368422</v>
      </c>
      <c r="CA376" s="169">
        <f t="shared" si="386"/>
        <v>-20.076239141543169</v>
      </c>
      <c r="CB376" s="169">
        <f t="shared" si="392"/>
        <v>34.832259960364368</v>
      </c>
      <c r="CC376" s="169">
        <f>IFERROR(
  SUM(
    _xlfn.XLOOKUP(DATE(YEAR($A$1),1,1),$2:$2,376:376):
    _xlfn.XLOOKUP($A$1,$2:$2,376:376)
  )
 -SUM(
    _xlfn.XLOOKUP(DATE(YEAR($A$1)-1,1,1),$2:$2,376:376):
    _xlfn.XLOOKUP(EDATE($A$1,-12),$2:$2,376:376)
  ),"")</f>
        <v>50.845171180378145</v>
      </c>
      <c r="CD376" s="4517">
        <f t="shared" si="387"/>
        <v>-65.094736842105263</v>
      </c>
      <c r="CE376" s="5459"/>
      <c r="CF376" s="5459"/>
    </row>
    <row r="377" spans="1:84" ht="17.600000000000001" x14ac:dyDescent="0.55000000000000004">
      <c r="A377" s="7347"/>
      <c r="B377" s="5471" t="s">
        <v>210</v>
      </c>
      <c r="C377" s="1813"/>
      <c r="D377" s="5545">
        <v>74.515151515151516</v>
      </c>
      <c r="E377" s="5546">
        <v>82.191489361702125</v>
      </c>
      <c r="F377" s="5546">
        <v>72.61702127659575</v>
      </c>
      <c r="G377" s="5546">
        <v>78.2</v>
      </c>
      <c r="H377" s="5546">
        <v>83.544444444444451</v>
      </c>
      <c r="I377" s="5546">
        <v>73.692307692307693</v>
      </c>
      <c r="J377" s="5546">
        <v>65.989583333333329</v>
      </c>
      <c r="K377" s="5546">
        <v>71.371134020618555</v>
      </c>
      <c r="L377" s="5546">
        <v>52.48936170212766</v>
      </c>
      <c r="M377" s="5546">
        <v>78.946236559139791</v>
      </c>
      <c r="N377" s="5546">
        <v>58.891304347826086</v>
      </c>
      <c r="O377" s="5546">
        <v>51.06315789473684</v>
      </c>
      <c r="P377" s="5546">
        <v>843.51119214798382</v>
      </c>
      <c r="Q377" s="5547">
        <v>70.292599345665323</v>
      </c>
      <c r="R377" s="2776"/>
      <c r="S377" s="5545">
        <v>59.172043010752688</v>
      </c>
      <c r="T377" s="5546">
        <v>68.41935483870968</v>
      </c>
      <c r="U377" s="5546">
        <v>58.797752808988761</v>
      </c>
      <c r="V377" s="5546">
        <v>56.888888888888886</v>
      </c>
      <c r="W377" s="5546">
        <v>54.119565217391305</v>
      </c>
      <c r="X377" s="5546">
        <v>53.367816091954026</v>
      </c>
      <c r="Y377" s="5546">
        <v>60.581395348837212</v>
      </c>
      <c r="Z377" s="5546">
        <v>81.58536585365853</v>
      </c>
      <c r="AA377" s="5546">
        <v>59.195121951219512</v>
      </c>
      <c r="AB377" s="5546">
        <v>70.164705882352948</v>
      </c>
      <c r="AC377" s="5546">
        <v>52.264367816091955</v>
      </c>
      <c r="AD377" s="5546">
        <v>44.379310344827587</v>
      </c>
      <c r="AE377" s="5546">
        <v>718.93568805367295</v>
      </c>
      <c r="AF377" s="5547">
        <v>59.911307337806079</v>
      </c>
      <c r="AG377" s="2776"/>
      <c r="AH377" s="5545">
        <v>69.552941176470583</v>
      </c>
      <c r="AI377" s="5546">
        <v>56.623529411764707</v>
      </c>
      <c r="AJ377" s="5546">
        <v>63.231707317073173</v>
      </c>
      <c r="AK377" s="5546">
        <v>63.594936708860757</v>
      </c>
      <c r="AL377" s="5546">
        <v>64.599999999999994</v>
      </c>
      <c r="AM377" s="5546">
        <v>61.924999999999997</v>
      </c>
      <c r="AN377" s="5548">
        <v>74.131578947368425</v>
      </c>
      <c r="AO377" s="5574">
        <v>52.632911392405063</v>
      </c>
      <c r="AP377" s="5546">
        <v>68.177215189873422</v>
      </c>
      <c r="AQ377" s="5546">
        <v>67.506493506493513</v>
      </c>
      <c r="AR377" s="5473">
        <v>69.160493827160494</v>
      </c>
      <c r="AS377" s="5473">
        <v>57.6875</v>
      </c>
      <c r="AT377" s="5546">
        <f t="shared" si="388"/>
        <v>768.82430747747014</v>
      </c>
      <c r="AU377" s="5547">
        <f t="shared" si="385"/>
        <v>64.068692289789183</v>
      </c>
      <c r="AW377" s="5545">
        <v>60.96153846153846</v>
      </c>
      <c r="AX377" s="5546">
        <v>84.168831168831176</v>
      </c>
      <c r="AY377" s="5546">
        <v>66.513157894736835</v>
      </c>
      <c r="AZ377" s="5546">
        <v>80.064935064935071</v>
      </c>
      <c r="BA377" s="5546">
        <v>112.78666666666666</v>
      </c>
      <c r="BB377" s="5546">
        <v>89.84210526315789</v>
      </c>
      <c r="BC377" s="5548">
        <v>121.5</v>
      </c>
      <c r="BD377" s="5574">
        <v>85.590909090909093</v>
      </c>
      <c r="BE377" s="5546">
        <v>108.78333333333333</v>
      </c>
      <c r="BF377" s="5546">
        <v>88.939393939393938</v>
      </c>
      <c r="BG377" s="5473">
        <v>72.507042253521121</v>
      </c>
      <c r="BH377" s="5473">
        <v>69.876712328767127</v>
      </c>
      <c r="BI377" s="5546">
        <f t="shared" si="389"/>
        <v>1041.5346254657907</v>
      </c>
      <c r="BJ377" s="5547">
        <f t="shared" si="373"/>
        <v>86.794552122149227</v>
      </c>
      <c r="BL377" s="5545">
        <v>115.22535211267606</v>
      </c>
      <c r="BM377" s="5546">
        <v>52.676056338028168</v>
      </c>
      <c r="BN377" s="5546"/>
      <c r="BO377" s="5546"/>
      <c r="BP377" s="5546"/>
      <c r="BQ377" s="5546"/>
      <c r="BR377" s="5548"/>
      <c r="BS377" s="5574"/>
      <c r="BT377" s="5546"/>
      <c r="BU377" s="5546"/>
      <c r="BV377" s="5473"/>
      <c r="BW377" s="5473"/>
      <c r="BX377" s="5546">
        <f t="shared" si="390"/>
        <v>167.90140845070422</v>
      </c>
      <c r="BY377" s="5474">
        <f t="shared" si="391"/>
        <v>83.950704225352112</v>
      </c>
      <c r="CA377" s="169">
        <f t="shared" si="386"/>
        <v>-31.492774830803008</v>
      </c>
      <c r="CB377" s="169">
        <f t="shared" si="392"/>
        <v>22.725859832360044</v>
      </c>
      <c r="CC377" s="169">
        <f>IFERROR(
  SUM(
    _xlfn.XLOOKUP(DATE(YEAR($A$1),1,1),$2:$2,377:377):
    _xlfn.XLOOKUP($A$1,$2:$2,377:377)
  )
 -SUM(
    _xlfn.XLOOKUP(DATE(YEAR($A$1)-1,1,1),$2:$2,377:377):
    _xlfn.XLOOKUP(EDATE($A$1,-12),$2:$2,377:377)
  ),"")</f>
        <v>22.771038820334581</v>
      </c>
      <c r="CD377" s="4517">
        <f t="shared" si="387"/>
        <v>-62.549295774647895</v>
      </c>
      <c r="CE377" s="5459"/>
      <c r="CF377" s="5459"/>
    </row>
    <row r="378" spans="1:84" s="698" customFormat="1" ht="17.600000000000001" x14ac:dyDescent="0.55000000000000004">
      <c r="A378" s="7347"/>
      <c r="B378" s="5475"/>
      <c r="C378" s="2156" t="s">
        <v>226</v>
      </c>
      <c r="D378" s="5549">
        <v>45.857142857142854</v>
      </c>
      <c r="E378" s="5550">
        <v>62.392857142857146</v>
      </c>
      <c r="F378" s="5550">
        <v>53.745454545454542</v>
      </c>
      <c r="G378" s="5550">
        <v>59.839285714285715</v>
      </c>
      <c r="H378" s="5550">
        <v>63.160714285714285</v>
      </c>
      <c r="I378" s="5550">
        <v>69.981481481481481</v>
      </c>
      <c r="J378" s="5550">
        <v>62.150943396226417</v>
      </c>
      <c r="K378" s="5550">
        <v>70.288461538461533</v>
      </c>
      <c r="L378" s="5550">
        <v>46.769230769230766</v>
      </c>
      <c r="M378" s="5550">
        <v>71.35849056603773</v>
      </c>
      <c r="N378" s="5550">
        <v>47.811320754716981</v>
      </c>
      <c r="O378" s="5550">
        <v>45.566037735849058</v>
      </c>
      <c r="P378" s="5550">
        <f t="shared" ref="P378:P384" si="401">SUM(D378:O378)</f>
        <v>698.92142078745849</v>
      </c>
      <c r="Q378" s="5551">
        <f t="shared" ref="Q378:Q384" si="402">P378/12</f>
        <v>58.243451732288207</v>
      </c>
      <c r="R378" s="5479"/>
      <c r="S378" s="5549">
        <v>46.592592592592595</v>
      </c>
      <c r="T378" s="5550">
        <v>57.166666666666664</v>
      </c>
      <c r="U378" s="5550">
        <v>42.888888888888886</v>
      </c>
      <c r="V378" s="5550">
        <v>46.471698113207545</v>
      </c>
      <c r="W378" s="5550">
        <v>48.57692307692308</v>
      </c>
      <c r="X378" s="5550">
        <v>44.568627450980394</v>
      </c>
      <c r="Y378" s="5550">
        <v>56.340425531914896</v>
      </c>
      <c r="Z378" s="5550">
        <v>69</v>
      </c>
      <c r="AA378" s="5550">
        <v>45</v>
      </c>
      <c r="AB378" s="5550">
        <v>65.4375</v>
      </c>
      <c r="AC378" s="5550">
        <v>46.854166666666664</v>
      </c>
      <c r="AD378" s="5550">
        <v>38.446808510638299</v>
      </c>
      <c r="AE378" s="5550">
        <f t="shared" ref="AE378:AE384" si="403">SUM(S378:AD378)</f>
        <v>607.34429749847902</v>
      </c>
      <c r="AF378" s="5551">
        <f t="shared" ref="AF378:AF384" si="404">AE378/12</f>
        <v>50.612024791539916</v>
      </c>
      <c r="AG378" s="5479"/>
      <c r="AH378" s="5549">
        <v>62.468085106382979</v>
      </c>
      <c r="AI378" s="5550">
        <v>44.808510638297875</v>
      </c>
      <c r="AJ378" s="5550">
        <v>56.608695652173914</v>
      </c>
      <c r="AK378" s="5550">
        <v>54.652173913043477</v>
      </c>
      <c r="AL378" s="5550">
        <v>63.361702127659576</v>
      </c>
      <c r="AM378" s="5550">
        <v>57.6</v>
      </c>
      <c r="AN378" s="5552">
        <v>71.733333333333334</v>
      </c>
      <c r="AO378" s="5575">
        <v>60.043478260869563</v>
      </c>
      <c r="AP378" s="5550">
        <v>60.977777777777774</v>
      </c>
      <c r="AQ378" s="5550">
        <v>61.695652173913047</v>
      </c>
      <c r="AR378" s="5477">
        <v>56.479166666666664</v>
      </c>
      <c r="AS378" s="5477">
        <v>42.583333333333336</v>
      </c>
      <c r="AT378" s="5550">
        <f t="shared" si="388"/>
        <v>693.01190898345158</v>
      </c>
      <c r="AU378" s="5551">
        <f t="shared" si="385"/>
        <v>57.750992415287634</v>
      </c>
      <c r="AW378" s="5549">
        <v>42.836734693877553</v>
      </c>
      <c r="AX378" s="5550">
        <v>65.78</v>
      </c>
      <c r="AY378" s="5550">
        <v>48.541666666666664</v>
      </c>
      <c r="AZ378" s="5550">
        <v>60.0625</v>
      </c>
      <c r="BA378" s="5550">
        <v>95.469387755102048</v>
      </c>
      <c r="BB378" s="5550">
        <v>67.260869565217391</v>
      </c>
      <c r="BC378" s="5552">
        <v>83.92307692307692</v>
      </c>
      <c r="BD378" s="5575">
        <v>63.90625</v>
      </c>
      <c r="BE378" s="5550">
        <v>75.596774193548384</v>
      </c>
      <c r="BF378" s="5550">
        <v>68.285714285714292</v>
      </c>
      <c r="BG378" s="5477">
        <v>67.433333333333337</v>
      </c>
      <c r="BH378" s="5477">
        <v>70.4375</v>
      </c>
      <c r="BI378" s="5550">
        <f t="shared" si="389"/>
        <v>809.53380741653655</v>
      </c>
      <c r="BJ378" s="5551">
        <f t="shared" si="373"/>
        <v>67.461150618044712</v>
      </c>
      <c r="BL378" s="5549">
        <v>119.88709677419355</v>
      </c>
      <c r="BM378" s="5550">
        <v>55.193548387096776</v>
      </c>
      <c r="BN378" s="5550"/>
      <c r="BO378" s="5550"/>
      <c r="BP378" s="5550"/>
      <c r="BQ378" s="5550"/>
      <c r="BR378" s="5552"/>
      <c r="BS378" s="5575"/>
      <c r="BT378" s="5550"/>
      <c r="BU378" s="5550"/>
      <c r="BV378" s="5477"/>
      <c r="BW378" s="5477"/>
      <c r="BX378" s="5550">
        <f t="shared" si="390"/>
        <v>175.08064516129033</v>
      </c>
      <c r="BY378" s="5478">
        <f t="shared" si="391"/>
        <v>87.540322580645167</v>
      </c>
      <c r="CA378" s="169">
        <f t="shared" si="386"/>
        <v>-10.586451612903225</v>
      </c>
      <c r="CB378" s="169">
        <f t="shared" si="392"/>
        <v>9.7101582027570785</v>
      </c>
      <c r="CC378" s="169">
        <f>IFERROR(
  SUM(
    _xlfn.XLOOKUP(DATE(YEAR($A$1),1,1),$2:$2,378:378):
    _xlfn.XLOOKUP($A$1,$2:$2,378:378)
  )
 -SUM(
    _xlfn.XLOOKUP(DATE(YEAR($A$1)-1,1,1),$2:$2,378:378):
    _xlfn.XLOOKUP(EDATE($A$1,-12),$2:$2,378:378)
  ),"")</f>
        <v>66.463910467412774</v>
      </c>
      <c r="CD378" s="4517">
        <f t="shared" si="387"/>
        <v>-64.693548387096769</v>
      </c>
      <c r="CE378" s="5459"/>
      <c r="CF378" s="5459"/>
    </row>
    <row r="379" spans="1:84" s="698" customFormat="1" ht="17.600000000000001" x14ac:dyDescent="0.55000000000000004">
      <c r="A379" s="7347"/>
      <c r="B379" s="5480"/>
      <c r="C379" s="681" t="s">
        <v>227</v>
      </c>
      <c r="D379" s="5553">
        <v>46.372881355932201</v>
      </c>
      <c r="E379" s="5554">
        <v>70.929824561403507</v>
      </c>
      <c r="F379" s="5554">
        <v>56.896551724137929</v>
      </c>
      <c r="G379" s="5554">
        <v>65.067796610169495</v>
      </c>
      <c r="H379" s="5554">
        <v>66.186440677966104</v>
      </c>
      <c r="I379" s="5554">
        <v>63.392857142857146</v>
      </c>
      <c r="J379" s="5554">
        <v>56.636363636363633</v>
      </c>
      <c r="K379" s="5554">
        <v>75.075471698113205</v>
      </c>
      <c r="L379" s="5554">
        <v>50.490196078431374</v>
      </c>
      <c r="M379" s="5554">
        <v>68.411764705882348</v>
      </c>
      <c r="N379" s="5554">
        <v>50.134615384615387</v>
      </c>
      <c r="O379" s="5554">
        <v>47.102040816326529</v>
      </c>
      <c r="P379" s="5554">
        <f t="shared" si="401"/>
        <v>716.69680439219883</v>
      </c>
      <c r="Q379" s="5555">
        <f t="shared" si="402"/>
        <v>59.724733699349905</v>
      </c>
      <c r="R379" s="5479"/>
      <c r="S379" s="5553">
        <v>54.127659574468083</v>
      </c>
      <c r="T379" s="5554">
        <v>61.0625</v>
      </c>
      <c r="U379" s="5554">
        <v>42.1875</v>
      </c>
      <c r="V379" s="5554">
        <v>37.520833333333336</v>
      </c>
      <c r="W379" s="5554">
        <v>46.659090909090907</v>
      </c>
      <c r="X379" s="5554">
        <v>46.720930232558139</v>
      </c>
      <c r="Y379" s="5554">
        <v>50.266666666666666</v>
      </c>
      <c r="Z379" s="5554">
        <v>71.511627906976742</v>
      </c>
      <c r="AA379" s="5554">
        <v>48.090909090909093</v>
      </c>
      <c r="AB379" s="5554">
        <v>71.20930232558139</v>
      </c>
      <c r="AC379" s="5554">
        <v>53.952380952380949</v>
      </c>
      <c r="AD379" s="5554">
        <v>41.711111111111109</v>
      </c>
      <c r="AE379" s="5554">
        <f t="shared" si="403"/>
        <v>625.02051210307638</v>
      </c>
      <c r="AF379" s="5555">
        <f t="shared" si="404"/>
        <v>52.085042675256368</v>
      </c>
      <c r="AG379" s="5479"/>
      <c r="AH379" s="5553">
        <v>62.522727272727273</v>
      </c>
      <c r="AI379" s="5554">
        <v>48.133333333333333</v>
      </c>
      <c r="AJ379" s="5554">
        <v>55.4</v>
      </c>
      <c r="AK379" s="5554">
        <v>50.04</v>
      </c>
      <c r="AL379" s="5554">
        <v>56.68</v>
      </c>
      <c r="AM379" s="5554">
        <v>55.659574468085104</v>
      </c>
      <c r="AN379" s="5556">
        <v>66.770833333333329</v>
      </c>
      <c r="AO379" s="5576">
        <v>58.382978723404257</v>
      </c>
      <c r="AP379" s="5554">
        <v>64</v>
      </c>
      <c r="AQ379" s="5554">
        <v>58.375</v>
      </c>
      <c r="AR379" s="5482">
        <v>56.043478260869563</v>
      </c>
      <c r="AS379" s="5482">
        <v>48.108695652173914</v>
      </c>
      <c r="AT379" s="5554">
        <f t="shared" si="388"/>
        <v>680.11662104392678</v>
      </c>
      <c r="AU379" s="5555">
        <f t="shared" si="385"/>
        <v>56.676385086993896</v>
      </c>
      <c r="AW379" s="5553">
        <v>41.208333333333336</v>
      </c>
      <c r="AX379" s="5554">
        <v>69.020408163265301</v>
      </c>
      <c r="AY379" s="5554">
        <v>47.604166666666664</v>
      </c>
      <c r="AZ379" s="5554">
        <v>57.130434782608695</v>
      </c>
      <c r="BA379" s="5554">
        <v>103</v>
      </c>
      <c r="BB379" s="5554">
        <v>70.822222222222223</v>
      </c>
      <c r="BC379" s="5556">
        <v>81.227272727272734</v>
      </c>
      <c r="BD379" s="5576">
        <v>71.840909090909093</v>
      </c>
      <c r="BE379" s="5554">
        <v>80.302325581395351</v>
      </c>
      <c r="BF379" s="5554">
        <v>86.58536585365853</v>
      </c>
      <c r="BG379" s="5482">
        <v>79.20930232558139</v>
      </c>
      <c r="BH379" s="5482">
        <v>70.659090909090907</v>
      </c>
      <c r="BI379" s="5554">
        <f t="shared" si="389"/>
        <v>858.6098316560043</v>
      </c>
      <c r="BJ379" s="5555">
        <f t="shared" si="373"/>
        <v>71.55081930466703</v>
      </c>
      <c r="BL379" s="5553">
        <v>106.08888888888889</v>
      </c>
      <c r="BM379" s="5554">
        <v>50.2</v>
      </c>
      <c r="BN379" s="5554"/>
      <c r="BO379" s="5554"/>
      <c r="BP379" s="5554"/>
      <c r="BQ379" s="5554"/>
      <c r="BR379" s="5556"/>
      <c r="BS379" s="5576"/>
      <c r="BT379" s="5554"/>
      <c r="BU379" s="5554"/>
      <c r="BV379" s="5482"/>
      <c r="BW379" s="5482"/>
      <c r="BX379" s="5554">
        <f t="shared" si="390"/>
        <v>156.28888888888889</v>
      </c>
      <c r="BY379" s="5483">
        <f t="shared" si="391"/>
        <v>78.144444444444446</v>
      </c>
      <c r="CA379" s="169">
        <f t="shared" si="386"/>
        <v>-18.820408163265299</v>
      </c>
      <c r="CB379" s="169">
        <f t="shared" si="392"/>
        <v>14.874434217673134</v>
      </c>
      <c r="CC379" s="169">
        <f>IFERROR(
  SUM(
    _xlfn.XLOOKUP(DATE(YEAR($A$1),1,1),$2:$2,379:379):
    _xlfn.XLOOKUP($A$1,$2:$2,379:379)
  )
 -SUM(
    _xlfn.XLOOKUP(DATE(YEAR($A$1)-1,1,1),$2:$2,379:379):
    _xlfn.XLOOKUP(EDATE($A$1,-12),$2:$2,379:379)
  ),"")</f>
        <v>46.060147392290247</v>
      </c>
      <c r="CD379" s="4517">
        <f t="shared" si="387"/>
        <v>-55.888888888888886</v>
      </c>
      <c r="CE379" s="5459"/>
      <c r="CF379" s="5459"/>
    </row>
    <row r="380" spans="1:84" s="698" customFormat="1" ht="17.600000000000001" x14ac:dyDescent="0.55000000000000004">
      <c r="A380" s="7347"/>
      <c r="B380" s="5480"/>
      <c r="C380" s="804" t="s">
        <v>228</v>
      </c>
      <c r="D380" s="5557">
        <v>45.637931034482762</v>
      </c>
      <c r="E380" s="5558">
        <v>57.620689655172413</v>
      </c>
      <c r="F380" s="5558">
        <v>56.272727272727273</v>
      </c>
      <c r="G380" s="5558">
        <v>56.946428571428569</v>
      </c>
      <c r="H380" s="5558">
        <v>60.821428571428569</v>
      </c>
      <c r="I380" s="5558">
        <v>62.055555555555557</v>
      </c>
      <c r="J380" s="5558">
        <v>63.627450980392155</v>
      </c>
      <c r="K380" s="5558">
        <v>76.921568627450981</v>
      </c>
      <c r="L380" s="5558">
        <v>49.12</v>
      </c>
      <c r="M380" s="5558">
        <v>68.156862745098039</v>
      </c>
      <c r="N380" s="5558">
        <v>43.5</v>
      </c>
      <c r="O380" s="5558">
        <v>42.5</v>
      </c>
      <c r="P380" s="5558">
        <f t="shared" si="401"/>
        <v>683.18064301373624</v>
      </c>
      <c r="Q380" s="5559">
        <f t="shared" si="402"/>
        <v>56.931720251144689</v>
      </c>
      <c r="R380" s="5479"/>
      <c r="S380" s="5557">
        <v>42.490909090909092</v>
      </c>
      <c r="T380" s="5558">
        <v>46.672727272727272</v>
      </c>
      <c r="U380" s="5558">
        <v>40.910714285714285</v>
      </c>
      <c r="V380" s="5558">
        <v>41.42307692307692</v>
      </c>
      <c r="W380" s="5558">
        <v>47.957446808510639</v>
      </c>
      <c r="X380" s="5558">
        <v>44.148936170212764</v>
      </c>
      <c r="Y380" s="5558">
        <v>53.734693877551024</v>
      </c>
      <c r="Z380" s="5558">
        <v>66.891304347826093</v>
      </c>
      <c r="AA380" s="5558">
        <v>44.521739130434781</v>
      </c>
      <c r="AB380" s="5558">
        <v>61.255319148936174</v>
      </c>
      <c r="AC380" s="5558">
        <v>45.804347826086953</v>
      </c>
      <c r="AD380" s="5558">
        <v>36.346938775510203</v>
      </c>
      <c r="AE380" s="5558">
        <f t="shared" si="403"/>
        <v>572.1581536574962</v>
      </c>
      <c r="AF380" s="5559">
        <f t="shared" si="404"/>
        <v>47.679846138124681</v>
      </c>
      <c r="AG380" s="5479"/>
      <c r="AH380" s="5557">
        <v>48.8</v>
      </c>
      <c r="AI380" s="5558">
        <v>46.978260869565219</v>
      </c>
      <c r="AJ380" s="5558">
        <v>49.652173913043477</v>
      </c>
      <c r="AK380" s="5558">
        <v>52.155555555555559</v>
      </c>
      <c r="AL380" s="5558">
        <v>66.409090909090907</v>
      </c>
      <c r="AM380" s="5558">
        <v>66.674418604651166</v>
      </c>
      <c r="AN380" s="5560">
        <v>81.853658536585371</v>
      </c>
      <c r="AO380" s="5577">
        <v>62.88095238095238</v>
      </c>
      <c r="AP380" s="5558">
        <v>60.93181818181818</v>
      </c>
      <c r="AQ380" s="5558">
        <v>66.255813953488371</v>
      </c>
      <c r="AR380" s="5485">
        <v>55.288888888888891</v>
      </c>
      <c r="AS380" s="5485">
        <v>45.8</v>
      </c>
      <c r="AT380" s="5558">
        <f t="shared" si="388"/>
        <v>703.68063179363946</v>
      </c>
      <c r="AU380" s="5559">
        <f t="shared" si="385"/>
        <v>58.640052649469958</v>
      </c>
      <c r="AW380" s="5557">
        <v>48.545454545454547</v>
      </c>
      <c r="AX380" s="5558">
        <v>78.952380952380949</v>
      </c>
      <c r="AY380" s="5558">
        <v>62.272727272727273</v>
      </c>
      <c r="AZ380" s="5558">
        <v>68.266666666666666</v>
      </c>
      <c r="BA380" s="5558">
        <v>112.79069767441861</v>
      </c>
      <c r="BB380" s="5558">
        <v>86.924999999999997</v>
      </c>
      <c r="BC380" s="5560">
        <v>97.139534883720927</v>
      </c>
      <c r="BD380" s="5577">
        <v>77.069767441860463</v>
      </c>
      <c r="BE380" s="5558">
        <v>80.355555555555554</v>
      </c>
      <c r="BF380" s="5558">
        <v>84.840909090909093</v>
      </c>
      <c r="BG380" s="5485">
        <v>72.95</v>
      </c>
      <c r="BH380" s="5485">
        <v>86.073170731707322</v>
      </c>
      <c r="BI380" s="5558">
        <f t="shared" si="389"/>
        <v>956.18186481540147</v>
      </c>
      <c r="BJ380" s="5559">
        <f t="shared" si="373"/>
        <v>79.681822067950122</v>
      </c>
      <c r="BL380" s="5557">
        <v>137.35</v>
      </c>
      <c r="BM380" s="5558">
        <v>59.575000000000003</v>
      </c>
      <c r="BN380" s="5558"/>
      <c r="BO380" s="5558"/>
      <c r="BP380" s="5558"/>
      <c r="BQ380" s="5558"/>
      <c r="BR380" s="5560"/>
      <c r="BS380" s="5577"/>
      <c r="BT380" s="5558"/>
      <c r="BU380" s="5558"/>
      <c r="BV380" s="5485"/>
      <c r="BW380" s="5485"/>
      <c r="BX380" s="5558">
        <f t="shared" si="390"/>
        <v>196.92500000000001</v>
      </c>
      <c r="BY380" s="5486">
        <f t="shared" si="391"/>
        <v>98.462500000000006</v>
      </c>
      <c r="CA380" s="169">
        <f t="shared" si="386"/>
        <v>-19.377380952380946</v>
      </c>
      <c r="CB380" s="169">
        <f t="shared" si="392"/>
        <v>21.041769418480165</v>
      </c>
      <c r="CC380" s="169">
        <f>IFERROR(
  SUM(
    _xlfn.XLOOKUP(DATE(YEAR($A$1),1,1),$2:$2,380:380):
    _xlfn.XLOOKUP($A$1,$2:$2,380:380)
  )
 -SUM(
    _xlfn.XLOOKUP(DATE(YEAR($A$1)-1,1,1),$2:$2,380:380):
    _xlfn.XLOOKUP(EDATE($A$1,-12),$2:$2,380:380)
  ),"")</f>
        <v>69.427164502164516</v>
      </c>
      <c r="CD380" s="4517">
        <f t="shared" si="387"/>
        <v>-77.774999999999991</v>
      </c>
      <c r="CE380" s="5459"/>
      <c r="CF380" s="5459"/>
    </row>
    <row r="381" spans="1:84" s="698" customFormat="1" ht="17.600000000000001" x14ac:dyDescent="0.55000000000000004">
      <c r="A381" s="7347"/>
      <c r="B381" s="5480"/>
      <c r="C381" s="681" t="s">
        <v>229</v>
      </c>
      <c r="D381" s="5553">
        <v>51.682539682539684</v>
      </c>
      <c r="E381" s="5554">
        <v>67.91935483870968</v>
      </c>
      <c r="F381" s="5554">
        <v>61.578125</v>
      </c>
      <c r="G381" s="5554">
        <v>59.939393939393938</v>
      </c>
      <c r="H381" s="5554">
        <v>62.939393939393938</v>
      </c>
      <c r="I381" s="5554">
        <v>53.21875</v>
      </c>
      <c r="J381" s="5554">
        <v>53.274193548387096</v>
      </c>
      <c r="K381" s="5554">
        <v>52.469696969696969</v>
      </c>
      <c r="L381" s="5554">
        <v>43.646153846153844</v>
      </c>
      <c r="M381" s="5554">
        <v>58.078125</v>
      </c>
      <c r="N381" s="5554">
        <v>45.269841269841272</v>
      </c>
      <c r="O381" s="5554">
        <v>38.59375</v>
      </c>
      <c r="P381" s="5554">
        <f t="shared" si="401"/>
        <v>648.60931803411643</v>
      </c>
      <c r="Q381" s="5555">
        <f t="shared" si="402"/>
        <v>54.050776502843036</v>
      </c>
      <c r="R381" s="5479"/>
      <c r="S381" s="5553">
        <v>42.45</v>
      </c>
      <c r="T381" s="5554">
        <v>49.360655737704917</v>
      </c>
      <c r="U381" s="5554">
        <v>44.08064516129032</v>
      </c>
      <c r="V381" s="5554">
        <v>41.983333333333334</v>
      </c>
      <c r="W381" s="5554">
        <v>47.327272727272728</v>
      </c>
      <c r="X381" s="5554">
        <v>39.964912280701753</v>
      </c>
      <c r="Y381" s="5554">
        <v>42.177419354838712</v>
      </c>
      <c r="Z381" s="5554">
        <v>56.559322033898304</v>
      </c>
      <c r="AA381" s="5554">
        <v>43.983050847457626</v>
      </c>
      <c r="AB381" s="5554">
        <v>56.620689655172413</v>
      </c>
      <c r="AC381" s="5554">
        <v>46.345454545454544</v>
      </c>
      <c r="AD381" s="5554">
        <v>38.148148148148145</v>
      </c>
      <c r="AE381" s="5554">
        <f t="shared" si="403"/>
        <v>549.00090382527276</v>
      </c>
      <c r="AF381" s="5555">
        <f t="shared" si="404"/>
        <v>45.75007531877273</v>
      </c>
      <c r="AG381" s="5479"/>
      <c r="AH381" s="5553">
        <v>60.981818181818184</v>
      </c>
      <c r="AI381" s="5554">
        <v>49.314814814814817</v>
      </c>
      <c r="AJ381" s="5554">
        <v>53.096153846153847</v>
      </c>
      <c r="AK381" s="5554">
        <v>55.462962962962962</v>
      </c>
      <c r="AL381" s="5554">
        <v>54.222222222222221</v>
      </c>
      <c r="AM381" s="5554">
        <v>51.169811320754718</v>
      </c>
      <c r="AN381" s="5556">
        <v>59.037735849056602</v>
      </c>
      <c r="AO381" s="5576">
        <v>49.596153846153847</v>
      </c>
      <c r="AP381" s="5554">
        <v>67.117647058823536</v>
      </c>
      <c r="AQ381" s="5554">
        <v>60.927272727272729</v>
      </c>
      <c r="AR381" s="5482">
        <v>69.368421052631575</v>
      </c>
      <c r="AS381" s="5482">
        <v>59.137931034482762</v>
      </c>
      <c r="AT381" s="5554">
        <f t="shared" si="388"/>
        <v>689.43294491714778</v>
      </c>
      <c r="AU381" s="5555">
        <f t="shared" si="385"/>
        <v>57.452745409762315</v>
      </c>
      <c r="AW381" s="5553">
        <v>57.416666666666664</v>
      </c>
      <c r="AX381" s="5554">
        <v>84.85</v>
      </c>
      <c r="AY381" s="5554">
        <v>64.517241379310349</v>
      </c>
      <c r="AZ381" s="5554">
        <v>98.581818181818178</v>
      </c>
      <c r="BA381" s="5554">
        <v>136.01785714285714</v>
      </c>
      <c r="BB381" s="5554">
        <v>125.94444444444444</v>
      </c>
      <c r="BC381" s="5556">
        <v>132.80701754385964</v>
      </c>
      <c r="BD381" s="5576">
        <v>95.017241379310349</v>
      </c>
      <c r="BE381" s="5554">
        <v>93.779661016949149</v>
      </c>
      <c r="BF381" s="5554">
        <v>103.27272727272727</v>
      </c>
      <c r="BG381" s="5482">
        <v>71.965517241379317</v>
      </c>
      <c r="BH381" s="5482">
        <v>80.456140350877192</v>
      </c>
      <c r="BI381" s="5554">
        <f t="shared" si="389"/>
        <v>1144.6263326201997</v>
      </c>
      <c r="BJ381" s="5555">
        <f t="shared" si="373"/>
        <v>95.385527718349977</v>
      </c>
      <c r="BL381" s="5553">
        <v>126.88888888888889</v>
      </c>
      <c r="BM381" s="5554">
        <v>64.592592592592595</v>
      </c>
      <c r="BN381" s="5554"/>
      <c r="BO381" s="5554"/>
      <c r="BP381" s="5554"/>
      <c r="BQ381" s="5554"/>
      <c r="BR381" s="5556"/>
      <c r="BS381" s="5576"/>
      <c r="BT381" s="5554"/>
      <c r="BU381" s="5554"/>
      <c r="BV381" s="5482"/>
      <c r="BW381" s="5482"/>
      <c r="BX381" s="5554">
        <f t="shared" si="390"/>
        <v>191.48148148148147</v>
      </c>
      <c r="BY381" s="5483">
        <f t="shared" si="391"/>
        <v>95.740740740740733</v>
      </c>
      <c r="CA381" s="169">
        <f t="shared" si="386"/>
        <v>-20.257407407407399</v>
      </c>
      <c r="CB381" s="169">
        <f t="shared" si="392"/>
        <v>37.932782308587662</v>
      </c>
      <c r="CC381" s="169">
        <f>IFERROR(
  SUM(
    _xlfn.XLOOKUP(DATE(YEAR($A$1),1,1),$2:$2,381:381):
    _xlfn.XLOOKUP($A$1,$2:$2,381:381)
  )
 -SUM(
    _xlfn.XLOOKUP(DATE(YEAR($A$1)-1,1,1),$2:$2,381:381):
    _xlfn.XLOOKUP(EDATE($A$1,-12),$2:$2,381:381)
  ),"")</f>
        <v>49.214814814814815</v>
      </c>
      <c r="CD381" s="4517">
        <f t="shared" si="387"/>
        <v>-62.296296296296291</v>
      </c>
      <c r="CE381" s="5459"/>
      <c r="CF381" s="5459"/>
    </row>
    <row r="382" spans="1:84" s="698" customFormat="1" ht="17.600000000000001" x14ac:dyDescent="0.55000000000000004">
      <c r="A382" s="7347"/>
      <c r="B382" s="5480"/>
      <c r="C382" s="681" t="s">
        <v>230</v>
      </c>
      <c r="D382" s="5553">
        <v>50.764705882352942</v>
      </c>
      <c r="E382" s="5554">
        <v>59.134615384615387</v>
      </c>
      <c r="F382" s="5554">
        <v>54.4</v>
      </c>
      <c r="G382" s="5554">
        <v>60.16</v>
      </c>
      <c r="H382" s="5554">
        <v>58.4</v>
      </c>
      <c r="I382" s="5554">
        <v>50.34</v>
      </c>
      <c r="J382" s="5554">
        <v>48.365384615384613</v>
      </c>
      <c r="K382" s="5554">
        <v>54.307692307692307</v>
      </c>
      <c r="L382" s="5554">
        <v>37.901960784313722</v>
      </c>
      <c r="M382" s="5554">
        <v>53.372549019607845</v>
      </c>
      <c r="N382" s="5554">
        <v>34.708333333333336</v>
      </c>
      <c r="O382" s="5554">
        <v>23.729166666666668</v>
      </c>
      <c r="P382" s="5554">
        <f t="shared" si="401"/>
        <v>585.58440799396681</v>
      </c>
      <c r="Q382" s="5555">
        <f t="shared" si="402"/>
        <v>48.798700666163903</v>
      </c>
      <c r="R382" s="5479"/>
      <c r="S382" s="5553">
        <v>40.777777777777779</v>
      </c>
      <c r="T382" s="5554">
        <v>55.955555555555556</v>
      </c>
      <c r="U382" s="5554">
        <v>38.195652173913047</v>
      </c>
      <c r="V382" s="5554">
        <v>45.772727272727273</v>
      </c>
      <c r="W382" s="5554">
        <v>44.977777777777774</v>
      </c>
      <c r="X382" s="5554">
        <v>42.466666666666669</v>
      </c>
      <c r="Y382" s="5554">
        <v>44.613636363636367</v>
      </c>
      <c r="Z382" s="5554">
        <v>62.93181818181818</v>
      </c>
      <c r="AA382" s="5554">
        <v>40.906976744186046</v>
      </c>
      <c r="AB382" s="5554">
        <v>55.232558139534881</v>
      </c>
      <c r="AC382" s="5554">
        <v>39.288888888888891</v>
      </c>
      <c r="AD382" s="5554">
        <v>29.772727272727273</v>
      </c>
      <c r="AE382" s="5554">
        <f t="shared" si="403"/>
        <v>540.89276281520972</v>
      </c>
      <c r="AF382" s="5555">
        <f t="shared" si="404"/>
        <v>45.074396901267477</v>
      </c>
      <c r="AG382" s="5479"/>
      <c r="AH382" s="5553">
        <v>51.56818181818182</v>
      </c>
      <c r="AI382" s="5554">
        <v>43.095238095238095</v>
      </c>
      <c r="AJ382" s="5554">
        <v>45.422222222222224</v>
      </c>
      <c r="AK382" s="5554">
        <v>43.409090909090907</v>
      </c>
      <c r="AL382" s="5554">
        <v>49.714285714285715</v>
      </c>
      <c r="AM382" s="5554">
        <v>42.80952380952381</v>
      </c>
      <c r="AN382" s="5556">
        <v>54.3</v>
      </c>
      <c r="AO382" s="5576">
        <v>42.829268292682926</v>
      </c>
      <c r="AP382" s="5554">
        <v>48.023809523809526</v>
      </c>
      <c r="AQ382" s="5554">
        <v>44.595238095238095</v>
      </c>
      <c r="AR382" s="5482">
        <v>46.666666666666664</v>
      </c>
      <c r="AS382" s="5482">
        <v>42.829268292682926</v>
      </c>
      <c r="AT382" s="5554">
        <f t="shared" si="388"/>
        <v>555.26279343962267</v>
      </c>
      <c r="AU382" s="5555">
        <f t="shared" si="385"/>
        <v>46.271899453301891</v>
      </c>
      <c r="AW382" s="5553">
        <v>46.697674418604649</v>
      </c>
      <c r="AX382" s="5554">
        <v>70.465116279069761</v>
      </c>
      <c r="AY382" s="5554">
        <v>49.547619047619051</v>
      </c>
      <c r="AZ382" s="5554">
        <v>68.404761904761898</v>
      </c>
      <c r="BA382" s="5554">
        <v>99.666666666666671</v>
      </c>
      <c r="BB382" s="5554">
        <v>90.743589743589737</v>
      </c>
      <c r="BC382" s="5556">
        <v>94.85</v>
      </c>
      <c r="BD382" s="5576">
        <v>76.45</v>
      </c>
      <c r="BE382" s="5554">
        <v>77.720930232558146</v>
      </c>
      <c r="BF382" s="5554">
        <v>90.707317073170728</v>
      </c>
      <c r="BG382" s="5482">
        <v>69.047619047619051</v>
      </c>
      <c r="BH382" s="5482">
        <v>82.674999999999997</v>
      </c>
      <c r="BI382" s="5554">
        <f t="shared" si="389"/>
        <v>916.97629441365962</v>
      </c>
      <c r="BJ382" s="5555">
        <f t="shared" si="373"/>
        <v>76.414691201138297</v>
      </c>
      <c r="BL382" s="5553">
        <v>119.8780487804878</v>
      </c>
      <c r="BM382" s="5554">
        <v>51.097560975609753</v>
      </c>
      <c r="BN382" s="5554"/>
      <c r="BO382" s="5554"/>
      <c r="BP382" s="5554"/>
      <c r="BQ382" s="5554"/>
      <c r="BR382" s="5556"/>
      <c r="BS382" s="5576"/>
      <c r="BT382" s="5554"/>
      <c r="BU382" s="5554"/>
      <c r="BV382" s="5482"/>
      <c r="BW382" s="5482"/>
      <c r="BX382" s="5554">
        <f t="shared" si="390"/>
        <v>170.97560975609755</v>
      </c>
      <c r="BY382" s="5483">
        <f t="shared" si="391"/>
        <v>85.487804878048777</v>
      </c>
      <c r="CA382" s="169">
        <f t="shared" si="386"/>
        <v>-19.367555303460009</v>
      </c>
      <c r="CB382" s="169">
        <f t="shared" si="392"/>
        <v>30.142791747836405</v>
      </c>
      <c r="CC382" s="169">
        <f>IFERROR(
  SUM(
    _xlfn.XLOOKUP(DATE(YEAR($A$1),1,1),$2:$2,382:382):
    _xlfn.XLOOKUP($A$1,$2:$2,382:382)
  )
 -SUM(
    _xlfn.XLOOKUP(DATE(YEAR($A$1)-1,1,1),$2:$2,382:382):
    _xlfn.XLOOKUP(EDATE($A$1,-12),$2:$2,382:382)
  ),"")</f>
        <v>53.812819058423145</v>
      </c>
      <c r="CD382" s="4517">
        <f t="shared" si="387"/>
        <v>-68.780487804878049</v>
      </c>
      <c r="CE382" s="5459"/>
      <c r="CF382" s="5459"/>
    </row>
    <row r="383" spans="1:84" s="698" customFormat="1" ht="17.600000000000001" x14ac:dyDescent="0.55000000000000004">
      <c r="A383" s="7347"/>
      <c r="B383" s="5480"/>
      <c r="C383" s="804" t="s">
        <v>231</v>
      </c>
      <c r="D383" s="5557">
        <v>81.196078431372555</v>
      </c>
      <c r="E383" s="5558">
        <v>84.58</v>
      </c>
      <c r="F383" s="5558">
        <v>76.938775510204081</v>
      </c>
      <c r="G383" s="5558">
        <v>83.760869565217391</v>
      </c>
      <c r="H383" s="5558">
        <v>86.434782608695656</v>
      </c>
      <c r="I383" s="5558">
        <v>83.652173913043484</v>
      </c>
      <c r="J383" s="5558">
        <v>76.729166666666671</v>
      </c>
      <c r="K383" s="5558">
        <v>82.632653061224488</v>
      </c>
      <c r="L383" s="5558">
        <v>58.122448979591837</v>
      </c>
      <c r="M383" s="5558">
        <v>86.40425531914893</v>
      </c>
      <c r="N383" s="5558">
        <v>64.191489361702125</v>
      </c>
      <c r="O383" s="5558">
        <v>58.183673469387756</v>
      </c>
      <c r="P383" s="5558">
        <f t="shared" si="401"/>
        <v>922.82636688625473</v>
      </c>
      <c r="Q383" s="5559">
        <f t="shared" si="402"/>
        <v>76.902197240521232</v>
      </c>
      <c r="R383" s="5479"/>
      <c r="S383" s="5557">
        <v>63.66</v>
      </c>
      <c r="T383" s="5558">
        <v>74.44</v>
      </c>
      <c r="U383" s="5558">
        <v>68.702127659574472</v>
      </c>
      <c r="V383" s="5558">
        <v>63.875</v>
      </c>
      <c r="W383" s="5558">
        <v>63.854166666666664</v>
      </c>
      <c r="X383" s="5558">
        <v>64.477272727272734</v>
      </c>
      <c r="Y383" s="5558">
        <v>71.88636363636364</v>
      </c>
      <c r="Z383" s="5558">
        <v>96.166666666666671</v>
      </c>
      <c r="AA383" s="5558">
        <v>68.19047619047619</v>
      </c>
      <c r="AB383" s="5558">
        <v>79.977777777777774</v>
      </c>
      <c r="AC383" s="5558">
        <v>61.31111111111111</v>
      </c>
      <c r="AD383" s="5558">
        <v>49.826086956521742</v>
      </c>
      <c r="AE383" s="5558">
        <f t="shared" si="403"/>
        <v>826.367049392431</v>
      </c>
      <c r="AF383" s="5559">
        <f t="shared" si="404"/>
        <v>68.863920782702579</v>
      </c>
      <c r="AG383" s="5479"/>
      <c r="AH383" s="5557">
        <v>81.727272727272734</v>
      </c>
      <c r="AI383" s="5558">
        <v>61.888888888888886</v>
      </c>
      <c r="AJ383" s="5558">
        <v>69.681818181818187</v>
      </c>
      <c r="AK383" s="5558">
        <v>75.023809523809518</v>
      </c>
      <c r="AL383" s="5558">
        <v>74.545454545454547</v>
      </c>
      <c r="AM383" s="5558">
        <v>63.511111111111113</v>
      </c>
      <c r="AN383" s="5560">
        <v>80.261904761904759</v>
      </c>
      <c r="AO383" s="5577">
        <v>52.56818181818182</v>
      </c>
      <c r="AP383" s="5558">
        <v>77.534883720930239</v>
      </c>
      <c r="AQ383" s="5558">
        <v>75.11904761904762</v>
      </c>
      <c r="AR383" s="5485">
        <v>72</v>
      </c>
      <c r="AS383" s="5485">
        <v>59.195652173913047</v>
      </c>
      <c r="AT383" s="5558">
        <f t="shared" si="388"/>
        <v>843.05802507233238</v>
      </c>
      <c r="AU383" s="5559">
        <f t="shared" si="385"/>
        <v>70.25483542269437</v>
      </c>
      <c r="AW383" s="5557">
        <v>62.333333333333336</v>
      </c>
      <c r="AX383" s="5558">
        <v>90.069767441860463</v>
      </c>
      <c r="AY383" s="5558">
        <v>73.069767441860463</v>
      </c>
      <c r="AZ383" s="5558">
        <v>85.090909090909093</v>
      </c>
      <c r="BA383" s="5558">
        <v>132.6829268292683</v>
      </c>
      <c r="BB383" s="5558">
        <v>99.888888888888886</v>
      </c>
      <c r="BC383" s="5560">
        <v>132.97435897435898</v>
      </c>
      <c r="BD383" s="5577">
        <v>90.15789473684211</v>
      </c>
      <c r="BE383" s="5558">
        <v>122.5625</v>
      </c>
      <c r="BF383" s="5558">
        <v>108.36363636363636</v>
      </c>
      <c r="BG383" s="5485">
        <v>80.615384615384613</v>
      </c>
      <c r="BH383" s="5485">
        <v>78</v>
      </c>
      <c r="BI383" s="5558">
        <f t="shared" si="389"/>
        <v>1155.8093677163426</v>
      </c>
      <c r="BJ383" s="5559">
        <f t="shared" si="373"/>
        <v>96.317447309695225</v>
      </c>
      <c r="BL383" s="5557">
        <v>127.48717948717949</v>
      </c>
      <c r="BM383" s="5558">
        <v>59.025641025641029</v>
      </c>
      <c r="BN383" s="5558"/>
      <c r="BO383" s="5558"/>
      <c r="BP383" s="5558"/>
      <c r="BQ383" s="5558"/>
      <c r="BR383" s="5560"/>
      <c r="BS383" s="5577"/>
      <c r="BT383" s="5558"/>
      <c r="BU383" s="5558"/>
      <c r="BV383" s="5485"/>
      <c r="BW383" s="5485"/>
      <c r="BX383" s="5558">
        <f t="shared" si="390"/>
        <v>186.51282051282053</v>
      </c>
      <c r="BY383" s="5486">
        <f t="shared" si="391"/>
        <v>93.256410256410263</v>
      </c>
      <c r="CA383" s="169">
        <f t="shared" si="386"/>
        <v>-31.044126416219434</v>
      </c>
      <c r="CB383" s="169">
        <f t="shared" si="392"/>
        <v>26.062611887000855</v>
      </c>
      <c r="CC383" s="169">
        <f>IFERROR(
  SUM(
    _xlfn.XLOOKUP(DATE(YEAR($A$1),1,1),$2:$2,383:383):
    _xlfn.XLOOKUP($A$1,$2:$2,383:383)
  )
 -SUM(
    _xlfn.XLOOKUP(DATE(YEAR($A$1)-1,1,1),$2:$2,383:383):
    _xlfn.XLOOKUP(EDATE($A$1,-12),$2:$2,383:383)
  ),"")</f>
        <v>34.109719737626733</v>
      </c>
      <c r="CD383" s="4517">
        <f t="shared" si="387"/>
        <v>-68.461538461538453</v>
      </c>
      <c r="CE383" s="5459"/>
      <c r="CF383" s="5459"/>
    </row>
    <row r="384" spans="1:84" s="698" customFormat="1" ht="18" thickBot="1" x14ac:dyDescent="0.6">
      <c r="A384" s="7388"/>
      <c r="B384" s="5491"/>
      <c r="C384" s="5492" t="s">
        <v>232</v>
      </c>
      <c r="D384" s="5567">
        <v>67.416666666666671</v>
      </c>
      <c r="E384" s="5568">
        <v>79.477272727272734</v>
      </c>
      <c r="F384" s="5568">
        <v>67.911111111111111</v>
      </c>
      <c r="G384" s="5568">
        <v>72.38636363636364</v>
      </c>
      <c r="H384" s="5568">
        <v>80.522727272727266</v>
      </c>
      <c r="I384" s="5568">
        <v>63.511111111111113</v>
      </c>
      <c r="J384" s="5568">
        <v>55.25</v>
      </c>
      <c r="K384" s="5568">
        <v>59.875</v>
      </c>
      <c r="L384" s="5568">
        <v>46.355555555555554</v>
      </c>
      <c r="M384" s="5568">
        <v>71.326086956521735</v>
      </c>
      <c r="N384" s="5568">
        <v>53.355555555555554</v>
      </c>
      <c r="O384" s="5568">
        <v>43.478260869565219</v>
      </c>
      <c r="P384" s="5568">
        <f t="shared" si="401"/>
        <v>760.86571146245069</v>
      </c>
      <c r="Q384" s="5569">
        <f t="shared" si="402"/>
        <v>63.405475955204224</v>
      </c>
      <c r="R384" s="5479"/>
      <c r="S384" s="5567">
        <v>53.953488372093027</v>
      </c>
      <c r="T384" s="5568">
        <v>61.418604651162788</v>
      </c>
      <c r="U384" s="5568">
        <v>47.714285714285715</v>
      </c>
      <c r="V384" s="5568">
        <v>48.904761904761905</v>
      </c>
      <c r="W384" s="5568">
        <v>43.5</v>
      </c>
      <c r="X384" s="5568">
        <v>42</v>
      </c>
      <c r="Y384" s="5568">
        <v>48.738095238095241</v>
      </c>
      <c r="Z384" s="5568">
        <v>66.275000000000006</v>
      </c>
      <c r="AA384" s="5568">
        <v>49.75</v>
      </c>
      <c r="AB384" s="5568">
        <v>59.125</v>
      </c>
      <c r="AC384" s="5568">
        <v>42.571428571428569</v>
      </c>
      <c r="AD384" s="5568">
        <v>38.268292682926827</v>
      </c>
      <c r="AE384" s="5568">
        <f t="shared" si="403"/>
        <v>602.21895713475408</v>
      </c>
      <c r="AF384" s="5569">
        <f t="shared" si="404"/>
        <v>50.184913094562837</v>
      </c>
      <c r="AG384" s="5479"/>
      <c r="AH384" s="5567">
        <v>56.487804878048777</v>
      </c>
      <c r="AI384" s="5568">
        <v>50.7</v>
      </c>
      <c r="AJ384" s="5568">
        <v>55.763157894736842</v>
      </c>
      <c r="AK384" s="5568">
        <v>50.621621621621621</v>
      </c>
      <c r="AL384" s="5568">
        <v>52.444444444444443</v>
      </c>
      <c r="AM384" s="5568">
        <v>59.885714285714286</v>
      </c>
      <c r="AN384" s="5570">
        <v>66.558823529411768</v>
      </c>
      <c r="AO384" s="5578">
        <v>52.714285714285715</v>
      </c>
      <c r="AP384" s="5568">
        <v>57</v>
      </c>
      <c r="AQ384" s="5568">
        <v>58.371428571428574</v>
      </c>
      <c r="AR384" s="5494">
        <v>65.428571428571431</v>
      </c>
      <c r="AS384" s="5494">
        <v>55.647058823529413</v>
      </c>
      <c r="AT384" s="5568">
        <f t="shared" si="388"/>
        <v>681.62291119179292</v>
      </c>
      <c r="AU384" s="5569">
        <f t="shared" si="385"/>
        <v>56.801909265982744</v>
      </c>
      <c r="AW384" s="5567">
        <v>59.090909090909093</v>
      </c>
      <c r="AX384" s="5568">
        <v>76.705882352941174</v>
      </c>
      <c r="AY384" s="5568">
        <v>57.969696969696969</v>
      </c>
      <c r="AZ384" s="5568">
        <v>73.36363636363636</v>
      </c>
      <c r="BA384" s="5568">
        <v>88.794117647058826</v>
      </c>
      <c r="BB384" s="5568">
        <v>75.258064516129039</v>
      </c>
      <c r="BC384" s="5570">
        <v>106.06896551724138</v>
      </c>
      <c r="BD384" s="5578">
        <v>79.392857142857139</v>
      </c>
      <c r="BE384" s="5568">
        <v>93.035714285714292</v>
      </c>
      <c r="BF384" s="5568">
        <v>69.515151515151516</v>
      </c>
      <c r="BG384" s="5494">
        <v>62.625</v>
      </c>
      <c r="BH384" s="5494">
        <v>59.46875</v>
      </c>
      <c r="BI384" s="5568">
        <f t="shared" si="389"/>
        <v>901.28874540133575</v>
      </c>
      <c r="BJ384" s="5569">
        <f t="shared" si="373"/>
        <v>75.107395450111312</v>
      </c>
      <c r="BL384" s="5567">
        <v>100.28125</v>
      </c>
      <c r="BM384" s="5568">
        <v>44.9375</v>
      </c>
      <c r="BN384" s="5568"/>
      <c r="BO384" s="5568"/>
      <c r="BP384" s="5568"/>
      <c r="BQ384" s="5568"/>
      <c r="BR384" s="5570"/>
      <c r="BS384" s="5578"/>
      <c r="BT384" s="5568"/>
      <c r="BU384" s="5568"/>
      <c r="BV384" s="5494"/>
      <c r="BW384" s="5494"/>
      <c r="BX384" s="5568">
        <f t="shared" si="390"/>
        <v>145.21875</v>
      </c>
      <c r="BY384" s="5495">
        <f t="shared" si="391"/>
        <v>72.609375</v>
      </c>
      <c r="CA384" s="169">
        <f t="shared" si="386"/>
        <v>-31.768382352941174</v>
      </c>
      <c r="CB384" s="169">
        <f t="shared" si="392"/>
        <v>18.305486184128569</v>
      </c>
      <c r="CC384" s="169">
        <f>IFERROR(
  SUM(
    _xlfn.XLOOKUP(DATE(YEAR($A$1),1,1),$2:$2,384:384):
    _xlfn.XLOOKUP($A$1,$2:$2,384:384)
  )
 -SUM(
    _xlfn.XLOOKUP(DATE(YEAR($A$1)-1,1,1),$2:$2,384:384):
    _xlfn.XLOOKUP(EDATE($A$1,-12),$2:$2,384:384)
  ),"")</f>
        <v>9.4219585561497183</v>
      </c>
      <c r="CD384" s="4517">
        <f t="shared" si="387"/>
        <v>-55.34375</v>
      </c>
      <c r="CE384" s="5459"/>
      <c r="CF384" s="5459"/>
    </row>
    <row r="385" spans="1:84" s="681" customFormat="1" ht="6" customHeight="1" thickBot="1" x14ac:dyDescent="0.6">
      <c r="A385" s="5579"/>
      <c r="B385" s="755"/>
      <c r="D385" s="5482"/>
      <c r="E385" s="5482"/>
      <c r="F385" s="5482"/>
      <c r="G385" s="5482"/>
      <c r="H385" s="5482"/>
      <c r="I385" s="5482"/>
      <c r="J385" s="5482"/>
      <c r="K385" s="5482"/>
      <c r="L385" s="5482"/>
      <c r="M385" s="5482"/>
      <c r="N385" s="5482"/>
      <c r="O385" s="5482"/>
      <c r="P385" s="5482"/>
      <c r="Q385" s="5482"/>
      <c r="R385" s="2657"/>
      <c r="S385" s="5482"/>
      <c r="T385" s="5482"/>
      <c r="U385" s="5482"/>
      <c r="V385" s="5482"/>
      <c r="W385" s="5482"/>
      <c r="X385" s="5482"/>
      <c r="Y385" s="5482"/>
      <c r="Z385" s="5482"/>
      <c r="AA385" s="5482"/>
      <c r="AB385" s="5482"/>
      <c r="AC385" s="5482"/>
      <c r="AD385" s="5482"/>
      <c r="AE385" s="5482"/>
      <c r="AF385" s="5482"/>
      <c r="AG385" s="2657"/>
      <c r="AH385" s="5482"/>
      <c r="AI385" s="5482"/>
      <c r="AJ385" s="5482"/>
      <c r="AK385" s="5554"/>
      <c r="AL385" s="5554"/>
      <c r="AM385" s="5554"/>
      <c r="AN385" s="5556"/>
      <c r="AO385" s="5482"/>
      <c r="AP385" s="5482"/>
      <c r="AQ385" s="5482"/>
      <c r="AR385" s="5482"/>
      <c r="AS385" s="5482"/>
      <c r="AT385" s="5482">
        <f t="shared" si="388"/>
        <v>0</v>
      </c>
      <c r="AU385" s="5482">
        <f t="shared" si="385"/>
        <v>0</v>
      </c>
      <c r="AW385" s="5482"/>
      <c r="AX385" s="5482"/>
      <c r="AY385" s="5482"/>
      <c r="AZ385" s="5554"/>
      <c r="BA385" s="5554"/>
      <c r="BB385" s="5554"/>
      <c r="BC385" s="5556"/>
      <c r="BD385" s="5482"/>
      <c r="BE385" s="5482"/>
      <c r="BF385" s="5482"/>
      <c r="BG385" s="5482"/>
      <c r="BH385" s="5482"/>
      <c r="BI385" s="5482"/>
      <c r="BJ385" s="5482"/>
      <c r="BL385" s="5482"/>
      <c r="BM385" s="5482"/>
      <c r="BN385" s="5482"/>
      <c r="BO385" s="5554"/>
      <c r="BP385" s="5554"/>
      <c r="BQ385" s="5554"/>
      <c r="BR385" s="5556"/>
      <c r="BS385" s="5482"/>
      <c r="BT385" s="5482"/>
      <c r="BU385" s="5482"/>
      <c r="BV385" s="5482"/>
      <c r="BW385" s="5482"/>
      <c r="BX385" s="5482"/>
      <c r="BY385" s="5482"/>
      <c r="CA385" s="169">
        <f t="shared" si="386"/>
        <v>0</v>
      </c>
      <c r="CB385" s="169">
        <f t="shared" si="392"/>
        <v>0</v>
      </c>
      <c r="CC385" s="169">
        <f>IFERROR(
  SUM(
    _xlfn.XLOOKUP(DATE(YEAR($A$1),1,1),$2:$2,385:385):
    _xlfn.XLOOKUP($A$1,$2:$2,385:385)
  )
 -SUM(
    _xlfn.XLOOKUP(DATE(YEAR($A$1)-1,1,1),$2:$2,385:385):
    _xlfn.XLOOKUP(EDATE($A$1,-12),$2:$2,385:385)
  ),"")</f>
        <v>0</v>
      </c>
      <c r="CD385" s="4517">
        <f t="shared" si="387"/>
        <v>0</v>
      </c>
      <c r="CE385" s="5459"/>
      <c r="CF385" s="5459"/>
    </row>
    <row r="386" spans="1:84" ht="17.600000000000001" x14ac:dyDescent="0.55000000000000004">
      <c r="A386" s="7346" t="s">
        <v>388</v>
      </c>
      <c r="B386" s="5131" t="s">
        <v>251</v>
      </c>
      <c r="C386" s="5132"/>
      <c r="D386" s="5532">
        <v>67.265306122448976</v>
      </c>
      <c r="E386" s="5533">
        <v>71.469387755102048</v>
      </c>
      <c r="F386" s="5533">
        <v>74.163265306122454</v>
      </c>
      <c r="G386" s="5533">
        <v>88.204081632653057</v>
      </c>
      <c r="H386" s="5533">
        <v>92.142857142857139</v>
      </c>
      <c r="I386" s="5533">
        <v>81.714285714285708</v>
      </c>
      <c r="J386" s="5533">
        <v>58.326530612244895</v>
      </c>
      <c r="K386" s="5533">
        <v>69.204081632653057</v>
      </c>
      <c r="L386" s="5533">
        <v>56.775510204081634</v>
      </c>
      <c r="M386" s="5533">
        <v>62.612244897959187</v>
      </c>
      <c r="N386" s="5533">
        <v>54.306122448979593</v>
      </c>
      <c r="O386" s="5533">
        <v>45.204081632653065</v>
      </c>
      <c r="P386" s="5533">
        <f>SUM(D386:O386)</f>
        <v>821.38775510204084</v>
      </c>
      <c r="Q386" s="5534">
        <f>P386/12</f>
        <v>68.448979591836732</v>
      </c>
      <c r="R386" s="2776"/>
      <c r="S386" s="5532">
        <v>48.938775510204081</v>
      </c>
      <c r="T386" s="5533">
        <v>59.142857142857146</v>
      </c>
      <c r="U386" s="5533">
        <v>55.918367346938773</v>
      </c>
      <c r="V386" s="5533">
        <v>55.833333333333336</v>
      </c>
      <c r="W386" s="5533">
        <v>71.142857142857139</v>
      </c>
      <c r="X386" s="5533">
        <v>60.904761904761905</v>
      </c>
      <c r="Y386" s="5533">
        <v>55.214285714285715</v>
      </c>
      <c r="Z386" s="5533">
        <v>76.404761904761898</v>
      </c>
      <c r="AA386" s="5533">
        <v>65.38095238095238</v>
      </c>
      <c r="AB386" s="5533">
        <v>68.666666666666671</v>
      </c>
      <c r="AC386" s="5533">
        <v>67.166666666666671</v>
      </c>
      <c r="AD386" s="5533">
        <v>45.952380952380949</v>
      </c>
      <c r="AE386" s="5533">
        <f>SUM(S386:AD386)</f>
        <v>730.66666666666663</v>
      </c>
      <c r="AF386" s="5534">
        <f>AE386/12</f>
        <v>60.888888888888886</v>
      </c>
      <c r="AG386" s="5565"/>
      <c r="AH386" s="5532">
        <v>71.523809523809518</v>
      </c>
      <c r="AI386" s="5533">
        <v>60.61904761904762</v>
      </c>
      <c r="AJ386" s="5533">
        <v>71.595238095238102</v>
      </c>
      <c r="AK386" s="5533">
        <v>67.38095238095238</v>
      </c>
      <c r="AL386" s="5533">
        <v>79.642857142857139</v>
      </c>
      <c r="AM386" s="5533">
        <v>73.857142857142861</v>
      </c>
      <c r="AN386" s="5535">
        <v>81.2</v>
      </c>
      <c r="AO386" s="5535">
        <v>80.857142857142861</v>
      </c>
      <c r="AP386" s="5533">
        <v>81.428600000000003</v>
      </c>
      <c r="AQ386" s="5533">
        <v>92.69</v>
      </c>
      <c r="AR386" s="5457">
        <v>93.214285714285708</v>
      </c>
      <c r="AS386" s="5457">
        <v>87.023809523809518</v>
      </c>
      <c r="AT386" s="5533">
        <f t="shared" si="388"/>
        <v>941.03288571428561</v>
      </c>
      <c r="AU386" s="5534">
        <f t="shared" si="385"/>
        <v>78.419407142857139</v>
      </c>
      <c r="AW386" s="5456">
        <v>82.523809523809518</v>
      </c>
      <c r="AX386" s="5533">
        <v>105.11904761904762</v>
      </c>
      <c r="AY386" s="5533">
        <v>92.404761904761898</v>
      </c>
      <c r="AZ386" s="5533">
        <v>95.571428571428569</v>
      </c>
      <c r="BA386" s="5533">
        <v>184.35714285714286</v>
      </c>
      <c r="BB386" s="5533">
        <v>144.42857142857142</v>
      </c>
      <c r="BC386" s="5535">
        <v>128.66666666666666</v>
      </c>
      <c r="BD386" s="5535">
        <v>94.333333333333329</v>
      </c>
      <c r="BE386" s="5533">
        <v>96.071428571428569</v>
      </c>
      <c r="BF386" s="5533">
        <v>90.61904761904762</v>
      </c>
      <c r="BG386" s="5457">
        <v>88.11904761904762</v>
      </c>
      <c r="BH386" s="5457">
        <v>87.857142857142861</v>
      </c>
      <c r="BI386" s="5533">
        <f t="shared" si="389"/>
        <v>1290.0714285714287</v>
      </c>
      <c r="BJ386" s="5534">
        <f t="shared" si="373"/>
        <v>107.50595238095239</v>
      </c>
      <c r="BL386" s="5456">
        <v>94.857142857142861</v>
      </c>
      <c r="BM386" s="5533">
        <v>67.357142857142861</v>
      </c>
      <c r="BN386" s="5533"/>
      <c r="BO386" s="5533"/>
      <c r="BP386" s="5533"/>
      <c r="BQ386" s="5533"/>
      <c r="BR386" s="5535"/>
      <c r="BS386" s="5535"/>
      <c r="BT386" s="5533"/>
      <c r="BU386" s="5533"/>
      <c r="BV386" s="5457"/>
      <c r="BW386" s="5457"/>
      <c r="BX386" s="5533">
        <f t="shared" ref="BX386:BX388" si="405">SUM(BL386:BW386)</f>
        <v>162.21428571428572</v>
      </c>
      <c r="BY386" s="5458">
        <f t="shared" ref="BY386:BY401" si="406">AVERAGE(BL386:BW386)</f>
        <v>81.107142857142861</v>
      </c>
      <c r="CA386" s="169">
        <f t="shared" si="386"/>
        <v>-37.761904761904759</v>
      </c>
      <c r="CB386" s="169">
        <f t="shared" si="392"/>
        <v>29.086545238095255</v>
      </c>
      <c r="CC386" s="169">
        <f>IFERROR(
  SUM(
    _xlfn.XLOOKUP(DATE(YEAR($A$1),1,1),$2:$2,386:386):
    _xlfn.XLOOKUP($A$1,$2:$2,386:386)
  )
 -SUM(
    _xlfn.XLOOKUP(DATE(YEAR($A$1)-1,1,1),$2:$2,386:386):
    _xlfn.XLOOKUP(EDATE($A$1,-12),$2:$2,386:386)
  ),"")</f>
        <v>-25.428571428571416</v>
      </c>
      <c r="CD386" s="4517">
        <f t="shared" si="387"/>
        <v>-27.5</v>
      </c>
      <c r="CE386" s="5459"/>
      <c r="CF386" s="5459"/>
    </row>
    <row r="387" spans="1:84" ht="17.600000000000001" hidden="1" x14ac:dyDescent="0.55000000000000004">
      <c r="A387" s="7347"/>
      <c r="B387" s="5460"/>
      <c r="C387" s="786" t="s">
        <v>250</v>
      </c>
      <c r="D387" s="5461"/>
      <c r="E387" s="5462"/>
      <c r="F387" s="5462"/>
      <c r="G387" s="5462"/>
      <c r="H387" s="5462"/>
      <c r="I387" s="5462"/>
      <c r="J387" s="5462"/>
      <c r="K387" s="5462"/>
      <c r="L387" s="5462"/>
      <c r="M387" s="5462"/>
      <c r="N387" s="5462"/>
      <c r="O387" s="5462"/>
      <c r="P387" s="5537">
        <f>SUM(D387:O387)</f>
        <v>0</v>
      </c>
      <c r="Q387" s="5463">
        <f t="shared" ref="Q387:Q401" si="407">P387/12</f>
        <v>0</v>
      </c>
      <c r="R387" s="2776"/>
      <c r="S387" s="5461"/>
      <c r="T387" s="5462"/>
      <c r="U387" s="5462"/>
      <c r="V387" s="5462"/>
      <c r="W387" s="5462"/>
      <c r="X387" s="5462"/>
      <c r="Y387" s="5462"/>
      <c r="Z387" s="5462"/>
      <c r="AA387" s="5462"/>
      <c r="AB387" s="5462"/>
      <c r="AC387" s="5462"/>
      <c r="AD387" s="5462"/>
      <c r="AE387" s="5462">
        <f>SUM(S387:AD387)</f>
        <v>0</v>
      </c>
      <c r="AF387" s="5463">
        <f>AE387/12</f>
        <v>0</v>
      </c>
      <c r="AG387" s="2776"/>
      <c r="AH387" s="5461"/>
      <c r="AI387" s="5462"/>
      <c r="AJ387" s="5462"/>
      <c r="AK387" s="5537"/>
      <c r="AL387" s="5537"/>
      <c r="AM387" s="5537"/>
      <c r="AN387" s="4146"/>
      <c r="AO387" s="4146"/>
      <c r="AP387" s="5537"/>
      <c r="AQ387" s="5537"/>
      <c r="AR387" s="5462"/>
      <c r="AS387" s="5462"/>
      <c r="AT387" s="5537">
        <f t="shared" si="388"/>
        <v>0</v>
      </c>
      <c r="AU387" s="5566">
        <f t="shared" si="385"/>
        <v>0</v>
      </c>
      <c r="AW387" s="5461"/>
      <c r="AX387" s="5462"/>
      <c r="AY387" s="5462"/>
      <c r="AZ387" s="5537"/>
      <c r="BA387" s="5537"/>
      <c r="BB387" s="5537"/>
      <c r="BC387" s="4146"/>
      <c r="BD387" s="4146"/>
      <c r="BE387" s="5537"/>
      <c r="BF387" s="5537"/>
      <c r="BG387" s="5462"/>
      <c r="BH387" s="5462"/>
      <c r="BI387" s="5537">
        <f t="shared" si="389"/>
        <v>0</v>
      </c>
      <c r="BJ387" s="5566" t="e">
        <f t="shared" si="373"/>
        <v>#DIV/0!</v>
      </c>
      <c r="BL387" s="5461"/>
      <c r="BM387" s="5462">
        <v>0</v>
      </c>
      <c r="BN387" s="5462"/>
      <c r="BO387" s="5537"/>
      <c r="BP387" s="5537"/>
      <c r="BQ387" s="5537"/>
      <c r="BR387" s="4146"/>
      <c r="BS387" s="4146"/>
      <c r="BT387" s="5537"/>
      <c r="BU387" s="5537"/>
      <c r="BV387" s="5462"/>
      <c r="BW387" s="5462"/>
      <c r="BX387" s="5537">
        <f t="shared" si="405"/>
        <v>0</v>
      </c>
      <c r="BY387" s="5463">
        <f t="shared" si="406"/>
        <v>0</v>
      </c>
      <c r="CA387" s="169">
        <f t="shared" si="386"/>
        <v>0</v>
      </c>
      <c r="CB387" s="169" t="e">
        <f t="shared" si="392"/>
        <v>#DIV/0!</v>
      </c>
      <c r="CC387" s="169">
        <f>IFERROR(
  SUM(
    _xlfn.XLOOKUP(DATE(YEAR($A$1),1,1),$2:$2,387:387):
    _xlfn.XLOOKUP($A$1,$2:$2,387:387)
  )
 -SUM(
    _xlfn.XLOOKUP(DATE(YEAR($A$1)-1,1,1),$2:$2,387:387):
    _xlfn.XLOOKUP(EDATE($A$1,-12),$2:$2,387:387)
  ),"")</f>
        <v>0</v>
      </c>
      <c r="CD387" s="4517">
        <f t="shared" si="387"/>
        <v>0</v>
      </c>
      <c r="CE387" s="5459"/>
      <c r="CF387" s="5459"/>
    </row>
    <row r="388" spans="1:84" ht="17.600000000000001" hidden="1" x14ac:dyDescent="0.55000000000000004">
      <c r="A388" s="7347"/>
      <c r="B388" s="5460"/>
      <c r="C388" s="786" t="s">
        <v>263</v>
      </c>
      <c r="D388" s="5461"/>
      <c r="E388" s="5462"/>
      <c r="F388" s="5462"/>
      <c r="G388" s="5462"/>
      <c r="H388" s="5462"/>
      <c r="I388" s="5462"/>
      <c r="J388" s="5462"/>
      <c r="K388" s="5462"/>
      <c r="L388" s="5462"/>
      <c r="M388" s="5462"/>
      <c r="N388" s="5462"/>
      <c r="O388" s="5462"/>
      <c r="P388" s="5537">
        <f>SUM(D388:O388)</f>
        <v>0</v>
      </c>
      <c r="Q388" s="5463">
        <f t="shared" si="407"/>
        <v>0</v>
      </c>
      <c r="R388" s="2776"/>
      <c r="S388" s="5461"/>
      <c r="T388" s="5462"/>
      <c r="U388" s="5462"/>
      <c r="V388" s="5462"/>
      <c r="W388" s="5462"/>
      <c r="X388" s="5462"/>
      <c r="Y388" s="5462"/>
      <c r="Z388" s="5462"/>
      <c r="AA388" s="5462"/>
      <c r="AB388" s="5462"/>
      <c r="AC388" s="5462"/>
      <c r="AD388" s="5462"/>
      <c r="AE388" s="5462">
        <f>SUM(S388:AD388)</f>
        <v>0</v>
      </c>
      <c r="AF388" s="5463">
        <f>AE388/12</f>
        <v>0</v>
      </c>
      <c r="AG388" s="2776"/>
      <c r="AH388" s="5461"/>
      <c r="AI388" s="5462"/>
      <c r="AJ388" s="5462"/>
      <c r="AK388" s="5537"/>
      <c r="AL388" s="5537"/>
      <c r="AM388" s="5537"/>
      <c r="AN388" s="4146"/>
      <c r="AO388" s="4146"/>
      <c r="AP388" s="5537"/>
      <c r="AQ388" s="5537"/>
      <c r="AR388" s="5462"/>
      <c r="AS388" s="5462"/>
      <c r="AT388" s="5537">
        <f t="shared" si="388"/>
        <v>0</v>
      </c>
      <c r="AU388" s="5566">
        <f t="shared" si="385"/>
        <v>0</v>
      </c>
      <c r="AW388" s="5461"/>
      <c r="AX388" s="5462"/>
      <c r="AY388" s="5462"/>
      <c r="AZ388" s="5537"/>
      <c r="BA388" s="5537"/>
      <c r="BB388" s="5537"/>
      <c r="BC388" s="4146"/>
      <c r="BD388" s="4146"/>
      <c r="BE388" s="5537"/>
      <c r="BF388" s="5537"/>
      <c r="BG388" s="5462"/>
      <c r="BH388" s="5462"/>
      <c r="BI388" s="5537">
        <f t="shared" si="389"/>
        <v>0</v>
      </c>
      <c r="BJ388" s="5566" t="e">
        <f t="shared" si="373"/>
        <v>#DIV/0!</v>
      </c>
      <c r="BL388" s="5461"/>
      <c r="BM388" s="5462">
        <v>0</v>
      </c>
      <c r="BN388" s="5462"/>
      <c r="BO388" s="5537"/>
      <c r="BP388" s="5537"/>
      <c r="BQ388" s="5537"/>
      <c r="BR388" s="4146"/>
      <c r="BS388" s="4146"/>
      <c r="BT388" s="5537"/>
      <c r="BU388" s="5537"/>
      <c r="BV388" s="5462"/>
      <c r="BW388" s="5462"/>
      <c r="BX388" s="5537">
        <f t="shared" si="405"/>
        <v>0</v>
      </c>
      <c r="BY388" s="5463">
        <f t="shared" si="406"/>
        <v>0</v>
      </c>
      <c r="CA388" s="169">
        <f t="shared" si="386"/>
        <v>0</v>
      </c>
      <c r="CB388" s="169" t="e">
        <f t="shared" si="392"/>
        <v>#DIV/0!</v>
      </c>
      <c r="CC388" s="169">
        <f>IFERROR(
  SUM(
    _xlfn.XLOOKUP(DATE(YEAR($A$1),1,1),$2:$2,388:388):
    _xlfn.XLOOKUP($A$1,$2:$2,388:388)
  )
 -SUM(
    _xlfn.XLOOKUP(DATE(YEAR($A$1)-1,1,1),$2:$2,388:388):
    _xlfn.XLOOKUP(EDATE($A$1,-12),$2:$2,388:388)
  ),"")</f>
        <v>0</v>
      </c>
      <c r="CD388" s="4517">
        <f t="shared" si="387"/>
        <v>0</v>
      </c>
      <c r="CE388" s="5459"/>
      <c r="CF388" s="5459"/>
    </row>
    <row r="389" spans="1:84" ht="17.600000000000001" hidden="1" x14ac:dyDescent="0.55000000000000004">
      <c r="A389" s="7347"/>
      <c r="B389" s="5460"/>
      <c r="C389" s="786" t="s">
        <v>262</v>
      </c>
      <c r="D389" s="5461"/>
      <c r="E389" s="5462"/>
      <c r="F389" s="5462"/>
      <c r="G389" s="5462"/>
      <c r="H389" s="5462"/>
      <c r="I389" s="5462"/>
      <c r="J389" s="5462"/>
      <c r="K389" s="5462"/>
      <c r="L389" s="5462"/>
      <c r="M389" s="5462"/>
      <c r="N389" s="5462"/>
      <c r="O389" s="5462"/>
      <c r="P389" s="5537">
        <f>SUM(D389:O389)</f>
        <v>0</v>
      </c>
      <c r="Q389" s="5463">
        <f t="shared" si="407"/>
        <v>0</v>
      </c>
      <c r="R389" s="2776"/>
      <c r="S389" s="5461"/>
      <c r="T389" s="5462"/>
      <c r="U389" s="5462"/>
      <c r="V389" s="5462"/>
      <c r="W389" s="5462"/>
      <c r="X389" s="5462"/>
      <c r="Y389" s="5462"/>
      <c r="Z389" s="5462"/>
      <c r="AA389" s="5462"/>
      <c r="AB389" s="5462"/>
      <c r="AC389" s="5462"/>
      <c r="AD389" s="5462"/>
      <c r="AE389" s="5462">
        <f>SUM(S389:AD389)</f>
        <v>0</v>
      </c>
      <c r="AF389" s="5463">
        <f>AE389/12</f>
        <v>0</v>
      </c>
      <c r="AG389" s="2776"/>
      <c r="AH389" s="5461"/>
      <c r="AI389" s="5462"/>
      <c r="AJ389" s="5462"/>
      <c r="AK389" s="5537"/>
      <c r="AL389" s="5537"/>
      <c r="AM389" s="5537"/>
      <c r="AN389" s="4146"/>
      <c r="AO389" s="4146"/>
      <c r="AP389" s="5537"/>
      <c r="AQ389" s="5537"/>
      <c r="AR389" s="5462"/>
      <c r="AS389" s="5462"/>
      <c r="AT389" s="5537">
        <f t="shared" si="388"/>
        <v>0</v>
      </c>
      <c r="AU389" s="5566">
        <f t="shared" si="385"/>
        <v>0</v>
      </c>
      <c r="AW389" s="5461"/>
      <c r="AX389" s="5462"/>
      <c r="AY389" s="5462"/>
      <c r="AZ389" s="5537"/>
      <c r="BA389" s="5537"/>
      <c r="BB389" s="5537"/>
      <c r="BC389" s="4146"/>
      <c r="BD389" s="4146"/>
      <c r="BE389" s="5537"/>
      <c r="BF389" s="5537"/>
      <c r="BG389" s="5462"/>
      <c r="BH389" s="5462"/>
      <c r="BI389" s="5537">
        <f t="shared" ref="BI389:BI433" si="408">SUM(AW389:BH389)</f>
        <v>0</v>
      </c>
      <c r="BJ389" s="5566" t="e">
        <f t="shared" si="373"/>
        <v>#DIV/0!</v>
      </c>
      <c r="BL389" s="5461"/>
      <c r="BM389" s="5462">
        <v>0</v>
      </c>
      <c r="BN389" s="5462"/>
      <c r="BO389" s="5537"/>
      <c r="BP389" s="5537"/>
      <c r="BQ389" s="5537"/>
      <c r="BR389" s="4146"/>
      <c r="BS389" s="4146"/>
      <c r="BT389" s="5537"/>
      <c r="BU389" s="5537"/>
      <c r="BV389" s="5462"/>
      <c r="BW389" s="5462"/>
      <c r="BX389" s="5537">
        <f t="shared" ref="BX389:BX433" si="409">SUM(BL389:BW389)</f>
        <v>0</v>
      </c>
      <c r="BY389" s="5463">
        <f t="shared" si="406"/>
        <v>0</v>
      </c>
      <c r="CA389" s="169">
        <f t="shared" si="386"/>
        <v>0</v>
      </c>
      <c r="CB389" s="169" t="e">
        <f t="shared" si="392"/>
        <v>#DIV/0!</v>
      </c>
      <c r="CC389" s="169">
        <f>IFERROR(
  SUM(
    _xlfn.XLOOKUP(DATE(YEAR($A$1),1,1),$2:$2,389:389):
    _xlfn.XLOOKUP($A$1,$2:$2,389:389)
  )
 -SUM(
    _xlfn.XLOOKUP(DATE(YEAR($A$1)-1,1,1),$2:$2,389:389):
    _xlfn.XLOOKUP(EDATE($A$1,-12),$2:$2,389:389)
  ),"")</f>
        <v>0</v>
      </c>
      <c r="CD389" s="4517">
        <f t="shared" si="387"/>
        <v>0</v>
      </c>
      <c r="CE389" s="5459"/>
      <c r="CF389" s="5459"/>
    </row>
    <row r="390" spans="1:84" ht="17.600000000000001" x14ac:dyDescent="0.55000000000000004">
      <c r="A390" s="7347"/>
      <c r="B390" s="5464" t="s">
        <v>206</v>
      </c>
      <c r="C390" s="1799"/>
      <c r="D390" s="5538">
        <v>63.888888888888886</v>
      </c>
      <c r="E390" s="5539">
        <v>71.888888888888886</v>
      </c>
      <c r="F390" s="5539">
        <v>74.888888888888886</v>
      </c>
      <c r="G390" s="5539">
        <v>94.555555555555557</v>
      </c>
      <c r="H390" s="5539">
        <v>118.88888888888889</v>
      </c>
      <c r="I390" s="5539">
        <v>102.77777777777777</v>
      </c>
      <c r="J390" s="5539">
        <v>62.444444444444443</v>
      </c>
      <c r="K390" s="5539">
        <v>66.444444444444443</v>
      </c>
      <c r="L390" s="5539">
        <v>65</v>
      </c>
      <c r="M390" s="5539">
        <v>78.333333333333329</v>
      </c>
      <c r="N390" s="5539">
        <v>57.555555555555557</v>
      </c>
      <c r="O390" s="5539">
        <v>56.666666666666664</v>
      </c>
      <c r="P390" s="5539">
        <f>SUM(D390:O390)</f>
        <v>913.33333333333337</v>
      </c>
      <c r="Q390" s="5540">
        <f>P390/12</f>
        <v>76.111111111111114</v>
      </c>
      <c r="R390" s="2776"/>
      <c r="S390" s="5538">
        <v>52.555555555555557</v>
      </c>
      <c r="T390" s="5539">
        <v>71.444444444444443</v>
      </c>
      <c r="U390" s="5539">
        <v>72.222222222222229</v>
      </c>
      <c r="V390" s="5539">
        <v>52.222222222222221</v>
      </c>
      <c r="W390" s="5539">
        <v>66.888888888888886</v>
      </c>
      <c r="X390" s="5539">
        <v>65.777777777777771</v>
      </c>
      <c r="Y390" s="5539">
        <v>54.666666666666664</v>
      </c>
      <c r="Z390" s="5539">
        <v>88.222222222222229</v>
      </c>
      <c r="AA390" s="5539">
        <v>82.333333333333329</v>
      </c>
      <c r="AB390" s="5539">
        <v>64.666666666666671</v>
      </c>
      <c r="AC390" s="5539">
        <v>72.222222222222229</v>
      </c>
      <c r="AD390" s="5539">
        <v>45.333333333333336</v>
      </c>
      <c r="AE390" s="5539">
        <f>SUM(S390:AD390)</f>
        <v>788.55555555555554</v>
      </c>
      <c r="AF390" s="5540">
        <f>AE390/12</f>
        <v>65.712962962962962</v>
      </c>
      <c r="AG390" s="2776"/>
      <c r="AH390" s="5538">
        <v>75.777777777777771</v>
      </c>
      <c r="AI390" s="5539">
        <v>53.111111111111114</v>
      </c>
      <c r="AJ390" s="5539">
        <v>62.555555555555557</v>
      </c>
      <c r="AK390" s="5539">
        <v>52.333333333333336</v>
      </c>
      <c r="AL390" s="5539">
        <v>75.222222222222229</v>
      </c>
      <c r="AM390" s="5539">
        <v>68</v>
      </c>
      <c r="AN390" s="5541">
        <v>85</v>
      </c>
      <c r="AO390" s="5541">
        <v>80.444444444444443</v>
      </c>
      <c r="AP390" s="5539">
        <v>79.666666666666671</v>
      </c>
      <c r="AQ390" s="5539">
        <v>88.444444444444443</v>
      </c>
      <c r="AR390" s="5466">
        <v>72.666666666666671</v>
      </c>
      <c r="AS390" s="5466">
        <v>60.333333333333336</v>
      </c>
      <c r="AT390" s="5539">
        <f t="shared" si="388"/>
        <v>853.55555555555554</v>
      </c>
      <c r="AU390" s="5540">
        <f t="shared" si="385"/>
        <v>71.129629629629633</v>
      </c>
      <c r="AW390" s="5465">
        <v>64.666666666666671</v>
      </c>
      <c r="AX390" s="5539">
        <v>85</v>
      </c>
      <c r="AY390" s="5539">
        <v>69.666666666666671</v>
      </c>
      <c r="AZ390" s="5539">
        <v>71.888888888888886</v>
      </c>
      <c r="BA390" s="5539">
        <v>152</v>
      </c>
      <c r="BB390" s="5539">
        <v>88.888888888888886</v>
      </c>
      <c r="BC390" s="5541">
        <v>89.111111111111114</v>
      </c>
      <c r="BD390" s="5541">
        <v>72.222222222222229</v>
      </c>
      <c r="BE390" s="5539">
        <v>74.777777777777771</v>
      </c>
      <c r="BF390" s="5539">
        <v>65.555555555555557</v>
      </c>
      <c r="BG390" s="5466">
        <v>71</v>
      </c>
      <c r="BH390" s="5466">
        <v>81.111111111111114</v>
      </c>
      <c r="BI390" s="5539">
        <f t="shared" si="408"/>
        <v>985.88888888888903</v>
      </c>
      <c r="BJ390" s="5540">
        <f t="shared" ref="BJ390:BJ433" si="410">AVERAGE(AW390:BH390)</f>
        <v>82.157407407407419</v>
      </c>
      <c r="BL390" s="5465">
        <v>74.777777777777771</v>
      </c>
      <c r="BM390" s="5539">
        <v>48.333333333333336</v>
      </c>
      <c r="BN390" s="5539"/>
      <c r="BO390" s="5539"/>
      <c r="BP390" s="5539"/>
      <c r="BQ390" s="5539"/>
      <c r="BR390" s="5541"/>
      <c r="BS390" s="5541"/>
      <c r="BT390" s="5539"/>
      <c r="BU390" s="5539"/>
      <c r="BV390" s="5466"/>
      <c r="BW390" s="5466"/>
      <c r="BX390" s="5539">
        <f t="shared" si="409"/>
        <v>123.11111111111111</v>
      </c>
      <c r="BY390" s="5467">
        <f t="shared" si="406"/>
        <v>61.555555555555557</v>
      </c>
      <c r="CA390" s="169">
        <f t="shared" si="386"/>
        <v>-36.666666666666664</v>
      </c>
      <c r="CB390" s="169">
        <f t="shared" si="392"/>
        <v>11.027777777777786</v>
      </c>
      <c r="CC390" s="169">
        <f>IFERROR(
  SUM(
    _xlfn.XLOOKUP(DATE(YEAR($A$1),1,1),$2:$2,390:390):
    _xlfn.XLOOKUP($A$1,$2:$2,390:390)
  )
 -SUM(
    _xlfn.XLOOKUP(DATE(YEAR($A$1)-1,1,1),$2:$2,390:390):
    _xlfn.XLOOKUP(EDATE($A$1,-12),$2:$2,390:390)
  ),"")</f>
        <v>-26.555555555555571</v>
      </c>
      <c r="CD390" s="4517">
        <f t="shared" si="387"/>
        <v>-26.444444444444436</v>
      </c>
      <c r="CE390" s="5459"/>
      <c r="CF390" s="5459"/>
    </row>
    <row r="391" spans="1:84" ht="17.600000000000001" x14ac:dyDescent="0.55000000000000004">
      <c r="A391" s="7347"/>
      <c r="B391" s="5468" t="s">
        <v>207</v>
      </c>
      <c r="C391" s="1576"/>
      <c r="D391" s="5542">
        <v>95.666666666666671</v>
      </c>
      <c r="E391" s="5355">
        <v>112.5</v>
      </c>
      <c r="F391" s="5355">
        <v>121.83333333333333</v>
      </c>
      <c r="G391" s="5355">
        <v>151.66666666666666</v>
      </c>
      <c r="H391" s="5355">
        <v>152.16666666666666</v>
      </c>
      <c r="I391" s="5355">
        <v>112.33333333333333</v>
      </c>
      <c r="J391" s="5355">
        <v>80.333333333333329</v>
      </c>
      <c r="K391" s="5355">
        <v>103.66666666666667</v>
      </c>
      <c r="L391" s="5355">
        <v>66.166666666666671</v>
      </c>
      <c r="M391" s="5355">
        <v>90.833333333333329</v>
      </c>
      <c r="N391" s="5355">
        <v>81.5</v>
      </c>
      <c r="O391" s="5355">
        <v>67</v>
      </c>
      <c r="P391" s="5355">
        <f t="shared" ref="P391:P401" si="411">SUM(D391:O391)</f>
        <v>1235.6666666666665</v>
      </c>
      <c r="Q391" s="5543">
        <f t="shared" si="407"/>
        <v>102.97222222222221</v>
      </c>
      <c r="R391" s="2776"/>
      <c r="S391" s="5542">
        <v>71.666666666666671</v>
      </c>
      <c r="T391" s="5355">
        <v>81.166666666666671</v>
      </c>
      <c r="U391" s="5355">
        <v>63</v>
      </c>
      <c r="V391" s="5355">
        <v>45.833333333333336</v>
      </c>
      <c r="W391" s="5355">
        <v>64.333333333333329</v>
      </c>
      <c r="X391" s="5355">
        <v>49.166666666666664</v>
      </c>
      <c r="Y391" s="5355">
        <v>51</v>
      </c>
      <c r="Z391" s="5355">
        <v>61.666666666666664</v>
      </c>
      <c r="AA391" s="5355">
        <v>57.666666666666664</v>
      </c>
      <c r="AB391" s="5355">
        <v>68.166666666666671</v>
      </c>
      <c r="AC391" s="5355">
        <v>63</v>
      </c>
      <c r="AD391" s="5355">
        <v>40.833333333333336</v>
      </c>
      <c r="AE391" s="5355">
        <f t="shared" ref="AE391:AE401" si="412">SUM(S391:AD391)</f>
        <v>717.5</v>
      </c>
      <c r="AF391" s="5543">
        <f t="shared" ref="AF391:AF401" si="413">AE391/12</f>
        <v>59.791666666666664</v>
      </c>
      <c r="AG391" s="2776"/>
      <c r="AH391" s="5542">
        <v>57</v>
      </c>
      <c r="AI391" s="5355">
        <v>50.166666666666664</v>
      </c>
      <c r="AJ391" s="5355">
        <v>74.333333333333329</v>
      </c>
      <c r="AK391" s="5355">
        <v>71</v>
      </c>
      <c r="AL391" s="5355">
        <v>67.666666666666671</v>
      </c>
      <c r="AM391" s="5355">
        <v>80.333333333333329</v>
      </c>
      <c r="AN391" s="5544">
        <v>79.666666666666671</v>
      </c>
      <c r="AO391" s="5544">
        <v>112.33333333333333</v>
      </c>
      <c r="AP391" s="5355">
        <v>117.83333333333333</v>
      </c>
      <c r="AQ391" s="5355">
        <v>118.16666666666667</v>
      </c>
      <c r="AR391" s="2636">
        <v>99</v>
      </c>
      <c r="AS391" s="2636">
        <v>97.833333333333329</v>
      </c>
      <c r="AT391" s="5355">
        <f t="shared" si="388"/>
        <v>1025.3333333333333</v>
      </c>
      <c r="AU391" s="5543">
        <f t="shared" si="385"/>
        <v>85.444444444444443</v>
      </c>
      <c r="AW391" s="5469">
        <v>88.666666666666671</v>
      </c>
      <c r="AX391" s="5355">
        <v>100.33333333333333</v>
      </c>
      <c r="AY391" s="5355">
        <v>81.5</v>
      </c>
      <c r="AZ391" s="5355">
        <v>76.166666666666671</v>
      </c>
      <c r="BA391" s="5355">
        <v>172.5</v>
      </c>
      <c r="BB391" s="5355">
        <v>108.83333333333333</v>
      </c>
      <c r="BC391" s="5544">
        <v>102.83333333333333</v>
      </c>
      <c r="BD391" s="5544">
        <v>101</v>
      </c>
      <c r="BE391" s="5355">
        <v>101.16666666666667</v>
      </c>
      <c r="BF391" s="5355">
        <v>92.666666666666671</v>
      </c>
      <c r="BG391" s="2636">
        <v>86.833333333333329</v>
      </c>
      <c r="BH391" s="2636">
        <v>95.333333333333329</v>
      </c>
      <c r="BI391" s="5355">
        <f t="shared" si="408"/>
        <v>1207.8333333333333</v>
      </c>
      <c r="BJ391" s="5543">
        <f t="shared" si="410"/>
        <v>100.65277777777777</v>
      </c>
      <c r="BL391" s="5469">
        <v>99.5</v>
      </c>
      <c r="BM391" s="5355">
        <v>70.333333333333329</v>
      </c>
      <c r="BN391" s="5355"/>
      <c r="BO391" s="5355"/>
      <c r="BP391" s="5355"/>
      <c r="BQ391" s="5355"/>
      <c r="BR391" s="5544"/>
      <c r="BS391" s="5544"/>
      <c r="BT391" s="5355"/>
      <c r="BU391" s="5355"/>
      <c r="BV391" s="2636"/>
      <c r="BW391" s="2636"/>
      <c r="BX391" s="5355">
        <f t="shared" si="409"/>
        <v>169.83333333333331</v>
      </c>
      <c r="BY391" s="5470">
        <f t="shared" si="406"/>
        <v>84.916666666666657</v>
      </c>
      <c r="CA391" s="169">
        <f t="shared" si="386"/>
        <v>-30</v>
      </c>
      <c r="CB391" s="169">
        <f t="shared" si="392"/>
        <v>15.208333333333329</v>
      </c>
      <c r="CC391" s="169">
        <f>IFERROR(
  SUM(
    _xlfn.XLOOKUP(DATE(YEAR($A$1),1,1),$2:$2,391:391):
    _xlfn.XLOOKUP($A$1,$2:$2,391:391)
  )
 -SUM(
    _xlfn.XLOOKUP(DATE(YEAR($A$1)-1,1,1),$2:$2,391:391):
    _xlfn.XLOOKUP(EDATE($A$1,-12),$2:$2,391:391)
  ),"")</f>
        <v>-19.166666666666686</v>
      </c>
      <c r="CD391" s="4517">
        <f t="shared" si="387"/>
        <v>-29.166666666666671</v>
      </c>
      <c r="CE391" s="5459"/>
      <c r="CF391" s="5459"/>
    </row>
    <row r="392" spans="1:84" ht="17.600000000000001" x14ac:dyDescent="0.55000000000000004">
      <c r="A392" s="7347"/>
      <c r="B392" s="5468" t="s">
        <v>208</v>
      </c>
      <c r="C392" s="1576"/>
      <c r="D392" s="5542">
        <v>70</v>
      </c>
      <c r="E392" s="5355">
        <v>78.25</v>
      </c>
      <c r="F392" s="5355">
        <v>83.125</v>
      </c>
      <c r="G392" s="5355">
        <v>100.5</v>
      </c>
      <c r="H392" s="5355">
        <v>87.125</v>
      </c>
      <c r="I392" s="5355">
        <v>76.625</v>
      </c>
      <c r="J392" s="5355">
        <v>56.125</v>
      </c>
      <c r="K392" s="5355">
        <v>67.625</v>
      </c>
      <c r="L392" s="5355">
        <v>54.125</v>
      </c>
      <c r="M392" s="5355">
        <v>59.625</v>
      </c>
      <c r="N392" s="5355">
        <v>51.375</v>
      </c>
      <c r="O392" s="5355">
        <v>39.5</v>
      </c>
      <c r="P392" s="5355">
        <f t="shared" si="411"/>
        <v>824</v>
      </c>
      <c r="Q392" s="5543">
        <f t="shared" si="407"/>
        <v>68.666666666666671</v>
      </c>
      <c r="R392" s="2776"/>
      <c r="S392" s="5542">
        <v>39</v>
      </c>
      <c r="T392" s="5355">
        <v>46.375</v>
      </c>
      <c r="U392" s="5355">
        <v>46.375</v>
      </c>
      <c r="V392" s="5355">
        <v>54.5</v>
      </c>
      <c r="W392" s="5355">
        <v>68.666666666666671</v>
      </c>
      <c r="X392" s="5355">
        <v>62.166666666666664</v>
      </c>
      <c r="Y392" s="5355">
        <v>60.833333333333336</v>
      </c>
      <c r="Z392" s="5355">
        <v>68.666666666666671</v>
      </c>
      <c r="AA392" s="5355">
        <v>53.666666666666664</v>
      </c>
      <c r="AB392" s="5355">
        <v>60.666666666666664</v>
      </c>
      <c r="AC392" s="5355">
        <v>67.666666666666671</v>
      </c>
      <c r="AD392" s="5355">
        <v>43.166666666666664</v>
      </c>
      <c r="AE392" s="5355">
        <f t="shared" si="412"/>
        <v>671.75</v>
      </c>
      <c r="AF392" s="5543">
        <f t="shared" si="413"/>
        <v>55.979166666666664</v>
      </c>
      <c r="AG392" s="2776"/>
      <c r="AH392" s="5542">
        <v>50.166666666666664</v>
      </c>
      <c r="AI392" s="5355">
        <v>50.166666666666664</v>
      </c>
      <c r="AJ392" s="5355">
        <v>67</v>
      </c>
      <c r="AK392" s="5355">
        <v>60.333333333333336</v>
      </c>
      <c r="AL392" s="5355">
        <v>88</v>
      </c>
      <c r="AM392" s="5355">
        <v>81.833333333333329</v>
      </c>
      <c r="AN392" s="5544">
        <v>91.166666666666671</v>
      </c>
      <c r="AO392" s="5544">
        <v>93.666666666666671</v>
      </c>
      <c r="AP392" s="5355">
        <v>82.5</v>
      </c>
      <c r="AQ392" s="5355">
        <v>97.333333333333329</v>
      </c>
      <c r="AR392" s="2636">
        <v>95.5</v>
      </c>
      <c r="AS392" s="2636">
        <v>91.833333333333329</v>
      </c>
      <c r="AT392" s="5355">
        <f t="shared" si="388"/>
        <v>949.5</v>
      </c>
      <c r="AU392" s="5543">
        <f t="shared" si="385"/>
        <v>79.125</v>
      </c>
      <c r="AW392" s="5469">
        <v>80.666666666666671</v>
      </c>
      <c r="AX392" s="5355">
        <v>116</v>
      </c>
      <c r="AY392" s="5355">
        <v>113.33333333333333</v>
      </c>
      <c r="AZ392" s="5355">
        <v>95.333333333333329</v>
      </c>
      <c r="BA392" s="5355">
        <v>178.5</v>
      </c>
      <c r="BB392" s="5355">
        <v>139.66666666666666</v>
      </c>
      <c r="BC392" s="5544">
        <v>125.5</v>
      </c>
      <c r="BD392" s="5544">
        <v>94.666666666666671</v>
      </c>
      <c r="BE392" s="5355">
        <v>107.5</v>
      </c>
      <c r="BF392" s="5355">
        <v>97.5</v>
      </c>
      <c r="BG392" s="2636">
        <v>82.5</v>
      </c>
      <c r="BH392" s="2636">
        <v>84.333333333333329</v>
      </c>
      <c r="BI392" s="5355">
        <f t="shared" si="408"/>
        <v>1315.4999999999998</v>
      </c>
      <c r="BJ392" s="5543">
        <f t="shared" si="410"/>
        <v>109.62499999999999</v>
      </c>
      <c r="BL392" s="5469">
        <v>116</v>
      </c>
      <c r="BM392" s="5355">
        <v>78.166666666666671</v>
      </c>
      <c r="BN392" s="5355"/>
      <c r="BO392" s="5355"/>
      <c r="BP392" s="5355"/>
      <c r="BQ392" s="5355"/>
      <c r="BR392" s="5544"/>
      <c r="BS392" s="5544"/>
      <c r="BT392" s="5355"/>
      <c r="BU392" s="5355"/>
      <c r="BV392" s="2636"/>
      <c r="BW392" s="2636"/>
      <c r="BX392" s="5355">
        <f t="shared" si="409"/>
        <v>194.16666666666669</v>
      </c>
      <c r="BY392" s="5470">
        <f t="shared" si="406"/>
        <v>97.083333333333343</v>
      </c>
      <c r="CA392" s="169">
        <f t="shared" si="386"/>
        <v>-37.833333333333329</v>
      </c>
      <c r="CB392" s="169">
        <f t="shared" si="392"/>
        <v>30.499999999999986</v>
      </c>
      <c r="CC392" s="169">
        <f>IFERROR(
  SUM(
    _xlfn.XLOOKUP(DATE(YEAR($A$1),1,1),$2:$2,392:392):
    _xlfn.XLOOKUP($A$1,$2:$2,392:392)
  )
 -SUM(
    _xlfn.XLOOKUP(DATE(YEAR($A$1)-1,1,1),$2:$2,392:392):
    _xlfn.XLOOKUP(EDATE($A$1,-12),$2:$2,392:392)
  ),"")</f>
        <v>-2.5</v>
      </c>
      <c r="CD392" s="4517">
        <f t="shared" si="387"/>
        <v>-37.833333333333329</v>
      </c>
      <c r="CE392" s="5459"/>
      <c r="CF392" s="5459"/>
    </row>
    <row r="393" spans="1:84" ht="17.600000000000001" x14ac:dyDescent="0.55000000000000004">
      <c r="A393" s="7347"/>
      <c r="B393" s="5468" t="s">
        <v>209</v>
      </c>
      <c r="C393" s="1576"/>
      <c r="D393" s="5542">
        <v>63.615384615384613</v>
      </c>
      <c r="E393" s="5355">
        <v>61.846153846153847</v>
      </c>
      <c r="F393" s="5355">
        <v>67</v>
      </c>
      <c r="G393" s="5355">
        <v>68.615384615384613</v>
      </c>
      <c r="H393" s="5355">
        <v>74.615384615384613</v>
      </c>
      <c r="I393" s="5355">
        <v>73.538461538461533</v>
      </c>
      <c r="J393" s="5355">
        <v>58.92307692307692</v>
      </c>
      <c r="K393" s="5355">
        <v>69.84615384615384</v>
      </c>
      <c r="L393" s="5355">
        <v>56.46153846153846</v>
      </c>
      <c r="M393" s="5355">
        <v>54.692307692307693</v>
      </c>
      <c r="N393" s="5355">
        <v>45.692307692307693</v>
      </c>
      <c r="O393" s="5355">
        <v>30.23076923076923</v>
      </c>
      <c r="P393" s="5355">
        <f t="shared" si="411"/>
        <v>725.07692307692321</v>
      </c>
      <c r="Q393" s="5543">
        <f t="shared" si="407"/>
        <v>60.423076923076934</v>
      </c>
      <c r="R393" s="2776"/>
      <c r="S393" s="5542">
        <v>44.46153846153846</v>
      </c>
      <c r="T393" s="5355">
        <v>51.307692307692307</v>
      </c>
      <c r="U393" s="5355">
        <v>50</v>
      </c>
      <c r="V393" s="5355">
        <v>57.363636363636367</v>
      </c>
      <c r="W393" s="5355">
        <v>73.818181818181813</v>
      </c>
      <c r="X393" s="5355">
        <v>63.18181818181818</v>
      </c>
      <c r="Y393" s="5355">
        <v>55.272727272727273</v>
      </c>
      <c r="Z393" s="5355">
        <v>75.36363636363636</v>
      </c>
      <c r="AA393" s="5355">
        <v>63.81818181818182</v>
      </c>
      <c r="AB393" s="5355">
        <v>73</v>
      </c>
      <c r="AC393" s="5355">
        <v>64.818181818181813</v>
      </c>
      <c r="AD393" s="5355">
        <v>46.909090909090907</v>
      </c>
      <c r="AE393" s="5355">
        <f t="shared" si="412"/>
        <v>719.31468531468533</v>
      </c>
      <c r="AF393" s="5543">
        <f t="shared" si="413"/>
        <v>59.942890442890445</v>
      </c>
      <c r="AG393" s="2776"/>
      <c r="AH393" s="5542">
        <v>84.36363636363636</v>
      </c>
      <c r="AI393" s="5355">
        <v>77.818181818181813</v>
      </c>
      <c r="AJ393" s="5355">
        <v>85.909090909090907</v>
      </c>
      <c r="AK393" s="5355">
        <v>81.090909090909093</v>
      </c>
      <c r="AL393" s="5355">
        <v>92.727272727272734</v>
      </c>
      <c r="AM393" s="5355">
        <v>77.090909090909093</v>
      </c>
      <c r="AN393" s="5544">
        <v>80.36363636363636</v>
      </c>
      <c r="AO393" s="5544">
        <v>77.090909090909093</v>
      </c>
      <c r="AP393" s="5355">
        <v>78.272727272727266</v>
      </c>
      <c r="AQ393" s="5355">
        <v>91.909090909090907</v>
      </c>
      <c r="AR393" s="2636">
        <v>101.45454545454545</v>
      </c>
      <c r="AS393" s="2636">
        <v>101.54545454545455</v>
      </c>
      <c r="AT393" s="5355">
        <f t="shared" si="388"/>
        <v>1029.6363636363637</v>
      </c>
      <c r="AU393" s="5543">
        <f t="shared" si="385"/>
        <v>85.803030303030312</v>
      </c>
      <c r="AW393" s="5469">
        <v>95.36363636363636</v>
      </c>
      <c r="AX393" s="5355">
        <v>116.27272727272727</v>
      </c>
      <c r="AY393" s="5355">
        <v>106.27272727272727</v>
      </c>
      <c r="AZ393" s="5355">
        <v>126.63636363636364</v>
      </c>
      <c r="BA393" s="5355">
        <v>258.54545454545456</v>
      </c>
      <c r="BB393" s="5355">
        <v>244</v>
      </c>
      <c r="BC393" s="5544">
        <v>193.27272727272728</v>
      </c>
      <c r="BD393" s="5544">
        <v>128.63636363636363</v>
      </c>
      <c r="BE393" s="5355">
        <v>115.18181818181819</v>
      </c>
      <c r="BF393" s="5355">
        <v>123.45454545454545</v>
      </c>
      <c r="BG393" s="2636">
        <v>116.81818181818181</v>
      </c>
      <c r="BH393" s="2636">
        <v>106.18181818181819</v>
      </c>
      <c r="BI393" s="5355">
        <f t="shared" si="408"/>
        <v>1730.6363636363637</v>
      </c>
      <c r="BJ393" s="5543">
        <f t="shared" si="410"/>
        <v>144.21969696969697</v>
      </c>
      <c r="BL393" s="5469">
        <v>116</v>
      </c>
      <c r="BM393" s="5355">
        <v>77.909090909090907</v>
      </c>
      <c r="BN393" s="5355"/>
      <c r="BO393" s="5355"/>
      <c r="BP393" s="5355"/>
      <c r="BQ393" s="5355"/>
      <c r="BR393" s="5544"/>
      <c r="BS393" s="5544"/>
      <c r="BT393" s="5355"/>
      <c r="BU393" s="5355"/>
      <c r="BV393" s="2636"/>
      <c r="BW393" s="2636"/>
      <c r="BX393" s="5355">
        <f t="shared" si="409"/>
        <v>193.90909090909091</v>
      </c>
      <c r="BY393" s="5470">
        <f t="shared" si="406"/>
        <v>96.954545454545453</v>
      </c>
      <c r="CA393" s="169">
        <f t="shared" si="386"/>
        <v>-38.36363636363636</v>
      </c>
      <c r="CB393" s="169">
        <f t="shared" si="392"/>
        <v>58.416666666666657</v>
      </c>
      <c r="CC393" s="169">
        <f>IFERROR(
  SUM(
    _xlfn.XLOOKUP(DATE(YEAR($A$1),1,1),$2:$2,393:393):
    _xlfn.XLOOKUP($A$1,$2:$2,393:393)
  )
 -SUM(
    _xlfn.XLOOKUP(DATE(YEAR($A$1)-1,1,1),$2:$2,393:393):
    _xlfn.XLOOKUP(EDATE($A$1,-12),$2:$2,393:393)
  ),"")</f>
        <v>-17.72727272727272</v>
      </c>
      <c r="CD393" s="4517">
        <f t="shared" si="387"/>
        <v>-38.090909090909093</v>
      </c>
      <c r="CE393" s="5459"/>
      <c r="CF393" s="5459"/>
    </row>
    <row r="394" spans="1:84" ht="17.600000000000001" x14ac:dyDescent="0.55000000000000004">
      <c r="A394" s="7347"/>
      <c r="B394" s="5471" t="s">
        <v>210</v>
      </c>
      <c r="C394" s="1813"/>
      <c r="D394" s="5545">
        <v>58.46153846153846</v>
      </c>
      <c r="E394" s="5546">
        <v>57.692307692307693</v>
      </c>
      <c r="F394" s="5546">
        <v>53.307692307692307</v>
      </c>
      <c r="G394" s="5546">
        <v>66.538461538461533</v>
      </c>
      <c r="H394" s="5546">
        <v>66.538461538461533</v>
      </c>
      <c r="I394" s="5546">
        <v>64.307692307692307</v>
      </c>
      <c r="J394" s="5546">
        <v>46.07692307692308</v>
      </c>
      <c r="K394" s="5546">
        <v>55.53846153846154</v>
      </c>
      <c r="L394" s="5546">
        <v>48.692307692307693</v>
      </c>
      <c r="M394" s="5546">
        <v>48.46153846153846</v>
      </c>
      <c r="N394" s="5546">
        <v>49.92307692307692</v>
      </c>
      <c r="O394" s="5546">
        <v>45.692307692307693</v>
      </c>
      <c r="P394" s="5546">
        <f t="shared" si="411"/>
        <v>661.23076923076928</v>
      </c>
      <c r="Q394" s="5547">
        <f t="shared" si="407"/>
        <v>55.102564102564109</v>
      </c>
      <c r="R394" s="2776"/>
      <c r="S394" s="5545">
        <v>46.53846153846154</v>
      </c>
      <c r="T394" s="5546">
        <v>56.153846153846153</v>
      </c>
      <c r="U394" s="5546">
        <v>53.153846153846153</v>
      </c>
      <c r="V394" s="5546">
        <v>64.2</v>
      </c>
      <c r="W394" s="5546">
        <v>77.599999999999994</v>
      </c>
      <c r="X394" s="5546">
        <v>60.3</v>
      </c>
      <c r="Y394" s="5546">
        <v>54.8</v>
      </c>
      <c r="Z394" s="5546">
        <v>80.400000000000006</v>
      </c>
      <c r="AA394" s="5546">
        <v>63.5</v>
      </c>
      <c r="AB394" s="5546">
        <v>72.599999999999994</v>
      </c>
      <c r="AC394" s="5546">
        <v>67.400000000000006</v>
      </c>
      <c r="AD394" s="5546">
        <v>50.2</v>
      </c>
      <c r="AE394" s="5546">
        <f t="shared" si="412"/>
        <v>746.84615384615392</v>
      </c>
      <c r="AF394" s="5547">
        <f t="shared" si="413"/>
        <v>62.237179487179496</v>
      </c>
      <c r="AG394" s="2776"/>
      <c r="AH394" s="5545">
        <v>75.099999999999994</v>
      </c>
      <c r="AI394" s="5546">
        <v>61</v>
      </c>
      <c r="AJ394" s="5546">
        <v>65.099999999999994</v>
      </c>
      <c r="AK394" s="5546">
        <v>67.900000000000006</v>
      </c>
      <c r="AL394" s="5546">
        <v>71.400000000000006</v>
      </c>
      <c r="AM394" s="5546">
        <v>66.900000000000006</v>
      </c>
      <c r="AN394" s="5548">
        <v>73.7</v>
      </c>
      <c r="AO394" s="5548">
        <v>58.8</v>
      </c>
      <c r="AP394" s="5546">
        <v>64</v>
      </c>
      <c r="AQ394" s="5546">
        <v>79.3</v>
      </c>
      <c r="AR394" s="5473">
        <v>97.8</v>
      </c>
      <c r="AS394" s="5473">
        <v>85.7</v>
      </c>
      <c r="AT394" s="5546">
        <f t="shared" si="388"/>
        <v>866.69999999999993</v>
      </c>
      <c r="AU394" s="5547">
        <f t="shared" si="385"/>
        <v>72.224999999999994</v>
      </c>
      <c r="AW394" s="5472">
        <v>81.900000000000006</v>
      </c>
      <c r="AX394" s="5546">
        <v>107.3</v>
      </c>
      <c r="AY394" s="5546">
        <v>91.6</v>
      </c>
      <c r="AZ394" s="5546">
        <v>94.5</v>
      </c>
      <c r="BA394" s="5546">
        <v>142.5</v>
      </c>
      <c r="BB394" s="5546">
        <v>109.1</v>
      </c>
      <c r="BC394" s="5548">
        <v>110.6</v>
      </c>
      <c r="BD394" s="5548">
        <v>72.3</v>
      </c>
      <c r="BE394" s="5546">
        <v>84.3</v>
      </c>
      <c r="BF394" s="5546">
        <v>71.7</v>
      </c>
      <c r="BG394" s="5473">
        <v>76.099999999999994</v>
      </c>
      <c r="BH394" s="5473">
        <v>71.400000000000006</v>
      </c>
      <c r="BI394" s="5546">
        <f t="shared" si="408"/>
        <v>1113.3</v>
      </c>
      <c r="BJ394" s="5547">
        <f t="shared" si="410"/>
        <v>92.774999999999991</v>
      </c>
      <c r="BL394" s="5472">
        <v>74.2</v>
      </c>
      <c r="BM394" s="5546">
        <v>64.599999999999994</v>
      </c>
      <c r="BN394" s="5546"/>
      <c r="BO394" s="5546"/>
      <c r="BP394" s="5546"/>
      <c r="BQ394" s="5546"/>
      <c r="BR394" s="5548"/>
      <c r="BS394" s="5548"/>
      <c r="BT394" s="5546"/>
      <c r="BU394" s="5546"/>
      <c r="BV394" s="5473"/>
      <c r="BW394" s="5473"/>
      <c r="BX394" s="5546">
        <f t="shared" si="409"/>
        <v>138.80000000000001</v>
      </c>
      <c r="BY394" s="5474">
        <f t="shared" si="406"/>
        <v>69.400000000000006</v>
      </c>
      <c r="CA394" s="169">
        <f t="shared" si="386"/>
        <v>-42.7</v>
      </c>
      <c r="CB394" s="169">
        <f t="shared" si="392"/>
        <v>20.549999999999997</v>
      </c>
      <c r="CC394" s="169">
        <f>IFERROR(
  SUM(
    _xlfn.XLOOKUP(DATE(YEAR($A$1),1,1),$2:$2,394:394):
    _xlfn.XLOOKUP($A$1,$2:$2,394:394)
  )
 -SUM(
    _xlfn.XLOOKUP(DATE(YEAR($A$1)-1,1,1),$2:$2,394:394):
    _xlfn.XLOOKUP(EDATE($A$1,-12),$2:$2,394:394)
  ),"")</f>
        <v>-50.399999999999977</v>
      </c>
      <c r="CD394" s="4517">
        <f t="shared" si="387"/>
        <v>-9.6000000000000085</v>
      </c>
      <c r="CE394" s="5459"/>
      <c r="CF394" s="5459"/>
    </row>
    <row r="395" spans="1:84" s="698" customFormat="1" ht="17.600000000000001" x14ac:dyDescent="0.55000000000000004">
      <c r="A395" s="7347"/>
      <c r="B395" s="5475"/>
      <c r="C395" s="2156" t="s">
        <v>226</v>
      </c>
      <c r="D395" s="5549">
        <v>73.666666666666671</v>
      </c>
      <c r="E395" s="5550">
        <v>85.333333333333329</v>
      </c>
      <c r="F395" s="5550">
        <v>87.5</v>
      </c>
      <c r="G395" s="5550">
        <v>118.33333333333333</v>
      </c>
      <c r="H395" s="5550">
        <v>150.33333333333334</v>
      </c>
      <c r="I395" s="5550">
        <v>129.66666666666666</v>
      </c>
      <c r="J395" s="5550">
        <v>79.833333333333329</v>
      </c>
      <c r="K395" s="5550">
        <v>76.333333333333329</v>
      </c>
      <c r="L395" s="5550">
        <v>83.666666666666671</v>
      </c>
      <c r="M395" s="5550">
        <v>99.666666666666671</v>
      </c>
      <c r="N395" s="5550">
        <v>70.166666666666671</v>
      </c>
      <c r="O395" s="5550">
        <v>74.833333333333329</v>
      </c>
      <c r="P395" s="5550">
        <f t="shared" si="411"/>
        <v>1129.3333333333333</v>
      </c>
      <c r="Q395" s="5551">
        <f t="shared" si="407"/>
        <v>94.1111111111111</v>
      </c>
      <c r="R395" s="5479"/>
      <c r="S395" s="5549">
        <v>68</v>
      </c>
      <c r="T395" s="5550">
        <v>93.833333333333329</v>
      </c>
      <c r="U395" s="5550">
        <v>81</v>
      </c>
      <c r="V395" s="5550">
        <v>61.166666666666664</v>
      </c>
      <c r="W395" s="5550">
        <v>77.166666666666671</v>
      </c>
      <c r="X395" s="5550">
        <v>75.833333333333329</v>
      </c>
      <c r="Y395" s="5550">
        <v>65</v>
      </c>
      <c r="Z395" s="5550">
        <v>86.833333333333329</v>
      </c>
      <c r="AA395" s="5550">
        <v>83</v>
      </c>
      <c r="AB395" s="5550">
        <v>71</v>
      </c>
      <c r="AC395" s="5550">
        <v>83.166666666666671</v>
      </c>
      <c r="AD395" s="5550">
        <v>45.666666666666664</v>
      </c>
      <c r="AE395" s="5550">
        <f t="shared" si="412"/>
        <v>891.66666666666663</v>
      </c>
      <c r="AF395" s="5551">
        <f t="shared" si="413"/>
        <v>74.305555555555557</v>
      </c>
      <c r="AG395" s="5479"/>
      <c r="AH395" s="5549">
        <v>89.166666666666671</v>
      </c>
      <c r="AI395" s="5550">
        <v>55</v>
      </c>
      <c r="AJ395" s="5550">
        <v>62.5</v>
      </c>
      <c r="AK395" s="5550">
        <v>55.666666666666664</v>
      </c>
      <c r="AL395" s="5550">
        <v>78.833333333333329</v>
      </c>
      <c r="AM395" s="5550">
        <v>74</v>
      </c>
      <c r="AN395" s="5552">
        <v>87.833333333333329</v>
      </c>
      <c r="AO395" s="5552">
        <v>93.666666666666671</v>
      </c>
      <c r="AP395" s="5550">
        <v>85.166666666666671</v>
      </c>
      <c r="AQ395" s="5550">
        <v>103.33333333333333</v>
      </c>
      <c r="AR395" s="5477">
        <v>81.833333333333329</v>
      </c>
      <c r="AS395" s="5477">
        <v>68.833333333333329</v>
      </c>
      <c r="AT395" s="5550">
        <f t="shared" si="388"/>
        <v>935.83333333333337</v>
      </c>
      <c r="AU395" s="5551">
        <f t="shared" si="385"/>
        <v>77.986111111111114</v>
      </c>
      <c r="AW395" s="5476">
        <v>65.666666666666671</v>
      </c>
      <c r="AX395" s="5550">
        <v>94.833333333333329</v>
      </c>
      <c r="AY395" s="5550">
        <v>75.333333333333329</v>
      </c>
      <c r="AZ395" s="5550">
        <v>77.5</v>
      </c>
      <c r="BA395" s="5550">
        <v>164</v>
      </c>
      <c r="BB395" s="5550">
        <v>98.5</v>
      </c>
      <c r="BC395" s="5552">
        <v>89.111111111111114</v>
      </c>
      <c r="BD395" s="5552">
        <v>72.222222222222229</v>
      </c>
      <c r="BE395" s="5550">
        <v>74.777777777777771</v>
      </c>
      <c r="BF395" s="5550">
        <v>65.555555555555557</v>
      </c>
      <c r="BG395" s="5477">
        <v>71</v>
      </c>
      <c r="BH395" s="5477">
        <v>81.111111111111114</v>
      </c>
      <c r="BI395" s="5550">
        <f t="shared" si="408"/>
        <v>1029.6111111111111</v>
      </c>
      <c r="BJ395" s="5551">
        <f t="shared" si="410"/>
        <v>85.800925925925924</v>
      </c>
      <c r="BL395" s="5476">
        <v>74.777777777777771</v>
      </c>
      <c r="BM395" s="5550">
        <v>48.333333333333336</v>
      </c>
      <c r="BN395" s="5550"/>
      <c r="BO395" s="5550"/>
      <c r="BP395" s="5550"/>
      <c r="BQ395" s="5550"/>
      <c r="BR395" s="5552"/>
      <c r="BS395" s="5552"/>
      <c r="BT395" s="5550"/>
      <c r="BU395" s="5550"/>
      <c r="BV395" s="5477"/>
      <c r="BW395" s="5477"/>
      <c r="BX395" s="5550">
        <f t="shared" si="409"/>
        <v>123.11111111111111</v>
      </c>
      <c r="BY395" s="5478">
        <f t="shared" si="406"/>
        <v>61.555555555555557</v>
      </c>
      <c r="CA395" s="169">
        <f t="shared" si="386"/>
        <v>-46.499999999999993</v>
      </c>
      <c r="CB395" s="169">
        <f t="shared" si="392"/>
        <v>7.8148148148148096</v>
      </c>
      <c r="CC395" s="169">
        <f>IFERROR(
  SUM(
    _xlfn.XLOOKUP(DATE(YEAR($A$1),1,1),$2:$2,395:395):
    _xlfn.XLOOKUP($A$1,$2:$2,395:395)
  )
 -SUM(
    _xlfn.XLOOKUP(DATE(YEAR($A$1)-1,1,1),$2:$2,395:395):
    _xlfn.XLOOKUP(EDATE($A$1,-12),$2:$2,395:395)
  ),"")</f>
        <v>-37.388888888888886</v>
      </c>
      <c r="CD395" s="4517">
        <f t="shared" si="387"/>
        <v>-26.444444444444436</v>
      </c>
      <c r="CE395" s="5459"/>
      <c r="CF395" s="5459"/>
    </row>
    <row r="396" spans="1:84" s="698" customFormat="1" ht="17.600000000000001" x14ac:dyDescent="0.55000000000000004">
      <c r="A396" s="7347"/>
      <c r="B396" s="5480"/>
      <c r="C396" s="681" t="s">
        <v>227</v>
      </c>
      <c r="D396" s="5553">
        <v>95.666666666666671</v>
      </c>
      <c r="E396" s="5554">
        <v>112.5</v>
      </c>
      <c r="F396" s="5554">
        <v>121.83333333333333</v>
      </c>
      <c r="G396" s="5554">
        <v>151.66666666666666</v>
      </c>
      <c r="H396" s="5554">
        <v>152.16666666666666</v>
      </c>
      <c r="I396" s="5554">
        <v>112.33333333333333</v>
      </c>
      <c r="J396" s="5554">
        <v>80.333333333333329</v>
      </c>
      <c r="K396" s="5554">
        <v>103.66666666666667</v>
      </c>
      <c r="L396" s="5554">
        <v>66.166666666666671</v>
      </c>
      <c r="M396" s="5554">
        <v>90.833333333333329</v>
      </c>
      <c r="N396" s="5554">
        <v>81.5</v>
      </c>
      <c r="O396" s="5554">
        <v>67</v>
      </c>
      <c r="P396" s="5554">
        <f t="shared" si="411"/>
        <v>1235.6666666666665</v>
      </c>
      <c r="Q396" s="5555">
        <f t="shared" si="407"/>
        <v>102.97222222222221</v>
      </c>
      <c r="R396" s="5479"/>
      <c r="S396" s="5553">
        <v>71.666666666666671</v>
      </c>
      <c r="T396" s="5554">
        <v>81.166666666666671</v>
      </c>
      <c r="U396" s="5554">
        <v>63</v>
      </c>
      <c r="V396" s="5554">
        <v>45.833333333333336</v>
      </c>
      <c r="W396" s="5554">
        <v>64.333333333333329</v>
      </c>
      <c r="X396" s="5554">
        <v>49.166666666666664</v>
      </c>
      <c r="Y396" s="5554">
        <v>51</v>
      </c>
      <c r="Z396" s="5554">
        <v>61.666666666666664</v>
      </c>
      <c r="AA396" s="5554">
        <v>57.666666666666664</v>
      </c>
      <c r="AB396" s="5554">
        <v>68.166666666666671</v>
      </c>
      <c r="AC396" s="5554">
        <v>63</v>
      </c>
      <c r="AD396" s="5554">
        <v>40.833333333333336</v>
      </c>
      <c r="AE396" s="5554">
        <f t="shared" si="412"/>
        <v>717.5</v>
      </c>
      <c r="AF396" s="5555">
        <f t="shared" si="413"/>
        <v>59.791666666666664</v>
      </c>
      <c r="AG396" s="5479"/>
      <c r="AH396" s="5553">
        <v>57</v>
      </c>
      <c r="AI396" s="5554">
        <v>50.166666666666664</v>
      </c>
      <c r="AJ396" s="5554">
        <v>74.333333333333329</v>
      </c>
      <c r="AK396" s="5554">
        <v>71</v>
      </c>
      <c r="AL396" s="5554">
        <v>67.666666666666671</v>
      </c>
      <c r="AM396" s="5554">
        <v>80.333333333333329</v>
      </c>
      <c r="AN396" s="5556">
        <v>79.666666666666671</v>
      </c>
      <c r="AO396" s="5556">
        <v>112.33333333333333</v>
      </c>
      <c r="AP396" s="5554">
        <v>117.83333333333333</v>
      </c>
      <c r="AQ396" s="5554">
        <v>118.16666666666667</v>
      </c>
      <c r="AR396" s="5482">
        <v>99</v>
      </c>
      <c r="AS396" s="5482">
        <v>97.833333333333329</v>
      </c>
      <c r="AT396" s="5554">
        <f t="shared" si="388"/>
        <v>1025.3333333333333</v>
      </c>
      <c r="AU396" s="5555">
        <f t="shared" si="385"/>
        <v>85.444444444444443</v>
      </c>
      <c r="AW396" s="5481">
        <v>88.666666666666671</v>
      </c>
      <c r="AX396" s="5554">
        <v>100.33333333333333</v>
      </c>
      <c r="AY396" s="5554">
        <v>81.5</v>
      </c>
      <c r="AZ396" s="5554">
        <v>76.166666666666671</v>
      </c>
      <c r="BA396" s="5554">
        <v>172.5</v>
      </c>
      <c r="BB396" s="5554">
        <v>108.83333333333333</v>
      </c>
      <c r="BC396" s="5556">
        <v>102.83333333333333</v>
      </c>
      <c r="BD396" s="5556">
        <v>101</v>
      </c>
      <c r="BE396" s="5554">
        <v>101.16666666666667</v>
      </c>
      <c r="BF396" s="5554">
        <v>92.666666666666671</v>
      </c>
      <c r="BG396" s="5482">
        <v>86.833333333333329</v>
      </c>
      <c r="BH396" s="5482">
        <v>95.333333333333329</v>
      </c>
      <c r="BI396" s="5554">
        <f t="shared" si="408"/>
        <v>1207.8333333333333</v>
      </c>
      <c r="BJ396" s="5555">
        <f t="shared" si="410"/>
        <v>100.65277777777777</v>
      </c>
      <c r="BL396" s="5481">
        <v>99.5</v>
      </c>
      <c r="BM396" s="5554">
        <v>70.333333333333329</v>
      </c>
      <c r="BN396" s="5554"/>
      <c r="BO396" s="5554"/>
      <c r="BP396" s="5554"/>
      <c r="BQ396" s="5554"/>
      <c r="BR396" s="5556"/>
      <c r="BS396" s="5556"/>
      <c r="BT396" s="5554"/>
      <c r="BU396" s="5554"/>
      <c r="BV396" s="5482"/>
      <c r="BW396" s="5482"/>
      <c r="BX396" s="5554">
        <f t="shared" si="409"/>
        <v>169.83333333333331</v>
      </c>
      <c r="BY396" s="5483">
        <f t="shared" si="406"/>
        <v>84.916666666666657</v>
      </c>
      <c r="CA396" s="169">
        <f t="shared" si="386"/>
        <v>-30</v>
      </c>
      <c r="CB396" s="169">
        <f t="shared" si="392"/>
        <v>15.208333333333329</v>
      </c>
      <c r="CC396" s="169">
        <f>IFERROR(
  SUM(
    _xlfn.XLOOKUP(DATE(YEAR($A$1),1,1),$2:$2,396:396):
    _xlfn.XLOOKUP($A$1,$2:$2,396:396)
  )
 -SUM(
    _xlfn.XLOOKUP(DATE(YEAR($A$1)-1,1,1),$2:$2,396:396):
    _xlfn.XLOOKUP(EDATE($A$1,-12),$2:$2,396:396)
  ),"")</f>
        <v>-19.166666666666686</v>
      </c>
      <c r="CD396" s="4517">
        <f t="shared" si="387"/>
        <v>-29.166666666666671</v>
      </c>
      <c r="CE396" s="5459"/>
      <c r="CF396" s="5459"/>
    </row>
    <row r="397" spans="1:84" s="698" customFormat="1" ht="17.600000000000001" x14ac:dyDescent="0.55000000000000004">
      <c r="A397" s="7347"/>
      <c r="B397" s="5480"/>
      <c r="C397" s="804" t="s">
        <v>228</v>
      </c>
      <c r="D397" s="5557">
        <v>70</v>
      </c>
      <c r="E397" s="5558">
        <v>78.25</v>
      </c>
      <c r="F397" s="5558">
        <v>83.125</v>
      </c>
      <c r="G397" s="5558">
        <v>100.5</v>
      </c>
      <c r="H397" s="5558">
        <v>87.125</v>
      </c>
      <c r="I397" s="5558">
        <v>76.625</v>
      </c>
      <c r="J397" s="5558">
        <v>56.125</v>
      </c>
      <c r="K397" s="5558">
        <v>67.625</v>
      </c>
      <c r="L397" s="5558">
        <v>54.125</v>
      </c>
      <c r="M397" s="5558">
        <v>59.625</v>
      </c>
      <c r="N397" s="5558">
        <v>51.375</v>
      </c>
      <c r="O397" s="5558">
        <v>39.5</v>
      </c>
      <c r="P397" s="5558">
        <f t="shared" si="411"/>
        <v>824</v>
      </c>
      <c r="Q397" s="5559">
        <f t="shared" si="407"/>
        <v>68.666666666666671</v>
      </c>
      <c r="R397" s="5479"/>
      <c r="S397" s="5557">
        <v>39</v>
      </c>
      <c r="T397" s="5558">
        <v>46.375</v>
      </c>
      <c r="U397" s="5558">
        <v>46.375</v>
      </c>
      <c r="V397" s="5558">
        <v>54.5</v>
      </c>
      <c r="W397" s="5558">
        <v>68.666666666666671</v>
      </c>
      <c r="X397" s="5558">
        <v>62.166666666666664</v>
      </c>
      <c r="Y397" s="5558">
        <v>60.833333333333336</v>
      </c>
      <c r="Z397" s="5558">
        <v>68.666666666666671</v>
      </c>
      <c r="AA397" s="5558">
        <v>53.666666666666664</v>
      </c>
      <c r="AB397" s="5558">
        <v>60.666666666666664</v>
      </c>
      <c r="AC397" s="5558">
        <v>67.666666666666671</v>
      </c>
      <c r="AD397" s="5558">
        <v>43.166666666666664</v>
      </c>
      <c r="AE397" s="5558">
        <f t="shared" si="412"/>
        <v>671.75</v>
      </c>
      <c r="AF397" s="5559">
        <f t="shared" si="413"/>
        <v>55.979166666666664</v>
      </c>
      <c r="AG397" s="5479"/>
      <c r="AH397" s="5557">
        <v>50.166666666666664</v>
      </c>
      <c r="AI397" s="5558">
        <v>50.166666666666664</v>
      </c>
      <c r="AJ397" s="5558">
        <v>67</v>
      </c>
      <c r="AK397" s="5558">
        <v>60.333333333333336</v>
      </c>
      <c r="AL397" s="5558">
        <v>88</v>
      </c>
      <c r="AM397" s="5558">
        <v>81.833333333333329</v>
      </c>
      <c r="AN397" s="5560">
        <v>91.166666666666671</v>
      </c>
      <c r="AO397" s="5560">
        <v>93.666666666666671</v>
      </c>
      <c r="AP397" s="5558">
        <v>82.5</v>
      </c>
      <c r="AQ397" s="5558">
        <v>97.333333333333329</v>
      </c>
      <c r="AR397" s="5485">
        <v>95.5</v>
      </c>
      <c r="AS397" s="5485">
        <v>91.833333333333329</v>
      </c>
      <c r="AT397" s="5558">
        <f t="shared" si="388"/>
        <v>949.5</v>
      </c>
      <c r="AU397" s="5559">
        <f t="shared" si="385"/>
        <v>79.125</v>
      </c>
      <c r="AW397" s="5484">
        <v>80.666666666666671</v>
      </c>
      <c r="AX397" s="5558">
        <v>116</v>
      </c>
      <c r="AY397" s="5558">
        <v>113.33333333333333</v>
      </c>
      <c r="AZ397" s="5558">
        <v>95.333333333333329</v>
      </c>
      <c r="BA397" s="5558">
        <v>178.5</v>
      </c>
      <c r="BB397" s="5558">
        <v>139.66666666666666</v>
      </c>
      <c r="BC397" s="5560">
        <v>125.5</v>
      </c>
      <c r="BD397" s="5560">
        <v>94.666666666666671</v>
      </c>
      <c r="BE397" s="5558">
        <v>107.5</v>
      </c>
      <c r="BF397" s="5558">
        <v>97.5</v>
      </c>
      <c r="BG397" s="5485">
        <v>82.5</v>
      </c>
      <c r="BH397" s="5485">
        <v>84.333333333333329</v>
      </c>
      <c r="BI397" s="5558">
        <f t="shared" si="408"/>
        <v>1315.4999999999998</v>
      </c>
      <c r="BJ397" s="5559">
        <f t="shared" si="410"/>
        <v>109.62499999999999</v>
      </c>
      <c r="BL397" s="5484">
        <v>116</v>
      </c>
      <c r="BM397" s="5558">
        <v>78.166666666666671</v>
      </c>
      <c r="BN397" s="5558"/>
      <c r="BO397" s="5558"/>
      <c r="BP397" s="5558"/>
      <c r="BQ397" s="5558"/>
      <c r="BR397" s="5560"/>
      <c r="BS397" s="5560"/>
      <c r="BT397" s="5558"/>
      <c r="BU397" s="5558"/>
      <c r="BV397" s="5485"/>
      <c r="BW397" s="5485"/>
      <c r="BX397" s="5558">
        <f t="shared" si="409"/>
        <v>194.16666666666669</v>
      </c>
      <c r="BY397" s="5486">
        <f t="shared" si="406"/>
        <v>97.083333333333343</v>
      </c>
      <c r="CA397" s="169">
        <f t="shared" si="386"/>
        <v>-37.833333333333329</v>
      </c>
      <c r="CB397" s="169">
        <f t="shared" si="392"/>
        <v>30.499999999999986</v>
      </c>
      <c r="CC397" s="169">
        <f>IFERROR(
  SUM(
    _xlfn.XLOOKUP(DATE(YEAR($A$1),1,1),$2:$2,397:397):
    _xlfn.XLOOKUP($A$1,$2:$2,397:397)
  )
 -SUM(
    _xlfn.XLOOKUP(DATE(YEAR($A$1)-1,1,1),$2:$2,397:397):
    _xlfn.XLOOKUP(EDATE($A$1,-12),$2:$2,397:397)
  ),"")</f>
        <v>-2.5</v>
      </c>
      <c r="CD397" s="4517">
        <f t="shared" si="387"/>
        <v>-37.833333333333329</v>
      </c>
      <c r="CE397" s="5459"/>
      <c r="CF397" s="5459"/>
    </row>
    <row r="398" spans="1:84" s="698" customFormat="1" ht="17.600000000000001" x14ac:dyDescent="0.55000000000000004">
      <c r="A398" s="7347"/>
      <c r="B398" s="5480"/>
      <c r="C398" s="681" t="s">
        <v>229</v>
      </c>
      <c r="D398" s="5553">
        <v>55</v>
      </c>
      <c r="E398" s="5554">
        <v>50.714285714285715</v>
      </c>
      <c r="F398" s="5554">
        <v>59.857142857142854</v>
      </c>
      <c r="G398" s="5554">
        <v>60.571428571428569</v>
      </c>
      <c r="H398" s="5554">
        <v>67.428571428571431</v>
      </c>
      <c r="I398" s="5554">
        <v>76.714285714285708</v>
      </c>
      <c r="J398" s="5554">
        <v>67.714285714285708</v>
      </c>
      <c r="K398" s="5554">
        <v>74.857142857142861</v>
      </c>
      <c r="L398" s="5554">
        <v>66.142857142857139</v>
      </c>
      <c r="M398" s="5554">
        <v>63.428571428571431</v>
      </c>
      <c r="N398" s="5554">
        <v>54.571428571428569</v>
      </c>
      <c r="O398" s="5554">
        <v>41</v>
      </c>
      <c r="P398" s="5554">
        <f t="shared" si="411"/>
        <v>738</v>
      </c>
      <c r="Q398" s="5555">
        <f t="shared" si="407"/>
        <v>61.5</v>
      </c>
      <c r="R398" s="5479"/>
      <c r="S398" s="5553">
        <v>55.857142857142854</v>
      </c>
      <c r="T398" s="5554">
        <v>63.428571428571431</v>
      </c>
      <c r="U398" s="5554">
        <v>63.285714285714285</v>
      </c>
      <c r="V398" s="5554">
        <v>66.5</v>
      </c>
      <c r="W398" s="5554">
        <v>82.5</v>
      </c>
      <c r="X398" s="5554">
        <v>65.666666666666671</v>
      </c>
      <c r="Y398" s="5554">
        <v>64.333333333333329</v>
      </c>
      <c r="Z398" s="5554">
        <v>90.333333333333329</v>
      </c>
      <c r="AA398" s="5554">
        <v>77.333333333333329</v>
      </c>
      <c r="AB398" s="5554">
        <v>76.833333333333329</v>
      </c>
      <c r="AC398" s="5554">
        <v>69.333333333333329</v>
      </c>
      <c r="AD398" s="5554">
        <v>53</v>
      </c>
      <c r="AE398" s="5554">
        <f t="shared" si="412"/>
        <v>828.40476190476204</v>
      </c>
      <c r="AF398" s="5555">
        <f t="shared" si="413"/>
        <v>69.033730158730165</v>
      </c>
      <c r="AG398" s="5479"/>
      <c r="AH398" s="5553">
        <v>106</v>
      </c>
      <c r="AI398" s="5554">
        <v>91.166666666666671</v>
      </c>
      <c r="AJ398" s="5554">
        <v>108.16666666666667</v>
      </c>
      <c r="AK398" s="5554">
        <v>100.33333333333333</v>
      </c>
      <c r="AL398" s="5554">
        <v>121.66666666666667</v>
      </c>
      <c r="AM398" s="5554">
        <v>97.333333333333329</v>
      </c>
      <c r="AN398" s="5556">
        <v>100</v>
      </c>
      <c r="AO398" s="5556">
        <v>83.333333333333329</v>
      </c>
      <c r="AP398" s="5554">
        <v>92.166666666666671</v>
      </c>
      <c r="AQ398" s="5554">
        <v>114.66666666666667</v>
      </c>
      <c r="AR398" s="5482">
        <v>126.66666666666667</v>
      </c>
      <c r="AS398" s="5482">
        <v>138.5</v>
      </c>
      <c r="AT398" s="5554">
        <f t="shared" si="388"/>
        <v>1280</v>
      </c>
      <c r="AU398" s="5555">
        <f t="shared" si="385"/>
        <v>106.66666666666667</v>
      </c>
      <c r="AW398" s="5481">
        <v>122.33333333333333</v>
      </c>
      <c r="AX398" s="5554">
        <v>148.83333333333334</v>
      </c>
      <c r="AY398" s="5554">
        <v>134</v>
      </c>
      <c r="AZ398" s="5554">
        <v>173.33333333333334</v>
      </c>
      <c r="BA398" s="5554">
        <v>344.33333333333331</v>
      </c>
      <c r="BB398" s="5554">
        <v>349.16666666666669</v>
      </c>
      <c r="BC398" s="5556">
        <v>271.5</v>
      </c>
      <c r="BD398" s="5556">
        <v>184.5</v>
      </c>
      <c r="BE398" s="5554">
        <v>152.5</v>
      </c>
      <c r="BF398" s="5554">
        <v>161.66666666666666</v>
      </c>
      <c r="BG398" s="5482">
        <v>142.16666666666666</v>
      </c>
      <c r="BH398" s="5482">
        <v>128</v>
      </c>
      <c r="BI398" s="5554">
        <f t="shared" si="408"/>
        <v>2312.3333333333335</v>
      </c>
      <c r="BJ398" s="5555">
        <f t="shared" si="410"/>
        <v>192.69444444444446</v>
      </c>
      <c r="BL398" s="5481">
        <v>128.16666666666666</v>
      </c>
      <c r="BM398" s="5554">
        <v>102.5</v>
      </c>
      <c r="BN398" s="5554"/>
      <c r="BO398" s="5554"/>
      <c r="BP398" s="5554"/>
      <c r="BQ398" s="5554"/>
      <c r="BR398" s="5556"/>
      <c r="BS398" s="5556"/>
      <c r="BT398" s="5554"/>
      <c r="BU398" s="5554"/>
      <c r="BV398" s="5482"/>
      <c r="BW398" s="5482"/>
      <c r="BX398" s="5554">
        <f t="shared" si="409"/>
        <v>230.66666666666666</v>
      </c>
      <c r="BY398" s="5483">
        <f t="shared" si="406"/>
        <v>115.33333333333333</v>
      </c>
      <c r="CA398" s="169">
        <f t="shared" si="386"/>
        <v>-46.333333333333343</v>
      </c>
      <c r="CB398" s="169">
        <f t="shared" si="392"/>
        <v>86.027777777777786</v>
      </c>
      <c r="CC398" s="169">
        <f>IFERROR(
  SUM(
    _xlfn.XLOOKUP(DATE(YEAR($A$1),1,1),$2:$2,398:398):
    _xlfn.XLOOKUP($A$1,$2:$2,398:398)
  )
 -SUM(
    _xlfn.XLOOKUP(DATE(YEAR($A$1)-1,1,1),$2:$2,398:398):
    _xlfn.XLOOKUP(EDATE($A$1,-12),$2:$2,398:398)
  ),"")</f>
        <v>-40.500000000000028</v>
      </c>
      <c r="CD398" s="4517">
        <f t="shared" si="387"/>
        <v>-25.666666666666657</v>
      </c>
      <c r="CE398" s="5459"/>
      <c r="CF398" s="5459"/>
    </row>
    <row r="399" spans="1:84" s="698" customFormat="1" ht="17.600000000000001" x14ac:dyDescent="0.55000000000000004">
      <c r="A399" s="7347"/>
      <c r="B399" s="5480"/>
      <c r="C399" s="681" t="s">
        <v>230</v>
      </c>
      <c r="D399" s="5553">
        <v>73.666666666666671</v>
      </c>
      <c r="E399" s="5554">
        <v>74.833333333333329</v>
      </c>
      <c r="F399" s="5554">
        <v>75.333333333333329</v>
      </c>
      <c r="G399" s="5554">
        <v>78</v>
      </c>
      <c r="H399" s="5554">
        <v>83</v>
      </c>
      <c r="I399" s="5554">
        <v>69.833333333333329</v>
      </c>
      <c r="J399" s="5554">
        <v>48.666666666666664</v>
      </c>
      <c r="K399" s="5554">
        <v>64</v>
      </c>
      <c r="L399" s="5554">
        <v>45.166666666666664</v>
      </c>
      <c r="M399" s="5554">
        <v>44.5</v>
      </c>
      <c r="N399" s="5554">
        <v>35.333333333333336</v>
      </c>
      <c r="O399" s="5554">
        <v>17.666666666666668</v>
      </c>
      <c r="P399" s="5554">
        <f t="shared" si="411"/>
        <v>709.99999999999989</v>
      </c>
      <c r="Q399" s="5555">
        <f t="shared" si="407"/>
        <v>59.166666666666657</v>
      </c>
      <c r="R399" s="5479"/>
      <c r="S399" s="5553">
        <v>31.166666666666668</v>
      </c>
      <c r="T399" s="5554">
        <v>37.166666666666664</v>
      </c>
      <c r="U399" s="5554">
        <v>34.5</v>
      </c>
      <c r="V399" s="5554">
        <v>46.4</v>
      </c>
      <c r="W399" s="5554">
        <v>63.4</v>
      </c>
      <c r="X399" s="5554">
        <v>60.2</v>
      </c>
      <c r="Y399" s="5554">
        <v>44.4</v>
      </c>
      <c r="Z399" s="5554">
        <v>57.4</v>
      </c>
      <c r="AA399" s="5554">
        <v>47.6</v>
      </c>
      <c r="AB399" s="5554">
        <v>68.400000000000006</v>
      </c>
      <c r="AC399" s="5554">
        <v>59.4</v>
      </c>
      <c r="AD399" s="5554">
        <v>39.6</v>
      </c>
      <c r="AE399" s="5554">
        <f t="shared" si="412"/>
        <v>589.63333333333333</v>
      </c>
      <c r="AF399" s="5555">
        <f t="shared" si="413"/>
        <v>49.136111111111113</v>
      </c>
      <c r="AG399" s="5479"/>
      <c r="AH399" s="5553">
        <v>58.4</v>
      </c>
      <c r="AI399" s="5554">
        <v>61.8</v>
      </c>
      <c r="AJ399" s="5554">
        <v>59.2</v>
      </c>
      <c r="AK399" s="5554">
        <v>58</v>
      </c>
      <c r="AL399" s="5554">
        <v>58</v>
      </c>
      <c r="AM399" s="5554">
        <v>52.8</v>
      </c>
      <c r="AN399" s="5556">
        <v>56.8</v>
      </c>
      <c r="AO399" s="5556">
        <v>69.599999999999994</v>
      </c>
      <c r="AP399" s="5554">
        <v>61.6</v>
      </c>
      <c r="AQ399" s="5554">
        <v>64.599999999999994</v>
      </c>
      <c r="AR399" s="5482">
        <v>71.2</v>
      </c>
      <c r="AS399" s="5482">
        <v>57.2</v>
      </c>
      <c r="AT399" s="5554">
        <f t="shared" si="388"/>
        <v>729.20000000000016</v>
      </c>
      <c r="AU399" s="5555">
        <f t="shared" si="385"/>
        <v>60.76666666666668</v>
      </c>
      <c r="AW399" s="5481">
        <v>63</v>
      </c>
      <c r="AX399" s="5554">
        <v>77.2</v>
      </c>
      <c r="AY399" s="5554">
        <v>73</v>
      </c>
      <c r="AZ399" s="5554">
        <v>70.599999999999994</v>
      </c>
      <c r="BA399" s="5554">
        <v>155.6</v>
      </c>
      <c r="BB399" s="5554">
        <v>117.8</v>
      </c>
      <c r="BC399" s="5556">
        <v>99.4</v>
      </c>
      <c r="BD399" s="5556">
        <v>61.6</v>
      </c>
      <c r="BE399" s="5554">
        <v>70.400000000000006</v>
      </c>
      <c r="BF399" s="5554">
        <v>77.599999999999994</v>
      </c>
      <c r="BG399" s="5482">
        <v>86.4</v>
      </c>
      <c r="BH399" s="5482">
        <v>80</v>
      </c>
      <c r="BI399" s="5554">
        <f t="shared" si="408"/>
        <v>1032.5999999999999</v>
      </c>
      <c r="BJ399" s="5555">
        <f t="shared" si="410"/>
        <v>86.05</v>
      </c>
      <c r="BL399" s="5481">
        <v>101.4</v>
      </c>
      <c r="BM399" s="5554">
        <v>48.4</v>
      </c>
      <c r="BN399" s="5554"/>
      <c r="BO399" s="5554"/>
      <c r="BP399" s="5554"/>
      <c r="BQ399" s="5554"/>
      <c r="BR399" s="5556"/>
      <c r="BS399" s="5556"/>
      <c r="BT399" s="5554"/>
      <c r="BU399" s="5554"/>
      <c r="BV399" s="5482"/>
      <c r="BW399" s="5482"/>
      <c r="BX399" s="5554">
        <f t="shared" si="409"/>
        <v>149.80000000000001</v>
      </c>
      <c r="BY399" s="5483">
        <f t="shared" si="406"/>
        <v>74.900000000000006</v>
      </c>
      <c r="CA399" s="169">
        <f t="shared" si="386"/>
        <v>-28.800000000000004</v>
      </c>
      <c r="CB399" s="169">
        <f t="shared" si="392"/>
        <v>25.283333333333317</v>
      </c>
      <c r="CC399" s="169">
        <f>IFERROR(
  SUM(
    _xlfn.XLOOKUP(DATE(YEAR($A$1),1,1),$2:$2,399:399):
    _xlfn.XLOOKUP($A$1,$2:$2,399:399)
  )
 -SUM(
    _xlfn.XLOOKUP(DATE(YEAR($A$1)-1,1,1),$2:$2,399:399):
    _xlfn.XLOOKUP(EDATE($A$1,-12),$2:$2,399:399)
  ),"")</f>
        <v>9.6000000000000227</v>
      </c>
      <c r="CD399" s="4517">
        <f t="shared" si="387"/>
        <v>-53.000000000000007</v>
      </c>
      <c r="CE399" s="5459"/>
      <c r="CF399" s="5459"/>
    </row>
    <row r="400" spans="1:84" s="698" customFormat="1" ht="17.600000000000001" x14ac:dyDescent="0.55000000000000004">
      <c r="A400" s="7347"/>
      <c r="B400" s="5480"/>
      <c r="C400" s="804" t="s">
        <v>231</v>
      </c>
      <c r="D400" s="5557">
        <v>72.5</v>
      </c>
      <c r="E400" s="5558">
        <v>69.333333333333329</v>
      </c>
      <c r="F400" s="5558">
        <v>61</v>
      </c>
      <c r="G400" s="5558">
        <v>89.666666666666671</v>
      </c>
      <c r="H400" s="5558">
        <v>81</v>
      </c>
      <c r="I400" s="5558">
        <v>71.166666666666671</v>
      </c>
      <c r="J400" s="5558">
        <v>49.5</v>
      </c>
      <c r="K400" s="5558">
        <v>73.333333333333329</v>
      </c>
      <c r="L400" s="5558">
        <v>54.5</v>
      </c>
      <c r="M400" s="5558">
        <v>54.833333333333336</v>
      </c>
      <c r="N400" s="5558">
        <v>56.833333333333336</v>
      </c>
      <c r="O400" s="5558">
        <v>67.166666666666671</v>
      </c>
      <c r="P400" s="5558">
        <f t="shared" si="411"/>
        <v>800.83333333333337</v>
      </c>
      <c r="Q400" s="5559">
        <f t="shared" si="407"/>
        <v>66.736111111111114</v>
      </c>
      <c r="R400" s="5479"/>
      <c r="S400" s="5557">
        <v>56</v>
      </c>
      <c r="T400" s="5558">
        <v>86.166666666666671</v>
      </c>
      <c r="U400" s="5558">
        <v>75.833333333333329</v>
      </c>
      <c r="V400" s="5558">
        <v>83.8</v>
      </c>
      <c r="W400" s="5558">
        <v>103.8</v>
      </c>
      <c r="X400" s="5558">
        <v>87.6</v>
      </c>
      <c r="Y400" s="5558">
        <v>67.8</v>
      </c>
      <c r="Z400" s="5558">
        <v>113.6</v>
      </c>
      <c r="AA400" s="5558">
        <v>89.6</v>
      </c>
      <c r="AB400" s="5558">
        <v>98.8</v>
      </c>
      <c r="AC400" s="5558">
        <v>88.8</v>
      </c>
      <c r="AD400" s="5558">
        <v>64.599999999999994</v>
      </c>
      <c r="AE400" s="5558">
        <f t="shared" si="412"/>
        <v>1016.4</v>
      </c>
      <c r="AF400" s="5559">
        <f t="shared" si="413"/>
        <v>84.7</v>
      </c>
      <c r="AG400" s="5479"/>
      <c r="AH400" s="5557">
        <v>94.4</v>
      </c>
      <c r="AI400" s="5558">
        <v>75.400000000000006</v>
      </c>
      <c r="AJ400" s="5558">
        <v>76</v>
      </c>
      <c r="AK400" s="5558">
        <v>83.4</v>
      </c>
      <c r="AL400" s="5558">
        <v>98.8</v>
      </c>
      <c r="AM400" s="5558">
        <v>86.8</v>
      </c>
      <c r="AN400" s="5560">
        <v>96.2</v>
      </c>
      <c r="AO400" s="5560">
        <v>66.599999999999994</v>
      </c>
      <c r="AP400" s="5558">
        <v>75.8</v>
      </c>
      <c r="AQ400" s="5558">
        <v>89</v>
      </c>
      <c r="AR400" s="5485">
        <v>114</v>
      </c>
      <c r="AS400" s="5485">
        <v>99.6</v>
      </c>
      <c r="AT400" s="5558">
        <f t="shared" si="388"/>
        <v>1056</v>
      </c>
      <c r="AU400" s="5559">
        <f t="shared" ref="AU400:AU433" si="414">SUM(AH400:AS400)/12</f>
        <v>88</v>
      </c>
      <c r="AW400" s="5484">
        <v>95</v>
      </c>
      <c r="AX400" s="5558">
        <v>121.2</v>
      </c>
      <c r="AY400" s="5558">
        <v>110.6</v>
      </c>
      <c r="AZ400" s="5558">
        <v>106.6</v>
      </c>
      <c r="BA400" s="5558">
        <v>191</v>
      </c>
      <c r="BB400" s="5558">
        <v>140.4</v>
      </c>
      <c r="BC400" s="5560">
        <v>141.19999999999999</v>
      </c>
      <c r="BD400" s="5560">
        <v>76.8</v>
      </c>
      <c r="BE400" s="5558">
        <v>96.2</v>
      </c>
      <c r="BF400" s="5558">
        <v>85</v>
      </c>
      <c r="BG400" s="5485">
        <v>95.4</v>
      </c>
      <c r="BH400" s="5485">
        <v>86.2</v>
      </c>
      <c r="BI400" s="5558">
        <f t="shared" si="408"/>
        <v>1345.6000000000001</v>
      </c>
      <c r="BJ400" s="5559">
        <f t="shared" si="410"/>
        <v>112.13333333333334</v>
      </c>
      <c r="BL400" s="5484">
        <v>87.2</v>
      </c>
      <c r="BM400" s="5558">
        <v>87.8</v>
      </c>
      <c r="BN400" s="5558"/>
      <c r="BO400" s="5558"/>
      <c r="BP400" s="5558"/>
      <c r="BQ400" s="5558"/>
      <c r="BR400" s="5560"/>
      <c r="BS400" s="5560"/>
      <c r="BT400" s="5558"/>
      <c r="BU400" s="5558"/>
      <c r="BV400" s="5485"/>
      <c r="BW400" s="5485"/>
      <c r="BX400" s="5558">
        <f t="shared" si="409"/>
        <v>175</v>
      </c>
      <c r="BY400" s="5486">
        <f t="shared" si="406"/>
        <v>87.5</v>
      </c>
      <c r="CA400" s="169">
        <f t="shared" ref="CA400:CA433" si="415">IFERROR(_xlfn.XLOOKUP($A$1,$2:$2,400:400)-_xlfn.XLOOKUP(EDATE($A$1,-12),$2:$2,400:400),"")</f>
        <v>-33.400000000000006</v>
      </c>
      <c r="CB400" s="169">
        <f t="shared" si="392"/>
        <v>24.13333333333334</v>
      </c>
      <c r="CC400" s="169">
        <f>IFERROR(
  SUM(
    _xlfn.XLOOKUP(DATE(YEAR($A$1),1,1),$2:$2,400:400):
    _xlfn.XLOOKUP($A$1,$2:$2,400:400)
  )
 -SUM(
    _xlfn.XLOOKUP(DATE(YEAR($A$1)-1,1,1),$2:$2,400:400):
    _xlfn.XLOOKUP(EDATE($A$1,-12),$2:$2,400:400)
  ),"")</f>
        <v>-41.199999999999989</v>
      </c>
      <c r="CD400" s="4517">
        <f t="shared" ref="CD400:CD433" si="416">IFERROR(
  _xlfn.XLOOKUP($A$1,$2:$2,400:400)
 -_xlfn.XLOOKUP(EDATE($A$1,-1),$2:$2,400:400),"")</f>
        <v>0.59999999999999432</v>
      </c>
      <c r="CE400" s="5459"/>
      <c r="CF400" s="5459"/>
    </row>
    <row r="401" spans="1:84" s="698" customFormat="1" ht="18" thickBot="1" x14ac:dyDescent="0.6">
      <c r="A401" s="7347"/>
      <c r="B401" s="5487"/>
      <c r="C401" s="2183" t="s">
        <v>232</v>
      </c>
      <c r="D401" s="5561">
        <v>46.428571428571431</v>
      </c>
      <c r="E401" s="5562">
        <v>47.714285714285715</v>
      </c>
      <c r="F401" s="5562">
        <v>46.714285714285715</v>
      </c>
      <c r="G401" s="5562">
        <v>46.714285714285715</v>
      </c>
      <c r="H401" s="5562">
        <v>54.142857142857146</v>
      </c>
      <c r="I401" s="5562">
        <v>58.428571428571431</v>
      </c>
      <c r="J401" s="5562">
        <v>43.142857142857146</v>
      </c>
      <c r="K401" s="5562">
        <v>40.285714285714285</v>
      </c>
      <c r="L401" s="5562">
        <v>43.714285714285715</v>
      </c>
      <c r="M401" s="5562">
        <v>43</v>
      </c>
      <c r="N401" s="5562">
        <v>44</v>
      </c>
      <c r="O401" s="5562">
        <v>27.285714285714285</v>
      </c>
      <c r="P401" s="5562">
        <f t="shared" si="411"/>
        <v>541.57142857142867</v>
      </c>
      <c r="Q401" s="5563">
        <f t="shared" si="407"/>
        <v>45.130952380952387</v>
      </c>
      <c r="R401" s="5479"/>
      <c r="S401" s="5561">
        <v>38.428571428571431</v>
      </c>
      <c r="T401" s="5562">
        <v>30.428571428571427</v>
      </c>
      <c r="U401" s="5562">
        <v>33.714285714285715</v>
      </c>
      <c r="V401" s="5562">
        <v>44.6</v>
      </c>
      <c r="W401" s="5562">
        <v>51.4</v>
      </c>
      <c r="X401" s="5562">
        <v>33</v>
      </c>
      <c r="Y401" s="5562">
        <v>41.8</v>
      </c>
      <c r="Z401" s="5562">
        <v>47.2</v>
      </c>
      <c r="AA401" s="5562">
        <v>37.4</v>
      </c>
      <c r="AB401" s="5562">
        <v>46.4</v>
      </c>
      <c r="AC401" s="5562">
        <v>46</v>
      </c>
      <c r="AD401" s="5562">
        <v>35.799999999999997</v>
      </c>
      <c r="AE401" s="5562">
        <f t="shared" si="412"/>
        <v>486.17142857142852</v>
      </c>
      <c r="AF401" s="5563">
        <f t="shared" si="413"/>
        <v>40.514285714285712</v>
      </c>
      <c r="AG401" s="5479"/>
      <c r="AH401" s="5561">
        <v>55.8</v>
      </c>
      <c r="AI401" s="5562">
        <v>46.6</v>
      </c>
      <c r="AJ401" s="5562">
        <v>54.2</v>
      </c>
      <c r="AK401" s="5562">
        <v>52.4</v>
      </c>
      <c r="AL401" s="5562">
        <v>44</v>
      </c>
      <c r="AM401" s="5562">
        <v>47</v>
      </c>
      <c r="AN401" s="5564">
        <v>51.2</v>
      </c>
      <c r="AO401" s="5564">
        <v>51</v>
      </c>
      <c r="AP401" s="5562">
        <v>52.2</v>
      </c>
      <c r="AQ401" s="5562">
        <v>69.599999999999994</v>
      </c>
      <c r="AR401" s="5489">
        <v>81.599999999999994</v>
      </c>
      <c r="AS401" s="5489">
        <v>71.8</v>
      </c>
      <c r="AT401" s="5562">
        <f t="shared" ref="AT401:AT433" si="417">SUM(AH401:AS401)</f>
        <v>677.4</v>
      </c>
      <c r="AU401" s="5563">
        <f t="shared" si="414"/>
        <v>56.449999999999996</v>
      </c>
      <c r="AW401" s="5488">
        <v>68.8</v>
      </c>
      <c r="AX401" s="5562">
        <v>93.4</v>
      </c>
      <c r="AY401" s="5562">
        <v>72.599999999999994</v>
      </c>
      <c r="AZ401" s="5562">
        <v>82.4</v>
      </c>
      <c r="BA401" s="5562">
        <v>94</v>
      </c>
      <c r="BB401" s="5562">
        <v>77.8</v>
      </c>
      <c r="BC401" s="5564">
        <v>80</v>
      </c>
      <c r="BD401" s="5564">
        <v>67.8</v>
      </c>
      <c r="BE401" s="5562">
        <v>72.400000000000006</v>
      </c>
      <c r="BF401" s="5562">
        <v>58.4</v>
      </c>
      <c r="BG401" s="5489">
        <v>56.8</v>
      </c>
      <c r="BH401" s="5489">
        <v>56.6</v>
      </c>
      <c r="BI401" s="5562">
        <f t="shared" si="408"/>
        <v>880.99999999999989</v>
      </c>
      <c r="BJ401" s="5563">
        <f t="shared" si="410"/>
        <v>73.416666666666657</v>
      </c>
      <c r="BL401" s="5488">
        <v>61.2</v>
      </c>
      <c r="BM401" s="5562">
        <v>41.4</v>
      </c>
      <c r="BN401" s="5562"/>
      <c r="BO401" s="5562"/>
      <c r="BP401" s="5562"/>
      <c r="BQ401" s="5562"/>
      <c r="BR401" s="5564"/>
      <c r="BS401" s="5564"/>
      <c r="BT401" s="5562"/>
      <c r="BU401" s="5562"/>
      <c r="BV401" s="5489"/>
      <c r="BW401" s="5489"/>
      <c r="BX401" s="5562">
        <f t="shared" si="409"/>
        <v>102.6</v>
      </c>
      <c r="BY401" s="5490">
        <f t="shared" si="406"/>
        <v>51.3</v>
      </c>
      <c r="CA401" s="169">
        <f t="shared" si="415"/>
        <v>-52.000000000000007</v>
      </c>
      <c r="CB401" s="169">
        <f t="shared" ref="CB401:CB433" si="418">BJ401-AU401</f>
        <v>16.966666666666661</v>
      </c>
      <c r="CC401" s="169">
        <f>IFERROR(
  SUM(
    _xlfn.XLOOKUP(DATE(YEAR($A$1),1,1),$2:$2,401:401):
    _xlfn.XLOOKUP($A$1,$2:$2,401:401)
  )
 -SUM(
    _xlfn.XLOOKUP(DATE(YEAR($A$1)-1,1,1),$2:$2,401:401):
    _xlfn.XLOOKUP(EDATE($A$1,-12),$2:$2,401:401)
  ),"")</f>
        <v>-59.599999999999994</v>
      </c>
      <c r="CD401" s="4517">
        <f t="shared" si="416"/>
        <v>-19.800000000000004</v>
      </c>
      <c r="CE401" s="5459"/>
      <c r="CF401" s="5459"/>
    </row>
    <row r="402" spans="1:84" ht="17.399999999999999" customHeight="1" x14ac:dyDescent="0.55000000000000004">
      <c r="A402" s="7346" t="s">
        <v>390</v>
      </c>
      <c r="B402" s="5131" t="s">
        <v>251</v>
      </c>
      <c r="C402" s="5132"/>
      <c r="D402" s="5532">
        <v>3.4369134515119915</v>
      </c>
      <c r="E402" s="5533">
        <v>3.377049180327869</v>
      </c>
      <c r="F402" s="5533">
        <v>3.6559356136820926</v>
      </c>
      <c r="G402" s="5533">
        <v>3.9326660600545953</v>
      </c>
      <c r="H402" s="5533">
        <v>4.0675675675675675</v>
      </c>
      <c r="I402" s="5533">
        <v>4.1363636363636367</v>
      </c>
      <c r="J402" s="5533">
        <v>3.3155452436194897</v>
      </c>
      <c r="K402" s="5533">
        <v>3.634512325830654</v>
      </c>
      <c r="L402" s="5533">
        <v>3.5575447570332481</v>
      </c>
      <c r="M402" s="5533">
        <v>3.7598039215686274</v>
      </c>
      <c r="N402" s="5533">
        <v>3.5527369826435247</v>
      </c>
      <c r="O402" s="5533">
        <v>3.3208395802098951</v>
      </c>
      <c r="P402" s="5533">
        <f>SUM(D402:O402)</f>
        <v>43.747478320413187</v>
      </c>
      <c r="Q402" s="5534">
        <f>P402/12</f>
        <v>3.6456231933677654</v>
      </c>
      <c r="R402" s="2776"/>
      <c r="S402" s="5532">
        <v>3.3870056497175143</v>
      </c>
      <c r="T402" s="5533">
        <v>3.5084745762711864</v>
      </c>
      <c r="U402" s="5533">
        <v>3.4552332912988653</v>
      </c>
      <c r="V402" s="5533">
        <v>3.266016713091922</v>
      </c>
      <c r="W402" s="5533">
        <v>3.6617647058823528</v>
      </c>
      <c r="X402" s="5533">
        <v>3.5726256983240225</v>
      </c>
      <c r="Y402" s="5533">
        <v>3.0920000000000001</v>
      </c>
      <c r="Z402" s="5533">
        <v>3.6424517593643588</v>
      </c>
      <c r="AA402" s="5533">
        <v>3.6859060402684563</v>
      </c>
      <c r="AB402" s="5533">
        <v>3.5473554735547355</v>
      </c>
      <c r="AC402" s="5533">
        <v>3.8018867924528301</v>
      </c>
      <c r="AD402" s="5533">
        <v>3.2436974789915967</v>
      </c>
      <c r="AE402" s="5533">
        <f>SUM(S402:AD402)</f>
        <v>41.864418179217843</v>
      </c>
      <c r="AF402" s="5534">
        <f>AE402/12</f>
        <v>3.4887015149348204</v>
      </c>
      <c r="AG402" s="5565"/>
      <c r="AH402" s="5532">
        <v>3.1621052631578945</v>
      </c>
      <c r="AI402" s="5533">
        <v>3.1200980392156863</v>
      </c>
      <c r="AJ402" s="5533">
        <v>3.1552990556138512</v>
      </c>
      <c r="AK402" s="5533">
        <v>3.0694143167028201</v>
      </c>
      <c r="AL402" s="5533">
        <v>3.2729941291585125</v>
      </c>
      <c r="AM402" s="5533">
        <v>3.0743310208126857</v>
      </c>
      <c r="AN402" s="5535">
        <v>3.3</v>
      </c>
      <c r="AO402" s="5535">
        <v>3.5523012552301254</v>
      </c>
      <c r="AP402" s="5533">
        <v>3.5330599999999999</v>
      </c>
      <c r="AQ402" s="5533">
        <v>3.68</v>
      </c>
      <c r="AR402" s="5457">
        <v>3.5143626570915618</v>
      </c>
      <c r="AS402" s="5533">
        <v>3.7182095625635809</v>
      </c>
      <c r="AT402" s="5533">
        <f t="shared" si="417"/>
        <v>40.15217529954672</v>
      </c>
      <c r="AU402" s="5534">
        <f t="shared" si="414"/>
        <v>3.34601460829556</v>
      </c>
      <c r="AW402" s="5532">
        <v>3.6217345872518285</v>
      </c>
      <c r="AX402" s="5533">
        <v>3.8660245183887918</v>
      </c>
      <c r="AY402" s="5533">
        <v>3.8887775551102206</v>
      </c>
      <c r="AZ402" s="5533">
        <v>3.9352941176470586</v>
      </c>
      <c r="BA402" s="5533">
        <v>4.8667504714016339</v>
      </c>
      <c r="BB402" s="5533">
        <v>4.5781132075471698</v>
      </c>
      <c r="BC402" s="5535">
        <v>4.3721682847896437</v>
      </c>
      <c r="BD402" s="5535">
        <v>3.9699398797595191</v>
      </c>
      <c r="BE402" s="5533">
        <v>3.7257617728531858</v>
      </c>
      <c r="BF402" s="5533">
        <v>3.8483316481294239</v>
      </c>
      <c r="BG402" s="5457">
        <v>3.795897435897436</v>
      </c>
      <c r="BH402" s="5533">
        <v>3.5652173913043477</v>
      </c>
      <c r="BI402" s="5533">
        <f t="shared" si="408"/>
        <v>48.034010870080266</v>
      </c>
      <c r="BJ402" s="5534">
        <f>AVERAGE(AW402:BH402)</f>
        <v>4.0028342391733558</v>
      </c>
      <c r="BL402" s="5532">
        <v>3.5956678700361011</v>
      </c>
      <c r="BM402" s="5533">
        <v>3.3758949880668259</v>
      </c>
      <c r="BN402" s="5533"/>
      <c r="BO402" s="5533"/>
      <c r="BP402" s="5533"/>
      <c r="BQ402" s="5533"/>
      <c r="BR402" s="5535"/>
      <c r="BS402" s="5535"/>
      <c r="BT402" s="5533"/>
      <c r="BU402" s="5533"/>
      <c r="BV402" s="5457"/>
      <c r="BW402" s="5533"/>
      <c r="BX402" s="5533">
        <f t="shared" si="409"/>
        <v>6.971562858102927</v>
      </c>
      <c r="BY402" s="5458">
        <f>AVERAGE(BL402:BW402)</f>
        <v>3.4857814290514635</v>
      </c>
      <c r="CA402" s="169">
        <f t="shared" si="415"/>
        <v>-0.49012953032196593</v>
      </c>
      <c r="CB402" s="169">
        <f t="shared" si="418"/>
        <v>0.65681963087779582</v>
      </c>
      <c r="CC402" s="169">
        <f>IFERROR(
  SUM(
    _xlfn.XLOOKUP(DATE(YEAR($A$1),1,1),$2:$2,402:402):
    _xlfn.XLOOKUP($A$1,$2:$2,402:402)
  )
 -SUM(
    _xlfn.XLOOKUP(DATE(YEAR($A$1)-1,1,1),$2:$2,402:402):
    _xlfn.XLOOKUP(EDATE($A$1,-12),$2:$2,402:402)
  ),"")</f>
        <v>-0.51619624753769333</v>
      </c>
      <c r="CD402" s="4517">
        <f t="shared" si="416"/>
        <v>-0.21977288196927525</v>
      </c>
      <c r="CE402" s="5459"/>
      <c r="CF402" s="5459"/>
    </row>
    <row r="403" spans="1:84" ht="17.399999999999999" hidden="1" customHeight="1" x14ac:dyDescent="0.55000000000000004">
      <c r="A403" s="7348"/>
      <c r="B403" s="5460"/>
      <c r="C403" s="786" t="s">
        <v>250</v>
      </c>
      <c r="D403" s="5461"/>
      <c r="E403" s="5462"/>
      <c r="F403" s="5462"/>
      <c r="G403" s="5462"/>
      <c r="H403" s="5462"/>
      <c r="I403" s="5462"/>
      <c r="J403" s="5462"/>
      <c r="K403" s="5462"/>
      <c r="L403" s="5462"/>
      <c r="M403" s="5462"/>
      <c r="N403" s="5462"/>
      <c r="O403" s="5462"/>
      <c r="P403" s="5462">
        <f>SUM(D403:O403)</f>
        <v>0</v>
      </c>
      <c r="Q403" s="5463">
        <f t="shared" ref="Q403:Q417" si="419">P403/12</f>
        <v>0</v>
      </c>
      <c r="R403" s="2776"/>
      <c r="S403" s="5461"/>
      <c r="T403" s="5462"/>
      <c r="U403" s="5462"/>
      <c r="V403" s="5462"/>
      <c r="W403" s="5462"/>
      <c r="X403" s="5462"/>
      <c r="Y403" s="5462"/>
      <c r="Z403" s="5462"/>
      <c r="AA403" s="5462"/>
      <c r="AB403" s="5462"/>
      <c r="AC403" s="5462"/>
      <c r="AD403" s="5462"/>
      <c r="AE403" s="5462">
        <f>SUM(S403:AD403)</f>
        <v>0</v>
      </c>
      <c r="AF403" s="5463">
        <f>AE403/12</f>
        <v>0</v>
      </c>
      <c r="AG403" s="2776"/>
      <c r="AH403" s="5461"/>
      <c r="AI403" s="5462"/>
      <c r="AJ403" s="5462"/>
      <c r="AK403" s="5537"/>
      <c r="AL403" s="5537"/>
      <c r="AM403" s="5537"/>
      <c r="AN403" s="4146"/>
      <c r="AO403" s="4146"/>
      <c r="AP403" s="5537"/>
      <c r="AQ403" s="5537"/>
      <c r="AR403" s="5462"/>
      <c r="AS403" s="5537"/>
      <c r="AT403" s="5462">
        <f t="shared" si="417"/>
        <v>0</v>
      </c>
      <c r="AU403" s="5463">
        <f t="shared" si="414"/>
        <v>0</v>
      </c>
      <c r="AW403" s="5536"/>
      <c r="AX403" s="5462"/>
      <c r="AY403" s="5462"/>
      <c r="AZ403" s="5537"/>
      <c r="BA403" s="5537"/>
      <c r="BB403" s="5537"/>
      <c r="BC403" s="4146"/>
      <c r="BD403" s="4146"/>
      <c r="BE403" s="5537"/>
      <c r="BF403" s="5537"/>
      <c r="BG403" s="5462"/>
      <c r="BH403" s="5537"/>
      <c r="BI403" s="5462">
        <f t="shared" si="408"/>
        <v>0</v>
      </c>
      <c r="BJ403" s="5463" t="e">
        <f t="shared" si="410"/>
        <v>#DIV/0!</v>
      </c>
      <c r="BL403" s="5536"/>
      <c r="BM403" s="5462">
        <v>0</v>
      </c>
      <c r="BN403" s="5462"/>
      <c r="BO403" s="5537"/>
      <c r="BP403" s="5537"/>
      <c r="BQ403" s="5537"/>
      <c r="BR403" s="4146"/>
      <c r="BS403" s="4146"/>
      <c r="BT403" s="5537"/>
      <c r="BU403" s="5537"/>
      <c r="BV403" s="5462"/>
      <c r="BW403" s="5537"/>
      <c r="BX403" s="5462">
        <f t="shared" si="409"/>
        <v>0</v>
      </c>
      <c r="BY403" s="5463">
        <f t="shared" ref="BY403:BY433" si="420">AVERAGE(BL403:BW403)</f>
        <v>0</v>
      </c>
      <c r="CA403" s="169">
        <f t="shared" si="415"/>
        <v>0</v>
      </c>
      <c r="CB403" s="169" t="e">
        <f t="shared" si="418"/>
        <v>#DIV/0!</v>
      </c>
      <c r="CC403" s="169">
        <f>IFERROR(
  SUM(
    _xlfn.XLOOKUP(DATE(YEAR($A$1),1,1),$2:$2,403:403):
    _xlfn.XLOOKUP($A$1,$2:$2,403:403)
  )
 -SUM(
    _xlfn.XLOOKUP(DATE(YEAR($A$1)-1,1,1),$2:$2,403:403):
    _xlfn.XLOOKUP(EDATE($A$1,-12),$2:$2,403:403)
  ),"")</f>
        <v>0</v>
      </c>
      <c r="CD403" s="4517">
        <f t="shared" si="416"/>
        <v>0</v>
      </c>
      <c r="CE403" s="5459"/>
      <c r="CF403" s="5459"/>
    </row>
    <row r="404" spans="1:84" ht="17.399999999999999" hidden="1" customHeight="1" x14ac:dyDescent="0.55000000000000004">
      <c r="A404" s="7348"/>
      <c r="B404" s="5460"/>
      <c r="C404" s="786" t="s">
        <v>263</v>
      </c>
      <c r="D404" s="5461"/>
      <c r="E404" s="5462"/>
      <c r="F404" s="5462"/>
      <c r="G404" s="5462"/>
      <c r="H404" s="5462"/>
      <c r="I404" s="5462"/>
      <c r="J404" s="5462"/>
      <c r="K404" s="5462"/>
      <c r="L404" s="5462"/>
      <c r="M404" s="5462"/>
      <c r="N404" s="5462"/>
      <c r="O404" s="5462"/>
      <c r="P404" s="5462">
        <f>SUM(D404:O404)</f>
        <v>0</v>
      </c>
      <c r="Q404" s="5463">
        <f t="shared" si="419"/>
        <v>0</v>
      </c>
      <c r="R404" s="2776"/>
      <c r="S404" s="5461"/>
      <c r="T404" s="5462"/>
      <c r="U404" s="5462"/>
      <c r="V404" s="5462"/>
      <c r="W404" s="5462"/>
      <c r="X404" s="5462"/>
      <c r="Y404" s="5462"/>
      <c r="Z404" s="5462"/>
      <c r="AA404" s="5462"/>
      <c r="AB404" s="5462"/>
      <c r="AC404" s="5462"/>
      <c r="AD404" s="5462"/>
      <c r="AE404" s="5462">
        <f>SUM(S404:AD404)</f>
        <v>0</v>
      </c>
      <c r="AF404" s="5463">
        <f>AE404/12</f>
        <v>0</v>
      </c>
      <c r="AG404" s="2776"/>
      <c r="AH404" s="5461"/>
      <c r="AI404" s="5462"/>
      <c r="AJ404" s="5462"/>
      <c r="AK404" s="5537"/>
      <c r="AL404" s="5537"/>
      <c r="AM404" s="5537"/>
      <c r="AN404" s="4146"/>
      <c r="AO404" s="4146"/>
      <c r="AP404" s="5537"/>
      <c r="AQ404" s="5537"/>
      <c r="AR404" s="5462"/>
      <c r="AS404" s="5537"/>
      <c r="AT404" s="5462">
        <f t="shared" si="417"/>
        <v>0</v>
      </c>
      <c r="AU404" s="5463">
        <f t="shared" si="414"/>
        <v>0</v>
      </c>
      <c r="AW404" s="5536"/>
      <c r="AX404" s="5462"/>
      <c r="AY404" s="5462"/>
      <c r="AZ404" s="5537"/>
      <c r="BA404" s="5537"/>
      <c r="BB404" s="5537"/>
      <c r="BC404" s="4146"/>
      <c r="BD404" s="4146"/>
      <c r="BE404" s="5537"/>
      <c r="BF404" s="5537"/>
      <c r="BG404" s="5462"/>
      <c r="BH404" s="5537"/>
      <c r="BI404" s="5462">
        <f t="shared" si="408"/>
        <v>0</v>
      </c>
      <c r="BJ404" s="5463" t="e">
        <f t="shared" si="410"/>
        <v>#DIV/0!</v>
      </c>
      <c r="BL404" s="5536"/>
      <c r="BM404" s="5462">
        <v>0</v>
      </c>
      <c r="BN404" s="5462"/>
      <c r="BO404" s="5537"/>
      <c r="BP404" s="5537"/>
      <c r="BQ404" s="5537"/>
      <c r="BR404" s="4146"/>
      <c r="BS404" s="4146"/>
      <c r="BT404" s="5537"/>
      <c r="BU404" s="5537"/>
      <c r="BV404" s="5462"/>
      <c r="BW404" s="5537"/>
      <c r="BX404" s="5462">
        <f t="shared" si="409"/>
        <v>0</v>
      </c>
      <c r="BY404" s="5463">
        <f t="shared" si="420"/>
        <v>0</v>
      </c>
      <c r="CA404" s="169">
        <f t="shared" si="415"/>
        <v>0</v>
      </c>
      <c r="CB404" s="169" t="e">
        <f t="shared" si="418"/>
        <v>#DIV/0!</v>
      </c>
      <c r="CC404" s="169">
        <f>IFERROR(
  SUM(
    _xlfn.XLOOKUP(DATE(YEAR($A$1),1,1),$2:$2,404:404):
    _xlfn.XLOOKUP($A$1,$2:$2,404:404)
  )
 -SUM(
    _xlfn.XLOOKUP(DATE(YEAR($A$1)-1,1,1),$2:$2,404:404):
    _xlfn.XLOOKUP(EDATE($A$1,-12),$2:$2,404:404)
  ),"")</f>
        <v>0</v>
      </c>
      <c r="CD404" s="4517">
        <f t="shared" si="416"/>
        <v>0</v>
      </c>
      <c r="CE404" s="5459"/>
      <c r="CF404" s="5459"/>
    </row>
    <row r="405" spans="1:84" ht="17.399999999999999" hidden="1" customHeight="1" x14ac:dyDescent="0.55000000000000004">
      <c r="A405" s="7348"/>
      <c r="B405" s="5460"/>
      <c r="C405" s="786" t="s">
        <v>262</v>
      </c>
      <c r="D405" s="5461"/>
      <c r="E405" s="5462"/>
      <c r="F405" s="5462"/>
      <c r="G405" s="5462"/>
      <c r="H405" s="5462"/>
      <c r="I405" s="5462"/>
      <c r="J405" s="5462"/>
      <c r="K405" s="5462"/>
      <c r="L405" s="5462"/>
      <c r="M405" s="5462"/>
      <c r="N405" s="5462"/>
      <c r="O405" s="5462"/>
      <c r="P405" s="5462">
        <f>SUM(D405:O405)</f>
        <v>0</v>
      </c>
      <c r="Q405" s="5463">
        <f t="shared" si="419"/>
        <v>0</v>
      </c>
      <c r="R405" s="2776"/>
      <c r="S405" s="5461"/>
      <c r="T405" s="5462"/>
      <c r="U405" s="5462"/>
      <c r="V405" s="5462"/>
      <c r="W405" s="5462"/>
      <c r="X405" s="5462"/>
      <c r="Y405" s="5462"/>
      <c r="Z405" s="5462"/>
      <c r="AA405" s="5462"/>
      <c r="AB405" s="5462"/>
      <c r="AC405" s="5462"/>
      <c r="AD405" s="5462"/>
      <c r="AE405" s="5462">
        <f>SUM(S405:AD405)</f>
        <v>0</v>
      </c>
      <c r="AF405" s="5463">
        <f>AE405/12</f>
        <v>0</v>
      </c>
      <c r="AG405" s="2776"/>
      <c r="AH405" s="5461"/>
      <c r="AI405" s="5462"/>
      <c r="AJ405" s="5462"/>
      <c r="AK405" s="5537"/>
      <c r="AL405" s="5537"/>
      <c r="AM405" s="5537"/>
      <c r="AN405" s="4146"/>
      <c r="AO405" s="4146"/>
      <c r="AP405" s="5537"/>
      <c r="AQ405" s="5537"/>
      <c r="AR405" s="5462"/>
      <c r="AS405" s="5537"/>
      <c r="AT405" s="5462">
        <f t="shared" si="417"/>
        <v>0</v>
      </c>
      <c r="AU405" s="5463">
        <f t="shared" si="414"/>
        <v>0</v>
      </c>
      <c r="AW405" s="5536"/>
      <c r="AX405" s="5462"/>
      <c r="AY405" s="5462"/>
      <c r="AZ405" s="5537"/>
      <c r="BA405" s="5537"/>
      <c r="BB405" s="5537"/>
      <c r="BC405" s="4146"/>
      <c r="BD405" s="4146"/>
      <c r="BE405" s="5537"/>
      <c r="BF405" s="5537"/>
      <c r="BG405" s="5462"/>
      <c r="BH405" s="5537"/>
      <c r="BI405" s="5462">
        <f t="shared" si="408"/>
        <v>0</v>
      </c>
      <c r="BJ405" s="5463" t="e">
        <f t="shared" si="410"/>
        <v>#DIV/0!</v>
      </c>
      <c r="BL405" s="5536"/>
      <c r="BM405" s="5462">
        <v>0</v>
      </c>
      <c r="BN405" s="5462"/>
      <c r="BO405" s="5537"/>
      <c r="BP405" s="5537"/>
      <c r="BQ405" s="5537"/>
      <c r="BR405" s="4146"/>
      <c r="BS405" s="4146"/>
      <c r="BT405" s="5537"/>
      <c r="BU405" s="5537"/>
      <c r="BV405" s="5462"/>
      <c r="BW405" s="5537"/>
      <c r="BX405" s="5462">
        <f t="shared" si="409"/>
        <v>0</v>
      </c>
      <c r="BY405" s="5463">
        <f t="shared" si="420"/>
        <v>0</v>
      </c>
      <c r="CA405" s="169">
        <f t="shared" si="415"/>
        <v>0</v>
      </c>
      <c r="CB405" s="169" t="e">
        <f t="shared" si="418"/>
        <v>#DIV/0!</v>
      </c>
      <c r="CC405" s="169">
        <f>IFERROR(
  SUM(
    _xlfn.XLOOKUP(DATE(YEAR($A$1),1,1),$2:$2,405:405):
    _xlfn.XLOOKUP($A$1,$2:$2,405:405)
  )
 -SUM(
    _xlfn.XLOOKUP(DATE(YEAR($A$1)-1,1,1),$2:$2,405:405):
    _xlfn.XLOOKUP(EDATE($A$1,-12),$2:$2,405:405)
  ),"")</f>
        <v>0</v>
      </c>
      <c r="CD405" s="4517">
        <f t="shared" si="416"/>
        <v>0</v>
      </c>
      <c r="CE405" s="5459"/>
      <c r="CF405" s="5459"/>
    </row>
    <row r="406" spans="1:84" ht="17.399999999999999" customHeight="1" x14ac:dyDescent="0.55000000000000004">
      <c r="A406" s="7348"/>
      <c r="B406" s="5464" t="s">
        <v>206</v>
      </c>
      <c r="C406" s="1799"/>
      <c r="D406" s="5538">
        <v>3.3430232558139537</v>
      </c>
      <c r="E406" s="5539">
        <v>3.3350515463917527</v>
      </c>
      <c r="F406" s="5539">
        <v>3.7032967032967035</v>
      </c>
      <c r="G406" s="5539">
        <v>3.5020576131687244</v>
      </c>
      <c r="H406" s="5539">
        <v>3.9194139194139193</v>
      </c>
      <c r="I406" s="5539">
        <v>3.61328125</v>
      </c>
      <c r="J406" s="5539">
        <v>3.1931818181818183</v>
      </c>
      <c r="K406" s="5539">
        <v>3.4171428571428573</v>
      </c>
      <c r="L406" s="5539">
        <v>3.3238636363636362</v>
      </c>
      <c r="M406" s="5539">
        <v>3.7105263157894739</v>
      </c>
      <c r="N406" s="5539">
        <v>3.5238095238095237</v>
      </c>
      <c r="O406" s="5539">
        <v>3.4</v>
      </c>
      <c r="P406" s="5539">
        <f>SUM(D406:O406)</f>
        <v>41.984648439372364</v>
      </c>
      <c r="Q406" s="5540">
        <f>P406/12</f>
        <v>3.4987207032810304</v>
      </c>
      <c r="R406" s="2776"/>
      <c r="S406" s="5538">
        <v>3.2620689655172415</v>
      </c>
      <c r="T406" s="5539">
        <v>3.6123595505617976</v>
      </c>
      <c r="U406" s="5539">
        <v>4.166666666666667</v>
      </c>
      <c r="V406" s="5539">
        <v>3.5338345864661656</v>
      </c>
      <c r="W406" s="5539">
        <v>3.9090909090909092</v>
      </c>
      <c r="X406" s="5539">
        <v>4.3211678832116789</v>
      </c>
      <c r="Y406" s="5539">
        <v>3.215686274509804</v>
      </c>
      <c r="Z406" s="5539">
        <v>3.6090909090909089</v>
      </c>
      <c r="AA406" s="5539">
        <v>5.4888888888888889</v>
      </c>
      <c r="AB406" s="5539">
        <v>4.0137931034482754</v>
      </c>
      <c r="AC406" s="5539">
        <v>4.6099290780141846</v>
      </c>
      <c r="AD406" s="5539">
        <v>3.6106194690265485</v>
      </c>
      <c r="AE406" s="5539">
        <f>SUM(S406:AD406)</f>
        <v>47.353196284493059</v>
      </c>
      <c r="AF406" s="5540">
        <f>AE406/12</f>
        <v>3.9460996903744214</v>
      </c>
      <c r="AG406" s="2776"/>
      <c r="AH406" s="5538">
        <v>3.6666666666666665</v>
      </c>
      <c r="AI406" s="5539">
        <v>3.8548387096774195</v>
      </c>
      <c r="AJ406" s="5539">
        <v>3.4539877300613497</v>
      </c>
      <c r="AK406" s="5539">
        <v>2.9437500000000001</v>
      </c>
      <c r="AL406" s="5539">
        <v>3.6203208556149731</v>
      </c>
      <c r="AM406" s="5539">
        <v>3.2210526315789472</v>
      </c>
      <c r="AN406" s="5541">
        <v>3.6255924170616112</v>
      </c>
      <c r="AO406" s="5541">
        <v>3.9780219780219781</v>
      </c>
      <c r="AP406" s="5539">
        <v>3.9833333333333334</v>
      </c>
      <c r="AQ406" s="5539">
        <v>3.6181818181818182</v>
      </c>
      <c r="AR406" s="5466">
        <v>2.9459459459459461</v>
      </c>
      <c r="AS406" s="5539">
        <v>3.1941176470588237</v>
      </c>
      <c r="AT406" s="5539">
        <f t="shared" si="417"/>
        <v>42.105809733202861</v>
      </c>
      <c r="AU406" s="5540">
        <f t="shared" si="414"/>
        <v>3.5088174777669052</v>
      </c>
      <c r="AW406" s="5538">
        <v>3.3641618497109826</v>
      </c>
      <c r="AX406" s="5539">
        <v>3.6428571428571428</v>
      </c>
      <c r="AY406" s="5539">
        <v>3.5224719101123596</v>
      </c>
      <c r="AZ406" s="5539">
        <v>3.6348314606741572</v>
      </c>
      <c r="BA406" s="5539">
        <v>4.75</v>
      </c>
      <c r="BB406" s="5539">
        <v>3.5714285714285716</v>
      </c>
      <c r="BC406" s="5541">
        <v>3.7129629629629628</v>
      </c>
      <c r="BD406" s="5541">
        <v>3.5519125683060109</v>
      </c>
      <c r="BE406" s="5539">
        <v>3.2200956937799043</v>
      </c>
      <c r="BF406" s="5539">
        <v>3.3522727272727271</v>
      </c>
      <c r="BG406" s="5466">
        <v>3.260204081632653</v>
      </c>
      <c r="BH406" s="5539">
        <v>3.3796296296296298</v>
      </c>
      <c r="BI406" s="5539">
        <f t="shared" si="408"/>
        <v>42.962828598367096</v>
      </c>
      <c r="BJ406" s="5540">
        <f t="shared" si="410"/>
        <v>3.5802357165305914</v>
      </c>
      <c r="BL406" s="5538">
        <v>3.6775956284153004</v>
      </c>
      <c r="BM406" s="5539">
        <v>3.3984375</v>
      </c>
      <c r="BN406" s="5539"/>
      <c r="BO406" s="5539"/>
      <c r="BP406" s="5539"/>
      <c r="BQ406" s="5539"/>
      <c r="BR406" s="5541"/>
      <c r="BS406" s="5541"/>
      <c r="BT406" s="5539"/>
      <c r="BU406" s="5539"/>
      <c r="BV406" s="5466"/>
      <c r="BW406" s="5539"/>
      <c r="BX406" s="5539">
        <f t="shared" si="409"/>
        <v>7.0760331284153004</v>
      </c>
      <c r="BY406" s="5467">
        <f t="shared" si="420"/>
        <v>3.5380165642076502</v>
      </c>
      <c r="CA406" s="169">
        <f t="shared" si="415"/>
        <v>-0.24441964285714279</v>
      </c>
      <c r="CB406" s="169">
        <f t="shared" si="418"/>
        <v>7.1418238763686137E-2</v>
      </c>
      <c r="CC406" s="169">
        <f>IFERROR(
  SUM(
    _xlfn.XLOOKUP(DATE(YEAR($A$1),1,1),$2:$2,406:406):
    _xlfn.XLOOKUP($A$1,$2:$2,406:406)
  )
 -SUM(
    _xlfn.XLOOKUP(DATE(YEAR($A$1)-1,1,1),$2:$2,406:406):
    _xlfn.XLOOKUP(EDATE($A$1,-12),$2:$2,406:406)
  ),"")</f>
        <v>6.9014135847174529E-2</v>
      </c>
      <c r="CD406" s="4517">
        <f t="shared" si="416"/>
        <v>-0.27915812841530041</v>
      </c>
      <c r="CE406" s="5459"/>
      <c r="CF406" s="5459"/>
    </row>
    <row r="407" spans="1:84" ht="17.399999999999999" customHeight="1" x14ac:dyDescent="0.55000000000000004">
      <c r="A407" s="7348"/>
      <c r="B407" s="5468" t="s">
        <v>207</v>
      </c>
      <c r="C407" s="1576"/>
      <c r="D407" s="5542">
        <v>2.9895833333333335</v>
      </c>
      <c r="E407" s="5355">
        <v>3.7087912087912089</v>
      </c>
      <c r="F407" s="5355">
        <v>3.3842592592592591</v>
      </c>
      <c r="G407" s="5355">
        <v>4.55</v>
      </c>
      <c r="H407" s="5355">
        <v>4.6820512820512823</v>
      </c>
      <c r="I407" s="5355">
        <v>4.3483870967741938</v>
      </c>
      <c r="J407" s="5355">
        <v>4.2280701754385968</v>
      </c>
      <c r="K407" s="5355">
        <v>4.2027027027027026</v>
      </c>
      <c r="L407" s="5355">
        <v>3.675925925925926</v>
      </c>
      <c r="M407" s="5355">
        <v>3.9781021897810218</v>
      </c>
      <c r="N407" s="5355">
        <v>3.6766917293233083</v>
      </c>
      <c r="O407" s="5355">
        <v>3.4956521739130433</v>
      </c>
      <c r="P407" s="5355">
        <f t="shared" ref="P407:P417" si="421">SUM(D407:O407)</f>
        <v>46.92021707729387</v>
      </c>
      <c r="Q407" s="5543">
        <f t="shared" si="419"/>
        <v>3.9100180897744892</v>
      </c>
      <c r="R407" s="2776"/>
      <c r="S407" s="5542">
        <v>4.0952380952380949</v>
      </c>
      <c r="T407" s="5355">
        <v>3.5289855072463769</v>
      </c>
      <c r="U407" s="5355">
        <v>3.4678899082568808</v>
      </c>
      <c r="V407" s="5355">
        <v>3.4375</v>
      </c>
      <c r="W407" s="5355">
        <v>3.9387755102040818</v>
      </c>
      <c r="X407" s="5355">
        <v>3.831168831168831</v>
      </c>
      <c r="Y407" s="5355">
        <v>3.06</v>
      </c>
      <c r="Z407" s="5355">
        <v>3.457943925233645</v>
      </c>
      <c r="AA407" s="5355">
        <v>3.008695652173913</v>
      </c>
      <c r="AB407" s="5355">
        <v>3.8952380952380952</v>
      </c>
      <c r="AC407" s="5355">
        <v>3.7058823529411766</v>
      </c>
      <c r="AD407" s="5355">
        <v>2.9518072289156625</v>
      </c>
      <c r="AE407" s="5355">
        <f t="shared" ref="AE407:AE417" si="422">SUM(S407:AD407)</f>
        <v>42.379125106616755</v>
      </c>
      <c r="AF407" s="5543">
        <f t="shared" ref="AF407:AF417" si="423">AE407/12</f>
        <v>3.5315937588847297</v>
      </c>
      <c r="AG407" s="2776"/>
      <c r="AH407" s="5542">
        <v>2.7804878048780486</v>
      </c>
      <c r="AI407" s="5355">
        <v>2.8130841121495327</v>
      </c>
      <c r="AJ407" s="5355">
        <v>3.5396825396825395</v>
      </c>
      <c r="AK407" s="5355">
        <v>3.8378378378378377</v>
      </c>
      <c r="AL407" s="5355">
        <v>3.5304347826086957</v>
      </c>
      <c r="AM407" s="5355">
        <v>3.6793893129770994</v>
      </c>
      <c r="AN407" s="5544">
        <v>3.6769230769230767</v>
      </c>
      <c r="AO407" s="5544">
        <v>4.5850340136054424</v>
      </c>
      <c r="AP407" s="5355">
        <v>4.3641975308641978</v>
      </c>
      <c r="AQ407" s="5355">
        <v>5.0283687943262407</v>
      </c>
      <c r="AR407" s="2636">
        <v>3.8571428571428572</v>
      </c>
      <c r="AS407" s="5355">
        <v>4.3805970149253728</v>
      </c>
      <c r="AT407" s="5355">
        <f t="shared" si="417"/>
        <v>46.073179677920933</v>
      </c>
      <c r="AU407" s="5543">
        <f t="shared" si="414"/>
        <v>3.8394316398267443</v>
      </c>
      <c r="AW407" s="5542">
        <v>4.5084745762711869</v>
      </c>
      <c r="AX407" s="5355">
        <v>4.1517241379310343</v>
      </c>
      <c r="AY407" s="5355">
        <v>4.3274336283185839</v>
      </c>
      <c r="AZ407" s="5355">
        <v>4.192660550458716</v>
      </c>
      <c r="BA407" s="5355">
        <v>4.7260273972602738</v>
      </c>
      <c r="BB407" s="5355">
        <v>3.863905325443787</v>
      </c>
      <c r="BC407" s="5544">
        <v>4.0064935064935066</v>
      </c>
      <c r="BD407" s="5544">
        <v>3.986842105263158</v>
      </c>
      <c r="BE407" s="5355">
        <v>3.8417721518987342</v>
      </c>
      <c r="BF407" s="5355">
        <v>3.8344827586206898</v>
      </c>
      <c r="BG407" s="2636">
        <v>3.8308823529411766</v>
      </c>
      <c r="BH407" s="5355">
        <v>4</v>
      </c>
      <c r="BI407" s="5355">
        <f t="shared" si="408"/>
        <v>49.270698490900848</v>
      </c>
      <c r="BJ407" s="5543">
        <f t="shared" si="410"/>
        <v>4.105891540908404</v>
      </c>
      <c r="BL407" s="5542">
        <v>3.3728813559322033</v>
      </c>
      <c r="BM407" s="5355">
        <v>3.2461538461538462</v>
      </c>
      <c r="BN407" s="5355"/>
      <c r="BO407" s="5355"/>
      <c r="BP407" s="5355"/>
      <c r="BQ407" s="5355"/>
      <c r="BR407" s="5544"/>
      <c r="BS407" s="5544"/>
      <c r="BT407" s="5355"/>
      <c r="BU407" s="5355"/>
      <c r="BV407" s="2636"/>
      <c r="BW407" s="5355"/>
      <c r="BX407" s="5355">
        <f t="shared" si="409"/>
        <v>6.6190352020860495</v>
      </c>
      <c r="BY407" s="5470">
        <f t="shared" si="420"/>
        <v>3.3095176010430247</v>
      </c>
      <c r="CA407" s="169">
        <f t="shared" si="415"/>
        <v>-0.90557029177718817</v>
      </c>
      <c r="CB407" s="169">
        <f t="shared" si="418"/>
        <v>0.26645990108165973</v>
      </c>
      <c r="CC407" s="169">
        <f>IFERROR(
  SUM(
    _xlfn.XLOOKUP(DATE(YEAR($A$1),1,1),$2:$2,407:407):
    _xlfn.XLOOKUP($A$1,$2:$2,407:407)
  )
 -SUM(
    _xlfn.XLOOKUP(DATE(YEAR($A$1)-1,1,1),$2:$2,407:407):
    _xlfn.XLOOKUP(EDATE($A$1,-12),$2:$2,407:407)
  ),"")</f>
        <v>-2.0411635121161709</v>
      </c>
      <c r="CD407" s="4517">
        <f t="shared" si="416"/>
        <v>-0.12672750977835712</v>
      </c>
      <c r="CE407" s="5459"/>
      <c r="CF407" s="5459"/>
    </row>
    <row r="408" spans="1:84" ht="17.399999999999999" customHeight="1" x14ac:dyDescent="0.55000000000000004">
      <c r="A408" s="7348"/>
      <c r="B408" s="5468" t="s">
        <v>208</v>
      </c>
      <c r="C408" s="1576"/>
      <c r="D408" s="5542">
        <v>3.4782608695652173</v>
      </c>
      <c r="E408" s="5355">
        <v>3.5977011494252875</v>
      </c>
      <c r="F408" s="5355">
        <v>5.0763358778625953</v>
      </c>
      <c r="G408" s="5355">
        <v>4</v>
      </c>
      <c r="H408" s="5355">
        <v>3.7675675675675677</v>
      </c>
      <c r="I408" s="5355">
        <v>4.227586206896552</v>
      </c>
      <c r="J408" s="5355">
        <v>3.5920000000000001</v>
      </c>
      <c r="K408" s="5355">
        <v>4.4344262295081966</v>
      </c>
      <c r="L408" s="5355">
        <v>5.2168674698795181</v>
      </c>
      <c r="M408" s="5355">
        <v>5.8888888888888893</v>
      </c>
      <c r="N408" s="5355">
        <v>6.3230769230769228</v>
      </c>
      <c r="O408" s="5355">
        <v>4.1578947368421053</v>
      </c>
      <c r="P408" s="5355">
        <f t="shared" si="421"/>
        <v>53.760605919512848</v>
      </c>
      <c r="Q408" s="5543">
        <f t="shared" si="419"/>
        <v>4.4800504932927376</v>
      </c>
      <c r="R408" s="2776"/>
      <c r="S408" s="5542">
        <v>4.2739726027397262</v>
      </c>
      <c r="T408" s="5355">
        <v>4.416666666666667</v>
      </c>
      <c r="U408" s="5355">
        <v>4.0326086956521738</v>
      </c>
      <c r="V408" s="5355">
        <v>4.3026315789473681</v>
      </c>
      <c r="W408" s="5355">
        <v>4.5274725274725274</v>
      </c>
      <c r="X408" s="5355">
        <v>4.5487804878048781</v>
      </c>
      <c r="Y408" s="5355">
        <v>3.1196581196581197</v>
      </c>
      <c r="Z408" s="5355">
        <v>3.46218487394958</v>
      </c>
      <c r="AA408" s="5355">
        <v>3.2857142857142856</v>
      </c>
      <c r="AB408" s="5355">
        <v>3.25</v>
      </c>
      <c r="AC408" s="5355">
        <v>3.3553719008264462</v>
      </c>
      <c r="AD408" s="5355">
        <v>3.0833333333333335</v>
      </c>
      <c r="AE408" s="5355">
        <f t="shared" si="422"/>
        <v>45.65839507276511</v>
      </c>
      <c r="AF408" s="5543">
        <f t="shared" si="423"/>
        <v>3.8048662560637592</v>
      </c>
      <c r="AG408" s="2776"/>
      <c r="AH408" s="5542">
        <v>2.6875</v>
      </c>
      <c r="AI408" s="5355">
        <v>2.8130841121495327</v>
      </c>
      <c r="AJ408" s="5355">
        <v>3.140625</v>
      </c>
      <c r="AK408" s="5355">
        <v>2.806201550387597</v>
      </c>
      <c r="AL408" s="5355">
        <v>3.4064516129032256</v>
      </c>
      <c r="AM408" s="5355">
        <v>3.1474358974358974</v>
      </c>
      <c r="AN408" s="5544">
        <v>3.484076433121019</v>
      </c>
      <c r="AO408" s="5544">
        <v>3.4906832298136647</v>
      </c>
      <c r="AP408" s="5355">
        <v>3.6940298507462686</v>
      </c>
      <c r="AQ408" s="5355">
        <v>3.5609756097560976</v>
      </c>
      <c r="AR408" s="2636">
        <v>3.8716216216216215</v>
      </c>
      <c r="AS408" s="5355">
        <v>3.9927536231884058</v>
      </c>
      <c r="AT408" s="5355">
        <f t="shared" si="417"/>
        <v>40.095438541123329</v>
      </c>
      <c r="AU408" s="5543">
        <f t="shared" si="414"/>
        <v>3.3412865450936109</v>
      </c>
      <c r="AW408" s="5542">
        <v>3.751937984496124</v>
      </c>
      <c r="AX408" s="5355">
        <v>3.9545454545454546</v>
      </c>
      <c r="AY408" s="5355">
        <v>4.9635036496350367</v>
      </c>
      <c r="AZ408" s="5355">
        <v>3.763157894736842</v>
      </c>
      <c r="BA408" s="5355">
        <v>4.8904109589041092</v>
      </c>
      <c r="BB408" s="5355">
        <v>4.3195876288659791</v>
      </c>
      <c r="BC408" s="5544">
        <v>4.1373626373626378</v>
      </c>
      <c r="BD408" s="5544">
        <v>3.736842105263158</v>
      </c>
      <c r="BE408" s="5355">
        <v>3.9329268292682928</v>
      </c>
      <c r="BF408" s="5355">
        <v>3.9795918367346941</v>
      </c>
      <c r="BG408" s="2636">
        <v>4.024390243902439</v>
      </c>
      <c r="BH408" s="5355">
        <v>3.4189189189189189</v>
      </c>
      <c r="BI408" s="5355">
        <f t="shared" si="408"/>
        <v>48.873176142633682</v>
      </c>
      <c r="BJ408" s="5543">
        <f t="shared" si="410"/>
        <v>4.0727646785528071</v>
      </c>
      <c r="BL408" s="5542">
        <v>3.9545454545454546</v>
      </c>
      <c r="BM408" s="5355">
        <v>3.2344827586206897</v>
      </c>
      <c r="BN408" s="5355"/>
      <c r="BO408" s="5355"/>
      <c r="BP408" s="5355"/>
      <c r="BQ408" s="5355"/>
      <c r="BR408" s="5544"/>
      <c r="BS408" s="5544"/>
      <c r="BT408" s="5355"/>
      <c r="BU408" s="5355"/>
      <c r="BV408" s="2636"/>
      <c r="BW408" s="5355"/>
      <c r="BX408" s="5355">
        <f t="shared" si="409"/>
        <v>7.1890282131661447</v>
      </c>
      <c r="BY408" s="5470">
        <f t="shared" si="420"/>
        <v>3.5945141065830724</v>
      </c>
      <c r="CA408" s="169">
        <f t="shared" si="415"/>
        <v>-0.72006269592476491</v>
      </c>
      <c r="CB408" s="169">
        <f t="shared" si="418"/>
        <v>0.73147813345919621</v>
      </c>
      <c r="CC408" s="169">
        <f>IFERROR(
  SUM(
    _xlfn.XLOOKUP(DATE(YEAR($A$1),1,1),$2:$2,408:408):
    _xlfn.XLOOKUP($A$1,$2:$2,408:408)
  )
 -SUM(
    _xlfn.XLOOKUP(DATE(YEAR($A$1)-1,1,1),$2:$2,408:408):
    _xlfn.XLOOKUP(EDATE($A$1,-12),$2:$2,408:408)
  ),"")</f>
        <v>-0.51745522587543391</v>
      </c>
      <c r="CD408" s="4517">
        <f t="shared" si="416"/>
        <v>-0.72006269592476491</v>
      </c>
      <c r="CE408" s="5459"/>
      <c r="CF408" s="5459"/>
    </row>
    <row r="409" spans="1:84" ht="17.399999999999999" customHeight="1" x14ac:dyDescent="0.55000000000000004">
      <c r="A409" s="7348"/>
      <c r="B409" s="5468" t="s">
        <v>209</v>
      </c>
      <c r="C409" s="1576"/>
      <c r="D409" s="5542">
        <v>4.6460674157303368</v>
      </c>
      <c r="E409" s="5355">
        <v>3.7222222222222223</v>
      </c>
      <c r="F409" s="5355">
        <v>3.9771689497716896</v>
      </c>
      <c r="G409" s="5355">
        <v>4.0180180180180178</v>
      </c>
      <c r="H409" s="5355">
        <v>4.6859903381642516</v>
      </c>
      <c r="I409" s="5355">
        <v>5.1956521739130439</v>
      </c>
      <c r="J409" s="5355">
        <v>3.3304347826086955</v>
      </c>
      <c r="K409" s="5355">
        <v>3.452471482889734</v>
      </c>
      <c r="L409" s="5355">
        <v>3.5119617224880382</v>
      </c>
      <c r="M409" s="5355">
        <v>3.5728643216080402</v>
      </c>
      <c r="N409" s="5355">
        <v>3.1764705882352939</v>
      </c>
      <c r="O409" s="5355">
        <v>2.911111111111111</v>
      </c>
      <c r="P409" s="5355">
        <f t="shared" si="421"/>
        <v>46.200433126760473</v>
      </c>
      <c r="Q409" s="5543">
        <f t="shared" si="419"/>
        <v>3.8500360938967062</v>
      </c>
      <c r="R409" s="2776"/>
      <c r="S409" s="5542">
        <v>3.1413043478260869</v>
      </c>
      <c r="T409" s="5355">
        <v>3.237864077669903</v>
      </c>
      <c r="U409" s="5355">
        <v>3.1100478468899522</v>
      </c>
      <c r="V409" s="5355">
        <v>3.203045685279188</v>
      </c>
      <c r="W409" s="5355">
        <v>3.4553191489361703</v>
      </c>
      <c r="X409" s="5355">
        <v>3.1735159817351599</v>
      </c>
      <c r="Y409" s="5355">
        <v>3.134020618556701</v>
      </c>
      <c r="Z409" s="5355">
        <v>4.1243781094527368</v>
      </c>
      <c r="AA409" s="5355">
        <v>3.2350230414746544</v>
      </c>
      <c r="AB409" s="5355">
        <v>3.2510121457489878</v>
      </c>
      <c r="AC409" s="5355">
        <v>3.983240223463687</v>
      </c>
      <c r="AD409" s="5355">
        <v>3.2866242038216562</v>
      </c>
      <c r="AE409" s="5355">
        <f t="shared" si="422"/>
        <v>40.335395430854888</v>
      </c>
      <c r="AF409" s="5543">
        <f t="shared" si="423"/>
        <v>3.3612829525712407</v>
      </c>
      <c r="AG409" s="2776"/>
      <c r="AH409" s="5542">
        <v>3.6392156862745098</v>
      </c>
      <c r="AI409" s="5355">
        <v>3.2796934865900385</v>
      </c>
      <c r="AJ409" s="5355">
        <v>3.0191693290734825</v>
      </c>
      <c r="AK409" s="5355">
        <v>3.140845070422535</v>
      </c>
      <c r="AL409" s="5355">
        <v>3.1578947368421053</v>
      </c>
      <c r="AM409" s="5355">
        <v>2.8552188552188551</v>
      </c>
      <c r="AN409" s="5544">
        <v>3.1459074733096086</v>
      </c>
      <c r="AO409" s="5544">
        <v>3.1062271062271063</v>
      </c>
      <c r="AP409" s="5355">
        <v>2.9587628865979383</v>
      </c>
      <c r="AQ409" s="5355">
        <v>3.4982698961937717</v>
      </c>
      <c r="AR409" s="2636">
        <v>3.3920972644376901</v>
      </c>
      <c r="AS409" s="5355">
        <v>3.7233333333333332</v>
      </c>
      <c r="AT409" s="5355">
        <f t="shared" si="417"/>
        <v>38.91663512452098</v>
      </c>
      <c r="AU409" s="5543">
        <f t="shared" si="414"/>
        <v>3.243052927043415</v>
      </c>
      <c r="AW409" s="5542">
        <v>3.309148264984227</v>
      </c>
      <c r="AX409" s="5355">
        <v>3.8875379939209727</v>
      </c>
      <c r="AY409" s="5355">
        <v>3.6645768025078369</v>
      </c>
      <c r="AZ409" s="5355">
        <v>4.2469512195121952</v>
      </c>
      <c r="BA409" s="5355">
        <v>5.5116279069767442</v>
      </c>
      <c r="BB409" s="5355">
        <v>5.8221258134490235</v>
      </c>
      <c r="BC409" s="5544">
        <v>5.2235872235872236</v>
      </c>
      <c r="BD409" s="5544">
        <v>4.7324414715719065</v>
      </c>
      <c r="BE409" s="5355">
        <v>3.8393939393939394</v>
      </c>
      <c r="BF409" s="5355">
        <v>4.2173913043478262</v>
      </c>
      <c r="BG409" s="2636">
        <v>4.2976588628762542</v>
      </c>
      <c r="BH409" s="5355">
        <v>3.7435897435897436</v>
      </c>
      <c r="BI409" s="5355">
        <f t="shared" si="408"/>
        <v>52.496030546717897</v>
      </c>
      <c r="BJ409" s="5543">
        <f t="shared" si="410"/>
        <v>4.3746692122264914</v>
      </c>
      <c r="BL409" s="5542">
        <v>3.7419354838709675</v>
      </c>
      <c r="BM409" s="5355">
        <v>3.6468085106382979</v>
      </c>
      <c r="BN409" s="5355"/>
      <c r="BO409" s="5355"/>
      <c r="BP409" s="5355"/>
      <c r="BQ409" s="5355"/>
      <c r="BR409" s="5544"/>
      <c r="BS409" s="5544"/>
      <c r="BT409" s="5355"/>
      <c r="BU409" s="5355"/>
      <c r="BV409" s="2636"/>
      <c r="BW409" s="5355"/>
      <c r="BX409" s="5355">
        <f t="shared" si="409"/>
        <v>7.3887439945092659</v>
      </c>
      <c r="BY409" s="5470">
        <f t="shared" si="420"/>
        <v>3.6943719972546329</v>
      </c>
      <c r="CA409" s="169">
        <f t="shared" si="415"/>
        <v>-0.24072948328267474</v>
      </c>
      <c r="CB409" s="169">
        <f t="shared" si="418"/>
        <v>1.1316162851830764</v>
      </c>
      <c r="CC409" s="169">
        <f>IFERROR(
  SUM(
    _xlfn.XLOOKUP(DATE(YEAR($A$1),1,1),$2:$2,409:409):
    _xlfn.XLOOKUP($A$1,$2:$2,409:409)
  )
 -SUM(
    _xlfn.XLOOKUP(DATE(YEAR($A$1)-1,1,1),$2:$2,409:409):
    _xlfn.XLOOKUP(EDATE($A$1,-12),$2:$2,409:409)
  ),"")</f>
        <v>0.19205773560406669</v>
      </c>
      <c r="CD409" s="4517">
        <f t="shared" si="416"/>
        <v>-9.5126973232669609E-2</v>
      </c>
      <c r="CE409" s="5459"/>
      <c r="CF409" s="5459"/>
    </row>
    <row r="410" spans="1:84" ht="17.399999999999999" customHeight="1" x14ac:dyDescent="0.55000000000000004">
      <c r="A410" s="7348"/>
      <c r="B410" s="5471" t="s">
        <v>210</v>
      </c>
      <c r="C410" s="1813"/>
      <c r="D410" s="5545">
        <v>2.96875</v>
      </c>
      <c r="E410" s="5546">
        <v>2.7675276752767526</v>
      </c>
      <c r="F410" s="5546">
        <v>2.8170731707317072</v>
      </c>
      <c r="G410" s="5546">
        <v>3.7124463519313307</v>
      </c>
      <c r="H410" s="5546">
        <v>3.46</v>
      </c>
      <c r="I410" s="5546">
        <v>3.6666666666666665</v>
      </c>
      <c r="J410" s="5546">
        <v>2.7603686635944702</v>
      </c>
      <c r="K410" s="5546">
        <v>3.2088888888888887</v>
      </c>
      <c r="L410" s="5546">
        <v>3.0728155339805827</v>
      </c>
      <c r="M410" s="5546">
        <v>3.0143540669856459</v>
      </c>
      <c r="N410" s="5546">
        <v>2.9907834101382487</v>
      </c>
      <c r="O410" s="5546">
        <v>3.1099476439790577</v>
      </c>
      <c r="P410" s="5546">
        <f t="shared" si="421"/>
        <v>37.549622072173349</v>
      </c>
      <c r="Q410" s="5547">
        <f t="shared" si="419"/>
        <v>3.1291351726811123</v>
      </c>
      <c r="R410" s="2776"/>
      <c r="S410" s="5545">
        <v>3.0099502487562191</v>
      </c>
      <c r="T410" s="5546">
        <v>3.3181818181818183</v>
      </c>
      <c r="U410" s="5546">
        <v>3.0440528634361232</v>
      </c>
      <c r="V410" s="5546">
        <v>2.7672413793103448</v>
      </c>
      <c r="W410" s="5546">
        <v>3.2605042016806722</v>
      </c>
      <c r="X410" s="5546">
        <v>3</v>
      </c>
      <c r="Y410" s="5546">
        <v>2.946236559139785</v>
      </c>
      <c r="Z410" s="5546">
        <v>3.4358974358974357</v>
      </c>
      <c r="AA410" s="5546">
        <v>3.5277777777777777</v>
      </c>
      <c r="AB410" s="5546">
        <v>3.5588235294117645</v>
      </c>
      <c r="AC410" s="5546">
        <v>3.386934673366834</v>
      </c>
      <c r="AD410" s="5546">
        <v>3.1772151898734178</v>
      </c>
      <c r="AE410" s="5546">
        <f t="shared" si="422"/>
        <v>38.432815676832185</v>
      </c>
      <c r="AF410" s="5547">
        <f t="shared" si="423"/>
        <v>3.2027346397360152</v>
      </c>
      <c r="AG410" s="2776"/>
      <c r="AH410" s="5545">
        <v>2.7408759124087592</v>
      </c>
      <c r="AI410" s="5546">
        <v>2.8110599078341014</v>
      </c>
      <c r="AJ410" s="5546">
        <v>2.9192825112107625</v>
      </c>
      <c r="AK410" s="5546">
        <v>2.8529411764705883</v>
      </c>
      <c r="AL410" s="5546">
        <v>2.950413223140496</v>
      </c>
      <c r="AM410" s="5546">
        <v>2.8468085106382977</v>
      </c>
      <c r="AN410" s="5548">
        <v>2.7916666666666665</v>
      </c>
      <c r="AO410" s="5548">
        <v>3.0466321243523318</v>
      </c>
      <c r="AP410" s="5546">
        <v>3.1840796019900499</v>
      </c>
      <c r="AQ410" s="5546">
        <v>3.2768595041322315</v>
      </c>
      <c r="AR410" s="5473">
        <v>3.7471264367816093</v>
      </c>
      <c r="AS410" s="5546">
        <v>3.5560165975103732</v>
      </c>
      <c r="AT410" s="5546">
        <f t="shared" si="417"/>
        <v>36.723762173136265</v>
      </c>
      <c r="AU410" s="5547">
        <f t="shared" si="414"/>
        <v>3.0603135144280222</v>
      </c>
      <c r="AW410" s="5545">
        <v>3.7227272727272727</v>
      </c>
      <c r="AX410" s="5546">
        <v>3.8049645390070923</v>
      </c>
      <c r="AY410" s="5546">
        <v>3.6494023904382469</v>
      </c>
      <c r="AZ410" s="5546">
        <v>3.7351778656126484</v>
      </c>
      <c r="BA410" s="5546">
        <v>4.0830945558739256</v>
      </c>
      <c r="BB410" s="5546">
        <v>3.9386281588447654</v>
      </c>
      <c r="BC410" s="5548">
        <v>3.9927797833935017</v>
      </c>
      <c r="BD410" s="5548">
        <v>3.4103773584905661</v>
      </c>
      <c r="BE410" s="5546">
        <v>3.7972972972972974</v>
      </c>
      <c r="BF410" s="5546">
        <v>3.6030150753768844</v>
      </c>
      <c r="BG410" s="5473">
        <v>3.4434389140271495</v>
      </c>
      <c r="BH410" s="5546">
        <v>3.3055555555555554</v>
      </c>
      <c r="BI410" s="5546">
        <f t="shared" si="408"/>
        <v>44.486458766644908</v>
      </c>
      <c r="BJ410" s="5547">
        <f t="shared" si="410"/>
        <v>3.707204897220409</v>
      </c>
      <c r="BL410" s="5545">
        <v>3.2121212121212119</v>
      </c>
      <c r="BM410" s="5546">
        <v>3.23</v>
      </c>
      <c r="BN410" s="5546"/>
      <c r="BO410" s="5546"/>
      <c r="BP410" s="5546"/>
      <c r="BQ410" s="5546"/>
      <c r="BR410" s="5548"/>
      <c r="BS410" s="5548"/>
      <c r="BT410" s="5546"/>
      <c r="BU410" s="5546"/>
      <c r="BV410" s="5473"/>
      <c r="BW410" s="5546"/>
      <c r="BX410" s="5546">
        <f t="shared" si="409"/>
        <v>6.4421212121212115</v>
      </c>
      <c r="BY410" s="5474">
        <f t="shared" si="420"/>
        <v>3.2210606060606057</v>
      </c>
      <c r="CA410" s="169">
        <f t="shared" si="415"/>
        <v>-0.57496453900709232</v>
      </c>
      <c r="CB410" s="169">
        <f t="shared" si="418"/>
        <v>0.64689138279238678</v>
      </c>
      <c r="CC410" s="169">
        <f>IFERROR(
  SUM(
    _xlfn.XLOOKUP(DATE(YEAR($A$1),1,1),$2:$2,410:410):
    _xlfn.XLOOKUP($A$1,$2:$2,410:410)
  )
 -SUM(
    _xlfn.XLOOKUP(DATE(YEAR($A$1)-1,1,1),$2:$2,410:410):
    _xlfn.XLOOKUP(EDATE($A$1,-12),$2:$2,410:410)
  ),"")</f>
        <v>-1.0855705996131535</v>
      </c>
      <c r="CD410" s="4517">
        <f t="shared" si="416"/>
        <v>1.7878787878788049E-2</v>
      </c>
      <c r="CE410" s="5459"/>
      <c r="CF410" s="5459"/>
    </row>
    <row r="411" spans="1:84" s="698" customFormat="1" ht="15.65" customHeight="1" x14ac:dyDescent="0.55000000000000004">
      <c r="A411" s="7348"/>
      <c r="B411" s="5475"/>
      <c r="C411" s="2156" t="s">
        <v>226</v>
      </c>
      <c r="D411" s="5549">
        <v>3.622950819672131</v>
      </c>
      <c r="E411" s="5550">
        <v>3.5310344827586206</v>
      </c>
      <c r="F411" s="5550">
        <v>3.9179104477611939</v>
      </c>
      <c r="G411" s="5550">
        <v>3.7172774869109948</v>
      </c>
      <c r="H411" s="5550">
        <v>4.195348837209302</v>
      </c>
      <c r="I411" s="5550">
        <v>3.7584541062801931</v>
      </c>
      <c r="J411" s="5550">
        <v>3.2147651006711411</v>
      </c>
      <c r="K411" s="5550">
        <v>3.3676470588235294</v>
      </c>
      <c r="L411" s="5550">
        <v>3.4861111111111112</v>
      </c>
      <c r="M411" s="5550">
        <v>3.9602649006622515</v>
      </c>
      <c r="N411" s="5550">
        <v>3.692982456140351</v>
      </c>
      <c r="O411" s="5550">
        <v>3.5634920634920637</v>
      </c>
      <c r="P411" s="5550">
        <f t="shared" si="421"/>
        <v>44.028238871492881</v>
      </c>
      <c r="Q411" s="5551">
        <f t="shared" si="419"/>
        <v>3.66901990595774</v>
      </c>
      <c r="R411" s="5479"/>
      <c r="S411" s="5549">
        <v>3.4</v>
      </c>
      <c r="T411" s="5550">
        <v>3.7785234899328861</v>
      </c>
      <c r="U411" s="5550">
        <v>4.05</v>
      </c>
      <c r="V411" s="5550">
        <v>3.4952380952380953</v>
      </c>
      <c r="W411" s="5550">
        <v>3.8583333333333334</v>
      </c>
      <c r="X411" s="5550">
        <v>4.2129629629629628</v>
      </c>
      <c r="Y411" s="5550">
        <v>3.1707317073170733</v>
      </c>
      <c r="Z411" s="5550">
        <v>2.8784530386740332</v>
      </c>
      <c r="AA411" s="5550">
        <v>4.568807339449541</v>
      </c>
      <c r="AB411" s="5550">
        <v>3.8378378378378377</v>
      </c>
      <c r="AC411" s="5550">
        <v>4.4553571428571432</v>
      </c>
      <c r="AD411" s="5550">
        <v>3.3012048192771086</v>
      </c>
      <c r="AE411" s="5550">
        <f t="shared" si="422"/>
        <v>45.007449766880022</v>
      </c>
      <c r="AF411" s="5551">
        <f t="shared" si="423"/>
        <v>3.7506208139066683</v>
      </c>
      <c r="AG411" s="5479"/>
      <c r="AH411" s="5549">
        <v>3.7152777777777777</v>
      </c>
      <c r="AI411" s="5550">
        <v>3.6263736263736264</v>
      </c>
      <c r="AJ411" s="5550">
        <v>3.0991735537190084</v>
      </c>
      <c r="AK411" s="5550">
        <v>2.8547008547008548</v>
      </c>
      <c r="AL411" s="5550">
        <v>3.5833333333333335</v>
      </c>
      <c r="AM411" s="5550">
        <v>3.0833333333333335</v>
      </c>
      <c r="AN411" s="5552">
        <v>3.6095890410958904</v>
      </c>
      <c r="AO411" s="5552">
        <v>4.162962962962963</v>
      </c>
      <c r="AP411" s="5550">
        <v>3.8712121212121211</v>
      </c>
      <c r="AQ411" s="5550">
        <v>3.5838150289017343</v>
      </c>
      <c r="AR411" s="5477">
        <v>2.9226190476190474</v>
      </c>
      <c r="AS411" s="5550">
        <v>3.3852459016393444</v>
      </c>
      <c r="AT411" s="5550">
        <f t="shared" si="417"/>
        <v>41.497636582669038</v>
      </c>
      <c r="AU411" s="5551">
        <f t="shared" si="414"/>
        <v>3.4581363818890867</v>
      </c>
      <c r="AW411" s="5549">
        <v>3.4260869565217393</v>
      </c>
      <c r="AX411" s="5550">
        <v>3.8972602739726026</v>
      </c>
      <c r="AY411" s="5550">
        <v>3.7355371900826446</v>
      </c>
      <c r="AZ411" s="5550">
        <v>3.8114754098360657</v>
      </c>
      <c r="BA411" s="5550">
        <v>4.7766990291262132</v>
      </c>
      <c r="BB411" s="5550">
        <v>3.670807453416149</v>
      </c>
      <c r="BC411" s="5552">
        <v>3.7129629629629628</v>
      </c>
      <c r="BD411" s="5552">
        <v>3.5519125683060109</v>
      </c>
      <c r="BE411" s="5550">
        <v>3.2200956937799043</v>
      </c>
      <c r="BF411" s="5550">
        <v>3.3522727272727271</v>
      </c>
      <c r="BG411" s="5477">
        <v>3.260204081632653</v>
      </c>
      <c r="BH411" s="5550">
        <v>3.3796296296296298</v>
      </c>
      <c r="BI411" s="5550">
        <f t="shared" si="408"/>
        <v>43.794943976539301</v>
      </c>
      <c r="BJ411" s="5551">
        <f t="shared" si="410"/>
        <v>3.6495786647116084</v>
      </c>
      <c r="BL411" s="5549">
        <v>3.6775956284153004</v>
      </c>
      <c r="BM411" s="5550">
        <v>3.3984375</v>
      </c>
      <c r="BN411" s="5550"/>
      <c r="BO411" s="5550"/>
      <c r="BP411" s="5550"/>
      <c r="BQ411" s="5550"/>
      <c r="BR411" s="5552"/>
      <c r="BS411" s="5552"/>
      <c r="BT411" s="5550"/>
      <c r="BU411" s="5550"/>
      <c r="BV411" s="5477"/>
      <c r="BW411" s="5550"/>
      <c r="BX411" s="5550">
        <f t="shared" si="409"/>
        <v>7.0760331284153004</v>
      </c>
      <c r="BY411" s="5478">
        <f t="shared" si="420"/>
        <v>3.5380165642076502</v>
      </c>
      <c r="CA411" s="169">
        <f t="shared" si="415"/>
        <v>-0.49882277397260255</v>
      </c>
      <c r="CB411" s="169">
        <f t="shared" si="418"/>
        <v>0.19144228282252174</v>
      </c>
      <c r="CC411" s="169">
        <f>IFERROR(
  SUM(
    _xlfn.XLOOKUP(DATE(YEAR($A$1),1,1),$2:$2,411:411):
    _xlfn.XLOOKUP($A$1,$2:$2,411:411)
  )
 -SUM(
    _xlfn.XLOOKUP(DATE(YEAR($A$1)-1,1,1),$2:$2,411:411):
    _xlfn.XLOOKUP(EDATE($A$1,-12),$2:$2,411:411)
  ),"")</f>
        <v>-0.24731410207904148</v>
      </c>
      <c r="CD411" s="4517">
        <f t="shared" si="416"/>
        <v>-0.27915812841530041</v>
      </c>
      <c r="CE411" s="5459"/>
      <c r="CF411" s="5459"/>
    </row>
    <row r="412" spans="1:84" s="698" customFormat="1" ht="15.65" customHeight="1" x14ac:dyDescent="0.55000000000000004">
      <c r="A412" s="7348"/>
      <c r="B412" s="5480"/>
      <c r="C412" s="681" t="s">
        <v>227</v>
      </c>
      <c r="D412" s="5553">
        <v>2.9895833333333335</v>
      </c>
      <c r="E412" s="5554">
        <v>3.7087912087912089</v>
      </c>
      <c r="F412" s="5554">
        <v>3.3842592592592591</v>
      </c>
      <c r="G412" s="5554">
        <v>4.55</v>
      </c>
      <c r="H412" s="5554">
        <v>4.6820512820512823</v>
      </c>
      <c r="I412" s="5554">
        <v>4.3483870967741938</v>
      </c>
      <c r="J412" s="5554">
        <v>4.2280701754385968</v>
      </c>
      <c r="K412" s="5554">
        <v>4.2027027027027026</v>
      </c>
      <c r="L412" s="5554">
        <v>3.675925925925926</v>
      </c>
      <c r="M412" s="5554">
        <v>3.9781021897810218</v>
      </c>
      <c r="N412" s="5554">
        <v>3.6766917293233083</v>
      </c>
      <c r="O412" s="5554">
        <v>3.4956521739130433</v>
      </c>
      <c r="P412" s="5554">
        <f t="shared" si="421"/>
        <v>46.92021707729387</v>
      </c>
      <c r="Q412" s="5555">
        <f t="shared" si="419"/>
        <v>3.9100180897744892</v>
      </c>
      <c r="R412" s="5479"/>
      <c r="S412" s="5553">
        <v>4.0952380952380949</v>
      </c>
      <c r="T412" s="5554">
        <v>3.5289855072463769</v>
      </c>
      <c r="U412" s="5554">
        <v>3.4678899082568808</v>
      </c>
      <c r="V412" s="5554">
        <v>3.4375</v>
      </c>
      <c r="W412" s="5554">
        <v>3.9387755102040818</v>
      </c>
      <c r="X412" s="5554">
        <v>3.831168831168831</v>
      </c>
      <c r="Y412" s="5554">
        <v>3.06</v>
      </c>
      <c r="Z412" s="5554">
        <v>3.457943925233645</v>
      </c>
      <c r="AA412" s="5554">
        <v>3.008695652173913</v>
      </c>
      <c r="AB412" s="5554">
        <v>3.8952380952380952</v>
      </c>
      <c r="AC412" s="5554">
        <v>3.7058823529411766</v>
      </c>
      <c r="AD412" s="5554">
        <v>2.9518072289156625</v>
      </c>
      <c r="AE412" s="5554">
        <f t="shared" si="422"/>
        <v>42.379125106616755</v>
      </c>
      <c r="AF412" s="5555">
        <f t="shared" si="423"/>
        <v>3.5315937588847297</v>
      </c>
      <c r="AG412" s="5479"/>
      <c r="AH412" s="5553">
        <v>2.7804878048780486</v>
      </c>
      <c r="AI412" s="5554">
        <v>2.8130841121495327</v>
      </c>
      <c r="AJ412" s="5554">
        <v>3.5396825396825395</v>
      </c>
      <c r="AK412" s="5554">
        <v>3.8378378378378377</v>
      </c>
      <c r="AL412" s="5554">
        <v>3.5304347826086957</v>
      </c>
      <c r="AM412" s="5554">
        <v>3.6793893129770994</v>
      </c>
      <c r="AN412" s="5556">
        <v>3.6769230769230767</v>
      </c>
      <c r="AO412" s="5556">
        <v>4.5850340136054424</v>
      </c>
      <c r="AP412" s="5554">
        <v>4.3641975308641978</v>
      </c>
      <c r="AQ412" s="5554">
        <v>5.0283687943262407</v>
      </c>
      <c r="AR412" s="5482">
        <v>3.8571428571428572</v>
      </c>
      <c r="AS412" s="5554">
        <v>4.3805970149253728</v>
      </c>
      <c r="AT412" s="5554">
        <f t="shared" si="417"/>
        <v>46.073179677920933</v>
      </c>
      <c r="AU412" s="5555">
        <f t="shared" si="414"/>
        <v>3.8394316398267443</v>
      </c>
      <c r="AW412" s="5553">
        <v>4.5084745762711869</v>
      </c>
      <c r="AX412" s="5554">
        <v>4.1517241379310343</v>
      </c>
      <c r="AY412" s="5554">
        <v>4.3274336283185839</v>
      </c>
      <c r="AZ412" s="5554">
        <v>4.192660550458716</v>
      </c>
      <c r="BA412" s="5554">
        <v>4.7260273972602738</v>
      </c>
      <c r="BB412" s="5554">
        <v>3.863905325443787</v>
      </c>
      <c r="BC412" s="5556">
        <v>4.0064935064935066</v>
      </c>
      <c r="BD412" s="5556">
        <v>3.986842105263158</v>
      </c>
      <c r="BE412" s="5554">
        <v>3.8417721518987342</v>
      </c>
      <c r="BF412" s="5554">
        <v>3.8344827586206898</v>
      </c>
      <c r="BG412" s="5482">
        <v>3.8308823529411766</v>
      </c>
      <c r="BH412" s="5554">
        <v>4</v>
      </c>
      <c r="BI412" s="5554">
        <f t="shared" si="408"/>
        <v>49.270698490900848</v>
      </c>
      <c r="BJ412" s="5555">
        <f t="shared" si="410"/>
        <v>4.105891540908404</v>
      </c>
      <c r="BL412" s="5553">
        <v>3.3728813559322033</v>
      </c>
      <c r="BM412" s="5554">
        <v>3.2461538461538462</v>
      </c>
      <c r="BN412" s="5554"/>
      <c r="BO412" s="5554"/>
      <c r="BP412" s="5554"/>
      <c r="BQ412" s="5554"/>
      <c r="BR412" s="5556"/>
      <c r="BS412" s="5556"/>
      <c r="BT412" s="5554"/>
      <c r="BU412" s="5554"/>
      <c r="BV412" s="5482"/>
      <c r="BW412" s="5554"/>
      <c r="BX412" s="5554">
        <f t="shared" si="409"/>
        <v>6.6190352020860495</v>
      </c>
      <c r="BY412" s="5483">
        <f t="shared" si="420"/>
        <v>3.3095176010430247</v>
      </c>
      <c r="CA412" s="169">
        <f t="shared" si="415"/>
        <v>-0.90557029177718817</v>
      </c>
      <c r="CB412" s="169">
        <f t="shared" si="418"/>
        <v>0.26645990108165973</v>
      </c>
      <c r="CC412" s="169">
        <f>IFERROR(
  SUM(
    _xlfn.XLOOKUP(DATE(YEAR($A$1),1,1),$2:$2,412:412):
    _xlfn.XLOOKUP($A$1,$2:$2,412:412)
  )
 -SUM(
    _xlfn.XLOOKUP(DATE(YEAR($A$1)-1,1,1),$2:$2,412:412):
    _xlfn.XLOOKUP(EDATE($A$1,-12),$2:$2,412:412)
  ),"")</f>
        <v>-2.0411635121161709</v>
      </c>
      <c r="CD412" s="4517">
        <f t="shared" si="416"/>
        <v>-0.12672750977835712</v>
      </c>
      <c r="CE412" s="5459"/>
      <c r="CF412" s="5459"/>
    </row>
    <row r="413" spans="1:84" s="698" customFormat="1" ht="15.65" customHeight="1" x14ac:dyDescent="0.55000000000000004">
      <c r="A413" s="7348"/>
      <c r="B413" s="5480"/>
      <c r="C413" s="804" t="s">
        <v>228</v>
      </c>
      <c r="D413" s="5557">
        <v>3.4782608695652173</v>
      </c>
      <c r="E413" s="5558">
        <v>3.5977011494252875</v>
      </c>
      <c r="F413" s="5558">
        <v>5.0763358778625953</v>
      </c>
      <c r="G413" s="5558">
        <v>4</v>
      </c>
      <c r="H413" s="5558">
        <v>3.7675675675675677</v>
      </c>
      <c r="I413" s="5558">
        <v>4.227586206896552</v>
      </c>
      <c r="J413" s="5558">
        <v>3.5920000000000001</v>
      </c>
      <c r="K413" s="5558">
        <v>4.4344262295081966</v>
      </c>
      <c r="L413" s="5558">
        <v>5.2168674698795181</v>
      </c>
      <c r="M413" s="5558">
        <v>5.8888888888888893</v>
      </c>
      <c r="N413" s="5558">
        <v>6.3230769230769228</v>
      </c>
      <c r="O413" s="5558">
        <v>4.1578947368421053</v>
      </c>
      <c r="P413" s="5558">
        <f t="shared" si="421"/>
        <v>53.760605919512848</v>
      </c>
      <c r="Q413" s="5559">
        <f t="shared" si="419"/>
        <v>4.4800504932927376</v>
      </c>
      <c r="R413" s="5479"/>
      <c r="S413" s="5557">
        <v>4.2739726027397262</v>
      </c>
      <c r="T413" s="5558">
        <v>4.416666666666667</v>
      </c>
      <c r="U413" s="5558">
        <v>4.0326086956521738</v>
      </c>
      <c r="V413" s="5558">
        <v>4.3026315789473681</v>
      </c>
      <c r="W413" s="5558">
        <v>4.5274725274725274</v>
      </c>
      <c r="X413" s="5558">
        <v>4.5487804878048781</v>
      </c>
      <c r="Y413" s="5558">
        <v>3.1196581196581197</v>
      </c>
      <c r="Z413" s="5558">
        <v>3.46218487394958</v>
      </c>
      <c r="AA413" s="5558">
        <v>3.2857142857142856</v>
      </c>
      <c r="AB413" s="5558">
        <v>3.25</v>
      </c>
      <c r="AC413" s="5558">
        <v>3.3553719008264462</v>
      </c>
      <c r="AD413" s="5558">
        <v>3.0833333333333335</v>
      </c>
      <c r="AE413" s="5558">
        <f t="shared" si="422"/>
        <v>45.65839507276511</v>
      </c>
      <c r="AF413" s="5559">
        <f t="shared" si="423"/>
        <v>3.8048662560637592</v>
      </c>
      <c r="AG413" s="5479"/>
      <c r="AH413" s="5557">
        <v>2.6875</v>
      </c>
      <c r="AI413" s="5558">
        <v>2.8130841121495327</v>
      </c>
      <c r="AJ413" s="5558">
        <v>3.140625</v>
      </c>
      <c r="AK413" s="5558">
        <v>2.806201550387597</v>
      </c>
      <c r="AL413" s="5558">
        <v>3.4064516129032256</v>
      </c>
      <c r="AM413" s="5558">
        <v>3.1474358974358974</v>
      </c>
      <c r="AN413" s="5560">
        <v>3.484076433121019</v>
      </c>
      <c r="AO413" s="5560">
        <v>3.4906832298136647</v>
      </c>
      <c r="AP413" s="5558">
        <v>3.6940298507462686</v>
      </c>
      <c r="AQ413" s="5558">
        <v>3.5609756097560976</v>
      </c>
      <c r="AR413" s="5485">
        <v>3.8716216216216215</v>
      </c>
      <c r="AS413" s="5558">
        <v>3.9927536231884058</v>
      </c>
      <c r="AT413" s="5558">
        <f t="shared" si="417"/>
        <v>40.095438541123329</v>
      </c>
      <c r="AU413" s="5559">
        <f t="shared" si="414"/>
        <v>3.3412865450936109</v>
      </c>
      <c r="AW413" s="5557">
        <v>3.751937984496124</v>
      </c>
      <c r="AX413" s="5558">
        <v>3.9545454545454546</v>
      </c>
      <c r="AY413" s="5558">
        <v>4.9635036496350367</v>
      </c>
      <c r="AZ413" s="5558">
        <v>3.763157894736842</v>
      </c>
      <c r="BA413" s="5558">
        <v>4.8904109589041092</v>
      </c>
      <c r="BB413" s="5558">
        <v>4.3195876288659791</v>
      </c>
      <c r="BC413" s="5560">
        <v>4.1373626373626378</v>
      </c>
      <c r="BD413" s="5560">
        <v>3.736842105263158</v>
      </c>
      <c r="BE413" s="5558">
        <v>3.9329268292682928</v>
      </c>
      <c r="BF413" s="5558">
        <v>3.9795918367346941</v>
      </c>
      <c r="BG413" s="5485">
        <v>4.024390243902439</v>
      </c>
      <c r="BH413" s="5558">
        <v>3.4189189189189189</v>
      </c>
      <c r="BI413" s="5558">
        <f t="shared" si="408"/>
        <v>48.873176142633682</v>
      </c>
      <c r="BJ413" s="5559">
        <f t="shared" si="410"/>
        <v>4.0727646785528071</v>
      </c>
      <c r="BL413" s="5557">
        <v>3.9545454545454546</v>
      </c>
      <c r="BM413" s="5558">
        <v>3.2344827586206897</v>
      </c>
      <c r="BN413" s="5558"/>
      <c r="BO413" s="5558"/>
      <c r="BP413" s="5558"/>
      <c r="BQ413" s="5558"/>
      <c r="BR413" s="5560"/>
      <c r="BS413" s="5560"/>
      <c r="BT413" s="5558"/>
      <c r="BU413" s="5558"/>
      <c r="BV413" s="5485"/>
      <c r="BW413" s="5558"/>
      <c r="BX413" s="5558">
        <f t="shared" si="409"/>
        <v>7.1890282131661447</v>
      </c>
      <c r="BY413" s="5486">
        <f t="shared" si="420"/>
        <v>3.5945141065830724</v>
      </c>
      <c r="CA413" s="169">
        <f t="shared" si="415"/>
        <v>-0.72006269592476491</v>
      </c>
      <c r="CB413" s="169">
        <f t="shared" si="418"/>
        <v>0.73147813345919621</v>
      </c>
      <c r="CC413" s="169">
        <f>IFERROR(
  SUM(
    _xlfn.XLOOKUP(DATE(YEAR($A$1),1,1),$2:$2,413:413):
    _xlfn.XLOOKUP($A$1,$2:$2,413:413)
  )
 -SUM(
    _xlfn.XLOOKUP(DATE(YEAR($A$1)-1,1,1),$2:$2,413:413):
    _xlfn.XLOOKUP(EDATE($A$1,-12),$2:$2,413:413)
  ),"")</f>
        <v>-0.51745522587543391</v>
      </c>
      <c r="CD413" s="4517">
        <f t="shared" si="416"/>
        <v>-0.72006269592476491</v>
      </c>
      <c r="CE413" s="5459"/>
      <c r="CF413" s="5459"/>
    </row>
    <row r="414" spans="1:84" s="698" customFormat="1" ht="15.65" customHeight="1" x14ac:dyDescent="0.55000000000000004">
      <c r="A414" s="7348"/>
      <c r="B414" s="5480"/>
      <c r="C414" s="681" t="s">
        <v>229</v>
      </c>
      <c r="D414" s="5553">
        <v>4.010416666666667</v>
      </c>
      <c r="E414" s="5554">
        <v>2.7734375</v>
      </c>
      <c r="F414" s="5554">
        <v>3.3519999999999999</v>
      </c>
      <c r="G414" s="5554">
        <v>3.7857142857142856</v>
      </c>
      <c r="H414" s="5554">
        <v>4.4952380952380953</v>
      </c>
      <c r="I414" s="5554">
        <v>5.3168316831683171</v>
      </c>
      <c r="J414" s="5554">
        <v>3.2465753424657535</v>
      </c>
      <c r="K414" s="5554">
        <v>3.1566265060240966</v>
      </c>
      <c r="L414" s="5554">
        <v>3.4296296296296296</v>
      </c>
      <c r="M414" s="5554">
        <v>3.441860465116279</v>
      </c>
      <c r="N414" s="5554">
        <v>3.4107142857142856</v>
      </c>
      <c r="O414" s="5554">
        <v>3.0210526315789474</v>
      </c>
      <c r="P414" s="5554">
        <f t="shared" si="421"/>
        <v>43.440097091316353</v>
      </c>
      <c r="Q414" s="5555">
        <f t="shared" si="419"/>
        <v>3.6200080909430294</v>
      </c>
      <c r="R414" s="5479"/>
      <c r="S414" s="5553">
        <v>3.8333333333333335</v>
      </c>
      <c r="T414" s="5554">
        <v>3.3636363636363638</v>
      </c>
      <c r="U414" s="5554">
        <v>3.356060606060606</v>
      </c>
      <c r="V414" s="5554">
        <v>3.6944444444444446</v>
      </c>
      <c r="W414" s="5554">
        <v>3.613138686131387</v>
      </c>
      <c r="X414" s="5554">
        <v>3.6481481481481484</v>
      </c>
      <c r="Y414" s="5554">
        <v>3.7475728155339807</v>
      </c>
      <c r="Z414" s="5554">
        <v>4.7543859649122808</v>
      </c>
      <c r="AA414" s="5554">
        <v>3.6535433070866143</v>
      </c>
      <c r="AB414" s="5554">
        <v>4.0438596491228074</v>
      </c>
      <c r="AC414" s="5554">
        <v>4.0388349514563107</v>
      </c>
      <c r="AD414" s="5554">
        <v>3.5333333333333332</v>
      </c>
      <c r="AE414" s="5554">
        <f t="shared" si="422"/>
        <v>45.280291603199608</v>
      </c>
      <c r="AF414" s="5555">
        <f t="shared" si="423"/>
        <v>3.7733576335999675</v>
      </c>
      <c r="AG414" s="5479"/>
      <c r="AH414" s="5553">
        <v>3.9018404907975461</v>
      </c>
      <c r="AI414" s="5554">
        <v>3.315151515151515</v>
      </c>
      <c r="AJ414" s="5554">
        <v>3.1352657004830919</v>
      </c>
      <c r="AK414" s="5554">
        <v>3.0404040404040402</v>
      </c>
      <c r="AL414" s="5554">
        <v>3.1877729257641922</v>
      </c>
      <c r="AM414" s="5554">
        <v>2.891089108910891</v>
      </c>
      <c r="AN414" s="5556">
        <v>3.278688524590164</v>
      </c>
      <c r="AO414" s="5556">
        <v>3.0120481927710845</v>
      </c>
      <c r="AP414" s="5554">
        <v>2.8071065989847717</v>
      </c>
      <c r="AQ414" s="5554">
        <v>3.4572864321608039</v>
      </c>
      <c r="AR414" s="5482">
        <v>3.5348837209302326</v>
      </c>
      <c r="AS414" s="5554">
        <v>4.0144927536231885</v>
      </c>
      <c r="AT414" s="5554">
        <f t="shared" si="417"/>
        <v>39.576030004571514</v>
      </c>
      <c r="AU414" s="5555">
        <f t="shared" si="414"/>
        <v>3.2980025003809597</v>
      </c>
      <c r="AW414" s="5553">
        <v>3.4786729857819907</v>
      </c>
      <c r="AX414" s="5554">
        <v>4.1534883720930234</v>
      </c>
      <c r="AY414" s="5554">
        <v>4.0812182741116754</v>
      </c>
      <c r="AZ414" s="5554">
        <v>4.5021645021645025</v>
      </c>
      <c r="BA414" s="5554">
        <v>6.0233236151603498</v>
      </c>
      <c r="BB414" s="5554">
        <v>6.5673981191222568</v>
      </c>
      <c r="BC414" s="5556">
        <v>5.9670329670329672</v>
      </c>
      <c r="BD414" s="5556">
        <v>5.4532019704433496</v>
      </c>
      <c r="BE414" s="5554">
        <v>4.295774647887324</v>
      </c>
      <c r="BF414" s="5554">
        <v>4.70873786407767</v>
      </c>
      <c r="BG414" s="5482">
        <v>4.5614973262032086</v>
      </c>
      <c r="BH414" s="5554">
        <v>3.9792746113989637</v>
      </c>
      <c r="BI414" s="5554">
        <f t="shared" si="408"/>
        <v>57.77178525547729</v>
      </c>
      <c r="BJ414" s="5555">
        <f t="shared" si="410"/>
        <v>4.8143154379564406</v>
      </c>
      <c r="BL414" s="5553">
        <v>4.005208333333333</v>
      </c>
      <c r="BM414" s="5554">
        <v>3.967741935483871</v>
      </c>
      <c r="BN414" s="5554"/>
      <c r="BO414" s="5554"/>
      <c r="BP414" s="5554"/>
      <c r="BQ414" s="5554"/>
      <c r="BR414" s="5556"/>
      <c r="BS414" s="5556"/>
      <c r="BT414" s="5554"/>
      <c r="BU414" s="5554"/>
      <c r="BV414" s="5482"/>
      <c r="BW414" s="5554"/>
      <c r="BX414" s="5554">
        <f t="shared" si="409"/>
        <v>7.972950268817204</v>
      </c>
      <c r="BY414" s="5483">
        <f t="shared" si="420"/>
        <v>3.986475134408602</v>
      </c>
      <c r="CA414" s="169">
        <f t="shared" si="415"/>
        <v>-0.18574643660915235</v>
      </c>
      <c r="CB414" s="169">
        <f t="shared" si="418"/>
        <v>1.5163129375754809</v>
      </c>
      <c r="CC414" s="169">
        <f>IFERROR(
  SUM(
    _xlfn.XLOOKUP(DATE(YEAR($A$1),1,1),$2:$2,414:414):
    _xlfn.XLOOKUP($A$1,$2:$2,414:414)
  )
 -SUM(
    _xlfn.XLOOKUP(DATE(YEAR($A$1)-1,1,1),$2:$2,414:414):
    _xlfn.XLOOKUP(EDATE($A$1,-12),$2:$2,414:414)
  ),"")</f>
        <v>0.34078891094218999</v>
      </c>
      <c r="CD414" s="4517">
        <f t="shared" si="416"/>
        <v>-3.7466397849462041E-2</v>
      </c>
      <c r="CE414" s="5459"/>
      <c r="CF414" s="5459"/>
    </row>
    <row r="415" spans="1:84" s="698" customFormat="1" ht="15.65" customHeight="1" x14ac:dyDescent="0.55000000000000004">
      <c r="A415" s="7348"/>
      <c r="B415" s="5480"/>
      <c r="C415" s="681" t="s">
        <v>230</v>
      </c>
      <c r="D415" s="5553">
        <v>5.3902439024390247</v>
      </c>
      <c r="E415" s="5554">
        <v>5.1022727272727275</v>
      </c>
      <c r="F415" s="5554">
        <v>4.8085106382978724</v>
      </c>
      <c r="G415" s="5554">
        <v>4.2545454545454549</v>
      </c>
      <c r="H415" s="5554">
        <v>4.882352941176471</v>
      </c>
      <c r="I415" s="5554">
        <v>5.0481927710843371</v>
      </c>
      <c r="J415" s="5554">
        <v>3.4761904761904763</v>
      </c>
      <c r="K415" s="5554">
        <v>3.9587628865979383</v>
      </c>
      <c r="L415" s="5554">
        <v>3.6621621621621623</v>
      </c>
      <c r="M415" s="5554">
        <v>3.8142857142857145</v>
      </c>
      <c r="N415" s="5554">
        <v>2.8266666666666667</v>
      </c>
      <c r="O415" s="5554">
        <v>2.65</v>
      </c>
      <c r="P415" s="5554">
        <f t="shared" si="421"/>
        <v>49.874186340718843</v>
      </c>
      <c r="Q415" s="5555">
        <f t="shared" si="419"/>
        <v>4.1561821950599036</v>
      </c>
      <c r="R415" s="5479"/>
      <c r="S415" s="5553">
        <v>2.2804878048780486</v>
      </c>
      <c r="T415" s="5554">
        <v>3.0135135135135136</v>
      </c>
      <c r="U415" s="5554">
        <v>2.6883116883116882</v>
      </c>
      <c r="V415" s="5554">
        <v>2.606741573033708</v>
      </c>
      <c r="W415" s="5554">
        <v>3.2346938775510203</v>
      </c>
      <c r="X415" s="5554">
        <v>2.7117117117117115</v>
      </c>
      <c r="Y415" s="5554">
        <v>2.4395604395604398</v>
      </c>
      <c r="Z415" s="5554">
        <v>3.2988505747126435</v>
      </c>
      <c r="AA415" s="5554">
        <v>2.6444444444444444</v>
      </c>
      <c r="AB415" s="5554">
        <v>2.5714285714285716</v>
      </c>
      <c r="AC415" s="5554">
        <v>3.9078947368421053</v>
      </c>
      <c r="AD415" s="5554">
        <v>2.955223880597015</v>
      </c>
      <c r="AE415" s="5554">
        <f t="shared" si="422"/>
        <v>34.352862816584917</v>
      </c>
      <c r="AF415" s="5555">
        <f t="shared" si="423"/>
        <v>2.8627385680487429</v>
      </c>
      <c r="AG415" s="5479"/>
      <c r="AH415" s="5553">
        <v>3.1739130434782608</v>
      </c>
      <c r="AI415" s="5554">
        <v>3.21875</v>
      </c>
      <c r="AJ415" s="5554">
        <v>2.7924528301886791</v>
      </c>
      <c r="AK415" s="5554">
        <v>3.3720930232558142</v>
      </c>
      <c r="AL415" s="5554">
        <v>3.0851063829787235</v>
      </c>
      <c r="AM415" s="5554">
        <v>2.7789473684210528</v>
      </c>
      <c r="AN415" s="5556">
        <v>2.8979591836734695</v>
      </c>
      <c r="AO415" s="5556">
        <v>3.2523364485981308</v>
      </c>
      <c r="AP415" s="5554">
        <v>3.2765957446808511</v>
      </c>
      <c r="AQ415" s="5554">
        <v>3.588888888888889</v>
      </c>
      <c r="AR415" s="5482">
        <v>3.1228070175438596</v>
      </c>
      <c r="AS415" s="5554">
        <v>3.075268817204301</v>
      </c>
      <c r="AT415" s="5554">
        <f t="shared" si="417"/>
        <v>37.635118748912035</v>
      </c>
      <c r="AU415" s="5555">
        <f t="shared" si="414"/>
        <v>3.1362598957426697</v>
      </c>
      <c r="AW415" s="5553">
        <v>2.9716981132075473</v>
      </c>
      <c r="AX415" s="5554">
        <v>3.3859649122807016</v>
      </c>
      <c r="AY415" s="5554">
        <v>2.9918032786885247</v>
      </c>
      <c r="AZ415" s="5554">
        <v>3.6391752577319587</v>
      </c>
      <c r="BA415" s="5554">
        <v>4.497109826589595</v>
      </c>
      <c r="BB415" s="5554">
        <v>4.147887323943662</v>
      </c>
      <c r="BC415" s="5556">
        <v>3.7089552238805972</v>
      </c>
      <c r="BD415" s="5556">
        <v>3.2083333333333335</v>
      </c>
      <c r="BE415" s="5554">
        <v>3.0085470085470085</v>
      </c>
      <c r="BF415" s="5554">
        <v>3.3448275862068964</v>
      </c>
      <c r="BG415" s="5482">
        <v>3.8571428571428572</v>
      </c>
      <c r="BH415" s="5554">
        <v>3.3613445378151261</v>
      </c>
      <c r="BI415" s="5554">
        <f t="shared" si="408"/>
        <v>42.122789259367799</v>
      </c>
      <c r="BJ415" s="5555">
        <f t="shared" si="410"/>
        <v>3.5102324382806498</v>
      </c>
      <c r="BL415" s="5553">
        <v>3.4026845637583891</v>
      </c>
      <c r="BM415" s="5554">
        <v>3.0249999999999999</v>
      </c>
      <c r="BN415" s="5554"/>
      <c r="BO415" s="5554"/>
      <c r="BP415" s="5554"/>
      <c r="BQ415" s="5554"/>
      <c r="BR415" s="5556"/>
      <c r="BS415" s="5556"/>
      <c r="BT415" s="5554"/>
      <c r="BU415" s="5554"/>
      <c r="BV415" s="5482"/>
      <c r="BW415" s="5554"/>
      <c r="BX415" s="5554">
        <f t="shared" si="409"/>
        <v>6.4276845637583886</v>
      </c>
      <c r="BY415" s="5483">
        <f t="shared" si="420"/>
        <v>3.2138422818791943</v>
      </c>
      <c r="CA415" s="169">
        <f t="shared" si="415"/>
        <v>-0.36096491228070171</v>
      </c>
      <c r="CB415" s="169">
        <f t="shared" si="418"/>
        <v>0.37397254253798007</v>
      </c>
      <c r="CC415" s="169">
        <f>IFERROR(
  SUM(
    _xlfn.XLOOKUP(DATE(YEAR($A$1),1,1),$2:$2,415:415):
    _xlfn.XLOOKUP($A$1,$2:$2,415:415)
  )
 -SUM(
    _xlfn.XLOOKUP(DATE(YEAR($A$1)-1,1,1),$2:$2,415:415):
    _xlfn.XLOOKUP(EDATE($A$1,-12),$2:$2,415:415)
  ),"")</f>
        <v>7.0021538270140127E-2</v>
      </c>
      <c r="CD415" s="4517">
        <f t="shared" si="416"/>
        <v>-0.37768456375838921</v>
      </c>
      <c r="CE415" s="5459"/>
      <c r="CF415" s="5459"/>
    </row>
    <row r="416" spans="1:84" s="698" customFormat="1" ht="15.65" customHeight="1" x14ac:dyDescent="0.55000000000000004">
      <c r="A416" s="7348"/>
      <c r="B416" s="5480"/>
      <c r="C416" s="804" t="s">
        <v>231</v>
      </c>
      <c r="D416" s="5557">
        <v>3.48</v>
      </c>
      <c r="E416" s="5558">
        <v>3.1755725190839694</v>
      </c>
      <c r="F416" s="5558">
        <v>3.2105263157894739</v>
      </c>
      <c r="G416" s="5558">
        <v>4.3739837398373984</v>
      </c>
      <c r="H416" s="5558">
        <v>3.9193548387096775</v>
      </c>
      <c r="I416" s="5558">
        <v>3.9906542056074765</v>
      </c>
      <c r="J416" s="5558">
        <v>2.6283185840707963</v>
      </c>
      <c r="K416" s="5558">
        <v>3.52</v>
      </c>
      <c r="L416" s="5558">
        <v>3.1142857142857143</v>
      </c>
      <c r="M416" s="5558">
        <v>2.9909090909090907</v>
      </c>
      <c r="N416" s="5558">
        <v>2.7950819672131146</v>
      </c>
      <c r="O416" s="5558">
        <v>3.1484375</v>
      </c>
      <c r="P416" s="5558">
        <f t="shared" si="421"/>
        <v>40.34712447550671</v>
      </c>
      <c r="Q416" s="5559">
        <f t="shared" si="419"/>
        <v>3.3622603729588927</v>
      </c>
      <c r="R416" s="5479"/>
      <c r="S416" s="5557">
        <v>2.9734513274336285</v>
      </c>
      <c r="T416" s="5558">
        <v>3.8014705882352939</v>
      </c>
      <c r="U416" s="5558">
        <v>3.64</v>
      </c>
      <c r="V416" s="5558">
        <v>2.9928571428571429</v>
      </c>
      <c r="W416" s="5558">
        <v>3.5306122448979593</v>
      </c>
      <c r="X416" s="5558">
        <v>3.2686567164179103</v>
      </c>
      <c r="Y416" s="5558">
        <v>3.0267857142857144</v>
      </c>
      <c r="Z416" s="5558">
        <v>3.8904109589041096</v>
      </c>
      <c r="AA416" s="5558">
        <v>3.4461538461538463</v>
      </c>
      <c r="AB416" s="5558">
        <v>3.7709923664122136</v>
      </c>
      <c r="AC416" s="5558">
        <v>3.3893129770992365</v>
      </c>
      <c r="AD416" s="5558">
        <v>3.3645833333333335</v>
      </c>
      <c r="AE416" s="5558">
        <f t="shared" si="422"/>
        <v>41.0952872160304</v>
      </c>
      <c r="AF416" s="5559">
        <f t="shared" si="423"/>
        <v>3.4246072680025335</v>
      </c>
      <c r="AG416" s="5479"/>
      <c r="AH416" s="5557">
        <v>3.3956834532374103</v>
      </c>
      <c r="AI416" s="5558">
        <v>3.065040650406504</v>
      </c>
      <c r="AJ416" s="5558">
        <v>3.2758620689655173</v>
      </c>
      <c r="AK416" s="5558">
        <v>3.1590909090909092</v>
      </c>
      <c r="AL416" s="5558">
        <v>3.1464968152866244</v>
      </c>
      <c r="AM416" s="5558">
        <v>3.056338028169014</v>
      </c>
      <c r="AN416" s="5560">
        <v>3.0636942675159236</v>
      </c>
      <c r="AO416" s="5560">
        <v>2.9732142857142856</v>
      </c>
      <c r="AP416" s="5558">
        <v>3.1583333333333332</v>
      </c>
      <c r="AQ416" s="5558">
        <v>3.2481751824817517</v>
      </c>
      <c r="AR416" s="5485">
        <v>4.1605839416058394</v>
      </c>
      <c r="AS416" s="5558">
        <v>3.744360902255639</v>
      </c>
      <c r="AT416" s="5558">
        <f t="shared" si="417"/>
        <v>39.446873838062757</v>
      </c>
      <c r="AU416" s="5559">
        <f t="shared" si="414"/>
        <v>3.2872394865052299</v>
      </c>
      <c r="AW416" s="5557">
        <v>3.8</v>
      </c>
      <c r="AX416" s="5558">
        <v>3.986842105263158</v>
      </c>
      <c r="AY416" s="5558">
        <v>3.5677419354838711</v>
      </c>
      <c r="AZ416" s="5558">
        <v>3.7535211267605635</v>
      </c>
      <c r="BA416" s="5558">
        <v>4.483568075117371</v>
      </c>
      <c r="BB416" s="5558">
        <v>4.1538461538461542</v>
      </c>
      <c r="BC416" s="5560">
        <v>4.1775147928994079</v>
      </c>
      <c r="BD416" s="5560">
        <v>3.3103448275862069</v>
      </c>
      <c r="BE416" s="5558">
        <v>3.387323943661972</v>
      </c>
      <c r="BF416" s="5558">
        <v>3.4552845528455283</v>
      </c>
      <c r="BG416" s="5485">
        <v>3.5073529411764706</v>
      </c>
      <c r="BH416" s="5558">
        <v>3.2651515151515151</v>
      </c>
      <c r="BI416" s="5558">
        <f t="shared" si="408"/>
        <v>44.848491969792214</v>
      </c>
      <c r="BJ416" s="5559">
        <f t="shared" si="410"/>
        <v>3.7373743308160177</v>
      </c>
      <c r="BL416" s="5557">
        <v>3.2296296296296299</v>
      </c>
      <c r="BM416" s="5558">
        <v>3.3257575757575757</v>
      </c>
      <c r="BN416" s="5558"/>
      <c r="BO416" s="5558"/>
      <c r="BP416" s="5558"/>
      <c r="BQ416" s="5558"/>
      <c r="BR416" s="5560"/>
      <c r="BS416" s="5560"/>
      <c r="BT416" s="5558"/>
      <c r="BU416" s="5558"/>
      <c r="BV416" s="5485"/>
      <c r="BW416" s="5558"/>
      <c r="BX416" s="5558">
        <f t="shared" si="409"/>
        <v>6.5553872053872055</v>
      </c>
      <c r="BY416" s="5486">
        <f t="shared" si="420"/>
        <v>3.2776936026936028</v>
      </c>
      <c r="CA416" s="169">
        <f t="shared" si="415"/>
        <v>-0.66108452950558227</v>
      </c>
      <c r="CB416" s="169">
        <f t="shared" si="418"/>
        <v>0.45013484431078776</v>
      </c>
      <c r="CC416" s="169">
        <f>IFERROR(
  SUM(
    _xlfn.XLOOKUP(DATE(YEAR($A$1),1,1),$2:$2,416:416):
    _xlfn.XLOOKUP($A$1,$2:$2,416:416)
  )
 -SUM(
    _xlfn.XLOOKUP(DATE(YEAR($A$1)-1,1,1),$2:$2,416:416):
    _xlfn.XLOOKUP(EDATE($A$1,-12),$2:$2,416:416)
  ),"")</f>
        <v>-1.2314548998759527</v>
      </c>
      <c r="CD416" s="4517">
        <f t="shared" si="416"/>
        <v>9.612794612794584E-2</v>
      </c>
      <c r="CE416" s="5459"/>
      <c r="CF416" s="5459"/>
    </row>
    <row r="417" spans="1:84" s="698" customFormat="1" ht="16.3" customHeight="1" thickBot="1" x14ac:dyDescent="0.6">
      <c r="A417" s="7389"/>
      <c r="B417" s="5487"/>
      <c r="C417" s="2183" t="s">
        <v>232</v>
      </c>
      <c r="D417" s="5561">
        <v>2.4809160305343512</v>
      </c>
      <c r="E417" s="5562">
        <v>2.3857142857142857</v>
      </c>
      <c r="F417" s="5562">
        <v>2.4772727272727271</v>
      </c>
      <c r="G417" s="5562">
        <v>2.9727272727272727</v>
      </c>
      <c r="H417" s="5562">
        <v>3.0079365079365079</v>
      </c>
      <c r="I417" s="5562">
        <v>3.3801652892561984</v>
      </c>
      <c r="J417" s="5562">
        <v>2.9038461538461537</v>
      </c>
      <c r="K417" s="5562">
        <v>2.82</v>
      </c>
      <c r="L417" s="5562">
        <v>3.0297029702970297</v>
      </c>
      <c r="M417" s="5562">
        <v>3.0404040404040402</v>
      </c>
      <c r="N417" s="5562">
        <v>3.2421052631578946</v>
      </c>
      <c r="O417" s="5562">
        <v>3.0317460317460316</v>
      </c>
      <c r="P417" s="5562">
        <f t="shared" si="421"/>
        <v>34.772536572892491</v>
      </c>
      <c r="Q417" s="5563">
        <f t="shared" si="419"/>
        <v>2.8977113810743744</v>
      </c>
      <c r="R417" s="5479"/>
      <c r="S417" s="5561">
        <v>3.0568181818181817</v>
      </c>
      <c r="T417" s="5562">
        <v>2.5357142857142856</v>
      </c>
      <c r="U417" s="5562">
        <v>2.3137254901960786</v>
      </c>
      <c r="V417" s="5562">
        <v>2.4239130434782608</v>
      </c>
      <c r="W417" s="5562">
        <v>2.8241758241758244</v>
      </c>
      <c r="X417" s="5562">
        <v>2.4626865671641789</v>
      </c>
      <c r="Y417" s="5562">
        <v>2.8243243243243241</v>
      </c>
      <c r="Z417" s="5562">
        <v>2.6818181818181817</v>
      </c>
      <c r="AA417" s="5562">
        <v>3.74</v>
      </c>
      <c r="AB417" s="5562">
        <v>3.1780821917808217</v>
      </c>
      <c r="AC417" s="5562">
        <v>3.3823529411764706</v>
      </c>
      <c r="AD417" s="5562">
        <v>2.8870967741935485</v>
      </c>
      <c r="AE417" s="5562">
        <f t="shared" si="422"/>
        <v>34.31070780584016</v>
      </c>
      <c r="AF417" s="5563">
        <f t="shared" si="423"/>
        <v>2.85922565048668</v>
      </c>
      <c r="AG417" s="5479"/>
      <c r="AH417" s="5561">
        <v>2.0666666666666669</v>
      </c>
      <c r="AI417" s="5562">
        <v>2.478723404255319</v>
      </c>
      <c r="AJ417" s="5562">
        <v>2.5327102803738319</v>
      </c>
      <c r="AK417" s="5562">
        <v>2.4716981132075473</v>
      </c>
      <c r="AL417" s="5562">
        <v>2.5882352941176472</v>
      </c>
      <c r="AM417" s="5562">
        <v>2.5268817204301075</v>
      </c>
      <c r="AN417" s="5564">
        <v>2.3925233644859811</v>
      </c>
      <c r="AO417" s="5564">
        <v>3.1481481481481484</v>
      </c>
      <c r="AP417" s="5562">
        <v>3.2222222222222223</v>
      </c>
      <c r="AQ417" s="5562">
        <v>3.3142857142857145</v>
      </c>
      <c r="AR417" s="5489">
        <v>3.2903225806451615</v>
      </c>
      <c r="AS417" s="5562">
        <v>3.324074074074074</v>
      </c>
      <c r="AT417" s="5562">
        <f t="shared" si="417"/>
        <v>33.356491582912419</v>
      </c>
      <c r="AU417" s="5563">
        <f t="shared" si="414"/>
        <v>2.7797076319093681</v>
      </c>
      <c r="AW417" s="5561">
        <v>3.6210526315789475</v>
      </c>
      <c r="AX417" s="5562">
        <v>3.5923076923076924</v>
      </c>
      <c r="AY417" s="5562">
        <v>3.78125</v>
      </c>
      <c r="AZ417" s="5562">
        <v>3.7117117117117115</v>
      </c>
      <c r="BA417" s="5562">
        <v>3.4558823529411766</v>
      </c>
      <c r="BB417" s="5562">
        <v>3.6018518518518516</v>
      </c>
      <c r="BC417" s="5564">
        <v>3.7037037037037037</v>
      </c>
      <c r="BD417" s="5564">
        <v>3.53125</v>
      </c>
      <c r="BE417" s="5562">
        <v>4.5250000000000004</v>
      </c>
      <c r="BF417" s="5562">
        <v>3.8421052631578947</v>
      </c>
      <c r="BG417" s="5489">
        <v>3.3411764705882354</v>
      </c>
      <c r="BH417" s="5562">
        <v>3.3690476190476191</v>
      </c>
      <c r="BI417" s="5562">
        <f t="shared" si="408"/>
        <v>44.07633929688884</v>
      </c>
      <c r="BJ417" s="5563">
        <f t="shared" si="410"/>
        <v>3.6730282747407368</v>
      </c>
      <c r="BL417" s="5561">
        <v>3.1875</v>
      </c>
      <c r="BM417" s="5562">
        <v>3.0441176470588234</v>
      </c>
      <c r="BN417" s="5562"/>
      <c r="BO417" s="5562"/>
      <c r="BP417" s="5562"/>
      <c r="BQ417" s="5562"/>
      <c r="BR417" s="5564"/>
      <c r="BS417" s="5564"/>
      <c r="BT417" s="5562"/>
      <c r="BU417" s="5562"/>
      <c r="BV417" s="5489"/>
      <c r="BW417" s="5562"/>
      <c r="BX417" s="5562">
        <f t="shared" si="409"/>
        <v>6.2316176470588234</v>
      </c>
      <c r="BY417" s="5490">
        <f t="shared" si="420"/>
        <v>3.1158088235294117</v>
      </c>
      <c r="CA417" s="169">
        <f t="shared" si="415"/>
        <v>-0.54819004524886905</v>
      </c>
      <c r="CB417" s="169">
        <f t="shared" si="418"/>
        <v>0.89332064283136869</v>
      </c>
      <c r="CC417" s="169">
        <f>IFERROR(
  SUM(
    _xlfn.XLOOKUP(DATE(YEAR($A$1),1,1),$2:$2,417:417):
    _xlfn.XLOOKUP($A$1,$2:$2,417:417)
  )
 -SUM(
    _xlfn.XLOOKUP(DATE(YEAR($A$1)-1,1,1),$2:$2,417:417):
    _xlfn.XLOOKUP(EDATE($A$1,-12),$2:$2,417:417)
  ),"")</f>
        <v>-0.98174267682781657</v>
      </c>
      <c r="CD417" s="4517">
        <f t="shared" si="416"/>
        <v>-0.14338235294117663</v>
      </c>
      <c r="CE417" s="5459"/>
      <c r="CF417" s="5459"/>
    </row>
    <row r="418" spans="1:84" ht="17.399999999999999" customHeight="1" x14ac:dyDescent="0.55000000000000004">
      <c r="A418" s="7346" t="s">
        <v>386</v>
      </c>
      <c r="B418" s="5131" t="s">
        <v>251</v>
      </c>
      <c r="C418" s="5132"/>
      <c r="D418" s="5532">
        <v>8.0784313725490193</v>
      </c>
      <c r="E418" s="5533">
        <v>8.7114427860696519</v>
      </c>
      <c r="F418" s="5533">
        <v>9.0850000000000009</v>
      </c>
      <c r="G418" s="5533">
        <v>10.778054862842893</v>
      </c>
      <c r="H418" s="5533">
        <v>11.259351620947632</v>
      </c>
      <c r="I418" s="5533">
        <v>10.188295165394402</v>
      </c>
      <c r="J418" s="5533">
        <v>7.2538071065989849</v>
      </c>
      <c r="K418" s="5533">
        <v>8.584810126582278</v>
      </c>
      <c r="L418" s="5533">
        <v>7.2072538860103625</v>
      </c>
      <c r="M418" s="5533">
        <v>7.989583333333333</v>
      </c>
      <c r="N418" s="5533">
        <v>6.9296875</v>
      </c>
      <c r="O418" s="5533">
        <v>5.768229166666667</v>
      </c>
      <c r="P418" s="5533">
        <f>SUM(D418:O418)</f>
        <v>101.83394692699524</v>
      </c>
      <c r="Q418" s="5534">
        <f>P418/12</f>
        <v>8.4861622439162705</v>
      </c>
      <c r="R418" s="2776"/>
      <c r="S418" s="5532">
        <v>6.3946666666666667</v>
      </c>
      <c r="T418" s="5533">
        <v>7.6870026525198938</v>
      </c>
      <c r="U418" s="5533">
        <v>7.2679045092838193</v>
      </c>
      <c r="V418" s="5533">
        <v>6.3550135501355012</v>
      </c>
      <c r="W418" s="5533">
        <v>8.3932584269662929</v>
      </c>
      <c r="X418" s="5533">
        <v>7.2464589235127477</v>
      </c>
      <c r="Y418" s="5533">
        <v>6.5508474576271185</v>
      </c>
      <c r="Z418" s="5533">
        <v>9.3556851311953348</v>
      </c>
      <c r="AA418" s="5533">
        <v>8.0058309037900877</v>
      </c>
      <c r="AB418" s="5533">
        <v>8.3352601156069372</v>
      </c>
      <c r="AC418" s="5533">
        <v>8.1768115942028992</v>
      </c>
      <c r="AD418" s="5533">
        <v>5.5619596541786747</v>
      </c>
      <c r="AE418" s="5533">
        <f>SUM(S418:AD418)</f>
        <v>89.330699585685991</v>
      </c>
      <c r="AF418" s="5534">
        <f>AE418/12</f>
        <v>7.4442249654738326</v>
      </c>
      <c r="AG418" s="5565"/>
      <c r="AH418" s="5532">
        <v>8.0106666666666673</v>
      </c>
      <c r="AI418" s="5533">
        <v>6.7533156498673739</v>
      </c>
      <c r="AJ418" s="5533">
        <v>7.9761273209549071</v>
      </c>
      <c r="AK418" s="5533">
        <v>7.6693766937669379</v>
      </c>
      <c r="AL418" s="5533">
        <v>9.8382352941176467</v>
      </c>
      <c r="AM418" s="5533">
        <v>9.3153153153153152</v>
      </c>
      <c r="AN418" s="5535">
        <v>10.4</v>
      </c>
      <c r="AO418" s="5571">
        <v>10.290900000000001</v>
      </c>
      <c r="AP418" s="5533">
        <v>10.395099999999999</v>
      </c>
      <c r="AQ418" s="5533">
        <v>11.69</v>
      </c>
      <c r="AR418" s="5457">
        <v>11.514705882352942</v>
      </c>
      <c r="AS418" s="5533">
        <v>10.718475073313783</v>
      </c>
      <c r="AT418" s="5533">
        <f t="shared" si="417"/>
        <v>114.57221789635557</v>
      </c>
      <c r="AU418" s="5534">
        <f t="shared" si="414"/>
        <v>9.5476848246962973</v>
      </c>
      <c r="AW418" s="5532">
        <v>10.164222873900293</v>
      </c>
      <c r="AX418" s="5533">
        <v>12.947214076246334</v>
      </c>
      <c r="AY418" s="5533">
        <v>11.414705882352941</v>
      </c>
      <c r="AZ418" s="5533">
        <v>11.910979228486648</v>
      </c>
      <c r="BA418" s="5533">
        <v>23.463636363636365</v>
      </c>
      <c r="BB418" s="5533">
        <v>18.897196261682243</v>
      </c>
      <c r="BC418" s="5535">
        <v>17.047318611987382</v>
      </c>
      <c r="BD418" s="5571">
        <v>12.577777777777778</v>
      </c>
      <c r="BE418" s="5533">
        <v>12.932692307692308</v>
      </c>
      <c r="BF418" s="5533">
        <v>12.27741935483871</v>
      </c>
      <c r="BG418" s="5457">
        <v>11.786624203821656</v>
      </c>
      <c r="BH418" s="5533">
        <v>11.567398119122258</v>
      </c>
      <c r="BI418" s="5533">
        <f t="shared" si="408"/>
        <v>166.98718506154492</v>
      </c>
      <c r="BJ418" s="5534">
        <f t="shared" si="410"/>
        <v>13.915598755128743</v>
      </c>
      <c r="BL418" s="5532">
        <v>12.728434504792332</v>
      </c>
      <c r="BM418" s="5533">
        <v>9.038338658146964</v>
      </c>
      <c r="BN418" s="5533"/>
      <c r="BO418" s="5533"/>
      <c r="BP418" s="5533"/>
      <c r="BQ418" s="5533"/>
      <c r="BR418" s="5535"/>
      <c r="BS418" s="5571"/>
      <c r="BT418" s="5533"/>
      <c r="BU418" s="5533"/>
      <c r="BV418" s="5457"/>
      <c r="BW418" s="5533"/>
      <c r="BX418" s="5533">
        <f t="shared" si="409"/>
        <v>21.766773162939295</v>
      </c>
      <c r="BY418" s="5458">
        <f t="shared" si="420"/>
        <v>10.883386581469647</v>
      </c>
      <c r="CA418" s="169">
        <f t="shared" si="415"/>
        <v>-3.9088754180993703</v>
      </c>
      <c r="CB418" s="169">
        <f t="shared" si="418"/>
        <v>4.3679139304324455</v>
      </c>
      <c r="CC418" s="169">
        <f>IFERROR(
  SUM(
    _xlfn.XLOOKUP(DATE(YEAR($A$1),1,1),$2:$2,418:418):
    _xlfn.XLOOKUP($A$1,$2:$2,418:418)
  )
 -SUM(
    _xlfn.XLOOKUP(DATE(YEAR($A$1)-1,1,1),$2:$2,418:418):
    _xlfn.XLOOKUP(EDATE($A$1,-12),$2:$2,418:418)
  ),"")</f>
        <v>-1.344663787207331</v>
      </c>
      <c r="CD418" s="4517">
        <f t="shared" si="416"/>
        <v>-3.6900958466453684</v>
      </c>
      <c r="CE418" s="5459"/>
      <c r="CF418" s="5459"/>
    </row>
    <row r="419" spans="1:84" ht="17.399999999999999" hidden="1" customHeight="1" x14ac:dyDescent="0.55000000000000004">
      <c r="A419" s="7348"/>
      <c r="B419" s="5460"/>
      <c r="C419" s="786" t="s">
        <v>250</v>
      </c>
      <c r="D419" s="5461"/>
      <c r="E419" s="5462"/>
      <c r="F419" s="5462"/>
      <c r="G419" s="5462"/>
      <c r="H419" s="5462"/>
      <c r="I419" s="5462"/>
      <c r="J419" s="5462"/>
      <c r="K419" s="5462"/>
      <c r="L419" s="5462"/>
      <c r="M419" s="5462"/>
      <c r="N419" s="5462"/>
      <c r="O419" s="5462"/>
      <c r="P419" s="5537">
        <f>SUM(D419:O419)</f>
        <v>0</v>
      </c>
      <c r="Q419" s="5463">
        <f t="shared" ref="Q419:Q433" si="424">P419/12</f>
        <v>0</v>
      </c>
      <c r="R419" s="2776"/>
      <c r="S419" s="5461"/>
      <c r="T419" s="5462"/>
      <c r="U419" s="5462"/>
      <c r="V419" s="5462"/>
      <c r="W419" s="5462"/>
      <c r="X419" s="5462"/>
      <c r="Y419" s="5462"/>
      <c r="Z419" s="5462"/>
      <c r="AA419" s="5462"/>
      <c r="AB419" s="5462"/>
      <c r="AC419" s="5462"/>
      <c r="AD419" s="5462"/>
      <c r="AE419" s="5462">
        <f>SUM(S419:AD419)</f>
        <v>0</v>
      </c>
      <c r="AF419" s="5463">
        <f>AE419/12</f>
        <v>0</v>
      </c>
      <c r="AG419" s="2776"/>
      <c r="AH419" s="5461"/>
      <c r="AI419" s="5462"/>
      <c r="AJ419" s="5462"/>
      <c r="AK419" s="5537"/>
      <c r="AL419" s="5537"/>
      <c r="AM419" s="5537"/>
      <c r="AN419" s="4146"/>
      <c r="AO419" s="3948"/>
      <c r="AP419" s="5537"/>
      <c r="AQ419" s="5537"/>
      <c r="AR419" s="5462"/>
      <c r="AS419" s="5537"/>
      <c r="AT419" s="5462">
        <f t="shared" si="417"/>
        <v>0</v>
      </c>
      <c r="AU419" s="5463">
        <f t="shared" si="414"/>
        <v>0</v>
      </c>
      <c r="AW419" s="5536"/>
      <c r="AX419" s="5462"/>
      <c r="AY419" s="5462"/>
      <c r="AZ419" s="5537"/>
      <c r="BA419" s="5537"/>
      <c r="BB419" s="5537"/>
      <c r="BC419" s="4146"/>
      <c r="BD419" s="3948"/>
      <c r="BE419" s="5537"/>
      <c r="BF419" s="5537"/>
      <c r="BG419" s="5462"/>
      <c r="BH419" s="5537"/>
      <c r="BI419" s="5462">
        <f t="shared" si="408"/>
        <v>0</v>
      </c>
      <c r="BJ419" s="5463" t="e">
        <f t="shared" si="410"/>
        <v>#DIV/0!</v>
      </c>
      <c r="BL419" s="5536"/>
      <c r="BM419" s="5462">
        <v>0</v>
      </c>
      <c r="BN419" s="5462"/>
      <c r="BO419" s="5537"/>
      <c r="BP419" s="5537"/>
      <c r="BQ419" s="5537"/>
      <c r="BR419" s="4146"/>
      <c r="BS419" s="3948"/>
      <c r="BT419" s="5537"/>
      <c r="BU419" s="5537"/>
      <c r="BV419" s="5462"/>
      <c r="BW419" s="5537"/>
      <c r="BX419" s="5462">
        <f t="shared" si="409"/>
        <v>0</v>
      </c>
      <c r="BY419" s="5463">
        <f t="shared" si="420"/>
        <v>0</v>
      </c>
      <c r="CA419" s="169">
        <f t="shared" si="415"/>
        <v>0</v>
      </c>
      <c r="CB419" s="169" t="e">
        <f t="shared" si="418"/>
        <v>#DIV/0!</v>
      </c>
      <c r="CC419" s="169">
        <f>IFERROR(
  SUM(
    _xlfn.XLOOKUP(DATE(YEAR($A$1),1,1),$2:$2,419:419):
    _xlfn.XLOOKUP($A$1,$2:$2,419:419)
  )
 -SUM(
    _xlfn.XLOOKUP(DATE(YEAR($A$1)-1,1,1),$2:$2,419:419):
    _xlfn.XLOOKUP(EDATE($A$1,-12),$2:$2,419:419)
  ),"")</f>
        <v>0</v>
      </c>
      <c r="CD419" s="4517">
        <f t="shared" si="416"/>
        <v>0</v>
      </c>
      <c r="CE419" s="5459"/>
      <c r="CF419" s="5459"/>
    </row>
    <row r="420" spans="1:84" ht="17.399999999999999" hidden="1" customHeight="1" x14ac:dyDescent="0.55000000000000004">
      <c r="A420" s="7348"/>
      <c r="B420" s="5460"/>
      <c r="C420" s="786" t="s">
        <v>263</v>
      </c>
      <c r="D420" s="5461"/>
      <c r="E420" s="5462"/>
      <c r="F420" s="5462"/>
      <c r="G420" s="5462"/>
      <c r="H420" s="5462"/>
      <c r="I420" s="5462"/>
      <c r="J420" s="5462"/>
      <c r="K420" s="5462"/>
      <c r="L420" s="5462"/>
      <c r="M420" s="5462"/>
      <c r="N420" s="5462"/>
      <c r="O420" s="5462"/>
      <c r="P420" s="5537">
        <f>SUM(D420:O420)</f>
        <v>0</v>
      </c>
      <c r="Q420" s="5463">
        <f t="shared" si="424"/>
        <v>0</v>
      </c>
      <c r="R420" s="2776"/>
      <c r="S420" s="5461"/>
      <c r="T420" s="5462"/>
      <c r="U420" s="5462"/>
      <c r="V420" s="5462"/>
      <c r="W420" s="5462"/>
      <c r="X420" s="5462"/>
      <c r="Y420" s="5462"/>
      <c r="Z420" s="5462"/>
      <c r="AA420" s="5462"/>
      <c r="AB420" s="5462"/>
      <c r="AC420" s="5462"/>
      <c r="AD420" s="5462"/>
      <c r="AE420" s="5462">
        <f>SUM(S420:AD420)</f>
        <v>0</v>
      </c>
      <c r="AF420" s="5463">
        <f>AE420/12</f>
        <v>0</v>
      </c>
      <c r="AG420" s="2776"/>
      <c r="AH420" s="5461"/>
      <c r="AI420" s="5462"/>
      <c r="AJ420" s="5462"/>
      <c r="AK420" s="5537"/>
      <c r="AL420" s="5537"/>
      <c r="AM420" s="5537"/>
      <c r="AN420" s="4146"/>
      <c r="AO420" s="3948"/>
      <c r="AP420" s="5537"/>
      <c r="AQ420" s="5537"/>
      <c r="AR420" s="5462"/>
      <c r="AS420" s="5537"/>
      <c r="AT420" s="5462">
        <f t="shared" si="417"/>
        <v>0</v>
      </c>
      <c r="AU420" s="5463">
        <f t="shared" si="414"/>
        <v>0</v>
      </c>
      <c r="AW420" s="5536"/>
      <c r="AX420" s="5462"/>
      <c r="AY420" s="5462"/>
      <c r="AZ420" s="5537"/>
      <c r="BA420" s="5537"/>
      <c r="BB420" s="5537"/>
      <c r="BC420" s="4146"/>
      <c r="BD420" s="3948"/>
      <c r="BE420" s="5537"/>
      <c r="BF420" s="5537"/>
      <c r="BG420" s="5462"/>
      <c r="BH420" s="5537"/>
      <c r="BI420" s="5462">
        <f t="shared" si="408"/>
        <v>0</v>
      </c>
      <c r="BJ420" s="5463" t="e">
        <f t="shared" si="410"/>
        <v>#DIV/0!</v>
      </c>
      <c r="BL420" s="5536"/>
      <c r="BM420" s="5462">
        <v>0</v>
      </c>
      <c r="BN420" s="5462"/>
      <c r="BO420" s="5537"/>
      <c r="BP420" s="5537"/>
      <c r="BQ420" s="5537"/>
      <c r="BR420" s="4146"/>
      <c r="BS420" s="3948"/>
      <c r="BT420" s="5537"/>
      <c r="BU420" s="5537"/>
      <c r="BV420" s="5462"/>
      <c r="BW420" s="5537"/>
      <c r="BX420" s="5462">
        <f t="shared" si="409"/>
        <v>0</v>
      </c>
      <c r="BY420" s="5463">
        <f t="shared" si="420"/>
        <v>0</v>
      </c>
      <c r="CA420" s="169">
        <f t="shared" si="415"/>
        <v>0</v>
      </c>
      <c r="CB420" s="169" t="e">
        <f t="shared" si="418"/>
        <v>#DIV/0!</v>
      </c>
      <c r="CC420" s="169">
        <f>IFERROR(
  SUM(
    _xlfn.XLOOKUP(DATE(YEAR($A$1),1,1),$2:$2,420:420):
    _xlfn.XLOOKUP($A$1,$2:$2,420:420)
  )
 -SUM(
    _xlfn.XLOOKUP(DATE(YEAR($A$1)-1,1,1),$2:$2,420:420):
    _xlfn.XLOOKUP(EDATE($A$1,-12),$2:$2,420:420)
  ),"")</f>
        <v>0</v>
      </c>
      <c r="CD420" s="4517">
        <f t="shared" si="416"/>
        <v>0</v>
      </c>
      <c r="CE420" s="5459"/>
      <c r="CF420" s="5459"/>
    </row>
    <row r="421" spans="1:84" ht="17.399999999999999" hidden="1" customHeight="1" x14ac:dyDescent="0.55000000000000004">
      <c r="A421" s="7348"/>
      <c r="B421" s="5460"/>
      <c r="C421" s="786" t="s">
        <v>262</v>
      </c>
      <c r="D421" s="5461"/>
      <c r="E421" s="5462"/>
      <c r="F421" s="5462"/>
      <c r="G421" s="5462"/>
      <c r="H421" s="5462"/>
      <c r="I421" s="5462"/>
      <c r="J421" s="5462"/>
      <c r="K421" s="5462"/>
      <c r="L421" s="5462"/>
      <c r="M421" s="5462"/>
      <c r="N421" s="5462"/>
      <c r="O421" s="5462"/>
      <c r="P421" s="5537">
        <f>SUM(D421:O421)</f>
        <v>0</v>
      </c>
      <c r="Q421" s="5463">
        <f t="shared" si="424"/>
        <v>0</v>
      </c>
      <c r="R421" s="2776"/>
      <c r="S421" s="5461"/>
      <c r="T421" s="5462"/>
      <c r="U421" s="5462"/>
      <c r="V421" s="5462"/>
      <c r="W421" s="5462"/>
      <c r="X421" s="5462"/>
      <c r="Y421" s="5462"/>
      <c r="Z421" s="5462"/>
      <c r="AA421" s="5462"/>
      <c r="AB421" s="5462"/>
      <c r="AC421" s="5462"/>
      <c r="AD421" s="5462"/>
      <c r="AE421" s="5462">
        <f>SUM(S421:AD421)</f>
        <v>0</v>
      </c>
      <c r="AF421" s="5463">
        <f>AE421/12</f>
        <v>0</v>
      </c>
      <c r="AG421" s="2776"/>
      <c r="AH421" s="5461"/>
      <c r="AI421" s="5462"/>
      <c r="AJ421" s="5462"/>
      <c r="AK421" s="5537"/>
      <c r="AL421" s="5537"/>
      <c r="AM421" s="5537"/>
      <c r="AN421" s="4146"/>
      <c r="AO421" s="3948"/>
      <c r="AP421" s="5537"/>
      <c r="AQ421" s="5537"/>
      <c r="AR421" s="5462"/>
      <c r="AS421" s="5537"/>
      <c r="AT421" s="5462">
        <f t="shared" si="417"/>
        <v>0</v>
      </c>
      <c r="AU421" s="5463">
        <f t="shared" si="414"/>
        <v>0</v>
      </c>
      <c r="AW421" s="5536"/>
      <c r="AX421" s="5462"/>
      <c r="AY421" s="5462"/>
      <c r="AZ421" s="5537"/>
      <c r="BA421" s="5537"/>
      <c r="BB421" s="5537"/>
      <c r="BC421" s="4146"/>
      <c r="BD421" s="3948"/>
      <c r="BE421" s="5537"/>
      <c r="BF421" s="5537"/>
      <c r="BG421" s="5462"/>
      <c r="BH421" s="5537"/>
      <c r="BI421" s="5462">
        <f t="shared" si="408"/>
        <v>0</v>
      </c>
      <c r="BJ421" s="5463" t="e">
        <f t="shared" si="410"/>
        <v>#DIV/0!</v>
      </c>
      <c r="BL421" s="5536"/>
      <c r="BM421" s="5462">
        <v>0</v>
      </c>
      <c r="BN421" s="5462"/>
      <c r="BO421" s="5537"/>
      <c r="BP421" s="5537"/>
      <c r="BQ421" s="5537"/>
      <c r="BR421" s="4146"/>
      <c r="BS421" s="3948"/>
      <c r="BT421" s="5537"/>
      <c r="BU421" s="5537"/>
      <c r="BV421" s="5462"/>
      <c r="BW421" s="5537"/>
      <c r="BX421" s="5462">
        <f t="shared" si="409"/>
        <v>0</v>
      </c>
      <c r="BY421" s="5463">
        <f t="shared" si="420"/>
        <v>0</v>
      </c>
      <c r="CA421" s="169">
        <f t="shared" si="415"/>
        <v>0</v>
      </c>
      <c r="CB421" s="169" t="e">
        <f t="shared" si="418"/>
        <v>#DIV/0!</v>
      </c>
      <c r="CC421" s="169">
        <f>IFERROR(
  SUM(
    _xlfn.XLOOKUP(DATE(YEAR($A$1),1,1),$2:$2,421:421):
    _xlfn.XLOOKUP($A$1,$2:$2,421:421)
  )
 -SUM(
    _xlfn.XLOOKUP(DATE(YEAR($A$1)-1,1,1),$2:$2,421:421):
    _xlfn.XLOOKUP(EDATE($A$1,-12),$2:$2,421:421)
  ),"")</f>
        <v>0</v>
      </c>
      <c r="CD421" s="4517">
        <f t="shared" si="416"/>
        <v>0</v>
      </c>
      <c r="CE421" s="5459"/>
      <c r="CF421" s="5459"/>
    </row>
    <row r="422" spans="1:84" ht="17.399999999999999" customHeight="1" x14ac:dyDescent="0.55000000000000004">
      <c r="A422" s="7348"/>
      <c r="B422" s="5464" t="s">
        <v>206</v>
      </c>
      <c r="C422" s="1799"/>
      <c r="D422" s="5538">
        <v>7.3717948717948714</v>
      </c>
      <c r="E422" s="5539">
        <v>8.1898734177215182</v>
      </c>
      <c r="F422" s="5539">
        <v>8.5316455696202524</v>
      </c>
      <c r="G422" s="5539">
        <v>10.637499999999999</v>
      </c>
      <c r="H422" s="5539">
        <v>13.375</v>
      </c>
      <c r="I422" s="5539">
        <v>11.858974358974359</v>
      </c>
      <c r="J422" s="5539">
        <v>7.2051282051282053</v>
      </c>
      <c r="K422" s="5539">
        <v>7.8684210526315788</v>
      </c>
      <c r="L422" s="5539">
        <v>7.8</v>
      </c>
      <c r="M422" s="5539">
        <v>9.5270270270270263</v>
      </c>
      <c r="N422" s="5539">
        <v>6.9066666666666663</v>
      </c>
      <c r="O422" s="5539">
        <v>6.7105263157894735</v>
      </c>
      <c r="P422" s="5539">
        <f>SUM(D422:O422)</f>
        <v>105.98255748535396</v>
      </c>
      <c r="Q422" s="5540">
        <f>P422/12</f>
        <v>8.8318797904461643</v>
      </c>
      <c r="R422" s="2776"/>
      <c r="S422" s="5538">
        <v>6.3066666666666666</v>
      </c>
      <c r="T422" s="5539">
        <v>8.5733333333333341</v>
      </c>
      <c r="U422" s="5539">
        <v>8.5526315789473681</v>
      </c>
      <c r="V422" s="5539">
        <v>6.2666666666666666</v>
      </c>
      <c r="W422" s="5539">
        <v>8.2465753424657535</v>
      </c>
      <c r="X422" s="5539">
        <v>8</v>
      </c>
      <c r="Y422" s="5539">
        <v>7.2352941176470589</v>
      </c>
      <c r="Z422" s="5539">
        <v>11.507246376811594</v>
      </c>
      <c r="AA422" s="5539">
        <v>10.739130434782609</v>
      </c>
      <c r="AB422" s="5539">
        <v>8.3142857142857149</v>
      </c>
      <c r="AC422" s="5539">
        <v>9.2857142857142865</v>
      </c>
      <c r="AD422" s="5539">
        <v>6</v>
      </c>
      <c r="AE422" s="5539">
        <f>SUM(S422:AD422)</f>
        <v>99.027544517321061</v>
      </c>
      <c r="AF422" s="5540">
        <f>AE422/12</f>
        <v>8.2522953764434224</v>
      </c>
      <c r="AG422" s="2776"/>
      <c r="AH422" s="5538">
        <v>9.0933333333333337</v>
      </c>
      <c r="AI422" s="5539">
        <v>6.3733333333333331</v>
      </c>
      <c r="AJ422" s="5539">
        <v>7.4078947368421053</v>
      </c>
      <c r="AK422" s="5539">
        <v>6.28</v>
      </c>
      <c r="AL422" s="5539">
        <v>9.6714285714285708</v>
      </c>
      <c r="AM422" s="5539">
        <v>9</v>
      </c>
      <c r="AN422" s="5541">
        <v>11.086956521739131</v>
      </c>
      <c r="AO422" s="5572">
        <v>10.492753623188406</v>
      </c>
      <c r="AP422" s="5539">
        <v>10.863636363636363</v>
      </c>
      <c r="AQ422" s="5539">
        <v>11.705882352941176</v>
      </c>
      <c r="AR422" s="5466">
        <v>9.4782608695652169</v>
      </c>
      <c r="AS422" s="5539">
        <v>7.647887323943662</v>
      </c>
      <c r="AT422" s="5539">
        <f t="shared" si="417"/>
        <v>109.10136702995131</v>
      </c>
      <c r="AU422" s="5540">
        <f t="shared" si="414"/>
        <v>9.0917805858292748</v>
      </c>
      <c r="AW422" s="5538">
        <v>8.1971830985915499</v>
      </c>
      <c r="AX422" s="5539">
        <v>10.774647887323944</v>
      </c>
      <c r="AY422" s="5539">
        <v>8.7083333333333339</v>
      </c>
      <c r="AZ422" s="5539">
        <v>8.9861111111111107</v>
      </c>
      <c r="BA422" s="5539">
        <v>19.542857142857144</v>
      </c>
      <c r="BB422" s="5539">
        <v>11.940298507462687</v>
      </c>
      <c r="BC422" s="5541">
        <v>12.338461538461539</v>
      </c>
      <c r="BD422" s="5572">
        <v>10.15625</v>
      </c>
      <c r="BE422" s="5539">
        <v>10.85483870967742</v>
      </c>
      <c r="BF422" s="5539">
        <v>9.3650793650793656</v>
      </c>
      <c r="BG422" s="5466">
        <v>10.65</v>
      </c>
      <c r="BH422" s="5539">
        <v>11.40625</v>
      </c>
      <c r="BI422" s="5539">
        <f t="shared" si="408"/>
        <v>132.9203106938981</v>
      </c>
      <c r="BJ422" s="5540">
        <f t="shared" si="410"/>
        <v>11.076692557824842</v>
      </c>
      <c r="BL422" s="5538">
        <v>10.85483870967742</v>
      </c>
      <c r="BM422" s="5539">
        <v>7.0161290322580649</v>
      </c>
      <c r="BN422" s="5539"/>
      <c r="BO422" s="5539"/>
      <c r="BP422" s="5539"/>
      <c r="BQ422" s="5539"/>
      <c r="BR422" s="5541"/>
      <c r="BS422" s="5572"/>
      <c r="BT422" s="5539"/>
      <c r="BU422" s="5539"/>
      <c r="BV422" s="5466"/>
      <c r="BW422" s="5539"/>
      <c r="BX422" s="5539">
        <f t="shared" si="409"/>
        <v>17.870967741935484</v>
      </c>
      <c r="BY422" s="5467">
        <f t="shared" si="420"/>
        <v>8.935483870967742</v>
      </c>
      <c r="CA422" s="169">
        <f t="shared" si="415"/>
        <v>-3.758518855065879</v>
      </c>
      <c r="CB422" s="169">
        <f t="shared" si="418"/>
        <v>1.984911971995567</v>
      </c>
      <c r="CC422" s="169">
        <f>IFERROR(
  SUM(
    _xlfn.XLOOKUP(DATE(YEAR($A$1),1,1),$2:$2,422:422):
    _xlfn.XLOOKUP($A$1,$2:$2,422:422)
  )
 -SUM(
    _xlfn.XLOOKUP(DATE(YEAR($A$1)-1,1,1),$2:$2,422:422):
    _xlfn.XLOOKUP(EDATE($A$1,-12),$2:$2,422:422)
  ),"")</f>
        <v>-1.1008632439800117</v>
      </c>
      <c r="CD422" s="4517">
        <f t="shared" si="416"/>
        <v>-3.838709677419355</v>
      </c>
      <c r="CE422" s="5459"/>
      <c r="CF422" s="5459"/>
    </row>
    <row r="423" spans="1:84" ht="17.399999999999999" customHeight="1" x14ac:dyDescent="0.55000000000000004">
      <c r="A423" s="7348"/>
      <c r="B423" s="5468" t="s">
        <v>207</v>
      </c>
      <c r="C423" s="1576"/>
      <c r="D423" s="5542">
        <v>9.7288135593220346</v>
      </c>
      <c r="E423" s="5355">
        <v>11.842105263157896</v>
      </c>
      <c r="F423" s="5355">
        <v>12.603448275862069</v>
      </c>
      <c r="G423" s="5355">
        <v>15.423728813559322</v>
      </c>
      <c r="H423" s="5355">
        <v>15.474576271186441</v>
      </c>
      <c r="I423" s="5355">
        <v>12.035714285714286</v>
      </c>
      <c r="J423" s="5355">
        <v>8.7636363636363637</v>
      </c>
      <c r="K423" s="5355">
        <v>11.735849056603774</v>
      </c>
      <c r="L423" s="5355">
        <v>7.784313725490196</v>
      </c>
      <c r="M423" s="5355">
        <v>10.686274509803921</v>
      </c>
      <c r="N423" s="5355">
        <v>9.4038461538461533</v>
      </c>
      <c r="O423" s="5355">
        <v>8.204081632653061</v>
      </c>
      <c r="P423" s="5355">
        <f t="shared" ref="P423:P433" si="425">SUM(D423:O423)</f>
        <v>133.68638791083552</v>
      </c>
      <c r="Q423" s="5543">
        <f t="shared" si="424"/>
        <v>11.14053232590296</v>
      </c>
      <c r="R423" s="2776"/>
      <c r="S423" s="5542">
        <v>9.1489361702127656</v>
      </c>
      <c r="T423" s="5355">
        <v>10.145833333333334</v>
      </c>
      <c r="U423" s="5355">
        <v>7.875</v>
      </c>
      <c r="V423" s="5355">
        <v>5.729166666666667</v>
      </c>
      <c r="W423" s="5355">
        <v>8.7727272727272734</v>
      </c>
      <c r="X423" s="5355">
        <v>6.8604651162790695</v>
      </c>
      <c r="Y423" s="5355">
        <v>6.8</v>
      </c>
      <c r="Z423" s="5355">
        <v>8.604651162790697</v>
      </c>
      <c r="AA423" s="5355">
        <v>7.8636363636363633</v>
      </c>
      <c r="AB423" s="5355">
        <v>9.5116279069767433</v>
      </c>
      <c r="AC423" s="5355">
        <v>9</v>
      </c>
      <c r="AD423" s="5355">
        <v>5.4444444444444446</v>
      </c>
      <c r="AE423" s="5355">
        <f t="shared" ref="AE423:AE433" si="426">SUM(S423:AD423)</f>
        <v>95.756488437067347</v>
      </c>
      <c r="AF423" s="5543">
        <f t="shared" ref="AF423:AF433" si="427">AE423/12</f>
        <v>7.9797073697556122</v>
      </c>
      <c r="AG423" s="2776"/>
      <c r="AH423" s="5542">
        <v>7.2765957446808507</v>
      </c>
      <c r="AI423" s="5355">
        <v>6.270833333333333</v>
      </c>
      <c r="AJ423" s="5355">
        <v>9.2916666666666661</v>
      </c>
      <c r="AK423" s="5355">
        <v>8.875</v>
      </c>
      <c r="AL423" s="5355">
        <v>8.1199999999999992</v>
      </c>
      <c r="AM423" s="5355">
        <v>10.25531914893617</v>
      </c>
      <c r="AN423" s="5544">
        <v>9.9583333333333339</v>
      </c>
      <c r="AO423" s="5573">
        <v>14.340425531914894</v>
      </c>
      <c r="AP423" s="5355">
        <v>15.042553191489361</v>
      </c>
      <c r="AQ423" s="5355">
        <v>14.770833333333334</v>
      </c>
      <c r="AR423" s="2636">
        <v>12.913043478260869</v>
      </c>
      <c r="AS423" s="5355">
        <v>12.760869565217391</v>
      </c>
      <c r="AT423" s="5355">
        <f t="shared" si="417"/>
        <v>129.87547332716622</v>
      </c>
      <c r="AU423" s="5543">
        <f t="shared" si="414"/>
        <v>10.822956110597184</v>
      </c>
      <c r="AW423" s="5542">
        <v>11.565217391304348</v>
      </c>
      <c r="AX423" s="5355">
        <v>13.086956521739131</v>
      </c>
      <c r="AY423" s="5355">
        <v>10.1875</v>
      </c>
      <c r="AZ423" s="5355">
        <v>9.9347826086956523</v>
      </c>
      <c r="BA423" s="5355">
        <v>23.522727272727273</v>
      </c>
      <c r="BB423" s="5355">
        <v>14.511111111111111</v>
      </c>
      <c r="BC423" s="5544">
        <v>14.022727272727273</v>
      </c>
      <c r="BD423" s="5573">
        <v>13.772727272727273</v>
      </c>
      <c r="BE423" s="5355">
        <v>14.116279069767442</v>
      </c>
      <c r="BF423" s="5355">
        <v>13.560975609756097</v>
      </c>
      <c r="BG423" s="2636">
        <v>12.116279069767442</v>
      </c>
      <c r="BH423" s="5355">
        <v>13</v>
      </c>
      <c r="BI423" s="5355">
        <f t="shared" si="408"/>
        <v>163.39728320032305</v>
      </c>
      <c r="BJ423" s="5543">
        <f t="shared" si="410"/>
        <v>13.616440266693587</v>
      </c>
      <c r="BL423" s="5542">
        <v>13.266666666666667</v>
      </c>
      <c r="BM423" s="5355">
        <v>9.3777777777777782</v>
      </c>
      <c r="BN423" s="5355"/>
      <c r="BO423" s="5355"/>
      <c r="BP423" s="5355"/>
      <c r="BQ423" s="5355"/>
      <c r="BR423" s="5544"/>
      <c r="BS423" s="5573"/>
      <c r="BT423" s="5355"/>
      <c r="BU423" s="5355"/>
      <c r="BV423" s="2636"/>
      <c r="BW423" s="5355"/>
      <c r="BX423" s="5355">
        <f t="shared" si="409"/>
        <v>22.644444444444446</v>
      </c>
      <c r="BY423" s="5470">
        <f t="shared" si="420"/>
        <v>11.322222222222223</v>
      </c>
      <c r="CA423" s="169">
        <f t="shared" si="415"/>
        <v>-3.7091787439613526</v>
      </c>
      <c r="CB423" s="169">
        <f t="shared" si="418"/>
        <v>2.7934841560964028</v>
      </c>
      <c r="CC423" s="169">
        <f>IFERROR(
  SUM(
    _xlfn.XLOOKUP(DATE(YEAR($A$1),1,1),$2:$2,423:423):
    _xlfn.XLOOKUP($A$1,$2:$2,423:423)
  )
 -SUM(
    _xlfn.XLOOKUP(DATE(YEAR($A$1)-1,1,1),$2:$2,423:423):
    _xlfn.XLOOKUP(EDATE($A$1,-12),$2:$2,423:423)
  ),"")</f>
        <v>-2.007729468599031</v>
      </c>
      <c r="CD423" s="4517">
        <f t="shared" si="416"/>
        <v>-3.8888888888888893</v>
      </c>
      <c r="CE423" s="5459"/>
      <c r="CF423" s="5459"/>
    </row>
    <row r="424" spans="1:84" ht="17.399999999999999" customHeight="1" x14ac:dyDescent="0.55000000000000004">
      <c r="A424" s="7348"/>
      <c r="B424" s="5468" t="s">
        <v>208</v>
      </c>
      <c r="C424" s="1576"/>
      <c r="D424" s="5542">
        <v>9.6551724137931032</v>
      </c>
      <c r="E424" s="5355">
        <v>10.793103448275861</v>
      </c>
      <c r="F424" s="5355">
        <v>12.090909090909092</v>
      </c>
      <c r="G424" s="5355">
        <v>14.357142857142858</v>
      </c>
      <c r="H424" s="5355">
        <v>12.446428571428571</v>
      </c>
      <c r="I424" s="5355">
        <v>11.351851851851851</v>
      </c>
      <c r="J424" s="5355">
        <v>8.8039215686274517</v>
      </c>
      <c r="K424" s="5355">
        <v>10.607843137254902</v>
      </c>
      <c r="L424" s="5355">
        <v>8.66</v>
      </c>
      <c r="M424" s="5355">
        <v>9.3529411764705888</v>
      </c>
      <c r="N424" s="5355">
        <v>7.6111111111111107</v>
      </c>
      <c r="O424" s="5355">
        <v>6.0769230769230766</v>
      </c>
      <c r="P424" s="5355">
        <f t="shared" si="425"/>
        <v>121.80734830378846</v>
      </c>
      <c r="Q424" s="5543">
        <f t="shared" si="424"/>
        <v>10.150612358649038</v>
      </c>
      <c r="R424" s="2776"/>
      <c r="S424" s="5542">
        <v>5.6727272727272728</v>
      </c>
      <c r="T424" s="5355">
        <v>6.7454545454545451</v>
      </c>
      <c r="U424" s="5355">
        <v>6.625</v>
      </c>
      <c r="V424" s="5355">
        <v>6.2884615384615383</v>
      </c>
      <c r="W424" s="5355">
        <v>8.7659574468085104</v>
      </c>
      <c r="X424" s="5355">
        <v>7.9361702127659575</v>
      </c>
      <c r="Y424" s="5355">
        <v>7.4489795918367347</v>
      </c>
      <c r="Z424" s="5355">
        <v>8.9565217391304355</v>
      </c>
      <c r="AA424" s="5355">
        <v>7</v>
      </c>
      <c r="AB424" s="5355">
        <v>7.7446808510638299</v>
      </c>
      <c r="AC424" s="5355">
        <v>8.8260869565217384</v>
      </c>
      <c r="AD424" s="5355">
        <v>5.2857142857142856</v>
      </c>
      <c r="AE424" s="5355">
        <f t="shared" si="426"/>
        <v>87.295754440484856</v>
      </c>
      <c r="AF424" s="5543">
        <f t="shared" si="427"/>
        <v>7.274646203373738</v>
      </c>
      <c r="AG424" s="2776"/>
      <c r="AH424" s="5542">
        <v>5.4727272727272727</v>
      </c>
      <c r="AI424" s="5355">
        <v>5.4727272727272727</v>
      </c>
      <c r="AJ424" s="5355">
        <v>7.1785714285714288</v>
      </c>
      <c r="AK424" s="5355">
        <v>6.9615384615384617</v>
      </c>
      <c r="AL424" s="5355">
        <v>12</v>
      </c>
      <c r="AM424" s="5355">
        <v>11.418604651162791</v>
      </c>
      <c r="AN424" s="5544">
        <v>13.341463414634147</v>
      </c>
      <c r="AO424" s="5573">
        <v>13.380952380952381</v>
      </c>
      <c r="AP424" s="5355">
        <v>11.25</v>
      </c>
      <c r="AQ424" s="5355">
        <v>13.581395348837209</v>
      </c>
      <c r="AR424" s="2636">
        <v>12.733333333333333</v>
      </c>
      <c r="AS424" s="5355">
        <v>12.244444444444444</v>
      </c>
      <c r="AT424" s="5355">
        <f t="shared" si="417"/>
        <v>125.03575800892874</v>
      </c>
      <c r="AU424" s="5543">
        <f t="shared" si="414"/>
        <v>10.419646500744062</v>
      </c>
      <c r="AW424" s="5542">
        <v>10.755555555555556</v>
      </c>
      <c r="AX424" s="5355">
        <v>15.466666666666667</v>
      </c>
      <c r="AY424" s="5355">
        <v>15.454545454545455</v>
      </c>
      <c r="AZ424" s="5355">
        <v>12.71111111111111</v>
      </c>
      <c r="BA424" s="5355">
        <v>24.906976744186046</v>
      </c>
      <c r="BB424" s="5355">
        <v>20.95</v>
      </c>
      <c r="BC424" s="5544">
        <v>17.511627906976745</v>
      </c>
      <c r="BD424" s="5573">
        <v>13.209302325581396</v>
      </c>
      <c r="BE424" s="5355">
        <v>14.333333333333334</v>
      </c>
      <c r="BF424" s="5355">
        <v>13.295454545454545</v>
      </c>
      <c r="BG424" s="2636">
        <v>12.375</v>
      </c>
      <c r="BH424" s="5355">
        <v>12.341463414634147</v>
      </c>
      <c r="BI424" s="5355">
        <f t="shared" si="408"/>
        <v>183.311037058045</v>
      </c>
      <c r="BJ424" s="5543">
        <f t="shared" si="410"/>
        <v>15.275919754837084</v>
      </c>
      <c r="BL424" s="5542">
        <v>17.399999999999999</v>
      </c>
      <c r="BM424" s="5355">
        <v>11.725</v>
      </c>
      <c r="BN424" s="5355"/>
      <c r="BO424" s="5355"/>
      <c r="BP424" s="5355"/>
      <c r="BQ424" s="5355"/>
      <c r="BR424" s="5544"/>
      <c r="BS424" s="5573"/>
      <c r="BT424" s="5355"/>
      <c r="BU424" s="5355"/>
      <c r="BV424" s="2636"/>
      <c r="BW424" s="5355"/>
      <c r="BX424" s="5355">
        <f t="shared" si="409"/>
        <v>29.125</v>
      </c>
      <c r="BY424" s="5470">
        <f t="shared" si="420"/>
        <v>14.5625</v>
      </c>
      <c r="CA424" s="169">
        <f t="shared" si="415"/>
        <v>-3.7416666666666671</v>
      </c>
      <c r="CB424" s="169">
        <f t="shared" si="418"/>
        <v>4.856273254093022</v>
      </c>
      <c r="CC424" s="169">
        <f>IFERROR(
  SUM(
    _xlfn.XLOOKUP(DATE(YEAR($A$1),1,1),$2:$2,424:424):
    _xlfn.XLOOKUP($A$1,$2:$2,424:424)
  )
 -SUM(
    _xlfn.XLOOKUP(DATE(YEAR($A$1)-1,1,1),$2:$2,424:424):
    _xlfn.XLOOKUP(EDATE($A$1,-12),$2:$2,424:424)
  ),"")</f>
        <v>2.9027777777777786</v>
      </c>
      <c r="CD424" s="4517">
        <f t="shared" si="416"/>
        <v>-5.6749999999999989</v>
      </c>
      <c r="CE424" s="5459"/>
      <c r="CF424" s="5459"/>
    </row>
    <row r="425" spans="1:84" ht="17.399999999999999" customHeight="1" x14ac:dyDescent="0.55000000000000004">
      <c r="A425" s="7348"/>
      <c r="B425" s="5468" t="s">
        <v>209</v>
      </c>
      <c r="C425" s="1576"/>
      <c r="D425" s="5542">
        <v>7.2543859649122808</v>
      </c>
      <c r="E425" s="5355">
        <v>7.0526315789473681</v>
      </c>
      <c r="F425" s="5355">
        <v>7.6403508771929829</v>
      </c>
      <c r="G425" s="5355">
        <v>7.6896551724137927</v>
      </c>
      <c r="H425" s="5355">
        <v>8.362068965517242</v>
      </c>
      <c r="I425" s="5355">
        <v>8.3859649122807021</v>
      </c>
      <c r="J425" s="5355">
        <v>6.7192982456140351</v>
      </c>
      <c r="K425" s="5355">
        <v>7.6949152542372881</v>
      </c>
      <c r="L425" s="5355">
        <v>6.3275862068965516</v>
      </c>
      <c r="M425" s="5355">
        <v>6.1826086956521742</v>
      </c>
      <c r="N425" s="5355">
        <v>5.3513513513513518</v>
      </c>
      <c r="O425" s="5355">
        <v>3.5089285714285716</v>
      </c>
      <c r="P425" s="5355">
        <f t="shared" si="425"/>
        <v>82.169745796444332</v>
      </c>
      <c r="Q425" s="5543">
        <f t="shared" si="424"/>
        <v>6.8474788163703613</v>
      </c>
      <c r="R425" s="2776"/>
      <c r="S425" s="5542">
        <v>5.5047619047619047</v>
      </c>
      <c r="T425" s="5355">
        <v>6.2924528301886795</v>
      </c>
      <c r="U425" s="5355">
        <v>6.0185185185185182</v>
      </c>
      <c r="V425" s="5355">
        <v>6.0673076923076925</v>
      </c>
      <c r="W425" s="5355">
        <v>8.1199999999999992</v>
      </c>
      <c r="X425" s="5355">
        <v>6.8137254901960782</v>
      </c>
      <c r="Y425" s="5355">
        <v>5.7358490566037732</v>
      </c>
      <c r="Z425" s="5355">
        <v>8.0485436893203879</v>
      </c>
      <c r="AA425" s="5355">
        <v>6.882352941176471</v>
      </c>
      <c r="AB425" s="5355">
        <v>7.9504950495049505</v>
      </c>
      <c r="AC425" s="5355">
        <v>7.13</v>
      </c>
      <c r="AD425" s="5355">
        <v>5.2653061224489797</v>
      </c>
      <c r="AE425" s="5355">
        <f t="shared" si="426"/>
        <v>79.829313295027433</v>
      </c>
      <c r="AF425" s="5543">
        <f t="shared" si="427"/>
        <v>6.6524427745856194</v>
      </c>
      <c r="AG425" s="2776"/>
      <c r="AH425" s="5542">
        <v>8.8380952380952387</v>
      </c>
      <c r="AI425" s="5355">
        <v>8.0754716981132084</v>
      </c>
      <c r="AJ425" s="5355">
        <v>8.75</v>
      </c>
      <c r="AK425" s="5355">
        <v>8.5769230769230766</v>
      </c>
      <c r="AL425" s="5355">
        <v>10.625</v>
      </c>
      <c r="AM425" s="5355">
        <v>8.9263157894736835</v>
      </c>
      <c r="AN425" s="5544">
        <v>9.5053763440860219</v>
      </c>
      <c r="AO425" s="5573">
        <v>9.1182795698924739</v>
      </c>
      <c r="AP425" s="5355">
        <v>9.258064516129032</v>
      </c>
      <c r="AQ425" s="5355">
        <v>10.422680412371134</v>
      </c>
      <c r="AR425" s="2636">
        <v>11.272727272727273</v>
      </c>
      <c r="AS425" s="5355">
        <v>11.282828282828282</v>
      </c>
      <c r="AT425" s="5355">
        <f t="shared" si="417"/>
        <v>114.65176220063942</v>
      </c>
      <c r="AU425" s="5543">
        <f t="shared" si="414"/>
        <v>9.5543135167199527</v>
      </c>
      <c r="AW425" s="5542">
        <v>10.595959595959595</v>
      </c>
      <c r="AX425" s="5355">
        <v>12.919191919191919</v>
      </c>
      <c r="AY425" s="5355">
        <v>11.69</v>
      </c>
      <c r="AZ425" s="5355">
        <v>14.360824742268042</v>
      </c>
      <c r="BA425" s="5355">
        <v>29.020408163265305</v>
      </c>
      <c r="BB425" s="5355">
        <v>28.86021505376344</v>
      </c>
      <c r="BC425" s="5544">
        <v>21.917525773195877</v>
      </c>
      <c r="BD425" s="5573">
        <v>14.438775510204081</v>
      </c>
      <c r="BE425" s="5355">
        <v>12.421568627450981</v>
      </c>
      <c r="BF425" s="5355">
        <v>14.145833333333334</v>
      </c>
      <c r="BG425" s="2636">
        <v>12.85</v>
      </c>
      <c r="BH425" s="5355">
        <v>12.041237113402062</v>
      </c>
      <c r="BI425" s="5355">
        <f t="shared" si="408"/>
        <v>195.26153983203466</v>
      </c>
      <c r="BJ425" s="5543">
        <f t="shared" si="410"/>
        <v>16.271794986002888</v>
      </c>
      <c r="BL425" s="5542">
        <v>13.43157894736842</v>
      </c>
      <c r="BM425" s="5355">
        <v>9.0210526315789465</v>
      </c>
      <c r="BN425" s="5355"/>
      <c r="BO425" s="5355"/>
      <c r="BP425" s="5355"/>
      <c r="BQ425" s="5355"/>
      <c r="BR425" s="5544"/>
      <c r="BS425" s="5573"/>
      <c r="BT425" s="5355"/>
      <c r="BU425" s="5355"/>
      <c r="BV425" s="2636"/>
      <c r="BW425" s="5355"/>
      <c r="BX425" s="5355">
        <f t="shared" si="409"/>
        <v>22.452631578947368</v>
      </c>
      <c r="BY425" s="5470">
        <f t="shared" si="420"/>
        <v>11.226315789473684</v>
      </c>
      <c r="CA425" s="169">
        <f t="shared" si="415"/>
        <v>-3.8981392876129721</v>
      </c>
      <c r="CB425" s="169">
        <f t="shared" si="418"/>
        <v>6.7174814692829354</v>
      </c>
      <c r="CC425" s="169">
        <f>IFERROR(
  SUM(
    _xlfn.XLOOKUP(DATE(YEAR($A$1),1,1),$2:$2,425:425):
    _xlfn.XLOOKUP($A$1,$2:$2,425:425)
  )
 -SUM(
    _xlfn.XLOOKUP(DATE(YEAR($A$1)-1,1,1),$2:$2,425:425):
    _xlfn.XLOOKUP(EDATE($A$1,-12),$2:$2,425:425)
  ),"")</f>
        <v>-1.0625199362041471</v>
      </c>
      <c r="CD425" s="4517">
        <f t="shared" si="416"/>
        <v>-4.4105263157894736</v>
      </c>
      <c r="CE425" s="5459"/>
      <c r="CF425" s="5459"/>
    </row>
    <row r="426" spans="1:84" ht="17.399999999999999" customHeight="1" x14ac:dyDescent="0.55000000000000004">
      <c r="A426" s="7348"/>
      <c r="B426" s="5471" t="s">
        <v>210</v>
      </c>
      <c r="C426" s="1813"/>
      <c r="D426" s="5545">
        <v>7.6767676767676765</v>
      </c>
      <c r="E426" s="5546">
        <v>7.9787234042553195</v>
      </c>
      <c r="F426" s="5546">
        <v>7.3723404255319149</v>
      </c>
      <c r="G426" s="5546">
        <v>9.6111111111111107</v>
      </c>
      <c r="H426" s="5546">
        <v>9.6111111111111107</v>
      </c>
      <c r="I426" s="5546">
        <v>9.1868131868131861</v>
      </c>
      <c r="J426" s="5546">
        <v>6.239583333333333</v>
      </c>
      <c r="K426" s="5546">
        <v>7.4432989690721651</v>
      </c>
      <c r="L426" s="5546">
        <v>6.7340425531914896</v>
      </c>
      <c r="M426" s="5546">
        <v>6.774193548387097</v>
      </c>
      <c r="N426" s="5546">
        <v>7.0543478260869561</v>
      </c>
      <c r="O426" s="5546">
        <v>6.2526315789473683</v>
      </c>
      <c r="P426" s="5546">
        <f t="shared" si="425"/>
        <v>91.934964724608733</v>
      </c>
      <c r="Q426" s="5547">
        <f t="shared" si="424"/>
        <v>7.6612470603840608</v>
      </c>
      <c r="R426" s="2776"/>
      <c r="S426" s="5545">
        <v>6.5053763440860219</v>
      </c>
      <c r="T426" s="5546">
        <v>7.849462365591398</v>
      </c>
      <c r="U426" s="5546">
        <v>7.7640449438202248</v>
      </c>
      <c r="V426" s="5546">
        <v>7.1333333333333337</v>
      </c>
      <c r="W426" s="5546">
        <v>8.4347826086956523</v>
      </c>
      <c r="X426" s="5546">
        <v>6.931034482758621</v>
      </c>
      <c r="Y426" s="5546">
        <v>6.3720930232558137</v>
      </c>
      <c r="Z426" s="5546">
        <v>9.8048780487804876</v>
      </c>
      <c r="AA426" s="5546">
        <v>7.7439024390243905</v>
      </c>
      <c r="AB426" s="5546">
        <v>8.5411764705882351</v>
      </c>
      <c r="AC426" s="5546">
        <v>7.7471264367816088</v>
      </c>
      <c r="AD426" s="5546">
        <v>5.7701149425287355</v>
      </c>
      <c r="AE426" s="5546">
        <f t="shared" si="426"/>
        <v>90.597325439244528</v>
      </c>
      <c r="AF426" s="5547">
        <f t="shared" si="427"/>
        <v>7.549777119937044</v>
      </c>
      <c r="AG426" s="2776"/>
      <c r="AH426" s="5545">
        <v>8.0752688172043019</v>
      </c>
      <c r="AI426" s="5546">
        <v>6.559139784946237</v>
      </c>
      <c r="AJ426" s="5546">
        <v>7.3146067415730336</v>
      </c>
      <c r="AK426" s="5546">
        <v>7.5444444444444398</v>
      </c>
      <c r="AL426" s="5546">
        <v>8.9250000000000007</v>
      </c>
      <c r="AM426" s="5546">
        <v>8.3625000000000007</v>
      </c>
      <c r="AN426" s="5548">
        <v>9.6973684210526319</v>
      </c>
      <c r="AO426" s="5574">
        <v>7.443037974683544</v>
      </c>
      <c r="AP426" s="5546">
        <v>8.1012658227848107</v>
      </c>
      <c r="AQ426" s="5546">
        <v>10.2987012987013</v>
      </c>
      <c r="AR426" s="5473">
        <v>12.074074074074074</v>
      </c>
      <c r="AS426" s="5546">
        <v>10.7125</v>
      </c>
      <c r="AT426" s="5546">
        <f t="shared" si="417"/>
        <v>105.10790737946439</v>
      </c>
      <c r="AU426" s="5547">
        <f t="shared" si="414"/>
        <v>8.7589922816220334</v>
      </c>
      <c r="AW426" s="5545">
        <v>10.237500000000001</v>
      </c>
      <c r="AX426" s="5546">
        <v>13.4125</v>
      </c>
      <c r="AY426" s="5546">
        <v>12.052631578947368</v>
      </c>
      <c r="AZ426" s="5546">
        <v>12.272727272727273</v>
      </c>
      <c r="BA426" s="5546">
        <v>19</v>
      </c>
      <c r="BB426" s="5546">
        <v>14.355263157894736</v>
      </c>
      <c r="BC426" s="5548">
        <v>16.264705882352942</v>
      </c>
      <c r="BD426" s="5574">
        <v>10.954545454545455</v>
      </c>
      <c r="BE426" s="5546">
        <v>14.05</v>
      </c>
      <c r="BF426" s="5546">
        <v>10.863636363636363</v>
      </c>
      <c r="BG426" s="5473">
        <v>10.71830985915493</v>
      </c>
      <c r="BH426" s="5546">
        <v>9.7808219178082183</v>
      </c>
      <c r="BI426" s="5546">
        <f t="shared" si="408"/>
        <v>153.96264148706732</v>
      </c>
      <c r="BJ426" s="5547">
        <f t="shared" si="410"/>
        <v>12.830220123922276</v>
      </c>
      <c r="BL426" s="5545">
        <v>10.450704225352112</v>
      </c>
      <c r="BM426" s="5546">
        <v>9.0985915492957741</v>
      </c>
      <c r="BN426" s="5546"/>
      <c r="BO426" s="5546"/>
      <c r="BP426" s="5546"/>
      <c r="BQ426" s="5546"/>
      <c r="BR426" s="5548"/>
      <c r="BS426" s="5574"/>
      <c r="BT426" s="5546"/>
      <c r="BU426" s="5546"/>
      <c r="BV426" s="5473"/>
      <c r="BW426" s="5546"/>
      <c r="BX426" s="5546">
        <f t="shared" si="409"/>
        <v>19.549295774647888</v>
      </c>
      <c r="BY426" s="5474">
        <f t="shared" si="420"/>
        <v>9.774647887323944</v>
      </c>
      <c r="CA426" s="169">
        <f t="shared" si="415"/>
        <v>-4.3139084507042256</v>
      </c>
      <c r="CB426" s="169">
        <f t="shared" si="418"/>
        <v>4.0712278423002424</v>
      </c>
      <c r="CC426" s="169">
        <f>IFERROR(
  SUM(
    _xlfn.XLOOKUP(DATE(YEAR($A$1),1,1),$2:$2,426:426):
    _xlfn.XLOOKUP($A$1,$2:$2,426:426)
  )
 -SUM(
    _xlfn.XLOOKUP(DATE(YEAR($A$1)-1,1,1),$2:$2,426:426):
    _xlfn.XLOOKUP(EDATE($A$1,-12),$2:$2,426:426)
  ),"")</f>
        <v>-4.1007042253521107</v>
      </c>
      <c r="CD426" s="4517">
        <f t="shared" si="416"/>
        <v>-1.352112676056338</v>
      </c>
      <c r="CE426" s="5459"/>
      <c r="CF426" s="5459"/>
    </row>
    <row r="427" spans="1:84" s="698" customFormat="1" ht="15.65" customHeight="1" x14ac:dyDescent="0.55000000000000004">
      <c r="A427" s="7348"/>
      <c r="B427" s="5475"/>
      <c r="C427" s="2156" t="s">
        <v>226</v>
      </c>
      <c r="D427" s="5549">
        <v>7.8928571428571432</v>
      </c>
      <c r="E427" s="5550">
        <v>9.1428571428571423</v>
      </c>
      <c r="F427" s="5550">
        <v>9.545454545454545</v>
      </c>
      <c r="G427" s="5550">
        <v>12.678571428571429</v>
      </c>
      <c r="H427" s="5550">
        <v>16.107142857142858</v>
      </c>
      <c r="I427" s="5550">
        <v>14.407407407407407</v>
      </c>
      <c r="J427" s="5550">
        <v>9.0377358490566042</v>
      </c>
      <c r="K427" s="5550">
        <v>8.8076923076923084</v>
      </c>
      <c r="L427" s="5550">
        <v>9.6538461538461533</v>
      </c>
      <c r="M427" s="5550">
        <v>11.283018867924529</v>
      </c>
      <c r="N427" s="5550">
        <v>7.9433962264150946</v>
      </c>
      <c r="O427" s="5550">
        <v>8.4716981132075464</v>
      </c>
      <c r="P427" s="5550">
        <f t="shared" si="425"/>
        <v>124.97167804243274</v>
      </c>
      <c r="Q427" s="5551">
        <f t="shared" si="424"/>
        <v>10.414306503536062</v>
      </c>
      <c r="R427" s="5479"/>
      <c r="S427" s="5549">
        <v>7.5555555555555554</v>
      </c>
      <c r="T427" s="5550">
        <v>10.425925925925926</v>
      </c>
      <c r="U427" s="5550">
        <v>9</v>
      </c>
      <c r="V427" s="5550">
        <v>6.9245283018867925</v>
      </c>
      <c r="W427" s="5550">
        <v>8.9038461538461533</v>
      </c>
      <c r="X427" s="5550">
        <v>8.9215686274509807</v>
      </c>
      <c r="Y427" s="5550">
        <v>8.2978723404255312</v>
      </c>
      <c r="Z427" s="5550">
        <v>10.854166666666666</v>
      </c>
      <c r="AA427" s="5550">
        <v>10.375</v>
      </c>
      <c r="AB427" s="5550">
        <v>8.875</v>
      </c>
      <c r="AC427" s="5550">
        <v>10.395833333333334</v>
      </c>
      <c r="AD427" s="5550">
        <v>5.8297872340425529</v>
      </c>
      <c r="AE427" s="5550">
        <f t="shared" si="426"/>
        <v>106.3590841391335</v>
      </c>
      <c r="AF427" s="5551">
        <f t="shared" si="427"/>
        <v>8.8632570115944578</v>
      </c>
      <c r="AG427" s="5479"/>
      <c r="AH427" s="5549">
        <v>9.9074074074074066</v>
      </c>
      <c r="AI427" s="5550">
        <v>6.1111111111111107</v>
      </c>
      <c r="AJ427" s="5550">
        <v>6.9444444444444446</v>
      </c>
      <c r="AK427" s="5550">
        <v>6.3018867924528301</v>
      </c>
      <c r="AL427" s="5550">
        <v>10.063829787234043</v>
      </c>
      <c r="AM427" s="5550">
        <v>9.8666666666666671</v>
      </c>
      <c r="AN427" s="5552">
        <v>11.71111111111111</v>
      </c>
      <c r="AO427" s="5575">
        <v>12.217391304347826</v>
      </c>
      <c r="AP427" s="5550">
        <v>11.355555555555556</v>
      </c>
      <c r="AQ427" s="5550">
        <v>13.478260869565217</v>
      </c>
      <c r="AR427" s="5477">
        <v>10.229166666666666</v>
      </c>
      <c r="AS427" s="5550">
        <v>8.6041666666666661</v>
      </c>
      <c r="AT427" s="5550">
        <f t="shared" si="417"/>
        <v>116.79099838322955</v>
      </c>
      <c r="AU427" s="5551">
        <f t="shared" si="414"/>
        <v>9.7325831986024625</v>
      </c>
      <c r="AW427" s="5549">
        <v>8.2083333333333339</v>
      </c>
      <c r="AX427" s="5550">
        <v>11.854166666666666</v>
      </c>
      <c r="AY427" s="5550">
        <v>9.4166666666666661</v>
      </c>
      <c r="AZ427" s="5550">
        <v>9.6875</v>
      </c>
      <c r="BA427" s="5550">
        <v>20.081632653061224</v>
      </c>
      <c r="BB427" s="5550">
        <v>12.847826086956522</v>
      </c>
      <c r="BC427" s="5552">
        <v>12.338461538461539</v>
      </c>
      <c r="BD427" s="5575">
        <v>10.15625</v>
      </c>
      <c r="BE427" s="5550">
        <v>10.85483870967742</v>
      </c>
      <c r="BF427" s="5550">
        <v>9.3650793650793656</v>
      </c>
      <c r="BG427" s="5477">
        <v>10.65</v>
      </c>
      <c r="BH427" s="5550">
        <v>11.40625</v>
      </c>
      <c r="BI427" s="5550">
        <f t="shared" si="408"/>
        <v>136.86700501990276</v>
      </c>
      <c r="BJ427" s="5551">
        <f t="shared" si="410"/>
        <v>11.405583751658563</v>
      </c>
      <c r="BL427" s="5549">
        <v>10.85483870967742</v>
      </c>
      <c r="BM427" s="5550">
        <v>7.0161290322580649</v>
      </c>
      <c r="BN427" s="5550"/>
      <c r="BO427" s="5550"/>
      <c r="BP427" s="5550"/>
      <c r="BQ427" s="5550"/>
      <c r="BR427" s="5552"/>
      <c r="BS427" s="5575"/>
      <c r="BT427" s="5550"/>
      <c r="BU427" s="5550"/>
      <c r="BV427" s="5477"/>
      <c r="BW427" s="5550"/>
      <c r="BX427" s="5550">
        <f t="shared" si="409"/>
        <v>17.870967741935484</v>
      </c>
      <c r="BY427" s="5478">
        <f t="shared" si="420"/>
        <v>8.935483870967742</v>
      </c>
      <c r="CA427" s="169">
        <f t="shared" si="415"/>
        <v>-4.8380376344086011</v>
      </c>
      <c r="CB427" s="169">
        <f t="shared" si="418"/>
        <v>1.6730005530561005</v>
      </c>
      <c r="CC427" s="169">
        <f>IFERROR(
  SUM(
    _xlfn.XLOOKUP(DATE(YEAR($A$1),1,1),$2:$2,427:427):
    _xlfn.XLOOKUP($A$1,$2:$2,427:427)
  )
 -SUM(
    _xlfn.XLOOKUP(DATE(YEAR($A$1)-1,1,1),$2:$2,427:427):
    _xlfn.XLOOKUP(EDATE($A$1,-12),$2:$2,427:427)
  ),"")</f>
        <v>-2.191532258064516</v>
      </c>
      <c r="CD427" s="4517">
        <f t="shared" si="416"/>
        <v>-3.838709677419355</v>
      </c>
      <c r="CE427" s="5459"/>
      <c r="CF427" s="5459"/>
    </row>
    <row r="428" spans="1:84" s="698" customFormat="1" ht="15.65" customHeight="1" x14ac:dyDescent="0.55000000000000004">
      <c r="A428" s="7348"/>
      <c r="B428" s="5480"/>
      <c r="C428" s="681" t="s">
        <v>227</v>
      </c>
      <c r="D428" s="5553">
        <v>9.7288135593220346</v>
      </c>
      <c r="E428" s="5554">
        <v>11.842105263157896</v>
      </c>
      <c r="F428" s="5554">
        <v>12.603448275862069</v>
      </c>
      <c r="G428" s="5554">
        <v>15.423728813559322</v>
      </c>
      <c r="H428" s="5554">
        <v>15.474576271186441</v>
      </c>
      <c r="I428" s="5554">
        <v>12.035714285714286</v>
      </c>
      <c r="J428" s="5554">
        <v>8.7636363636363637</v>
      </c>
      <c r="K428" s="5554">
        <v>11.735849056603774</v>
      </c>
      <c r="L428" s="5554">
        <v>7.784313725490196</v>
      </c>
      <c r="M428" s="5554">
        <v>10.686274509803921</v>
      </c>
      <c r="N428" s="5554">
        <v>9.4038461538461533</v>
      </c>
      <c r="O428" s="5554">
        <v>8.204081632653061</v>
      </c>
      <c r="P428" s="5554">
        <f t="shared" si="425"/>
        <v>133.68638791083552</v>
      </c>
      <c r="Q428" s="5555">
        <f t="shared" si="424"/>
        <v>11.14053232590296</v>
      </c>
      <c r="R428" s="5479"/>
      <c r="S428" s="5553">
        <v>9.1489361702127656</v>
      </c>
      <c r="T428" s="5554">
        <v>10.145833333333334</v>
      </c>
      <c r="U428" s="5554">
        <v>7.875</v>
      </c>
      <c r="V428" s="5554">
        <v>5.729166666666667</v>
      </c>
      <c r="W428" s="5554">
        <v>8.7727272727272734</v>
      </c>
      <c r="X428" s="5554">
        <v>6.8604651162790695</v>
      </c>
      <c r="Y428" s="5554">
        <v>6.8</v>
      </c>
      <c r="Z428" s="5554">
        <v>8.604651162790697</v>
      </c>
      <c r="AA428" s="5554">
        <v>7.8636363636363633</v>
      </c>
      <c r="AB428" s="5554">
        <v>9.5116279069767433</v>
      </c>
      <c r="AC428" s="5554">
        <v>9</v>
      </c>
      <c r="AD428" s="5554">
        <v>5.4444444444444446</v>
      </c>
      <c r="AE428" s="5554">
        <f t="shared" si="426"/>
        <v>95.756488437067347</v>
      </c>
      <c r="AF428" s="5555">
        <f t="shared" si="427"/>
        <v>7.9797073697556122</v>
      </c>
      <c r="AG428" s="5479"/>
      <c r="AH428" s="5553">
        <v>7.2765957446808507</v>
      </c>
      <c r="AI428" s="5554">
        <v>6.270833333333333</v>
      </c>
      <c r="AJ428" s="5554">
        <v>9.2916666666666661</v>
      </c>
      <c r="AK428" s="5554">
        <v>8.875</v>
      </c>
      <c r="AL428" s="5554">
        <v>8.1199999999999992</v>
      </c>
      <c r="AM428" s="5554">
        <v>10.25531914893617</v>
      </c>
      <c r="AN428" s="5556">
        <v>9.9583333333333339</v>
      </c>
      <c r="AO428" s="5576">
        <v>14.340425531914894</v>
      </c>
      <c r="AP428" s="5554">
        <v>15.042553191489361</v>
      </c>
      <c r="AQ428" s="5554">
        <v>14.770833333333334</v>
      </c>
      <c r="AR428" s="5482">
        <v>12.913043478260869</v>
      </c>
      <c r="AS428" s="5554">
        <v>12.760869565217391</v>
      </c>
      <c r="AT428" s="5554">
        <f t="shared" si="417"/>
        <v>129.87547332716622</v>
      </c>
      <c r="AU428" s="5555">
        <f t="shared" si="414"/>
        <v>10.822956110597184</v>
      </c>
      <c r="AW428" s="5553">
        <v>11.565217391304348</v>
      </c>
      <c r="AX428" s="5554">
        <v>13.086956521739131</v>
      </c>
      <c r="AY428" s="5554">
        <v>10.1875</v>
      </c>
      <c r="AZ428" s="5554">
        <v>9.9347826086956523</v>
      </c>
      <c r="BA428" s="5554">
        <v>23.522727272727273</v>
      </c>
      <c r="BB428" s="5554">
        <v>14.511111111111111</v>
      </c>
      <c r="BC428" s="5556">
        <v>14.022727272727273</v>
      </c>
      <c r="BD428" s="5576">
        <v>13.772727272727273</v>
      </c>
      <c r="BE428" s="5554">
        <v>14.116279069767442</v>
      </c>
      <c r="BF428" s="5554">
        <v>13.560975609756097</v>
      </c>
      <c r="BG428" s="5482">
        <v>12.116279069767442</v>
      </c>
      <c r="BH428" s="5554">
        <v>13</v>
      </c>
      <c r="BI428" s="5554">
        <f t="shared" si="408"/>
        <v>163.39728320032305</v>
      </c>
      <c r="BJ428" s="5555">
        <f t="shared" si="410"/>
        <v>13.616440266693587</v>
      </c>
      <c r="BL428" s="5553">
        <v>13.266666666666667</v>
      </c>
      <c r="BM428" s="5554">
        <v>9.3777777777777782</v>
      </c>
      <c r="BN428" s="5554"/>
      <c r="BO428" s="5554"/>
      <c r="BP428" s="5554"/>
      <c r="BQ428" s="5554"/>
      <c r="BR428" s="5556"/>
      <c r="BS428" s="5576"/>
      <c r="BT428" s="5554"/>
      <c r="BU428" s="5554"/>
      <c r="BV428" s="5482"/>
      <c r="BW428" s="5554"/>
      <c r="BX428" s="5554">
        <f t="shared" si="409"/>
        <v>22.644444444444446</v>
      </c>
      <c r="BY428" s="5483">
        <f t="shared" si="420"/>
        <v>11.322222222222223</v>
      </c>
      <c r="CA428" s="169">
        <f t="shared" si="415"/>
        <v>-3.7091787439613526</v>
      </c>
      <c r="CB428" s="169">
        <f t="shared" si="418"/>
        <v>2.7934841560964028</v>
      </c>
      <c r="CC428" s="169">
        <f>IFERROR(
  SUM(
    _xlfn.XLOOKUP(DATE(YEAR($A$1),1,1),$2:$2,428:428):
    _xlfn.XLOOKUP($A$1,$2:$2,428:428)
  )
 -SUM(
    _xlfn.XLOOKUP(DATE(YEAR($A$1)-1,1,1),$2:$2,428:428):
    _xlfn.XLOOKUP(EDATE($A$1,-12),$2:$2,428:428)
  ),"")</f>
        <v>-2.007729468599031</v>
      </c>
      <c r="CD428" s="4517">
        <f t="shared" si="416"/>
        <v>-3.8888888888888893</v>
      </c>
      <c r="CE428" s="5459"/>
      <c r="CF428" s="5459"/>
    </row>
    <row r="429" spans="1:84" s="698" customFormat="1" ht="15.65" customHeight="1" x14ac:dyDescent="0.55000000000000004">
      <c r="A429" s="7348"/>
      <c r="B429" s="5480"/>
      <c r="C429" s="804" t="s">
        <v>228</v>
      </c>
      <c r="D429" s="5557">
        <v>9.6551724137931032</v>
      </c>
      <c r="E429" s="5558">
        <v>10.793103448275861</v>
      </c>
      <c r="F429" s="5558">
        <v>12.090909090909092</v>
      </c>
      <c r="G429" s="5558">
        <v>14.357142857142858</v>
      </c>
      <c r="H429" s="5558">
        <v>12.446428571428571</v>
      </c>
      <c r="I429" s="5558">
        <v>11.351851851851851</v>
      </c>
      <c r="J429" s="5558">
        <v>8.8039215686274517</v>
      </c>
      <c r="K429" s="5558">
        <v>10.607843137254902</v>
      </c>
      <c r="L429" s="5558">
        <v>8.66</v>
      </c>
      <c r="M429" s="5558">
        <v>9.3529411764705888</v>
      </c>
      <c r="N429" s="5558">
        <v>7.6111111111111107</v>
      </c>
      <c r="O429" s="5558">
        <v>6.0769230769230766</v>
      </c>
      <c r="P429" s="5558">
        <f t="shared" si="425"/>
        <v>121.80734830378846</v>
      </c>
      <c r="Q429" s="5559">
        <f t="shared" si="424"/>
        <v>10.150612358649038</v>
      </c>
      <c r="R429" s="5479"/>
      <c r="S429" s="5557">
        <v>5.6727272727272728</v>
      </c>
      <c r="T429" s="5558">
        <v>6.7454545454545451</v>
      </c>
      <c r="U429" s="5558">
        <v>6.625</v>
      </c>
      <c r="V429" s="5558">
        <v>6.2884615384615383</v>
      </c>
      <c r="W429" s="5558">
        <v>8.7659574468085104</v>
      </c>
      <c r="X429" s="5558">
        <v>7.9361702127659575</v>
      </c>
      <c r="Y429" s="5558">
        <v>7.4489795918367347</v>
      </c>
      <c r="Z429" s="5558">
        <v>8.9565217391304355</v>
      </c>
      <c r="AA429" s="5558">
        <v>7</v>
      </c>
      <c r="AB429" s="5558">
        <v>7.7446808510638299</v>
      </c>
      <c r="AC429" s="5558">
        <v>8.8260869565217384</v>
      </c>
      <c r="AD429" s="5558">
        <v>5.2857142857142856</v>
      </c>
      <c r="AE429" s="5558">
        <f t="shared" si="426"/>
        <v>87.295754440484856</v>
      </c>
      <c r="AF429" s="5559">
        <f t="shared" si="427"/>
        <v>7.274646203373738</v>
      </c>
      <c r="AG429" s="5479"/>
      <c r="AH429" s="5557">
        <v>5.4727272727272727</v>
      </c>
      <c r="AI429" s="5558">
        <v>5.4727272727272727</v>
      </c>
      <c r="AJ429" s="5558">
        <v>7.1785714285714288</v>
      </c>
      <c r="AK429" s="5558">
        <v>6.9615384615384617</v>
      </c>
      <c r="AL429" s="5558">
        <v>12</v>
      </c>
      <c r="AM429" s="5558">
        <v>11.418604651162791</v>
      </c>
      <c r="AN429" s="5560">
        <v>13.341463414634147</v>
      </c>
      <c r="AO429" s="5577">
        <v>13.380952380952381</v>
      </c>
      <c r="AP429" s="5558">
        <v>11.25</v>
      </c>
      <c r="AQ429" s="5558">
        <v>13.581395348837209</v>
      </c>
      <c r="AR429" s="5485">
        <v>12.733333333333333</v>
      </c>
      <c r="AS429" s="5558">
        <v>12.244444444444444</v>
      </c>
      <c r="AT429" s="5558">
        <f t="shared" si="417"/>
        <v>125.03575800892874</v>
      </c>
      <c r="AU429" s="5559">
        <f t="shared" si="414"/>
        <v>10.419646500744062</v>
      </c>
      <c r="AW429" s="5557">
        <v>10.755555555555556</v>
      </c>
      <c r="AX429" s="5558">
        <v>15.466666666666667</v>
      </c>
      <c r="AY429" s="5558">
        <v>15.454545454545455</v>
      </c>
      <c r="AZ429" s="5558">
        <v>12.71111111111111</v>
      </c>
      <c r="BA429" s="5558">
        <v>24.906976744186046</v>
      </c>
      <c r="BB429" s="5558">
        <v>20.95</v>
      </c>
      <c r="BC429" s="5560">
        <v>17.511627906976745</v>
      </c>
      <c r="BD429" s="5577">
        <v>13.209302325581396</v>
      </c>
      <c r="BE429" s="5558">
        <v>14.333333333333334</v>
      </c>
      <c r="BF429" s="5558">
        <v>13.295454545454545</v>
      </c>
      <c r="BG429" s="5485">
        <v>12.375</v>
      </c>
      <c r="BH429" s="5558">
        <v>12.341463414634147</v>
      </c>
      <c r="BI429" s="5558">
        <f t="shared" si="408"/>
        <v>183.311037058045</v>
      </c>
      <c r="BJ429" s="5559">
        <f t="shared" si="410"/>
        <v>15.275919754837084</v>
      </c>
      <c r="BL429" s="5557">
        <v>17.399999999999999</v>
      </c>
      <c r="BM429" s="5558">
        <v>11.725</v>
      </c>
      <c r="BN429" s="5558"/>
      <c r="BO429" s="5558"/>
      <c r="BP429" s="5558"/>
      <c r="BQ429" s="5558"/>
      <c r="BR429" s="5560"/>
      <c r="BS429" s="5577"/>
      <c r="BT429" s="5558"/>
      <c r="BU429" s="5558"/>
      <c r="BV429" s="5485"/>
      <c r="BW429" s="5558"/>
      <c r="BX429" s="5558">
        <f t="shared" si="409"/>
        <v>29.125</v>
      </c>
      <c r="BY429" s="5486">
        <f t="shared" si="420"/>
        <v>14.5625</v>
      </c>
      <c r="CA429" s="169">
        <f t="shared" si="415"/>
        <v>-3.7416666666666671</v>
      </c>
      <c r="CB429" s="169">
        <f t="shared" si="418"/>
        <v>4.856273254093022</v>
      </c>
      <c r="CC429" s="169">
        <f>IFERROR(
  SUM(
    _xlfn.XLOOKUP(DATE(YEAR($A$1),1,1),$2:$2,429:429):
    _xlfn.XLOOKUP($A$1,$2:$2,429:429)
  )
 -SUM(
    _xlfn.XLOOKUP(DATE(YEAR($A$1)-1,1,1),$2:$2,429:429):
    _xlfn.XLOOKUP(EDATE($A$1,-12),$2:$2,429:429)
  ),"")</f>
        <v>2.9027777777777786</v>
      </c>
      <c r="CD429" s="4517">
        <f t="shared" si="416"/>
        <v>-5.6749999999999989</v>
      </c>
      <c r="CE429" s="5459"/>
      <c r="CF429" s="5459"/>
    </row>
    <row r="430" spans="1:84" s="698" customFormat="1" ht="15.65" customHeight="1" x14ac:dyDescent="0.55000000000000004">
      <c r="A430" s="7348"/>
      <c r="B430" s="5480"/>
      <c r="C430" s="681" t="s">
        <v>229</v>
      </c>
      <c r="D430" s="5553">
        <v>6.1111111111111107</v>
      </c>
      <c r="E430" s="5554">
        <v>5.725806451612903</v>
      </c>
      <c r="F430" s="5554">
        <v>6.546875</v>
      </c>
      <c r="G430" s="5554">
        <v>6.4242424242424239</v>
      </c>
      <c r="H430" s="5554">
        <v>7.1515151515151514</v>
      </c>
      <c r="I430" s="5554">
        <v>8.390625</v>
      </c>
      <c r="J430" s="5554">
        <v>7.645161290322581</v>
      </c>
      <c r="K430" s="5554">
        <v>7.9393939393939394</v>
      </c>
      <c r="L430" s="5554">
        <v>7.1230769230769226</v>
      </c>
      <c r="M430" s="5554">
        <v>6.9375</v>
      </c>
      <c r="N430" s="5554">
        <v>6.0634920634920633</v>
      </c>
      <c r="O430" s="5554">
        <v>4.484375</v>
      </c>
      <c r="P430" s="5554">
        <f t="shared" si="425"/>
        <v>80.543174354767089</v>
      </c>
      <c r="Q430" s="5555">
        <f t="shared" si="424"/>
        <v>6.7119311962305908</v>
      </c>
      <c r="R430" s="5479"/>
      <c r="S430" s="5553">
        <v>6.5166666666666666</v>
      </c>
      <c r="T430" s="5554">
        <v>7.278688524590164</v>
      </c>
      <c r="U430" s="5554">
        <v>7.145161290322581</v>
      </c>
      <c r="V430" s="5554">
        <v>6.65</v>
      </c>
      <c r="W430" s="5554">
        <v>9</v>
      </c>
      <c r="X430" s="5554">
        <v>6.9122807017543861</v>
      </c>
      <c r="Y430" s="5554">
        <v>6.225806451612903</v>
      </c>
      <c r="Z430" s="5554">
        <v>9.1864406779661021</v>
      </c>
      <c r="AA430" s="5554">
        <v>7.8644067796610173</v>
      </c>
      <c r="AB430" s="5554">
        <v>7.9482758620689653</v>
      </c>
      <c r="AC430" s="5554">
        <v>7.5636363636363635</v>
      </c>
      <c r="AD430" s="5554">
        <v>5.8888888888888893</v>
      </c>
      <c r="AE430" s="5554">
        <f t="shared" si="426"/>
        <v>88.180252207168039</v>
      </c>
      <c r="AF430" s="5555">
        <f t="shared" si="427"/>
        <v>7.3483543505973365</v>
      </c>
      <c r="AG430" s="5479"/>
      <c r="AH430" s="5553">
        <v>10.6</v>
      </c>
      <c r="AI430" s="5554">
        <v>8.9672131147540988</v>
      </c>
      <c r="AJ430" s="5554">
        <v>10.46774193548387</v>
      </c>
      <c r="AK430" s="5554">
        <v>10.033333333333333</v>
      </c>
      <c r="AL430" s="5554">
        <v>13.518518518518519</v>
      </c>
      <c r="AM430" s="5554">
        <v>11.018867924528301</v>
      </c>
      <c r="AN430" s="5556">
        <v>11.320754716981131</v>
      </c>
      <c r="AO430" s="5576">
        <v>9.615384615384615</v>
      </c>
      <c r="AP430" s="5554">
        <v>10.843137254901961</v>
      </c>
      <c r="AQ430" s="5554">
        <v>12.50909090909091</v>
      </c>
      <c r="AR430" s="5482">
        <v>13.333333333333334</v>
      </c>
      <c r="AS430" s="5554">
        <v>14.327586206896552</v>
      </c>
      <c r="AT430" s="5554">
        <f t="shared" si="417"/>
        <v>136.55496186320661</v>
      </c>
      <c r="AU430" s="5555">
        <f t="shared" si="414"/>
        <v>11.379580155267218</v>
      </c>
      <c r="AW430" s="5553">
        <v>12.655172413793103</v>
      </c>
      <c r="AX430" s="5554">
        <v>15.396551724137931</v>
      </c>
      <c r="AY430" s="5554">
        <v>13.862068965517242</v>
      </c>
      <c r="AZ430" s="5554">
        <v>18.90909090909091</v>
      </c>
      <c r="BA430" s="5554">
        <v>36.892857142857146</v>
      </c>
      <c r="BB430" s="5554">
        <v>38.796296296296298</v>
      </c>
      <c r="BC430" s="5556">
        <v>28.578947368421051</v>
      </c>
      <c r="BD430" s="5576">
        <v>19.086206896551722</v>
      </c>
      <c r="BE430" s="5554">
        <v>15.508474576271187</v>
      </c>
      <c r="BF430" s="5554">
        <v>17.636363636363637</v>
      </c>
      <c r="BG430" s="5482">
        <v>14.706896551724139</v>
      </c>
      <c r="BH430" s="5554">
        <v>13.473684210526315</v>
      </c>
      <c r="BI430" s="5554">
        <f t="shared" si="408"/>
        <v>245.50261069155067</v>
      </c>
      <c r="BJ430" s="5555">
        <f t="shared" si="410"/>
        <v>20.458550890962556</v>
      </c>
      <c r="BL430" s="5553">
        <v>14.24074074074074</v>
      </c>
      <c r="BM430" s="5554">
        <v>11.388888888888889</v>
      </c>
      <c r="BN430" s="5554"/>
      <c r="BO430" s="5554"/>
      <c r="BP430" s="5554"/>
      <c r="BQ430" s="5554"/>
      <c r="BR430" s="5556"/>
      <c r="BS430" s="5576"/>
      <c r="BT430" s="5554"/>
      <c r="BU430" s="5554"/>
      <c r="BV430" s="5482"/>
      <c r="BW430" s="5554"/>
      <c r="BX430" s="5554">
        <f t="shared" si="409"/>
        <v>25.62962962962963</v>
      </c>
      <c r="BY430" s="5483">
        <f t="shared" si="420"/>
        <v>12.814814814814815</v>
      </c>
      <c r="CA430" s="169">
        <f t="shared" si="415"/>
        <v>-4.0076628352490413</v>
      </c>
      <c r="CB430" s="169">
        <f t="shared" si="418"/>
        <v>9.0789707356953375</v>
      </c>
      <c r="CC430" s="169">
        <f>IFERROR(
  SUM(
    _xlfn.XLOOKUP(DATE(YEAR($A$1),1,1),$2:$2,430:430):
    _xlfn.XLOOKUP($A$1,$2:$2,430:430)
  )
 -SUM(
    _xlfn.XLOOKUP(DATE(YEAR($A$1)-1,1,1),$2:$2,430:430):
    _xlfn.XLOOKUP(EDATE($A$1,-12),$2:$2,430:430)
  ),"")</f>
        <v>-2.4220945083014023</v>
      </c>
      <c r="CD430" s="4517">
        <f t="shared" si="416"/>
        <v>-2.8518518518518512</v>
      </c>
      <c r="CE430" s="5459"/>
      <c r="CF430" s="5459"/>
    </row>
    <row r="431" spans="1:84" s="698" customFormat="1" ht="15.65" customHeight="1" x14ac:dyDescent="0.55000000000000004">
      <c r="A431" s="7348"/>
      <c r="B431" s="5480"/>
      <c r="C431" s="681" t="s">
        <v>230</v>
      </c>
      <c r="D431" s="5553">
        <v>8.6666666666666661</v>
      </c>
      <c r="E431" s="5554">
        <v>8.634615384615385</v>
      </c>
      <c r="F431" s="5554">
        <v>9.0399999999999991</v>
      </c>
      <c r="G431" s="5554">
        <v>9.36</v>
      </c>
      <c r="H431" s="5554">
        <v>9.9600000000000009</v>
      </c>
      <c r="I431" s="5554">
        <v>8.3800000000000008</v>
      </c>
      <c r="J431" s="5554">
        <v>5.615384615384615</v>
      </c>
      <c r="K431" s="5554">
        <v>7.384615384615385</v>
      </c>
      <c r="L431" s="5554">
        <v>5.3137254901960782</v>
      </c>
      <c r="M431" s="5554">
        <v>5.2352941176470589</v>
      </c>
      <c r="N431" s="5554">
        <v>4.416666666666667</v>
      </c>
      <c r="O431" s="5554">
        <v>2.2083333333333335</v>
      </c>
      <c r="P431" s="5554">
        <f t="shared" si="425"/>
        <v>84.215301659125188</v>
      </c>
      <c r="Q431" s="5555">
        <f t="shared" si="424"/>
        <v>7.0179418049270987</v>
      </c>
      <c r="R431" s="5479"/>
      <c r="S431" s="5553">
        <v>4.1555555555555559</v>
      </c>
      <c r="T431" s="5554">
        <v>4.9555555555555557</v>
      </c>
      <c r="U431" s="5554">
        <v>4.5</v>
      </c>
      <c r="V431" s="5554">
        <v>5.2727272727272725</v>
      </c>
      <c r="W431" s="5554">
        <v>7.0444444444444443</v>
      </c>
      <c r="X431" s="5554">
        <v>6.6888888888888891</v>
      </c>
      <c r="Y431" s="5554">
        <v>5.0454545454545459</v>
      </c>
      <c r="Z431" s="5554">
        <v>6.5227272727272725</v>
      </c>
      <c r="AA431" s="5554">
        <v>5.5348837209302326</v>
      </c>
      <c r="AB431" s="5554">
        <v>7.9534883720930232</v>
      </c>
      <c r="AC431" s="5554">
        <v>6.6</v>
      </c>
      <c r="AD431" s="5554">
        <v>4.5</v>
      </c>
      <c r="AE431" s="5554">
        <f t="shared" si="426"/>
        <v>68.773725628376781</v>
      </c>
      <c r="AF431" s="5555">
        <f t="shared" si="427"/>
        <v>5.7311438023647314</v>
      </c>
      <c r="AG431" s="5479"/>
      <c r="AH431" s="5553">
        <v>6.4888888888888889</v>
      </c>
      <c r="AI431" s="5554">
        <v>6.8666666666666663</v>
      </c>
      <c r="AJ431" s="5554">
        <v>6.4347826086956523</v>
      </c>
      <c r="AK431" s="5554">
        <v>6.5909090909090908</v>
      </c>
      <c r="AL431" s="5554">
        <v>6.9047619047619051</v>
      </c>
      <c r="AM431" s="5554">
        <v>6.2857142857142856</v>
      </c>
      <c r="AN431" s="5556">
        <v>7.1</v>
      </c>
      <c r="AO431" s="5576">
        <v>8.4878048780487809</v>
      </c>
      <c r="AP431" s="5554">
        <v>7.333333333333333</v>
      </c>
      <c r="AQ431" s="5554">
        <v>7.6904761904761907</v>
      </c>
      <c r="AR431" s="5482">
        <v>8.4761904761904763</v>
      </c>
      <c r="AS431" s="5554">
        <v>6.975609756097561</v>
      </c>
      <c r="AT431" s="5554">
        <f t="shared" si="417"/>
        <v>85.635138079782834</v>
      </c>
      <c r="AU431" s="5555">
        <f t="shared" si="414"/>
        <v>7.1362615066485695</v>
      </c>
      <c r="AW431" s="5553">
        <v>7.6829268292682924</v>
      </c>
      <c r="AX431" s="5554">
        <v>9.4146341463414629</v>
      </c>
      <c r="AY431" s="5554">
        <v>8.6904761904761898</v>
      </c>
      <c r="AZ431" s="5554">
        <v>8.4047619047619051</v>
      </c>
      <c r="BA431" s="5554">
        <v>18.523809523809526</v>
      </c>
      <c r="BB431" s="5554">
        <v>15.102564102564102</v>
      </c>
      <c r="BC431" s="5556">
        <v>12.425000000000001</v>
      </c>
      <c r="BD431" s="5576">
        <v>7.7</v>
      </c>
      <c r="BE431" s="5554">
        <v>8.1860465116279073</v>
      </c>
      <c r="BF431" s="5554">
        <v>9.463414634146341</v>
      </c>
      <c r="BG431" s="5482">
        <v>10.285714285714286</v>
      </c>
      <c r="BH431" s="5554">
        <v>10</v>
      </c>
      <c r="BI431" s="5554">
        <f t="shared" si="408"/>
        <v>125.87934812871003</v>
      </c>
      <c r="BJ431" s="5555">
        <f t="shared" si="410"/>
        <v>10.489945677392503</v>
      </c>
      <c r="BL431" s="5553">
        <v>12.365853658536585</v>
      </c>
      <c r="BM431" s="5554">
        <v>5.9024390243902438</v>
      </c>
      <c r="BN431" s="5554"/>
      <c r="BO431" s="5554"/>
      <c r="BP431" s="5554"/>
      <c r="BQ431" s="5554"/>
      <c r="BR431" s="5556"/>
      <c r="BS431" s="5576"/>
      <c r="BT431" s="5554"/>
      <c r="BU431" s="5554"/>
      <c r="BV431" s="5482"/>
      <c r="BW431" s="5554"/>
      <c r="BX431" s="5554">
        <f t="shared" si="409"/>
        <v>18.268292682926827</v>
      </c>
      <c r="BY431" s="5483">
        <f t="shared" si="420"/>
        <v>9.1341463414634134</v>
      </c>
      <c r="CA431" s="169">
        <f t="shared" si="415"/>
        <v>-3.5121951219512191</v>
      </c>
      <c r="CB431" s="169">
        <f t="shared" si="418"/>
        <v>3.353684170743934</v>
      </c>
      <c r="CC431" s="169">
        <f>IFERROR(
  SUM(
    _xlfn.XLOOKUP(DATE(YEAR($A$1),1,1),$2:$2,431:431):
    _xlfn.XLOOKUP($A$1,$2:$2,431:431)
  )
 -SUM(
    _xlfn.XLOOKUP(DATE(YEAR($A$1)-1,1,1),$2:$2,431:431):
    _xlfn.XLOOKUP(EDATE($A$1,-12),$2:$2,431:431)
  ),"")</f>
        <v>1.1707317073170707</v>
      </c>
      <c r="CD431" s="4517">
        <f t="shared" si="416"/>
        <v>-6.463414634146341</v>
      </c>
      <c r="CE431" s="5459"/>
      <c r="CF431" s="5459"/>
    </row>
    <row r="432" spans="1:84" s="698" customFormat="1" ht="15.65" customHeight="1" x14ac:dyDescent="0.55000000000000004">
      <c r="A432" s="7348"/>
      <c r="B432" s="5480"/>
      <c r="C432" s="804" t="s">
        <v>231</v>
      </c>
      <c r="D432" s="5557">
        <v>8.5294117647058822</v>
      </c>
      <c r="E432" s="5558">
        <v>8.32</v>
      </c>
      <c r="F432" s="5558">
        <v>7.4693877551020407</v>
      </c>
      <c r="G432" s="5558">
        <v>11.695652173913043</v>
      </c>
      <c r="H432" s="5558">
        <v>10.565217391304348</v>
      </c>
      <c r="I432" s="5558">
        <v>9.2826086956521738</v>
      </c>
      <c r="J432" s="5558">
        <v>6.1875</v>
      </c>
      <c r="K432" s="5558">
        <v>8.9795918367346932</v>
      </c>
      <c r="L432" s="5558">
        <v>6.6734693877551017</v>
      </c>
      <c r="M432" s="5558">
        <v>7</v>
      </c>
      <c r="N432" s="5558">
        <v>7.2553191489361701</v>
      </c>
      <c r="O432" s="5558">
        <v>8.2244897959183678</v>
      </c>
      <c r="P432" s="5558">
        <f t="shared" si="425"/>
        <v>100.18264795002183</v>
      </c>
      <c r="Q432" s="5559">
        <f t="shared" si="424"/>
        <v>8.348553995835152</v>
      </c>
      <c r="R432" s="5479"/>
      <c r="S432" s="5557">
        <v>6.72</v>
      </c>
      <c r="T432" s="5558">
        <v>10.34</v>
      </c>
      <c r="U432" s="5558">
        <v>9.6808510638297864</v>
      </c>
      <c r="V432" s="5558">
        <v>8.7291666666666661</v>
      </c>
      <c r="W432" s="5558">
        <v>10.8125</v>
      </c>
      <c r="X432" s="5558">
        <v>9.954545454545455</v>
      </c>
      <c r="Y432" s="5558">
        <v>7.7045454545454541</v>
      </c>
      <c r="Z432" s="5558">
        <v>13.523809523809524</v>
      </c>
      <c r="AA432" s="5558">
        <v>10.666666666666666</v>
      </c>
      <c r="AB432" s="5558">
        <v>10.977777777777778</v>
      </c>
      <c r="AC432" s="5558">
        <v>9.8666666666666671</v>
      </c>
      <c r="AD432" s="5558">
        <v>7.0217391304347823</v>
      </c>
      <c r="AE432" s="5558">
        <f t="shared" si="426"/>
        <v>115.99826840494276</v>
      </c>
      <c r="AF432" s="5559">
        <f t="shared" si="427"/>
        <v>9.6665223670785636</v>
      </c>
      <c r="AG432" s="5479"/>
      <c r="AH432" s="5557">
        <v>9.44</v>
      </c>
      <c r="AI432" s="5558">
        <v>7.54</v>
      </c>
      <c r="AJ432" s="5558">
        <v>8.085106382978724</v>
      </c>
      <c r="AK432" s="5558">
        <v>8.6875</v>
      </c>
      <c r="AL432" s="5558">
        <v>11.227272727272727</v>
      </c>
      <c r="AM432" s="5558">
        <v>9.6444444444444439</v>
      </c>
      <c r="AN432" s="5560">
        <v>11.452380952380953</v>
      </c>
      <c r="AO432" s="5577">
        <v>7.5681818181818183</v>
      </c>
      <c r="AP432" s="5558">
        <v>8.8139534883720927</v>
      </c>
      <c r="AQ432" s="5558">
        <v>10.595238095238095</v>
      </c>
      <c r="AR432" s="5485">
        <v>12.391304347826088</v>
      </c>
      <c r="AS432" s="5558">
        <v>10.826086956521738</v>
      </c>
      <c r="AT432" s="5558">
        <f t="shared" si="417"/>
        <v>116.27146921321669</v>
      </c>
      <c r="AU432" s="5559">
        <f t="shared" si="414"/>
        <v>9.6892891011013909</v>
      </c>
      <c r="AW432" s="5557">
        <v>10.326086956521738</v>
      </c>
      <c r="AX432" s="5558">
        <v>13.173913043478262</v>
      </c>
      <c r="AY432" s="5558">
        <v>12.86046511627907</v>
      </c>
      <c r="AZ432" s="5558">
        <v>12.113636363636363</v>
      </c>
      <c r="BA432" s="5558">
        <v>23.292682926829269</v>
      </c>
      <c r="BB432" s="5558">
        <v>15.6</v>
      </c>
      <c r="BC432" s="5560">
        <v>18.102564102564102</v>
      </c>
      <c r="BD432" s="5577">
        <v>10.105263157894736</v>
      </c>
      <c r="BE432" s="5558">
        <v>15.03125</v>
      </c>
      <c r="BF432" s="5558">
        <v>12.878787878787879</v>
      </c>
      <c r="BG432" s="5485">
        <v>12.23076923076923</v>
      </c>
      <c r="BH432" s="5558">
        <v>10.512195121951219</v>
      </c>
      <c r="BI432" s="5558">
        <f t="shared" si="408"/>
        <v>166.22761389871187</v>
      </c>
      <c r="BJ432" s="5559">
        <f t="shared" si="410"/>
        <v>13.852301158225989</v>
      </c>
      <c r="BL432" s="5557">
        <v>11.179487179487179</v>
      </c>
      <c r="BM432" s="5558">
        <v>11.256410256410257</v>
      </c>
      <c r="BN432" s="5558"/>
      <c r="BO432" s="5558"/>
      <c r="BP432" s="5558"/>
      <c r="BQ432" s="5558"/>
      <c r="BR432" s="5560"/>
      <c r="BS432" s="5577"/>
      <c r="BT432" s="5558"/>
      <c r="BU432" s="5558"/>
      <c r="BV432" s="5485"/>
      <c r="BW432" s="5558"/>
      <c r="BX432" s="5558">
        <f t="shared" si="409"/>
        <v>22.435897435897438</v>
      </c>
      <c r="BY432" s="5486">
        <f t="shared" si="420"/>
        <v>11.217948717948719</v>
      </c>
      <c r="CA432" s="169">
        <f t="shared" si="415"/>
        <v>-1.9175027870680044</v>
      </c>
      <c r="CB432" s="169">
        <f t="shared" si="418"/>
        <v>4.1630120571245985</v>
      </c>
      <c r="CC432" s="169">
        <f>IFERROR(
  SUM(
    _xlfn.XLOOKUP(DATE(YEAR($A$1),1,1),$2:$2,432:432):
    _xlfn.XLOOKUP($A$1,$2:$2,432:432)
  )
 -SUM(
    _xlfn.XLOOKUP(DATE(YEAR($A$1)-1,1,1),$2:$2,432:432):
    _xlfn.XLOOKUP(EDATE($A$1,-12),$2:$2,432:432)
  ),"")</f>
        <v>-1.0641025641025621</v>
      </c>
      <c r="CD432" s="4517">
        <f t="shared" si="416"/>
        <v>7.6923076923078426E-2</v>
      </c>
      <c r="CE432" s="5459"/>
      <c r="CF432" s="5459"/>
    </row>
    <row r="433" spans="1:84" s="698" customFormat="1" ht="16.3" customHeight="1" thickBot="1" x14ac:dyDescent="0.6">
      <c r="A433" s="7389"/>
      <c r="B433" s="5491"/>
      <c r="C433" s="5492" t="s">
        <v>232</v>
      </c>
      <c r="D433" s="5567">
        <v>6.770833333333333</v>
      </c>
      <c r="E433" s="5568">
        <v>7.5909090909090908</v>
      </c>
      <c r="F433" s="5568">
        <v>7.2666666666666666</v>
      </c>
      <c r="G433" s="5568">
        <v>7.4318181818181817</v>
      </c>
      <c r="H433" s="5568">
        <v>8.6136363636363633</v>
      </c>
      <c r="I433" s="5568">
        <v>9.0888888888888886</v>
      </c>
      <c r="J433" s="5568">
        <v>6.291666666666667</v>
      </c>
      <c r="K433" s="5568">
        <v>5.875</v>
      </c>
      <c r="L433" s="5568">
        <v>6.8</v>
      </c>
      <c r="M433" s="5568">
        <v>6.5434782608695654</v>
      </c>
      <c r="N433" s="5568">
        <v>6.8444444444444441</v>
      </c>
      <c r="O433" s="5568">
        <v>4.1521739130434785</v>
      </c>
      <c r="P433" s="5568">
        <f t="shared" si="425"/>
        <v>83.269515810276687</v>
      </c>
      <c r="Q433" s="5569">
        <f t="shared" si="424"/>
        <v>6.9391263175230575</v>
      </c>
      <c r="R433" s="5479"/>
      <c r="S433" s="5567">
        <v>6.2558139534883717</v>
      </c>
      <c r="T433" s="5568">
        <v>4.9534883720930232</v>
      </c>
      <c r="U433" s="5568">
        <v>5.6190476190476186</v>
      </c>
      <c r="V433" s="5568">
        <v>5.3095238095238093</v>
      </c>
      <c r="W433" s="5568">
        <v>5.8409090909090908</v>
      </c>
      <c r="X433" s="5568">
        <v>3.8372093023255816</v>
      </c>
      <c r="Y433" s="5568">
        <v>4.9761904761904763</v>
      </c>
      <c r="Z433" s="5568">
        <v>5.9</v>
      </c>
      <c r="AA433" s="5568">
        <v>4.6749999999999998</v>
      </c>
      <c r="AB433" s="5568">
        <v>5.8</v>
      </c>
      <c r="AC433" s="5568">
        <v>5.4761904761904763</v>
      </c>
      <c r="AD433" s="5568">
        <v>4.3658536585365857</v>
      </c>
      <c r="AE433" s="5568">
        <f t="shared" si="426"/>
        <v>63.009226758305026</v>
      </c>
      <c r="AF433" s="5569">
        <f t="shared" si="427"/>
        <v>5.2507688965254191</v>
      </c>
      <c r="AG433" s="5479"/>
      <c r="AH433" s="5567">
        <v>6.4883720930232558</v>
      </c>
      <c r="AI433" s="5568">
        <v>5.4186046511627906</v>
      </c>
      <c r="AJ433" s="5568">
        <v>6.4523809523809526</v>
      </c>
      <c r="AK433" s="5568">
        <v>6.2380952380952381</v>
      </c>
      <c r="AL433" s="5568">
        <v>6.1111111111111107</v>
      </c>
      <c r="AM433" s="5568">
        <v>6.7142857142857144</v>
      </c>
      <c r="AN433" s="5570">
        <v>7.5294117647058822</v>
      </c>
      <c r="AO433" s="5578">
        <v>7.2857142857142856</v>
      </c>
      <c r="AP433" s="5568">
        <v>7.25</v>
      </c>
      <c r="AQ433" s="5568">
        <v>9.9428571428571431</v>
      </c>
      <c r="AR433" s="5494">
        <v>11.657142857142857</v>
      </c>
      <c r="AS433" s="5568">
        <v>10.558823529411764</v>
      </c>
      <c r="AT433" s="5568">
        <f t="shared" si="417"/>
        <v>91.64679933989099</v>
      </c>
      <c r="AU433" s="5569">
        <f t="shared" si="414"/>
        <v>7.6372332783242491</v>
      </c>
      <c r="AW433" s="5567">
        <v>10.117647058823529</v>
      </c>
      <c r="AX433" s="5568">
        <v>13.735294117647058</v>
      </c>
      <c r="AY433" s="5568">
        <v>11</v>
      </c>
      <c r="AZ433" s="5568">
        <v>12.484848484848484</v>
      </c>
      <c r="BA433" s="5568">
        <v>13.823529411764707</v>
      </c>
      <c r="BB433" s="5568">
        <v>12.548387096774194</v>
      </c>
      <c r="BC433" s="5570">
        <v>13.793103448275861</v>
      </c>
      <c r="BD433" s="5578">
        <v>12.107142857142858</v>
      </c>
      <c r="BE433" s="5568">
        <v>12.928571428571429</v>
      </c>
      <c r="BF433" s="5568">
        <v>8.8484848484848477</v>
      </c>
      <c r="BG433" s="5494">
        <v>8.875</v>
      </c>
      <c r="BH433" s="5568">
        <v>8.84375</v>
      </c>
      <c r="BI433" s="5568">
        <f t="shared" si="408"/>
        <v>139.10575875233297</v>
      </c>
      <c r="BJ433" s="5569">
        <f t="shared" si="410"/>
        <v>11.592146562694415</v>
      </c>
      <c r="BL433" s="5567">
        <v>9.5625</v>
      </c>
      <c r="BM433" s="5568">
        <v>6.46875</v>
      </c>
      <c r="BN433" s="5568"/>
      <c r="BO433" s="5568"/>
      <c r="BP433" s="5568"/>
      <c r="BQ433" s="5568"/>
      <c r="BR433" s="5570"/>
      <c r="BS433" s="5578"/>
      <c r="BT433" s="5568"/>
      <c r="BU433" s="5568"/>
      <c r="BV433" s="5494"/>
      <c r="BW433" s="5568"/>
      <c r="BX433" s="5568">
        <f t="shared" si="409"/>
        <v>16.03125</v>
      </c>
      <c r="BY433" s="5495">
        <f t="shared" si="420"/>
        <v>8.015625</v>
      </c>
      <c r="CA433" s="169">
        <f t="shared" si="415"/>
        <v>-7.266544117647058</v>
      </c>
      <c r="CB433" s="169">
        <f t="shared" si="418"/>
        <v>3.954913284370166</v>
      </c>
      <c r="CC433" s="169">
        <f>IFERROR(
  SUM(
    _xlfn.XLOOKUP(DATE(YEAR($A$1),1,1),$2:$2,433:433):
    _xlfn.XLOOKUP($A$1,$2:$2,433:433)
  )
 -SUM(
    _xlfn.XLOOKUP(DATE(YEAR($A$1)-1,1,1),$2:$2,433:433):
    _xlfn.XLOOKUP(EDATE($A$1,-12),$2:$2,433:433)
  ),"")</f>
        <v>-7.821691176470587</v>
      </c>
      <c r="CD433" s="4517">
        <f t="shared" si="416"/>
        <v>-3.09375</v>
      </c>
      <c r="CE433" s="5459"/>
      <c r="CF433" s="5459"/>
    </row>
  </sheetData>
  <mergeCells count="21">
    <mergeCell ref="A386:A401"/>
    <mergeCell ref="A369:A384"/>
    <mergeCell ref="A402:A417"/>
    <mergeCell ref="A418:A433"/>
    <mergeCell ref="A208:A239"/>
    <mergeCell ref="A240:A271"/>
    <mergeCell ref="A272:A303"/>
    <mergeCell ref="A304:A335"/>
    <mergeCell ref="A337:A352"/>
    <mergeCell ref="A353:A368"/>
    <mergeCell ref="A4:A22"/>
    <mergeCell ref="A23:A41"/>
    <mergeCell ref="A42:A60"/>
    <mergeCell ref="A61:A79"/>
    <mergeCell ref="A81:A99"/>
    <mergeCell ref="A188:A203"/>
    <mergeCell ref="A100:A118"/>
    <mergeCell ref="A119:A137"/>
    <mergeCell ref="A139:A154"/>
    <mergeCell ref="A155:A170"/>
    <mergeCell ref="A172:A187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DBB8-5285-4EFA-8B1F-6B9993E3ED18}">
  <sheetPr codeName="Sheet15">
    <pageSetUpPr fitToPage="1"/>
  </sheetPr>
  <dimension ref="A1:BF116"/>
  <sheetViews>
    <sheetView showGridLines="0" view="pageBreakPreview" topLeftCell="A47" zoomScale="55" zoomScaleNormal="100" zoomScaleSheetLayoutView="55" workbookViewId="0">
      <selection activeCell="L57" sqref="L57"/>
    </sheetView>
  </sheetViews>
  <sheetFormatPr defaultColWidth="9.140625" defaultRowHeight="15" outlineLevelCol="1" x14ac:dyDescent="0.55000000000000004"/>
  <cols>
    <col min="1" max="1" width="11.42578125" style="559" customWidth="1"/>
    <col min="2" max="2" width="9.140625" style="559"/>
    <col min="3" max="5" width="9.92578125" style="559" customWidth="1"/>
    <col min="6" max="6" width="9.42578125" style="559" customWidth="1"/>
    <col min="7" max="10" width="9.42578125" style="559" customWidth="1" outlineLevel="1"/>
    <col min="11" max="11" width="9.92578125" style="559" customWidth="1"/>
    <col min="12" max="13" width="9.7109375" style="559" customWidth="1" outlineLevel="1"/>
    <col min="14" max="15" width="10.2109375" style="1860" customWidth="1"/>
    <col min="16" max="16" width="10.5" style="1860" customWidth="1"/>
    <col min="17" max="19" width="8.0703125" style="559" customWidth="1"/>
    <col min="20" max="21" width="8.5703125" style="559" customWidth="1"/>
    <col min="22" max="24" width="8.35546875" style="559" customWidth="1"/>
    <col min="25" max="27" width="8.85546875" style="559" customWidth="1"/>
    <col min="28" max="28" width="7.42578125" style="1862" customWidth="1"/>
    <col min="29" max="30" width="7.42578125" style="1863" customWidth="1"/>
    <col min="31" max="16384" width="9.140625" style="559"/>
  </cols>
  <sheetData>
    <row r="1" spans="1:58" s="1854" customFormat="1" x14ac:dyDescent="0.55000000000000004">
      <c r="D1" s="1856" t="s">
        <v>449</v>
      </c>
      <c r="E1" s="1856" t="s">
        <v>814</v>
      </c>
      <c r="F1" s="1856" t="s">
        <v>446</v>
      </c>
      <c r="G1" s="1856" t="s">
        <v>447</v>
      </c>
      <c r="H1" s="1856" t="s">
        <v>448</v>
      </c>
      <c r="I1" s="1856" t="s">
        <v>451</v>
      </c>
      <c r="J1" s="1856" t="s">
        <v>851</v>
      </c>
      <c r="K1" s="1856" t="s">
        <v>814</v>
      </c>
      <c r="L1" s="1856" t="s">
        <v>743</v>
      </c>
      <c r="M1" s="1856" t="s">
        <v>815</v>
      </c>
      <c r="N1" s="1857" t="s">
        <v>815</v>
      </c>
      <c r="O1" s="1857" t="s">
        <v>815</v>
      </c>
      <c r="P1" s="1855"/>
      <c r="Q1" s="1856"/>
      <c r="R1" s="1856"/>
      <c r="S1" s="1855"/>
      <c r="T1" s="1856"/>
      <c r="U1" s="1856"/>
      <c r="V1" s="1855"/>
      <c r="AB1" s="1858" t="s">
        <v>512</v>
      </c>
      <c r="AC1" s="1858" t="s">
        <v>512</v>
      </c>
      <c r="AD1" s="1858" t="s">
        <v>512</v>
      </c>
    </row>
    <row r="2" spans="1:58" ht="15.45" thickBot="1" x14ac:dyDescent="0.6">
      <c r="C2" s="1859"/>
      <c r="D2" s="1859"/>
      <c r="E2" s="1859"/>
      <c r="F2" s="1856" t="s">
        <v>446</v>
      </c>
      <c r="G2" s="1856" t="s">
        <v>447</v>
      </c>
      <c r="H2" s="1856" t="s">
        <v>448</v>
      </c>
      <c r="I2" s="1856" t="s">
        <v>451</v>
      </c>
      <c r="J2" s="1856" t="s">
        <v>851</v>
      </c>
      <c r="K2" s="1859"/>
      <c r="L2" s="1856" t="s">
        <v>743</v>
      </c>
      <c r="M2" s="1856" t="s">
        <v>815</v>
      </c>
      <c r="AB2" s="1861" t="s">
        <v>513</v>
      </c>
      <c r="AC2" s="1861" t="s">
        <v>514</v>
      </c>
      <c r="AD2" s="1861" t="s">
        <v>515</v>
      </c>
    </row>
    <row r="3" spans="1:58" ht="60" customHeight="1" thickTop="1" thickBot="1" x14ac:dyDescent="0.6">
      <c r="A3" s="7061" t="s">
        <v>840</v>
      </c>
      <c r="B3" s="7061"/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7061"/>
      <c r="U3" s="7061"/>
      <c r="V3" s="7061"/>
      <c r="W3" s="7061"/>
      <c r="X3" s="7094"/>
      <c r="Y3" s="7094"/>
      <c r="Z3" s="7094"/>
      <c r="AA3" s="7094"/>
    </row>
    <row r="4" spans="1:58" s="561" customFormat="1" ht="15.55" customHeight="1" thickTop="1" thickBot="1" x14ac:dyDescent="0.6">
      <c r="A4" s="564"/>
      <c r="B4" s="845"/>
      <c r="C4" s="845"/>
      <c r="D4" s="845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AC4" s="562"/>
      <c r="AE4" s="562"/>
      <c r="AF4" s="562"/>
      <c r="AG4" s="563"/>
      <c r="AI4" s="562"/>
      <c r="AJ4" s="563"/>
      <c r="BB4" s="566"/>
      <c r="BC4" s="566"/>
      <c r="BD4" s="566"/>
      <c r="BE4" s="566"/>
      <c r="BF4" s="566"/>
    </row>
    <row r="5" spans="1:58" ht="18.55" customHeight="1" thickTop="1" thickBot="1" x14ac:dyDescent="0.6">
      <c r="A5" s="594"/>
      <c r="B5" s="1506"/>
      <c r="C5" s="1506"/>
      <c r="D5" s="1506"/>
      <c r="E5" s="1506"/>
      <c r="F5" s="7062" t="s">
        <v>1050</v>
      </c>
      <c r="G5" s="7063"/>
      <c r="H5" s="7063"/>
      <c r="I5" s="7063"/>
      <c r="J5" s="7419"/>
      <c r="K5" s="1506"/>
      <c r="L5" s="7400" t="s">
        <v>1159</v>
      </c>
      <c r="M5" s="7063"/>
      <c r="N5" s="7063"/>
      <c r="O5" s="7063"/>
      <c r="P5" s="7401"/>
      <c r="Q5" s="7396" t="s">
        <v>241</v>
      </c>
      <c r="R5" s="7396"/>
      <c r="S5" s="7396"/>
      <c r="T5" s="7409" t="s">
        <v>256</v>
      </c>
      <c r="U5" s="7428"/>
      <c r="V5" s="7409" t="str">
        <f>"생산성 월평균(~"&amp;MONTH('※ 팀별 작성_인프라_인력'!A1)&amp;"월)"</f>
        <v>생산성 월평균(~2월)</v>
      </c>
      <c r="W5" s="7059"/>
      <c r="X5" s="7059"/>
      <c r="Y5" s="7059"/>
      <c r="Z5" s="7059"/>
      <c r="AA5" s="7060"/>
    </row>
    <row r="6" spans="1:58" ht="17.149999999999999" thickTop="1" thickBot="1" x14ac:dyDescent="0.6">
      <c r="A6" s="7410" t="s">
        <v>124</v>
      </c>
      <c r="B6" s="7411"/>
      <c r="C6" s="7412"/>
      <c r="D6" s="6246" t="s">
        <v>829</v>
      </c>
      <c r="E6" s="6246" t="s">
        <v>1213</v>
      </c>
      <c r="F6" s="1154" t="str" cm="1">
        <f t="array" aca="1" ref="F6" ca="1">INDIRECT("'※ 팀별 작성_인프라_인력'!"&amp;F$2&amp;$AB6, TRUE)</f>
        <v>'25.2월</v>
      </c>
      <c r="G6" s="1155" t="str" cm="1">
        <f t="array" aca="1" ref="G6" ca="1">INDIRECT("'※ 팀별 작성_인프라_인력'!"&amp;G$2&amp;$AB6, TRUE)</f>
        <v>'25.3월</v>
      </c>
      <c r="H6" s="1155" t="str" cm="1">
        <f t="array" aca="1" ref="H6" ca="1">INDIRECT("'※ 팀별 작성_인프라_인력'!"&amp;H$2&amp;$AB6, TRUE)</f>
        <v>'25.4월</v>
      </c>
      <c r="I6" s="1155" t="str" cm="1">
        <f t="array" aca="1" ref="I6" ca="1">INDIRECT("'※ 팀별 작성_인프라_인력'!"&amp;I$2&amp;$AB6, TRUE)</f>
        <v>'25.5월</v>
      </c>
      <c r="J6" s="6257" t="str" cm="1">
        <f t="array" aca="1" ref="J6" ca="1">INDIRECT("'※ 팀별 작성_인프라_인력'!"&amp;J$2&amp;$AB6, TRUE)</f>
        <v>'25.6월</v>
      </c>
      <c r="K6" s="6245" t="s">
        <v>1213</v>
      </c>
      <c r="L6" s="6303" t="str" cm="1">
        <f t="array" aca="1" ref="L6" ca="1">INDIRECT("'※ 팀별 작성_인프라_인력'!"&amp;L$2&amp;$AB6, TRUE)</f>
        <v>'26.1월</v>
      </c>
      <c r="M6" s="1155" t="str" cm="1">
        <f t="array" aca="1" ref="M6" ca="1">INDIRECT("'※ 팀별 작성_인프라_인력'!"&amp;M$2&amp;$AB6, TRUE)</f>
        <v>'26.2월</v>
      </c>
      <c r="N6" s="1864" t="s">
        <v>234</v>
      </c>
      <c r="O6" s="1865" t="s">
        <v>235</v>
      </c>
      <c r="P6" s="1866" t="s">
        <v>50</v>
      </c>
      <c r="Q6" s="1867" t="s">
        <v>234</v>
      </c>
      <c r="R6" s="1867" t="s">
        <v>235</v>
      </c>
      <c r="S6" s="1867" t="s">
        <v>50</v>
      </c>
      <c r="T6" s="1868" t="s">
        <v>254</v>
      </c>
      <c r="U6" s="1869" t="s">
        <v>255</v>
      </c>
      <c r="V6" s="1870" t="s">
        <v>246</v>
      </c>
      <c r="W6" s="1157" t="s">
        <v>248</v>
      </c>
      <c r="X6" s="1871" t="s">
        <v>11</v>
      </c>
      <c r="Y6" s="1872" t="s">
        <v>247</v>
      </c>
      <c r="Z6" s="1157" t="s">
        <v>248</v>
      </c>
      <c r="AA6" s="1873" t="s">
        <v>11</v>
      </c>
      <c r="AB6" s="1874">
        <f>ROW('※ 팀별 작성_인프라_인력'!AH3)</f>
        <v>3</v>
      </c>
    </row>
    <row r="7" spans="1:58" ht="17.399999999999999" customHeight="1" x14ac:dyDescent="0.55000000000000004">
      <c r="A7" s="7385" t="s">
        <v>236</v>
      </c>
      <c r="B7" s="857" t="s">
        <v>242</v>
      </c>
      <c r="C7" s="857"/>
      <c r="D7" s="1875">
        <f ca="1">SUM(D8:D10)</f>
        <v>266.16666666666663</v>
      </c>
      <c r="E7" s="1875">
        <f ca="1">SUM(E8:E10)</f>
        <v>257</v>
      </c>
      <c r="F7" s="1876">
        <f t="shared" ref="F7" ca="1" si="0">SUM(F8:F10)</f>
        <v>269</v>
      </c>
      <c r="G7" s="1877">
        <f t="shared" ref="G7:N7" ca="1" si="1">SUM(G8:G10)</f>
        <v>262</v>
      </c>
      <c r="H7" s="1877">
        <f t="shared" ca="1" si="1"/>
        <v>258</v>
      </c>
      <c r="I7" s="1877">
        <f t="shared" ca="1" si="1"/>
        <v>257</v>
      </c>
      <c r="J7" s="1877">
        <f t="shared" ca="1" si="1"/>
        <v>252</v>
      </c>
      <c r="K7" s="1875">
        <f ca="1">SUM(K8:K10)</f>
        <v>257</v>
      </c>
      <c r="L7" s="6468">
        <f t="shared" ref="L7:M7" ca="1" si="2">SUM(L8:L10)</f>
        <v>252</v>
      </c>
      <c r="M7" s="1877">
        <f t="shared" ca="1" si="2"/>
        <v>253</v>
      </c>
      <c r="N7" s="1878">
        <f t="shared" ca="1" si="1"/>
        <v>1</v>
      </c>
      <c r="O7" s="1877">
        <f ca="1">SUM(O8:O10)</f>
        <v>0</v>
      </c>
      <c r="P7" s="1879">
        <f ca="1">N7-O7</f>
        <v>1</v>
      </c>
      <c r="Q7" s="1877">
        <f>SUM(Q8:Q10)</f>
        <v>3</v>
      </c>
      <c r="R7" s="1877">
        <f>SUM(R8:R10)</f>
        <v>0</v>
      </c>
      <c r="S7" s="1880">
        <f>Q7-R7</f>
        <v>3</v>
      </c>
      <c r="T7" s="1881">
        <f>SUM(T8:T10)</f>
        <v>40.5</v>
      </c>
      <c r="U7" s="1882">
        <f>SUM(U8:U10)</f>
        <v>79.5</v>
      </c>
      <c r="V7" s="1883">
        <f>'※ 팀별 작성_인프라_인력'!BJ139</f>
        <v>76.341465409238282</v>
      </c>
      <c r="W7" s="861">
        <f>'※ 팀별 작성_인프라_인력'!BJ155</f>
        <v>17.960713188946709</v>
      </c>
      <c r="X7" s="1884">
        <f>'※ 팀별 작성_인프라_인력'!CB155</f>
        <v>2.337392335074437</v>
      </c>
      <c r="Y7" s="1885">
        <f>'※ 팀별 작성_인프라_인력'!BJ172</f>
        <v>15.360022506569615</v>
      </c>
      <c r="Z7" s="861">
        <f>'※ 팀별 작성_인프라_인력'!BJ188</f>
        <v>3.7402226401801388</v>
      </c>
      <c r="AA7" s="866">
        <f>'※ 팀별 작성_인프라_인력'!CB188</f>
        <v>0.69349774579925194</v>
      </c>
    </row>
    <row r="8" spans="1:58" ht="17.399999999999999" customHeight="1" x14ac:dyDescent="0.55000000000000004">
      <c r="A8" s="7386"/>
      <c r="B8" s="867"/>
      <c r="C8" s="1534" t="s">
        <v>243</v>
      </c>
      <c r="D8" s="1886" cm="1">
        <f t="array" aca="1" ref="D8" ca="1">INDIRECT("'※ 팀별 작성_인프라_인력'!"&amp;D$1&amp;$AB8, TRUE)</f>
        <v>1</v>
      </c>
      <c r="E8" s="1886" cm="1">
        <f t="array" aca="1" ref="E8" ca="1">INDIRECT("'※ 팀별 작성_인프라_인력'!"&amp;E$1&amp;$AB8, TRUE)</f>
        <v>1</v>
      </c>
      <c r="F8" s="1887" cm="1">
        <f t="array" aca="1" ref="F8" ca="1">INDIRECT("'※ 팀별 작성_인프라_인력'!"&amp;F$1&amp;$AB8, TRUE)</f>
        <v>1</v>
      </c>
      <c r="G8" s="1888" cm="1">
        <f t="array" aca="1" ref="G8" ca="1">INDIRECT("'※ 팀별 작성_인프라_인력'!"&amp;G$1&amp;$AB8, TRUE)</f>
        <v>1</v>
      </c>
      <c r="H8" s="1888" cm="1">
        <f t="array" aca="1" ref="H8" ca="1">INDIRECT("'※ 팀별 작성_인프라_인력'!"&amp;H$1&amp;$AB8, TRUE)</f>
        <v>1</v>
      </c>
      <c r="I8" s="1888" cm="1">
        <f t="array" aca="1" ref="I8" ca="1">INDIRECT("'※ 팀별 작성_인프라_인력'!"&amp;I$1&amp;$AB8, TRUE)</f>
        <v>1</v>
      </c>
      <c r="J8" s="1888" cm="1">
        <f t="array" aca="1" ref="J8" ca="1">INDIRECT("'※ 팀별 작성_인프라_인력'!"&amp;J$1&amp;$AB8, TRUE)</f>
        <v>1</v>
      </c>
      <c r="K8" s="1886" cm="1">
        <f t="array" aca="1" ref="K8" ca="1">INDIRECT("'※ 팀별 작성_인프라_인력'!"&amp;K$1&amp;$AB8, TRUE)</f>
        <v>1</v>
      </c>
      <c r="L8" s="6469" cm="1">
        <f t="array" aca="1" ref="L8" ca="1">INDIRECT("'※ 팀별 작성_인프라_인력'!"&amp;L$1&amp;$AB8, TRUE)</f>
        <v>1</v>
      </c>
      <c r="M8" s="1888" cm="1">
        <f t="array" aca="1" ref="M8" ca="1">INDIRECT("'※ 팀별 작성_인프라_인력'!"&amp;M$1&amp;$AB8, TRUE)</f>
        <v>1</v>
      </c>
      <c r="N8" s="1889" cm="1">
        <f t="array" aca="1" ref="N8" ca="1">INDIRECT("'※ 팀별 작성_인프라_인력'!"&amp;N$1&amp;$AC8, TRUE)</f>
        <v>0</v>
      </c>
      <c r="O8" s="1888" cm="1">
        <f t="array" aca="1" ref="O8" ca="1">INDIRECT("'※ 팀별 작성_인프라_인력'!"&amp;O$1&amp;$AD8, TRUE)</f>
        <v>0</v>
      </c>
      <c r="P8" s="1890">
        <f t="shared" ref="P8:P15" ca="1" si="3">N8-O8</f>
        <v>0</v>
      </c>
      <c r="Q8" s="1888">
        <f>'※ 팀별 작성_인프라_인력'!BX24</f>
        <v>0</v>
      </c>
      <c r="R8" s="1888">
        <f>'※ 팀별 작성_인프라_인력'!BX43</f>
        <v>0</v>
      </c>
      <c r="S8" s="1891">
        <f t="shared" ref="S8:S25" si="4">Q8-R8</f>
        <v>0</v>
      </c>
      <c r="T8" s="1892">
        <f>'※ 팀별 작성_인프라_인력'!BY101</f>
        <v>0.5</v>
      </c>
      <c r="U8" s="1893">
        <f>'※ 팀별 작성_인프라_인력'!BY120</f>
        <v>0.5</v>
      </c>
      <c r="V8" s="1894"/>
      <c r="W8" s="1895"/>
      <c r="X8" s="1896"/>
      <c r="Y8" s="1897"/>
      <c r="Z8" s="1895"/>
      <c r="AA8" s="1898"/>
      <c r="AB8" s="1874">
        <f>ROW('※ 팀별 작성_인프라_인력'!AH5)</f>
        <v>5</v>
      </c>
      <c r="AC8" s="1863">
        <f>ROW('※ 팀별 작성_인프라_인력'!AI24)</f>
        <v>24</v>
      </c>
      <c r="AD8" s="1863">
        <f>ROW('※ 팀별 작성_인프라_인력'!AJ43)</f>
        <v>43</v>
      </c>
    </row>
    <row r="9" spans="1:58" ht="17.05" customHeight="1" x14ac:dyDescent="0.55000000000000004">
      <c r="A9" s="7386"/>
      <c r="B9" s="867"/>
      <c r="C9" s="1534" t="s">
        <v>245</v>
      </c>
      <c r="D9" s="1886" cm="1">
        <f t="array" aca="1" ref="D9" ca="1">INDIRECT("'※ 팀별 작성_인프라_인력'!"&amp;D$1&amp;$AB9, TRUE)</f>
        <v>254.91666666666666</v>
      </c>
      <c r="E9" s="1886" cm="1">
        <f t="array" aca="1" ref="E9" ca="1">INDIRECT("'※ 팀별 작성_인프라_인력'!"&amp;E$1&amp;$AB9, TRUE)</f>
        <v>249.33333333333334</v>
      </c>
      <c r="F9" s="1887" cm="1">
        <f t="array" aca="1" ref="F9" ca="1">INDIRECT("'※ 팀별 작성_인프라_인력'!"&amp;F$1&amp;$AB9, TRUE)</f>
        <v>260</v>
      </c>
      <c r="G9" s="1888" cm="1">
        <f t="array" aca="1" ref="G9" ca="1">INDIRECT("'※ 팀별 작성_인프라_인력'!"&amp;G$1&amp;$AB9, TRUE)</f>
        <v>255</v>
      </c>
      <c r="H9" s="1888" cm="1">
        <f t="array" aca="1" ref="H9" ca="1">INDIRECT("'※ 팀별 작성_인프라_인력'!"&amp;H$1&amp;$AB9, TRUE)</f>
        <v>251</v>
      </c>
      <c r="I9" s="1888" cm="1">
        <f t="array" aca="1" ref="I9" ca="1">INDIRECT("'※ 팀별 작성_인프라_인력'!"&amp;I$1&amp;$AB9, TRUE)</f>
        <v>250</v>
      </c>
      <c r="J9" s="1888" cm="1">
        <f t="array" aca="1" ref="J9" ca="1">INDIRECT("'※ 팀별 작성_인프라_인력'!"&amp;J$1&amp;$AB9, TRUE)</f>
        <v>245</v>
      </c>
      <c r="K9" s="1886" cm="1">
        <f t="array" aca="1" ref="K9" ca="1">INDIRECT("'※ 팀별 작성_인프라_인력'!"&amp;K$1&amp;$AB9, TRUE)</f>
        <v>249.33333333333334</v>
      </c>
      <c r="L9" s="6469" cm="1">
        <f t="array" aca="1" ref="L9" ca="1">INDIRECT("'※ 팀별 작성_인프라_인력'!"&amp;L$1&amp;$AB9, TRUE)</f>
        <v>7</v>
      </c>
      <c r="M9" s="1888" cm="1">
        <f t="array" aca="1" ref="M9" ca="1">INDIRECT("'※ 팀별 작성_인프라_인력'!"&amp;M$1&amp;$AB9, TRUE)</f>
        <v>245</v>
      </c>
      <c r="N9" s="1889" cm="1">
        <f t="array" aca="1" ref="N9" ca="1">INDIRECT("'※ 팀별 작성_인프라_인력'!"&amp;N$1&amp;$AC9, TRUE)</f>
        <v>1</v>
      </c>
      <c r="O9" s="1888" cm="1">
        <f t="array" aca="1" ref="O9" ca="1">INDIRECT("'※ 팀별 작성_인프라_인력'!"&amp;O$1&amp;$AD9, TRUE)</f>
        <v>0</v>
      </c>
      <c r="P9" s="1890">
        <f t="shared" ca="1" si="3"/>
        <v>1</v>
      </c>
      <c r="Q9" s="1888">
        <f>'※ 팀별 작성_인프라_인력'!BX25</f>
        <v>3</v>
      </c>
      <c r="R9" s="1888">
        <f>'※ 팀별 작성_인프라_인력'!BX44</f>
        <v>0</v>
      </c>
      <c r="S9" s="1891">
        <f>Q9-R9</f>
        <v>3</v>
      </c>
      <c r="T9" s="1892">
        <f>'※ 팀별 작성_인프라_인력'!BY102</f>
        <v>38</v>
      </c>
      <c r="U9" s="1893">
        <f>'※ 팀별 작성_인프라_인력'!BY121</f>
        <v>75.5</v>
      </c>
      <c r="V9" s="1894"/>
      <c r="W9" s="1895"/>
      <c r="X9" s="1896"/>
      <c r="Y9" s="1897"/>
      <c r="Z9" s="1895"/>
      <c r="AA9" s="1898"/>
      <c r="AB9" s="1874">
        <f>ROW('※ 팀별 작성_인프라_인력'!AH6)</f>
        <v>6</v>
      </c>
      <c r="AC9" s="1863">
        <f>ROW('※ 팀별 작성_인프라_인력'!AI25)</f>
        <v>25</v>
      </c>
      <c r="AD9" s="1863">
        <f>ROW('※ 팀별 작성_인프라_인력'!AJ44)</f>
        <v>44</v>
      </c>
    </row>
    <row r="10" spans="1:58" ht="17.399999999999999" customHeight="1" x14ac:dyDescent="0.55000000000000004">
      <c r="A10" s="7386"/>
      <c r="B10" s="867"/>
      <c r="C10" s="1534" t="s">
        <v>244</v>
      </c>
      <c r="D10" s="1886" cm="1">
        <f t="array" aca="1" ref="D10" ca="1">INDIRECT("'※ 팀별 작성_인프라_인력'!"&amp;D$1&amp;$AB10, TRUE)</f>
        <v>10.25</v>
      </c>
      <c r="E10" s="1886" cm="1">
        <f t="array" aca="1" ref="E10" ca="1">INDIRECT("'※ 팀별 작성_인프라_인력'!"&amp;E$1&amp;$AB10, TRUE)</f>
        <v>6.666666666666667</v>
      </c>
      <c r="F10" s="1887" cm="1">
        <f t="array" aca="1" ref="F10" ca="1">INDIRECT("'※ 팀별 작성_인프라_인력'!"&amp;F$1&amp;$AB10, TRUE)</f>
        <v>8</v>
      </c>
      <c r="G10" s="1888" cm="1">
        <f t="array" aca="1" ref="G10" ca="1">INDIRECT("'※ 팀별 작성_인프라_인력'!"&amp;G$1&amp;$AB10, TRUE)</f>
        <v>6</v>
      </c>
      <c r="H10" s="1888" cm="1">
        <f t="array" aca="1" ref="H10" ca="1">INDIRECT("'※ 팀별 작성_인프라_인력'!"&amp;H$1&amp;$AB10, TRUE)</f>
        <v>6</v>
      </c>
      <c r="I10" s="1888" cm="1">
        <f t="array" aca="1" ref="I10" ca="1">INDIRECT("'※ 팀별 작성_인프라_인력'!"&amp;I$1&amp;$AB10, TRUE)</f>
        <v>6</v>
      </c>
      <c r="J10" s="1888" cm="1">
        <f t="array" aca="1" ref="J10" ca="1">INDIRECT("'※ 팀별 작성_인프라_인력'!"&amp;J$1&amp;$AB10, TRUE)</f>
        <v>6</v>
      </c>
      <c r="K10" s="1886" cm="1">
        <f t="array" aca="1" ref="K10" ca="1">INDIRECT("'※ 팀별 작성_인프라_인력'!"&amp;K$1&amp;$AB10, TRUE)</f>
        <v>6.666666666666667</v>
      </c>
      <c r="L10" s="6469" cm="1">
        <f t="array" aca="1" ref="L10" ca="1">INDIRECT("'※ 팀별 작성_인프라_인력'!"&amp;L$1&amp;$AB10, TRUE)</f>
        <v>244</v>
      </c>
      <c r="M10" s="1888" cm="1">
        <f t="array" aca="1" ref="M10" ca="1">INDIRECT("'※ 팀별 작성_인프라_인력'!"&amp;M$1&amp;$AB10, TRUE)</f>
        <v>7</v>
      </c>
      <c r="N10" s="1889" cm="1">
        <f t="array" aca="1" ref="N10" ca="1">INDIRECT("'※ 팀별 작성_인프라_인력'!"&amp;N$1&amp;$AC10, TRUE)</f>
        <v>0</v>
      </c>
      <c r="O10" s="1888" cm="1">
        <f t="array" aca="1" ref="O10" ca="1">INDIRECT("'※ 팀별 작성_인프라_인력'!"&amp;O$1&amp;$AD10, TRUE)</f>
        <v>0</v>
      </c>
      <c r="P10" s="1890">
        <f t="shared" ca="1" si="3"/>
        <v>0</v>
      </c>
      <c r="Q10" s="1888">
        <f>'※ 팀별 작성_인프라_인력'!BX26</f>
        <v>0</v>
      </c>
      <c r="R10" s="1888">
        <f>'※ 팀별 작성_인프라_인력'!BX45</f>
        <v>0</v>
      </c>
      <c r="S10" s="1891">
        <f t="shared" si="4"/>
        <v>0</v>
      </c>
      <c r="T10" s="1892">
        <f>'※ 팀별 작성_인프라_인력'!BY103</f>
        <v>2</v>
      </c>
      <c r="U10" s="1893">
        <f>'※ 팀별 작성_인프라_인력'!BY122</f>
        <v>3.5</v>
      </c>
      <c r="V10" s="1894"/>
      <c r="W10" s="1895"/>
      <c r="X10" s="1896"/>
      <c r="Y10" s="1897"/>
      <c r="Z10" s="1895"/>
      <c r="AA10" s="1898"/>
      <c r="AB10" s="1874">
        <f>ROW('※ 팀별 작성_인프라_인력'!AH7)</f>
        <v>7</v>
      </c>
      <c r="AC10" s="1863">
        <f>ROW('※ 팀별 작성_인프라_인력'!AI26)</f>
        <v>26</v>
      </c>
      <c r="AD10" s="1863">
        <f>ROW('※ 팀별 작성_인프라_인력'!AJ45)</f>
        <v>45</v>
      </c>
    </row>
    <row r="11" spans="1:58" x14ac:dyDescent="0.55000000000000004">
      <c r="A11" s="7386"/>
      <c r="B11" s="1899" t="s">
        <v>206</v>
      </c>
      <c r="C11" s="1900"/>
      <c r="D11" s="1901" cm="1">
        <f t="array" aca="1" ref="D11" ca="1">INDIRECT("'※ 팀별 작성_인프라_인력'!"&amp;D$1&amp;$AB11, TRUE)</f>
        <v>50.416666666666664</v>
      </c>
      <c r="E11" s="1901" cm="1">
        <f t="array" aca="1" ref="E11" ca="1">INDIRECT("'※ 팀별 작성_인프라_인력'!"&amp;E$1&amp;$AB11, TRUE)</f>
        <v>49.916666666666664</v>
      </c>
      <c r="F11" s="1902">
        <f t="shared" ref="F11:J11" ca="1" si="5">SUM(F16:F17)</f>
        <v>53</v>
      </c>
      <c r="G11" s="1903">
        <f t="shared" ca="1" si="5"/>
        <v>50</v>
      </c>
      <c r="H11" s="1903">
        <f t="shared" ca="1" si="5"/>
        <v>50</v>
      </c>
      <c r="I11" s="1903">
        <f t="shared" ca="1" si="5"/>
        <v>50</v>
      </c>
      <c r="J11" s="1903">
        <f t="shared" ca="1" si="5"/>
        <v>49</v>
      </c>
      <c r="K11" s="1901" cm="1">
        <f t="array" aca="1" ref="K11" ca="1">INDIRECT("'※ 팀별 작성_인프라_인력'!"&amp;K$1&amp;$AB11, TRUE)</f>
        <v>49.916666666666664</v>
      </c>
      <c r="L11" s="6470">
        <f t="shared" ref="L11" ca="1" si="6">SUM(L16:L17)</f>
        <v>49</v>
      </c>
      <c r="M11" s="1903">
        <f t="shared" ref="M11" ca="1" si="7">SUM(M16:M17)</f>
        <v>49</v>
      </c>
      <c r="N11" s="1904" cm="1">
        <f t="array" aca="1" ref="N11" ca="1">INDIRECT("'※ 팀별 작성_인프라_인력'!"&amp;N$1&amp;$AC11, TRUE)</f>
        <v>0</v>
      </c>
      <c r="O11" s="1903" cm="1">
        <f t="array" aca="1" ref="O11" ca="1">INDIRECT("'※ 팀별 작성_인프라_인력'!"&amp;O$1&amp;$AD11, TRUE)</f>
        <v>0</v>
      </c>
      <c r="P11" s="1905">
        <f t="shared" ca="1" si="3"/>
        <v>0</v>
      </c>
      <c r="Q11" s="1903">
        <f>'※ 팀별 작성_인프라_인력'!BX27</f>
        <v>1</v>
      </c>
      <c r="R11" s="1903">
        <f>'※ 팀별 작성_인프라_인력'!BX46</f>
        <v>0</v>
      </c>
      <c r="S11" s="1906">
        <f t="shared" si="4"/>
        <v>1</v>
      </c>
      <c r="T11" s="1907">
        <f>'※ 팀별 작성_인프라_인력'!BY104</f>
        <v>7.5</v>
      </c>
      <c r="U11" s="1908">
        <f>'※ 팀별 작성_인프라_인력'!BY123</f>
        <v>10</v>
      </c>
      <c r="V11" s="1909">
        <f>'※ 팀별 작성_인프라_인력'!BY140</f>
        <v>56.173469387755105</v>
      </c>
      <c r="W11" s="1910">
        <f>'※ 팀별 작성_인프라_인력'!BY156</f>
        <v>13.305534709193246</v>
      </c>
      <c r="X11" s="1911">
        <f>'※ 팀별 작성_인프라_인력'!CB156</f>
        <v>2.6417323908329635</v>
      </c>
      <c r="Y11" s="1912">
        <f>'※ 팀별 작성_인프라_인력'!BY173</f>
        <v>9.9285714285714288</v>
      </c>
      <c r="Z11" s="1910">
        <f>'※ 팀별 작성_인프라_인력'!BY189</f>
        <v>6.2000938086303936</v>
      </c>
      <c r="AA11" s="1913">
        <f>'※ 팀별 작성_인프라_인력'!CB189</f>
        <v>0.71306570822455306</v>
      </c>
      <c r="AB11" s="1874">
        <f>ROW('※ 팀별 작성_인프라_인력'!AH8)</f>
        <v>8</v>
      </c>
      <c r="AC11" s="1863">
        <f>ROW('※ 팀별 작성_인프라_인력'!AI27)</f>
        <v>27</v>
      </c>
      <c r="AD11" s="1863">
        <f>ROW('※ 팀별 작성_인프라_인력'!AJ46)</f>
        <v>46</v>
      </c>
    </row>
    <row r="12" spans="1:58" x14ac:dyDescent="0.55000000000000004">
      <c r="A12" s="7386"/>
      <c r="B12" s="1914" t="s">
        <v>207</v>
      </c>
      <c r="C12" s="1576"/>
      <c r="D12" s="1915" cm="1">
        <f t="array" aca="1" ref="D12" ca="1">INDIRECT("'※ 팀별 작성_인프라_인력'!"&amp;D$1&amp;$AB12, TRUE)</f>
        <v>43.916666666666664</v>
      </c>
      <c r="E12" s="1915" cm="1">
        <f t="array" aca="1" ref="E12" ca="1">INDIRECT("'※ 팀별 작성_인프라_인력'!"&amp;E$1&amp;$AB12, TRUE)</f>
        <v>42.416666666666664</v>
      </c>
      <c r="F12" s="1916">
        <f t="shared" ref="F12:J12" ca="1" si="8">SUM(F18:F19)</f>
        <v>45</v>
      </c>
      <c r="G12" s="1917">
        <f t="shared" ca="1" si="8"/>
        <v>45</v>
      </c>
      <c r="H12" s="1917">
        <f t="shared" ca="1" si="8"/>
        <v>43</v>
      </c>
      <c r="I12" s="1917">
        <f t="shared" ca="1" si="8"/>
        <v>42</v>
      </c>
      <c r="J12" s="1917">
        <f t="shared" ca="1" si="8"/>
        <v>42</v>
      </c>
      <c r="K12" s="1915" cm="1">
        <f t="array" aca="1" ref="K12" ca="1">INDIRECT("'※ 팀별 작성_인프라_인력'!"&amp;K$1&amp;$AB12, TRUE)</f>
        <v>42.416666666666664</v>
      </c>
      <c r="L12" s="6471">
        <f t="shared" ref="L12" ca="1" si="9">SUM(L18:L19)</f>
        <v>42</v>
      </c>
      <c r="M12" s="1917">
        <f t="shared" ref="M12" ca="1" si="10">SUM(M18:M19)</f>
        <v>42</v>
      </c>
      <c r="N12" s="1918" cm="1">
        <f t="array" aca="1" ref="N12" ca="1">INDIRECT("'※ 팀별 작성_인프라_인력'!"&amp;N$1&amp;$AC12, TRUE)</f>
        <v>0</v>
      </c>
      <c r="O12" s="1917" cm="1">
        <f t="array" aca="1" ref="O12" ca="1">INDIRECT("'※ 팀별 작성_인프라_인력'!"&amp;O$1&amp;$AD12, TRUE)</f>
        <v>0</v>
      </c>
      <c r="P12" s="1919">
        <f t="shared" ca="1" si="3"/>
        <v>0</v>
      </c>
      <c r="Q12" s="1917">
        <f>'※ 팀별 작성_인프라_인력'!BX28</f>
        <v>1</v>
      </c>
      <c r="R12" s="1917">
        <f>'※ 팀별 작성_인프라_인력'!BX47</f>
        <v>0</v>
      </c>
      <c r="S12" s="1920">
        <f t="shared" si="4"/>
        <v>1</v>
      </c>
      <c r="T12" s="1921">
        <f>'※ 팀별 작성_인프라_인력'!BY105</f>
        <v>7</v>
      </c>
      <c r="U12" s="1922">
        <f>'※ 팀별 작성_인프라_인력'!BY124</f>
        <v>13</v>
      </c>
      <c r="V12" s="1923">
        <f>'※ 팀별 작성_인프라_인력'!BY141</f>
        <v>65.38095238095238</v>
      </c>
      <c r="W12" s="1924">
        <f>'※ 팀별 작성_인프라_인력'!BY157</f>
        <v>14.913141195134848</v>
      </c>
      <c r="X12" s="1925">
        <f>'※ 팀별 작성_인프라_인력'!CB157</f>
        <v>4.1823133249385425</v>
      </c>
      <c r="Y12" s="1926">
        <f>'※ 팀별 작성_인프라_인력'!BY174</f>
        <v>14.535714285714285</v>
      </c>
      <c r="Z12" s="1924">
        <f>'※ 팀별 작성_인프라_인력'!BY190</f>
        <v>18.511810329631587</v>
      </c>
      <c r="AA12" s="1927">
        <f>'※ 팀별 작성_인프라_인력'!CB190</f>
        <v>1.0311576075850177</v>
      </c>
      <c r="AB12" s="1874">
        <f>ROW('※ 팀별 작성_인프라_인력'!AH9)</f>
        <v>9</v>
      </c>
      <c r="AC12" s="1863">
        <f>ROW('※ 팀별 작성_인프라_인력'!AI28)</f>
        <v>28</v>
      </c>
      <c r="AD12" s="1863">
        <f>ROW('※ 팀별 작성_인프라_인력'!AJ47)</f>
        <v>47</v>
      </c>
    </row>
    <row r="13" spans="1:58" x14ac:dyDescent="0.55000000000000004">
      <c r="A13" s="7386"/>
      <c r="B13" s="1914" t="s">
        <v>208</v>
      </c>
      <c r="C13" s="1576"/>
      <c r="D13" s="1915" cm="1">
        <f t="array" aca="1" ref="D13" ca="1">INDIRECT("'※ 팀별 작성_인프라_인력'!"&amp;D$1&amp;$AB13, TRUE)</f>
        <v>53.666666666666664</v>
      </c>
      <c r="E13" s="1915" cm="1">
        <f t="array" aca="1" ref="E13" ca="1">INDIRECT("'※ 팀별 작성_인프라_인력'!"&amp;E$1&amp;$AB13, TRUE)</f>
        <v>52.416666666666664</v>
      </c>
      <c r="F13" s="1916">
        <f t="shared" ref="F13:J13" ca="1" si="11">SUM(F20:F21)</f>
        <v>55</v>
      </c>
      <c r="G13" s="1917">
        <f t="shared" ca="1" si="11"/>
        <v>53</v>
      </c>
      <c r="H13" s="1917">
        <f t="shared" ca="1" si="11"/>
        <v>53</v>
      </c>
      <c r="I13" s="1917">
        <f t="shared" ca="1" si="11"/>
        <v>53</v>
      </c>
      <c r="J13" s="1917">
        <f t="shared" ca="1" si="11"/>
        <v>50</v>
      </c>
      <c r="K13" s="1915" cm="1">
        <f t="array" aca="1" ref="K13" ca="1">INDIRECT("'※ 팀별 작성_인프라_인력'!"&amp;K$1&amp;$AB13, TRUE)</f>
        <v>52.416666666666664</v>
      </c>
      <c r="L13" s="6471">
        <f t="shared" ref="L13" ca="1" si="12">SUM(L20:L21)</f>
        <v>50</v>
      </c>
      <c r="M13" s="1917">
        <f t="shared" ref="M13" ca="1" si="13">SUM(M20:M21)</f>
        <v>50</v>
      </c>
      <c r="N13" s="1918" cm="1">
        <f t="array" aca="1" ref="N13" ca="1">INDIRECT("'※ 팀별 작성_인프라_인력'!"&amp;N$1&amp;$AC13, TRUE)</f>
        <v>0</v>
      </c>
      <c r="O13" s="1917" cm="1">
        <f t="array" aca="1" ref="O13" ca="1">INDIRECT("'※ 팀별 작성_인프라_인력'!"&amp;O$1&amp;$AD13, TRUE)</f>
        <v>0</v>
      </c>
      <c r="P13" s="1919">
        <f t="shared" ca="1" si="3"/>
        <v>0</v>
      </c>
      <c r="Q13" s="1917">
        <f>'※ 팀별 작성_인프라_인력'!BX29</f>
        <v>0</v>
      </c>
      <c r="R13" s="1917">
        <f>'※ 팀별 작성_인프라_인력'!BX48</f>
        <v>0</v>
      </c>
      <c r="S13" s="1920">
        <f t="shared" si="4"/>
        <v>0</v>
      </c>
      <c r="T13" s="1921">
        <f>'※ 팀별 작성_인프라_인력'!BY106</f>
        <v>2.5</v>
      </c>
      <c r="U13" s="1922">
        <f>'※ 팀별 작성_인프라_인력'!BY125</f>
        <v>18</v>
      </c>
      <c r="V13" s="1923">
        <f>'※ 팀별 작성_인프라_인력'!BY142</f>
        <v>67.7</v>
      </c>
      <c r="W13" s="1924">
        <f>'※ 팀별 작성_인프라_인력'!BY158</f>
        <v>14.305889294142887</v>
      </c>
      <c r="X13" s="1925">
        <f>'※ 팀별 작성_인프라_인력'!CB158</f>
        <v>2.2362112961062373</v>
      </c>
      <c r="Y13" s="1926">
        <f>'※ 팀별 작성_인프라_인력'!BY175</f>
        <v>15.67</v>
      </c>
      <c r="Z13" s="1924">
        <f>'※ 팀별 작성_인프라_인력'!BY191</f>
        <v>1.0189515840663663</v>
      </c>
      <c r="AA13" s="1927">
        <f>'※ 팀별 작성_인프라_인력'!CB191</f>
        <v>0.81059962748864889</v>
      </c>
      <c r="AB13" s="1874">
        <f>ROW('※ 팀별 작성_인프라_인력'!AH10)</f>
        <v>10</v>
      </c>
      <c r="AC13" s="1863">
        <f>ROW('※ 팀별 작성_인프라_인력'!AI29)</f>
        <v>29</v>
      </c>
      <c r="AD13" s="1863">
        <f>ROW('※ 팀별 작성_인프라_인력'!AJ48)</f>
        <v>48</v>
      </c>
    </row>
    <row r="14" spans="1:58" x14ac:dyDescent="0.55000000000000004">
      <c r="A14" s="7386"/>
      <c r="B14" s="1914" t="s">
        <v>209</v>
      </c>
      <c r="C14" s="1576"/>
      <c r="D14" s="1915" cm="1">
        <f t="array" aca="1" ref="D14" ca="1">INDIRECT("'※ 팀별 작성_인프라_인력'!"&amp;D$1&amp;$AB14, TRUE)</f>
        <v>60.25</v>
      </c>
      <c r="E14" s="1915" cm="1">
        <f t="array" aca="1" ref="E14" ca="1">INDIRECT("'※ 팀별 작성_인프라_인력'!"&amp;E$1&amp;$AB14, TRUE)</f>
        <v>57.25</v>
      </c>
      <c r="F14" s="1916">
        <f t="shared" ref="F14:J14" ca="1" si="14">SUM(F22:F23)</f>
        <v>58</v>
      </c>
      <c r="G14" s="1917">
        <f t="shared" ca="1" si="14"/>
        <v>57</v>
      </c>
      <c r="H14" s="1917">
        <f t="shared" ca="1" si="14"/>
        <v>57</v>
      </c>
      <c r="I14" s="1917">
        <f t="shared" ca="1" si="14"/>
        <v>57</v>
      </c>
      <c r="J14" s="1917">
        <f t="shared" ca="1" si="14"/>
        <v>57</v>
      </c>
      <c r="K14" s="1915" cm="1">
        <f t="array" aca="1" ref="K14" ca="1">INDIRECT("'※ 팀별 작성_인프라_인력'!"&amp;K$1&amp;$AB14, TRUE)</f>
        <v>57.25</v>
      </c>
      <c r="L14" s="6471">
        <f t="shared" ref="L14" ca="1" si="15">SUM(L22:L23)</f>
        <v>57</v>
      </c>
      <c r="M14" s="1917">
        <f t="shared" ref="M14" ca="1" si="16">SUM(M22:M23)</f>
        <v>58</v>
      </c>
      <c r="N14" s="1918" cm="1">
        <f t="array" aca="1" ref="N14" ca="1">INDIRECT("'※ 팀별 작성_인프라_인력'!"&amp;N$1&amp;$AC14, TRUE)</f>
        <v>1</v>
      </c>
      <c r="O14" s="1917" cm="1">
        <f t="array" aca="1" ref="O14" ca="1">INDIRECT("'※ 팀별 작성_인프라_인력'!"&amp;O$1&amp;$AD14, TRUE)</f>
        <v>0</v>
      </c>
      <c r="P14" s="1919">
        <f t="shared" ca="1" si="3"/>
        <v>1</v>
      </c>
      <c r="Q14" s="1917">
        <f>'※ 팀별 작성_인프라_인력'!BX30</f>
        <v>1</v>
      </c>
      <c r="R14" s="1917">
        <f>'※ 팀별 작성_인프라_인력'!BX49</f>
        <v>0</v>
      </c>
      <c r="S14" s="1920">
        <f t="shared" si="4"/>
        <v>1</v>
      </c>
      <c r="T14" s="1921">
        <f>'※ 팀별 작성_인프라_인력'!BY107</f>
        <v>12</v>
      </c>
      <c r="U14" s="1922">
        <f>'※ 팀별 작성_인프라_인력'!BY126</f>
        <v>17.5</v>
      </c>
      <c r="V14" s="1923">
        <f>'※ 팀별 작성_인프라_인력'!BY143</f>
        <v>66.141712038717486</v>
      </c>
      <c r="W14" s="1924">
        <f>'※ 팀별 작성_인프라_인력'!BY159</f>
        <v>15.133031746031747</v>
      </c>
      <c r="X14" s="1925">
        <f>'※ 팀별 작성_인프라_인력'!CB159</f>
        <v>2.2425822350701523</v>
      </c>
      <c r="Y14" s="1926">
        <f>'※ 팀별 작성_인프라_인력'!BY176</f>
        <v>13.417120387174833</v>
      </c>
      <c r="Z14" s="1924">
        <f>'※ 팀별 작성_인프라_인력'!BY192</f>
        <v>0.1650952380952381</v>
      </c>
      <c r="AA14" s="1927">
        <f>'※ 팀별 작성_인프라_인력'!CB192</f>
        <v>0.62705996106865269</v>
      </c>
      <c r="AB14" s="1874">
        <f>ROW('※ 팀별 작성_인프라_인력'!AH11)</f>
        <v>11</v>
      </c>
      <c r="AC14" s="1863">
        <f>ROW('※ 팀별 작성_인프라_인력'!AI30)</f>
        <v>30</v>
      </c>
      <c r="AD14" s="1863">
        <f>ROW('※ 팀별 작성_인프라_인력'!AJ49)</f>
        <v>49</v>
      </c>
    </row>
    <row r="15" spans="1:58" x14ac:dyDescent="0.55000000000000004">
      <c r="A15" s="7386"/>
      <c r="B15" s="1928" t="s">
        <v>210</v>
      </c>
      <c r="C15" s="1929"/>
      <c r="D15" s="1930" cm="1">
        <f t="array" aca="1" ref="D15" ca="1">INDIRECT("'※ 팀별 작성_인프라_인력'!"&amp;D$1&amp;$AB15, TRUE)</f>
        <v>57.833333333333336</v>
      </c>
      <c r="E15" s="1930" cm="1">
        <f t="array" aca="1" ref="E15" ca="1">INDIRECT("'※ 팀별 작성_인프라_인력'!"&amp;E$1&amp;$AB15, TRUE)</f>
        <v>55</v>
      </c>
      <c r="F15" s="1931">
        <f t="shared" ref="F15:J15" ca="1" si="17">SUM(F24:F25)</f>
        <v>58</v>
      </c>
      <c r="G15" s="1932">
        <f t="shared" ca="1" si="17"/>
        <v>57</v>
      </c>
      <c r="H15" s="1932">
        <f t="shared" ca="1" si="17"/>
        <v>55</v>
      </c>
      <c r="I15" s="1932">
        <f t="shared" ca="1" si="17"/>
        <v>55</v>
      </c>
      <c r="J15" s="1932">
        <f t="shared" ca="1" si="17"/>
        <v>54</v>
      </c>
      <c r="K15" s="1930" cm="1">
        <f t="array" aca="1" ref="K15" ca="1">INDIRECT("'※ 팀별 작성_인프라_인력'!"&amp;K$1&amp;$AB15, TRUE)</f>
        <v>55</v>
      </c>
      <c r="L15" s="6472">
        <f t="shared" ref="L15" ca="1" si="18">SUM(L24:L25)</f>
        <v>54</v>
      </c>
      <c r="M15" s="1932">
        <f t="shared" ref="M15" ca="1" si="19">SUM(M24:M25)</f>
        <v>54</v>
      </c>
      <c r="N15" s="1933" cm="1">
        <f t="array" aca="1" ref="N15" ca="1">INDIRECT("'※ 팀별 작성_인프라_인력'!"&amp;N$1&amp;$AC15, TRUE)</f>
        <v>0</v>
      </c>
      <c r="O15" s="1932" cm="1">
        <f t="array" aca="1" ref="O15" ca="1">INDIRECT("'※ 팀별 작성_인프라_인력'!"&amp;O$1&amp;$AD15, TRUE)</f>
        <v>0</v>
      </c>
      <c r="P15" s="1934">
        <f t="shared" ca="1" si="3"/>
        <v>0</v>
      </c>
      <c r="Q15" s="1932">
        <f>'※ 팀별 작성_인프라_인력'!BX31</f>
        <v>0</v>
      </c>
      <c r="R15" s="1932">
        <f>'※ 팀별 작성_인프라_인력'!BX50</f>
        <v>0</v>
      </c>
      <c r="S15" s="1935">
        <f t="shared" si="4"/>
        <v>0</v>
      </c>
      <c r="T15" s="1936">
        <f>'※ 팀별 작성_인프라_인력'!BY108</f>
        <v>11.5</v>
      </c>
      <c r="U15" s="1937">
        <f>'※ 팀별 작성_인프라_인력'!BY127</f>
        <v>21</v>
      </c>
      <c r="V15" s="1938">
        <f>'※ 팀별 작성_인프라_인력'!BY144</f>
        <v>59.111111111111114</v>
      </c>
      <c r="W15" s="1939">
        <f>'※ 팀별 작성_인프라_인력'!BY160</f>
        <v>13.95337528604119</v>
      </c>
      <c r="X15" s="1940">
        <f>'※ 팀별 작성_인프라_인력'!CB160</f>
        <v>0.79927355531232358</v>
      </c>
      <c r="Y15" s="1941">
        <f>'※ 팀별 작성_인프라_인력'!BY177</f>
        <v>10.675925925925926</v>
      </c>
      <c r="Z15" s="1939">
        <f>'※ 팀별 작성_인프라_인력'!BY193</f>
        <v>2.1305301296720063</v>
      </c>
      <c r="AA15" s="1942">
        <f>'※ 팀별 작성_인프라_인력'!CB193</f>
        <v>0.37658042914207401</v>
      </c>
      <c r="AB15" s="1874">
        <f>ROW('※ 팀별 작성_인프라_인력'!AH12)</f>
        <v>12</v>
      </c>
      <c r="AC15" s="1863">
        <f>ROW('※ 팀별 작성_인프라_인력'!AI31)</f>
        <v>31</v>
      </c>
      <c r="AD15" s="1863">
        <f>ROW('※ 팀별 작성_인프라_인력'!AJ50)</f>
        <v>50</v>
      </c>
    </row>
    <row r="16" spans="1:58" x14ac:dyDescent="0.55000000000000004">
      <c r="A16" s="7386"/>
      <c r="B16" s="1943"/>
      <c r="C16" s="1944" t="s">
        <v>211</v>
      </c>
      <c r="D16" s="1945" cm="1">
        <f t="array" aca="1" ref="D16" ca="1">INDIRECT("'※ 팀별 작성_인프라_인력'!"&amp;D$1&amp;$AB16, TRUE)</f>
        <v>25.083333333333332</v>
      </c>
      <c r="E16" s="1945" cm="1">
        <f t="array" aca="1" ref="E16" ca="1">INDIRECT("'※ 팀별 작성_인프라_인력'!"&amp;E$1&amp;$AB16, TRUE)</f>
        <v>24.583333333333332</v>
      </c>
      <c r="F16" s="1946" cm="1">
        <f t="array" aca="1" ref="F16" ca="1">INDIRECT("'※ 팀별 작성_인프라_인력'!"&amp;F$1&amp;$AB16, TRUE)</f>
        <v>26</v>
      </c>
      <c r="G16" s="1947" cm="1">
        <f t="array" aca="1" ref="G16" ca="1">INDIRECT("'※ 팀별 작성_인프라_인력'!"&amp;G$1&amp;$AB16, TRUE)</f>
        <v>25</v>
      </c>
      <c r="H16" s="1947" cm="1">
        <f t="array" aca="1" ref="H16" ca="1">INDIRECT("'※ 팀별 작성_인프라_인력'!"&amp;H$1&amp;$AB16, TRUE)</f>
        <v>25</v>
      </c>
      <c r="I16" s="1947" cm="1">
        <f t="array" aca="1" ref="I16" ca="1">INDIRECT("'※ 팀별 작성_인프라_인력'!"&amp;I$1&amp;$AB16, TRUE)</f>
        <v>25</v>
      </c>
      <c r="J16" s="1947" cm="1">
        <f t="array" aca="1" ref="J16" ca="1">INDIRECT("'※ 팀별 작성_인프라_인력'!"&amp;J$1&amp;$AB16, TRUE)</f>
        <v>24</v>
      </c>
      <c r="K16" s="1945" cm="1">
        <f t="array" aca="1" ref="K16" ca="1">INDIRECT("'※ 팀별 작성_인프라_인력'!"&amp;K$1&amp;$AB16, TRUE)</f>
        <v>24.583333333333332</v>
      </c>
      <c r="L16" s="6473" cm="1">
        <f t="array" aca="1" ref="L16" ca="1">INDIRECT("'※ 팀별 작성_인프라_인력'!"&amp;L$1&amp;$AB16, TRUE)</f>
        <v>23</v>
      </c>
      <c r="M16" s="1947" cm="1">
        <f t="array" aca="1" ref="M16" ca="1">INDIRECT("'※ 팀별 작성_인프라_인력'!"&amp;M$1&amp;$AB16, TRUE)</f>
        <v>23</v>
      </c>
      <c r="N16" s="1948" cm="1">
        <f t="array" aca="1" ref="N16" ca="1">INDIRECT("'※ 팀별 작성_인프라_인력'!"&amp;N$1&amp;$AC16, TRUE)</f>
        <v>0</v>
      </c>
      <c r="O16" s="1947" cm="1">
        <f t="array" aca="1" ref="O16" ca="1">INDIRECT("'※ 팀별 작성_인프라_인력'!"&amp;O$1&amp;$AD16, TRUE)</f>
        <v>0</v>
      </c>
      <c r="P16" s="1949">
        <f ca="1">N16-O16</f>
        <v>0</v>
      </c>
      <c r="Q16" s="1947">
        <f>'※ 팀별 작성_인프라_인력'!BX32</f>
        <v>0</v>
      </c>
      <c r="R16" s="1947">
        <f>'※ 팀별 작성_인프라_인력'!BX51</f>
        <v>0</v>
      </c>
      <c r="S16" s="1950">
        <f t="shared" si="4"/>
        <v>0</v>
      </c>
      <c r="T16" s="1951">
        <f>'※ 팀별 작성_인프라_인력'!BY109</f>
        <v>4</v>
      </c>
      <c r="U16" s="1952">
        <f>'※ 팀별 작성_인프라_인력'!BY128</f>
        <v>5</v>
      </c>
      <c r="V16" s="1953">
        <f>'※ 팀별 작성_인프라_인력'!BY145</f>
        <v>59.260869565217391</v>
      </c>
      <c r="W16" s="1954">
        <f>'※ 팀별 작성_인프라_인력'!BY161</f>
        <v>13.980116959064325</v>
      </c>
      <c r="X16" s="1955">
        <f>'※ 팀별 작성_인프라_인력'!CB161</f>
        <v>3.0758014285385489</v>
      </c>
      <c r="Y16" s="1956">
        <f>'※ 팀별 작성_인프라_인력'!BY178</f>
        <v>10.391304347826086</v>
      </c>
      <c r="Z16" s="1954">
        <f>'※ 팀별 작성_인프라_인력'!BY194</f>
        <v>6.2818181818181813</v>
      </c>
      <c r="AA16" s="1957">
        <f>'※ 팀별 작성_인프라_인력'!CB194</f>
        <v>0.84199737617506187</v>
      </c>
      <c r="AB16" s="1874">
        <f>ROW('※ 팀별 작성_인프라_인력'!AH13)</f>
        <v>13</v>
      </c>
      <c r="AC16" s="1863">
        <f>ROW('※ 팀별 작성_인프라_인력'!AI32)</f>
        <v>32</v>
      </c>
      <c r="AD16" s="1863">
        <f>ROW('※ 팀별 작성_인프라_인력'!AJ51)</f>
        <v>51</v>
      </c>
    </row>
    <row r="17" spans="1:30" x14ac:dyDescent="0.55000000000000004">
      <c r="A17" s="7386"/>
      <c r="B17" s="1958"/>
      <c r="C17" s="1959" t="s">
        <v>212</v>
      </c>
      <c r="D17" s="1960" cm="1">
        <f t="array" aca="1" ref="D17" ca="1">INDIRECT("'※ 팀별 작성_인프라_인력'!"&amp;D$1&amp;$AB17, TRUE)</f>
        <v>25.333333333333332</v>
      </c>
      <c r="E17" s="1960" cm="1">
        <f t="array" aca="1" ref="E17" ca="1">INDIRECT("'※ 팀별 작성_인프라_인력'!"&amp;E$1&amp;$AB17, TRUE)</f>
        <v>25.333333333333332</v>
      </c>
      <c r="F17" s="1961" cm="1">
        <f t="array" aca="1" ref="F17" ca="1">INDIRECT("'※ 팀별 작성_인프라_인력'!"&amp;F$1&amp;$AB17, TRUE)</f>
        <v>27</v>
      </c>
      <c r="G17" s="1962" cm="1">
        <f t="array" aca="1" ref="G17" ca="1">INDIRECT("'※ 팀별 작성_인프라_인력'!"&amp;G$1&amp;$AB17, TRUE)</f>
        <v>25</v>
      </c>
      <c r="H17" s="1962" cm="1">
        <f t="array" aca="1" ref="H17" ca="1">INDIRECT("'※ 팀별 작성_인프라_인력'!"&amp;H$1&amp;$AB17, TRUE)</f>
        <v>25</v>
      </c>
      <c r="I17" s="1962" cm="1">
        <f t="array" aca="1" ref="I17" ca="1">INDIRECT("'※ 팀별 작성_인프라_인력'!"&amp;I$1&amp;$AB17, TRUE)</f>
        <v>25</v>
      </c>
      <c r="J17" s="1962" cm="1">
        <f t="array" aca="1" ref="J17" ca="1">INDIRECT("'※ 팀별 작성_인프라_인력'!"&amp;J$1&amp;$AB17, TRUE)</f>
        <v>25</v>
      </c>
      <c r="K17" s="1960" cm="1">
        <f t="array" aca="1" ref="K17" ca="1">INDIRECT("'※ 팀별 작성_인프라_인력'!"&amp;K$1&amp;$AB17, TRUE)</f>
        <v>25.333333333333332</v>
      </c>
      <c r="L17" s="6474" cm="1">
        <f t="array" aca="1" ref="L17" ca="1">INDIRECT("'※ 팀별 작성_인프라_인력'!"&amp;L$1&amp;$AB17, TRUE)</f>
        <v>26</v>
      </c>
      <c r="M17" s="1962" cm="1">
        <f t="array" aca="1" ref="M17" ca="1">INDIRECT("'※ 팀별 작성_인프라_인력'!"&amp;M$1&amp;$AB17, TRUE)</f>
        <v>26</v>
      </c>
      <c r="N17" s="1963" cm="1">
        <f t="array" aca="1" ref="N17" ca="1">INDIRECT("'※ 팀별 작성_인프라_인력'!"&amp;N$1&amp;$AC17, TRUE)</f>
        <v>0</v>
      </c>
      <c r="O17" s="1962" cm="1">
        <f t="array" aca="1" ref="O17" ca="1">INDIRECT("'※ 팀별 작성_인프라_인력'!"&amp;O$1&amp;$AD17, TRUE)</f>
        <v>0</v>
      </c>
      <c r="P17" s="1964">
        <f t="shared" ref="P17:P25" ca="1" si="20">N17-O17</f>
        <v>0</v>
      </c>
      <c r="Q17" s="1962">
        <f>'※ 팀별 작성_인프라_인력'!BX33</f>
        <v>1</v>
      </c>
      <c r="R17" s="1962">
        <f>'※ 팀별 작성_인프라_인력'!BX52</f>
        <v>0</v>
      </c>
      <c r="S17" s="1965">
        <f t="shared" si="4"/>
        <v>1</v>
      </c>
      <c r="T17" s="1966">
        <f>'※ 팀별 작성_인프라_인력'!BY110</f>
        <v>3.5</v>
      </c>
      <c r="U17" s="1967">
        <f>'※ 팀별 작성_인프라_인력'!BY129</f>
        <v>5</v>
      </c>
      <c r="V17" s="1968">
        <f>'※ 팀별 작성_인프라_인력'!BY146</f>
        <v>53.442307692307693</v>
      </c>
      <c r="W17" s="1969">
        <f>'※ 팀별 작성_인프라_인력'!BY162</f>
        <v>12.703586321934946</v>
      </c>
      <c r="X17" s="1970">
        <f>'※ 팀별 작성_인프라_인력'!CB162</f>
        <v>2.2076633531273817</v>
      </c>
      <c r="Y17" s="1971">
        <f>'※ 팀별 작성_인프라_인력'!BY179</f>
        <v>9.5192307692307701</v>
      </c>
      <c r="Z17" s="1969">
        <f>'※ 팀별 작성_인프라_인력'!BY195</f>
        <v>7.1624270225187647</v>
      </c>
      <c r="AA17" s="1972">
        <f>'※ 팀별 작성_인프라_인력'!CB195</f>
        <v>0.58413404027404425</v>
      </c>
      <c r="AB17" s="1874">
        <f>ROW('※ 팀별 작성_인프라_인력'!AH14)</f>
        <v>14</v>
      </c>
      <c r="AC17" s="1863">
        <f>ROW('※ 팀별 작성_인프라_인력'!AI33)</f>
        <v>33</v>
      </c>
      <c r="AD17" s="1863">
        <f>ROW('※ 팀별 작성_인프라_인력'!AJ52)</f>
        <v>52</v>
      </c>
    </row>
    <row r="18" spans="1:30" x14ac:dyDescent="0.55000000000000004">
      <c r="A18" s="7386"/>
      <c r="B18" s="1958"/>
      <c r="C18" s="1973" t="s">
        <v>213</v>
      </c>
      <c r="D18" s="1974" cm="1">
        <f t="array" aca="1" ref="D18" ca="1">INDIRECT("'※ 팀별 작성_인프라_인력'!"&amp;D$1&amp;$AB18, TRUE)</f>
        <v>18.083333333333332</v>
      </c>
      <c r="E18" s="1974" cm="1">
        <f t="array" aca="1" ref="E18" ca="1">INDIRECT("'※ 팀별 작성_인프라_인력'!"&amp;E$1&amp;$AB18, TRUE)</f>
        <v>17.083333333333332</v>
      </c>
      <c r="F18" s="1975" cm="1">
        <f t="array" aca="1" ref="F18" ca="1">INDIRECT("'※ 팀별 작성_인프라_인력'!"&amp;F$1&amp;$AB18, TRUE)</f>
        <v>19</v>
      </c>
      <c r="G18" s="1976" cm="1">
        <f t="array" aca="1" ref="G18" ca="1">INDIRECT("'※ 팀별 작성_인프라_인력'!"&amp;G$1&amp;$AB18, TRUE)</f>
        <v>19</v>
      </c>
      <c r="H18" s="1976" cm="1">
        <f t="array" aca="1" ref="H18" ca="1">INDIRECT("'※ 팀별 작성_인프라_인력'!"&amp;H$1&amp;$AB18, TRUE)</f>
        <v>17</v>
      </c>
      <c r="I18" s="1976" cm="1">
        <f t="array" aca="1" ref="I18" ca="1">INDIRECT("'※ 팀별 작성_인프라_인력'!"&amp;I$1&amp;$AB18, TRUE)</f>
        <v>17</v>
      </c>
      <c r="J18" s="1976" cm="1">
        <f t="array" aca="1" ref="J18" ca="1">INDIRECT("'※ 팀별 작성_인프라_인력'!"&amp;J$1&amp;$AB18, TRUE)</f>
        <v>17</v>
      </c>
      <c r="K18" s="1974" cm="1">
        <f t="array" aca="1" ref="K18" ca="1">INDIRECT("'※ 팀별 작성_인프라_인력'!"&amp;K$1&amp;$AB18, TRUE)</f>
        <v>17.083333333333332</v>
      </c>
      <c r="L18" s="6475" cm="1">
        <f t="array" aca="1" ref="L18" ca="1">INDIRECT("'※ 팀별 작성_인프라_인력'!"&amp;L$1&amp;$AB18, TRUE)</f>
        <v>17</v>
      </c>
      <c r="M18" s="1976" cm="1">
        <f t="array" aca="1" ref="M18" ca="1">INDIRECT("'※ 팀별 작성_인프라_인력'!"&amp;M$1&amp;$AB18, TRUE)</f>
        <v>17</v>
      </c>
      <c r="N18" s="1977" cm="1">
        <f t="array" aca="1" ref="N18" ca="1">INDIRECT("'※ 팀별 작성_인프라_인력'!"&amp;N$1&amp;$AC18, TRUE)</f>
        <v>0</v>
      </c>
      <c r="O18" s="1976" cm="1">
        <f t="array" aca="1" ref="O18" ca="1">INDIRECT("'※ 팀별 작성_인프라_인력'!"&amp;O$1&amp;$AD18, TRUE)</f>
        <v>0</v>
      </c>
      <c r="P18" s="1978">
        <f t="shared" ca="1" si="20"/>
        <v>0</v>
      </c>
      <c r="Q18" s="1976">
        <f>'※ 팀별 작성_인프라_인력'!BX34</f>
        <v>1</v>
      </c>
      <c r="R18" s="1976">
        <f>'※ 팀별 작성_인프라_인력'!BX53</f>
        <v>0</v>
      </c>
      <c r="S18" s="1979">
        <f t="shared" si="4"/>
        <v>1</v>
      </c>
      <c r="T18" s="1980">
        <f>'※ 팀별 작성_인프라_인력'!BY111</f>
        <v>3.5</v>
      </c>
      <c r="U18" s="1981">
        <f>'※ 팀별 작성_인프라_인력'!BY130</f>
        <v>4.5</v>
      </c>
      <c r="V18" s="1982">
        <f>'※ 팀별 작성_인프라_인력'!BY147</f>
        <v>71</v>
      </c>
      <c r="W18" s="1983">
        <f>'※ 팀별 작성_인프라_인력'!BY163</f>
        <v>15.653481012658228</v>
      </c>
      <c r="X18" s="1984">
        <f>'※ 팀별 작성_인프라_인력'!CB163</f>
        <v>4.7726355315633882</v>
      </c>
      <c r="Y18" s="1985">
        <f>'※ 팀별 작성_인프라_인력'!BY180</f>
        <v>14.558823529411764</v>
      </c>
      <c r="Z18" s="1983">
        <f>'※ 팀별 작성_인프라_인력'!BY196</f>
        <v>9.9801798800799464</v>
      </c>
      <c r="AA18" s="1986">
        <f>'※ 팀별 작성_인프라_인력'!CB196</f>
        <v>1.0075041869352108</v>
      </c>
      <c r="AB18" s="1874">
        <f>ROW('※ 팀별 작성_인프라_인력'!AH15)</f>
        <v>15</v>
      </c>
      <c r="AC18" s="1863">
        <f>ROW('※ 팀별 작성_인프라_인력'!AI34)</f>
        <v>34</v>
      </c>
      <c r="AD18" s="1863">
        <f>ROW('※ 팀별 작성_인프라_인력'!AJ53)</f>
        <v>53</v>
      </c>
    </row>
    <row r="19" spans="1:30" x14ac:dyDescent="0.55000000000000004">
      <c r="A19" s="7386"/>
      <c r="B19" s="1958"/>
      <c r="C19" s="1973" t="s">
        <v>214</v>
      </c>
      <c r="D19" s="1974" cm="1">
        <f t="array" aca="1" ref="D19" ca="1">INDIRECT("'※ 팀별 작성_인프라_인력'!"&amp;D$1&amp;$AB19, TRUE)</f>
        <v>25.833333333333332</v>
      </c>
      <c r="E19" s="1974" cm="1">
        <f t="array" aca="1" ref="E19" ca="1">INDIRECT("'※ 팀별 작성_인프라_인력'!"&amp;E$1&amp;$AB19, TRUE)</f>
        <v>25.333333333333332</v>
      </c>
      <c r="F19" s="1975" cm="1">
        <f t="array" aca="1" ref="F19" ca="1">INDIRECT("'※ 팀별 작성_인프라_인력'!"&amp;F$1&amp;$AB19, TRUE)</f>
        <v>26</v>
      </c>
      <c r="G19" s="1976" cm="1">
        <f t="array" aca="1" ref="G19" ca="1">INDIRECT("'※ 팀별 작성_인프라_인력'!"&amp;G$1&amp;$AB19, TRUE)</f>
        <v>26</v>
      </c>
      <c r="H19" s="1976" cm="1">
        <f t="array" aca="1" ref="H19" ca="1">INDIRECT("'※ 팀별 작성_인프라_인력'!"&amp;H$1&amp;$AB19, TRUE)</f>
        <v>26</v>
      </c>
      <c r="I19" s="1976" cm="1">
        <f t="array" aca="1" ref="I19" ca="1">INDIRECT("'※ 팀별 작성_인프라_인력'!"&amp;I$1&amp;$AB19, TRUE)</f>
        <v>25</v>
      </c>
      <c r="J19" s="1976" cm="1">
        <f t="array" aca="1" ref="J19" ca="1">INDIRECT("'※ 팀별 작성_인프라_인력'!"&amp;J$1&amp;$AB19, TRUE)</f>
        <v>25</v>
      </c>
      <c r="K19" s="1974" cm="1">
        <f t="array" aca="1" ref="K19" ca="1">INDIRECT("'※ 팀별 작성_인프라_인력'!"&amp;K$1&amp;$AB19, TRUE)</f>
        <v>25.333333333333332</v>
      </c>
      <c r="L19" s="6475" cm="1">
        <f t="array" aca="1" ref="L19" ca="1">INDIRECT("'※ 팀별 작성_인프라_인력'!"&amp;L$1&amp;$AB19, TRUE)</f>
        <v>25</v>
      </c>
      <c r="M19" s="1976" cm="1">
        <f t="array" aca="1" ref="M19" ca="1">INDIRECT("'※ 팀별 작성_인프라_인력'!"&amp;M$1&amp;$AB19, TRUE)</f>
        <v>25</v>
      </c>
      <c r="N19" s="1977" cm="1">
        <f t="array" aca="1" ref="N19" ca="1">INDIRECT("'※ 팀별 작성_인프라_인력'!"&amp;N$1&amp;$AC19, TRUE)</f>
        <v>0</v>
      </c>
      <c r="O19" s="1976" cm="1">
        <f t="array" aca="1" ref="O19" ca="1">INDIRECT("'※ 팀별 작성_인프라_인력'!"&amp;O$1&amp;$AD19, TRUE)</f>
        <v>0</v>
      </c>
      <c r="P19" s="1978">
        <f t="shared" ca="1" si="20"/>
        <v>0</v>
      </c>
      <c r="Q19" s="1976">
        <f>'※ 팀별 작성_인프라_인력'!BX35</f>
        <v>0</v>
      </c>
      <c r="R19" s="1976">
        <f>'※ 팀별 작성_인프라_인력'!BX54</f>
        <v>0</v>
      </c>
      <c r="S19" s="1979">
        <f t="shared" si="4"/>
        <v>0</v>
      </c>
      <c r="T19" s="1980">
        <f>'※ 팀별 작성_인프라_인력'!BY112</f>
        <v>3.5</v>
      </c>
      <c r="U19" s="1981">
        <f>'※ 팀별 작성_인프라_인력'!BY131</f>
        <v>8.5</v>
      </c>
      <c r="V19" s="1982">
        <f>'※ 팀별 작성_인프라_인력'!BY148</f>
        <v>61.56</v>
      </c>
      <c r="W19" s="1983">
        <f>'※ 팀별 작성_인프라_인력'!BY164</f>
        <v>14.383177570093459</v>
      </c>
      <c r="X19" s="1984">
        <f>'※ 팀별 작성_인프라_인력'!CB164</f>
        <v>3.6623378022068938</v>
      </c>
      <c r="Y19" s="1985">
        <f>'※ 팀별 작성_인프라_인력'!BY181</f>
        <v>14.52</v>
      </c>
      <c r="Z19" s="1983">
        <f>'※ 팀별 작성_인프라_인력'!BY197</f>
        <v>5.3878504672897201</v>
      </c>
      <c r="AA19" s="1986">
        <f>'※ 팀별 작성_인프라_인력'!CB197</f>
        <v>1.054087514022938</v>
      </c>
      <c r="AB19" s="1874">
        <f>ROW('※ 팀별 작성_인프라_인력'!AH16)</f>
        <v>16</v>
      </c>
      <c r="AC19" s="1863">
        <f>ROW('※ 팀별 작성_인프라_인력'!AI35)</f>
        <v>35</v>
      </c>
      <c r="AD19" s="1863">
        <f>ROW('※ 팀별 작성_인프라_인력'!AJ54)</f>
        <v>54</v>
      </c>
    </row>
    <row r="20" spans="1:30" x14ac:dyDescent="0.55000000000000004">
      <c r="A20" s="7386"/>
      <c r="B20" s="1958"/>
      <c r="C20" s="1959" t="s">
        <v>215</v>
      </c>
      <c r="D20" s="1960" cm="1">
        <f t="array" aca="1" ref="D20" ca="1">INDIRECT("'※ 팀별 작성_인프라_인력'!"&amp;D$1&amp;$AB20, TRUE)</f>
        <v>31.916666666666668</v>
      </c>
      <c r="E20" s="1960" cm="1">
        <f t="array" aca="1" ref="E20" ca="1">INDIRECT("'※ 팀별 작성_인프라_인력'!"&amp;E$1&amp;$AB20, TRUE)</f>
        <v>31.083333333333332</v>
      </c>
      <c r="F20" s="1961" cm="1">
        <f t="array" aca="1" ref="F20" ca="1">INDIRECT("'※ 팀별 작성_인프라_인력'!"&amp;F$1&amp;$AB20, TRUE)</f>
        <v>33</v>
      </c>
      <c r="G20" s="1962" cm="1">
        <f t="array" aca="1" ref="G20" ca="1">INDIRECT("'※ 팀별 작성_인프라_인력'!"&amp;G$1&amp;$AB20, TRUE)</f>
        <v>31</v>
      </c>
      <c r="H20" s="1962" cm="1">
        <f t="array" aca="1" ref="H20" ca="1">INDIRECT("'※ 팀별 작성_인프라_인력'!"&amp;H$1&amp;$AB20, TRUE)</f>
        <v>31</v>
      </c>
      <c r="I20" s="1962" cm="1">
        <f t="array" aca="1" ref="I20" ca="1">INDIRECT("'※ 팀별 작성_인프라_인력'!"&amp;I$1&amp;$AB20, TRUE)</f>
        <v>31</v>
      </c>
      <c r="J20" s="1962" cm="1">
        <f t="array" aca="1" ref="J20" ca="1">INDIRECT("'※ 팀별 작성_인프라_인력'!"&amp;J$1&amp;$AB20, TRUE)</f>
        <v>29</v>
      </c>
      <c r="K20" s="1960" cm="1">
        <f t="array" aca="1" ref="K20" ca="1">INDIRECT("'※ 팀별 작성_인프라_인력'!"&amp;K$1&amp;$AB20, TRUE)</f>
        <v>31.083333333333332</v>
      </c>
      <c r="L20" s="6474" cm="1">
        <f t="array" aca="1" ref="L20" ca="1">INDIRECT("'※ 팀별 작성_인프라_인력'!"&amp;L$1&amp;$AB20, TRUE)</f>
        <v>30</v>
      </c>
      <c r="M20" s="1962" cm="1">
        <f t="array" aca="1" ref="M20" ca="1">INDIRECT("'※ 팀별 작성_인프라_인력'!"&amp;M$1&amp;$AB20, TRUE)</f>
        <v>30</v>
      </c>
      <c r="N20" s="1963" cm="1">
        <f t="array" aca="1" ref="N20" ca="1">INDIRECT("'※ 팀별 작성_인프라_인력'!"&amp;N$1&amp;$AC20, TRUE)</f>
        <v>0</v>
      </c>
      <c r="O20" s="1962" cm="1">
        <f t="array" aca="1" ref="O20" ca="1">INDIRECT("'※ 팀별 작성_인프라_인력'!"&amp;O$1&amp;$AD20, TRUE)</f>
        <v>0</v>
      </c>
      <c r="P20" s="1964">
        <f ca="1">N20-O20</f>
        <v>0</v>
      </c>
      <c r="Q20" s="1962">
        <f>'※ 팀별 작성_인프라_인력'!BX36</f>
        <v>0</v>
      </c>
      <c r="R20" s="1962">
        <f>'※ 팀별 작성_인프라_인력'!BX55</f>
        <v>0</v>
      </c>
      <c r="S20" s="1965">
        <f t="shared" si="4"/>
        <v>0</v>
      </c>
      <c r="T20" s="1966">
        <f>'※ 팀별 작성_인프라_인력'!BY113</f>
        <v>1</v>
      </c>
      <c r="U20" s="1967">
        <f>'※ 팀별 작성_인프라_인력'!BY132</f>
        <v>12</v>
      </c>
      <c r="V20" s="1968">
        <f>'※ 팀별 작성_인프라_인력'!BY149</f>
        <v>68.633333333333326</v>
      </c>
      <c r="W20" s="1969">
        <f>'※ 팀별 작성_인프라_인력'!BY165</f>
        <v>14.102739726027396</v>
      </c>
      <c r="X20" s="1970">
        <f>'※ 팀별 작성_인프라_인력'!CB165</f>
        <v>2.8195002650326177</v>
      </c>
      <c r="Y20" s="1971">
        <f>'※ 팀별 작성_인프라_인력'!BY182</f>
        <v>15.816666666666666</v>
      </c>
      <c r="Z20" s="1969">
        <f>'※ 팀별 작성_인프라_인력'!BY198</f>
        <v>1.6369863013698631</v>
      </c>
      <c r="AA20" s="1972">
        <f>'※ 팀별 작성_인프라_인력'!CB198</f>
        <v>0.90262164632350617</v>
      </c>
      <c r="AB20" s="1874">
        <f>ROW('※ 팀별 작성_인프라_인력'!AH17)</f>
        <v>17</v>
      </c>
      <c r="AC20" s="1863">
        <f>ROW('※ 팀별 작성_인프라_인력'!AI36)</f>
        <v>36</v>
      </c>
      <c r="AD20" s="1863">
        <f>ROW('※ 팀별 작성_인프라_인력'!AJ55)</f>
        <v>55</v>
      </c>
    </row>
    <row r="21" spans="1:30" x14ac:dyDescent="0.55000000000000004">
      <c r="A21" s="7386"/>
      <c r="B21" s="1958"/>
      <c r="C21" s="1959" t="s">
        <v>216</v>
      </c>
      <c r="D21" s="1960" cm="1">
        <f t="array" aca="1" ref="D21" ca="1">INDIRECT("'※ 팀별 작성_인프라_인력'!"&amp;D$1&amp;$AB21, TRUE)</f>
        <v>21.75</v>
      </c>
      <c r="E21" s="1960" cm="1">
        <f t="array" aca="1" ref="E21" ca="1">INDIRECT("'※ 팀별 작성_인프라_인력'!"&amp;E$1&amp;$AB21, TRUE)</f>
        <v>21.333333333333332</v>
      </c>
      <c r="F21" s="1961" cm="1">
        <f t="array" aca="1" ref="F21" ca="1">INDIRECT("'※ 팀별 작성_인프라_인력'!"&amp;F$1&amp;$AB21, TRUE)</f>
        <v>22</v>
      </c>
      <c r="G21" s="1962" cm="1">
        <f t="array" aca="1" ref="G21" ca="1">INDIRECT("'※ 팀별 작성_인프라_인력'!"&amp;G$1&amp;$AB21, TRUE)</f>
        <v>22</v>
      </c>
      <c r="H21" s="1962" cm="1">
        <f t="array" aca="1" ref="H21" ca="1">INDIRECT("'※ 팀별 작성_인프라_인력'!"&amp;H$1&amp;$AB21, TRUE)</f>
        <v>22</v>
      </c>
      <c r="I21" s="1962" cm="1">
        <f t="array" aca="1" ref="I21" ca="1">INDIRECT("'※ 팀별 작성_인프라_인력'!"&amp;I$1&amp;$AB21, TRUE)</f>
        <v>22</v>
      </c>
      <c r="J21" s="1962" cm="1">
        <f t="array" aca="1" ref="J21" ca="1">INDIRECT("'※ 팀별 작성_인프라_인력'!"&amp;J$1&amp;$AB21, TRUE)</f>
        <v>21</v>
      </c>
      <c r="K21" s="1960" cm="1">
        <f t="array" aca="1" ref="K21" ca="1">INDIRECT("'※ 팀별 작성_인프라_인력'!"&amp;K$1&amp;$AB21, TRUE)</f>
        <v>21.333333333333332</v>
      </c>
      <c r="L21" s="6474" cm="1">
        <f t="array" aca="1" ref="L21" ca="1">INDIRECT("'※ 팀별 작성_인프라_인력'!"&amp;L$1&amp;$AB21, TRUE)</f>
        <v>20</v>
      </c>
      <c r="M21" s="1962" cm="1">
        <f t="array" aca="1" ref="M21" ca="1">INDIRECT("'※ 팀별 작성_인프라_인력'!"&amp;M$1&amp;$AB21, TRUE)</f>
        <v>20</v>
      </c>
      <c r="N21" s="1963" cm="1">
        <f t="array" aca="1" ref="N21" ca="1">INDIRECT("'※ 팀별 작성_인프라_인력'!"&amp;N$1&amp;$AC21, TRUE)</f>
        <v>0</v>
      </c>
      <c r="O21" s="1962" cm="1">
        <f t="array" aca="1" ref="O21" ca="1">INDIRECT("'※ 팀별 작성_인프라_인력'!"&amp;O$1&amp;$AD21, TRUE)</f>
        <v>0</v>
      </c>
      <c r="P21" s="1964">
        <f t="shared" ca="1" si="20"/>
        <v>0</v>
      </c>
      <c r="Q21" s="1962">
        <f>'※ 팀별 작성_인프라_인력'!BX37</f>
        <v>0</v>
      </c>
      <c r="R21" s="1962">
        <f>'※ 팀별 작성_인프라_인력'!BX56</f>
        <v>0</v>
      </c>
      <c r="S21" s="1965">
        <f t="shared" si="4"/>
        <v>0</v>
      </c>
      <c r="T21" s="1966">
        <f>'※ 팀별 작성_인프라_인력'!BY114</f>
        <v>1.5</v>
      </c>
      <c r="U21" s="1967">
        <f>'※ 팀별 작성_인프라_인력'!BY133</f>
        <v>6</v>
      </c>
      <c r="V21" s="1968">
        <f>'※ 팀별 작성_인프라_인력'!BY150</f>
        <v>66.3</v>
      </c>
      <c r="W21" s="1969">
        <f>'※ 팀별 작성_인프라_인력'!BY166</f>
        <v>14.630036630036631</v>
      </c>
      <c r="X21" s="1970">
        <f>'※ 팀별 작성_인프라_인력'!CB166</f>
        <v>1.6600288149451643</v>
      </c>
      <c r="Y21" s="1971">
        <f>'※ 팀별 작성_인프라_인력'!BY183</f>
        <v>15.45</v>
      </c>
      <c r="Z21" s="1969">
        <f>'※ 팀별 작성_인프라_인력'!BY199</f>
        <v>2.7433455433455434</v>
      </c>
      <c r="AA21" s="1972">
        <f>'※ 팀별 작성_인프라_인력'!CB199</f>
        <v>0.72587128393543487</v>
      </c>
      <c r="AB21" s="1874">
        <f>ROW('※ 팀별 작성_인프라_인력'!AH18)</f>
        <v>18</v>
      </c>
      <c r="AC21" s="1863">
        <f>ROW('※ 팀별 작성_인프라_인력'!AI37)</f>
        <v>37</v>
      </c>
      <c r="AD21" s="1863">
        <f>ROW('※ 팀별 작성_인프라_인력'!AJ56)</f>
        <v>56</v>
      </c>
    </row>
    <row r="22" spans="1:30" x14ac:dyDescent="0.55000000000000004">
      <c r="A22" s="7386"/>
      <c r="B22" s="1958"/>
      <c r="C22" s="1973" t="s">
        <v>217</v>
      </c>
      <c r="D22" s="1974" cm="1">
        <f t="array" aca="1" ref="D22" ca="1">INDIRECT("'※ 팀별 작성_인프라_인력'!"&amp;D$1&amp;$AB22, TRUE)</f>
        <v>29.416666666666668</v>
      </c>
      <c r="E22" s="1974" cm="1">
        <f t="array" aca="1" ref="E22" ca="1">INDIRECT("'※ 팀별 작성_인프라_인력'!"&amp;E$1&amp;$AB22, TRUE)</f>
        <v>28.25</v>
      </c>
      <c r="F22" s="1975" cm="1">
        <f t="array" aca="1" ref="F22" ca="1">INDIRECT("'※ 팀별 작성_인프라_인력'!"&amp;F$1&amp;$AB22, TRUE)</f>
        <v>29</v>
      </c>
      <c r="G22" s="1976" cm="1">
        <f t="array" aca="1" ref="G22" ca="1">INDIRECT("'※ 팀별 작성_인프라_인력'!"&amp;G$1&amp;$AB22, TRUE)</f>
        <v>28</v>
      </c>
      <c r="H22" s="1976" cm="1">
        <f t="array" aca="1" ref="H22" ca="1">INDIRECT("'※ 팀별 작성_인프라_인력'!"&amp;H$1&amp;$AB22, TRUE)</f>
        <v>28</v>
      </c>
      <c r="I22" s="1976" cm="1">
        <f t="array" aca="1" ref="I22" ca="1">INDIRECT("'※ 팀별 작성_인프라_인력'!"&amp;I$1&amp;$AB22, TRUE)</f>
        <v>28</v>
      </c>
      <c r="J22" s="1976" cm="1">
        <f t="array" aca="1" ref="J22" ca="1">INDIRECT("'※ 팀별 작성_인프라_인력'!"&amp;J$1&amp;$AB22, TRUE)</f>
        <v>28</v>
      </c>
      <c r="K22" s="1974" cm="1">
        <f t="array" aca="1" ref="K22" ca="1">INDIRECT("'※ 팀별 작성_인프라_인력'!"&amp;K$1&amp;$AB22, TRUE)</f>
        <v>28.25</v>
      </c>
      <c r="L22" s="6475" cm="1">
        <f t="array" aca="1" ref="L22" ca="1">INDIRECT("'※ 팀별 작성_인프라_인력'!"&amp;L$1&amp;$AB22, TRUE)</f>
        <v>28</v>
      </c>
      <c r="M22" s="1976" cm="1">
        <f t="array" aca="1" ref="M22" ca="1">INDIRECT("'※ 팀별 작성_인프라_인력'!"&amp;M$1&amp;$AB22, TRUE)</f>
        <v>29</v>
      </c>
      <c r="N22" s="1977" cm="1">
        <f t="array" aca="1" ref="N22" ca="1">INDIRECT("'※ 팀별 작성_인프라_인력'!"&amp;N$1&amp;$AC22, TRUE)</f>
        <v>1</v>
      </c>
      <c r="O22" s="1976" cm="1">
        <f t="array" aca="1" ref="O22" ca="1">INDIRECT("'※ 팀별 작성_인프라_인력'!"&amp;O$1&amp;$AD22, TRUE)</f>
        <v>0</v>
      </c>
      <c r="P22" s="1978">
        <f t="shared" ca="1" si="20"/>
        <v>1</v>
      </c>
      <c r="Q22" s="1976">
        <f>'※ 팀별 작성_인프라_인력'!BX38</f>
        <v>1</v>
      </c>
      <c r="R22" s="1976">
        <f>'※ 팀별 작성_인프라_인력'!BX57</f>
        <v>0</v>
      </c>
      <c r="S22" s="1979">
        <f>Q22-R22</f>
        <v>1</v>
      </c>
      <c r="T22" s="1980">
        <f>'※ 팀별 작성_인프라_인력'!BY115</f>
        <v>6.5</v>
      </c>
      <c r="U22" s="1981">
        <f>'※ 팀별 작성_인프라_인력'!BY134</f>
        <v>8</v>
      </c>
      <c r="V22" s="1982">
        <f>'※ 팀별 작성_인프라_인력'!BY151</f>
        <v>67.875615763546804</v>
      </c>
      <c r="W22" s="1983">
        <f>'※ 팀별 작성_인프라_인력'!BY167</f>
        <v>15.34601814516129</v>
      </c>
      <c r="X22" s="1984">
        <f>'※ 팀별 작성_인프라_인력'!CB167</f>
        <v>2.2402942692898939</v>
      </c>
      <c r="Y22" s="1985">
        <f>'※ 팀별 작성_인프라_인력'!BY184</f>
        <v>14.770320197044335</v>
      </c>
      <c r="Z22" s="1983">
        <f>'※ 팀별 작성_인프라_인력'!BY200</f>
        <v>1.9789566532258065</v>
      </c>
      <c r="AA22" s="1986">
        <f>'※ 팀별 작성_인프라_인력'!CB200</f>
        <v>0.78864132136483089</v>
      </c>
      <c r="AB22" s="1874">
        <f>ROW('※ 팀별 작성_인프라_인력'!AH19)</f>
        <v>19</v>
      </c>
      <c r="AC22" s="1863">
        <f>ROW('※ 팀별 작성_인프라_인력'!AI38)</f>
        <v>38</v>
      </c>
      <c r="AD22" s="1863">
        <f>ROW('※ 팀별 작성_인프라_인력'!AJ57)</f>
        <v>57</v>
      </c>
    </row>
    <row r="23" spans="1:30" x14ac:dyDescent="0.55000000000000004">
      <c r="A23" s="7386"/>
      <c r="B23" s="1958"/>
      <c r="C23" s="1973" t="s">
        <v>218</v>
      </c>
      <c r="D23" s="1974" cm="1">
        <f t="array" aca="1" ref="D23" ca="1">INDIRECT("'※ 팀별 작성_인프라_인력'!"&amp;D$1&amp;$AB23, TRUE)</f>
        <v>30.833333333333332</v>
      </c>
      <c r="E23" s="1974" cm="1">
        <f t="array" aca="1" ref="E23" ca="1">INDIRECT("'※ 팀별 작성_인프라_인력'!"&amp;E$1&amp;$AB23, TRUE)</f>
        <v>29</v>
      </c>
      <c r="F23" s="1975" cm="1">
        <f t="array" aca="1" ref="F23" ca="1">INDIRECT("'※ 팀별 작성_인프라_인력'!"&amp;F$1&amp;$AB23, TRUE)</f>
        <v>29</v>
      </c>
      <c r="G23" s="1976" cm="1">
        <f t="array" aca="1" ref="G23" ca="1">INDIRECT("'※ 팀별 작성_인프라_인력'!"&amp;G$1&amp;$AB23, TRUE)</f>
        <v>29</v>
      </c>
      <c r="H23" s="1976" cm="1">
        <f t="array" aca="1" ref="H23" ca="1">INDIRECT("'※ 팀별 작성_인프라_인력'!"&amp;H$1&amp;$AB23, TRUE)</f>
        <v>29</v>
      </c>
      <c r="I23" s="1976" cm="1">
        <f t="array" aca="1" ref="I23" ca="1">INDIRECT("'※ 팀별 작성_인프라_인력'!"&amp;I$1&amp;$AB23, TRUE)</f>
        <v>29</v>
      </c>
      <c r="J23" s="1976" cm="1">
        <f t="array" aca="1" ref="J23" ca="1">INDIRECT("'※ 팀별 작성_인프라_인력'!"&amp;J$1&amp;$AB23, TRUE)</f>
        <v>29</v>
      </c>
      <c r="K23" s="1974" cm="1">
        <f t="array" aca="1" ref="K23" ca="1">INDIRECT("'※ 팀별 작성_인프라_인력'!"&amp;K$1&amp;$AB23, TRUE)</f>
        <v>29</v>
      </c>
      <c r="L23" s="6475" cm="1">
        <f t="array" aca="1" ref="L23" ca="1">INDIRECT("'※ 팀별 작성_인프라_인력'!"&amp;L$1&amp;$AB23, TRUE)</f>
        <v>29</v>
      </c>
      <c r="M23" s="1976" cm="1">
        <f t="array" aca="1" ref="M23" ca="1">INDIRECT("'※ 팀별 작성_인프라_인력'!"&amp;M$1&amp;$AB23, TRUE)</f>
        <v>29</v>
      </c>
      <c r="N23" s="1977" cm="1">
        <f t="array" aca="1" ref="N23" ca="1">INDIRECT("'※ 팀별 작성_인프라_인력'!"&amp;N$1&amp;$AC23, TRUE)</f>
        <v>0</v>
      </c>
      <c r="O23" s="1976" cm="1">
        <f t="array" aca="1" ref="O23" ca="1">INDIRECT("'※ 팀별 작성_인프라_인력'!"&amp;O$1&amp;$AD23, TRUE)</f>
        <v>0</v>
      </c>
      <c r="P23" s="1978">
        <f t="shared" ca="1" si="20"/>
        <v>0</v>
      </c>
      <c r="Q23" s="1976">
        <f>'※ 팀별 작성_인프라_인력'!BX39</f>
        <v>0</v>
      </c>
      <c r="R23" s="1976">
        <f>'※ 팀별 작성_인프라_인력'!BX58</f>
        <v>0</v>
      </c>
      <c r="S23" s="1979">
        <f t="shared" si="4"/>
        <v>0</v>
      </c>
      <c r="T23" s="1980">
        <f>'※ 팀별 작성_인프라_인력'!BY116</f>
        <v>5.5</v>
      </c>
      <c r="U23" s="1981">
        <f>'※ 팀별 작성_인프라_인력'!BY135</f>
        <v>9.5</v>
      </c>
      <c r="V23" s="1982">
        <f>'※ 팀별 작성_인프라_인력'!BY152</f>
        <v>64.431034482758619</v>
      </c>
      <c r="W23" s="1983">
        <f>'※ 팀별 작성_인프라_인력'!BY168</f>
        <v>14.916090629800308</v>
      </c>
      <c r="X23" s="1984">
        <f>'※ 팀별 작성_인프라_인력'!CB168</f>
        <v>2.2751113861008534</v>
      </c>
      <c r="Y23" s="1985">
        <f>'※ 팀별 작성_인프라_인력'!BY185</f>
        <v>12.086206896551724</v>
      </c>
      <c r="Z23" s="1983">
        <f>'※ 팀별 작성_인프라_인력'!BY201</f>
        <v>2.8998335893497185</v>
      </c>
      <c r="AA23" s="1986">
        <f>'※ 팀별 작성_인프라_인력'!CB201</f>
        <v>0.47838608566322138</v>
      </c>
      <c r="AB23" s="1874">
        <f>ROW('※ 팀별 작성_인프라_인력'!AH20)</f>
        <v>20</v>
      </c>
      <c r="AC23" s="1863">
        <f>ROW('※ 팀별 작성_인프라_인력'!AI39)</f>
        <v>39</v>
      </c>
      <c r="AD23" s="1863">
        <f>ROW('※ 팀별 작성_인프라_인력'!AJ58)</f>
        <v>58</v>
      </c>
    </row>
    <row r="24" spans="1:30" x14ac:dyDescent="0.55000000000000004">
      <c r="A24" s="7386"/>
      <c r="B24" s="1958"/>
      <c r="C24" s="1959" t="s">
        <v>219</v>
      </c>
      <c r="D24" s="1960" cm="1">
        <f t="array" aca="1" ref="D24" ca="1">INDIRECT("'※ 팀별 작성_인프라_인력'!"&amp;D$1&amp;$AB24, TRUE)</f>
        <v>28.666666666666668</v>
      </c>
      <c r="E24" s="1960" cm="1">
        <f t="array" aca="1" ref="E24" ca="1">INDIRECT("'※ 팀별 작성_인프라_인력'!"&amp;E$1&amp;$AB24, TRUE)</f>
        <v>27.583333333333332</v>
      </c>
      <c r="F24" s="1961" cm="1">
        <f t="array" aca="1" ref="F24" ca="1">INDIRECT("'※ 팀별 작성_인프라_인력'!"&amp;F$1&amp;$AB24, TRUE)</f>
        <v>29</v>
      </c>
      <c r="G24" s="1962" cm="1">
        <f t="array" aca="1" ref="G24" ca="1">INDIRECT("'※ 팀별 작성_인프라_인력'!"&amp;G$1&amp;$AB24, TRUE)</f>
        <v>28</v>
      </c>
      <c r="H24" s="1962" cm="1">
        <f t="array" aca="1" ref="H24" ca="1">INDIRECT("'※ 팀별 작성_인프라_인력'!"&amp;H$1&amp;$AB24, TRUE)</f>
        <v>28</v>
      </c>
      <c r="I24" s="1962" cm="1">
        <f t="array" aca="1" ref="I24" ca="1">INDIRECT("'※ 팀별 작성_인프라_인력'!"&amp;I$1&amp;$AB24, TRUE)</f>
        <v>28</v>
      </c>
      <c r="J24" s="1962" cm="1">
        <f t="array" aca="1" ref="J24" ca="1">INDIRECT("'※ 팀별 작성_인프라_인력'!"&amp;J$1&amp;$AB24, TRUE)</f>
        <v>27</v>
      </c>
      <c r="K24" s="1960" cm="1">
        <f t="array" aca="1" ref="K24" ca="1">INDIRECT("'※ 팀별 작성_인프라_인력'!"&amp;K$1&amp;$AB24, TRUE)</f>
        <v>27.583333333333332</v>
      </c>
      <c r="L24" s="6474" cm="1">
        <f t="array" aca="1" ref="L24" ca="1">INDIRECT("'※ 팀별 작성_인프라_인력'!"&amp;L$1&amp;$AB24, TRUE)</f>
        <v>27</v>
      </c>
      <c r="M24" s="1962" cm="1">
        <f t="array" aca="1" ref="M24" ca="1">INDIRECT("'※ 팀별 작성_인프라_인력'!"&amp;M$1&amp;$AB24, TRUE)</f>
        <v>27</v>
      </c>
      <c r="N24" s="1963" cm="1">
        <f t="array" aca="1" ref="N24" ca="1">INDIRECT("'※ 팀별 작성_인프라_인력'!"&amp;N$1&amp;$AC24, TRUE)</f>
        <v>0</v>
      </c>
      <c r="O24" s="1962" cm="1">
        <f t="array" aca="1" ref="O24" ca="1">INDIRECT("'※ 팀별 작성_인프라_인력'!"&amp;O$1&amp;$AD24, TRUE)</f>
        <v>0</v>
      </c>
      <c r="P24" s="1964">
        <f t="shared" ca="1" si="20"/>
        <v>0</v>
      </c>
      <c r="Q24" s="1962">
        <f>'※ 팀별 작성_인프라_인력'!BX40</f>
        <v>0</v>
      </c>
      <c r="R24" s="1962">
        <f>'※ 팀별 작성_인프라_인력'!BX59</f>
        <v>0</v>
      </c>
      <c r="S24" s="1965">
        <f t="shared" si="4"/>
        <v>0</v>
      </c>
      <c r="T24" s="1966">
        <f>'※ 팀별 작성_인프라_인력'!BY117</f>
        <v>6</v>
      </c>
      <c r="U24" s="1967">
        <f>'※ 팀별 작성_인프라_인력'!BY136</f>
        <v>11.5</v>
      </c>
      <c r="V24" s="1968">
        <f>'※ 팀별 작성_인프라_인력'!BY153</f>
        <v>56.537037037037038</v>
      </c>
      <c r="W24" s="1969">
        <f>'※ 팀별 작성_인프라_인력'!BY169</f>
        <v>13.187030843552584</v>
      </c>
      <c r="X24" s="1970">
        <f>'※ 팀별 작성_인프라_인력'!CB169</f>
        <v>0.61588151533092272</v>
      </c>
      <c r="Y24" s="1971">
        <f>'※ 팀별 작성_인프라_인력'!BY186</f>
        <v>11.685185185185185</v>
      </c>
      <c r="Z24" s="1969">
        <f>'※ 팀별 작성_인프라_인력'!BY202</f>
        <v>4.0965068747677442</v>
      </c>
      <c r="AA24" s="1972">
        <f>'※ 팀별 작성_인프라_인력'!CB202</f>
        <v>0.22463810074825741</v>
      </c>
      <c r="AB24" s="1874">
        <f>ROW('※ 팀별 작성_인프라_인력'!AH21)</f>
        <v>21</v>
      </c>
      <c r="AC24" s="1863">
        <f>ROW('※ 팀별 작성_인프라_인력'!AI40)</f>
        <v>40</v>
      </c>
      <c r="AD24" s="1863">
        <f>ROW('※ 팀별 작성_인프라_인력'!AJ59)</f>
        <v>59</v>
      </c>
    </row>
    <row r="25" spans="1:30" ht="12.55" customHeight="1" thickBot="1" x14ac:dyDescent="0.6">
      <c r="A25" s="7387"/>
      <c r="B25" s="1987"/>
      <c r="C25" s="1988" t="s">
        <v>220</v>
      </c>
      <c r="D25" s="1989" cm="1">
        <f t="array" aca="1" ref="D25" ca="1">INDIRECT("'※ 팀별 작성_인프라_인력'!"&amp;D$1&amp;$AB25, TRUE)</f>
        <v>29.25</v>
      </c>
      <c r="E25" s="1989" cm="1">
        <f t="array" aca="1" ref="E25" ca="1">INDIRECT("'※ 팀별 작성_인프라_인력'!"&amp;E$1&amp;$AB25, TRUE)</f>
        <v>27.416666666666668</v>
      </c>
      <c r="F25" s="1990" cm="1">
        <f t="array" aca="1" ref="F25" ca="1">INDIRECT("'※ 팀별 작성_인프라_인력'!"&amp;F$1&amp;$AB25, TRUE)</f>
        <v>29</v>
      </c>
      <c r="G25" s="1991" cm="1">
        <f t="array" aca="1" ref="G25" ca="1">INDIRECT("'※ 팀별 작성_인프라_인력'!"&amp;G$1&amp;$AB25, TRUE)</f>
        <v>29</v>
      </c>
      <c r="H25" s="1991" cm="1">
        <f t="array" aca="1" ref="H25" ca="1">INDIRECT("'※ 팀별 작성_인프라_인력'!"&amp;H$1&amp;$AB25, TRUE)</f>
        <v>27</v>
      </c>
      <c r="I25" s="1991" cm="1">
        <f t="array" aca="1" ref="I25" ca="1">INDIRECT("'※ 팀별 작성_인프라_인력'!"&amp;I$1&amp;$AB25, TRUE)</f>
        <v>27</v>
      </c>
      <c r="J25" s="1991" cm="1">
        <f t="array" aca="1" ref="J25" ca="1">INDIRECT("'※ 팀별 작성_인프라_인력'!"&amp;J$1&amp;$AB25, TRUE)</f>
        <v>27</v>
      </c>
      <c r="K25" s="1989" cm="1">
        <f t="array" aca="1" ref="K25" ca="1">INDIRECT("'※ 팀별 작성_인프라_인력'!"&amp;K$1&amp;$AB25, TRUE)</f>
        <v>27.416666666666668</v>
      </c>
      <c r="L25" s="6476" cm="1">
        <f t="array" aca="1" ref="L25" ca="1">INDIRECT("'※ 팀별 작성_인프라_인력'!"&amp;L$1&amp;$AB25, TRUE)</f>
        <v>27</v>
      </c>
      <c r="M25" s="1991" cm="1">
        <f t="array" aca="1" ref="M25" ca="1">INDIRECT("'※ 팀별 작성_인프라_인력'!"&amp;M$1&amp;$AB25, TRUE)</f>
        <v>27</v>
      </c>
      <c r="N25" s="1992" cm="1">
        <f t="array" aca="1" ref="N25" ca="1">INDIRECT("'※ 팀별 작성_인프라_인력'!"&amp;N$1&amp;$AC25, TRUE)</f>
        <v>0</v>
      </c>
      <c r="O25" s="1991" cm="1">
        <f t="array" aca="1" ref="O25" ca="1">INDIRECT("'※ 팀별 작성_인프라_인력'!"&amp;O$1&amp;$AD25, TRUE)</f>
        <v>0</v>
      </c>
      <c r="P25" s="1993">
        <f t="shared" ca="1" si="20"/>
        <v>0</v>
      </c>
      <c r="Q25" s="1991">
        <f>'※ 팀별 작성_인프라_인력'!BX41</f>
        <v>0</v>
      </c>
      <c r="R25" s="1991">
        <f>'※ 팀별 작성_인프라_인력'!BX60</f>
        <v>0</v>
      </c>
      <c r="S25" s="1994">
        <f t="shared" si="4"/>
        <v>0</v>
      </c>
      <c r="T25" s="1995">
        <f>'※ 팀별 작성_인프라_인력'!BY118</f>
        <v>5.5</v>
      </c>
      <c r="U25" s="1996">
        <f>'※ 팀별 작성_인프라_인력'!BY137</f>
        <v>9.5</v>
      </c>
      <c r="V25" s="1997">
        <f>'※ 팀별 작성_인프라_인력'!BY154</f>
        <v>61.68518518518519</v>
      </c>
      <c r="W25" s="1998">
        <f>'※ 팀별 작성_인프라_인력'!BY170</f>
        <v>14.738938053097346</v>
      </c>
      <c r="X25" s="1999">
        <f>'※ 팀별 작성_인프라_인력'!CB170</f>
        <v>0.97963461486468617</v>
      </c>
      <c r="Y25" s="2000">
        <f>'※ 팀별 작성_인프라_인력'!BY187</f>
        <v>9.6666666666666679</v>
      </c>
      <c r="Z25" s="1998">
        <f>'※ 팀별 작성_인프라_인력'!BY203</f>
        <v>2.7345132743362832</v>
      </c>
      <c r="AA25" s="2001">
        <f>'※ 팀별 작성_인프라_인력'!CB203</f>
        <v>0.52756494049303271</v>
      </c>
      <c r="AB25" s="1874">
        <f>ROW('※ 팀별 작성_인프라_인력'!AH22)</f>
        <v>22</v>
      </c>
      <c r="AC25" s="1863">
        <f>ROW('※ 팀별 작성_인프라_인력'!AI41)</f>
        <v>41</v>
      </c>
      <c r="AD25" s="1863">
        <f>ROW('※ 팀별 작성_인프라_인력'!AJ60)</f>
        <v>60</v>
      </c>
    </row>
    <row r="26" spans="1:30" s="555" customFormat="1" ht="16.3" hidden="1" x14ac:dyDescent="0.55000000000000004">
      <c r="A26" s="2002"/>
      <c r="B26" s="2003"/>
      <c r="C26" s="2003"/>
      <c r="D26" s="2004"/>
      <c r="E26" s="2004"/>
      <c r="F26" s="2004"/>
      <c r="G26" s="2004"/>
      <c r="H26" s="2004"/>
      <c r="I26" s="2004"/>
      <c r="J26" s="2004"/>
      <c r="K26" s="2004"/>
      <c r="L26" s="2004"/>
      <c r="M26" s="2004"/>
      <c r="N26" s="2004"/>
      <c r="O26" s="2004"/>
      <c r="P26" s="2005"/>
      <c r="Q26" s="2004"/>
      <c r="R26" s="2004"/>
      <c r="S26" s="2005"/>
      <c r="T26" s="2004"/>
      <c r="U26" s="2004"/>
      <c r="V26" s="2006"/>
      <c r="W26" s="2006"/>
      <c r="X26" s="2007"/>
      <c r="Y26" s="2006"/>
      <c r="Z26" s="2006"/>
      <c r="AA26" s="630"/>
      <c r="AB26" s="2008"/>
      <c r="AC26" s="2009"/>
      <c r="AD26" s="2009"/>
    </row>
    <row r="27" spans="1:30" s="555" customFormat="1" ht="21" hidden="1" customHeight="1" thickBot="1" x14ac:dyDescent="0.6">
      <c r="A27" s="2002"/>
      <c r="B27" s="2003"/>
      <c r="C27" s="2003"/>
      <c r="D27" s="2004"/>
      <c r="E27" s="2004"/>
      <c r="F27" s="7403"/>
      <c r="G27" s="7403"/>
      <c r="H27" s="7403"/>
      <c r="I27" s="7403"/>
      <c r="J27" s="2010"/>
      <c r="K27" s="2004"/>
      <c r="L27" s="2010"/>
      <c r="M27" s="2010"/>
      <c r="N27" s="2011"/>
      <c r="O27" s="2011"/>
      <c r="P27" s="7420" t="s">
        <v>241</v>
      </c>
      <c r="Q27" s="7420"/>
      <c r="R27" s="7420"/>
      <c r="S27" s="7417" t="s">
        <v>443</v>
      </c>
      <c r="T27" s="7417"/>
      <c r="U27" s="7417"/>
      <c r="V27" s="7417" t="s">
        <v>845</v>
      </c>
      <c r="W27" s="7417"/>
      <c r="X27" s="7417"/>
      <c r="Y27" s="7417" t="s">
        <v>846</v>
      </c>
      <c r="Z27" s="7417"/>
      <c r="AA27" s="7417"/>
      <c r="AB27" s="2008"/>
      <c r="AC27" s="2009"/>
      <c r="AD27" s="2009"/>
    </row>
    <row r="28" spans="1:30" s="555" customFormat="1" ht="17.149999999999999" hidden="1" thickTop="1" thickBot="1" x14ac:dyDescent="0.6">
      <c r="A28" s="559" t="s">
        <v>778</v>
      </c>
      <c r="B28" s="2012"/>
      <c r="C28" s="2013"/>
      <c r="D28" s="1507" t="s">
        <v>830</v>
      </c>
      <c r="E28" s="1508" t="s">
        <v>829</v>
      </c>
      <c r="F28" s="1155" t="s">
        <v>344</v>
      </c>
      <c r="G28" s="1155" t="s">
        <v>345</v>
      </c>
      <c r="H28" s="1155" t="s">
        <v>346</v>
      </c>
      <c r="I28" s="1155" t="s">
        <v>347</v>
      </c>
      <c r="J28" s="1155" t="s">
        <v>348</v>
      </c>
      <c r="K28" s="6246" t="s">
        <v>829</v>
      </c>
      <c r="L28" s="2014"/>
      <c r="M28" s="2014"/>
      <c r="N28" s="7416" t="s">
        <v>850</v>
      </c>
      <c r="O28" s="7416"/>
      <c r="P28" s="2015" t="s">
        <v>826</v>
      </c>
      <c r="Q28" s="2015" t="s">
        <v>827</v>
      </c>
      <c r="R28" s="2015" t="s">
        <v>828</v>
      </c>
      <c r="S28" s="2016" t="s">
        <v>826</v>
      </c>
      <c r="T28" s="2016" t="s">
        <v>827</v>
      </c>
      <c r="U28" s="2017" t="s">
        <v>828</v>
      </c>
      <c r="V28" s="2016" t="s">
        <v>826</v>
      </c>
      <c r="W28" s="2016" t="s">
        <v>827</v>
      </c>
      <c r="X28" s="2018" t="s">
        <v>828</v>
      </c>
      <c r="Y28" s="2016" t="s">
        <v>847</v>
      </c>
      <c r="Z28" s="2016" t="s">
        <v>848</v>
      </c>
      <c r="AA28" s="2018" t="s">
        <v>849</v>
      </c>
      <c r="AB28" s="2008"/>
      <c r="AC28" s="2009"/>
      <c r="AD28" s="2009"/>
    </row>
    <row r="29" spans="1:30" s="555" customFormat="1" hidden="1" x14ac:dyDescent="0.55000000000000004">
      <c r="A29" s="7413" t="s">
        <v>1096</v>
      </c>
      <c r="B29" s="2019" t="s">
        <v>764</v>
      </c>
      <c r="C29" s="2019"/>
      <c r="D29" s="2020" t="e" cm="1">
        <f t="array" aca="1" ref="D29" ca="1">INDIRECT("'※ 팀별 작성_인프라_인력'!"&amp;D$1&amp;$AB29, TRUE)</f>
        <v>#REF!</v>
      </c>
      <c r="E29" s="2020" t="e" cm="1">
        <f t="array" aca="1" ref="E29" ca="1">INDIRECT("'※ 팀별 작성_인프라_인력'!"&amp;E$1&amp;$AB29, TRUE)</f>
        <v>#REF!</v>
      </c>
      <c r="F29" s="2021" t="e" cm="1">
        <f t="array" aca="1" ref="F29" ca="1">INDIRECT("'※ 팀별 작성_인프라_인력'!"&amp;F$1&amp;$AB29, TRUE)</f>
        <v>#REF!</v>
      </c>
      <c r="G29" s="2021" t="e" cm="1">
        <f t="array" aca="1" ref="G29" ca="1">INDIRECT("'※ 팀별 작성_인프라_인력'!"&amp;G$1&amp;$AB29, TRUE)</f>
        <v>#REF!</v>
      </c>
      <c r="H29" s="2021" t="e" cm="1">
        <f t="array" aca="1" ref="H29" ca="1">INDIRECT("'※ 팀별 작성_인프라_인력'!"&amp;H$1&amp;$AB29, TRUE)</f>
        <v>#REF!</v>
      </c>
      <c r="I29" s="2021" t="e" cm="1">
        <f t="array" aca="1" ref="I29" ca="1">INDIRECT("'※ 팀별 작성_인프라_인력'!"&amp;I$1&amp;$AB29, TRUE)</f>
        <v>#REF!</v>
      </c>
      <c r="J29" s="2021" t="e" cm="1">
        <f t="array" aca="1" ref="J29" ca="1">INDIRECT("'※ 팀별 작성_인프라_인력'!"&amp;J$1&amp;$AB29, TRUE)</f>
        <v>#REF!</v>
      </c>
      <c r="K29" s="2020" t="e" cm="1">
        <f t="array" aca="1" ref="K29" ca="1">INDIRECT("'※ 팀별 작성_인프라_인력'!"&amp;K$1&amp;$AB29, TRUE)</f>
        <v>#REF!</v>
      </c>
      <c r="L29" s="2022"/>
      <c r="M29" s="2022"/>
      <c r="N29" s="7421" t="e" cm="1">
        <f t="array" aca="1" ref="N29" ca="1">INDIRECT("'※ 팀별 작성_인프라_인력'!"&amp;N$1&amp;$AB29, TRUE)</f>
        <v>#REF!</v>
      </c>
      <c r="O29" s="7421"/>
      <c r="P29" s="2021" t="e" cm="1">
        <f t="array" aca="1" ref="P29" ca="1">INDIRECT("'※ 팀별 작성_인프라_인력'!"&amp;P$1&amp;$AB29, TRUE)</f>
        <v>#REF!</v>
      </c>
      <c r="Q29" s="2021" t="e" cm="1">
        <f t="array" aca="1" ref="Q29" ca="1">INDIRECT("'※ 팀별 작성_인프라_인력'!"&amp;Q$1&amp;$AB29, TRUE)</f>
        <v>#REF!</v>
      </c>
      <c r="R29" s="2021" t="e" cm="1">
        <f t="array" aca="1" ref="R29" ca="1">INDIRECT("'※ 팀별 작성_인프라_인력'!"&amp;R$1&amp;$AB29, TRUE)</f>
        <v>#REF!</v>
      </c>
      <c r="S29" s="2023" t="e" cm="1">
        <f t="array" aca="1" ref="S29" ca="1">INDIRECT("'※ 팀별 작성_인프라_인력'!"&amp;S$1&amp;$AB29, TRUE)</f>
        <v>#REF!</v>
      </c>
      <c r="T29" s="2023" t="e" cm="1">
        <f t="array" aca="1" ref="T29" ca="1">INDIRECT("'※ 팀별 작성_인프라_인력'!"&amp;T$1&amp;$AB29, TRUE)</f>
        <v>#REF!</v>
      </c>
      <c r="U29" s="2024" t="e" cm="1">
        <f t="array" aca="1" ref="U29" ca="1">INDIRECT("'※ 팀별 작성_인프라_인력'!"&amp;U$1&amp;$AB29, TRUE)</f>
        <v>#REF!</v>
      </c>
      <c r="V29" s="2023" t="e" cm="1">
        <f t="array" aca="1" ref="V29" ca="1">INDIRECT("'※ 팀별 작성_인프라_인력'!"&amp;V$1&amp;$AB29, TRUE)</f>
        <v>#REF!</v>
      </c>
      <c r="W29" s="2023" t="e" cm="1">
        <f t="array" aca="1" ref="W29" ca="1">INDIRECT("'※ 팀별 작성_인프라_인력'!"&amp;W$1&amp;$AB29, TRUE)</f>
        <v>#REF!</v>
      </c>
      <c r="X29" s="2023" t="e" cm="1">
        <f t="array" aca="1" ref="X29" ca="1">INDIRECT("'※ 팀별 작성_인프라_인력'!"&amp;X$1&amp;$AB29, TRUE)</f>
        <v>#REF!</v>
      </c>
      <c r="Y29" s="2025" t="e" cm="1">
        <f t="array" aca="1" ref="Y29" ca="1">INDIRECT("'※ 팀별 작성_인프라_인력'!"&amp;Y$1&amp;$AB29, TRUE)</f>
        <v>#REF!</v>
      </c>
      <c r="Z29" s="2025" t="e" cm="1">
        <f t="array" aca="1" ref="Z29" ca="1">INDIRECT("'※ 팀별 작성_인프라_인력'!"&amp;Z$1&amp;$AB29, TRUE)</f>
        <v>#REF!</v>
      </c>
      <c r="AA29" s="2026" t="e" cm="1">
        <f t="array" aca="1" ref="AA29" ca="1">INDIRECT("'※ 팀별 작성_인프라_인력'!"&amp;AA$1&amp;$AB29, TRUE)</f>
        <v>#REF!</v>
      </c>
      <c r="AB29" s="1874" t="e">
        <f>ROW('※ 팀별 작성_인프라_인력'!#REF!)</f>
        <v>#REF!</v>
      </c>
      <c r="AC29" s="2009"/>
      <c r="AD29" s="2009"/>
    </row>
    <row r="30" spans="1:30" s="555" customFormat="1" hidden="1" x14ac:dyDescent="0.55000000000000004">
      <c r="A30" s="7414"/>
      <c r="B30" s="2027"/>
      <c r="C30" s="1534" t="s">
        <v>765</v>
      </c>
      <c r="D30" s="2028" t="e" cm="1">
        <f t="array" aca="1" ref="D30" ca="1">INDIRECT("'※ 팀별 작성_인프라_인력'!"&amp;D$1&amp;$AB30, TRUE)</f>
        <v>#REF!</v>
      </c>
      <c r="E30" s="2028" t="e" cm="1">
        <f t="array" aca="1" ref="E30" ca="1">INDIRECT("'※ 팀별 작성_인프라_인력'!"&amp;E$1&amp;$AB30, TRUE)</f>
        <v>#REF!</v>
      </c>
      <c r="F30" s="2029" t="e" cm="1">
        <f t="array" aca="1" ref="F30" ca="1">INDIRECT("'※ 팀별 작성_인프라_인력'!"&amp;F$1&amp;$AB30, TRUE)</f>
        <v>#REF!</v>
      </c>
      <c r="G30" s="2029" t="e" cm="1">
        <f t="array" aca="1" ref="G30" ca="1">INDIRECT("'※ 팀별 작성_인프라_인력'!"&amp;G$1&amp;$AB30, TRUE)</f>
        <v>#REF!</v>
      </c>
      <c r="H30" s="2029" t="e" cm="1">
        <f t="array" aca="1" ref="H30" ca="1">INDIRECT("'※ 팀별 작성_인프라_인력'!"&amp;H$1&amp;$AB30, TRUE)</f>
        <v>#REF!</v>
      </c>
      <c r="I30" s="2029" t="e" cm="1">
        <f t="array" aca="1" ref="I30" ca="1">INDIRECT("'※ 팀별 작성_인프라_인력'!"&amp;I$1&amp;$AB30, TRUE)</f>
        <v>#REF!</v>
      </c>
      <c r="J30" s="2029" t="e" cm="1">
        <f t="array" aca="1" ref="J30" ca="1">INDIRECT("'※ 팀별 작성_인프라_인력'!"&amp;J$1&amp;$AB30, TRUE)</f>
        <v>#REF!</v>
      </c>
      <c r="K30" s="2028" t="e" cm="1">
        <f t="array" aca="1" ref="K30" ca="1">INDIRECT("'※ 팀별 작성_인프라_인력'!"&amp;K$1&amp;$AB30, TRUE)</f>
        <v>#REF!</v>
      </c>
      <c r="L30" s="2029"/>
      <c r="M30" s="2029"/>
      <c r="N30" s="7422" t="e" cm="1">
        <f t="array" aca="1" ref="N30" ca="1">INDIRECT("'※ 팀별 작성_인프라_인력'!"&amp;N$1&amp;$AB30, TRUE)</f>
        <v>#REF!</v>
      </c>
      <c r="O30" s="7422"/>
      <c r="P30" s="2029" t="e" cm="1">
        <f t="array" aca="1" ref="P30" ca="1">INDIRECT("'※ 팀별 작성_인프라_인력'!"&amp;P$1&amp;$AB30, TRUE)</f>
        <v>#REF!</v>
      </c>
      <c r="Q30" s="2029" t="e" cm="1">
        <f t="array" aca="1" ref="Q30" ca="1">INDIRECT("'※ 팀별 작성_인프라_인력'!"&amp;Q$1&amp;$AB30, TRUE)</f>
        <v>#REF!</v>
      </c>
      <c r="R30" s="2029" t="e" cm="1">
        <f t="array" aca="1" ref="R30" ca="1">INDIRECT("'※ 팀별 작성_인프라_인력'!"&amp;R$1&amp;$AB30, TRUE)</f>
        <v>#REF!</v>
      </c>
      <c r="S30" s="2030" t="e" cm="1">
        <f t="array" aca="1" ref="S30" ca="1">INDIRECT("'※ 팀별 작성_인프라_인력'!"&amp;S$1&amp;$AB30, TRUE)</f>
        <v>#REF!</v>
      </c>
      <c r="T30" s="2030" t="e" cm="1">
        <f t="array" aca="1" ref="T30" ca="1">INDIRECT("'※ 팀별 작성_인프라_인력'!"&amp;T$1&amp;$AB30, TRUE)</f>
        <v>#REF!</v>
      </c>
      <c r="U30" s="2031" t="e" cm="1">
        <f t="array" aca="1" ref="U30" ca="1">INDIRECT("'※ 팀별 작성_인프라_인력'!"&amp;U$1&amp;$AB30, TRUE)</f>
        <v>#REF!</v>
      </c>
      <c r="V30" s="2030" t="e" cm="1">
        <f t="array" aca="1" ref="V30" ca="1">INDIRECT("'※ 팀별 작성_인프라_인력'!"&amp;V$1&amp;$AB30, TRUE)</f>
        <v>#REF!</v>
      </c>
      <c r="W30" s="2030" t="e" cm="1">
        <f t="array" aca="1" ref="W30" ca="1">INDIRECT("'※ 팀별 작성_인프라_인력'!"&amp;W$1&amp;$AB30, TRUE)</f>
        <v>#REF!</v>
      </c>
      <c r="X30" s="2030" t="e" cm="1">
        <f t="array" aca="1" ref="X30" ca="1">INDIRECT("'※ 팀별 작성_인프라_인력'!"&amp;X$1&amp;$AB30, TRUE)</f>
        <v>#REF!</v>
      </c>
      <c r="Y30" s="2032" t="e" cm="1">
        <f t="array" aca="1" ref="Y30" ca="1">INDIRECT("'※ 팀별 작성_인프라_인력'!"&amp;Y$1&amp;$AB30, TRUE)</f>
        <v>#REF!</v>
      </c>
      <c r="Z30" s="2032" t="e" cm="1">
        <f t="array" aca="1" ref="Z30" ca="1">INDIRECT("'※ 팀별 작성_인프라_인력'!"&amp;Z$1&amp;$AB30, TRUE)</f>
        <v>#REF!</v>
      </c>
      <c r="AA30" s="2033" t="e" cm="1">
        <f t="array" aca="1" ref="AA30" ca="1">INDIRECT("'※ 팀별 작성_인프라_인력'!"&amp;AA$1&amp;$AB30, TRUE)</f>
        <v>#REF!</v>
      </c>
      <c r="AB30" s="1874" t="e">
        <f>ROW('※ 팀별 작성_인프라_인력'!#REF!)</f>
        <v>#REF!</v>
      </c>
      <c r="AC30" s="2009"/>
      <c r="AD30" s="2009"/>
    </row>
    <row r="31" spans="1:30" s="555" customFormat="1" hidden="1" x14ac:dyDescent="0.55000000000000004">
      <c r="A31" s="7414"/>
      <c r="B31" s="2027"/>
      <c r="C31" s="1534" t="s">
        <v>766</v>
      </c>
      <c r="D31" s="2028" t="e" cm="1">
        <f t="array" aca="1" ref="D31" ca="1">INDIRECT("'※ 팀별 작성_인프라_인력'!"&amp;D$1&amp;$AB31, TRUE)</f>
        <v>#REF!</v>
      </c>
      <c r="E31" s="2028" t="e" cm="1">
        <f t="array" aca="1" ref="E31" ca="1">INDIRECT("'※ 팀별 작성_인프라_인력'!"&amp;E$1&amp;$AB31, TRUE)</f>
        <v>#REF!</v>
      </c>
      <c r="F31" s="2029" t="e" cm="1">
        <f t="array" aca="1" ref="F31" ca="1">INDIRECT("'※ 팀별 작성_인프라_인력'!"&amp;F$1&amp;$AB31, TRUE)</f>
        <v>#REF!</v>
      </c>
      <c r="G31" s="2029" t="e" cm="1">
        <f t="array" aca="1" ref="G31" ca="1">INDIRECT("'※ 팀별 작성_인프라_인력'!"&amp;G$1&amp;$AB31, TRUE)</f>
        <v>#REF!</v>
      </c>
      <c r="H31" s="2029" t="e" cm="1">
        <f t="array" aca="1" ref="H31" ca="1">INDIRECT("'※ 팀별 작성_인프라_인력'!"&amp;H$1&amp;$AB31, TRUE)</f>
        <v>#REF!</v>
      </c>
      <c r="I31" s="2029" t="e" cm="1">
        <f t="array" aca="1" ref="I31" ca="1">INDIRECT("'※ 팀별 작성_인프라_인력'!"&amp;I$1&amp;$AB31, TRUE)</f>
        <v>#REF!</v>
      </c>
      <c r="J31" s="2029" t="e" cm="1">
        <f t="array" aca="1" ref="J31" ca="1">INDIRECT("'※ 팀별 작성_인프라_인력'!"&amp;J$1&amp;$AB31, TRUE)</f>
        <v>#REF!</v>
      </c>
      <c r="K31" s="2028" t="e" cm="1">
        <f t="array" aca="1" ref="K31" ca="1">INDIRECT("'※ 팀별 작성_인프라_인력'!"&amp;K$1&amp;$AB31, TRUE)</f>
        <v>#REF!</v>
      </c>
      <c r="L31" s="2029"/>
      <c r="M31" s="2029"/>
      <c r="N31" s="7426" t="e" cm="1">
        <f t="array" aca="1" ref="N31" ca="1">INDIRECT("'※ 팀별 작성_인프라_인력'!"&amp;N$1&amp;$AB31, TRUE)</f>
        <v>#REF!</v>
      </c>
      <c r="O31" s="7426"/>
      <c r="P31" s="2029" t="e" cm="1">
        <f t="array" aca="1" ref="P31" ca="1">INDIRECT("'※ 팀별 작성_인프라_인력'!"&amp;P$1&amp;$AB31, TRUE)</f>
        <v>#REF!</v>
      </c>
      <c r="Q31" s="2029" t="e" cm="1">
        <f t="array" aca="1" ref="Q31" ca="1">INDIRECT("'※ 팀별 작성_인프라_인력'!"&amp;Q$1&amp;$AB31, TRUE)</f>
        <v>#REF!</v>
      </c>
      <c r="R31" s="2029" t="e" cm="1">
        <f t="array" aca="1" ref="R31" ca="1">INDIRECT("'※ 팀별 작성_인프라_인력'!"&amp;R$1&amp;$AB31, TRUE)</f>
        <v>#REF!</v>
      </c>
      <c r="S31" s="2030" t="e" cm="1">
        <f t="array" aca="1" ref="S31" ca="1">INDIRECT("'※ 팀별 작성_인프라_인력'!"&amp;S$1&amp;$AB31, TRUE)</f>
        <v>#REF!</v>
      </c>
      <c r="T31" s="2030" t="e" cm="1">
        <f t="array" aca="1" ref="T31" ca="1">INDIRECT("'※ 팀별 작성_인프라_인력'!"&amp;T$1&amp;$AB31, TRUE)</f>
        <v>#REF!</v>
      </c>
      <c r="U31" s="2031" t="e" cm="1">
        <f t="array" aca="1" ref="U31" ca="1">INDIRECT("'※ 팀별 작성_인프라_인력'!"&amp;U$1&amp;$AB31, TRUE)</f>
        <v>#REF!</v>
      </c>
      <c r="V31" s="2030" t="e" cm="1">
        <f t="array" aca="1" ref="V31" ca="1">INDIRECT("'※ 팀별 작성_인프라_인력'!"&amp;V$1&amp;$AB31, TRUE)</f>
        <v>#REF!</v>
      </c>
      <c r="W31" s="2030" t="e" cm="1">
        <f t="array" aca="1" ref="W31" ca="1">INDIRECT("'※ 팀별 작성_인프라_인력'!"&amp;W$1&amp;$AB31, TRUE)</f>
        <v>#REF!</v>
      </c>
      <c r="X31" s="2030" t="e" cm="1">
        <f t="array" aca="1" ref="X31" ca="1">INDIRECT("'※ 팀별 작성_인프라_인력'!"&amp;X$1&amp;$AB31, TRUE)</f>
        <v>#REF!</v>
      </c>
      <c r="Y31" s="2032" t="e" cm="1">
        <f t="array" aca="1" ref="Y31" ca="1">INDIRECT("'※ 팀별 작성_인프라_인력'!"&amp;Y$1&amp;$AB31, TRUE)</f>
        <v>#REF!</v>
      </c>
      <c r="Z31" s="2032" t="e" cm="1">
        <f t="array" aca="1" ref="Z31" ca="1">INDIRECT("'※ 팀별 작성_인프라_인력'!"&amp;Z$1&amp;$AB31, TRUE)</f>
        <v>#REF!</v>
      </c>
      <c r="AA31" s="2033" t="e" cm="1">
        <f t="array" aca="1" ref="AA31" ca="1">INDIRECT("'※ 팀별 작성_인프라_인력'!"&amp;AA$1&amp;$AB31, TRUE)</f>
        <v>#REF!</v>
      </c>
      <c r="AB31" s="1874" t="e">
        <f>ROW('※ 팀별 작성_인프라_인력'!#REF!)</f>
        <v>#REF!</v>
      </c>
      <c r="AC31" s="2009"/>
      <c r="AD31" s="2009"/>
    </row>
    <row r="32" spans="1:30" s="555" customFormat="1" hidden="1" x14ac:dyDescent="0.55000000000000004">
      <c r="A32" s="7414"/>
      <c r="B32" s="2034" t="s">
        <v>206</v>
      </c>
      <c r="C32" s="1900"/>
      <c r="D32" s="2035" t="e" cm="1">
        <f t="array" aca="1" ref="D32" ca="1">INDIRECT("'※ 팀별 작성_인프라_인력'!"&amp;D$1&amp;$AB32, TRUE)</f>
        <v>#REF!</v>
      </c>
      <c r="E32" s="2035" t="e" cm="1">
        <f t="array" aca="1" ref="E32" ca="1">INDIRECT("'※ 팀별 작성_인프라_인력'!"&amp;E$1&amp;$AB32, TRUE)</f>
        <v>#REF!</v>
      </c>
      <c r="F32" s="2036" t="e" cm="1">
        <f t="array" aca="1" ref="F32" ca="1">INDIRECT("'※ 팀별 작성_인프라_인력'!"&amp;F$1&amp;$AB32, TRUE)</f>
        <v>#REF!</v>
      </c>
      <c r="G32" s="2036" t="e" cm="1">
        <f t="array" aca="1" ref="G32" ca="1">INDIRECT("'※ 팀별 작성_인프라_인력'!"&amp;G$1&amp;$AB32, TRUE)</f>
        <v>#REF!</v>
      </c>
      <c r="H32" s="2036" t="e" cm="1">
        <f t="array" aca="1" ref="H32" ca="1">INDIRECT("'※ 팀별 작성_인프라_인력'!"&amp;H$1&amp;$AB32, TRUE)</f>
        <v>#REF!</v>
      </c>
      <c r="I32" s="2036" t="e" cm="1">
        <f t="array" aca="1" ref="I32" ca="1">INDIRECT("'※ 팀별 작성_인프라_인력'!"&amp;I$1&amp;$AB32, TRUE)</f>
        <v>#REF!</v>
      </c>
      <c r="J32" s="2036" t="e" cm="1">
        <f t="array" aca="1" ref="J32" ca="1">INDIRECT("'※ 팀별 작성_인프라_인력'!"&amp;J$1&amp;$AB32, TRUE)</f>
        <v>#REF!</v>
      </c>
      <c r="K32" s="2035" t="e" cm="1">
        <f t="array" aca="1" ref="K32" ca="1">INDIRECT("'※ 팀별 작성_인프라_인력'!"&amp;K$1&amp;$AB32, TRUE)</f>
        <v>#REF!</v>
      </c>
      <c r="L32" s="2036"/>
      <c r="M32" s="2036"/>
      <c r="N32" s="7427" t="e" cm="1">
        <f t="array" aca="1" ref="N32" ca="1">INDIRECT("'※ 팀별 작성_인프라_인력'!"&amp;N$1&amp;$AB32, TRUE)</f>
        <v>#REF!</v>
      </c>
      <c r="O32" s="7427"/>
      <c r="P32" s="2036" t="e" cm="1">
        <f t="array" aca="1" ref="P32" ca="1">INDIRECT("'※ 팀별 작성_인프라_인력'!"&amp;P$1&amp;$AB32, TRUE)</f>
        <v>#REF!</v>
      </c>
      <c r="Q32" s="2036" t="e" cm="1">
        <f t="array" aca="1" ref="Q32" ca="1">INDIRECT("'※ 팀별 작성_인프라_인력'!"&amp;Q$1&amp;$AB32, TRUE)</f>
        <v>#REF!</v>
      </c>
      <c r="R32" s="2036" t="e" cm="1">
        <f t="array" aca="1" ref="R32" ca="1">INDIRECT("'※ 팀별 작성_인프라_인력'!"&amp;R$1&amp;$AB32, TRUE)</f>
        <v>#REF!</v>
      </c>
      <c r="S32" s="2037" t="e" cm="1">
        <f t="array" aca="1" ref="S32" ca="1">INDIRECT("'※ 팀별 작성_인프라_인력'!"&amp;S$1&amp;$AB32, TRUE)</f>
        <v>#REF!</v>
      </c>
      <c r="T32" s="2037" t="e" cm="1">
        <f t="array" aca="1" ref="T32" ca="1">INDIRECT("'※ 팀별 작성_인프라_인력'!"&amp;T$1&amp;$AB32, TRUE)</f>
        <v>#REF!</v>
      </c>
      <c r="U32" s="2038" t="e" cm="1">
        <f t="array" aca="1" ref="U32" ca="1">INDIRECT("'※ 팀별 작성_인프라_인력'!"&amp;U$1&amp;$AB32, TRUE)</f>
        <v>#REF!</v>
      </c>
      <c r="V32" s="2037" t="e" cm="1">
        <f t="array" aca="1" ref="V32" ca="1">INDIRECT("'※ 팀별 작성_인프라_인력'!"&amp;V$1&amp;$AB32, TRUE)</f>
        <v>#REF!</v>
      </c>
      <c r="W32" s="2037" t="e" cm="1">
        <f t="array" aca="1" ref="W32" ca="1">INDIRECT("'※ 팀별 작성_인프라_인력'!"&amp;W$1&amp;$AB32, TRUE)</f>
        <v>#REF!</v>
      </c>
      <c r="X32" s="2037" t="e" cm="1">
        <f t="array" aca="1" ref="X32" ca="1">INDIRECT("'※ 팀별 작성_인프라_인력'!"&amp;X$1&amp;$AB32, TRUE)</f>
        <v>#REF!</v>
      </c>
      <c r="Y32" s="2039" t="e" cm="1">
        <f t="array" aca="1" ref="Y32" ca="1">INDIRECT("'※ 팀별 작성_인프라_인력'!"&amp;Y$1&amp;$AB32, TRUE)</f>
        <v>#REF!</v>
      </c>
      <c r="Z32" s="2039" t="e" cm="1">
        <f t="array" aca="1" ref="Z32" ca="1">INDIRECT("'※ 팀별 작성_인프라_인력'!"&amp;Z$1&amp;$AB32, TRUE)</f>
        <v>#REF!</v>
      </c>
      <c r="AA32" s="2040" t="e" cm="1">
        <f t="array" aca="1" ref="AA32" ca="1">INDIRECT("'※ 팀별 작성_인프라_인력'!"&amp;AA$1&amp;$AB32, TRUE)</f>
        <v>#REF!</v>
      </c>
      <c r="AB32" s="1874" t="e">
        <f>ROW('※ 팀별 작성_인프라_인력'!#REF!)</f>
        <v>#REF!</v>
      </c>
      <c r="AC32" s="2009"/>
      <c r="AD32" s="2009"/>
    </row>
    <row r="33" spans="1:30" s="555" customFormat="1" hidden="1" x14ac:dyDescent="0.55000000000000004">
      <c r="A33" s="7414"/>
      <c r="B33" s="2041" t="s">
        <v>207</v>
      </c>
      <c r="C33" s="1576"/>
      <c r="D33" s="2042" t="e" cm="1">
        <f t="array" aca="1" ref="D33" ca="1">INDIRECT("'※ 팀별 작성_인프라_인력'!"&amp;D$1&amp;$AB33, TRUE)</f>
        <v>#REF!</v>
      </c>
      <c r="E33" s="2042" t="e" cm="1">
        <f t="array" aca="1" ref="E33" ca="1">INDIRECT("'※ 팀별 작성_인프라_인력'!"&amp;E$1&amp;$AB33, TRUE)</f>
        <v>#REF!</v>
      </c>
      <c r="F33" s="2043" t="e" cm="1">
        <f t="array" aca="1" ref="F33" ca="1">INDIRECT("'※ 팀별 작성_인프라_인력'!"&amp;F$1&amp;$AB33, TRUE)</f>
        <v>#REF!</v>
      </c>
      <c r="G33" s="2043" t="e" cm="1">
        <f t="array" aca="1" ref="G33" ca="1">INDIRECT("'※ 팀별 작성_인프라_인력'!"&amp;G$1&amp;$AB33, TRUE)</f>
        <v>#REF!</v>
      </c>
      <c r="H33" s="2043" t="e" cm="1">
        <f t="array" aca="1" ref="H33" ca="1">INDIRECT("'※ 팀별 작성_인프라_인력'!"&amp;H$1&amp;$AB33, TRUE)</f>
        <v>#REF!</v>
      </c>
      <c r="I33" s="2043" t="e" cm="1">
        <f t="array" aca="1" ref="I33" ca="1">INDIRECT("'※ 팀별 작성_인프라_인력'!"&amp;I$1&amp;$AB33, TRUE)</f>
        <v>#REF!</v>
      </c>
      <c r="J33" s="2043" t="e" cm="1">
        <f t="array" aca="1" ref="J33" ca="1">INDIRECT("'※ 팀별 작성_인프라_인력'!"&amp;J$1&amp;$AB33, TRUE)</f>
        <v>#REF!</v>
      </c>
      <c r="K33" s="2042" t="e" cm="1">
        <f t="array" aca="1" ref="K33" ca="1">INDIRECT("'※ 팀별 작성_인프라_인력'!"&amp;K$1&amp;$AB33, TRUE)</f>
        <v>#REF!</v>
      </c>
      <c r="L33" s="2043"/>
      <c r="M33" s="2043"/>
      <c r="N33" s="7405" t="e" cm="1">
        <f t="array" aca="1" ref="N33" ca="1">INDIRECT("'※ 팀별 작성_인프라_인력'!"&amp;N$1&amp;$AB33, TRUE)</f>
        <v>#REF!</v>
      </c>
      <c r="O33" s="7405"/>
      <c r="P33" s="2043" t="e" cm="1">
        <f t="array" aca="1" ref="P33" ca="1">INDIRECT("'※ 팀별 작성_인프라_인력'!"&amp;P$1&amp;$AB33, TRUE)</f>
        <v>#REF!</v>
      </c>
      <c r="Q33" s="2043" t="e" cm="1">
        <f t="array" aca="1" ref="Q33" ca="1">INDIRECT("'※ 팀별 작성_인프라_인력'!"&amp;Q$1&amp;$AB33, TRUE)</f>
        <v>#REF!</v>
      </c>
      <c r="R33" s="2043" t="e" cm="1">
        <f t="array" aca="1" ref="R33" ca="1">INDIRECT("'※ 팀별 작성_인프라_인력'!"&amp;R$1&amp;$AB33, TRUE)</f>
        <v>#REF!</v>
      </c>
      <c r="S33" s="2044" t="e" cm="1">
        <f t="array" aca="1" ref="S33" ca="1">INDIRECT("'※ 팀별 작성_인프라_인력'!"&amp;S$1&amp;$AB33, TRUE)</f>
        <v>#REF!</v>
      </c>
      <c r="T33" s="2044" t="e" cm="1">
        <f t="array" aca="1" ref="T33" ca="1">INDIRECT("'※ 팀별 작성_인프라_인력'!"&amp;T$1&amp;$AB33, TRUE)</f>
        <v>#REF!</v>
      </c>
      <c r="U33" s="2045" t="e" cm="1">
        <f t="array" aca="1" ref="U33" ca="1">INDIRECT("'※ 팀별 작성_인프라_인력'!"&amp;U$1&amp;$AB33, TRUE)</f>
        <v>#REF!</v>
      </c>
      <c r="V33" s="2044" t="e" cm="1">
        <f t="array" aca="1" ref="V33" ca="1">INDIRECT("'※ 팀별 작성_인프라_인력'!"&amp;V$1&amp;$AB33, TRUE)</f>
        <v>#REF!</v>
      </c>
      <c r="W33" s="2044" t="e" cm="1">
        <f t="array" aca="1" ref="W33" ca="1">INDIRECT("'※ 팀별 작성_인프라_인력'!"&amp;W$1&amp;$AB33, TRUE)</f>
        <v>#REF!</v>
      </c>
      <c r="X33" s="2044" t="e" cm="1">
        <f t="array" aca="1" ref="X33" ca="1">INDIRECT("'※ 팀별 작성_인프라_인력'!"&amp;X$1&amp;$AB33, TRUE)</f>
        <v>#REF!</v>
      </c>
      <c r="Y33" s="2046" t="e" cm="1">
        <f t="array" aca="1" ref="Y33" ca="1">INDIRECT("'※ 팀별 작성_인프라_인력'!"&amp;Y$1&amp;$AB33, TRUE)</f>
        <v>#REF!</v>
      </c>
      <c r="Z33" s="2046" t="e" cm="1">
        <f t="array" aca="1" ref="Z33" ca="1">INDIRECT("'※ 팀별 작성_인프라_인력'!"&amp;Z$1&amp;$AB33, TRUE)</f>
        <v>#REF!</v>
      </c>
      <c r="AA33" s="2047" t="e" cm="1">
        <f t="array" aca="1" ref="AA33" ca="1">INDIRECT("'※ 팀별 작성_인프라_인력'!"&amp;AA$1&amp;$AB33, TRUE)</f>
        <v>#REF!</v>
      </c>
      <c r="AB33" s="1874" t="e">
        <f>ROW('※ 팀별 작성_인프라_인력'!#REF!)</f>
        <v>#REF!</v>
      </c>
      <c r="AC33" s="2009"/>
      <c r="AD33" s="2009"/>
    </row>
    <row r="34" spans="1:30" s="555" customFormat="1" hidden="1" x14ac:dyDescent="0.55000000000000004">
      <c r="A34" s="7414"/>
      <c r="B34" s="2041" t="s">
        <v>208</v>
      </c>
      <c r="C34" s="1576"/>
      <c r="D34" s="2042" t="e" cm="1">
        <f t="array" aca="1" ref="D34" ca="1">INDIRECT("'※ 팀별 작성_인프라_인력'!"&amp;D$1&amp;$AB34, TRUE)</f>
        <v>#REF!</v>
      </c>
      <c r="E34" s="2042" t="e" cm="1">
        <f t="array" aca="1" ref="E34" ca="1">INDIRECT("'※ 팀별 작성_인프라_인력'!"&amp;E$1&amp;$AB34, TRUE)</f>
        <v>#REF!</v>
      </c>
      <c r="F34" s="2043" t="e" cm="1">
        <f t="array" aca="1" ref="F34" ca="1">INDIRECT("'※ 팀별 작성_인프라_인력'!"&amp;F$1&amp;$AB34, TRUE)</f>
        <v>#REF!</v>
      </c>
      <c r="G34" s="2043" t="e" cm="1">
        <f t="array" aca="1" ref="G34" ca="1">INDIRECT("'※ 팀별 작성_인프라_인력'!"&amp;G$1&amp;$AB34, TRUE)</f>
        <v>#REF!</v>
      </c>
      <c r="H34" s="2043" t="e" cm="1">
        <f t="array" aca="1" ref="H34" ca="1">INDIRECT("'※ 팀별 작성_인프라_인력'!"&amp;H$1&amp;$AB34, TRUE)</f>
        <v>#REF!</v>
      </c>
      <c r="I34" s="2043" t="e" cm="1">
        <f t="array" aca="1" ref="I34" ca="1">INDIRECT("'※ 팀별 작성_인프라_인력'!"&amp;I$1&amp;$AB34, TRUE)</f>
        <v>#REF!</v>
      </c>
      <c r="J34" s="2043" t="e" cm="1">
        <f t="array" aca="1" ref="J34" ca="1">INDIRECT("'※ 팀별 작성_인프라_인력'!"&amp;J$1&amp;$AB34, TRUE)</f>
        <v>#REF!</v>
      </c>
      <c r="K34" s="2042" t="e" cm="1">
        <f t="array" aca="1" ref="K34" ca="1">INDIRECT("'※ 팀별 작성_인프라_인력'!"&amp;K$1&amp;$AB34, TRUE)</f>
        <v>#REF!</v>
      </c>
      <c r="L34" s="2043"/>
      <c r="M34" s="2043"/>
      <c r="N34" s="7405" t="e" cm="1">
        <f t="array" aca="1" ref="N34" ca="1">INDIRECT("'※ 팀별 작성_인프라_인력'!"&amp;N$1&amp;$AB34, TRUE)</f>
        <v>#REF!</v>
      </c>
      <c r="O34" s="7405"/>
      <c r="P34" s="2043" t="e" cm="1">
        <f t="array" aca="1" ref="P34" ca="1">INDIRECT("'※ 팀별 작성_인프라_인력'!"&amp;P$1&amp;$AB34, TRUE)</f>
        <v>#REF!</v>
      </c>
      <c r="Q34" s="2043" t="e" cm="1">
        <f t="array" aca="1" ref="Q34" ca="1">INDIRECT("'※ 팀별 작성_인프라_인력'!"&amp;Q$1&amp;$AB34, TRUE)</f>
        <v>#REF!</v>
      </c>
      <c r="R34" s="2043" t="e" cm="1">
        <f t="array" aca="1" ref="R34" ca="1">INDIRECT("'※ 팀별 작성_인프라_인력'!"&amp;R$1&amp;$AB34, TRUE)</f>
        <v>#REF!</v>
      </c>
      <c r="S34" s="2044" t="e" cm="1">
        <f t="array" aca="1" ref="S34" ca="1">INDIRECT("'※ 팀별 작성_인프라_인력'!"&amp;S$1&amp;$AB34, TRUE)</f>
        <v>#REF!</v>
      </c>
      <c r="T34" s="2044" t="e" cm="1">
        <f t="array" aca="1" ref="T34" ca="1">INDIRECT("'※ 팀별 작성_인프라_인력'!"&amp;T$1&amp;$AB34, TRUE)</f>
        <v>#REF!</v>
      </c>
      <c r="U34" s="2045" t="e" cm="1">
        <f t="array" aca="1" ref="U34" ca="1">INDIRECT("'※ 팀별 작성_인프라_인력'!"&amp;U$1&amp;$AB34, TRUE)</f>
        <v>#REF!</v>
      </c>
      <c r="V34" s="2044" t="e" cm="1">
        <f t="array" aca="1" ref="V34" ca="1">INDIRECT("'※ 팀별 작성_인프라_인력'!"&amp;V$1&amp;$AB34, TRUE)</f>
        <v>#REF!</v>
      </c>
      <c r="W34" s="2044" t="e" cm="1">
        <f t="array" aca="1" ref="W34" ca="1">INDIRECT("'※ 팀별 작성_인프라_인력'!"&amp;W$1&amp;$AB34, TRUE)</f>
        <v>#REF!</v>
      </c>
      <c r="X34" s="2044" t="e" cm="1">
        <f t="array" aca="1" ref="X34" ca="1">INDIRECT("'※ 팀별 작성_인프라_인력'!"&amp;X$1&amp;$AB34, TRUE)</f>
        <v>#REF!</v>
      </c>
      <c r="Y34" s="2046" t="e" cm="1">
        <f t="array" aca="1" ref="Y34" ca="1">INDIRECT("'※ 팀별 작성_인프라_인력'!"&amp;Y$1&amp;$AB34, TRUE)</f>
        <v>#REF!</v>
      </c>
      <c r="Z34" s="2046" t="e" cm="1">
        <f t="array" aca="1" ref="Z34" ca="1">INDIRECT("'※ 팀별 작성_인프라_인력'!"&amp;Z$1&amp;$AB34, TRUE)</f>
        <v>#REF!</v>
      </c>
      <c r="AA34" s="2047" t="e" cm="1">
        <f t="array" aca="1" ref="AA34" ca="1">INDIRECT("'※ 팀별 작성_인프라_인력'!"&amp;AA$1&amp;$AB34, TRUE)</f>
        <v>#REF!</v>
      </c>
      <c r="AB34" s="1874" t="e">
        <f>ROW('※ 팀별 작성_인프라_인력'!#REF!)</f>
        <v>#REF!</v>
      </c>
      <c r="AC34" s="2009"/>
      <c r="AD34" s="2009"/>
    </row>
    <row r="35" spans="1:30" s="555" customFormat="1" hidden="1" x14ac:dyDescent="0.55000000000000004">
      <c r="A35" s="7414"/>
      <c r="B35" s="2041" t="s">
        <v>209</v>
      </c>
      <c r="C35" s="1576"/>
      <c r="D35" s="2042" t="e" cm="1">
        <f t="array" aca="1" ref="D35" ca="1">INDIRECT("'※ 팀별 작성_인프라_인력'!"&amp;D$1&amp;$AB35, TRUE)</f>
        <v>#REF!</v>
      </c>
      <c r="E35" s="2042" t="e" cm="1">
        <f t="array" aca="1" ref="E35" ca="1">INDIRECT("'※ 팀별 작성_인프라_인력'!"&amp;E$1&amp;$AB35, TRUE)</f>
        <v>#REF!</v>
      </c>
      <c r="F35" s="2043" t="e" cm="1">
        <f t="array" aca="1" ref="F35" ca="1">INDIRECT("'※ 팀별 작성_인프라_인력'!"&amp;F$1&amp;$AB35, TRUE)</f>
        <v>#REF!</v>
      </c>
      <c r="G35" s="2043" t="e" cm="1">
        <f t="array" aca="1" ref="G35" ca="1">INDIRECT("'※ 팀별 작성_인프라_인력'!"&amp;G$1&amp;$AB35, TRUE)</f>
        <v>#REF!</v>
      </c>
      <c r="H35" s="2043" t="e" cm="1">
        <f t="array" aca="1" ref="H35" ca="1">INDIRECT("'※ 팀별 작성_인프라_인력'!"&amp;H$1&amp;$AB35, TRUE)</f>
        <v>#REF!</v>
      </c>
      <c r="I35" s="2043" t="e" cm="1">
        <f t="array" aca="1" ref="I35" ca="1">INDIRECT("'※ 팀별 작성_인프라_인력'!"&amp;I$1&amp;$AB35, TRUE)</f>
        <v>#REF!</v>
      </c>
      <c r="J35" s="2043" t="e" cm="1">
        <f t="array" aca="1" ref="J35" ca="1">INDIRECT("'※ 팀별 작성_인프라_인력'!"&amp;J$1&amp;$AB35, TRUE)</f>
        <v>#REF!</v>
      </c>
      <c r="K35" s="2042" t="e" cm="1">
        <f t="array" aca="1" ref="K35" ca="1">INDIRECT("'※ 팀별 작성_인프라_인력'!"&amp;K$1&amp;$AB35, TRUE)</f>
        <v>#REF!</v>
      </c>
      <c r="L35" s="2043"/>
      <c r="M35" s="2043"/>
      <c r="N35" s="7405" t="e" cm="1">
        <f t="array" aca="1" ref="N35" ca="1">INDIRECT("'※ 팀별 작성_인프라_인력'!"&amp;N$1&amp;$AB35, TRUE)</f>
        <v>#REF!</v>
      </c>
      <c r="O35" s="7405"/>
      <c r="P35" s="2043" t="e" cm="1">
        <f t="array" aca="1" ref="P35" ca="1">INDIRECT("'※ 팀별 작성_인프라_인력'!"&amp;P$1&amp;$AB35, TRUE)</f>
        <v>#REF!</v>
      </c>
      <c r="Q35" s="2043" t="e" cm="1">
        <f t="array" aca="1" ref="Q35" ca="1">INDIRECT("'※ 팀별 작성_인프라_인력'!"&amp;Q$1&amp;$AB35, TRUE)</f>
        <v>#REF!</v>
      </c>
      <c r="R35" s="2043" t="e" cm="1">
        <f t="array" aca="1" ref="R35" ca="1">INDIRECT("'※ 팀별 작성_인프라_인력'!"&amp;R$1&amp;$AB35, TRUE)</f>
        <v>#REF!</v>
      </c>
      <c r="S35" s="2044" t="e" cm="1">
        <f t="array" aca="1" ref="S35" ca="1">INDIRECT("'※ 팀별 작성_인프라_인력'!"&amp;S$1&amp;$AB35, TRUE)</f>
        <v>#REF!</v>
      </c>
      <c r="T35" s="2044" t="e" cm="1">
        <f t="array" aca="1" ref="T35" ca="1">INDIRECT("'※ 팀별 작성_인프라_인력'!"&amp;T$1&amp;$AB35, TRUE)</f>
        <v>#REF!</v>
      </c>
      <c r="U35" s="2045" t="e" cm="1">
        <f t="array" aca="1" ref="U35" ca="1">INDIRECT("'※ 팀별 작성_인프라_인력'!"&amp;U$1&amp;$AB35, TRUE)</f>
        <v>#REF!</v>
      </c>
      <c r="V35" s="2044" t="e" cm="1">
        <f t="array" aca="1" ref="V35" ca="1">INDIRECT("'※ 팀별 작성_인프라_인력'!"&amp;V$1&amp;$AB35, TRUE)</f>
        <v>#REF!</v>
      </c>
      <c r="W35" s="2044" t="e" cm="1">
        <f t="array" aca="1" ref="W35" ca="1">INDIRECT("'※ 팀별 작성_인프라_인력'!"&amp;W$1&amp;$AB35, TRUE)</f>
        <v>#REF!</v>
      </c>
      <c r="X35" s="2044" t="e" cm="1">
        <f t="array" aca="1" ref="X35" ca="1">INDIRECT("'※ 팀별 작성_인프라_인력'!"&amp;X$1&amp;$AB35, TRUE)</f>
        <v>#REF!</v>
      </c>
      <c r="Y35" s="2046" t="e" cm="1">
        <f t="array" aca="1" ref="Y35" ca="1">INDIRECT("'※ 팀별 작성_인프라_인력'!"&amp;Y$1&amp;$AB35, TRUE)</f>
        <v>#REF!</v>
      </c>
      <c r="Z35" s="2046" t="e" cm="1">
        <f t="array" aca="1" ref="Z35" ca="1">INDIRECT("'※ 팀별 작성_인프라_인력'!"&amp;Z$1&amp;$AB35, TRUE)</f>
        <v>#REF!</v>
      </c>
      <c r="AA35" s="2047" t="e" cm="1">
        <f t="array" aca="1" ref="AA35" ca="1">INDIRECT("'※ 팀별 작성_인프라_인력'!"&amp;AA$1&amp;$AB35, TRUE)</f>
        <v>#REF!</v>
      </c>
      <c r="AB35" s="1874" t="e">
        <f>ROW('※ 팀별 작성_인프라_인력'!#REF!)</f>
        <v>#REF!</v>
      </c>
      <c r="AC35" s="2009"/>
      <c r="AD35" s="2009"/>
    </row>
    <row r="36" spans="1:30" s="555" customFormat="1" hidden="1" x14ac:dyDescent="0.55000000000000004">
      <c r="A36" s="7414"/>
      <c r="B36" s="2048" t="s">
        <v>210</v>
      </c>
      <c r="C36" s="1929"/>
      <c r="D36" s="2049" t="e" cm="1">
        <f t="array" aca="1" ref="D36" ca="1">INDIRECT("'※ 팀별 작성_인프라_인력'!"&amp;D$1&amp;$AB36, TRUE)</f>
        <v>#REF!</v>
      </c>
      <c r="E36" s="2049" t="e" cm="1">
        <f t="array" aca="1" ref="E36" ca="1">INDIRECT("'※ 팀별 작성_인프라_인력'!"&amp;E$1&amp;$AB36, TRUE)</f>
        <v>#REF!</v>
      </c>
      <c r="F36" s="2050" t="e" cm="1">
        <f t="array" aca="1" ref="F36" ca="1">INDIRECT("'※ 팀별 작성_인프라_인력'!"&amp;F$1&amp;$AB36, TRUE)</f>
        <v>#REF!</v>
      </c>
      <c r="G36" s="2050" t="e" cm="1">
        <f t="array" aca="1" ref="G36" ca="1">INDIRECT("'※ 팀별 작성_인프라_인력'!"&amp;G$1&amp;$AB36, TRUE)</f>
        <v>#REF!</v>
      </c>
      <c r="H36" s="2050" t="e" cm="1">
        <f t="array" aca="1" ref="H36" ca="1">INDIRECT("'※ 팀별 작성_인프라_인력'!"&amp;H$1&amp;$AB36, TRUE)</f>
        <v>#REF!</v>
      </c>
      <c r="I36" s="2050" t="e" cm="1">
        <f t="array" aca="1" ref="I36" ca="1">INDIRECT("'※ 팀별 작성_인프라_인력'!"&amp;I$1&amp;$AB36, TRUE)</f>
        <v>#REF!</v>
      </c>
      <c r="J36" s="2050" t="e" cm="1">
        <f t="array" aca="1" ref="J36" ca="1">INDIRECT("'※ 팀별 작성_인프라_인력'!"&amp;J$1&amp;$AB36, TRUE)</f>
        <v>#REF!</v>
      </c>
      <c r="K36" s="2049" t="e" cm="1">
        <f t="array" aca="1" ref="K36" ca="1">INDIRECT("'※ 팀별 작성_인프라_인력'!"&amp;K$1&amp;$AB36, TRUE)</f>
        <v>#REF!</v>
      </c>
      <c r="L36" s="2050"/>
      <c r="M36" s="2050"/>
      <c r="N36" s="7424" t="e" cm="1">
        <f t="array" aca="1" ref="N36" ca="1">INDIRECT("'※ 팀별 작성_인프라_인력'!"&amp;N$1&amp;$AB36, TRUE)</f>
        <v>#REF!</v>
      </c>
      <c r="O36" s="7424"/>
      <c r="P36" s="2050" t="e" cm="1">
        <f t="array" aca="1" ref="P36" ca="1">INDIRECT("'※ 팀별 작성_인프라_인력'!"&amp;P$1&amp;$AB36, TRUE)</f>
        <v>#REF!</v>
      </c>
      <c r="Q36" s="2050" t="e" cm="1">
        <f t="array" aca="1" ref="Q36" ca="1">INDIRECT("'※ 팀별 작성_인프라_인력'!"&amp;Q$1&amp;$AB36, TRUE)</f>
        <v>#REF!</v>
      </c>
      <c r="R36" s="2050" t="e" cm="1">
        <f t="array" aca="1" ref="R36" ca="1">INDIRECT("'※ 팀별 작성_인프라_인력'!"&amp;R$1&amp;$AB36, TRUE)</f>
        <v>#REF!</v>
      </c>
      <c r="S36" s="2051" t="e" cm="1">
        <f t="array" aca="1" ref="S36" ca="1">INDIRECT("'※ 팀별 작성_인프라_인력'!"&amp;S$1&amp;$AB36, TRUE)</f>
        <v>#REF!</v>
      </c>
      <c r="T36" s="2051" t="e" cm="1">
        <f t="array" aca="1" ref="T36" ca="1">INDIRECT("'※ 팀별 작성_인프라_인력'!"&amp;T$1&amp;$AB36, TRUE)</f>
        <v>#REF!</v>
      </c>
      <c r="U36" s="2052" t="e" cm="1">
        <f t="array" aca="1" ref="U36" ca="1">INDIRECT("'※ 팀별 작성_인프라_인력'!"&amp;U$1&amp;$AB36, TRUE)</f>
        <v>#REF!</v>
      </c>
      <c r="V36" s="2051" t="e" cm="1">
        <f t="array" aca="1" ref="V36" ca="1">INDIRECT("'※ 팀별 작성_인프라_인력'!"&amp;V$1&amp;$AB36, TRUE)</f>
        <v>#REF!</v>
      </c>
      <c r="W36" s="2051" t="e" cm="1">
        <f t="array" aca="1" ref="W36" ca="1">INDIRECT("'※ 팀별 작성_인프라_인력'!"&amp;W$1&amp;$AB36, TRUE)</f>
        <v>#REF!</v>
      </c>
      <c r="X36" s="2051" t="e" cm="1">
        <f t="array" aca="1" ref="X36" ca="1">INDIRECT("'※ 팀별 작성_인프라_인력'!"&amp;X$1&amp;$AB36, TRUE)</f>
        <v>#REF!</v>
      </c>
      <c r="Y36" s="2053" t="e" cm="1">
        <f t="array" aca="1" ref="Y36" ca="1">INDIRECT("'※ 팀별 작성_인프라_인력'!"&amp;Y$1&amp;$AB36, TRUE)</f>
        <v>#REF!</v>
      </c>
      <c r="Z36" s="2053" t="e" cm="1">
        <f t="array" aca="1" ref="Z36" ca="1">INDIRECT("'※ 팀별 작성_인프라_인력'!"&amp;Z$1&amp;$AB36, TRUE)</f>
        <v>#REF!</v>
      </c>
      <c r="AA36" s="2054" t="e" cm="1">
        <f t="array" aca="1" ref="AA36" ca="1">INDIRECT("'※ 팀별 작성_인프라_인력'!"&amp;AA$1&amp;$AB36, TRUE)</f>
        <v>#REF!</v>
      </c>
      <c r="AB36" s="1874" t="e">
        <f>ROW('※ 팀별 작성_인프라_인력'!#REF!)</f>
        <v>#REF!</v>
      </c>
      <c r="AC36" s="2009"/>
      <c r="AD36" s="2009"/>
    </row>
    <row r="37" spans="1:30" s="555" customFormat="1" hidden="1" x14ac:dyDescent="0.55000000000000004">
      <c r="A37" s="7414"/>
      <c r="B37" s="2055"/>
      <c r="C37" s="1944" t="s">
        <v>767</v>
      </c>
      <c r="D37" s="2056" t="e" cm="1">
        <f t="array" aca="1" ref="D37" ca="1">INDIRECT("'※ 팀별 작성_인프라_인력'!"&amp;D$1&amp;$AB37, TRUE)</f>
        <v>#REF!</v>
      </c>
      <c r="E37" s="2056" t="e" cm="1">
        <f t="array" aca="1" ref="E37" ca="1">INDIRECT("'※ 팀별 작성_인프라_인력'!"&amp;E$1&amp;$AB37, TRUE)</f>
        <v>#REF!</v>
      </c>
      <c r="F37" s="2057" t="e" cm="1">
        <f t="array" aca="1" ref="F37" ca="1">INDIRECT("'※ 팀별 작성_인프라_인력'!"&amp;F$1&amp;$AB37, TRUE)</f>
        <v>#REF!</v>
      </c>
      <c r="G37" s="2057" t="e" cm="1">
        <f t="array" aca="1" ref="G37" ca="1">INDIRECT("'※ 팀별 작성_인프라_인력'!"&amp;G$1&amp;$AB37, TRUE)</f>
        <v>#REF!</v>
      </c>
      <c r="H37" s="2057" t="e" cm="1">
        <f t="array" aca="1" ref="H37" ca="1">INDIRECT("'※ 팀별 작성_인프라_인력'!"&amp;H$1&amp;$AB37, TRUE)</f>
        <v>#REF!</v>
      </c>
      <c r="I37" s="2057" t="e" cm="1">
        <f t="array" aca="1" ref="I37" ca="1">INDIRECT("'※ 팀별 작성_인프라_인력'!"&amp;I$1&amp;$AB37, TRUE)</f>
        <v>#REF!</v>
      </c>
      <c r="J37" s="2057" t="e" cm="1">
        <f t="array" aca="1" ref="J37" ca="1">INDIRECT("'※ 팀별 작성_인프라_인력'!"&amp;J$1&amp;$AB37, TRUE)</f>
        <v>#REF!</v>
      </c>
      <c r="K37" s="2056" t="e" cm="1">
        <f t="array" aca="1" ref="K37" ca="1">INDIRECT("'※ 팀별 작성_인프라_인력'!"&amp;K$1&amp;$AB37, TRUE)</f>
        <v>#REF!</v>
      </c>
      <c r="L37" s="2057"/>
      <c r="M37" s="2057"/>
      <c r="N37" s="7425" t="e" cm="1">
        <f t="array" aca="1" ref="N37" ca="1">INDIRECT("'※ 팀별 작성_인프라_인력'!"&amp;N$1&amp;$AB37, TRUE)</f>
        <v>#REF!</v>
      </c>
      <c r="O37" s="7425"/>
      <c r="P37" s="2057" t="e" cm="1">
        <f t="array" aca="1" ref="P37" ca="1">INDIRECT("'※ 팀별 작성_인프라_인력'!"&amp;P$1&amp;$AB37, TRUE)</f>
        <v>#REF!</v>
      </c>
      <c r="Q37" s="2057" t="e" cm="1">
        <f t="array" aca="1" ref="Q37" ca="1">INDIRECT("'※ 팀별 작성_인프라_인력'!"&amp;Q$1&amp;$AB37, TRUE)</f>
        <v>#REF!</v>
      </c>
      <c r="R37" s="2057" t="e" cm="1">
        <f t="array" aca="1" ref="R37" ca="1">INDIRECT("'※ 팀별 작성_인프라_인력'!"&amp;R$1&amp;$AB37, TRUE)</f>
        <v>#REF!</v>
      </c>
      <c r="S37" s="2058" t="e" cm="1">
        <f t="array" aca="1" ref="S37" ca="1">INDIRECT("'※ 팀별 작성_인프라_인력'!"&amp;S$1&amp;$AB37, TRUE)</f>
        <v>#REF!</v>
      </c>
      <c r="T37" s="2058" t="e" cm="1">
        <f t="array" aca="1" ref="T37" ca="1">INDIRECT("'※ 팀별 작성_인프라_인력'!"&amp;T$1&amp;$AB37, TRUE)</f>
        <v>#REF!</v>
      </c>
      <c r="U37" s="2059" t="e" cm="1">
        <f t="array" aca="1" ref="U37" ca="1">INDIRECT("'※ 팀별 작성_인프라_인력'!"&amp;U$1&amp;$AB37, TRUE)</f>
        <v>#REF!</v>
      </c>
      <c r="V37" s="2058" t="e" cm="1">
        <f t="array" aca="1" ref="V37" ca="1">INDIRECT("'※ 팀별 작성_인프라_인력'!"&amp;V$1&amp;$AB37, TRUE)</f>
        <v>#REF!</v>
      </c>
      <c r="W37" s="2058" t="e" cm="1">
        <f t="array" aca="1" ref="W37" ca="1">INDIRECT("'※ 팀별 작성_인프라_인력'!"&amp;W$1&amp;$AB37, TRUE)</f>
        <v>#REF!</v>
      </c>
      <c r="X37" s="2058" t="e" cm="1">
        <f t="array" aca="1" ref="X37" ca="1">INDIRECT("'※ 팀별 작성_인프라_인력'!"&amp;X$1&amp;$AB37, TRUE)</f>
        <v>#REF!</v>
      </c>
      <c r="Y37" s="2060" t="e" cm="1">
        <f t="array" aca="1" ref="Y37" ca="1">INDIRECT("'※ 팀별 작성_인프라_인력'!"&amp;Y$1&amp;$AB37, TRUE)</f>
        <v>#REF!</v>
      </c>
      <c r="Z37" s="2060" t="e" cm="1">
        <f t="array" aca="1" ref="Z37" ca="1">INDIRECT("'※ 팀별 작성_인프라_인력'!"&amp;Z$1&amp;$AB37, TRUE)</f>
        <v>#REF!</v>
      </c>
      <c r="AA37" s="2061" t="e" cm="1">
        <f t="array" aca="1" ref="AA37" ca="1">INDIRECT("'※ 팀별 작성_인프라_인력'!"&amp;AA$1&amp;$AB37, TRUE)</f>
        <v>#REF!</v>
      </c>
      <c r="AB37" s="1874" t="e">
        <f>ROW('※ 팀별 작성_인프라_인력'!#REF!)</f>
        <v>#REF!</v>
      </c>
      <c r="AC37" s="2009"/>
      <c r="AD37" s="2009"/>
    </row>
    <row r="38" spans="1:30" s="555" customFormat="1" hidden="1" x14ac:dyDescent="0.55000000000000004">
      <c r="A38" s="7414"/>
      <c r="B38" s="2062"/>
      <c r="C38" s="1959" t="s">
        <v>768</v>
      </c>
      <c r="D38" s="2063" t="e" cm="1">
        <f t="array" aca="1" ref="D38" ca="1">INDIRECT("'※ 팀별 작성_인프라_인력'!"&amp;D$1&amp;$AB38, TRUE)</f>
        <v>#REF!</v>
      </c>
      <c r="E38" s="2063" t="e" cm="1">
        <f t="array" aca="1" ref="E38" ca="1">INDIRECT("'※ 팀별 작성_인프라_인력'!"&amp;E$1&amp;$AB38, TRUE)</f>
        <v>#REF!</v>
      </c>
      <c r="F38" s="2064" t="e" cm="1">
        <f t="array" aca="1" ref="F38" ca="1">INDIRECT("'※ 팀별 작성_인프라_인력'!"&amp;F$1&amp;$AB38, TRUE)</f>
        <v>#REF!</v>
      </c>
      <c r="G38" s="2064" t="e" cm="1">
        <f t="array" aca="1" ref="G38" ca="1">INDIRECT("'※ 팀별 작성_인프라_인력'!"&amp;G$1&amp;$AB38, TRUE)</f>
        <v>#REF!</v>
      </c>
      <c r="H38" s="2064" t="e" cm="1">
        <f t="array" aca="1" ref="H38" ca="1">INDIRECT("'※ 팀별 작성_인프라_인력'!"&amp;H$1&amp;$AB38, TRUE)</f>
        <v>#REF!</v>
      </c>
      <c r="I38" s="2064" t="e" cm="1">
        <f t="array" aca="1" ref="I38" ca="1">INDIRECT("'※ 팀별 작성_인프라_인력'!"&amp;I$1&amp;$AB38, TRUE)</f>
        <v>#REF!</v>
      </c>
      <c r="J38" s="2064" t="e" cm="1">
        <f t="array" aca="1" ref="J38" ca="1">INDIRECT("'※ 팀별 작성_인프라_인력'!"&amp;J$1&amp;$AB38, TRUE)</f>
        <v>#REF!</v>
      </c>
      <c r="K38" s="2063" t="e" cm="1">
        <f t="array" aca="1" ref="K38" ca="1">INDIRECT("'※ 팀별 작성_인프라_인력'!"&amp;K$1&amp;$AB38, TRUE)</f>
        <v>#REF!</v>
      </c>
      <c r="L38" s="2064"/>
      <c r="M38" s="2064"/>
      <c r="N38" s="7423" t="e" cm="1">
        <f t="array" aca="1" ref="N38" ca="1">INDIRECT("'※ 팀별 작성_인프라_인력'!"&amp;N$1&amp;$AB38, TRUE)</f>
        <v>#REF!</v>
      </c>
      <c r="O38" s="7423"/>
      <c r="P38" s="2064" t="e" cm="1">
        <f t="array" aca="1" ref="P38" ca="1">INDIRECT("'※ 팀별 작성_인프라_인력'!"&amp;P$1&amp;$AB38, TRUE)</f>
        <v>#REF!</v>
      </c>
      <c r="Q38" s="2064" t="e" cm="1">
        <f t="array" aca="1" ref="Q38" ca="1">INDIRECT("'※ 팀별 작성_인프라_인력'!"&amp;Q$1&amp;$AB38, TRUE)</f>
        <v>#REF!</v>
      </c>
      <c r="R38" s="2064" t="e" cm="1">
        <f t="array" aca="1" ref="R38" ca="1">INDIRECT("'※ 팀별 작성_인프라_인력'!"&amp;R$1&amp;$AB38, TRUE)</f>
        <v>#REF!</v>
      </c>
      <c r="S38" s="2065" t="e" cm="1">
        <f t="array" aca="1" ref="S38" ca="1">INDIRECT("'※ 팀별 작성_인프라_인력'!"&amp;S$1&amp;$AB38, TRUE)</f>
        <v>#REF!</v>
      </c>
      <c r="T38" s="2065" t="e" cm="1">
        <f t="array" aca="1" ref="T38" ca="1">INDIRECT("'※ 팀별 작성_인프라_인력'!"&amp;T$1&amp;$AB38, TRUE)</f>
        <v>#REF!</v>
      </c>
      <c r="U38" s="2066" t="e" cm="1">
        <f t="array" aca="1" ref="U38" ca="1">INDIRECT("'※ 팀별 작성_인프라_인력'!"&amp;U$1&amp;$AB38, TRUE)</f>
        <v>#REF!</v>
      </c>
      <c r="V38" s="2065" t="e" cm="1">
        <f t="array" aca="1" ref="V38" ca="1">INDIRECT("'※ 팀별 작성_인프라_인력'!"&amp;V$1&amp;$AB38, TRUE)</f>
        <v>#REF!</v>
      </c>
      <c r="W38" s="2065" t="e" cm="1">
        <f t="array" aca="1" ref="W38" ca="1">INDIRECT("'※ 팀별 작성_인프라_인력'!"&amp;W$1&amp;$AB38, TRUE)</f>
        <v>#REF!</v>
      </c>
      <c r="X38" s="2065" t="e" cm="1">
        <f t="array" aca="1" ref="X38" ca="1">INDIRECT("'※ 팀별 작성_인프라_인력'!"&amp;X$1&amp;$AB38, TRUE)</f>
        <v>#REF!</v>
      </c>
      <c r="Y38" s="2067" t="e" cm="1">
        <f t="array" aca="1" ref="Y38" ca="1">INDIRECT("'※ 팀별 작성_인프라_인력'!"&amp;Y$1&amp;$AB38, TRUE)</f>
        <v>#REF!</v>
      </c>
      <c r="Z38" s="2067" t="e" cm="1">
        <f t="array" aca="1" ref="Z38" ca="1">INDIRECT("'※ 팀별 작성_인프라_인력'!"&amp;Z$1&amp;$AB38, TRUE)</f>
        <v>#REF!</v>
      </c>
      <c r="AA38" s="2068" t="e" cm="1">
        <f t="array" aca="1" ref="AA38" ca="1">INDIRECT("'※ 팀별 작성_인프라_인력'!"&amp;AA$1&amp;$AB38, TRUE)</f>
        <v>#REF!</v>
      </c>
      <c r="AB38" s="1874" t="e">
        <f>ROW('※ 팀별 작성_인프라_인력'!#REF!)</f>
        <v>#REF!</v>
      </c>
      <c r="AC38" s="2009"/>
      <c r="AD38" s="2009"/>
    </row>
    <row r="39" spans="1:30" s="555" customFormat="1" hidden="1" x14ac:dyDescent="0.55000000000000004">
      <c r="A39" s="7414"/>
      <c r="B39" s="2062"/>
      <c r="C39" s="1973" t="s">
        <v>769</v>
      </c>
      <c r="D39" s="2069" t="e" cm="1">
        <f t="array" aca="1" ref="D39" ca="1">INDIRECT("'※ 팀별 작성_인프라_인력'!"&amp;D$1&amp;$AB39, TRUE)</f>
        <v>#REF!</v>
      </c>
      <c r="E39" s="2069" t="e" cm="1">
        <f t="array" aca="1" ref="E39" ca="1">INDIRECT("'※ 팀별 작성_인프라_인력'!"&amp;E$1&amp;$AB39, TRUE)</f>
        <v>#REF!</v>
      </c>
      <c r="F39" s="2070" t="e" cm="1">
        <f t="array" aca="1" ref="F39" ca="1">INDIRECT("'※ 팀별 작성_인프라_인력'!"&amp;F$1&amp;$AB39, TRUE)</f>
        <v>#REF!</v>
      </c>
      <c r="G39" s="2070" t="e" cm="1">
        <f t="array" aca="1" ref="G39" ca="1">INDIRECT("'※ 팀별 작성_인프라_인력'!"&amp;G$1&amp;$AB39, TRUE)</f>
        <v>#REF!</v>
      </c>
      <c r="H39" s="2070" t="e" cm="1">
        <f t="array" aca="1" ref="H39" ca="1">INDIRECT("'※ 팀별 작성_인프라_인력'!"&amp;H$1&amp;$AB39, TRUE)</f>
        <v>#REF!</v>
      </c>
      <c r="I39" s="2070" t="e" cm="1">
        <f t="array" aca="1" ref="I39" ca="1">INDIRECT("'※ 팀별 작성_인프라_인력'!"&amp;I$1&amp;$AB39, TRUE)</f>
        <v>#REF!</v>
      </c>
      <c r="J39" s="2070" t="e" cm="1">
        <f t="array" aca="1" ref="J39" ca="1">INDIRECT("'※ 팀별 작성_인프라_인력'!"&amp;J$1&amp;$AB39, TRUE)</f>
        <v>#REF!</v>
      </c>
      <c r="K39" s="2069" t="e" cm="1">
        <f t="array" aca="1" ref="K39" ca="1">INDIRECT("'※ 팀별 작성_인프라_인력'!"&amp;K$1&amp;$AB39, TRUE)</f>
        <v>#REF!</v>
      </c>
      <c r="L39" s="2070"/>
      <c r="M39" s="2070"/>
      <c r="N39" s="7402" t="e" cm="1">
        <f t="array" aca="1" ref="N39" ca="1">INDIRECT("'※ 팀별 작성_인프라_인력'!"&amp;N$1&amp;$AB39, TRUE)</f>
        <v>#REF!</v>
      </c>
      <c r="O39" s="7402"/>
      <c r="P39" s="2070" t="e" cm="1">
        <f t="array" aca="1" ref="P39" ca="1">INDIRECT("'※ 팀별 작성_인프라_인력'!"&amp;P$1&amp;$AB39, TRUE)</f>
        <v>#REF!</v>
      </c>
      <c r="Q39" s="2070" t="e" cm="1">
        <f t="array" aca="1" ref="Q39" ca="1">INDIRECT("'※ 팀별 작성_인프라_인력'!"&amp;Q$1&amp;$AB39, TRUE)</f>
        <v>#REF!</v>
      </c>
      <c r="R39" s="2070" t="e" cm="1">
        <f t="array" aca="1" ref="R39" ca="1">INDIRECT("'※ 팀별 작성_인프라_인력'!"&amp;R$1&amp;$AB39, TRUE)</f>
        <v>#REF!</v>
      </c>
      <c r="S39" s="2071" t="e" cm="1">
        <f t="array" aca="1" ref="S39" ca="1">INDIRECT("'※ 팀별 작성_인프라_인력'!"&amp;S$1&amp;$AB39, TRUE)</f>
        <v>#REF!</v>
      </c>
      <c r="T39" s="2071" t="e" cm="1">
        <f t="array" aca="1" ref="T39" ca="1">INDIRECT("'※ 팀별 작성_인프라_인력'!"&amp;T$1&amp;$AB39, TRUE)</f>
        <v>#REF!</v>
      </c>
      <c r="U39" s="2072" t="e" cm="1">
        <f t="array" aca="1" ref="U39" ca="1">INDIRECT("'※ 팀별 작성_인프라_인력'!"&amp;U$1&amp;$AB39, TRUE)</f>
        <v>#REF!</v>
      </c>
      <c r="V39" s="2071" t="e" cm="1">
        <f t="array" aca="1" ref="V39" ca="1">INDIRECT("'※ 팀별 작성_인프라_인력'!"&amp;V$1&amp;$AB39, TRUE)</f>
        <v>#REF!</v>
      </c>
      <c r="W39" s="2071" t="e" cm="1">
        <f t="array" aca="1" ref="W39" ca="1">INDIRECT("'※ 팀별 작성_인프라_인력'!"&amp;W$1&amp;$AB39, TRUE)</f>
        <v>#REF!</v>
      </c>
      <c r="X39" s="2071" t="e" cm="1">
        <f t="array" aca="1" ref="X39" ca="1">INDIRECT("'※ 팀별 작성_인프라_인력'!"&amp;X$1&amp;$AB39, TRUE)</f>
        <v>#REF!</v>
      </c>
      <c r="Y39" s="2073" t="e" cm="1">
        <f t="array" aca="1" ref="Y39" ca="1">INDIRECT("'※ 팀별 작성_인프라_인력'!"&amp;Y$1&amp;$AB39, TRUE)</f>
        <v>#REF!</v>
      </c>
      <c r="Z39" s="2073" t="e" cm="1">
        <f t="array" aca="1" ref="Z39" ca="1">INDIRECT("'※ 팀별 작성_인프라_인력'!"&amp;Z$1&amp;$AB39, TRUE)</f>
        <v>#REF!</v>
      </c>
      <c r="AA39" s="2074" t="e" cm="1">
        <f t="array" aca="1" ref="AA39" ca="1">INDIRECT("'※ 팀별 작성_인프라_인력'!"&amp;AA$1&amp;$AB39, TRUE)</f>
        <v>#REF!</v>
      </c>
      <c r="AB39" s="1874" t="e">
        <f>ROW('※ 팀별 작성_인프라_인력'!#REF!)</f>
        <v>#REF!</v>
      </c>
      <c r="AC39" s="2009"/>
      <c r="AD39" s="2009"/>
    </row>
    <row r="40" spans="1:30" s="555" customFormat="1" hidden="1" x14ac:dyDescent="0.55000000000000004">
      <c r="A40" s="7414"/>
      <c r="B40" s="2062"/>
      <c r="C40" s="1973" t="s">
        <v>770</v>
      </c>
      <c r="D40" s="2069" t="e" cm="1">
        <f t="array" aca="1" ref="D40" ca="1">INDIRECT("'※ 팀별 작성_인프라_인력'!"&amp;D$1&amp;$AB40, TRUE)</f>
        <v>#REF!</v>
      </c>
      <c r="E40" s="2069" t="e" cm="1">
        <f t="array" aca="1" ref="E40" ca="1">INDIRECT("'※ 팀별 작성_인프라_인력'!"&amp;E$1&amp;$AB40, TRUE)</f>
        <v>#REF!</v>
      </c>
      <c r="F40" s="2070" t="e" cm="1">
        <f t="array" aca="1" ref="F40" ca="1">INDIRECT("'※ 팀별 작성_인프라_인력'!"&amp;F$1&amp;$AB40, TRUE)</f>
        <v>#REF!</v>
      </c>
      <c r="G40" s="2070" t="e" cm="1">
        <f t="array" aca="1" ref="G40" ca="1">INDIRECT("'※ 팀별 작성_인프라_인력'!"&amp;G$1&amp;$AB40, TRUE)</f>
        <v>#REF!</v>
      </c>
      <c r="H40" s="2070" t="e" cm="1">
        <f t="array" aca="1" ref="H40" ca="1">INDIRECT("'※ 팀별 작성_인프라_인력'!"&amp;H$1&amp;$AB40, TRUE)</f>
        <v>#REF!</v>
      </c>
      <c r="I40" s="2070" t="e" cm="1">
        <f t="array" aca="1" ref="I40" ca="1">INDIRECT("'※ 팀별 작성_인프라_인력'!"&amp;I$1&amp;$AB40, TRUE)</f>
        <v>#REF!</v>
      </c>
      <c r="J40" s="2070" t="e" cm="1">
        <f t="array" aca="1" ref="J40" ca="1">INDIRECT("'※ 팀별 작성_인프라_인력'!"&amp;J$1&amp;$AB40, TRUE)</f>
        <v>#REF!</v>
      </c>
      <c r="K40" s="2069" t="e" cm="1">
        <f t="array" aca="1" ref="K40" ca="1">INDIRECT("'※ 팀별 작성_인프라_인력'!"&amp;K$1&amp;$AB40, TRUE)</f>
        <v>#REF!</v>
      </c>
      <c r="L40" s="2070"/>
      <c r="M40" s="2070"/>
      <c r="N40" s="7402" t="e" cm="1">
        <f t="array" aca="1" ref="N40" ca="1">INDIRECT("'※ 팀별 작성_인프라_인력'!"&amp;N$1&amp;$AB40, TRUE)</f>
        <v>#REF!</v>
      </c>
      <c r="O40" s="7402"/>
      <c r="P40" s="2070" t="e" cm="1">
        <f t="array" aca="1" ref="P40" ca="1">INDIRECT("'※ 팀별 작성_인프라_인력'!"&amp;P$1&amp;$AB40, TRUE)</f>
        <v>#REF!</v>
      </c>
      <c r="Q40" s="2070" t="e" cm="1">
        <f t="array" aca="1" ref="Q40" ca="1">INDIRECT("'※ 팀별 작성_인프라_인력'!"&amp;Q$1&amp;$AB40, TRUE)</f>
        <v>#REF!</v>
      </c>
      <c r="R40" s="2070" t="e" cm="1">
        <f t="array" aca="1" ref="R40" ca="1">INDIRECT("'※ 팀별 작성_인프라_인력'!"&amp;R$1&amp;$AB40, TRUE)</f>
        <v>#REF!</v>
      </c>
      <c r="S40" s="2075"/>
      <c r="T40" s="2075"/>
      <c r="U40" s="2076"/>
      <c r="V40" s="2075"/>
      <c r="W40" s="2075"/>
      <c r="X40" s="2075"/>
      <c r="Y40" s="2032" t="e" cm="1">
        <f t="array" aca="1" ref="Y40" ca="1">INDIRECT("'※ 팀별 작성_인프라_인력'!"&amp;Y$1&amp;$AB40, TRUE)</f>
        <v>#REF!</v>
      </c>
      <c r="Z40" s="2073" t="e" cm="1">
        <f t="array" aca="1" ref="Z40" ca="1">INDIRECT("'※ 팀별 작성_인프라_인력'!"&amp;Z$1&amp;$AB40, TRUE)</f>
        <v>#REF!</v>
      </c>
      <c r="AA40" s="2074" t="e" cm="1">
        <f t="array" aca="1" ref="AA40" ca="1">INDIRECT("'※ 팀별 작성_인프라_인력'!"&amp;AA$1&amp;$AB40, TRUE)</f>
        <v>#REF!</v>
      </c>
      <c r="AB40" s="1874" t="e">
        <f>ROW('※ 팀별 작성_인프라_인력'!#REF!)</f>
        <v>#REF!</v>
      </c>
      <c r="AC40" s="2009"/>
      <c r="AD40" s="2009"/>
    </row>
    <row r="41" spans="1:30" s="555" customFormat="1" hidden="1" x14ac:dyDescent="0.55000000000000004">
      <c r="A41" s="7414"/>
      <c r="B41" s="2062"/>
      <c r="C41" s="1959" t="s">
        <v>771</v>
      </c>
      <c r="D41" s="2063" t="e" cm="1">
        <f t="array" aca="1" ref="D41" ca="1">INDIRECT("'※ 팀별 작성_인프라_인력'!"&amp;D$1&amp;$AB41, TRUE)</f>
        <v>#REF!</v>
      </c>
      <c r="E41" s="2063" t="e" cm="1">
        <f t="array" aca="1" ref="E41" ca="1">INDIRECT("'※ 팀별 작성_인프라_인력'!"&amp;E$1&amp;$AB41, TRUE)</f>
        <v>#REF!</v>
      </c>
      <c r="F41" s="2064" t="e" cm="1">
        <f t="array" aca="1" ref="F41" ca="1">INDIRECT("'※ 팀별 작성_인프라_인력'!"&amp;F$1&amp;$AB41, TRUE)</f>
        <v>#REF!</v>
      </c>
      <c r="G41" s="2064" t="e" cm="1">
        <f t="array" aca="1" ref="G41" ca="1">INDIRECT("'※ 팀별 작성_인프라_인력'!"&amp;G$1&amp;$AB41, TRUE)</f>
        <v>#REF!</v>
      </c>
      <c r="H41" s="2064" t="e" cm="1">
        <f t="array" aca="1" ref="H41" ca="1">INDIRECT("'※ 팀별 작성_인프라_인력'!"&amp;H$1&amp;$AB41, TRUE)</f>
        <v>#REF!</v>
      </c>
      <c r="I41" s="2064" t="e" cm="1">
        <f t="array" aca="1" ref="I41" ca="1">INDIRECT("'※ 팀별 작성_인프라_인력'!"&amp;I$1&amp;$AB41, TRUE)</f>
        <v>#REF!</v>
      </c>
      <c r="J41" s="2064" t="e" cm="1">
        <f t="array" aca="1" ref="J41" ca="1">INDIRECT("'※ 팀별 작성_인프라_인력'!"&amp;J$1&amp;$AB41, TRUE)</f>
        <v>#REF!</v>
      </c>
      <c r="K41" s="2063" t="e" cm="1">
        <f t="array" aca="1" ref="K41" ca="1">INDIRECT("'※ 팀별 작성_인프라_인력'!"&amp;K$1&amp;$AB41, TRUE)</f>
        <v>#REF!</v>
      </c>
      <c r="L41" s="2064"/>
      <c r="M41" s="2064"/>
      <c r="N41" s="7423" t="e" cm="1">
        <f t="array" aca="1" ref="N41" ca="1">INDIRECT("'※ 팀별 작성_인프라_인력'!"&amp;N$1&amp;$AB41, TRUE)</f>
        <v>#REF!</v>
      </c>
      <c r="O41" s="7423"/>
      <c r="P41" s="2064" t="e" cm="1">
        <f t="array" aca="1" ref="P41" ca="1">INDIRECT("'※ 팀별 작성_인프라_인력'!"&amp;P$1&amp;$AB41, TRUE)</f>
        <v>#REF!</v>
      </c>
      <c r="Q41" s="2064" t="e" cm="1">
        <f t="array" aca="1" ref="Q41" ca="1">INDIRECT("'※ 팀별 작성_인프라_인력'!"&amp;Q$1&amp;$AB41, TRUE)</f>
        <v>#REF!</v>
      </c>
      <c r="R41" s="2064" t="e" cm="1">
        <f t="array" aca="1" ref="R41" ca="1">INDIRECT("'※ 팀별 작성_인프라_인력'!"&amp;R$1&amp;$AB41, TRUE)</f>
        <v>#REF!</v>
      </c>
      <c r="S41" s="2065" t="e" cm="1">
        <f t="array" aca="1" ref="S41" ca="1">INDIRECT("'※ 팀별 작성_인프라_인력'!"&amp;S$1&amp;$AB41, TRUE)</f>
        <v>#REF!</v>
      </c>
      <c r="T41" s="2065" t="e" cm="1">
        <f t="array" aca="1" ref="T41" ca="1">INDIRECT("'※ 팀별 작성_인프라_인력'!"&amp;T$1&amp;$AB41, TRUE)</f>
        <v>#REF!</v>
      </c>
      <c r="U41" s="2066" t="e" cm="1">
        <f t="array" aca="1" ref="U41" ca="1">INDIRECT("'※ 팀별 작성_인프라_인력'!"&amp;U$1&amp;$AB41, TRUE)</f>
        <v>#REF!</v>
      </c>
      <c r="V41" s="2065" t="e" cm="1">
        <f t="array" aca="1" ref="V41" ca="1">INDIRECT("'※ 팀별 작성_인프라_인력'!"&amp;V$1&amp;$AB41, TRUE)</f>
        <v>#REF!</v>
      </c>
      <c r="W41" s="2065" t="e" cm="1">
        <f t="array" aca="1" ref="W41" ca="1">INDIRECT("'※ 팀별 작성_인프라_인력'!"&amp;W$1&amp;$AB41, TRUE)</f>
        <v>#REF!</v>
      </c>
      <c r="X41" s="2065" t="e" cm="1">
        <f t="array" aca="1" ref="X41" ca="1">INDIRECT("'※ 팀별 작성_인프라_인력'!"&amp;X$1&amp;$AB41, TRUE)</f>
        <v>#REF!</v>
      </c>
      <c r="Y41" s="2067" t="e" cm="1">
        <f t="array" aca="1" ref="Y41" ca="1">INDIRECT("'※ 팀별 작성_인프라_인력'!"&amp;Y$1&amp;$AB41, TRUE)</f>
        <v>#REF!</v>
      </c>
      <c r="Z41" s="2067" t="e" cm="1">
        <f t="array" aca="1" ref="Z41" ca="1">INDIRECT("'※ 팀별 작성_인프라_인력'!"&amp;Z$1&amp;$AB41, TRUE)</f>
        <v>#REF!</v>
      </c>
      <c r="AA41" s="2068" t="e" cm="1">
        <f t="array" aca="1" ref="AA41" ca="1">INDIRECT("'※ 팀별 작성_인프라_인력'!"&amp;AA$1&amp;$AB41, TRUE)</f>
        <v>#REF!</v>
      </c>
      <c r="AB41" s="1874" t="e">
        <f>ROW('※ 팀별 작성_인프라_인력'!#REF!)</f>
        <v>#REF!</v>
      </c>
      <c r="AC41" s="2009"/>
      <c r="AD41" s="2009"/>
    </row>
    <row r="42" spans="1:30" s="555" customFormat="1" hidden="1" x14ac:dyDescent="0.55000000000000004">
      <c r="A42" s="7414"/>
      <c r="B42" s="2062"/>
      <c r="C42" s="1959" t="s">
        <v>772</v>
      </c>
      <c r="D42" s="2063" t="e" cm="1">
        <f t="array" aca="1" ref="D42" ca="1">INDIRECT("'※ 팀별 작성_인프라_인력'!"&amp;D$1&amp;$AB42, TRUE)</f>
        <v>#REF!</v>
      </c>
      <c r="E42" s="2063" t="e" cm="1">
        <f t="array" aca="1" ref="E42" ca="1">INDIRECT("'※ 팀별 작성_인프라_인력'!"&amp;E$1&amp;$AB42, TRUE)</f>
        <v>#REF!</v>
      </c>
      <c r="F42" s="2064" t="e" cm="1">
        <f t="array" aca="1" ref="F42" ca="1">INDIRECT("'※ 팀별 작성_인프라_인력'!"&amp;F$1&amp;$AB42, TRUE)</f>
        <v>#REF!</v>
      </c>
      <c r="G42" s="2064" t="e" cm="1">
        <f t="array" aca="1" ref="G42" ca="1">INDIRECT("'※ 팀별 작성_인프라_인력'!"&amp;G$1&amp;$AB42, TRUE)</f>
        <v>#REF!</v>
      </c>
      <c r="H42" s="2064" t="e" cm="1">
        <f t="array" aca="1" ref="H42" ca="1">INDIRECT("'※ 팀별 작성_인프라_인력'!"&amp;H$1&amp;$AB42, TRUE)</f>
        <v>#REF!</v>
      </c>
      <c r="I42" s="2064" t="e" cm="1">
        <f t="array" aca="1" ref="I42" ca="1">INDIRECT("'※ 팀별 작성_인프라_인력'!"&amp;I$1&amp;$AB42, TRUE)</f>
        <v>#REF!</v>
      </c>
      <c r="J42" s="2064" t="e" cm="1">
        <f t="array" aca="1" ref="J42" ca="1">INDIRECT("'※ 팀별 작성_인프라_인력'!"&amp;J$1&amp;$AB42, TRUE)</f>
        <v>#REF!</v>
      </c>
      <c r="K42" s="2063" t="e" cm="1">
        <f t="array" aca="1" ref="K42" ca="1">INDIRECT("'※ 팀별 작성_인프라_인력'!"&amp;K$1&amp;$AB42, TRUE)</f>
        <v>#REF!</v>
      </c>
      <c r="L42" s="2064"/>
      <c r="M42" s="2064"/>
      <c r="N42" s="7423" t="e" cm="1">
        <f t="array" aca="1" ref="N42" ca="1">INDIRECT("'※ 팀별 작성_인프라_인력'!"&amp;N$1&amp;$AB42, TRUE)</f>
        <v>#REF!</v>
      </c>
      <c r="O42" s="7423"/>
      <c r="P42" s="2064" t="e" cm="1">
        <f t="array" aca="1" ref="P42" ca="1">INDIRECT("'※ 팀별 작성_인프라_인력'!"&amp;P$1&amp;$AB42, TRUE)</f>
        <v>#REF!</v>
      </c>
      <c r="Q42" s="2064" t="e" cm="1">
        <f t="array" aca="1" ref="Q42" ca="1">INDIRECT("'※ 팀별 작성_인프라_인력'!"&amp;Q$1&amp;$AB42, TRUE)</f>
        <v>#REF!</v>
      </c>
      <c r="R42" s="2064" t="e" cm="1">
        <f t="array" aca="1" ref="R42" ca="1">INDIRECT("'※ 팀별 작성_인프라_인력'!"&amp;R$1&amp;$AB42, TRUE)</f>
        <v>#REF!</v>
      </c>
      <c r="S42" s="2075"/>
      <c r="T42" s="2075"/>
      <c r="U42" s="2076"/>
      <c r="V42" s="2075"/>
      <c r="W42" s="2075"/>
      <c r="X42" s="2075"/>
      <c r="Y42" s="2032" t="e" cm="1">
        <f t="array" aca="1" ref="Y42" ca="1">INDIRECT("'※ 팀별 작성_인프라_인력'!"&amp;Y$1&amp;$AB42, TRUE)</f>
        <v>#REF!</v>
      </c>
      <c r="Z42" s="2067" t="e" cm="1">
        <f t="array" aca="1" ref="Z42" ca="1">INDIRECT("'※ 팀별 작성_인프라_인력'!"&amp;Z$1&amp;$AB42, TRUE)</f>
        <v>#REF!</v>
      </c>
      <c r="AA42" s="2068" t="e" cm="1">
        <f t="array" aca="1" ref="AA42" ca="1">INDIRECT("'※ 팀별 작성_인프라_인력'!"&amp;AA$1&amp;$AB42, TRUE)</f>
        <v>#REF!</v>
      </c>
      <c r="AB42" s="1874" t="e">
        <f>ROW('※ 팀별 작성_인프라_인력'!#REF!)</f>
        <v>#REF!</v>
      </c>
      <c r="AC42" s="2009"/>
      <c r="AD42" s="2009"/>
    </row>
    <row r="43" spans="1:30" s="555" customFormat="1" hidden="1" x14ac:dyDescent="0.55000000000000004">
      <c r="A43" s="7414"/>
      <c r="B43" s="2062"/>
      <c r="C43" s="1973" t="s">
        <v>773</v>
      </c>
      <c r="D43" s="2069" t="e" cm="1">
        <f t="array" aca="1" ref="D43" ca="1">INDIRECT("'※ 팀별 작성_인프라_인력'!"&amp;D$1&amp;$AB43, TRUE)</f>
        <v>#REF!</v>
      </c>
      <c r="E43" s="2069" t="e" cm="1">
        <f t="array" aca="1" ref="E43" ca="1">INDIRECT("'※ 팀별 작성_인프라_인력'!"&amp;E$1&amp;$AB43, TRUE)</f>
        <v>#REF!</v>
      </c>
      <c r="F43" s="2070" t="e" cm="1">
        <f t="array" aca="1" ref="F43" ca="1">INDIRECT("'※ 팀별 작성_인프라_인력'!"&amp;F$1&amp;$AB43, TRUE)</f>
        <v>#REF!</v>
      </c>
      <c r="G43" s="2070" t="e" cm="1">
        <f t="array" aca="1" ref="G43" ca="1">INDIRECT("'※ 팀별 작성_인프라_인력'!"&amp;G$1&amp;$AB43, TRUE)</f>
        <v>#REF!</v>
      </c>
      <c r="H43" s="2070" t="e" cm="1">
        <f t="array" aca="1" ref="H43" ca="1">INDIRECT("'※ 팀별 작성_인프라_인력'!"&amp;H$1&amp;$AB43, TRUE)</f>
        <v>#REF!</v>
      </c>
      <c r="I43" s="2070" t="e" cm="1">
        <f t="array" aca="1" ref="I43" ca="1">INDIRECT("'※ 팀별 작성_인프라_인력'!"&amp;I$1&amp;$AB43, TRUE)</f>
        <v>#REF!</v>
      </c>
      <c r="J43" s="2070" t="e" cm="1">
        <f t="array" aca="1" ref="J43" ca="1">INDIRECT("'※ 팀별 작성_인프라_인력'!"&amp;J$1&amp;$AB43, TRUE)</f>
        <v>#REF!</v>
      </c>
      <c r="K43" s="2069" t="e" cm="1">
        <f t="array" aca="1" ref="K43" ca="1">INDIRECT("'※ 팀별 작성_인프라_인력'!"&amp;K$1&amp;$AB43, TRUE)</f>
        <v>#REF!</v>
      </c>
      <c r="L43" s="2070"/>
      <c r="M43" s="2070"/>
      <c r="N43" s="7402" t="e" cm="1">
        <f t="array" aca="1" ref="N43" ca="1">INDIRECT("'※ 팀별 작성_인프라_인력'!"&amp;N$1&amp;$AB43, TRUE)</f>
        <v>#REF!</v>
      </c>
      <c r="O43" s="7402"/>
      <c r="P43" s="2070" t="e" cm="1">
        <f t="array" aca="1" ref="P43" ca="1">INDIRECT("'※ 팀별 작성_인프라_인력'!"&amp;P$1&amp;$AB43, TRUE)</f>
        <v>#REF!</v>
      </c>
      <c r="Q43" s="2070" t="e" cm="1">
        <f t="array" aca="1" ref="Q43" ca="1">INDIRECT("'※ 팀별 작성_인프라_인력'!"&amp;Q$1&amp;$AB43, TRUE)</f>
        <v>#REF!</v>
      </c>
      <c r="R43" s="2070" t="e" cm="1">
        <f t="array" aca="1" ref="R43" ca="1">INDIRECT("'※ 팀별 작성_인프라_인력'!"&amp;R$1&amp;$AB43, TRUE)</f>
        <v>#REF!</v>
      </c>
      <c r="S43" s="2071" t="e" cm="1">
        <f t="array" aca="1" ref="S43" ca="1">INDIRECT("'※ 팀별 작성_인프라_인력'!"&amp;S$1&amp;$AB43, TRUE)</f>
        <v>#REF!</v>
      </c>
      <c r="T43" s="2071" t="e" cm="1">
        <f t="array" aca="1" ref="T43" ca="1">INDIRECT("'※ 팀별 작성_인프라_인력'!"&amp;T$1&amp;$AB43, TRUE)</f>
        <v>#REF!</v>
      </c>
      <c r="U43" s="2072" t="e" cm="1">
        <f t="array" aca="1" ref="U43" ca="1">INDIRECT("'※ 팀별 작성_인프라_인력'!"&amp;U$1&amp;$AB43, TRUE)</f>
        <v>#REF!</v>
      </c>
      <c r="V43" s="2071" t="e" cm="1">
        <f t="array" aca="1" ref="V43" ca="1">INDIRECT("'※ 팀별 작성_인프라_인력'!"&amp;V$1&amp;$AB43, TRUE)</f>
        <v>#REF!</v>
      </c>
      <c r="W43" s="2071" t="e" cm="1">
        <f t="array" aca="1" ref="W43" ca="1">INDIRECT("'※ 팀별 작성_인프라_인력'!"&amp;W$1&amp;$AB43, TRUE)</f>
        <v>#REF!</v>
      </c>
      <c r="X43" s="2071" t="e" cm="1">
        <f t="array" aca="1" ref="X43" ca="1">INDIRECT("'※ 팀별 작성_인프라_인력'!"&amp;X$1&amp;$AB43, TRUE)</f>
        <v>#REF!</v>
      </c>
      <c r="Y43" s="2073" t="e" cm="1">
        <f t="array" aca="1" ref="Y43" ca="1">INDIRECT("'※ 팀별 작성_인프라_인력'!"&amp;Y$1&amp;$AB43, TRUE)</f>
        <v>#REF!</v>
      </c>
      <c r="Z43" s="2073" t="e" cm="1">
        <f t="array" aca="1" ref="Z43" ca="1">INDIRECT("'※ 팀별 작성_인프라_인력'!"&amp;Z$1&amp;$AB43, TRUE)</f>
        <v>#REF!</v>
      </c>
      <c r="AA43" s="2074" t="e" cm="1">
        <f t="array" aca="1" ref="AA43" ca="1">INDIRECT("'※ 팀별 작성_인프라_인력'!"&amp;AA$1&amp;$AB43, TRUE)</f>
        <v>#REF!</v>
      </c>
      <c r="AB43" s="1874" t="e">
        <f>ROW('※ 팀별 작성_인프라_인력'!#REF!)</f>
        <v>#REF!</v>
      </c>
      <c r="AC43" s="2009"/>
      <c r="AD43" s="2009"/>
    </row>
    <row r="44" spans="1:30" s="555" customFormat="1" hidden="1" x14ac:dyDescent="0.55000000000000004">
      <c r="A44" s="7414"/>
      <c r="B44" s="2062"/>
      <c r="C44" s="1973" t="s">
        <v>774</v>
      </c>
      <c r="D44" s="2069" t="e" cm="1">
        <f t="array" aca="1" ref="D44" ca="1">INDIRECT("'※ 팀별 작성_인프라_인력'!"&amp;D$1&amp;$AB44, TRUE)</f>
        <v>#REF!</v>
      </c>
      <c r="E44" s="2069" t="e" cm="1">
        <f t="array" aca="1" ref="E44" ca="1">INDIRECT("'※ 팀별 작성_인프라_인력'!"&amp;E$1&amp;$AB44, TRUE)</f>
        <v>#REF!</v>
      </c>
      <c r="F44" s="2070" t="e" cm="1">
        <f t="array" aca="1" ref="F44" ca="1">INDIRECT("'※ 팀별 작성_인프라_인력'!"&amp;F$1&amp;$AB44, TRUE)</f>
        <v>#REF!</v>
      </c>
      <c r="G44" s="2070" t="e" cm="1">
        <f t="array" aca="1" ref="G44" ca="1">INDIRECT("'※ 팀별 작성_인프라_인력'!"&amp;G$1&amp;$AB44, TRUE)</f>
        <v>#REF!</v>
      </c>
      <c r="H44" s="2070" t="e" cm="1">
        <f t="array" aca="1" ref="H44" ca="1">INDIRECT("'※ 팀별 작성_인프라_인력'!"&amp;H$1&amp;$AB44, TRUE)</f>
        <v>#REF!</v>
      </c>
      <c r="I44" s="2070"/>
      <c r="J44" s="2070"/>
      <c r="K44" s="2069" t="e" cm="1">
        <f t="array" aca="1" ref="K44" ca="1">INDIRECT("'※ 팀별 작성_인프라_인력'!"&amp;K$1&amp;$AB44, TRUE)</f>
        <v>#REF!</v>
      </c>
      <c r="L44" s="2070"/>
      <c r="M44" s="2070"/>
      <c r="N44" s="7402" t="e" cm="1">
        <f t="array" aca="1" ref="N44" ca="1">INDIRECT("'※ 팀별 작성_인프라_인력'!"&amp;N$1&amp;$AB44, TRUE)</f>
        <v>#REF!</v>
      </c>
      <c r="O44" s="7402"/>
      <c r="P44" s="2070" t="e" cm="1">
        <f t="array" aca="1" ref="P44" ca="1">INDIRECT("'※ 팀별 작성_인프라_인력'!"&amp;P$1&amp;$AB44, TRUE)</f>
        <v>#REF!</v>
      </c>
      <c r="Q44" s="2070" t="e" cm="1">
        <f t="array" aca="1" ref="Q44" ca="1">INDIRECT("'※ 팀별 작성_인프라_인력'!"&amp;Q$1&amp;$AB44, TRUE)</f>
        <v>#REF!</v>
      </c>
      <c r="R44" s="2070" t="e" cm="1">
        <f t="array" aca="1" ref="R44" ca="1">INDIRECT("'※ 팀별 작성_인프라_인력'!"&amp;R$1&amp;$AB44, TRUE)</f>
        <v>#REF!</v>
      </c>
      <c r="S44" s="2075"/>
      <c r="T44" s="2075"/>
      <c r="U44" s="2076"/>
      <c r="V44" s="2075"/>
      <c r="W44" s="2075"/>
      <c r="X44" s="2075"/>
      <c r="Y44" s="2073" t="e" cm="1">
        <f t="array" aca="1" ref="Y44" ca="1">INDIRECT("'※ 팀별 작성_인프라_인력'!"&amp;Y$1&amp;$AB44, TRUE)</f>
        <v>#REF!</v>
      </c>
      <c r="Z44" s="2032" t="e" cm="1">
        <f t="array" aca="1" ref="Z44" ca="1">INDIRECT("'※ 팀별 작성_인프라_인력'!"&amp;Z$1&amp;$AB44, TRUE)</f>
        <v>#REF!</v>
      </c>
      <c r="AA44" s="2074" t="e" cm="1">
        <f t="array" aca="1" ref="AA44" ca="1">INDIRECT("'※ 팀별 작성_인프라_인력'!"&amp;AA$1&amp;$AB44, TRUE)</f>
        <v>#REF!</v>
      </c>
      <c r="AB44" s="1874" t="e">
        <f>ROW('※ 팀별 작성_인프라_인력'!#REF!)</f>
        <v>#REF!</v>
      </c>
      <c r="AC44" s="2009"/>
      <c r="AD44" s="2009"/>
    </row>
    <row r="45" spans="1:30" s="555" customFormat="1" hidden="1" x14ac:dyDescent="0.55000000000000004">
      <c r="A45" s="7414"/>
      <c r="B45" s="2062"/>
      <c r="C45" s="1959" t="s">
        <v>775</v>
      </c>
      <c r="D45" s="2077" t="e" cm="1">
        <f t="array" aca="1" ref="D45" ca="1">INDIRECT("'※ 팀별 작성_인프라_인력'!"&amp;D$1&amp;$AB45, TRUE)</f>
        <v>#REF!</v>
      </c>
      <c r="E45" s="2077" t="e" cm="1">
        <f t="array" aca="1" ref="E45" ca="1">INDIRECT("'※ 팀별 작성_인프라_인력'!"&amp;E$1&amp;$AB45, TRUE)</f>
        <v>#REF!</v>
      </c>
      <c r="F45" s="2078" t="e" cm="1">
        <f t="array" aca="1" ref="F45" ca="1">INDIRECT("'※ 팀별 작성_인프라_인력'!"&amp;F$1&amp;$AB45, TRUE)</f>
        <v>#REF!</v>
      </c>
      <c r="G45" s="2078" t="e" cm="1">
        <f t="array" aca="1" ref="G45" ca="1">INDIRECT("'※ 팀별 작성_인프라_인력'!"&amp;G$1&amp;$AB45, TRUE)</f>
        <v>#REF!</v>
      </c>
      <c r="H45" s="2078" t="e" cm="1">
        <f t="array" aca="1" ref="H45" ca="1">INDIRECT("'※ 팀별 작성_인프라_인력'!"&amp;H$1&amp;$AB45, TRUE)</f>
        <v>#REF!</v>
      </c>
      <c r="I45" s="2078" t="e" cm="1">
        <f t="array" aca="1" ref="I45" ca="1">INDIRECT("'※ 팀별 작성_인프라_인력'!"&amp;I$1&amp;$AB45, TRUE)</f>
        <v>#REF!</v>
      </c>
      <c r="J45" s="2078" t="e" cm="1">
        <f t="array" aca="1" ref="J45" ca="1">INDIRECT("'※ 팀별 작성_인프라_인력'!"&amp;J$1&amp;$AB45, TRUE)</f>
        <v>#REF!</v>
      </c>
      <c r="K45" s="2077" t="e" cm="1">
        <f t="array" aca="1" ref="K45" ca="1">INDIRECT("'※ 팀별 작성_인프라_인력'!"&amp;K$1&amp;$AB45, TRUE)</f>
        <v>#REF!</v>
      </c>
      <c r="L45" s="2078"/>
      <c r="M45" s="2078"/>
      <c r="N45" s="7404" t="e" cm="1">
        <f t="array" aca="1" ref="N45" ca="1">INDIRECT("'※ 팀별 작성_인프라_인력'!"&amp;N$1&amp;$AB45, TRUE)</f>
        <v>#REF!</v>
      </c>
      <c r="O45" s="7404"/>
      <c r="P45" s="2078" t="e" cm="1">
        <f t="array" aca="1" ref="P45" ca="1">INDIRECT("'※ 팀별 작성_인프라_인력'!"&amp;P$1&amp;$AB45, TRUE)</f>
        <v>#REF!</v>
      </c>
      <c r="Q45" s="2078" t="e" cm="1">
        <f t="array" aca="1" ref="Q45" ca="1">INDIRECT("'※ 팀별 작성_인프라_인력'!"&amp;Q$1&amp;$AB45, TRUE)</f>
        <v>#REF!</v>
      </c>
      <c r="R45" s="2078" t="e" cm="1">
        <f t="array" aca="1" ref="R45" ca="1">INDIRECT("'※ 팀별 작성_인프라_인력'!"&amp;R$1&amp;$AB45, TRUE)</f>
        <v>#REF!</v>
      </c>
      <c r="S45" s="2079"/>
      <c r="T45" s="2079"/>
      <c r="U45" s="2080"/>
      <c r="V45" s="2075"/>
      <c r="W45" s="2075"/>
      <c r="X45" s="2075"/>
      <c r="Y45" s="2032" t="e" cm="1">
        <f t="array" aca="1" ref="Y45" ca="1">INDIRECT("'※ 팀별 작성_인프라_인력'!"&amp;Y$1&amp;$AB45, TRUE)</f>
        <v>#REF!</v>
      </c>
      <c r="Z45" s="2067" t="e" cm="1">
        <f t="array" aca="1" ref="Z45" ca="1">INDIRECT("'※ 팀별 작성_인프라_인력'!"&amp;Z$1&amp;$AB45, TRUE)</f>
        <v>#REF!</v>
      </c>
      <c r="AA45" s="2068" t="e" cm="1">
        <f t="array" aca="1" ref="AA45" ca="1">INDIRECT("'※ 팀별 작성_인프라_인력'!"&amp;AA$1&amp;$AB45, TRUE)</f>
        <v>#REF!</v>
      </c>
      <c r="AB45" s="1874" t="e">
        <f>ROW('※ 팀별 작성_인프라_인력'!#REF!)</f>
        <v>#REF!</v>
      </c>
      <c r="AC45" s="2009"/>
      <c r="AD45" s="2009"/>
    </row>
    <row r="46" spans="1:30" s="555" customFormat="1" ht="15.45" hidden="1" thickBot="1" x14ac:dyDescent="0.6">
      <c r="A46" s="7415"/>
      <c r="B46" s="2081"/>
      <c r="C46" s="2082" t="s">
        <v>776</v>
      </c>
      <c r="D46" s="2083" t="e" cm="1">
        <f t="array" aca="1" ref="D46" ca="1">INDIRECT("'※ 팀별 작성_인프라_인력'!"&amp;D$1&amp;$AB46, TRUE)</f>
        <v>#REF!</v>
      </c>
      <c r="E46" s="2083" t="e" cm="1">
        <f t="array" aca="1" ref="E46" ca="1">INDIRECT("'※ 팀별 작성_인프라_인력'!"&amp;E$1&amp;$AB46, TRUE)</f>
        <v>#REF!</v>
      </c>
      <c r="F46" s="2084" t="e" cm="1">
        <f t="array" aca="1" ref="F46" ca="1">INDIRECT("'※ 팀별 작성_인프라_인력'!"&amp;F$1&amp;$AB46, TRUE)</f>
        <v>#REF!</v>
      </c>
      <c r="G46" s="2084" t="e" cm="1">
        <f t="array" aca="1" ref="G46" ca="1">INDIRECT("'※ 팀별 작성_인프라_인력'!"&amp;G$1&amp;$AB46, TRUE)</f>
        <v>#REF!</v>
      </c>
      <c r="H46" s="2084" t="e" cm="1">
        <f t="array" aca="1" ref="H46" ca="1">INDIRECT("'※ 팀별 작성_인프라_인력'!"&amp;H$1&amp;$AB46, TRUE)</f>
        <v>#REF!</v>
      </c>
      <c r="I46" s="2084" t="e" cm="1">
        <f t="array" aca="1" ref="I46" ca="1">INDIRECT("'※ 팀별 작성_인프라_인력'!"&amp;I$1&amp;$AB46, TRUE)</f>
        <v>#REF!</v>
      </c>
      <c r="J46" s="2084" t="e" cm="1">
        <f t="array" aca="1" ref="J46" ca="1">INDIRECT("'※ 팀별 작성_인프라_인력'!"&amp;J$1&amp;$AB46, TRUE)</f>
        <v>#REF!</v>
      </c>
      <c r="K46" s="2083" t="e" cm="1">
        <f t="array" aca="1" ref="K46" ca="1">INDIRECT("'※ 팀별 작성_인프라_인력'!"&amp;K$1&amp;$AB46, TRUE)</f>
        <v>#REF!</v>
      </c>
      <c r="L46" s="2084"/>
      <c r="M46" s="2084"/>
      <c r="N46" s="7418" t="e" cm="1">
        <f t="array" aca="1" ref="N46" ca="1">INDIRECT("'※ 팀별 작성_인프라_인력'!"&amp;N$1&amp;$AB46, TRUE)</f>
        <v>#REF!</v>
      </c>
      <c r="O46" s="7418"/>
      <c r="P46" s="2084" t="e" cm="1">
        <f t="array" aca="1" ref="P46" ca="1">INDIRECT("'※ 팀별 작성_인프라_인력'!"&amp;P$1&amp;$AB46, TRUE)</f>
        <v>#REF!</v>
      </c>
      <c r="Q46" s="2084" t="e" cm="1">
        <f t="array" aca="1" ref="Q46" ca="1">INDIRECT("'※ 팀별 작성_인프라_인력'!"&amp;Q$1&amp;$AB46, TRUE)</f>
        <v>#REF!</v>
      </c>
      <c r="R46" s="2084" t="e" cm="1">
        <f t="array" aca="1" ref="R46" ca="1">INDIRECT("'※ 팀별 작성_인프라_인력'!"&amp;R$1&amp;$AB46, TRUE)</f>
        <v>#REF!</v>
      </c>
      <c r="S46" s="2085" t="e" cm="1">
        <f t="array" aca="1" ref="S46" ca="1">INDIRECT("'※ 팀별 작성_인프라_인력'!"&amp;S$1&amp;$AB46, TRUE)</f>
        <v>#REF!</v>
      </c>
      <c r="T46" s="2085" t="e" cm="1">
        <f t="array" aca="1" ref="T46" ca="1">INDIRECT("'※ 팀별 작성_인프라_인력'!"&amp;T$1&amp;$AB46, TRUE)</f>
        <v>#REF!</v>
      </c>
      <c r="U46" s="2086" t="e" cm="1">
        <f t="array" aca="1" ref="U46" ca="1">INDIRECT("'※ 팀별 작성_인프라_인력'!"&amp;U$1&amp;$AB46, TRUE)</f>
        <v>#REF!</v>
      </c>
      <c r="V46" s="2087" t="e" cm="1">
        <f t="array" aca="1" ref="V46" ca="1">INDIRECT("'※ 팀별 작성_인프라_인력'!"&amp;V$1&amp;$AB46, TRUE)</f>
        <v>#REF!</v>
      </c>
      <c r="W46" s="2087" t="e" cm="1">
        <f t="array" aca="1" ref="W46" ca="1">INDIRECT("'※ 팀별 작성_인프라_인력'!"&amp;W$1&amp;$AB46, TRUE)</f>
        <v>#REF!</v>
      </c>
      <c r="X46" s="2087" t="e" cm="1">
        <f t="array" aca="1" ref="X46" ca="1">INDIRECT("'※ 팀별 작성_인프라_인력'!"&amp;X$1&amp;$AB46, TRUE)</f>
        <v>#REF!</v>
      </c>
      <c r="Y46" s="2088" t="e" cm="1">
        <f t="array" aca="1" ref="Y46" ca="1">INDIRECT("'※ 팀별 작성_인프라_인력'!"&amp;Y$1&amp;$AB46, TRUE)</f>
        <v>#REF!</v>
      </c>
      <c r="Z46" s="2088" t="e" cm="1">
        <f t="array" aca="1" ref="Z46" ca="1">INDIRECT("'※ 팀별 작성_인프라_인력'!"&amp;Z$1&amp;$AB46, TRUE)</f>
        <v>#REF!</v>
      </c>
      <c r="AA46" s="2089" t="e" cm="1">
        <f t="array" aca="1" ref="AA46" ca="1">INDIRECT("'※ 팀별 작성_인프라_인력'!"&amp;AA$1&amp;$AB46, TRUE)</f>
        <v>#REF!</v>
      </c>
      <c r="AB46" s="1874" t="e">
        <f>ROW('※ 팀별 작성_인프라_인력'!#REF!)</f>
        <v>#REF!</v>
      </c>
      <c r="AC46" s="2009"/>
      <c r="AD46" s="2009"/>
    </row>
    <row r="47" spans="1:30" s="555" customFormat="1" ht="12.9" customHeight="1" thickBot="1" x14ac:dyDescent="0.6">
      <c r="A47" s="2002"/>
      <c r="B47" s="2003"/>
      <c r="C47" s="2003"/>
      <c r="D47" s="2003"/>
      <c r="E47" s="2003"/>
      <c r="F47" s="2090"/>
      <c r="G47" s="2090"/>
      <c r="H47" s="2090"/>
      <c r="I47" s="2090"/>
      <c r="J47" s="2090"/>
      <c r="K47" s="2003"/>
      <c r="L47" s="2090"/>
      <c r="M47" s="2090"/>
      <c r="N47" s="2090"/>
      <c r="O47" s="2090"/>
      <c r="P47" s="2091"/>
      <c r="Q47" s="2090"/>
      <c r="R47" s="2090"/>
      <c r="S47" s="2091"/>
      <c r="T47" s="2090"/>
      <c r="U47" s="2090"/>
      <c r="V47" s="2006"/>
      <c r="W47" s="2006"/>
      <c r="X47" s="2007"/>
      <c r="Y47" s="2006"/>
      <c r="Z47" s="2006"/>
      <c r="AA47" s="630"/>
      <c r="AB47" s="1858" t="s">
        <v>512</v>
      </c>
      <c r="AC47" s="1858" t="s">
        <v>570</v>
      </c>
      <c r="AD47" s="1858" t="s">
        <v>570</v>
      </c>
    </row>
    <row r="48" spans="1:30" ht="18.55" customHeight="1" thickTop="1" thickBot="1" x14ac:dyDescent="0.6">
      <c r="B48" s="698"/>
      <c r="C48" s="698"/>
      <c r="D48" s="698"/>
      <c r="E48" s="698"/>
      <c r="F48" s="7062" t="s">
        <v>1050</v>
      </c>
      <c r="G48" s="7063"/>
      <c r="H48" s="7063"/>
      <c r="I48" s="7063"/>
      <c r="J48" s="7419"/>
      <c r="K48" s="1506"/>
      <c r="L48" s="7400" t="s">
        <v>1159</v>
      </c>
      <c r="M48" s="7063"/>
      <c r="N48" s="7063"/>
      <c r="O48" s="7063"/>
      <c r="P48" s="7401"/>
      <c r="Q48" s="7406" t="s">
        <v>241</v>
      </c>
      <c r="R48" s="7406"/>
      <c r="S48" s="7406"/>
      <c r="T48" s="7407"/>
      <c r="U48" s="7408"/>
      <c r="V48" s="7409" t="str">
        <f>"생산성 월평균(~"&amp;MONTH('※ 팀별 작성_인프라_인력'!A1)&amp;"월)"</f>
        <v>생산성 월평균(~2월)</v>
      </c>
      <c r="W48" s="7059"/>
      <c r="X48" s="7059"/>
      <c r="Y48" s="7059"/>
      <c r="Z48" s="7059"/>
      <c r="AA48" s="7060"/>
      <c r="AB48" s="1861" t="s">
        <v>513</v>
      </c>
      <c r="AC48" s="1861" t="s">
        <v>571</v>
      </c>
      <c r="AD48" s="1861" t="s">
        <v>572</v>
      </c>
    </row>
    <row r="49" spans="1:30" ht="16.3" customHeight="1" thickTop="1" thickBot="1" x14ac:dyDescent="0.6">
      <c r="A49" s="7397" t="s">
        <v>124</v>
      </c>
      <c r="B49" s="7398"/>
      <c r="C49" s="7399"/>
      <c r="D49" s="6244" t="s">
        <v>829</v>
      </c>
      <c r="E49" s="6244" t="s">
        <v>1213</v>
      </c>
      <c r="F49" s="2092" t="str" cm="1">
        <f t="array" aca="1" ref="F49" ca="1">INDIRECT("'※ 팀별 작성_인프라_인력'!"&amp;F$2&amp;$AB49, TRUE)</f>
        <v>'25.2월</v>
      </c>
      <c r="G49" s="2093" t="str" cm="1">
        <f t="array" aca="1" ref="G49" ca="1">INDIRECT("'※ 팀별 작성_인프라_인력'!"&amp;G$2&amp;$AB49, TRUE)</f>
        <v>'25.3월</v>
      </c>
      <c r="H49" s="2093" t="str" cm="1">
        <f t="array" aca="1" ref="H49" ca="1">INDIRECT("'※ 팀별 작성_인프라_인력'!"&amp;H$2&amp;$AB49, TRUE)</f>
        <v>'25.4월</v>
      </c>
      <c r="I49" s="2093" t="str" cm="1">
        <f t="array" aca="1" ref="I49" ca="1">INDIRECT("'※ 팀별 작성_인프라_인력'!"&amp;I$2&amp;$AB49, TRUE)</f>
        <v>'25.5월</v>
      </c>
      <c r="J49" s="2093" t="str" cm="1">
        <f t="array" aca="1" ref="J49" ca="1">INDIRECT("'※ 팀별 작성_인프라_인력'!"&amp;J$2&amp;$AB49, TRUE)</f>
        <v>'25.6월</v>
      </c>
      <c r="K49" s="6477" t="s">
        <v>1213</v>
      </c>
      <c r="L49" s="6478" t="str" cm="1">
        <f t="array" aca="1" ref="L49" ca="1">INDIRECT("'※ 팀별 작성_인프라_인력'!"&amp;L$2&amp;$AB49, TRUE)</f>
        <v>'26.1월</v>
      </c>
      <c r="M49" s="2093" t="str" cm="1">
        <f t="array" aca="1" ref="M49" ca="1">INDIRECT("'※ 팀별 작성_인프라_인력'!"&amp;M$2&amp;$AB49, TRUE)</f>
        <v>'26.2월</v>
      </c>
      <c r="N49" s="2094" t="s">
        <v>46</v>
      </c>
      <c r="O49" s="2095" t="s">
        <v>253</v>
      </c>
      <c r="P49" s="2096" t="s">
        <v>50</v>
      </c>
      <c r="Q49" s="2097" t="s">
        <v>46</v>
      </c>
      <c r="R49" s="2097" t="s">
        <v>253</v>
      </c>
      <c r="S49" s="2097" t="s">
        <v>50</v>
      </c>
      <c r="T49" s="2098"/>
      <c r="U49" s="2099"/>
      <c r="V49" s="2100" t="s">
        <v>246</v>
      </c>
      <c r="W49" s="2101" t="s">
        <v>573</v>
      </c>
      <c r="X49" s="2102" t="s">
        <v>11</v>
      </c>
      <c r="Y49" s="2103" t="s">
        <v>247</v>
      </c>
      <c r="Z49" s="2101" t="s">
        <v>573</v>
      </c>
      <c r="AA49" s="2104" t="s">
        <v>11</v>
      </c>
      <c r="AB49" s="1862">
        <v>3</v>
      </c>
      <c r="AC49" s="1863">
        <v>3</v>
      </c>
      <c r="AD49" s="1863">
        <v>3</v>
      </c>
    </row>
    <row r="50" spans="1:30" ht="16.3" customHeight="1" x14ac:dyDescent="0.55000000000000004">
      <c r="A50" s="7393" t="s">
        <v>252</v>
      </c>
      <c r="B50" s="2105" t="s">
        <v>249</v>
      </c>
      <c r="C50" s="2106"/>
      <c r="D50" s="2107">
        <f ca="1">SUM(D54:D58)</f>
        <v>3850.5000000000005</v>
      </c>
      <c r="E50" s="2107">
        <f ca="1">SUM(E54:E58)</f>
        <v>4225.75</v>
      </c>
      <c r="F50" s="2108">
        <f t="shared" ref="F50:R50" ca="1" si="21">SUM(F54:F58)</f>
        <v>4346</v>
      </c>
      <c r="G50" s="2109">
        <f t="shared" ref="G50:N50" ca="1" si="22">SUM(G54:G58)</f>
        <v>4087</v>
      </c>
      <c r="H50" s="2109">
        <f t="shared" ca="1" si="22"/>
        <v>4135</v>
      </c>
      <c r="I50" s="2109">
        <f t="shared" ca="1" si="22"/>
        <v>4505</v>
      </c>
      <c r="J50" s="2109">
        <f t="shared" ca="1" si="22"/>
        <v>4366</v>
      </c>
      <c r="K50" s="2107">
        <f ca="1">SUM(K54:K58)</f>
        <v>4225.75</v>
      </c>
      <c r="L50" s="6479">
        <f t="shared" ref="L50:M50" ca="1" si="23">SUM(L54:L58)</f>
        <v>4465</v>
      </c>
      <c r="M50" s="2109">
        <f t="shared" ca="1" si="23"/>
        <v>3791</v>
      </c>
      <c r="N50" s="2110">
        <f t="shared" ca="1" si="22"/>
        <v>433</v>
      </c>
      <c r="O50" s="2109">
        <f t="shared" ca="1" si="21"/>
        <v>1128</v>
      </c>
      <c r="P50" s="2111">
        <f ca="1">N50-O50</f>
        <v>-695</v>
      </c>
      <c r="Q50" s="2109">
        <f t="shared" si="21"/>
        <v>1257</v>
      </c>
      <c r="R50" s="2109">
        <f t="shared" si="21"/>
        <v>1611</v>
      </c>
      <c r="S50" s="2112">
        <f>Q50-R50</f>
        <v>-354</v>
      </c>
      <c r="T50" s="2113"/>
      <c r="U50" s="2114"/>
      <c r="V50" s="2115">
        <f>'※ 팀별 작성_인프라_인력'!BY337</f>
        <v>655.19047619047615</v>
      </c>
      <c r="W50" s="2115">
        <f>'※ 팀별 작성_인프라_인력'!BY369</f>
        <v>87.91693290734824</v>
      </c>
      <c r="X50" s="2116">
        <f>'※ 팀별 작성_인프라_인력'!CB369</f>
        <v>22.455977524846823</v>
      </c>
      <c r="Y50" s="2117"/>
      <c r="Z50" s="2118"/>
      <c r="AA50" s="2119"/>
      <c r="AB50" s="1874"/>
    </row>
    <row r="51" spans="1:30" hidden="1" x14ac:dyDescent="0.55000000000000004">
      <c r="A51" s="7394"/>
      <c r="B51" s="1462"/>
      <c r="C51" s="787" t="s">
        <v>261</v>
      </c>
      <c r="D51" s="2120"/>
      <c r="E51" s="2120"/>
      <c r="F51" s="2121"/>
      <c r="G51" s="2122"/>
      <c r="H51" s="2122"/>
      <c r="I51" s="2122"/>
      <c r="J51" s="2122"/>
      <c r="K51" s="2120"/>
      <c r="L51" s="6480"/>
      <c r="M51" s="2122"/>
      <c r="N51" s="2123"/>
      <c r="O51" s="2122"/>
      <c r="P51" s="2124">
        <f t="shared" ref="P51:P81" si="24">N51-O51</f>
        <v>0</v>
      </c>
      <c r="Q51" s="2122"/>
      <c r="R51" s="2122"/>
      <c r="S51" s="2125">
        <f t="shared" ref="S51:S81" si="25">Q51-R51</f>
        <v>0</v>
      </c>
      <c r="T51" s="2126"/>
      <c r="U51" s="2127"/>
      <c r="V51" s="2128"/>
      <c r="W51" s="2128"/>
      <c r="X51" s="2129"/>
      <c r="Y51" s="1897"/>
      <c r="Z51" s="1895"/>
      <c r="AA51" s="2130"/>
    </row>
    <row r="52" spans="1:30" hidden="1" x14ac:dyDescent="0.55000000000000004">
      <c r="A52" s="7394"/>
      <c r="B52" s="1462"/>
      <c r="C52" s="787" t="s">
        <v>260</v>
      </c>
      <c r="D52" s="2120"/>
      <c r="E52" s="2120"/>
      <c r="F52" s="2121"/>
      <c r="G52" s="2122"/>
      <c r="H52" s="2122"/>
      <c r="I52" s="2122"/>
      <c r="J52" s="2122"/>
      <c r="K52" s="2120"/>
      <c r="L52" s="6480"/>
      <c r="M52" s="2122"/>
      <c r="N52" s="2123"/>
      <c r="O52" s="2122"/>
      <c r="P52" s="2124">
        <f t="shared" si="24"/>
        <v>0</v>
      </c>
      <c r="Q52" s="2122"/>
      <c r="R52" s="2122"/>
      <c r="S52" s="2125">
        <f t="shared" si="25"/>
        <v>0</v>
      </c>
      <c r="T52" s="2126"/>
      <c r="U52" s="2127"/>
      <c r="V52" s="2128"/>
      <c r="W52" s="2128"/>
      <c r="X52" s="2129"/>
      <c r="Y52" s="1897"/>
      <c r="Z52" s="1895"/>
      <c r="AA52" s="2130"/>
    </row>
    <row r="53" spans="1:30" hidden="1" x14ac:dyDescent="0.55000000000000004">
      <c r="A53" s="7394"/>
      <c r="B53" s="1462"/>
      <c r="C53" s="787" t="s">
        <v>259</v>
      </c>
      <c r="D53" s="2120"/>
      <c r="E53" s="2120"/>
      <c r="F53" s="2121"/>
      <c r="G53" s="2122"/>
      <c r="H53" s="2122"/>
      <c r="I53" s="2122"/>
      <c r="J53" s="2122"/>
      <c r="K53" s="2120"/>
      <c r="L53" s="6480"/>
      <c r="M53" s="2122"/>
      <c r="N53" s="2123"/>
      <c r="O53" s="2122"/>
      <c r="P53" s="2124">
        <f t="shared" si="24"/>
        <v>0</v>
      </c>
      <c r="Q53" s="2122"/>
      <c r="R53" s="2122"/>
      <c r="S53" s="2125">
        <f t="shared" si="25"/>
        <v>0</v>
      </c>
      <c r="T53" s="2126"/>
      <c r="U53" s="2127"/>
      <c r="V53" s="2128"/>
      <c r="W53" s="2128"/>
      <c r="X53" s="2129"/>
      <c r="Y53" s="1897"/>
      <c r="Z53" s="1895"/>
      <c r="AA53" s="2130"/>
    </row>
    <row r="54" spans="1:30" ht="16.3" customHeight="1" x14ac:dyDescent="0.55000000000000004">
      <c r="A54" s="7394"/>
      <c r="B54" s="1751" t="s">
        <v>206</v>
      </c>
      <c r="C54" s="1752"/>
      <c r="D54" s="2131" cm="1">
        <f t="array" aca="1" ref="D54" ca="1">INDIRECT("'※ 팀별 작성_인프라_인력'!"&amp;D$1&amp;$AB54, TRUE)</f>
        <v>754.25</v>
      </c>
      <c r="E54" s="2131" cm="1">
        <f t="array" aca="1" ref="E54" ca="1">INDIRECT("'※ 팀별 작성_인프라_인력'!"&amp;E$1&amp;$AB54, TRUE)</f>
        <v>796.08333333333337</v>
      </c>
      <c r="F54" s="2132" cm="1">
        <f t="array" aca="1" ref="F54" ca="1">INDIRECT("'※ 팀별 작성_인프라_인력'!"&amp;F$1&amp;$AB54, TRUE)</f>
        <v>845</v>
      </c>
      <c r="G54" s="2133" cm="1">
        <f t="array" aca="1" ref="G54" ca="1">INDIRECT("'※ 팀별 작성_인프라_인력'!"&amp;G$1&amp;$AB54, TRUE)</f>
        <v>768</v>
      </c>
      <c r="H54" s="2133" cm="1">
        <f t="array" aca="1" ref="H54" ca="1">INDIRECT("'※ 팀별 작성_인프라_인력'!"&amp;H$1&amp;$AB54, TRUE)</f>
        <v>785</v>
      </c>
      <c r="I54" s="2133" cm="1">
        <f t="array" aca="1" ref="I54" ca="1">INDIRECT("'※ 팀별 작성_인프라_인력'!"&amp;I$1&amp;$AB54, TRUE)</f>
        <v>829</v>
      </c>
      <c r="J54" s="2133" cm="1">
        <f t="array" aca="1" ref="J54" ca="1">INDIRECT("'※ 팀별 작성_인프라_인력'!"&amp;J$1&amp;$AB54, TRUE)</f>
        <v>774</v>
      </c>
      <c r="K54" s="2131" cm="1">
        <f t="array" aca="1" ref="K54" ca="1">INDIRECT("'※ 팀별 작성_인프라_인력'!"&amp;K$1&amp;$AB54, TRUE)</f>
        <v>796.08333333333337</v>
      </c>
      <c r="L54" s="6481" cm="1">
        <f t="array" aca="1" ref="L54" ca="1">INDIRECT("'※ 팀별 작성_인프라_인력'!"&amp;L$1&amp;$AB54, TRUE)</f>
        <v>844</v>
      </c>
      <c r="M54" s="2133" cm="1">
        <f t="array" aca="1" ref="M54" ca="1">INDIRECT("'※ 팀별 작성_인프라_인력'!"&amp;M$1&amp;$AB54, TRUE)</f>
        <v>716</v>
      </c>
      <c r="N54" s="2134" cm="1">
        <f t="array" aca="1" ref="N54" ca="1">INDIRECT("'※ 팀별 작성_인프라_인력'!"&amp;N$1&amp;$AC54, TRUE)</f>
        <v>62</v>
      </c>
      <c r="O54" s="2133" cm="1">
        <f t="array" aca="1" ref="O54" ca="1">INDIRECT("'※ 팀별 작성_인프라_인력'!"&amp;O$1&amp;$AD54, TRUE)</f>
        <v>193</v>
      </c>
      <c r="P54" s="2135">
        <f t="shared" ca="1" si="24"/>
        <v>-131</v>
      </c>
      <c r="Q54" s="2133">
        <f>SUM(Q59:Q59)</f>
        <v>261</v>
      </c>
      <c r="R54" s="2133">
        <f>SUM(R59:R59)</f>
        <v>271</v>
      </c>
      <c r="S54" s="2133">
        <f t="shared" si="25"/>
        <v>-10</v>
      </c>
      <c r="T54" s="2136"/>
      <c r="U54" s="2137"/>
      <c r="V54" s="2138">
        <f>'※ 팀별 작성_인프라_인력'!BY341</f>
        <v>603.05555555555554</v>
      </c>
      <c r="W54" s="2139">
        <f>'※ 팀별 작성_인프라_인력'!BY373</f>
        <v>87.540322580645167</v>
      </c>
      <c r="X54" s="2140">
        <f>'※ 팀별 작성_인프라_인력'!CB373</f>
        <v>11.413629809224844</v>
      </c>
      <c r="Y54" s="1897"/>
      <c r="Z54" s="1895"/>
      <c r="AA54" s="2130"/>
      <c r="AB54" s="1874">
        <f>ROW('※ 팀별 작성_인프라_인력'!AH212)</f>
        <v>212</v>
      </c>
      <c r="AC54" s="1863">
        <f>ROW('※ 팀별 작성_인프라_인력'!AI244)</f>
        <v>244</v>
      </c>
      <c r="AD54" s="1863">
        <f>ROW('※ 팀별 작성_인프라_인력'!AJ276)</f>
        <v>276</v>
      </c>
    </row>
    <row r="55" spans="1:30" ht="16.3" customHeight="1" x14ac:dyDescent="0.55000000000000004">
      <c r="A55" s="7394"/>
      <c r="B55" s="1761" t="s">
        <v>207</v>
      </c>
      <c r="C55" s="685"/>
      <c r="D55" s="2141" cm="1">
        <f t="array" aca="1" ref="D55" ca="1">INDIRECT("'※ 팀별 작성_인프라_인력'!"&amp;D$1&amp;$AB55, TRUE)</f>
        <v>488.91666666666669</v>
      </c>
      <c r="E55" s="2141" cm="1">
        <f t="array" aca="1" ref="E55" ca="1">INDIRECT("'※ 팀별 작성_인프라_인력'!"&amp;E$1&amp;$AB55, TRUE)</f>
        <v>521</v>
      </c>
      <c r="F55" s="2142" cm="1">
        <f t="array" aca="1" ref="F55" ca="1">INDIRECT("'※ 팀별 작성_인프라_인력'!"&amp;F$1&amp;$AB55, TRUE)</f>
        <v>567</v>
      </c>
      <c r="G55" s="2143" cm="1">
        <f t="array" aca="1" ref="G55" ca="1">INDIRECT("'※ 팀별 작성_인프라_인력'!"&amp;G$1&amp;$AB55, TRUE)</f>
        <v>531</v>
      </c>
      <c r="H55" s="2143" cm="1">
        <f t="array" aca="1" ref="H55" ca="1">INDIRECT("'※ 팀별 작성_인프라_인력'!"&amp;H$1&amp;$AB55, TRUE)</f>
        <v>467</v>
      </c>
      <c r="I55" s="2143" cm="1">
        <f t="array" aca="1" ref="I55" ca="1">INDIRECT("'※ 팀별 작성_인프라_인력'!"&amp;I$1&amp;$AB55, TRUE)</f>
        <v>536</v>
      </c>
      <c r="J55" s="2143" cm="1">
        <f t="array" aca="1" ref="J55" ca="1">INDIRECT("'※ 팀별 작성_인프라_인력'!"&amp;J$1&amp;$AB55, TRUE)</f>
        <v>516</v>
      </c>
      <c r="K55" s="2141" cm="1">
        <f t="array" aca="1" ref="K55" ca="1">INDIRECT("'※ 팀별 작성_인프라_인력'!"&amp;K$1&amp;$AB55, TRUE)</f>
        <v>521</v>
      </c>
      <c r="L55" s="6482" cm="1">
        <f t="array" aca="1" ref="L55" ca="1">INDIRECT("'※ 팀별 작성_인프라_인력'!"&amp;L$1&amp;$AB55, TRUE)</f>
        <v>576</v>
      </c>
      <c r="M55" s="2143" cm="1">
        <f t="array" aca="1" ref="M55" ca="1">INDIRECT("'※ 팀별 작성_인프라_인력'!"&amp;M$1&amp;$AB55, TRUE)</f>
        <v>497</v>
      </c>
      <c r="N55" s="2144" cm="1">
        <f t="array" aca="1" ref="N55" ca="1">INDIRECT("'※ 팀별 작성_인프라_인력'!"&amp;N$1&amp;$AC55, TRUE)</f>
        <v>64</v>
      </c>
      <c r="O55" s="2143" cm="1">
        <f t="array" aca="1" ref="O55" ca="1">INDIRECT("'※ 팀별 작성_인프라_인력'!"&amp;O$1&amp;$AD55, TRUE)</f>
        <v>141</v>
      </c>
      <c r="P55" s="2145">
        <f t="shared" ca="1" si="24"/>
        <v>-77</v>
      </c>
      <c r="Q55" s="2143">
        <f>Q60</f>
        <v>152</v>
      </c>
      <c r="R55" s="2143">
        <f>R60</f>
        <v>207</v>
      </c>
      <c r="S55" s="2143">
        <f t="shared" si="25"/>
        <v>-55</v>
      </c>
      <c r="T55" s="2136"/>
      <c r="U55" s="2137"/>
      <c r="V55" s="1923">
        <f>'※ 팀별 작성_인프라_인력'!BY342</f>
        <v>586.08333333333326</v>
      </c>
      <c r="W55" s="1924">
        <f>'※ 팀별 작성_인프라_인력'!BY374</f>
        <v>78.144444444444446</v>
      </c>
      <c r="X55" s="2146">
        <f>'※ 팀별 작성_인프라_인력'!CB374</f>
        <v>14.874434217673134</v>
      </c>
      <c r="Y55" s="1897"/>
      <c r="Z55" s="1895"/>
      <c r="AA55" s="2130"/>
      <c r="AB55" s="1874">
        <f>ROW('※ 팀별 작성_인프라_인력'!AH213)</f>
        <v>213</v>
      </c>
      <c r="AC55" s="1863">
        <f>ROW('※ 팀별 작성_인프라_인력'!AI245)</f>
        <v>245</v>
      </c>
      <c r="AD55" s="1863">
        <f>ROW('※ 팀별 작성_인프라_인력'!AJ277)</f>
        <v>277</v>
      </c>
    </row>
    <row r="56" spans="1:30" ht="16.3" customHeight="1" x14ac:dyDescent="0.55000000000000004">
      <c r="A56" s="7394"/>
      <c r="B56" s="1761" t="s">
        <v>208</v>
      </c>
      <c r="C56" s="685"/>
      <c r="D56" s="2141" cm="1">
        <f t="array" aca="1" ref="D56" ca="1">INDIRECT("'※ 팀별 작성_인프라_인력'!"&amp;D$1&amp;$AB56, TRUE)</f>
        <v>580.75</v>
      </c>
      <c r="E56" s="2141" cm="1">
        <f t="array" aca="1" ref="E56" ca="1">INDIRECT("'※ 팀별 작성_인프라_인력'!"&amp;E$1&amp;$AB56, TRUE)</f>
        <v>613.16666666666663</v>
      </c>
      <c r="F56" s="2142" cm="1">
        <f t="array" aca="1" ref="F56" ca="1">INDIRECT("'※ 팀별 작성_인프라_인력'!"&amp;F$1&amp;$AB56, TRUE)</f>
        <v>664</v>
      </c>
      <c r="G56" s="2143" cm="1">
        <f t="array" aca="1" ref="G56" ca="1">INDIRECT("'※ 팀별 작성_인프라_인력'!"&amp;G$1&amp;$AB56, TRUE)</f>
        <v>595</v>
      </c>
      <c r="H56" s="2143" cm="1">
        <f t="array" aca="1" ref="H56" ca="1">INDIRECT("'※ 팀별 작성_인프라_인력'!"&amp;H$1&amp;$AB56, TRUE)</f>
        <v>600</v>
      </c>
      <c r="I56" s="2143" cm="1">
        <f t="array" aca="1" ref="I56" ca="1">INDIRECT("'※ 팀별 작성_인프라_인력'!"&amp;I$1&amp;$AB56, TRUE)</f>
        <v>671</v>
      </c>
      <c r="J56" s="2143" cm="1">
        <f t="array" aca="1" ref="J56" ca="1">INDIRECT("'※ 팀별 작성_인프라_인력'!"&amp;J$1&amp;$AB56, TRUE)</f>
        <v>630</v>
      </c>
      <c r="K56" s="2141" cm="1">
        <f t="array" aca="1" ref="K56" ca="1">INDIRECT("'※ 팀별 작성_인프라_인력'!"&amp;K$1&amp;$AB56, TRUE)</f>
        <v>613.16666666666663</v>
      </c>
      <c r="L56" s="6482" cm="1">
        <f t="array" aca="1" ref="L56" ca="1">INDIRECT("'※ 팀별 작성_인프라_인력'!"&amp;L$1&amp;$AB56, TRUE)</f>
        <v>664</v>
      </c>
      <c r="M56" s="2143" cm="1">
        <f t="array" aca="1" ref="M56" ca="1">INDIRECT("'※ 팀별 작성_인프라_인력'!"&amp;M$1&amp;$AB56, TRUE)</f>
        <v>538</v>
      </c>
      <c r="N56" s="2144" cm="1">
        <f t="array" aca="1" ref="N56" ca="1">INDIRECT("'※ 팀별 작성_인프라_인력'!"&amp;N$1&amp;$AC56, TRUE)</f>
        <v>53</v>
      </c>
      <c r="O56" s="2143" cm="1">
        <f t="array" aca="1" ref="O56" ca="1">INDIRECT("'※ 팀별 작성_인프라_인력'!"&amp;O$1&amp;$AD56, TRUE)</f>
        <v>180</v>
      </c>
      <c r="P56" s="2145">
        <f ca="1">N56-O56</f>
        <v>-127</v>
      </c>
      <c r="Q56" s="2143">
        <f>Q61</f>
        <v>179</v>
      </c>
      <c r="R56" s="2143">
        <f>R61</f>
        <v>250</v>
      </c>
      <c r="S56" s="2143">
        <f t="shared" si="25"/>
        <v>-71</v>
      </c>
      <c r="T56" s="2136"/>
      <c r="U56" s="2137"/>
      <c r="V56" s="1923">
        <f>'※ 팀별 작성_인프라_인력'!BY343</f>
        <v>656.41666666666663</v>
      </c>
      <c r="W56" s="1924">
        <f>'※ 팀별 작성_인프라_인력'!BY375</f>
        <v>98.462500000000006</v>
      </c>
      <c r="X56" s="2146">
        <f>'※ 팀별 작성_인프라_인력'!CB375</f>
        <v>21.041769418480165</v>
      </c>
      <c r="Y56" s="1897"/>
      <c r="Z56" s="1895"/>
      <c r="AA56" s="2130"/>
      <c r="AB56" s="1874">
        <f>ROW('※ 팀별 작성_인프라_인력'!AH214)</f>
        <v>214</v>
      </c>
      <c r="AC56" s="1863">
        <f>ROW('※ 팀별 작성_인프라_인력'!AI246)</f>
        <v>246</v>
      </c>
      <c r="AD56" s="1863">
        <f>ROW('※ 팀별 작성_인프라_인력'!AJ278)</f>
        <v>278</v>
      </c>
    </row>
    <row r="57" spans="1:30" ht="16.3" customHeight="1" x14ac:dyDescent="0.55000000000000004">
      <c r="A57" s="7394"/>
      <c r="B57" s="1761" t="s">
        <v>209</v>
      </c>
      <c r="C57" s="685"/>
      <c r="D57" s="2141" cm="1">
        <f t="array" aca="1" ref="D57" ca="1">INDIRECT("'※ 팀별 작성_인프라_인력'!"&amp;D$1&amp;$AB57, TRUE)</f>
        <v>1040.5</v>
      </c>
      <c r="E57" s="2141" cm="1">
        <f t="array" aca="1" ref="E57" ca="1">INDIRECT("'※ 팀별 작성_인프라_인력'!"&amp;E$1&amp;$AB57, TRUE)</f>
        <v>1282.9166666666667</v>
      </c>
      <c r="F57" s="2142" cm="1">
        <f t="array" aca="1" ref="F57" ca="1">INDIRECT("'※ 팀별 작성_인프라_인력'!"&amp;F$1&amp;$AB57, TRUE)</f>
        <v>1230</v>
      </c>
      <c r="G57" s="2143" cm="1">
        <f t="array" aca="1" ref="G57" ca="1">INDIRECT("'※ 팀별 작성_인프라_인력'!"&amp;G$1&amp;$AB57, TRUE)</f>
        <v>1195</v>
      </c>
      <c r="H57" s="2143" cm="1">
        <f t="array" aca="1" ref="H57" ca="1">INDIRECT("'※ 팀별 작성_인프라_인력'!"&amp;H$1&amp;$AB57, TRUE)</f>
        <v>1264</v>
      </c>
      <c r="I57" s="2143" cm="1">
        <f t="array" aca="1" ref="I57" ca="1">INDIRECT("'※ 팀별 작성_인프라_인력'!"&amp;I$1&amp;$AB57, TRUE)</f>
        <v>1394</v>
      </c>
      <c r="J57" s="2143" cm="1">
        <f t="array" aca="1" ref="J57" ca="1">INDIRECT("'※ 팀별 작성_인프라_인력'!"&amp;J$1&amp;$AB57, TRUE)</f>
        <v>1401</v>
      </c>
      <c r="K57" s="2141" cm="1">
        <f t="array" aca="1" ref="K57" ca="1">INDIRECT("'※ 팀별 작성_인프라_인력'!"&amp;K$1&amp;$AB57, TRUE)</f>
        <v>1282.9166666666667</v>
      </c>
      <c r="L57" s="6482" cm="1">
        <f t="array" aca="1" ref="L57" ca="1">INDIRECT("'※ 팀별 작성_인프라_인력'!"&amp;L$1&amp;$AB57, TRUE)</f>
        <v>1355</v>
      </c>
      <c r="M57" s="2143" cm="1">
        <f t="array" aca="1" ref="M57" ca="1">INDIRECT("'※ 팀별 작성_인프라_인력'!"&amp;M$1&amp;$AB57, TRUE)</f>
        <v>1160</v>
      </c>
      <c r="N57" s="2144" cm="1">
        <f t="array" aca="1" ref="N57" ca="1">INDIRECT("'※ 팀별 작성_인프라_인력'!"&amp;N$1&amp;$AC57, TRUE)</f>
        <v>196</v>
      </c>
      <c r="O57" s="2143" cm="1">
        <f t="array" aca="1" ref="O57" ca="1">INDIRECT("'※ 팀별 작성_인프라_인력'!"&amp;O$1&amp;$AD57, TRUE)</f>
        <v>403</v>
      </c>
      <c r="P57" s="2145">
        <f t="shared" ca="1" si="24"/>
        <v>-207</v>
      </c>
      <c r="Q57" s="2143">
        <f>SUM(Q62:Q63)</f>
        <v>465</v>
      </c>
      <c r="R57" s="2143">
        <f>SUM(R62:R63)</f>
        <v>587</v>
      </c>
      <c r="S57" s="2143">
        <f t="shared" si="25"/>
        <v>-122</v>
      </c>
      <c r="T57" s="2136"/>
      <c r="U57" s="2137"/>
      <c r="V57" s="1923">
        <f>'※ 팀별 작성_인프라_인력'!BY344</f>
        <v>788.63636363636363</v>
      </c>
      <c r="W57" s="1924">
        <f>'※ 팀별 작성_인프라_인력'!BY376</f>
        <v>91.31578947368422</v>
      </c>
      <c r="X57" s="2146">
        <f>'※ 팀별 작성_인프라_인력'!CB376</f>
        <v>34.832259960364368</v>
      </c>
      <c r="Y57" s="1897"/>
      <c r="Z57" s="1895"/>
      <c r="AA57" s="2130"/>
      <c r="AB57" s="1874">
        <f>ROW('※ 팀별 작성_인프라_인력'!AH215)</f>
        <v>215</v>
      </c>
      <c r="AC57" s="1863">
        <f>ROW('※ 팀별 작성_인프라_인력'!AI247)</f>
        <v>247</v>
      </c>
      <c r="AD57" s="1863">
        <f>ROW('※ 팀별 작성_인프라_인력'!AJ279)</f>
        <v>279</v>
      </c>
    </row>
    <row r="58" spans="1:30" ht="16.3" customHeight="1" x14ac:dyDescent="0.55000000000000004">
      <c r="A58" s="7394"/>
      <c r="B58" s="1767" t="s">
        <v>210</v>
      </c>
      <c r="C58" s="1768"/>
      <c r="D58" s="2147" cm="1">
        <f t="array" aca="1" ref="D58" ca="1">INDIRECT("'※ 팀별 작성_인프라_인력'!"&amp;D$1&amp;$AB58, TRUE)</f>
        <v>986.08333333333337</v>
      </c>
      <c r="E58" s="2147" cm="1">
        <f t="array" aca="1" ref="E58" ca="1">INDIRECT("'※ 팀별 작성_인프라_인력'!"&amp;E$1&amp;$AB58, TRUE)</f>
        <v>1012.5833333333334</v>
      </c>
      <c r="F58" s="2148" cm="1">
        <f t="array" aca="1" ref="F58" ca="1">INDIRECT("'※ 팀별 작성_인프라_인력'!"&amp;F$1&amp;$AB58, TRUE)</f>
        <v>1040</v>
      </c>
      <c r="G58" s="2149" cm="1">
        <f t="array" aca="1" ref="G58" ca="1">INDIRECT("'※ 팀별 작성_인프라_인력'!"&amp;G$1&amp;$AB58, TRUE)</f>
        <v>998</v>
      </c>
      <c r="H58" s="2149" cm="1">
        <f t="array" aca="1" ref="H58" ca="1">INDIRECT("'※ 팀별 작성_인프라_인력'!"&amp;H$1&amp;$AB58, TRUE)</f>
        <v>1019</v>
      </c>
      <c r="I58" s="2149" cm="1">
        <f t="array" aca="1" ref="I58" ca="1">INDIRECT("'※ 팀별 작성_인프라_인력'!"&amp;I$1&amp;$AB58, TRUE)</f>
        <v>1075</v>
      </c>
      <c r="J58" s="2149" cm="1">
        <f t="array" aca="1" ref="J58" ca="1">INDIRECT("'※ 팀별 작성_인프라_인력'!"&amp;J$1&amp;$AB58, TRUE)</f>
        <v>1045</v>
      </c>
      <c r="K58" s="2147" cm="1">
        <f t="array" aca="1" ref="K58" ca="1">INDIRECT("'※ 팀별 작성_인프라_인력'!"&amp;K$1&amp;$AB58, TRUE)</f>
        <v>1012.5833333333334</v>
      </c>
      <c r="L58" s="6483" cm="1">
        <f t="array" aca="1" ref="L58" ca="1">INDIRECT("'※ 팀별 작성_인프라_인력'!"&amp;L$1&amp;$AB58, TRUE)</f>
        <v>1026</v>
      </c>
      <c r="M58" s="2149" cm="1">
        <f t="array" aca="1" ref="M58" ca="1">INDIRECT("'※ 팀별 작성_인프라_인력'!"&amp;M$1&amp;$AB58, TRUE)</f>
        <v>880</v>
      </c>
      <c r="N58" s="2150" cm="1">
        <f t="array" aca="1" ref="N58" ca="1">INDIRECT("'※ 팀별 작성_인프라_인력'!"&amp;N$1&amp;$AC58, TRUE)</f>
        <v>58</v>
      </c>
      <c r="O58" s="2149" cm="1">
        <f t="array" aca="1" ref="O58" ca="1">INDIRECT("'※ 팀별 작성_인프라_인력'!"&amp;O$1&amp;$AD58, TRUE)</f>
        <v>211</v>
      </c>
      <c r="P58" s="2151">
        <f t="shared" ca="1" si="24"/>
        <v>-153</v>
      </c>
      <c r="Q58" s="2149">
        <f>SUM(Q64:Q65)</f>
        <v>200</v>
      </c>
      <c r="R58" s="2149">
        <f>SUM(R64:R65)</f>
        <v>296</v>
      </c>
      <c r="S58" s="2149">
        <f t="shared" si="25"/>
        <v>-96</v>
      </c>
      <c r="T58" s="2136"/>
      <c r="U58" s="2137"/>
      <c r="V58" s="2152">
        <f>'※ 팀별 작성_인프라_인력'!BY345</f>
        <v>596.04999999999995</v>
      </c>
      <c r="W58" s="2153">
        <f>'※ 팀별 작성_인프라_인력'!BY377</f>
        <v>83.950704225352112</v>
      </c>
      <c r="X58" s="2154">
        <f>'※ 팀별 작성_인프라_인력'!CB377</f>
        <v>22.725859832360044</v>
      </c>
      <c r="Y58" s="1897"/>
      <c r="Z58" s="1895"/>
      <c r="AA58" s="2130"/>
      <c r="AB58" s="1874">
        <f>ROW('※ 팀별 작성_인프라_인력'!AH216)</f>
        <v>216</v>
      </c>
      <c r="AC58" s="1863">
        <f>ROW('※ 팀별 작성_인프라_인력'!AI248)</f>
        <v>248</v>
      </c>
      <c r="AD58" s="1863">
        <f>ROW('※ 팀별 작성_인프라_인력'!AJ280)</f>
        <v>280</v>
      </c>
    </row>
    <row r="59" spans="1:30" ht="16.3" customHeight="1" x14ac:dyDescent="0.55000000000000004">
      <c r="A59" s="7394"/>
      <c r="B59" s="2155"/>
      <c r="C59" s="2156" t="s">
        <v>226</v>
      </c>
      <c r="D59" s="2157" cm="1">
        <f t="array" aca="1" ref="D59" ca="1">INDIRECT("'※ 팀별 작성_인프라_인력'!"&amp;D$1&amp;$AB59, TRUE)</f>
        <v>540.91666666666663</v>
      </c>
      <c r="E59" s="2157" cm="1">
        <f t="array" aca="1" ref="E59" ca="1">INDIRECT("'※ 팀별 작성_인프라_인력'!"&amp;E$1&amp;$AB59, TRUE)</f>
        <v>683.91666666666663</v>
      </c>
      <c r="F59" s="2158" cm="1">
        <f t="array" aca="1" ref="F59" ca="1">INDIRECT("'※ 팀별 작성_인프라_인력'!"&amp;F$1&amp;$AB59, TRUE)</f>
        <v>601</v>
      </c>
      <c r="G59" s="2159" cm="1">
        <f t="array" aca="1" ref="G59" ca="1">INDIRECT("'※ 팀별 작성_인프라_인력'!"&amp;G$1&amp;$AB59, TRUE)</f>
        <v>549</v>
      </c>
      <c r="H59" s="2159" cm="1">
        <f t="array" aca="1" ref="H59" ca="1">INDIRECT("'※ 팀별 작성_인프라_인력'!"&amp;H$1&amp;$AB59, TRUE)</f>
        <v>556</v>
      </c>
      <c r="I59" s="2159" cm="1">
        <f t="array" aca="1" ref="I59" ca="1">INDIRECT("'※ 팀별 작성_인프라_인력'!"&amp;I$1&amp;$AB59, TRUE)</f>
        <v>589</v>
      </c>
      <c r="J59" s="2159" cm="1">
        <f t="array" aca="1" ref="J59" ca="1">INDIRECT("'※ 팀별 작성_인프라_인력'!"&amp;J$1&amp;$AB59, TRUE)</f>
        <v>554</v>
      </c>
      <c r="K59" s="2157" cm="1">
        <f t="array" aca="1" ref="K59" ca="1">INDIRECT("'※ 팀별 작성_인프라_인력'!"&amp;K$1&amp;$AB59, TRUE)</f>
        <v>683.91666666666663</v>
      </c>
      <c r="L59" s="6484" cm="1">
        <f t="array" aca="1" ref="L59" ca="1">INDIRECT("'※ 팀별 작성_인프라_인력'!"&amp;L$1&amp;$AB59, TRUE)</f>
        <v>844</v>
      </c>
      <c r="M59" s="2159" cm="1">
        <f t="array" aca="1" ref="M59" ca="1">INDIRECT("'※ 팀별 작성_인프라_인력'!"&amp;M$1&amp;$AB59, TRUE)</f>
        <v>716</v>
      </c>
      <c r="N59" s="2160" cm="1">
        <f t="array" aca="1" ref="N59" ca="1">INDIRECT("'※ 팀별 작성_인프라_인력'!"&amp;N$1&amp;$AC59, TRUE)</f>
        <v>62</v>
      </c>
      <c r="O59" s="2159" cm="1">
        <f t="array" aca="1" ref="O59" ca="1">INDIRECT("'※ 팀별 작성_인프라_인력'!"&amp;O$1&amp;$AD59, TRUE)</f>
        <v>193</v>
      </c>
      <c r="P59" s="2161">
        <f t="shared" ca="1" si="24"/>
        <v>-131</v>
      </c>
      <c r="Q59" s="2159">
        <f>'※ 팀별 작성_인프라_인력'!BX249</f>
        <v>261</v>
      </c>
      <c r="R59" s="2159">
        <f>'※ 팀별 작성_인프라_인력'!BX281</f>
        <v>271</v>
      </c>
      <c r="S59" s="2162">
        <f t="shared" si="25"/>
        <v>-10</v>
      </c>
      <c r="T59" s="2126"/>
      <c r="U59" s="2127"/>
      <c r="V59" s="2163">
        <f>'※ 팀별 작성_인프라_인력'!BY346</f>
        <v>603.05555555555554</v>
      </c>
      <c r="W59" s="2163">
        <f>'※ 팀별 작성_인프라_인력'!BY378</f>
        <v>87.540322580645167</v>
      </c>
      <c r="X59" s="2164">
        <f>'※ 팀별 작성_인프라_인력'!CB378</f>
        <v>9.7101582027570785</v>
      </c>
      <c r="Y59" s="1897"/>
      <c r="Z59" s="1895"/>
      <c r="AA59" s="2130"/>
      <c r="AB59" s="1874">
        <f>ROW('※ 팀별 작성_인프라_인력'!AH217)</f>
        <v>217</v>
      </c>
      <c r="AC59" s="1863">
        <f>ROW('※ 팀별 작성_인프라_인력'!AI249)</f>
        <v>249</v>
      </c>
      <c r="AD59" s="1863">
        <f>ROW('※ 팀별 작성_인프라_인력'!AJ281)</f>
        <v>281</v>
      </c>
    </row>
    <row r="60" spans="1:30" ht="16.3" customHeight="1" x14ac:dyDescent="0.55000000000000004">
      <c r="A60" s="7394"/>
      <c r="B60" s="1035"/>
      <c r="C60" s="681" t="s">
        <v>227</v>
      </c>
      <c r="D60" s="1960" cm="1">
        <f t="array" aca="1" ref="D60" ca="1">INDIRECT("'※ 팀별 작성_인프라_인력'!"&amp;D$1&amp;$AB60, TRUE)</f>
        <v>488.91666666666669</v>
      </c>
      <c r="E60" s="1960" cm="1">
        <f t="array" aca="1" ref="E60" ca="1">INDIRECT("'※ 팀별 작성_인프라_인력'!"&amp;E$1&amp;$AB60, TRUE)</f>
        <v>521</v>
      </c>
      <c r="F60" s="1961" cm="1">
        <f t="array" aca="1" ref="F60" ca="1">INDIRECT("'※ 팀별 작성_인프라_인력'!"&amp;F$1&amp;$AB60, TRUE)</f>
        <v>567</v>
      </c>
      <c r="G60" s="1962" cm="1">
        <f t="array" aca="1" ref="G60" ca="1">INDIRECT("'※ 팀별 작성_인프라_인력'!"&amp;G$1&amp;$AB60, TRUE)</f>
        <v>531</v>
      </c>
      <c r="H60" s="1962" cm="1">
        <f t="array" aca="1" ref="H60" ca="1">INDIRECT("'※ 팀별 작성_인프라_인력'!"&amp;H$1&amp;$AB60, TRUE)</f>
        <v>467</v>
      </c>
      <c r="I60" s="1962" cm="1">
        <f t="array" aca="1" ref="I60" ca="1">INDIRECT("'※ 팀별 작성_인프라_인력'!"&amp;I$1&amp;$AB60, TRUE)</f>
        <v>536</v>
      </c>
      <c r="J60" s="1962" cm="1">
        <f t="array" aca="1" ref="J60" ca="1">INDIRECT("'※ 팀별 작성_인프라_인력'!"&amp;J$1&amp;$AB60, TRUE)</f>
        <v>516</v>
      </c>
      <c r="K60" s="1960" cm="1">
        <f t="array" aca="1" ref="K60" ca="1">INDIRECT("'※ 팀별 작성_인프라_인력'!"&amp;K$1&amp;$AB60, TRUE)</f>
        <v>521</v>
      </c>
      <c r="L60" s="6474" cm="1">
        <f t="array" aca="1" ref="L60" ca="1">INDIRECT("'※ 팀별 작성_인프라_인력'!"&amp;L$1&amp;$AB60, TRUE)</f>
        <v>576</v>
      </c>
      <c r="M60" s="1962" cm="1">
        <f t="array" aca="1" ref="M60" ca="1">INDIRECT("'※ 팀별 작성_인프라_인력'!"&amp;M$1&amp;$AB60, TRUE)</f>
        <v>497</v>
      </c>
      <c r="N60" s="1963" cm="1">
        <f t="array" aca="1" ref="N60" ca="1">INDIRECT("'※ 팀별 작성_인프라_인력'!"&amp;N$1&amp;$AC60, TRUE)</f>
        <v>64</v>
      </c>
      <c r="O60" s="1962" cm="1">
        <f t="array" aca="1" ref="O60" ca="1">INDIRECT("'※ 팀별 작성_인프라_인력'!"&amp;O$1&amp;$AD60, TRUE)</f>
        <v>141</v>
      </c>
      <c r="P60" s="1964">
        <f t="shared" ca="1" si="24"/>
        <v>-77</v>
      </c>
      <c r="Q60" s="2171">
        <f>'※ 팀별 작성_인프라_인력'!BX250</f>
        <v>152</v>
      </c>
      <c r="R60" s="2171">
        <f>'※ 팀별 작성_인프라_인력'!BX282</f>
        <v>207</v>
      </c>
      <c r="S60" s="2172">
        <f t="shared" si="25"/>
        <v>-55</v>
      </c>
      <c r="T60" s="2173"/>
      <c r="U60" s="2174"/>
      <c r="V60" s="1969">
        <f>'※ 팀별 작성_인프라_인력'!BY347</f>
        <v>586.08333333333326</v>
      </c>
      <c r="W60" s="1969">
        <f>'※ 팀별 작성_인프라_인력'!BY379</f>
        <v>78.144444444444446</v>
      </c>
      <c r="X60" s="2175">
        <f>'※ 팀별 작성_인프라_인력'!CB379</f>
        <v>14.874434217673134</v>
      </c>
      <c r="Y60" s="1897"/>
      <c r="Z60" s="1895"/>
      <c r="AA60" s="2130"/>
      <c r="AB60" s="1874">
        <f>ROW('※ 팀별 작성_인프라_인력'!AH218)</f>
        <v>218</v>
      </c>
      <c r="AC60" s="1863">
        <f>ROW('※ 팀별 작성_인프라_인력'!AI250)</f>
        <v>250</v>
      </c>
      <c r="AD60" s="1863">
        <f>ROW('※ 팀별 작성_인프라_인력'!AJ282)</f>
        <v>282</v>
      </c>
    </row>
    <row r="61" spans="1:30" ht="16.3" customHeight="1" x14ac:dyDescent="0.55000000000000004">
      <c r="A61" s="7394"/>
      <c r="B61" s="2165"/>
      <c r="C61" s="804" t="s">
        <v>228</v>
      </c>
      <c r="D61" s="2166" cm="1">
        <f t="array" aca="1" ref="D61" ca="1">INDIRECT("'※ 팀별 작성_인프라_인력'!"&amp;D$1&amp;$AB61, TRUE)</f>
        <v>580.75</v>
      </c>
      <c r="E61" s="2166" cm="1">
        <f t="array" aca="1" ref="E61" ca="1">INDIRECT("'※ 팀별 작성_인프라_인력'!"&amp;E$1&amp;$AB61, TRUE)</f>
        <v>613.16666666666663</v>
      </c>
      <c r="F61" s="2167" cm="1">
        <f t="array" aca="1" ref="F61" ca="1">INDIRECT("'※ 팀별 작성_인프라_인력'!"&amp;F$1&amp;$AB61, TRUE)</f>
        <v>664</v>
      </c>
      <c r="G61" s="2168" cm="1">
        <f t="array" aca="1" ref="G61" ca="1">INDIRECT("'※ 팀별 작성_인프라_인력'!"&amp;G$1&amp;$AB61, TRUE)</f>
        <v>595</v>
      </c>
      <c r="H61" s="2168" cm="1">
        <f t="array" aca="1" ref="H61" ca="1">INDIRECT("'※ 팀별 작성_인프라_인력'!"&amp;H$1&amp;$AB61, TRUE)</f>
        <v>600</v>
      </c>
      <c r="I61" s="2168" cm="1">
        <f t="array" aca="1" ref="I61" ca="1">INDIRECT("'※ 팀별 작성_인프라_인력'!"&amp;I$1&amp;$AB61, TRUE)</f>
        <v>671</v>
      </c>
      <c r="J61" s="2168" cm="1">
        <f t="array" aca="1" ref="J61" ca="1">INDIRECT("'※ 팀별 작성_인프라_인력'!"&amp;J$1&amp;$AB61, TRUE)</f>
        <v>630</v>
      </c>
      <c r="K61" s="2166" cm="1">
        <f t="array" aca="1" ref="K61" ca="1">INDIRECT("'※ 팀별 작성_인프라_인력'!"&amp;K$1&amp;$AB61, TRUE)</f>
        <v>613.16666666666663</v>
      </c>
      <c r="L61" s="6485" cm="1">
        <f t="array" aca="1" ref="L61" ca="1">INDIRECT("'※ 팀별 작성_인프라_인력'!"&amp;L$1&amp;$AB61, TRUE)</f>
        <v>664</v>
      </c>
      <c r="M61" s="2168" cm="1">
        <f t="array" aca="1" ref="M61" ca="1">INDIRECT("'※ 팀별 작성_인프라_인력'!"&amp;M$1&amp;$AB61, TRUE)</f>
        <v>538</v>
      </c>
      <c r="N61" s="2176" cm="1">
        <f t="array" aca="1" ref="N61" ca="1">INDIRECT("'※ 팀별 작성_인프라_인력'!"&amp;N$1&amp;$AC61, TRUE)</f>
        <v>53</v>
      </c>
      <c r="O61" s="2168" cm="1">
        <f t="array" aca="1" ref="O61" ca="1">INDIRECT("'※ 팀별 작성_인프라_인력'!"&amp;O$1&amp;$AD61, TRUE)</f>
        <v>180</v>
      </c>
      <c r="P61" s="2177">
        <f t="shared" ca="1" si="24"/>
        <v>-127</v>
      </c>
      <c r="Q61" s="2168">
        <f>'※ 팀별 작성_인프라_인력'!BX251</f>
        <v>179</v>
      </c>
      <c r="R61" s="2168">
        <f>'※ 팀별 작성_인프라_인력'!BX283</f>
        <v>250</v>
      </c>
      <c r="S61" s="2169">
        <f t="shared" si="25"/>
        <v>-71</v>
      </c>
      <c r="T61" s="2126"/>
      <c r="U61" s="2127"/>
      <c r="V61" s="1983">
        <f>'※ 팀별 작성_인프라_인력'!BY348</f>
        <v>656.41666666666663</v>
      </c>
      <c r="W61" s="1983">
        <f>'※ 팀별 작성_인프라_인력'!BY380</f>
        <v>98.462500000000006</v>
      </c>
      <c r="X61" s="2170">
        <f>'※ 팀별 작성_인프라_인력'!CB380</f>
        <v>21.041769418480165</v>
      </c>
      <c r="Y61" s="1897"/>
      <c r="Z61" s="1895"/>
      <c r="AA61" s="2130"/>
      <c r="AB61" s="1874">
        <f>ROW('※ 팀별 작성_인프라_인력'!AH219)</f>
        <v>219</v>
      </c>
      <c r="AC61" s="1863">
        <f>ROW('※ 팀별 작성_인프라_인력'!AI251)</f>
        <v>251</v>
      </c>
      <c r="AD61" s="1863">
        <f>ROW('※ 팀별 작성_인프라_인력'!AJ283)</f>
        <v>283</v>
      </c>
    </row>
    <row r="62" spans="1:30" ht="16.3" customHeight="1" x14ac:dyDescent="0.55000000000000004">
      <c r="A62" s="7394"/>
      <c r="B62" s="2165"/>
      <c r="C62" s="681" t="s">
        <v>229</v>
      </c>
      <c r="D62" s="2178" cm="1">
        <f t="array" aca="1" ref="D62" ca="1">INDIRECT("'※ 팀별 작성_인프라_인력'!"&amp;D$1&amp;$AB62, TRUE)</f>
        <v>593.25</v>
      </c>
      <c r="E62" s="2178" cm="1">
        <f t="array" aca="1" ref="E62" ca="1">INDIRECT("'※ 팀별 작성_인프라_인력'!"&amp;E$1&amp;$AB62, TRUE)</f>
        <v>777.41666666666663</v>
      </c>
      <c r="F62" s="2179" cm="1">
        <f t="array" aca="1" ref="F62" ca="1">INDIRECT("'※ 팀별 작성_인프라_인력'!"&amp;F$1&amp;$AB62, TRUE)</f>
        <v>746</v>
      </c>
      <c r="G62" s="2171" cm="1">
        <f t="array" aca="1" ref="G62" ca="1">INDIRECT("'※ 팀별 작성_인프라_인력'!"&amp;G$1&amp;$AB62, TRUE)</f>
        <v>740</v>
      </c>
      <c r="H62" s="2171" cm="1">
        <f t="array" aca="1" ref="H62" ca="1">INDIRECT("'※ 팀별 작성_인프라_인력'!"&amp;H$1&amp;$AB62, TRUE)</f>
        <v>779</v>
      </c>
      <c r="I62" s="2171" cm="1">
        <f t="array" aca="1" ref="I62" ca="1">INDIRECT("'※ 팀별 작성_인프라_인력'!"&amp;I$1&amp;$AB62, TRUE)</f>
        <v>851</v>
      </c>
      <c r="J62" s="2171" cm="1">
        <f t="array" aca="1" ref="J62" ca="1">INDIRECT("'※ 팀별 작성_인프라_인력'!"&amp;J$1&amp;$AB62, TRUE)</f>
        <v>879</v>
      </c>
      <c r="K62" s="2178" cm="1">
        <f t="array" aca="1" ref="K62" ca="1">INDIRECT("'※ 팀별 작성_인프라_인력'!"&amp;K$1&amp;$AB62, TRUE)</f>
        <v>777.41666666666663</v>
      </c>
      <c r="L62" s="6486" cm="1">
        <f t="array" aca="1" ref="L62" ca="1">INDIRECT("'※ 팀별 작성_인프라_인력'!"&amp;L$1&amp;$AB62, TRUE)</f>
        <v>780</v>
      </c>
      <c r="M62" s="2171" cm="1">
        <f t="array" aca="1" ref="M62" ca="1">INDIRECT("'※ 팀별 작성_인프라_인력'!"&amp;M$1&amp;$AB62, TRUE)</f>
        <v>686</v>
      </c>
      <c r="N62" s="2180" cm="1">
        <f t="array" aca="1" ref="N62" ca="1">INDIRECT("'※ 팀별 작성_인프라_인력'!"&amp;N$1&amp;$AC62, TRUE)</f>
        <v>125</v>
      </c>
      <c r="O62" s="2171" cm="1">
        <f t="array" aca="1" ref="O62" ca="1">INDIRECT("'※ 팀별 작성_인프라_인력'!"&amp;O$1&amp;$AD62, TRUE)</f>
        <v>224</v>
      </c>
      <c r="P62" s="2181">
        <f t="shared" ca="1" si="24"/>
        <v>-99</v>
      </c>
      <c r="Q62" s="2171">
        <f>'※ 팀별 작성_인프라_인력'!BX252</f>
        <v>270</v>
      </c>
      <c r="R62" s="2171">
        <f>'※ 팀별 작성_인프라_인력'!BX284</f>
        <v>331</v>
      </c>
      <c r="S62" s="2172">
        <f t="shared" si="25"/>
        <v>-61</v>
      </c>
      <c r="T62" s="2126"/>
      <c r="U62" s="2127"/>
      <c r="V62" s="1969">
        <f>'※ 팀별 작성_인프라_인력'!BY349</f>
        <v>861.66666666666674</v>
      </c>
      <c r="W62" s="1969">
        <f>'※ 팀별 작성_인프라_인력'!BY381</f>
        <v>95.740740740740733</v>
      </c>
      <c r="X62" s="2175">
        <f>'※ 팀별 작성_인프라_인력'!CB381</f>
        <v>37.932782308587662</v>
      </c>
      <c r="Y62" s="1897"/>
      <c r="Z62" s="1895"/>
      <c r="AA62" s="2130"/>
      <c r="AB62" s="1874">
        <f>ROW('※ 팀별 작성_인프라_인력'!AH220)</f>
        <v>220</v>
      </c>
      <c r="AC62" s="1863">
        <f>ROW('※ 팀별 작성_인프라_인력'!AI252)</f>
        <v>252</v>
      </c>
      <c r="AD62" s="1863">
        <f>ROW('※ 팀별 작성_인프라_인력'!AJ284)</f>
        <v>284</v>
      </c>
    </row>
    <row r="63" spans="1:30" ht="16.3" customHeight="1" x14ac:dyDescent="0.55000000000000004">
      <c r="A63" s="7394"/>
      <c r="B63" s="2165"/>
      <c r="C63" s="681" t="s">
        <v>230</v>
      </c>
      <c r="D63" s="2178" cm="1">
        <f t="array" aca="1" ref="D63" ca="1">INDIRECT("'※ 팀별 작성_인프라_인력'!"&amp;D$1&amp;$AB63, TRUE)</f>
        <v>447.25</v>
      </c>
      <c r="E63" s="2178" cm="1">
        <f t="array" aca="1" ref="E63" ca="1">INDIRECT("'※ 팀별 작성_인프라_인력'!"&amp;E$1&amp;$AB63, TRUE)</f>
        <v>505.5</v>
      </c>
      <c r="F63" s="2179" cm="1">
        <f t="array" aca="1" ref="F63" ca="1">INDIRECT("'※ 팀별 작성_인프라_인력'!"&amp;F$1&amp;$AB63, TRUE)</f>
        <v>484</v>
      </c>
      <c r="G63" s="2171" cm="1">
        <f t="array" aca="1" ref="G63" ca="1">INDIRECT("'※ 팀별 작성_인프라_인력'!"&amp;G$1&amp;$AB63, TRUE)</f>
        <v>455</v>
      </c>
      <c r="H63" s="2171" cm="1">
        <f t="array" aca="1" ref="H63" ca="1">INDIRECT("'※ 팀별 작성_인프라_인력'!"&amp;H$1&amp;$AB63, TRUE)</f>
        <v>485</v>
      </c>
      <c r="I63" s="2171" cm="1">
        <f t="array" aca="1" ref="I63" ca="1">INDIRECT("'※ 팀별 작성_인프라_인력'!"&amp;I$1&amp;$AB63, TRUE)</f>
        <v>543</v>
      </c>
      <c r="J63" s="2171" cm="1">
        <f t="array" aca="1" ref="J63" ca="1">INDIRECT("'※ 팀별 작성_인프라_인력'!"&amp;J$1&amp;$AB63, TRUE)</f>
        <v>522</v>
      </c>
      <c r="K63" s="2178" cm="1">
        <f t="array" aca="1" ref="K63" ca="1">INDIRECT("'※ 팀별 작성_인프라_인력'!"&amp;K$1&amp;$AB63, TRUE)</f>
        <v>505.5</v>
      </c>
      <c r="L63" s="6486" cm="1">
        <f t="array" aca="1" ref="L63" ca="1">INDIRECT("'※ 팀별 작성_인프라_인력'!"&amp;L$1&amp;$AB63, TRUE)</f>
        <v>575</v>
      </c>
      <c r="M63" s="2171" cm="1">
        <f t="array" aca="1" ref="M63" ca="1">INDIRECT("'※ 팀별 작성_인프라_인력'!"&amp;M$1&amp;$AB63, TRUE)</f>
        <v>474</v>
      </c>
      <c r="N63" s="2180" cm="1">
        <f t="array" aca="1" ref="N63" ca="1">INDIRECT("'※ 팀별 작성_인프라_인력'!"&amp;N$1&amp;$AC63, TRUE)</f>
        <v>71</v>
      </c>
      <c r="O63" s="2171" cm="1">
        <f t="array" aca="1" ref="O63" ca="1">INDIRECT("'※ 팀별 작성_인프라_인력'!"&amp;O$1&amp;$AD63, TRUE)</f>
        <v>179</v>
      </c>
      <c r="P63" s="2181">
        <f t="shared" ca="1" si="24"/>
        <v>-108</v>
      </c>
      <c r="Q63" s="2171">
        <f>'※ 팀별 작성_인프라_인력'!BX253</f>
        <v>195</v>
      </c>
      <c r="R63" s="2171">
        <f>'※ 팀별 작성_인프라_인력'!BX285</f>
        <v>256</v>
      </c>
      <c r="S63" s="2172">
        <f t="shared" si="25"/>
        <v>-61</v>
      </c>
      <c r="T63" s="2126"/>
      <c r="U63" s="2127"/>
      <c r="V63" s="1969">
        <f>'※ 팀별 작성_인프라_인력'!BY350</f>
        <v>701</v>
      </c>
      <c r="W63" s="1969">
        <f>'※ 팀별 작성_인프라_인력'!BY382</f>
        <v>85.487804878048777</v>
      </c>
      <c r="X63" s="2175">
        <f>'※ 팀별 작성_인프라_인력'!CB382</f>
        <v>30.142791747836405</v>
      </c>
      <c r="Y63" s="1897"/>
      <c r="Z63" s="1895"/>
      <c r="AA63" s="2130"/>
      <c r="AB63" s="1874">
        <f>ROW('※ 팀별 작성_인프라_인력'!AH221)</f>
        <v>221</v>
      </c>
      <c r="AC63" s="1863">
        <f>ROW('※ 팀별 작성_인프라_인력'!AI253)</f>
        <v>253</v>
      </c>
      <c r="AD63" s="1863">
        <f>ROW('※ 팀별 작성_인프라_인력'!AJ285)</f>
        <v>285</v>
      </c>
    </row>
    <row r="64" spans="1:30" ht="16.3" customHeight="1" x14ac:dyDescent="0.55000000000000004">
      <c r="A64" s="7394"/>
      <c r="B64" s="2165"/>
      <c r="C64" s="804" t="s">
        <v>231</v>
      </c>
      <c r="D64" s="2166" cm="1">
        <f t="array" aca="1" ref="D64" ca="1">INDIRECT("'※ 팀별 작성_인프라_인력'!"&amp;D$1&amp;$AB64, TRUE)</f>
        <v>549.83333333333337</v>
      </c>
      <c r="E64" s="2166" cm="1">
        <f t="array" aca="1" ref="E64" ca="1">INDIRECT("'※ 팀별 작성_인프라_인력'!"&amp;E$1&amp;$AB64, TRUE)</f>
        <v>564.41666666666663</v>
      </c>
      <c r="F64" s="2167" cm="1">
        <f t="array" aca="1" ref="F64" ca="1">INDIRECT("'※ 팀별 작성_인프라_인력'!"&amp;F$1&amp;$AB64, TRUE)</f>
        <v>586</v>
      </c>
      <c r="G64" s="2168" cm="1">
        <f t="array" aca="1" ref="G64" ca="1">INDIRECT("'※ 팀별 작성_인프라_인력'!"&amp;G$1&amp;$AB64, TRUE)</f>
        <v>553</v>
      </c>
      <c r="H64" s="2168" cm="1">
        <f t="array" aca="1" ref="H64" ca="1">INDIRECT("'※ 팀별 작성_인프라_인력'!"&amp;H$1&amp;$AB64, TRUE)</f>
        <v>570</v>
      </c>
      <c r="I64" s="2168" cm="1">
        <f t="array" aca="1" ref="I64" ca="1">INDIRECT("'※ 팀별 작성_인프라_인력'!"&amp;I$1&amp;$AB64, TRUE)</f>
        <v>606</v>
      </c>
      <c r="J64" s="2168" cm="1">
        <f t="array" aca="1" ref="J64" ca="1">INDIRECT("'※ 팀별 작성_인프라_인력'!"&amp;J$1&amp;$AB64, TRUE)</f>
        <v>594</v>
      </c>
      <c r="K64" s="2166" cm="1">
        <f t="array" aca="1" ref="K64" ca="1">INDIRECT("'※ 팀별 작성_인프라_인력'!"&amp;K$1&amp;$AB64, TRUE)</f>
        <v>564.41666666666663</v>
      </c>
      <c r="L64" s="6485" cm="1">
        <f t="array" aca="1" ref="L64" ca="1">INDIRECT("'※ 팀별 작성_인프라_인력'!"&amp;L$1&amp;$AB64, TRUE)</f>
        <v>578</v>
      </c>
      <c r="M64" s="2168" cm="1">
        <f t="array" aca="1" ref="M64" ca="1">INDIRECT("'※ 팀별 작성_인프라_인력'!"&amp;M$1&amp;$AB64, TRUE)</f>
        <v>504</v>
      </c>
      <c r="N64" s="2176" cm="1">
        <f t="array" aca="1" ref="N64" ca="1">INDIRECT("'※ 팀별 작성_인프라_인력'!"&amp;N$1&amp;$AC64, TRUE)</f>
        <v>41</v>
      </c>
      <c r="O64" s="2168" cm="1">
        <f t="array" aca="1" ref="O64" ca="1">INDIRECT("'※ 팀별 작성_인프라_인력'!"&amp;O$1&amp;$AD64, TRUE)</f>
        <v>125</v>
      </c>
      <c r="P64" s="2177">
        <f t="shared" ca="1" si="24"/>
        <v>-84</v>
      </c>
      <c r="Q64" s="2168">
        <f>'※ 팀별 작성_인프라_인력'!BX254</f>
        <v>143</v>
      </c>
      <c r="R64" s="2168">
        <f>'※ 팀별 작성_인프라_인력'!BX286</f>
        <v>189</v>
      </c>
      <c r="S64" s="2169">
        <f t="shared" si="25"/>
        <v>-46</v>
      </c>
      <c r="T64" s="2126"/>
      <c r="U64" s="2127"/>
      <c r="V64" s="1983">
        <f>'※ 팀별 작성_인프라_인력'!BY351</f>
        <v>727.4</v>
      </c>
      <c r="W64" s="1983">
        <f>'※ 팀별 작성_인프라_인력'!BY383</f>
        <v>93.256410256410263</v>
      </c>
      <c r="X64" s="2170">
        <f>'※ 팀별 작성_인프라_인력'!CB383</f>
        <v>26.062611887000855</v>
      </c>
      <c r="Y64" s="1897"/>
      <c r="Z64" s="1895"/>
      <c r="AA64" s="2130"/>
      <c r="AB64" s="1874">
        <f>ROW('※ 팀별 작성_인프라_인력'!AH222)</f>
        <v>222</v>
      </c>
      <c r="AC64" s="1863">
        <f>ROW('※ 팀별 작성_인프라_인력'!AI254)</f>
        <v>254</v>
      </c>
      <c r="AD64" s="1863">
        <f>ROW('※ 팀별 작성_인프라_인력'!AJ286)</f>
        <v>286</v>
      </c>
    </row>
    <row r="65" spans="1:30" ht="16.3" customHeight="1" thickBot="1" x14ac:dyDescent="0.6">
      <c r="A65" s="7394"/>
      <c r="B65" s="2182"/>
      <c r="C65" s="2183" t="s">
        <v>232</v>
      </c>
      <c r="D65" s="2184" cm="1">
        <f t="array" aca="1" ref="D65" ca="1">INDIRECT("'※ 팀별 작성_인프라_인력'!"&amp;D$1&amp;$AB65, TRUE)</f>
        <v>436.25</v>
      </c>
      <c r="E65" s="2184" cm="1">
        <f t="array" aca="1" ref="E65" ca="1">INDIRECT("'※ 팀별 작성_인프라_인력'!"&amp;E$1&amp;$AB65, TRUE)</f>
        <v>448.16666666666669</v>
      </c>
      <c r="F65" s="2185" cm="1">
        <f t="array" aca="1" ref="F65" ca="1">INDIRECT("'※ 팀별 작성_인프라_인력'!"&amp;F$1&amp;$AB65, TRUE)</f>
        <v>454</v>
      </c>
      <c r="G65" s="2186" cm="1">
        <f t="array" aca="1" ref="G65" ca="1">INDIRECT("'※ 팀별 작성_인프라_인력'!"&amp;G$1&amp;$AB65, TRUE)</f>
        <v>445</v>
      </c>
      <c r="H65" s="2186" cm="1">
        <f t="array" aca="1" ref="H65" ca="1">INDIRECT("'※ 팀별 작성_인프라_인력'!"&amp;H$1&amp;$AB65, TRUE)</f>
        <v>449</v>
      </c>
      <c r="I65" s="2186" cm="1">
        <f t="array" aca="1" ref="I65" ca="1">INDIRECT("'※ 팀별 작성_인프라_인력'!"&amp;I$1&amp;$AB65, TRUE)</f>
        <v>469</v>
      </c>
      <c r="J65" s="2186" cm="1">
        <f t="array" aca="1" ref="J65" ca="1">INDIRECT("'※ 팀별 작성_인프라_인력'!"&amp;J$1&amp;$AB65, TRUE)</f>
        <v>451</v>
      </c>
      <c r="K65" s="2184" cm="1">
        <f t="array" aca="1" ref="K65" ca="1">INDIRECT("'※ 팀별 작성_인프라_인력'!"&amp;K$1&amp;$AB65, TRUE)</f>
        <v>448.16666666666669</v>
      </c>
      <c r="L65" s="6487" cm="1">
        <f t="array" aca="1" ref="L65" ca="1">INDIRECT("'※ 팀별 작성_인프라_인력'!"&amp;L$1&amp;$AB65, TRUE)</f>
        <v>448</v>
      </c>
      <c r="M65" s="2186" cm="1">
        <f t="array" aca="1" ref="M65" ca="1">INDIRECT("'※ 팀별 작성_인프라_인력'!"&amp;M$1&amp;$AB65, TRUE)</f>
        <v>376</v>
      </c>
      <c r="N65" s="2187" cm="1">
        <f t="array" aca="1" ref="N65" ca="1">INDIRECT("'※ 팀별 작성_인프라_인력'!"&amp;N$1&amp;$AC65, TRUE)</f>
        <v>17</v>
      </c>
      <c r="O65" s="2186" cm="1">
        <f t="array" aca="1" ref="O65" ca="1">INDIRECT("'※ 팀별 작성_인프라_인력'!"&amp;O$1&amp;$AD65, TRUE)</f>
        <v>86</v>
      </c>
      <c r="P65" s="2188">
        <f t="shared" ca="1" si="24"/>
        <v>-69</v>
      </c>
      <c r="Q65" s="2186">
        <f>'※ 팀별 작성_인프라_인력'!BX255</f>
        <v>57</v>
      </c>
      <c r="R65" s="2186">
        <f>'※ 팀별 작성_인프라_인력'!BX287</f>
        <v>107</v>
      </c>
      <c r="S65" s="2189">
        <f t="shared" si="25"/>
        <v>-50</v>
      </c>
      <c r="T65" s="2126"/>
      <c r="U65" s="2127"/>
      <c r="V65" s="2190">
        <f>'※ 팀별 작성_인프라_인력'!BY352</f>
        <v>464.7</v>
      </c>
      <c r="W65" s="2190">
        <f>'※ 팀별 작성_인프라_인력'!BY384</f>
        <v>72.609375</v>
      </c>
      <c r="X65" s="2191">
        <f>'※ 팀별 작성_인프라_인력'!CB384</f>
        <v>18.305486184128569</v>
      </c>
      <c r="Y65" s="2192"/>
      <c r="Z65" s="2193"/>
      <c r="AA65" s="2194"/>
      <c r="AB65" s="1874">
        <f>ROW('※ 팀별 작성_인프라_인력'!AH223)</f>
        <v>223</v>
      </c>
      <c r="AC65" s="1863">
        <f>ROW('※ 팀별 작성_인프라_인력'!AI255)</f>
        <v>255</v>
      </c>
      <c r="AD65" s="1863">
        <f>ROW('※ 팀별 작성_인프라_인력'!AJ287)</f>
        <v>287</v>
      </c>
    </row>
    <row r="66" spans="1:30" ht="16.3" customHeight="1" x14ac:dyDescent="0.55000000000000004">
      <c r="A66" s="7394"/>
      <c r="B66" s="1330" t="s">
        <v>251</v>
      </c>
      <c r="C66" s="1331"/>
      <c r="D66" s="2195">
        <f ca="1">SUM(D70:D74)</f>
        <v>981.83333333333337</v>
      </c>
      <c r="E66" s="2195">
        <f ca="1">SUM(E70:E74)</f>
        <v>1112.4166666666665</v>
      </c>
      <c r="F66" s="2196">
        <f t="shared" ref="F66:O66" ca="1" si="26">SUM(F70:F74)</f>
        <v>1142</v>
      </c>
      <c r="G66" s="2197">
        <f t="shared" ref="G66:J66" ca="1" si="27">SUM(G70:G74)</f>
        <v>998</v>
      </c>
      <c r="H66" s="2197">
        <f t="shared" ca="1" si="27"/>
        <v>1020</v>
      </c>
      <c r="I66" s="2197">
        <f t="shared" ca="1" si="27"/>
        <v>1591</v>
      </c>
      <c r="J66" s="2197">
        <f t="shared" ca="1" si="27"/>
        <v>1325</v>
      </c>
      <c r="K66" s="2195">
        <f ca="1">SUM(K70:K74)</f>
        <v>1112.4166666666665</v>
      </c>
      <c r="L66" s="6488">
        <f t="shared" ref="L66" ca="1" si="28">SUM(L70:L74)</f>
        <v>1108</v>
      </c>
      <c r="M66" s="2197">
        <f t="shared" ref="M66" ca="1" si="29">SUM(M70:M74)</f>
        <v>838</v>
      </c>
      <c r="N66" s="2198">
        <f t="shared" ca="1" si="26"/>
        <v>441</v>
      </c>
      <c r="O66" s="2197">
        <f t="shared" ca="1" si="26"/>
        <v>717</v>
      </c>
      <c r="P66" s="2199">
        <f ca="1">N66-O66</f>
        <v>-276</v>
      </c>
      <c r="Q66" s="2197">
        <f>SUM(Q70:Q74)</f>
        <v>1075</v>
      </c>
      <c r="R66" s="2197">
        <f>SUM(R70:R74)</f>
        <v>1278</v>
      </c>
      <c r="S66" s="2200">
        <f t="shared" si="25"/>
        <v>-203</v>
      </c>
      <c r="T66" s="2126"/>
      <c r="U66" s="2127"/>
      <c r="V66" s="2201"/>
      <c r="W66" s="2202"/>
      <c r="X66" s="2203"/>
      <c r="Y66" s="2204">
        <f>'※ 팀별 작성_인프라_인력'!BY386</f>
        <v>81.107142857142861</v>
      </c>
      <c r="Z66" s="2205">
        <f>'※ 팀별 작성_인프라_인력'!BY418</f>
        <v>10.883386581469647</v>
      </c>
      <c r="AA66" s="2206">
        <f>'※ 팀별 작성_인프라_인력'!CB418</f>
        <v>4.3679139304324455</v>
      </c>
      <c r="AB66" s="1874"/>
    </row>
    <row r="67" spans="1:30" hidden="1" x14ac:dyDescent="0.55000000000000004">
      <c r="A67" s="7394"/>
      <c r="B67" s="1462"/>
      <c r="C67" s="787" t="s">
        <v>250</v>
      </c>
      <c r="D67" s="2120"/>
      <c r="E67" s="2120"/>
      <c r="F67" s="2121"/>
      <c r="G67" s="2122"/>
      <c r="H67" s="2122"/>
      <c r="I67" s="2122"/>
      <c r="J67" s="2122"/>
      <c r="K67" s="2120"/>
      <c r="L67" s="6480"/>
      <c r="M67" s="2122"/>
      <c r="N67" s="2123"/>
      <c r="O67" s="2122"/>
      <c r="P67" s="2124">
        <f t="shared" si="24"/>
        <v>0</v>
      </c>
      <c r="Q67" s="2122"/>
      <c r="R67" s="2122"/>
      <c r="S67" s="2125">
        <f t="shared" si="25"/>
        <v>0</v>
      </c>
      <c r="T67" s="2126"/>
      <c r="U67" s="2127"/>
      <c r="V67" s="1894"/>
      <c r="W67" s="1895"/>
      <c r="X67" s="2207"/>
      <c r="Y67" s="2208"/>
      <c r="Z67" s="2128"/>
      <c r="AA67" s="2209"/>
      <c r="AB67" s="1874">
        <f>ROW('※ 팀별 작성_인프라_인력'!AH225)</f>
        <v>225</v>
      </c>
      <c r="AC67" s="2210"/>
      <c r="AD67" s="2210"/>
    </row>
    <row r="68" spans="1:30" hidden="1" x14ac:dyDescent="0.55000000000000004">
      <c r="A68" s="7394"/>
      <c r="B68" s="1462"/>
      <c r="C68" s="787" t="s">
        <v>263</v>
      </c>
      <c r="D68" s="2120"/>
      <c r="E68" s="2120"/>
      <c r="F68" s="2121"/>
      <c r="G68" s="2122"/>
      <c r="H68" s="2122"/>
      <c r="I68" s="2122"/>
      <c r="J68" s="2122"/>
      <c r="K68" s="2120"/>
      <c r="L68" s="6480"/>
      <c r="M68" s="2122"/>
      <c r="N68" s="2123"/>
      <c r="O68" s="2122"/>
      <c r="P68" s="2124">
        <f t="shared" si="24"/>
        <v>0</v>
      </c>
      <c r="Q68" s="2122"/>
      <c r="R68" s="2122"/>
      <c r="S68" s="2125">
        <f t="shared" si="25"/>
        <v>0</v>
      </c>
      <c r="T68" s="2126"/>
      <c r="U68" s="2127"/>
      <c r="V68" s="1894"/>
      <c r="W68" s="1895"/>
      <c r="X68" s="2207"/>
      <c r="Y68" s="2208"/>
      <c r="Z68" s="2128"/>
      <c r="AA68" s="2209"/>
      <c r="AB68" s="1874">
        <f>ROW('※ 팀별 작성_인프라_인력'!AH226)</f>
        <v>226</v>
      </c>
    </row>
    <row r="69" spans="1:30" hidden="1" x14ac:dyDescent="0.55000000000000004">
      <c r="A69" s="7394"/>
      <c r="B69" s="1462"/>
      <c r="C69" s="787" t="s">
        <v>262</v>
      </c>
      <c r="D69" s="2120"/>
      <c r="E69" s="2120"/>
      <c r="F69" s="2121"/>
      <c r="G69" s="2122"/>
      <c r="H69" s="2122"/>
      <c r="I69" s="2122"/>
      <c r="J69" s="2122"/>
      <c r="K69" s="2120"/>
      <c r="L69" s="6480"/>
      <c r="M69" s="2122"/>
      <c r="N69" s="2123"/>
      <c r="O69" s="2122"/>
      <c r="P69" s="2124">
        <f t="shared" si="24"/>
        <v>0</v>
      </c>
      <c r="Q69" s="2122"/>
      <c r="R69" s="2122"/>
      <c r="S69" s="2125">
        <f t="shared" si="25"/>
        <v>0</v>
      </c>
      <c r="T69" s="2126"/>
      <c r="U69" s="2127"/>
      <c r="V69" s="1894"/>
      <c r="W69" s="1895"/>
      <c r="X69" s="2207"/>
      <c r="Y69" s="2208"/>
      <c r="Z69" s="2128"/>
      <c r="AA69" s="2209"/>
      <c r="AB69" s="1874">
        <f>ROW('※ 팀별 작성_인프라_인력'!AH227)</f>
        <v>227</v>
      </c>
    </row>
    <row r="70" spans="1:30" ht="16.3" customHeight="1" x14ac:dyDescent="0.55000000000000004">
      <c r="A70" s="7394"/>
      <c r="B70" s="1751" t="s">
        <v>206</v>
      </c>
      <c r="C70" s="1752"/>
      <c r="D70" s="2131" cm="1">
        <f t="array" aca="1" ref="D70" ca="1">INDIRECT("'※ 팀별 작성_인프라_인력'!"&amp;D$1&amp;$AB70, TRUE)</f>
        <v>182.91666666666666</v>
      </c>
      <c r="E70" s="2131" cm="1">
        <f t="array" aca="1" ref="E70" ca="1">INDIRECT("'※ 팀별 작성_인프라_인력'!"&amp;E$1&amp;$AB70, TRUE)</f>
        <v>203.91666666666666</v>
      </c>
      <c r="F70" s="2132" cm="1">
        <f t="array" aca="1" ref="F70" ca="1">INDIRECT("'※ 팀별 작성_인프라_인력'!"&amp;F$1&amp;$AB70, TRUE)</f>
        <v>210</v>
      </c>
      <c r="G70" s="2133" cm="1">
        <f t="array" aca="1" ref="G70" ca="1">INDIRECT("'※ 팀별 작성_인프라_인력'!"&amp;G$1&amp;$AB70, TRUE)</f>
        <v>178</v>
      </c>
      <c r="H70" s="2133" cm="1">
        <f t="array" aca="1" ref="H70" ca="1">INDIRECT("'※ 팀별 작성_인프라_인력'!"&amp;H$1&amp;$AB70, TRUE)</f>
        <v>178</v>
      </c>
      <c r="I70" s="2133" cm="1">
        <f t="array" aca="1" ref="I70" ca="1">INDIRECT("'※ 팀별 작성_인프라_인력'!"&amp;I$1&amp;$AB70, TRUE)</f>
        <v>288</v>
      </c>
      <c r="J70" s="2133" cm="1">
        <f t="array" aca="1" ref="J70" ca="1">INDIRECT("'※ 팀별 작성_인프라_인력'!"&amp;J$1&amp;$AB70, TRUE)</f>
        <v>224</v>
      </c>
      <c r="K70" s="2131" cm="1">
        <f t="array" aca="1" ref="K70" ca="1">INDIRECT("'※ 팀별 작성_인프라_인력'!"&amp;K$1&amp;$AB70, TRUE)</f>
        <v>203.91666666666666</v>
      </c>
      <c r="L70" s="6481" cm="1">
        <f t="array" aca="1" ref="L70" ca="1">INDIRECT("'※ 팀별 작성_인프라_인력'!"&amp;L$1&amp;$AB70, TRUE)</f>
        <v>183</v>
      </c>
      <c r="M70" s="2133" cm="1">
        <f t="array" aca="1" ref="M70" ca="1">INDIRECT("'※ 팀별 작성_인프라_인력'!"&amp;M$1&amp;$AB70, TRUE)</f>
        <v>128</v>
      </c>
      <c r="N70" s="2134" cm="1">
        <f t="array" aca="1" ref="N70" ca="1">INDIRECT("'※ 팀별 작성_인프라_인력'!"&amp;N$1&amp;$AC70, TRUE)</f>
        <v>66</v>
      </c>
      <c r="O70" s="2133" cm="1">
        <f t="array" aca="1" ref="O70" ca="1">INDIRECT("'※ 팀별 작성_인프라_인력'!"&amp;O$1&amp;$AD70, TRUE)</f>
        <v>121</v>
      </c>
      <c r="P70" s="2135">
        <f t="shared" ca="1" si="24"/>
        <v>-55</v>
      </c>
      <c r="Q70" s="2133">
        <f>SUM(Q75:Q75)</f>
        <v>167</v>
      </c>
      <c r="R70" s="2133">
        <f>SUM(R75:R75)</f>
        <v>255</v>
      </c>
      <c r="S70" s="2133">
        <f t="shared" si="25"/>
        <v>-88</v>
      </c>
      <c r="T70" s="2136"/>
      <c r="U70" s="2137"/>
      <c r="V70" s="1894"/>
      <c r="W70" s="1895"/>
      <c r="X70" s="2207"/>
      <c r="Y70" s="2211">
        <f>'※ 팀별 작성_인프라_인력'!BY390</f>
        <v>61.555555555555557</v>
      </c>
      <c r="Z70" s="2139">
        <f>'※ 팀별 작성_인프라_인력'!BY422</f>
        <v>8.935483870967742</v>
      </c>
      <c r="AA70" s="2212">
        <f>'※ 팀별 작성_인프라_인력'!CB422</f>
        <v>1.984911971995567</v>
      </c>
      <c r="AB70" s="1874">
        <f>ROW('※ 팀별 작성_인프라_인력'!AH228)</f>
        <v>228</v>
      </c>
      <c r="AC70" s="1863">
        <f>ROW('※ 팀별 작성_인프라_인력'!AI260)</f>
        <v>260</v>
      </c>
      <c r="AD70" s="1863">
        <f>ROW('※ 팀별 작성_인프라_인력'!AJ292)</f>
        <v>292</v>
      </c>
    </row>
    <row r="71" spans="1:30" ht="16.3" customHeight="1" x14ac:dyDescent="0.55000000000000004">
      <c r="A71" s="7394"/>
      <c r="B71" s="1761" t="s">
        <v>207</v>
      </c>
      <c r="C71" s="685"/>
      <c r="D71" s="2141" cm="1">
        <f t="array" aca="1" ref="D71" ca="1">INDIRECT("'※ 팀별 작성_인프라_인력'!"&amp;D$1&amp;$AB71, TRUE)</f>
        <v>131.75</v>
      </c>
      <c r="E71" s="2141" cm="1">
        <f t="array" aca="1" ref="E71" ca="1">INDIRECT("'※ 팀별 작성_인프라_인력'!"&amp;E$1&amp;$AB71, TRUE)</f>
        <v>146.75</v>
      </c>
      <c r="F71" s="2142" cm="1">
        <f t="array" aca="1" ref="F71" ca="1">INDIRECT("'※ 팀별 작성_인프라_인력'!"&amp;F$1&amp;$AB71, TRUE)</f>
        <v>145</v>
      </c>
      <c r="G71" s="2143" cm="1">
        <f t="array" aca="1" ref="G71" ca="1">INDIRECT("'※ 팀별 작성_인프라_인력'!"&amp;G$1&amp;$AB71, TRUE)</f>
        <v>113</v>
      </c>
      <c r="H71" s="2143" cm="1">
        <f t="array" aca="1" ref="H71" ca="1">INDIRECT("'※ 팀별 작성_인프라_인력'!"&amp;H$1&amp;$AB71, TRUE)</f>
        <v>109</v>
      </c>
      <c r="I71" s="2143" cm="1">
        <f t="array" aca="1" ref="I71" ca="1">INDIRECT("'※ 팀별 작성_인프라_인력'!"&amp;I$1&amp;$AB71, TRUE)</f>
        <v>219</v>
      </c>
      <c r="J71" s="2143" cm="1">
        <f t="array" aca="1" ref="J71" ca="1">INDIRECT("'※ 팀별 작성_인프라_인력'!"&amp;J$1&amp;$AB71, TRUE)</f>
        <v>169</v>
      </c>
      <c r="K71" s="2141" cm="1">
        <f t="array" aca="1" ref="K71" ca="1">INDIRECT("'※ 팀별 작성_인프라_인력'!"&amp;K$1&amp;$AB71, TRUE)</f>
        <v>146.75</v>
      </c>
      <c r="L71" s="6482" cm="1">
        <f t="array" aca="1" ref="L71" ca="1">INDIRECT("'※ 팀별 작성_인프라_인력'!"&amp;L$1&amp;$AB71, TRUE)</f>
        <v>177</v>
      </c>
      <c r="M71" s="2143" cm="1">
        <f t="array" aca="1" ref="M71" ca="1">INDIRECT("'※ 팀별 작성_인프라_인력'!"&amp;M$1&amp;$AB71, TRUE)</f>
        <v>130</v>
      </c>
      <c r="N71" s="2144" cm="1">
        <f t="array" aca="1" ref="N71" ca="1">INDIRECT("'※ 팀별 작성_인프라_인력'!"&amp;N$1&amp;$AC71, TRUE)</f>
        <v>62</v>
      </c>
      <c r="O71" s="2143" cm="1">
        <f t="array" aca="1" ref="O71" ca="1">INDIRECT("'※ 팀별 작성_인프라_인력'!"&amp;O$1&amp;$AD71, TRUE)</f>
        <v>109</v>
      </c>
      <c r="P71" s="2145">
        <f t="shared" ca="1" si="24"/>
        <v>-47</v>
      </c>
      <c r="Q71" s="2143">
        <f>Q76</f>
        <v>167</v>
      </c>
      <c r="R71" s="2143">
        <f>R76</f>
        <v>180</v>
      </c>
      <c r="S71" s="2143">
        <f t="shared" si="25"/>
        <v>-13</v>
      </c>
      <c r="T71" s="2136"/>
      <c r="U71" s="2137"/>
      <c r="V71" s="1894"/>
      <c r="W71" s="1895"/>
      <c r="X71" s="2207"/>
      <c r="Y71" s="1926">
        <f>'※ 팀별 작성_인프라_인력'!BY391</f>
        <v>84.916666666666657</v>
      </c>
      <c r="Z71" s="1924">
        <f>'※ 팀별 작성_인프라_인력'!BY423</f>
        <v>11.322222222222223</v>
      </c>
      <c r="AA71" s="2213">
        <f>'※ 팀별 작성_인프라_인력'!CB423</f>
        <v>2.7934841560964028</v>
      </c>
      <c r="AB71" s="1874">
        <f>ROW('※ 팀별 작성_인프라_인력'!AH229)</f>
        <v>229</v>
      </c>
      <c r="AC71" s="1863">
        <f>ROW('※ 팀별 작성_인프라_인력'!AI261)</f>
        <v>261</v>
      </c>
      <c r="AD71" s="1863">
        <f>ROW('※ 팀별 작성_인프라_인력'!AJ293)</f>
        <v>293</v>
      </c>
    </row>
    <row r="72" spans="1:30" ht="16.3" customHeight="1" x14ac:dyDescent="0.55000000000000004">
      <c r="A72" s="7394"/>
      <c r="B72" s="1761" t="s">
        <v>208</v>
      </c>
      <c r="C72" s="685"/>
      <c r="D72" s="2141" cm="1">
        <f t="array" aca="1" ref="D72" ca="1">INDIRECT("'※ 팀별 작성_인프라_인력'!"&amp;D$1&amp;$AB72, TRUE)</f>
        <v>139.83333333333334</v>
      </c>
      <c r="E72" s="2141" cm="1">
        <f t="array" aca="1" ref="E72" ca="1">INDIRECT("'※ 팀별 작성_인프라_인력'!"&amp;E$1&amp;$AB72, TRUE)</f>
        <v>160.25</v>
      </c>
      <c r="F72" s="2142" cm="1">
        <f t="array" aca="1" ref="F72" ca="1">INDIRECT("'※ 팀별 작성_인프라_인력'!"&amp;F$1&amp;$AB72, TRUE)</f>
        <v>176</v>
      </c>
      <c r="G72" s="2143" cm="1">
        <f t="array" aca="1" ref="G72" ca="1">INDIRECT("'※ 팀별 작성_인프라_인력'!"&amp;G$1&amp;$AB72, TRUE)</f>
        <v>137</v>
      </c>
      <c r="H72" s="2143" cm="1">
        <f t="array" aca="1" ref="H72" ca="1">INDIRECT("'※ 팀별 작성_인프라_인력'!"&amp;H$1&amp;$AB72, TRUE)</f>
        <v>152</v>
      </c>
      <c r="I72" s="2143" cm="1">
        <f t="array" aca="1" ref="I72" ca="1">INDIRECT("'※ 팀별 작성_인프라_인력'!"&amp;I$1&amp;$AB72, TRUE)</f>
        <v>219</v>
      </c>
      <c r="J72" s="2143" cm="1">
        <f t="array" aca="1" ref="J72" ca="1">INDIRECT("'※ 팀별 작성_인프라_인력'!"&amp;J$1&amp;$AB72, TRUE)</f>
        <v>194</v>
      </c>
      <c r="K72" s="2141" cm="1">
        <f t="array" aca="1" ref="K72" ca="1">INDIRECT("'※ 팀별 작성_인프라_인력'!"&amp;K$1&amp;$AB72, TRUE)</f>
        <v>160.25</v>
      </c>
      <c r="L72" s="6482" cm="1">
        <f t="array" aca="1" ref="L72" ca="1">INDIRECT("'※ 팀별 작성_인프라_인력'!"&amp;L$1&amp;$AB72, TRUE)</f>
        <v>176</v>
      </c>
      <c r="M72" s="2143" cm="1">
        <f t="array" aca="1" ref="M72" ca="1">INDIRECT("'※ 팀별 작성_인프라_인력'!"&amp;M$1&amp;$AB72, TRUE)</f>
        <v>145</v>
      </c>
      <c r="N72" s="2144" cm="1">
        <f t="array" aca="1" ref="N72" ca="1">INDIRECT("'※ 팀별 작성_인프라_인력'!"&amp;N$1&amp;$AC72, TRUE)</f>
        <v>81</v>
      </c>
      <c r="O72" s="2143" cm="1">
        <f t="array" aca="1" ref="O72" ca="1">INDIRECT("'※ 팀별 작성_인프라_인력'!"&amp;O$1&amp;$AD72, TRUE)</f>
        <v>112</v>
      </c>
      <c r="P72" s="2145">
        <f t="shared" ca="1" si="24"/>
        <v>-31</v>
      </c>
      <c r="Q72" s="2143">
        <f>Q77</f>
        <v>183</v>
      </c>
      <c r="R72" s="2143">
        <f>R77</f>
        <v>186</v>
      </c>
      <c r="S72" s="2143">
        <f t="shared" si="25"/>
        <v>-3</v>
      </c>
      <c r="T72" s="2136"/>
      <c r="U72" s="2137"/>
      <c r="V72" s="1894"/>
      <c r="W72" s="1895"/>
      <c r="X72" s="2207"/>
      <c r="Y72" s="1926">
        <f>'※ 팀별 작성_인프라_인력'!BY392</f>
        <v>97.083333333333343</v>
      </c>
      <c r="Z72" s="1924">
        <f>'※ 팀별 작성_인프라_인력'!BY424</f>
        <v>14.5625</v>
      </c>
      <c r="AA72" s="2213">
        <f>'※ 팀별 작성_인프라_인력'!CB424</f>
        <v>4.856273254093022</v>
      </c>
      <c r="AB72" s="1874">
        <f>ROW('※ 팀별 작성_인프라_인력'!AH230)</f>
        <v>230</v>
      </c>
      <c r="AC72" s="1863">
        <f>ROW('※ 팀별 작성_인프라_인력'!AI262)</f>
        <v>262</v>
      </c>
      <c r="AD72" s="1863">
        <f>ROW('※ 팀별 작성_인프라_인력'!AJ294)</f>
        <v>294</v>
      </c>
    </row>
    <row r="73" spans="1:30" ht="16.3" customHeight="1" x14ac:dyDescent="0.55000000000000004">
      <c r="A73" s="7394"/>
      <c r="B73" s="1761" t="s">
        <v>209</v>
      </c>
      <c r="C73" s="685"/>
      <c r="D73" s="2141" cm="1">
        <f t="array" aca="1" ref="D73" ca="1">INDIRECT("'※ 팀별 작성_인프라_인력'!"&amp;D$1&amp;$AB73, TRUE)</f>
        <v>291.41666666666669</v>
      </c>
      <c r="E73" s="2141" cm="1">
        <f t="array" aca="1" ref="E73" ca="1">INDIRECT("'※ 팀별 작성_인프라_인력'!"&amp;E$1&amp;$AB73, TRUE)</f>
        <v>353.25</v>
      </c>
      <c r="F73" s="2142" cm="1">
        <f t="array" aca="1" ref="F73" ca="1">INDIRECT("'※ 팀별 작성_인프라_인력'!"&amp;F$1&amp;$AB73, TRUE)</f>
        <v>329</v>
      </c>
      <c r="G73" s="2143" cm="1">
        <f t="array" aca="1" ref="G73" ca="1">INDIRECT("'※ 팀별 작성_인프라_인력'!"&amp;G$1&amp;$AB73, TRUE)</f>
        <v>319</v>
      </c>
      <c r="H73" s="2143" cm="1">
        <f t="array" aca="1" ref="H73" ca="1">INDIRECT("'※ 팀별 작성_인프라_인력'!"&amp;H$1&amp;$AB73, TRUE)</f>
        <v>328</v>
      </c>
      <c r="I73" s="2143" cm="1">
        <f t="array" aca="1" ref="I73" ca="1">INDIRECT("'※ 팀별 작성_인프라_인력'!"&amp;I$1&amp;$AB73, TRUE)</f>
        <v>516</v>
      </c>
      <c r="J73" s="2143" cm="1">
        <f t="array" aca="1" ref="J73" ca="1">INDIRECT("'※ 팀별 작성_인프라_인력'!"&amp;J$1&amp;$AB73, TRUE)</f>
        <v>461</v>
      </c>
      <c r="K73" s="2141" cm="1">
        <f t="array" aca="1" ref="K73" ca="1">INDIRECT("'※ 팀별 작성_인프라_인력'!"&amp;K$1&amp;$AB73, TRUE)</f>
        <v>353.25</v>
      </c>
      <c r="L73" s="6482" cm="1">
        <f t="array" aca="1" ref="L73" ca="1">INDIRECT("'※ 팀별 작성_인프라_인력'!"&amp;L$1&amp;$AB73, TRUE)</f>
        <v>341</v>
      </c>
      <c r="M73" s="2143" cm="1">
        <f t="array" aca="1" ref="M73" ca="1">INDIRECT("'※ 팀별 작성_인프라_인력'!"&amp;M$1&amp;$AB73, TRUE)</f>
        <v>235</v>
      </c>
      <c r="N73" s="2144" cm="1">
        <f t="array" aca="1" ref="N73" ca="1">INDIRECT("'※ 팀별 작성_인프라_인력'!"&amp;N$1&amp;$AC73, TRUE)</f>
        <v>120</v>
      </c>
      <c r="O73" s="2143" cm="1">
        <f t="array" aca="1" ref="O73" ca="1">INDIRECT("'※ 팀별 작성_인프라_인력'!"&amp;O$1&amp;$AD73, TRUE)</f>
        <v>232</v>
      </c>
      <c r="P73" s="2145">
        <f t="shared" ca="1" si="24"/>
        <v>-112</v>
      </c>
      <c r="Q73" s="2143">
        <f>SUM(Q78:Q79)</f>
        <v>308</v>
      </c>
      <c r="R73" s="2143">
        <f>SUM(R78:R79)</f>
        <v>391</v>
      </c>
      <c r="S73" s="2143">
        <f t="shared" si="25"/>
        <v>-83</v>
      </c>
      <c r="T73" s="2136"/>
      <c r="U73" s="2137"/>
      <c r="V73" s="1894"/>
      <c r="W73" s="1895"/>
      <c r="X73" s="2207"/>
      <c r="Y73" s="1926">
        <f>'※ 팀별 작성_인프라_인력'!BY393</f>
        <v>96.954545454545453</v>
      </c>
      <c r="Z73" s="1924">
        <f>'※ 팀별 작성_인프라_인력'!BY425</f>
        <v>11.226315789473684</v>
      </c>
      <c r="AA73" s="2213">
        <f>'※ 팀별 작성_인프라_인력'!CB425</f>
        <v>6.7174814692829354</v>
      </c>
      <c r="AB73" s="1874">
        <f>ROW('※ 팀별 작성_인프라_인력'!AH231)</f>
        <v>231</v>
      </c>
      <c r="AC73" s="1863">
        <f>ROW('※ 팀별 작성_인프라_인력'!AI263)</f>
        <v>263</v>
      </c>
      <c r="AD73" s="1863">
        <f>ROW('※ 팀별 작성_인프라_인력'!AJ295)</f>
        <v>295</v>
      </c>
    </row>
    <row r="74" spans="1:30" ht="16.3" customHeight="1" x14ac:dyDescent="0.55000000000000004">
      <c r="A74" s="7394"/>
      <c r="B74" s="1767" t="s">
        <v>210</v>
      </c>
      <c r="C74" s="1768"/>
      <c r="D74" s="2147" cm="1">
        <f t="array" aca="1" ref="D74" ca="1">INDIRECT("'※ 팀별 작성_인프라_인력'!"&amp;D$1&amp;$AB74, TRUE)</f>
        <v>235.91666666666666</v>
      </c>
      <c r="E74" s="2147" cm="1">
        <f t="array" aca="1" ref="E74" ca="1">INDIRECT("'※ 팀별 작성_인프라_인력'!"&amp;E$1&amp;$AB74, TRUE)</f>
        <v>248.25</v>
      </c>
      <c r="F74" s="2148" cm="1">
        <f t="array" aca="1" ref="F74" ca="1">INDIRECT("'※ 팀별 작성_인프라_인력'!"&amp;F$1&amp;$AB74, TRUE)</f>
        <v>282</v>
      </c>
      <c r="G74" s="2149" cm="1">
        <f t="array" aca="1" ref="G74" ca="1">INDIRECT("'※ 팀별 작성_인프라_인력'!"&amp;G$1&amp;$AB74, TRUE)</f>
        <v>251</v>
      </c>
      <c r="H74" s="2149" cm="1">
        <f t="array" aca="1" ref="H74" ca="1">INDIRECT("'※ 팀별 작성_인프라_인력'!"&amp;H$1&amp;$AB74, TRUE)</f>
        <v>253</v>
      </c>
      <c r="I74" s="2149" cm="1">
        <f t="array" aca="1" ref="I74" ca="1">INDIRECT("'※ 팀별 작성_인프라_인력'!"&amp;I$1&amp;$AB74, TRUE)</f>
        <v>349</v>
      </c>
      <c r="J74" s="2149" cm="1">
        <f t="array" aca="1" ref="J74" ca="1">INDIRECT("'※ 팀별 작성_인프라_인력'!"&amp;J$1&amp;$AB74, TRUE)</f>
        <v>277</v>
      </c>
      <c r="K74" s="2147" cm="1">
        <f t="array" aca="1" ref="K74" ca="1">INDIRECT("'※ 팀별 작성_인프라_인력'!"&amp;K$1&amp;$AB74, TRUE)</f>
        <v>248.25</v>
      </c>
      <c r="L74" s="6483" cm="1">
        <f t="array" aca="1" ref="L74" ca="1">INDIRECT("'※ 팀별 작성_인프라_인력'!"&amp;L$1&amp;$AB74, TRUE)</f>
        <v>231</v>
      </c>
      <c r="M74" s="2149" cm="1">
        <f t="array" aca="1" ref="M74" ca="1">INDIRECT("'※ 팀별 작성_인프라_인력'!"&amp;M$1&amp;$AB74, TRUE)</f>
        <v>200</v>
      </c>
      <c r="N74" s="2150" cm="1">
        <f t="array" aca="1" ref="N74" ca="1">INDIRECT("'※ 팀별 작성_인프라_인력'!"&amp;N$1&amp;$AC74, TRUE)</f>
        <v>112</v>
      </c>
      <c r="O74" s="2149" cm="1">
        <f t="array" aca="1" ref="O74" ca="1">INDIRECT("'※ 팀별 작성_인프라_인력'!"&amp;O$1&amp;$AD74, TRUE)</f>
        <v>143</v>
      </c>
      <c r="P74" s="2151">
        <f t="shared" ca="1" si="24"/>
        <v>-31</v>
      </c>
      <c r="Q74" s="2149">
        <f>SUM(Q80:Q81)</f>
        <v>250</v>
      </c>
      <c r="R74" s="2149">
        <f>SUM(R80:R81)</f>
        <v>266</v>
      </c>
      <c r="S74" s="2149">
        <f t="shared" si="25"/>
        <v>-16</v>
      </c>
      <c r="T74" s="2136"/>
      <c r="U74" s="2137"/>
      <c r="V74" s="1894"/>
      <c r="W74" s="1895"/>
      <c r="X74" s="2207"/>
      <c r="Y74" s="2214">
        <f>'※ 팀별 작성_인프라_인력'!BY394</f>
        <v>69.400000000000006</v>
      </c>
      <c r="Z74" s="2153">
        <f>'※ 팀별 작성_인프라_인력'!BY426</f>
        <v>9.774647887323944</v>
      </c>
      <c r="AA74" s="2215">
        <f>'※ 팀별 작성_인프라_인력'!CB426</f>
        <v>4.0712278423002424</v>
      </c>
      <c r="AB74" s="1874">
        <f>ROW('※ 팀별 작성_인프라_인력'!AH232)</f>
        <v>232</v>
      </c>
      <c r="AC74" s="1863">
        <f>ROW('※ 팀별 작성_인프라_인력'!AI264)</f>
        <v>264</v>
      </c>
      <c r="AD74" s="1863">
        <f>ROW('※ 팀별 작성_인프라_인력'!AJ296)</f>
        <v>296</v>
      </c>
    </row>
    <row r="75" spans="1:30" ht="16.3" customHeight="1" x14ac:dyDescent="0.55000000000000004">
      <c r="A75" s="7394"/>
      <c r="B75" s="2155"/>
      <c r="C75" s="2156" t="s">
        <v>226</v>
      </c>
      <c r="D75" s="2157" cm="1">
        <f t="array" aca="1" ref="D75" ca="1">INDIRECT("'※ 팀별 작성_인프라_인력'!"&amp;D$1&amp;$AB75, TRUE)</f>
        <v>135.41666666666666</v>
      </c>
      <c r="E75" s="2157" cm="1">
        <f t="array" aca="1" ref="E75" ca="1">INDIRECT("'※ 팀별 작성_인프라_인력'!"&amp;E$1&amp;$AB75, TRUE)</f>
        <v>172.25</v>
      </c>
      <c r="F75" s="2158" cm="1">
        <f t="array" aca="1" ref="F75" ca="1">INDIRECT("'※ 팀별 작성_인프라_인력'!"&amp;F$1&amp;$AB75, TRUE)</f>
        <v>146</v>
      </c>
      <c r="G75" s="2159" cm="1">
        <f t="array" aca="1" ref="G75" ca="1">INDIRECT("'※ 팀별 작성_인프라_인력'!"&amp;G$1&amp;$AB75, TRUE)</f>
        <v>121</v>
      </c>
      <c r="H75" s="2159" cm="1">
        <f t="array" aca="1" ref="H75" ca="1">INDIRECT("'※ 팀별 작성_인프라_인력'!"&amp;H$1&amp;$AB75, TRUE)</f>
        <v>122</v>
      </c>
      <c r="I75" s="2159" cm="1">
        <f t="array" aca="1" ref="I75" ca="1">INDIRECT("'※ 팀별 작성_인프라_인력'!"&amp;I$1&amp;$AB75, TRUE)</f>
        <v>206</v>
      </c>
      <c r="J75" s="2159" cm="1">
        <f t="array" aca="1" ref="J75" ca="1">INDIRECT("'※ 팀별 작성_인프라_인력'!"&amp;J$1&amp;$AB75, TRUE)</f>
        <v>161</v>
      </c>
      <c r="K75" s="2157" cm="1">
        <f t="array" aca="1" ref="K75" ca="1">INDIRECT("'※ 팀별 작성_인프라_인력'!"&amp;K$1&amp;$AB75, TRUE)</f>
        <v>172.25</v>
      </c>
      <c r="L75" s="6484" cm="1">
        <f t="array" aca="1" ref="L75" ca="1">INDIRECT("'※ 팀별 작성_인프라_인력'!"&amp;L$1&amp;$AB75, TRUE)</f>
        <v>183</v>
      </c>
      <c r="M75" s="2159" cm="1">
        <f t="array" aca="1" ref="M75" ca="1">INDIRECT("'※ 팀별 작성_인프라_인력'!"&amp;M$1&amp;$AB75, TRUE)</f>
        <v>128</v>
      </c>
      <c r="N75" s="2160" cm="1">
        <f t="array" aca="1" ref="N75" ca="1">INDIRECT("'※ 팀별 작성_인프라_인력'!"&amp;N$1&amp;$AC75, TRUE)</f>
        <v>66</v>
      </c>
      <c r="O75" s="2159" cm="1">
        <f t="array" aca="1" ref="O75" ca="1">INDIRECT("'※ 팀별 작성_인프라_인력'!"&amp;O$1&amp;$AD75, TRUE)</f>
        <v>121</v>
      </c>
      <c r="P75" s="2161">
        <f t="shared" ca="1" si="24"/>
        <v>-55</v>
      </c>
      <c r="Q75" s="2159">
        <f>'※ 팀별 작성_인프라_인력'!BX265</f>
        <v>167</v>
      </c>
      <c r="R75" s="2159">
        <f>'※ 팀별 작성_인프라_인력'!BX297</f>
        <v>255</v>
      </c>
      <c r="S75" s="2162">
        <f t="shared" si="25"/>
        <v>-88</v>
      </c>
      <c r="T75" s="2126"/>
      <c r="U75" s="2127"/>
      <c r="V75" s="1894"/>
      <c r="W75" s="1895"/>
      <c r="X75" s="2207"/>
      <c r="Y75" s="2216">
        <f>'※ 팀별 작성_인프라_인력'!BY395</f>
        <v>61.555555555555557</v>
      </c>
      <c r="Z75" s="2163">
        <f>'※ 팀별 작성_인프라_인력'!BY427</f>
        <v>8.935483870967742</v>
      </c>
      <c r="AA75" s="2217">
        <f>'※ 팀별 작성_인프라_인력'!CB427</f>
        <v>1.6730005530561005</v>
      </c>
      <c r="AB75" s="1874">
        <f>ROW('※ 팀별 작성_인프라_인력'!AH233)</f>
        <v>233</v>
      </c>
      <c r="AC75" s="1863">
        <f>ROW('※ 팀별 작성_인프라_인력'!AI265)</f>
        <v>265</v>
      </c>
      <c r="AD75" s="1863">
        <f>ROW('※ 팀별 작성_인프라_인력'!AJ297)</f>
        <v>297</v>
      </c>
    </row>
    <row r="76" spans="1:30" ht="16.3" customHeight="1" x14ac:dyDescent="0.55000000000000004">
      <c r="A76" s="7394"/>
      <c r="B76" s="2165"/>
      <c r="C76" s="681" t="s">
        <v>227</v>
      </c>
      <c r="D76" s="2178" cm="1">
        <f t="array" aca="1" ref="D76" ca="1">INDIRECT("'※ 팀별 작성_인프라_인력'!"&amp;D$1&amp;$AB76, TRUE)</f>
        <v>131.75</v>
      </c>
      <c r="E76" s="2178" cm="1">
        <f t="array" aca="1" ref="E76" ca="1">INDIRECT("'※ 팀별 작성_인프라_인력'!"&amp;E$1&amp;$AB76, TRUE)</f>
        <v>146.75</v>
      </c>
      <c r="F76" s="2179" cm="1">
        <f t="array" aca="1" ref="F76" ca="1">INDIRECT("'※ 팀별 작성_인프라_인력'!"&amp;F$1&amp;$AB76, TRUE)</f>
        <v>145</v>
      </c>
      <c r="G76" s="2171" cm="1">
        <f t="array" aca="1" ref="G76" ca="1">INDIRECT("'※ 팀별 작성_인프라_인력'!"&amp;G$1&amp;$AB76, TRUE)</f>
        <v>113</v>
      </c>
      <c r="H76" s="2171" cm="1">
        <f t="array" aca="1" ref="H76" ca="1">INDIRECT("'※ 팀별 작성_인프라_인력'!"&amp;H$1&amp;$AB76, TRUE)</f>
        <v>109</v>
      </c>
      <c r="I76" s="2171" cm="1">
        <f t="array" aca="1" ref="I76" ca="1">INDIRECT("'※ 팀별 작성_인프라_인력'!"&amp;I$1&amp;$AB76, TRUE)</f>
        <v>219</v>
      </c>
      <c r="J76" s="2171" cm="1">
        <f t="array" aca="1" ref="J76" ca="1">INDIRECT("'※ 팀별 작성_인프라_인력'!"&amp;J$1&amp;$AB76, TRUE)</f>
        <v>169</v>
      </c>
      <c r="K76" s="2178" cm="1">
        <f t="array" aca="1" ref="K76" ca="1">INDIRECT("'※ 팀별 작성_인프라_인력'!"&amp;K$1&amp;$AB76, TRUE)</f>
        <v>146.75</v>
      </c>
      <c r="L76" s="6486" cm="1">
        <f t="array" aca="1" ref="L76" ca="1">INDIRECT("'※ 팀별 작성_인프라_인력'!"&amp;L$1&amp;$AB76, TRUE)</f>
        <v>177</v>
      </c>
      <c r="M76" s="2171" cm="1">
        <f t="array" aca="1" ref="M76" ca="1">INDIRECT("'※ 팀별 작성_인프라_인력'!"&amp;M$1&amp;$AB76, TRUE)</f>
        <v>130</v>
      </c>
      <c r="N76" s="2180" cm="1">
        <f t="array" aca="1" ref="N76" ca="1">INDIRECT("'※ 팀별 작성_인프라_인력'!"&amp;N$1&amp;$AC76, TRUE)</f>
        <v>62</v>
      </c>
      <c r="O76" s="2171" cm="1">
        <f t="array" aca="1" ref="O76" ca="1">INDIRECT("'※ 팀별 작성_인프라_인력'!"&amp;O$1&amp;$AD76, TRUE)</f>
        <v>109</v>
      </c>
      <c r="P76" s="2181">
        <f t="shared" ca="1" si="24"/>
        <v>-47</v>
      </c>
      <c r="Q76" s="2171">
        <f>'※ 팀별 작성_인프라_인력'!BX266</f>
        <v>167</v>
      </c>
      <c r="R76" s="2171">
        <f>'※ 팀별 작성_인프라_인력'!BX298</f>
        <v>180</v>
      </c>
      <c r="S76" s="2172">
        <f t="shared" si="25"/>
        <v>-13</v>
      </c>
      <c r="T76" s="2126"/>
      <c r="U76" s="2127"/>
      <c r="V76" s="1894"/>
      <c r="W76" s="1895"/>
      <c r="X76" s="2207"/>
      <c r="Y76" s="1971">
        <f>'※ 팀별 작성_인프라_인력'!BY396</f>
        <v>84.916666666666657</v>
      </c>
      <c r="Z76" s="1969">
        <f>'※ 팀별 작성_인프라_인력'!BY428</f>
        <v>11.322222222222223</v>
      </c>
      <c r="AA76" s="2219">
        <f>'※ 팀별 작성_인프라_인력'!CB428</f>
        <v>2.7934841560964028</v>
      </c>
      <c r="AB76" s="1874">
        <f>ROW('※ 팀별 작성_인프라_인력'!AH234)</f>
        <v>234</v>
      </c>
      <c r="AC76" s="1863">
        <f>ROW('※ 팀별 작성_인프라_인력'!AI266)</f>
        <v>266</v>
      </c>
      <c r="AD76" s="1863">
        <f>ROW('※ 팀별 작성_인프라_인력'!AJ298)</f>
        <v>298</v>
      </c>
    </row>
    <row r="77" spans="1:30" ht="16.3" customHeight="1" x14ac:dyDescent="0.55000000000000004">
      <c r="A77" s="7394"/>
      <c r="B77" s="2165"/>
      <c r="C77" s="804" t="s">
        <v>228</v>
      </c>
      <c r="D77" s="2166" cm="1">
        <f t="array" aca="1" ref="D77" ca="1">INDIRECT("'※ 팀별 작성_인프라_인력'!"&amp;D$1&amp;$AB77, TRUE)</f>
        <v>139.83333333333334</v>
      </c>
      <c r="E77" s="2166" cm="1">
        <f t="array" aca="1" ref="E77" ca="1">INDIRECT("'※ 팀별 작성_인프라_인력'!"&amp;E$1&amp;$AB77, TRUE)</f>
        <v>160.25</v>
      </c>
      <c r="F77" s="2167" cm="1">
        <f t="array" aca="1" ref="F77" ca="1">INDIRECT("'※ 팀별 작성_인프라_인력'!"&amp;F$1&amp;$AB77, TRUE)</f>
        <v>176</v>
      </c>
      <c r="G77" s="2168" cm="1">
        <f t="array" aca="1" ref="G77" ca="1">INDIRECT("'※ 팀별 작성_인프라_인력'!"&amp;G$1&amp;$AB77, TRUE)</f>
        <v>137</v>
      </c>
      <c r="H77" s="2168" cm="1">
        <f t="array" aca="1" ref="H77" ca="1">INDIRECT("'※ 팀별 작성_인프라_인력'!"&amp;H$1&amp;$AB77, TRUE)</f>
        <v>152</v>
      </c>
      <c r="I77" s="2168" cm="1">
        <f t="array" aca="1" ref="I77" ca="1">INDIRECT("'※ 팀별 작성_인프라_인력'!"&amp;I$1&amp;$AB77, TRUE)</f>
        <v>219</v>
      </c>
      <c r="J77" s="2168" cm="1">
        <f t="array" aca="1" ref="J77" ca="1">INDIRECT("'※ 팀별 작성_인프라_인력'!"&amp;J$1&amp;$AB77, TRUE)</f>
        <v>194</v>
      </c>
      <c r="K77" s="2166" cm="1">
        <f t="array" aca="1" ref="K77" ca="1">INDIRECT("'※ 팀별 작성_인프라_인력'!"&amp;K$1&amp;$AB77, TRUE)</f>
        <v>160.25</v>
      </c>
      <c r="L77" s="6485" cm="1">
        <f t="array" aca="1" ref="L77" ca="1">INDIRECT("'※ 팀별 작성_인프라_인력'!"&amp;L$1&amp;$AB77, TRUE)</f>
        <v>176</v>
      </c>
      <c r="M77" s="2168" cm="1">
        <f t="array" aca="1" ref="M77" ca="1">INDIRECT("'※ 팀별 작성_인프라_인력'!"&amp;M$1&amp;$AB77, TRUE)</f>
        <v>145</v>
      </c>
      <c r="N77" s="2176" cm="1">
        <f t="array" aca="1" ref="N77" ca="1">INDIRECT("'※ 팀별 작성_인프라_인력'!"&amp;N$1&amp;$AC77, TRUE)</f>
        <v>81</v>
      </c>
      <c r="O77" s="2168" cm="1">
        <f t="array" aca="1" ref="O77" ca="1">INDIRECT("'※ 팀별 작성_인프라_인력'!"&amp;O$1&amp;$AD77, TRUE)</f>
        <v>112</v>
      </c>
      <c r="P77" s="2177">
        <f ca="1">N77-O77</f>
        <v>-31</v>
      </c>
      <c r="Q77" s="2168">
        <f>'※ 팀별 작성_인프라_인력'!BX267</f>
        <v>183</v>
      </c>
      <c r="R77" s="2168">
        <f>'※ 팀별 작성_인프라_인력'!BX299</f>
        <v>186</v>
      </c>
      <c r="S77" s="2169">
        <f t="shared" si="25"/>
        <v>-3</v>
      </c>
      <c r="T77" s="2126"/>
      <c r="U77" s="2127"/>
      <c r="V77" s="1894"/>
      <c r="W77" s="1895"/>
      <c r="X77" s="2207"/>
      <c r="Y77" s="1985">
        <f>'※ 팀별 작성_인프라_인력'!BY397</f>
        <v>97.083333333333343</v>
      </c>
      <c r="Z77" s="1983">
        <f>'※ 팀별 작성_인프라_인력'!BY429</f>
        <v>14.5625</v>
      </c>
      <c r="AA77" s="2218">
        <f>'※ 팀별 작성_인프라_인력'!CB429</f>
        <v>4.856273254093022</v>
      </c>
      <c r="AB77" s="1874">
        <f>ROW('※ 팀별 작성_인프라_인력'!AH235)</f>
        <v>235</v>
      </c>
      <c r="AC77" s="1863">
        <f>ROW('※ 팀별 작성_인프라_인력'!AI267)</f>
        <v>267</v>
      </c>
      <c r="AD77" s="1863">
        <f>ROW('※ 팀별 작성_인프라_인력'!AJ299)</f>
        <v>299</v>
      </c>
    </row>
    <row r="78" spans="1:30" ht="16.3" customHeight="1" x14ac:dyDescent="0.55000000000000004">
      <c r="A78" s="7394"/>
      <c r="B78" s="2165"/>
      <c r="C78" s="681" t="s">
        <v>229</v>
      </c>
      <c r="D78" s="2178" cm="1">
        <f t="array" aca="1" ref="D78" ca="1">INDIRECT("'※ 팀별 작성_인프라_인력'!"&amp;D$1&amp;$AB78, TRUE)</f>
        <v>194.25</v>
      </c>
      <c r="E78" s="2178" cm="1">
        <f t="array" aca="1" ref="E78" ca="1">INDIRECT("'※ 팀별 작성_인프라_인력'!"&amp;E$1&amp;$AB78, TRUE)</f>
        <v>232.58333333333334</v>
      </c>
      <c r="F78" s="2179" cm="1">
        <f t="array" aca="1" ref="F78" ca="1">INDIRECT("'※ 팀별 작성_인프라_인력'!"&amp;F$1&amp;$AB78, TRUE)</f>
        <v>215</v>
      </c>
      <c r="G78" s="2171" cm="1">
        <f t="array" aca="1" ref="G78" ca="1">INDIRECT("'※ 팀별 작성_인프라_인력'!"&amp;G$1&amp;$AB78, TRUE)</f>
        <v>197</v>
      </c>
      <c r="H78" s="2171" cm="1">
        <f t="array" aca="1" ref="H78" ca="1">INDIRECT("'※ 팀별 작성_인프라_인력'!"&amp;H$1&amp;$AB78, TRUE)</f>
        <v>231</v>
      </c>
      <c r="I78" s="2171" cm="1">
        <f t="array" aca="1" ref="I78" ca="1">INDIRECT("'※ 팀별 작성_인프라_인력'!"&amp;I$1&amp;$AB78, TRUE)</f>
        <v>343</v>
      </c>
      <c r="J78" s="2171" cm="1">
        <f t="array" aca="1" ref="J78" ca="1">INDIRECT("'※ 팀별 작성_인프라_인력'!"&amp;J$1&amp;$AB78, TRUE)</f>
        <v>319</v>
      </c>
      <c r="K78" s="2178" cm="1">
        <f t="array" aca="1" ref="K78" ca="1">INDIRECT("'※ 팀별 작성_인프라_인력'!"&amp;K$1&amp;$AB78, TRUE)</f>
        <v>232.58333333333334</v>
      </c>
      <c r="L78" s="6486" cm="1">
        <f t="array" aca="1" ref="L78" ca="1">INDIRECT("'※ 팀별 작성_인프라_인력'!"&amp;L$1&amp;$AB78, TRUE)</f>
        <v>192</v>
      </c>
      <c r="M78" s="2171" cm="1">
        <f t="array" aca="1" ref="M78" ca="1">INDIRECT("'※ 팀별 작성_인프라_인력'!"&amp;M$1&amp;$AB78, TRUE)</f>
        <v>155</v>
      </c>
      <c r="N78" s="2180" cm="1">
        <f t="array" aca="1" ref="N78" ca="1">INDIRECT("'※ 팀별 작성_인프라_인력'!"&amp;N$1&amp;$AC78, TRUE)</f>
        <v>88</v>
      </c>
      <c r="O78" s="2171" cm="1">
        <f t="array" aca="1" ref="O78" ca="1">INDIRECT("'※ 팀별 작성_인프라_인력'!"&amp;O$1&amp;$AD78, TRUE)</f>
        <v>129</v>
      </c>
      <c r="P78" s="2181">
        <f t="shared" ca="1" si="24"/>
        <v>-41</v>
      </c>
      <c r="Q78" s="2171">
        <f>'※ 팀별 작성_인프라_인력'!BX268</f>
        <v>189</v>
      </c>
      <c r="R78" s="2171">
        <f>'※ 팀별 작성_인프라_인력'!BX300</f>
        <v>231</v>
      </c>
      <c r="S78" s="2172">
        <f t="shared" si="25"/>
        <v>-42</v>
      </c>
      <c r="T78" s="2126"/>
      <c r="U78" s="2127"/>
      <c r="V78" s="1894"/>
      <c r="W78" s="1895"/>
      <c r="X78" s="2207"/>
      <c r="Y78" s="1971">
        <f>'※ 팀별 작성_인프라_인력'!BY398</f>
        <v>115.33333333333333</v>
      </c>
      <c r="Z78" s="1969">
        <f>'※ 팀별 작성_인프라_인력'!BY430</f>
        <v>12.814814814814815</v>
      </c>
      <c r="AA78" s="2219">
        <f>'※ 팀별 작성_인프라_인력'!CB430</f>
        <v>9.0789707356953375</v>
      </c>
      <c r="AB78" s="1874">
        <f>ROW('※ 팀별 작성_인프라_인력'!AH236)</f>
        <v>236</v>
      </c>
      <c r="AC78" s="1863">
        <f>ROW('※ 팀별 작성_인프라_인력'!AI268)</f>
        <v>268</v>
      </c>
      <c r="AD78" s="1863">
        <f>ROW('※ 팀별 작성_인프라_인력'!AJ300)</f>
        <v>300</v>
      </c>
    </row>
    <row r="79" spans="1:30" ht="16.3" customHeight="1" x14ac:dyDescent="0.55000000000000004">
      <c r="A79" s="7394"/>
      <c r="B79" s="2165"/>
      <c r="C79" s="681" t="s">
        <v>230</v>
      </c>
      <c r="D79" s="2178" cm="1">
        <f t="array" aca="1" ref="D79" ca="1">INDIRECT("'※ 팀별 작성_인프라_인력'!"&amp;D$1&amp;$AB79, TRUE)</f>
        <v>97.166666666666671</v>
      </c>
      <c r="E79" s="2178" cm="1">
        <f t="array" aca="1" ref="E79" ca="1">INDIRECT("'※ 팀별 작성_인프라_인력'!"&amp;E$1&amp;$AB79, TRUE)</f>
        <v>120.66666666666667</v>
      </c>
      <c r="F79" s="2179" cm="1">
        <f t="array" aca="1" ref="F79" ca="1">INDIRECT("'※ 팀별 작성_인프라_인력'!"&amp;F$1&amp;$AB79, TRUE)</f>
        <v>114</v>
      </c>
      <c r="G79" s="2171" cm="1">
        <f t="array" aca="1" ref="G79" ca="1">INDIRECT("'※ 팀별 작성_인프라_인력'!"&amp;G$1&amp;$AB79, TRUE)</f>
        <v>122</v>
      </c>
      <c r="H79" s="2171" cm="1">
        <f t="array" aca="1" ref="H79" ca="1">INDIRECT("'※ 팀별 작성_인프라_인력'!"&amp;H$1&amp;$AB79, TRUE)</f>
        <v>97</v>
      </c>
      <c r="I79" s="2171" cm="1">
        <f t="array" aca="1" ref="I79" ca="1">INDIRECT("'※ 팀별 작성_인프라_인력'!"&amp;I$1&amp;$AB79, TRUE)</f>
        <v>173</v>
      </c>
      <c r="J79" s="2171" cm="1">
        <f t="array" aca="1" ref="J79" ca="1">INDIRECT("'※ 팀별 작성_인프라_인력'!"&amp;J$1&amp;$AB79, TRUE)</f>
        <v>142</v>
      </c>
      <c r="K79" s="2178" cm="1">
        <f t="array" aca="1" ref="K79" ca="1">INDIRECT("'※ 팀별 작성_인프라_인력'!"&amp;K$1&amp;$AB79, TRUE)</f>
        <v>120.66666666666667</v>
      </c>
      <c r="L79" s="6486" cm="1">
        <f t="array" aca="1" ref="L79" ca="1">INDIRECT("'※ 팀별 작성_인프라_인력'!"&amp;L$1&amp;$AB79, TRUE)</f>
        <v>149</v>
      </c>
      <c r="M79" s="2171" cm="1">
        <f t="array" aca="1" ref="M79" ca="1">INDIRECT("'※ 팀별 작성_인프라_인력'!"&amp;M$1&amp;$AB79, TRUE)</f>
        <v>80</v>
      </c>
      <c r="N79" s="2180" cm="1">
        <f t="array" aca="1" ref="N79" ca="1">INDIRECT("'※ 팀별 작성_인프라_인력'!"&amp;N$1&amp;$AC79, TRUE)</f>
        <v>32</v>
      </c>
      <c r="O79" s="2171" cm="1">
        <f t="array" aca="1" ref="O79" ca="1">INDIRECT("'※ 팀별 작성_인프라_인력'!"&amp;O$1&amp;$AD79, TRUE)</f>
        <v>103</v>
      </c>
      <c r="P79" s="2181">
        <f t="shared" ca="1" si="24"/>
        <v>-71</v>
      </c>
      <c r="Q79" s="2171">
        <f>'※ 팀별 작성_인프라_인력'!BX269</f>
        <v>119</v>
      </c>
      <c r="R79" s="2171">
        <f>'※ 팀별 작성_인프라_인력'!BX301</f>
        <v>160</v>
      </c>
      <c r="S79" s="2172">
        <f t="shared" si="25"/>
        <v>-41</v>
      </c>
      <c r="T79" s="2126"/>
      <c r="U79" s="2127"/>
      <c r="V79" s="1894"/>
      <c r="W79" s="1895"/>
      <c r="X79" s="2207"/>
      <c r="Y79" s="1971">
        <f>'※ 팀별 작성_인프라_인력'!BY399</f>
        <v>74.900000000000006</v>
      </c>
      <c r="Z79" s="1969">
        <f>'※ 팀별 작성_인프라_인력'!BY431</f>
        <v>9.1341463414634134</v>
      </c>
      <c r="AA79" s="2219">
        <f>'※ 팀별 작성_인프라_인력'!CB431</f>
        <v>3.353684170743934</v>
      </c>
      <c r="AB79" s="1874">
        <f>ROW('※ 팀별 작성_인프라_인력'!AH237)</f>
        <v>237</v>
      </c>
      <c r="AC79" s="1863">
        <f>ROW('※ 팀별 작성_인프라_인력'!AI269)</f>
        <v>269</v>
      </c>
      <c r="AD79" s="1863">
        <f>ROW('※ 팀별 작성_인프라_인력'!AJ301)</f>
        <v>301</v>
      </c>
    </row>
    <row r="80" spans="1:30" ht="16.3" customHeight="1" x14ac:dyDescent="0.55000000000000004">
      <c r="A80" s="7394"/>
      <c r="B80" s="2165"/>
      <c r="C80" s="804" t="s">
        <v>231</v>
      </c>
      <c r="D80" s="2166" cm="1">
        <f t="array" aca="1" ref="D80" ca="1">INDIRECT("'※ 팀별 작성_인프라_인력'!"&amp;D$1&amp;$AB80, TRUE)</f>
        <v>133.75</v>
      </c>
      <c r="E80" s="2166" cm="1">
        <f t="array" aca="1" ref="E80" ca="1">INDIRECT("'※ 팀별 작성_인프라_인력'!"&amp;E$1&amp;$AB80, TRUE)</f>
        <v>147.83333333333334</v>
      </c>
      <c r="F80" s="2167" cm="1">
        <f t="array" aca="1" ref="F80" ca="1">INDIRECT("'※ 팀별 작성_인프라_인력'!"&amp;F$1&amp;$AB80, TRUE)</f>
        <v>152</v>
      </c>
      <c r="G80" s="2168" cm="1">
        <f t="array" aca="1" ref="G80" ca="1">INDIRECT("'※ 팀별 작성_인프라_인력'!"&amp;G$1&amp;$AB80, TRUE)</f>
        <v>155</v>
      </c>
      <c r="H80" s="2168" cm="1">
        <f t="array" aca="1" ref="H80" ca="1">INDIRECT("'※ 팀별 작성_인프라_인력'!"&amp;H$1&amp;$AB80, TRUE)</f>
        <v>142</v>
      </c>
      <c r="I80" s="2168" cm="1">
        <f t="array" aca="1" ref="I80" ca="1">INDIRECT("'※ 팀별 작성_인프라_인력'!"&amp;I$1&amp;$AB80, TRUE)</f>
        <v>213</v>
      </c>
      <c r="J80" s="2168" cm="1">
        <f t="array" aca="1" ref="J80" ca="1">INDIRECT("'※ 팀별 작성_인프라_인력'!"&amp;J$1&amp;$AB80, TRUE)</f>
        <v>169</v>
      </c>
      <c r="K80" s="2166" cm="1">
        <f t="array" aca="1" ref="K80" ca="1">INDIRECT("'※ 팀별 작성_인프라_인력'!"&amp;K$1&amp;$AB80, TRUE)</f>
        <v>147.83333333333334</v>
      </c>
      <c r="L80" s="6485" cm="1">
        <f t="array" aca="1" ref="L80" ca="1">INDIRECT("'※ 팀별 작성_인프라_인력'!"&amp;L$1&amp;$AB80, TRUE)</f>
        <v>135</v>
      </c>
      <c r="M80" s="2168" cm="1">
        <f t="array" aca="1" ref="M80" ca="1">INDIRECT("'※ 팀별 작성_인프라_인력'!"&amp;M$1&amp;$AB80, TRUE)</f>
        <v>132</v>
      </c>
      <c r="N80" s="2176" cm="1">
        <f t="array" aca="1" ref="N80" ca="1">INDIRECT("'※ 팀별 작성_인프라_인력'!"&amp;N$1&amp;$AC80, TRUE)</f>
        <v>77</v>
      </c>
      <c r="O80" s="2168" cm="1">
        <f t="array" aca="1" ref="O80" ca="1">INDIRECT("'※ 팀별 작성_인프라_인력'!"&amp;O$1&amp;$AD80, TRUE)</f>
        <v>80</v>
      </c>
      <c r="P80" s="2177">
        <f t="shared" ca="1" si="24"/>
        <v>-3</v>
      </c>
      <c r="Q80" s="2168">
        <f>'※ 팀별 작성_인프라_인력'!BX270</f>
        <v>162</v>
      </c>
      <c r="R80" s="2168">
        <f>'※ 팀별 작성_인프라_인력'!BX302</f>
        <v>162</v>
      </c>
      <c r="S80" s="2169">
        <f t="shared" si="25"/>
        <v>0</v>
      </c>
      <c r="T80" s="2126"/>
      <c r="U80" s="2127"/>
      <c r="V80" s="1894"/>
      <c r="W80" s="1895"/>
      <c r="X80" s="2207"/>
      <c r="Y80" s="1985">
        <f>'※ 팀별 작성_인프라_인력'!BY400</f>
        <v>87.5</v>
      </c>
      <c r="Z80" s="1983">
        <f>'※ 팀별 작성_인프라_인력'!BY432</f>
        <v>11.217948717948719</v>
      </c>
      <c r="AA80" s="2218">
        <f>'※ 팀별 작성_인프라_인력'!CB432</f>
        <v>4.1630120571245985</v>
      </c>
      <c r="AB80" s="1874">
        <f>ROW('※ 팀별 작성_인프라_인력'!AH238)</f>
        <v>238</v>
      </c>
      <c r="AC80" s="1863">
        <f>ROW('※ 팀별 작성_인프라_인력'!AI270)</f>
        <v>270</v>
      </c>
      <c r="AD80" s="1863">
        <f>ROW('※ 팀별 작성_인프라_인력'!AJ302)</f>
        <v>302</v>
      </c>
    </row>
    <row r="81" spans="1:30" ht="16.3" customHeight="1" thickBot="1" x14ac:dyDescent="0.6">
      <c r="A81" s="7395"/>
      <c r="B81" s="2220"/>
      <c r="C81" s="2221" t="s">
        <v>232</v>
      </c>
      <c r="D81" s="2222" cm="1">
        <f t="array" aca="1" ref="D81" ca="1">INDIRECT("'※ 팀별 작성_인프라_인력'!"&amp;D$1&amp;$AB81, TRUE)</f>
        <v>102.16666666666667</v>
      </c>
      <c r="E81" s="2222" cm="1">
        <f t="array" aca="1" ref="E81" ca="1">INDIRECT("'※ 팀별 작성_인프라_인력'!"&amp;E$1&amp;$AB81, TRUE)</f>
        <v>100.41666666666667</v>
      </c>
      <c r="F81" s="2223" cm="1">
        <f t="array" aca="1" ref="F81" ca="1">INDIRECT("'※ 팀별 작성_인프라_인력'!"&amp;F$1&amp;$AB81, TRUE)</f>
        <v>130</v>
      </c>
      <c r="G81" s="2224" cm="1">
        <f t="array" aca="1" ref="G81" ca="1">INDIRECT("'※ 팀별 작성_인프라_인력'!"&amp;G$1&amp;$AB81, TRUE)</f>
        <v>96</v>
      </c>
      <c r="H81" s="2224" cm="1">
        <f t="array" aca="1" ref="H81" ca="1">INDIRECT("'※ 팀별 작성_인프라_인력'!"&amp;H$1&amp;$AB81, TRUE)</f>
        <v>111</v>
      </c>
      <c r="I81" s="2224" cm="1">
        <f t="array" aca="1" ref="I81" ca="1">INDIRECT("'※ 팀별 작성_인프라_인력'!"&amp;I$1&amp;$AB81, TRUE)</f>
        <v>136</v>
      </c>
      <c r="J81" s="2224" cm="1">
        <f t="array" aca="1" ref="J81" ca="1">INDIRECT("'※ 팀별 작성_인프라_인력'!"&amp;J$1&amp;$AB81, TRUE)</f>
        <v>108</v>
      </c>
      <c r="K81" s="2222" cm="1">
        <f t="array" aca="1" ref="K81" ca="1">INDIRECT("'※ 팀별 작성_인프라_인력'!"&amp;K$1&amp;$AB81, TRUE)</f>
        <v>100.41666666666667</v>
      </c>
      <c r="L81" s="6489" cm="1">
        <f t="array" aca="1" ref="L81" ca="1">INDIRECT("'※ 팀별 작성_인프라_인력'!"&amp;L$1&amp;$AB81, TRUE)</f>
        <v>96</v>
      </c>
      <c r="M81" s="2224" cm="1">
        <f t="array" aca="1" ref="M81" ca="1">INDIRECT("'※ 팀별 작성_인프라_인력'!"&amp;M$1&amp;$AB81, TRUE)</f>
        <v>68</v>
      </c>
      <c r="N81" s="2225" cm="1">
        <f t="array" aca="1" ref="N81" ca="1">INDIRECT("'※ 팀별 작성_인프라_인력'!"&amp;N$1&amp;$AC81, TRUE)</f>
        <v>35</v>
      </c>
      <c r="O81" s="2224" cm="1">
        <f t="array" aca="1" ref="O81" ca="1">INDIRECT("'※ 팀별 작성_인프라_인력'!"&amp;O$1&amp;$AD81, TRUE)</f>
        <v>63</v>
      </c>
      <c r="P81" s="2226">
        <f t="shared" ca="1" si="24"/>
        <v>-28</v>
      </c>
      <c r="Q81" s="2224">
        <f>'※ 팀별 작성_인프라_인력'!BX271</f>
        <v>88</v>
      </c>
      <c r="R81" s="2224">
        <f>'※ 팀별 작성_인프라_인력'!BX303</f>
        <v>104</v>
      </c>
      <c r="S81" s="2227">
        <f t="shared" si="25"/>
        <v>-16</v>
      </c>
      <c r="T81" s="2228"/>
      <c r="U81" s="2229"/>
      <c r="V81" s="2230"/>
      <c r="W81" s="2231"/>
      <c r="X81" s="2232"/>
      <c r="Y81" s="2233">
        <f>'※ 팀별 작성_인프라_인력'!BY401</f>
        <v>51.3</v>
      </c>
      <c r="Z81" s="2234">
        <f>'※ 팀별 작성_인프라_인력'!BY433</f>
        <v>8.015625</v>
      </c>
      <c r="AA81" s="2235">
        <f>'※ 팀별 작성_인프라_인력'!CB433</f>
        <v>3.954913284370166</v>
      </c>
      <c r="AB81" s="1874">
        <f>ROW('※ 팀별 작성_인프라_인력'!AH239)</f>
        <v>239</v>
      </c>
      <c r="AC81" s="1863">
        <f>ROW('※ 팀별 작성_인프라_인력'!AI271)</f>
        <v>271</v>
      </c>
      <c r="AD81" s="1863">
        <f>ROW('※ 팀별 작성_인프라_인력'!AJ303)</f>
        <v>303</v>
      </c>
    </row>
    <row r="82" spans="1:30" x14ac:dyDescent="0.55000000000000004">
      <c r="B82" s="698"/>
      <c r="C82" s="698"/>
      <c r="D82" s="698"/>
      <c r="E82" s="698"/>
      <c r="F82" s="698"/>
      <c r="G82" s="698"/>
      <c r="H82" s="698"/>
      <c r="I82" s="698"/>
      <c r="J82" s="698"/>
      <c r="K82" s="698"/>
      <c r="L82" s="698"/>
      <c r="M82" s="698"/>
      <c r="N82" s="2236"/>
      <c r="O82" s="2236"/>
      <c r="P82" s="2236"/>
      <c r="Q82" s="698"/>
      <c r="R82" s="698"/>
      <c r="S82" s="698"/>
      <c r="T82" s="698"/>
      <c r="U82" s="698"/>
      <c r="AB82" s="1874"/>
    </row>
    <row r="83" spans="1:30" x14ac:dyDescent="0.55000000000000004">
      <c r="B83" s="698"/>
      <c r="C83" s="698"/>
      <c r="D83" s="698"/>
      <c r="E83" s="698"/>
      <c r="F83" s="698"/>
      <c r="G83" s="698"/>
      <c r="H83" s="698"/>
      <c r="I83" s="698"/>
      <c r="J83" s="698"/>
      <c r="K83" s="698"/>
      <c r="L83" s="698"/>
      <c r="M83" s="698"/>
      <c r="N83" s="2236"/>
      <c r="O83" s="2236"/>
      <c r="P83" s="2236"/>
      <c r="Q83" s="698"/>
      <c r="R83" s="698"/>
      <c r="S83" s="698"/>
      <c r="T83" s="698"/>
      <c r="U83" s="698"/>
      <c r="AB83" s="1874"/>
    </row>
    <row r="84" spans="1:30" x14ac:dyDescent="0.55000000000000004">
      <c r="B84" s="698"/>
      <c r="C84" s="698"/>
      <c r="D84" s="698"/>
      <c r="E84" s="698"/>
      <c r="F84" s="698"/>
      <c r="G84" s="698"/>
      <c r="H84" s="698"/>
      <c r="I84" s="698"/>
      <c r="J84" s="698"/>
      <c r="K84" s="698"/>
      <c r="L84" s="698"/>
      <c r="M84" s="698"/>
      <c r="N84" s="2236"/>
      <c r="O84" s="2236"/>
      <c r="P84" s="2236"/>
      <c r="Q84" s="698"/>
      <c r="R84" s="698"/>
      <c r="S84" s="698"/>
      <c r="T84" s="698"/>
      <c r="U84" s="698"/>
      <c r="AB84" s="1874"/>
    </row>
    <row r="85" spans="1:30" x14ac:dyDescent="0.55000000000000004">
      <c r="B85" s="698"/>
      <c r="C85" s="698"/>
      <c r="D85" s="698"/>
      <c r="E85" s="698"/>
      <c r="F85" s="698"/>
      <c r="G85" s="698"/>
      <c r="H85" s="698"/>
      <c r="I85" s="698"/>
      <c r="J85" s="698"/>
      <c r="K85" s="698"/>
      <c r="L85" s="698"/>
      <c r="M85" s="698"/>
      <c r="N85" s="2236"/>
      <c r="O85" s="2236"/>
      <c r="P85" s="2236"/>
      <c r="Q85" s="698"/>
      <c r="R85" s="698"/>
      <c r="S85" s="698"/>
      <c r="T85" s="698"/>
      <c r="U85" s="698"/>
      <c r="AB85" s="1874"/>
    </row>
    <row r="86" spans="1:30" x14ac:dyDescent="0.55000000000000004">
      <c r="B86" s="698"/>
      <c r="C86" s="698"/>
      <c r="D86" s="698"/>
      <c r="E86" s="698"/>
      <c r="F86" s="698"/>
      <c r="G86" s="698"/>
      <c r="H86" s="698"/>
      <c r="I86" s="698"/>
      <c r="J86" s="698"/>
      <c r="K86" s="698"/>
      <c r="L86" s="698"/>
      <c r="M86" s="698"/>
      <c r="N86" s="2236"/>
      <c r="O86" s="2236"/>
      <c r="P86" s="2236"/>
      <c r="Q86" s="698"/>
      <c r="R86" s="698"/>
      <c r="S86" s="698"/>
      <c r="T86" s="698"/>
      <c r="U86" s="698"/>
      <c r="AB86" s="1874"/>
    </row>
    <row r="87" spans="1:30" x14ac:dyDescent="0.55000000000000004">
      <c r="B87" s="698"/>
      <c r="C87" s="698"/>
      <c r="D87" s="698"/>
      <c r="E87" s="698"/>
      <c r="F87" s="698"/>
      <c r="G87" s="698"/>
      <c r="H87" s="698"/>
      <c r="I87" s="698"/>
      <c r="J87" s="698"/>
      <c r="K87" s="698"/>
      <c r="L87" s="698"/>
      <c r="M87" s="698"/>
      <c r="N87" s="2236"/>
      <c r="O87" s="2236"/>
      <c r="P87" s="2236"/>
      <c r="Q87" s="698"/>
      <c r="R87" s="698"/>
      <c r="S87" s="698"/>
      <c r="T87" s="698"/>
      <c r="U87" s="698"/>
      <c r="AB87" s="1874"/>
    </row>
    <row r="88" spans="1:30" x14ac:dyDescent="0.55000000000000004"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2236"/>
      <c r="O88" s="2236"/>
      <c r="P88" s="2236"/>
      <c r="Q88" s="698"/>
      <c r="R88" s="698"/>
      <c r="S88" s="698"/>
      <c r="T88" s="698"/>
      <c r="U88" s="698"/>
      <c r="AB88" s="1874"/>
    </row>
    <row r="89" spans="1:30" x14ac:dyDescent="0.55000000000000004">
      <c r="B89" s="698"/>
      <c r="C89" s="698"/>
      <c r="D89" s="698"/>
      <c r="E89" s="698"/>
      <c r="F89" s="698"/>
      <c r="G89" s="698"/>
      <c r="H89" s="698"/>
      <c r="I89" s="698"/>
      <c r="J89" s="698"/>
      <c r="K89" s="698"/>
      <c r="L89" s="698"/>
      <c r="M89" s="698"/>
      <c r="N89" s="2236"/>
      <c r="O89" s="2236"/>
      <c r="P89" s="2236"/>
      <c r="Q89" s="698"/>
      <c r="R89" s="698"/>
      <c r="S89" s="698"/>
      <c r="T89" s="698"/>
      <c r="U89" s="698"/>
      <c r="AB89" s="1874"/>
    </row>
    <row r="90" spans="1:30" x14ac:dyDescent="0.55000000000000004">
      <c r="B90" s="698"/>
      <c r="C90" s="698"/>
      <c r="D90" s="698"/>
      <c r="E90" s="698"/>
      <c r="F90" s="698"/>
      <c r="G90" s="698"/>
      <c r="H90" s="698"/>
      <c r="I90" s="698"/>
      <c r="J90" s="698"/>
      <c r="K90" s="698"/>
      <c r="L90" s="698"/>
      <c r="M90" s="698"/>
      <c r="N90" s="2236"/>
      <c r="O90" s="2236"/>
      <c r="P90" s="2236"/>
      <c r="Q90" s="698"/>
      <c r="R90" s="698"/>
      <c r="S90" s="698"/>
      <c r="T90" s="698"/>
      <c r="U90" s="698"/>
      <c r="AB90" s="1874"/>
    </row>
    <row r="91" spans="1:30" x14ac:dyDescent="0.55000000000000004">
      <c r="B91" s="698"/>
      <c r="C91" s="698"/>
      <c r="D91" s="698"/>
      <c r="E91" s="698"/>
      <c r="F91" s="698"/>
      <c r="G91" s="698"/>
      <c r="H91" s="698"/>
      <c r="I91" s="698"/>
      <c r="J91" s="698"/>
      <c r="K91" s="698"/>
      <c r="L91" s="698"/>
      <c r="M91" s="698"/>
      <c r="N91" s="2236"/>
      <c r="O91" s="2236"/>
      <c r="P91" s="2236"/>
      <c r="Q91" s="698"/>
      <c r="R91" s="698"/>
      <c r="S91" s="698"/>
      <c r="T91" s="698"/>
      <c r="U91" s="698"/>
      <c r="AB91" s="1874"/>
    </row>
    <row r="92" spans="1:30" x14ac:dyDescent="0.55000000000000004">
      <c r="B92" s="698"/>
      <c r="C92" s="698"/>
      <c r="D92" s="698"/>
      <c r="E92" s="698"/>
      <c r="F92" s="698"/>
      <c r="G92" s="698"/>
      <c r="H92" s="698"/>
      <c r="I92" s="698"/>
      <c r="J92" s="698"/>
      <c r="K92" s="698"/>
      <c r="L92" s="698"/>
      <c r="M92" s="698"/>
      <c r="N92" s="2236"/>
      <c r="O92" s="2236"/>
      <c r="P92" s="2236"/>
      <c r="Q92" s="698"/>
      <c r="R92" s="698"/>
      <c r="S92" s="698"/>
      <c r="T92" s="698"/>
      <c r="U92" s="698"/>
    </row>
    <row r="93" spans="1:30" x14ac:dyDescent="0.55000000000000004">
      <c r="B93" s="698"/>
      <c r="C93" s="698"/>
      <c r="D93" s="698"/>
      <c r="E93" s="698"/>
      <c r="F93" s="698"/>
      <c r="G93" s="698"/>
      <c r="H93" s="698"/>
      <c r="I93" s="698"/>
      <c r="J93" s="698"/>
      <c r="K93" s="698"/>
      <c r="L93" s="698"/>
      <c r="M93" s="698"/>
      <c r="N93" s="2236"/>
      <c r="O93" s="2236"/>
      <c r="P93" s="2236"/>
      <c r="Q93" s="698"/>
      <c r="R93" s="698"/>
      <c r="S93" s="698"/>
      <c r="T93" s="698"/>
      <c r="U93" s="698"/>
    </row>
    <row r="94" spans="1:30" x14ac:dyDescent="0.55000000000000004">
      <c r="B94" s="698"/>
      <c r="C94" s="698"/>
      <c r="D94" s="698"/>
      <c r="E94" s="698"/>
      <c r="F94" s="698"/>
      <c r="G94" s="698"/>
      <c r="H94" s="698"/>
      <c r="I94" s="698"/>
      <c r="J94" s="698"/>
      <c r="K94" s="698"/>
      <c r="L94" s="698"/>
      <c r="M94" s="698"/>
      <c r="N94" s="2236"/>
      <c r="O94" s="2236"/>
      <c r="P94" s="2236"/>
      <c r="Q94" s="698"/>
      <c r="R94" s="698"/>
      <c r="S94" s="698"/>
      <c r="T94" s="698"/>
      <c r="U94" s="698"/>
      <c r="AB94" s="1874"/>
    </row>
    <row r="95" spans="1:30" x14ac:dyDescent="0.55000000000000004">
      <c r="B95" s="698"/>
      <c r="C95" s="698"/>
      <c r="D95" s="698"/>
      <c r="E95" s="698"/>
      <c r="F95" s="698"/>
      <c r="G95" s="698"/>
      <c r="H95" s="698"/>
      <c r="I95" s="698"/>
      <c r="J95" s="698"/>
      <c r="K95" s="698"/>
      <c r="L95" s="698"/>
      <c r="M95" s="698"/>
      <c r="N95" s="2236"/>
      <c r="O95" s="2236"/>
      <c r="P95" s="2236"/>
      <c r="Q95" s="698"/>
      <c r="R95" s="698"/>
      <c r="S95" s="698"/>
      <c r="T95" s="698"/>
      <c r="U95" s="698"/>
      <c r="AB95" s="1874"/>
    </row>
    <row r="96" spans="1:30" x14ac:dyDescent="0.55000000000000004">
      <c r="B96" s="698"/>
      <c r="C96" s="698"/>
      <c r="D96" s="698"/>
      <c r="E96" s="698"/>
      <c r="F96" s="698"/>
      <c r="G96" s="698"/>
      <c r="H96" s="698"/>
      <c r="I96" s="698"/>
      <c r="J96" s="698"/>
      <c r="K96" s="698"/>
      <c r="L96" s="698"/>
      <c r="M96" s="698"/>
      <c r="N96" s="2236"/>
      <c r="O96" s="2236"/>
      <c r="P96" s="2236"/>
      <c r="Q96" s="698"/>
      <c r="R96" s="698"/>
      <c r="S96" s="698"/>
      <c r="T96" s="698"/>
      <c r="U96" s="698"/>
      <c r="AB96" s="1874"/>
    </row>
    <row r="97" spans="2:28" x14ac:dyDescent="0.55000000000000004"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2236"/>
      <c r="O97" s="2236"/>
      <c r="P97" s="2236"/>
      <c r="Q97" s="698"/>
      <c r="R97" s="698"/>
      <c r="S97" s="698"/>
      <c r="T97" s="698"/>
      <c r="U97" s="698"/>
      <c r="AB97" s="1874"/>
    </row>
    <row r="98" spans="2:28" x14ac:dyDescent="0.55000000000000004">
      <c r="B98" s="698"/>
      <c r="C98" s="698"/>
      <c r="D98" s="698"/>
      <c r="E98" s="698"/>
      <c r="F98" s="698"/>
      <c r="G98" s="698"/>
      <c r="H98" s="698"/>
      <c r="I98" s="698"/>
      <c r="J98" s="698"/>
      <c r="K98" s="698"/>
      <c r="L98" s="698"/>
      <c r="M98" s="698"/>
      <c r="N98" s="2236"/>
      <c r="O98" s="2236"/>
      <c r="P98" s="2236"/>
      <c r="Q98" s="698"/>
      <c r="R98" s="698"/>
      <c r="S98" s="698"/>
      <c r="T98" s="698"/>
      <c r="U98" s="698"/>
      <c r="AB98" s="1874"/>
    </row>
    <row r="99" spans="2:28" x14ac:dyDescent="0.55000000000000004">
      <c r="B99" s="698"/>
      <c r="C99" s="698"/>
      <c r="D99" s="698"/>
      <c r="E99" s="698"/>
      <c r="F99" s="698"/>
      <c r="G99" s="698"/>
      <c r="H99" s="698"/>
      <c r="I99" s="698"/>
      <c r="J99" s="698"/>
      <c r="K99" s="698"/>
      <c r="L99" s="698"/>
      <c r="M99" s="698"/>
      <c r="N99" s="2236"/>
      <c r="O99" s="2236"/>
      <c r="P99" s="2236"/>
      <c r="Q99" s="698"/>
      <c r="R99" s="698"/>
      <c r="S99" s="698"/>
      <c r="T99" s="698"/>
      <c r="U99" s="698"/>
      <c r="AB99" s="1874"/>
    </row>
    <row r="100" spans="2:28" x14ac:dyDescent="0.55000000000000004"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2236"/>
      <c r="O100" s="2236"/>
      <c r="P100" s="2236"/>
      <c r="Q100" s="698"/>
      <c r="R100" s="698"/>
      <c r="S100" s="698"/>
      <c r="T100" s="698"/>
      <c r="U100" s="698"/>
      <c r="AB100" s="1874"/>
    </row>
    <row r="101" spans="2:28" x14ac:dyDescent="0.55000000000000004">
      <c r="B101" s="698"/>
      <c r="C101" s="698"/>
      <c r="D101" s="698"/>
      <c r="E101" s="698"/>
      <c r="F101" s="698"/>
      <c r="G101" s="698"/>
      <c r="H101" s="698"/>
      <c r="I101" s="698"/>
      <c r="J101" s="698"/>
      <c r="K101" s="698"/>
      <c r="L101" s="698"/>
      <c r="M101" s="698"/>
      <c r="N101" s="2236"/>
      <c r="O101" s="2236"/>
      <c r="P101" s="2236"/>
      <c r="Q101" s="698"/>
      <c r="R101" s="698"/>
      <c r="S101" s="698"/>
      <c r="T101" s="698"/>
      <c r="U101" s="698"/>
      <c r="AB101" s="1874"/>
    </row>
    <row r="102" spans="2:28" x14ac:dyDescent="0.55000000000000004">
      <c r="B102" s="698"/>
      <c r="C102" s="698"/>
      <c r="D102" s="698"/>
      <c r="E102" s="698"/>
      <c r="F102" s="698"/>
      <c r="G102" s="698"/>
      <c r="H102" s="698"/>
      <c r="I102" s="698"/>
      <c r="J102" s="698"/>
      <c r="K102" s="698"/>
      <c r="L102" s="698"/>
      <c r="M102" s="698"/>
      <c r="N102" s="2236"/>
      <c r="O102" s="2236"/>
      <c r="P102" s="2236"/>
      <c r="Q102" s="698"/>
      <c r="R102" s="698"/>
      <c r="S102" s="698"/>
      <c r="T102" s="698"/>
      <c r="U102" s="698"/>
      <c r="AB102" s="1874"/>
    </row>
    <row r="103" spans="2:28" x14ac:dyDescent="0.55000000000000004">
      <c r="B103" s="698"/>
      <c r="C103" s="698"/>
      <c r="D103" s="698"/>
      <c r="E103" s="698"/>
      <c r="F103" s="698"/>
      <c r="G103" s="698"/>
      <c r="H103" s="698"/>
      <c r="I103" s="698"/>
      <c r="J103" s="698"/>
      <c r="K103" s="698"/>
      <c r="L103" s="698"/>
      <c r="M103" s="698"/>
      <c r="N103" s="2236"/>
      <c r="O103" s="2236"/>
      <c r="P103" s="2236"/>
      <c r="Q103" s="698"/>
      <c r="R103" s="698"/>
      <c r="S103" s="698"/>
      <c r="T103" s="698"/>
      <c r="U103" s="698"/>
      <c r="AB103" s="1874"/>
    </row>
    <row r="104" spans="2:28" x14ac:dyDescent="0.55000000000000004">
      <c r="B104" s="698"/>
      <c r="C104" s="698"/>
      <c r="D104" s="698"/>
      <c r="E104" s="698"/>
      <c r="F104" s="698"/>
      <c r="G104" s="698"/>
      <c r="H104" s="698"/>
      <c r="I104" s="698"/>
      <c r="J104" s="698"/>
      <c r="K104" s="698"/>
      <c r="L104" s="698"/>
      <c r="M104" s="698"/>
      <c r="N104" s="2236"/>
      <c r="O104" s="2236"/>
      <c r="P104" s="2236"/>
      <c r="Q104" s="698"/>
      <c r="R104" s="698"/>
      <c r="S104" s="698"/>
      <c r="T104" s="698"/>
      <c r="U104" s="698"/>
      <c r="AB104" s="1874"/>
    </row>
    <row r="105" spans="2:28" x14ac:dyDescent="0.55000000000000004">
      <c r="B105" s="698"/>
      <c r="C105" s="698"/>
      <c r="D105" s="698"/>
      <c r="E105" s="698"/>
      <c r="F105" s="698"/>
      <c r="G105" s="698"/>
      <c r="H105" s="698"/>
      <c r="I105" s="698"/>
      <c r="J105" s="698"/>
      <c r="K105" s="698"/>
      <c r="L105" s="698"/>
      <c r="M105" s="698"/>
      <c r="N105" s="2236"/>
      <c r="O105" s="2236"/>
      <c r="P105" s="2236"/>
      <c r="Q105" s="698"/>
      <c r="R105" s="698"/>
      <c r="S105" s="698"/>
      <c r="T105" s="698"/>
      <c r="U105" s="698"/>
      <c r="AB105" s="1874"/>
    </row>
    <row r="106" spans="2:28" x14ac:dyDescent="0.55000000000000004">
      <c r="B106" s="698"/>
      <c r="C106" s="698"/>
      <c r="D106" s="698"/>
      <c r="E106" s="698"/>
      <c r="F106" s="698"/>
      <c r="G106" s="698"/>
      <c r="H106" s="698"/>
      <c r="I106" s="698"/>
      <c r="J106" s="698"/>
      <c r="K106" s="698"/>
      <c r="L106" s="698"/>
      <c r="M106" s="698"/>
      <c r="N106" s="2236"/>
      <c r="O106" s="2236"/>
      <c r="P106" s="2236"/>
      <c r="Q106" s="698"/>
      <c r="R106" s="698"/>
      <c r="S106" s="698"/>
      <c r="T106" s="698"/>
      <c r="U106" s="698"/>
      <c r="AB106" s="1874"/>
    </row>
    <row r="107" spans="2:28" x14ac:dyDescent="0.55000000000000004">
      <c r="B107" s="698"/>
      <c r="C107" s="698"/>
      <c r="D107" s="698"/>
      <c r="E107" s="698"/>
      <c r="F107" s="698"/>
      <c r="G107" s="698"/>
      <c r="H107" s="698"/>
      <c r="I107" s="698"/>
      <c r="J107" s="698"/>
      <c r="K107" s="698"/>
      <c r="L107" s="698"/>
      <c r="M107" s="698"/>
      <c r="N107" s="2236"/>
      <c r="O107" s="2236"/>
      <c r="P107" s="2236"/>
      <c r="Q107" s="698"/>
      <c r="R107" s="698"/>
      <c r="S107" s="698"/>
      <c r="T107" s="698"/>
      <c r="U107" s="698"/>
    </row>
    <row r="108" spans="2:28" x14ac:dyDescent="0.55000000000000004">
      <c r="B108" s="698"/>
      <c r="C108" s="698"/>
      <c r="D108" s="698"/>
      <c r="E108" s="698"/>
      <c r="F108" s="698"/>
      <c r="G108" s="698"/>
      <c r="H108" s="698"/>
      <c r="I108" s="698"/>
      <c r="J108" s="698"/>
      <c r="K108" s="698"/>
      <c r="L108" s="698"/>
      <c r="M108" s="698"/>
      <c r="N108" s="2236"/>
      <c r="O108" s="2236"/>
      <c r="P108" s="2236"/>
      <c r="Q108" s="698"/>
      <c r="R108" s="698"/>
      <c r="S108" s="698"/>
      <c r="T108" s="698"/>
      <c r="U108" s="698"/>
      <c r="AB108" s="1874"/>
    </row>
    <row r="109" spans="2:28" x14ac:dyDescent="0.55000000000000004">
      <c r="B109" s="698"/>
      <c r="C109" s="698"/>
      <c r="D109" s="698"/>
      <c r="E109" s="698"/>
      <c r="F109" s="698"/>
      <c r="G109" s="698"/>
      <c r="H109" s="698"/>
      <c r="I109" s="698"/>
      <c r="J109" s="698"/>
      <c r="K109" s="698"/>
      <c r="L109" s="698"/>
      <c r="M109" s="698"/>
      <c r="N109" s="2236"/>
      <c r="O109" s="2236"/>
      <c r="P109" s="2236"/>
      <c r="Q109" s="698"/>
      <c r="R109" s="698"/>
      <c r="S109" s="698"/>
      <c r="T109" s="698"/>
      <c r="U109" s="698"/>
      <c r="AB109" s="1874"/>
    </row>
    <row r="110" spans="2:28" x14ac:dyDescent="0.55000000000000004">
      <c r="B110" s="698"/>
      <c r="C110" s="698"/>
      <c r="D110" s="698"/>
      <c r="E110" s="698"/>
      <c r="F110" s="698"/>
      <c r="G110" s="698"/>
      <c r="H110" s="698"/>
      <c r="I110" s="698"/>
      <c r="J110" s="698"/>
      <c r="K110" s="698"/>
      <c r="L110" s="698"/>
      <c r="M110" s="698"/>
      <c r="N110" s="2236"/>
      <c r="O110" s="2236"/>
      <c r="P110" s="2236"/>
      <c r="Q110" s="698"/>
      <c r="R110" s="698"/>
      <c r="S110" s="698"/>
      <c r="T110" s="698"/>
      <c r="U110" s="698"/>
      <c r="AB110" s="1874"/>
    </row>
    <row r="111" spans="2:28" x14ac:dyDescent="0.55000000000000004">
      <c r="B111" s="698"/>
      <c r="C111" s="698"/>
      <c r="D111" s="698"/>
      <c r="E111" s="698"/>
      <c r="F111" s="698"/>
      <c r="G111" s="698"/>
      <c r="H111" s="698"/>
      <c r="I111" s="698"/>
      <c r="J111" s="698"/>
      <c r="K111" s="698"/>
      <c r="L111" s="698"/>
      <c r="M111" s="698"/>
      <c r="N111" s="2236"/>
      <c r="O111" s="2236"/>
      <c r="P111" s="2236"/>
      <c r="Q111" s="698"/>
      <c r="R111" s="698"/>
      <c r="S111" s="698"/>
      <c r="T111" s="698"/>
      <c r="U111" s="698"/>
      <c r="AB111" s="1874"/>
    </row>
    <row r="112" spans="2:28" x14ac:dyDescent="0.55000000000000004">
      <c r="B112" s="698"/>
      <c r="C112" s="698"/>
      <c r="D112" s="698"/>
      <c r="E112" s="698"/>
      <c r="F112" s="698"/>
      <c r="G112" s="698"/>
      <c r="H112" s="698"/>
      <c r="I112" s="698"/>
      <c r="J112" s="698"/>
      <c r="K112" s="698"/>
      <c r="L112" s="698"/>
      <c r="M112" s="698"/>
      <c r="N112" s="2236"/>
      <c r="O112" s="2236"/>
      <c r="P112" s="2236"/>
      <c r="Q112" s="698"/>
      <c r="R112" s="698"/>
      <c r="S112" s="698"/>
      <c r="T112" s="698"/>
      <c r="U112" s="698"/>
      <c r="AB112" s="1874"/>
    </row>
    <row r="113" spans="2:28" x14ac:dyDescent="0.55000000000000004">
      <c r="B113" s="698"/>
      <c r="C113" s="698"/>
      <c r="D113" s="698"/>
      <c r="E113" s="698"/>
      <c r="F113" s="698"/>
      <c r="G113" s="698"/>
      <c r="H113" s="698"/>
      <c r="I113" s="698"/>
      <c r="J113" s="698"/>
      <c r="K113" s="698"/>
      <c r="L113" s="698"/>
      <c r="M113" s="698"/>
      <c r="N113" s="2236"/>
      <c r="O113" s="2236"/>
      <c r="P113" s="2236"/>
      <c r="Q113" s="698"/>
      <c r="R113" s="698"/>
      <c r="S113" s="698"/>
      <c r="T113" s="698"/>
      <c r="U113" s="698"/>
      <c r="AB113" s="1874"/>
    </row>
    <row r="114" spans="2:28" x14ac:dyDescent="0.55000000000000004">
      <c r="B114" s="698"/>
      <c r="C114" s="698"/>
      <c r="D114" s="698"/>
      <c r="E114" s="698"/>
      <c r="F114" s="698"/>
      <c r="G114" s="698"/>
      <c r="H114" s="698"/>
      <c r="I114" s="698"/>
      <c r="J114" s="698"/>
      <c r="K114" s="698"/>
      <c r="L114" s="698"/>
      <c r="M114" s="698"/>
      <c r="N114" s="2236"/>
      <c r="O114" s="2236"/>
      <c r="P114" s="2236"/>
      <c r="Q114" s="698"/>
      <c r="R114" s="698"/>
      <c r="S114" s="698"/>
      <c r="T114" s="698"/>
      <c r="U114" s="698"/>
      <c r="AB114" s="1874"/>
    </row>
    <row r="115" spans="2:28" x14ac:dyDescent="0.55000000000000004">
      <c r="AB115" s="1874"/>
    </row>
    <row r="116" spans="2:28" x14ac:dyDescent="0.55000000000000004">
      <c r="AB116" s="1874"/>
    </row>
  </sheetData>
  <mergeCells count="40">
    <mergeCell ref="A3:AA3"/>
    <mergeCell ref="N40:O40"/>
    <mergeCell ref="N41:O41"/>
    <mergeCell ref="N42:O42"/>
    <mergeCell ref="N43:O43"/>
    <mergeCell ref="N36:O36"/>
    <mergeCell ref="N37:O37"/>
    <mergeCell ref="N38:O38"/>
    <mergeCell ref="N39:O39"/>
    <mergeCell ref="N31:O31"/>
    <mergeCell ref="N32:O32"/>
    <mergeCell ref="T5:U5"/>
    <mergeCell ref="V5:AA5"/>
    <mergeCell ref="A7:A25"/>
    <mergeCell ref="F5:J5"/>
    <mergeCell ref="L5:P5"/>
    <mergeCell ref="T48:U48"/>
    <mergeCell ref="V48:AA48"/>
    <mergeCell ref="A6:C6"/>
    <mergeCell ref="A29:A46"/>
    <mergeCell ref="N28:O28"/>
    <mergeCell ref="S27:U27"/>
    <mergeCell ref="V27:X27"/>
    <mergeCell ref="Y27:AA27"/>
    <mergeCell ref="N46:O46"/>
    <mergeCell ref="F48:J48"/>
    <mergeCell ref="P27:R27"/>
    <mergeCell ref="N29:O29"/>
    <mergeCell ref="N30:O30"/>
    <mergeCell ref="A50:A81"/>
    <mergeCell ref="Q5:S5"/>
    <mergeCell ref="A49:C49"/>
    <mergeCell ref="L48:P48"/>
    <mergeCell ref="N44:O44"/>
    <mergeCell ref="F27:I27"/>
    <mergeCell ref="N45:O45"/>
    <mergeCell ref="N33:O33"/>
    <mergeCell ref="N34:O34"/>
    <mergeCell ref="N35:O35"/>
    <mergeCell ref="Q48:S48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2" fitToHeight="0" orientation="landscape" r:id="rId1"/>
  <headerFooter scaleWithDoc="0">
    <oddFooter>&amp;R&amp;"-,기울임꼴"&amp;8&amp;P &amp; 페이지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BE143"/>
  <sheetViews>
    <sheetView showGridLines="0" view="pageBreakPreview" zoomScale="55" zoomScaleNormal="100" zoomScaleSheetLayoutView="55" workbookViewId="0">
      <pane xSplit="3" ySplit="6" topLeftCell="D33" activePane="bottomRight" state="frozen"/>
      <selection activeCell="AG13" sqref="AG13"/>
      <selection pane="topRight" activeCell="AG13" sqref="AG13"/>
      <selection pane="bottomLeft" activeCell="AG13" sqref="AG13"/>
      <selection pane="bottomRight" activeCell="D130" sqref="D130"/>
    </sheetView>
  </sheetViews>
  <sheetFormatPr defaultColWidth="9.140625" defaultRowHeight="15" outlineLevelCol="1" x14ac:dyDescent="0.55000000000000004"/>
  <cols>
    <col min="1" max="1" width="11.140625" style="559" customWidth="1"/>
    <col min="2" max="2" width="14.5" style="559" customWidth="1"/>
    <col min="3" max="3" width="14.640625" style="559" customWidth="1"/>
    <col min="4" max="5" width="9.92578125" style="559" customWidth="1"/>
    <col min="6" max="6" width="17.5" style="559" customWidth="1"/>
    <col min="7" max="11" width="14" style="559" customWidth="1" outlineLevel="1"/>
    <col min="12" max="12" width="9.92578125" style="559" customWidth="1"/>
    <col min="13" max="14" width="14.2109375" style="559" customWidth="1" outlineLevel="1"/>
    <col min="15" max="19" width="16.42578125" style="559" customWidth="1"/>
    <col min="20" max="16384" width="9.140625" style="559"/>
  </cols>
  <sheetData>
    <row r="1" spans="1:57" x14ac:dyDescent="0.55000000000000004">
      <c r="C1" s="840"/>
      <c r="D1" s="840" t="s">
        <v>619</v>
      </c>
      <c r="E1" s="840" t="s">
        <v>449</v>
      </c>
      <c r="F1" s="840" t="s">
        <v>440</v>
      </c>
      <c r="G1" s="840" t="s">
        <v>439</v>
      </c>
      <c r="H1" s="840" t="s">
        <v>441</v>
      </c>
      <c r="I1" s="840" t="s">
        <v>620</v>
      </c>
      <c r="J1" s="840" t="s">
        <v>601</v>
      </c>
      <c r="K1" s="840" t="s">
        <v>605</v>
      </c>
      <c r="L1" s="840" t="s">
        <v>814</v>
      </c>
      <c r="M1" s="840" t="s">
        <v>685</v>
      </c>
      <c r="N1" s="840" t="s">
        <v>446</v>
      </c>
      <c r="O1" s="840" t="s">
        <v>743</v>
      </c>
      <c r="P1" s="840" t="s">
        <v>815</v>
      </c>
      <c r="Q1" s="840" t="s">
        <v>861</v>
      </c>
      <c r="R1" s="840" t="s">
        <v>868</v>
      </c>
      <c r="S1" s="840" t="s">
        <v>816</v>
      </c>
      <c r="T1" s="840" t="s">
        <v>439</v>
      </c>
    </row>
    <row r="2" spans="1:57" ht="15.45" thickBot="1" x14ac:dyDescent="0.6">
      <c r="C2" s="840"/>
      <c r="D2" s="840"/>
      <c r="E2" s="840"/>
      <c r="F2" s="840" t="s">
        <v>440</v>
      </c>
      <c r="G2" s="840" t="s">
        <v>439</v>
      </c>
      <c r="H2" s="840" t="s">
        <v>441</v>
      </c>
      <c r="I2" s="840" t="s">
        <v>620</v>
      </c>
      <c r="J2" s="840" t="s">
        <v>601</v>
      </c>
      <c r="K2" s="840" t="s">
        <v>605</v>
      </c>
      <c r="L2" s="840"/>
      <c r="M2" s="840" t="s">
        <v>685</v>
      </c>
      <c r="N2" s="840" t="s">
        <v>446</v>
      </c>
      <c r="O2" s="840" t="s">
        <v>446</v>
      </c>
      <c r="P2" s="840" t="s">
        <v>448</v>
      </c>
      <c r="Q2" s="840" t="s">
        <v>451</v>
      </c>
      <c r="R2" s="840" t="s">
        <v>449</v>
      </c>
      <c r="S2" s="840" t="s">
        <v>447</v>
      </c>
    </row>
    <row r="3" spans="1:57" s="1505" customFormat="1" ht="60" customHeight="1" thickTop="1" thickBot="1" x14ac:dyDescent="0.6">
      <c r="A3" s="7061" t="s">
        <v>841</v>
      </c>
      <c r="B3" s="7061"/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4371"/>
      <c r="U3" s="4371"/>
      <c r="V3" s="4371"/>
      <c r="W3" s="4371"/>
      <c r="X3" s="4371"/>
    </row>
    <row r="4" spans="1:57" s="561" customFormat="1" ht="15.55" customHeight="1" thickTop="1" thickBot="1" x14ac:dyDescent="0.6">
      <c r="A4" s="564"/>
      <c r="B4" s="845"/>
      <c r="C4" s="845"/>
      <c r="D4" s="845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AB4" s="562"/>
      <c r="AD4" s="562"/>
      <c r="AE4" s="562"/>
      <c r="AF4" s="563"/>
      <c r="AH4" s="562"/>
      <c r="AI4" s="563"/>
      <c r="BA4" s="566"/>
      <c r="BB4" s="566"/>
      <c r="BC4" s="566"/>
      <c r="BD4" s="566"/>
      <c r="BE4" s="566"/>
    </row>
    <row r="5" spans="1:57" ht="18" customHeight="1" thickBot="1" x14ac:dyDescent="0.6">
      <c r="A5" s="594"/>
      <c r="B5" s="1506"/>
      <c r="C5" s="1506"/>
      <c r="D5" s="1506"/>
      <c r="E5" s="1506"/>
      <c r="F5" s="7276" t="s">
        <v>1050</v>
      </c>
      <c r="G5" s="7277"/>
      <c r="H5" s="7277"/>
      <c r="I5" s="7277"/>
      <c r="J5" s="7277"/>
      <c r="K5" s="7458"/>
      <c r="L5" s="1506"/>
      <c r="M5" s="7450" t="s">
        <v>1159</v>
      </c>
      <c r="N5" s="7451"/>
      <c r="O5" s="7430" t="s">
        <v>241</v>
      </c>
      <c r="P5" s="7431"/>
      <c r="Q5" s="7431"/>
      <c r="R5" s="7431"/>
      <c r="S5" s="7431"/>
    </row>
    <row r="6" spans="1:57" ht="17.149999999999999" thickTop="1" thickBot="1" x14ac:dyDescent="0.6">
      <c r="A6" s="7429" t="s">
        <v>124</v>
      </c>
      <c r="B6" s="7411"/>
      <c r="C6" s="7412"/>
      <c r="D6" s="1507" t="s">
        <v>829</v>
      </c>
      <c r="E6" s="6246" t="s">
        <v>1213</v>
      </c>
      <c r="F6" s="558" t="str" cm="1">
        <f t="array" aca="1" ref="F6" ca="1">INDIRECT("'※ 인력 세부데이터'!"&amp;F$1&amp;$T7, TRUE)</f>
        <v>'25.1월</v>
      </c>
      <c r="G6" s="558" t="str" cm="1">
        <f t="array" aca="1" ref="G6" ca="1">INDIRECT("'※ 인력 세부데이터'!"&amp;G$1&amp;$T7, TRUE)</f>
        <v>'25.2월</v>
      </c>
      <c r="H6" s="558" t="str" cm="1">
        <f t="array" aca="1" ref="H6" ca="1">INDIRECT("'※ 인력 세부데이터'!"&amp;H$1&amp;$T7, TRUE)</f>
        <v>'25.3월</v>
      </c>
      <c r="I6" s="558" t="str" cm="1">
        <f t="array" aca="1" ref="I6" ca="1">INDIRECT("'※ 인력 세부데이터'!"&amp;I$1&amp;$T7, TRUE)</f>
        <v>'25.4월</v>
      </c>
      <c r="J6" s="558" t="str" cm="1">
        <f t="array" aca="1" ref="J6" ca="1">INDIRECT("'※ 인력 세부데이터'!"&amp;J$1&amp;$T7, TRUE)</f>
        <v>'25.5월</v>
      </c>
      <c r="K6" s="6414" t="str" cm="1">
        <f t="array" aca="1" ref="K6" ca="1">INDIRECT("'※ 인력 세부데이터'!"&amp;K$1&amp;$T7, TRUE)</f>
        <v>'25.6월</v>
      </c>
      <c r="L6" s="6246" t="s">
        <v>1210</v>
      </c>
      <c r="M6" s="558" t="str" cm="1">
        <f t="array" aca="1" ref="M6" ca="1">INDIRECT("'※ 인력 세부데이터'!"&amp;M$1&amp;$T7, TRUE)</f>
        <v>'26.1월</v>
      </c>
      <c r="N6" s="558" t="str" cm="1">
        <f t="array" aca="1" ref="N6" ca="1">INDIRECT("'※ 인력 세부데이터'!"&amp;N$1&amp;$T7, TRUE)</f>
        <v>'26.2월</v>
      </c>
      <c r="O6" s="1509" t="s">
        <v>199</v>
      </c>
      <c r="P6" s="1510" t="s">
        <v>200</v>
      </c>
      <c r="Q6" s="1510" t="s">
        <v>201</v>
      </c>
      <c r="R6" s="1510" t="s">
        <v>202</v>
      </c>
      <c r="S6" s="1510" t="s">
        <v>203</v>
      </c>
    </row>
    <row r="7" spans="1:57" x14ac:dyDescent="0.55000000000000004">
      <c r="A7" s="7440" t="s">
        <v>181</v>
      </c>
      <c r="B7" s="7441"/>
      <c r="C7" s="7441"/>
      <c r="D7" s="1511" cm="1">
        <f t="array" aca="1" ref="D7" ca="1">INDIRECT("'※ 인력 세부데이터'!"&amp;D$1&amp;$T8, TRUE)</f>
        <v>2158.1666666666665</v>
      </c>
      <c r="E7" s="1512" cm="1">
        <f t="array" aca="1" ref="E7" ca="1">INDIRECT("'※ 인력 세부데이터'!"&amp;E$1&amp;$T8, TRUE)</f>
        <v>2244.8333333333335</v>
      </c>
      <c r="F7" s="1513" cm="1">
        <f t="array" aca="1" ref="F7" ca="1">INDIRECT("'※ 인력 세부데이터'!"&amp;F$1&amp;$T8, TRUE)</f>
        <v>2278</v>
      </c>
      <c r="G7" s="1514" cm="1">
        <f t="array" aca="1" ref="G7" ca="1">INDIRECT("'※ 인력 세부데이터'!"&amp;G$1&amp;$T8, TRUE)</f>
        <v>2274</v>
      </c>
      <c r="H7" s="1514" cm="1">
        <f t="array" aca="1" ref="H7" ca="1">INDIRECT("'※ 인력 세부데이터'!"&amp;H$1&amp;$T8, TRUE)</f>
        <v>2285</v>
      </c>
      <c r="I7" s="1514" cm="1">
        <f t="array" aca="1" ref="I7" ca="1">INDIRECT("'※ 인력 세부데이터'!"&amp;I$1&amp;$T8, TRUE)</f>
        <v>2291</v>
      </c>
      <c r="J7" s="1514" cm="1">
        <f t="array" aca="1" ref="J7" ca="1">INDIRECT("'※ 인력 세부데이터'!"&amp;J$1&amp;$T8, TRUE)</f>
        <v>2284</v>
      </c>
      <c r="K7" s="1514" cm="1">
        <f t="array" aca="1" ref="K7" ca="1">INDIRECT("'※ 인력 세부데이터'!"&amp;K$1&amp;$T8, TRUE)</f>
        <v>2267</v>
      </c>
      <c r="L7" s="1512" cm="1">
        <f t="array" aca="1" ref="L7" ca="1">INDIRECT("'※ 인력 세부데이터'!"&amp;L$1&amp;$T8, TRUE)</f>
        <v>2208</v>
      </c>
      <c r="M7" s="1514" cm="1">
        <f t="array" aca="1" ref="M7" ca="1">INDIRECT("'※ 인력 세부데이터'!"&amp;M$1&amp;$T8, TRUE)</f>
        <v>2209</v>
      </c>
      <c r="N7" s="1514" cm="1">
        <f t="array" aca="1" ref="N7" ca="1">INDIRECT("'※ 인력 세부데이터'!"&amp;N$1&amp;$T8, TRUE)</f>
        <v>2207</v>
      </c>
      <c r="O7" s="1515" cm="1">
        <f t="array" aca="1" ref="O7" ca="1">INDIRECT("'※ 인력 세부데이터'!"&amp;O$1&amp;$T8, TRUE)</f>
        <v>1</v>
      </c>
      <c r="P7" s="1516" cm="1">
        <f t="array" aca="1" ref="P7" ca="1">INDIRECT("'※ 인력 세부데이터'!"&amp;P$1&amp;$T8, TRUE)</f>
        <v>875</v>
      </c>
      <c r="Q7" s="1517" cm="1">
        <f t="array" aca="1" ref="Q7" ca="1">INDIRECT("'※ 인력 세부데이터'!"&amp;Q$1&amp;$T8, TRUE)</f>
        <v>0.39610683567224991</v>
      </c>
      <c r="R7" s="1518" cm="1">
        <f t="array" aca="1" ref="R7" ca="1">INDIRECT("'※ 인력 세부데이터'!"&amp;R$1&amp;$T8, TRUE)</f>
        <v>36.014046216583594</v>
      </c>
      <c r="S7" s="1519" cm="1">
        <f t="array" aca="1" ref="S7" ca="1">INDIRECT("'※ 인력 세부데이터'!"&amp;S$1&amp;$T8, TRUE)</f>
        <v>6.6088920061324021</v>
      </c>
      <c r="T7" s="1520">
        <f>ROW('※ 인력 세부데이터'!J3)</f>
        <v>3</v>
      </c>
      <c r="U7" s="1521"/>
    </row>
    <row r="8" spans="1:57" x14ac:dyDescent="0.55000000000000004">
      <c r="A8" s="7435" t="s">
        <v>180</v>
      </c>
      <c r="B8" s="1522" t="s">
        <v>172</v>
      </c>
      <c r="C8" s="1523"/>
      <c r="D8" s="1524" cm="1">
        <f t="array" aca="1" ref="D8" ca="1">INDIRECT("'※ 인력 세부데이터'!"&amp;D$1&amp;$T9, TRUE)</f>
        <v>8</v>
      </c>
      <c r="E8" s="1525" cm="1">
        <f t="array" aca="1" ref="E8" ca="1">INDIRECT("'※ 인력 세부데이터'!"&amp;E$1&amp;$T9, TRUE)</f>
        <v>8</v>
      </c>
      <c r="F8" s="1526" cm="1">
        <f t="array" aca="1" ref="F8" ca="1">INDIRECT("'※ 인력 세부데이터'!"&amp;F$1&amp;$T9, TRUE)</f>
        <v>8</v>
      </c>
      <c r="G8" s="1527" cm="1">
        <f t="array" aca="1" ref="G8" ca="1">INDIRECT("'※ 인력 세부데이터'!"&amp;G$1&amp;$T9, TRUE)</f>
        <v>8</v>
      </c>
      <c r="H8" s="1527" cm="1">
        <f t="array" aca="1" ref="H8" ca="1">INDIRECT("'※ 인력 세부데이터'!"&amp;H$1&amp;$T9, TRUE)</f>
        <v>8</v>
      </c>
      <c r="I8" s="1527" cm="1">
        <f t="array" aca="1" ref="I8" ca="1">INDIRECT("'※ 인력 세부데이터'!"&amp;I$1&amp;$T9, TRUE)</f>
        <v>8</v>
      </c>
      <c r="J8" s="1527" cm="1">
        <f t="array" aca="1" ref="J8" ca="1">INDIRECT("'※ 인력 세부데이터'!"&amp;J$1&amp;$T9, TRUE)</f>
        <v>8</v>
      </c>
      <c r="K8" s="1527" cm="1">
        <f t="array" aca="1" ref="K8" ca="1">INDIRECT("'※ 인력 세부데이터'!"&amp;K$1&amp;$T9, TRUE)</f>
        <v>8</v>
      </c>
      <c r="L8" s="1525" cm="1">
        <f t="array" aca="1" ref="L8" ca="1">INDIRECT("'※ 인력 세부데이터'!"&amp;L$1&amp;$T9, TRUE)</f>
        <v>8</v>
      </c>
      <c r="M8" s="1527" cm="1">
        <f t="array" aca="1" ref="M8" ca="1">INDIRECT("'※ 인력 세부데이터'!"&amp;M$1&amp;$T9, TRUE)</f>
        <v>8</v>
      </c>
      <c r="N8" s="1527" cm="1">
        <f t="array" aca="1" ref="N8" ca="1">INDIRECT("'※ 인력 세부데이터'!"&amp;N$1&amp;$T9, TRUE)</f>
        <v>8</v>
      </c>
      <c r="O8" s="1528" cm="1">
        <f t="array" aca="1" ref="O8" ca="1">INDIRECT("'※ 인력 세부데이터'!"&amp;O$1&amp;$T9, TRUE)</f>
        <v>3.6215482118605704E-3</v>
      </c>
      <c r="P8" s="1529" cm="1">
        <f t="array" aca="1" ref="P8" ca="1">INDIRECT("'※ 인력 세부데이터'!"&amp;P$1&amp;$T9, TRUE)</f>
        <v>0</v>
      </c>
      <c r="Q8" s="1530" cm="1">
        <f t="array" aca="1" ref="Q8" ca="1">INDIRECT("'※ 인력 세부데이터'!"&amp;Q$1&amp;$T9, TRUE)</f>
        <v>0</v>
      </c>
      <c r="R8" s="1531" cm="1">
        <f t="array" aca="1" ref="R8" ca="1">INDIRECT("'※ 인력 세부데이터'!"&amp;R$1&amp;$T9, TRUE)</f>
        <v>56.5</v>
      </c>
      <c r="S8" s="1532" cm="1">
        <f t="array" aca="1" ref="S8" ca="1">INDIRECT("'※ 인력 세부데이터'!"&amp;S$1&amp;$T9, TRUE)</f>
        <v>15.731849315068494</v>
      </c>
      <c r="T8" s="1520">
        <f>ROW('※ 인력 세부데이터'!J4)</f>
        <v>4</v>
      </c>
      <c r="U8" s="1521"/>
    </row>
    <row r="9" spans="1:57" x14ac:dyDescent="0.55000000000000004">
      <c r="A9" s="7179"/>
      <c r="B9" s="1533" t="s">
        <v>177</v>
      </c>
      <c r="C9" s="1534"/>
      <c r="D9" s="1535" cm="1">
        <f t="array" aca="1" ref="D9" ca="1">INDIRECT("'※ 인력 세부데이터'!"&amp;D$1&amp;$T10, TRUE)</f>
        <v>178.66666666666666</v>
      </c>
      <c r="E9" s="1536" cm="1">
        <f t="array" aca="1" ref="E9" ca="1">INDIRECT("'※ 인력 세부데이터'!"&amp;E$1&amp;$T10, TRUE)</f>
        <v>184</v>
      </c>
      <c r="F9" s="1537" cm="1">
        <f t="array" aca="1" ref="F9" ca="1">INDIRECT("'※ 인력 세부데이터'!"&amp;F$1&amp;$T10, TRUE)</f>
        <v>180</v>
      </c>
      <c r="G9" s="1538" cm="1">
        <f t="array" aca="1" ref="G9" ca="1">INDIRECT("'※ 인력 세부데이터'!"&amp;G$1&amp;$T10, TRUE)</f>
        <v>183</v>
      </c>
      <c r="H9" s="1538" cm="1">
        <f t="array" aca="1" ref="H9" ca="1">INDIRECT("'※ 인력 세부데이터'!"&amp;H$1&amp;$T10, TRUE)</f>
        <v>181</v>
      </c>
      <c r="I9" s="1538" cm="1">
        <f t="array" aca="1" ref="I9" ca="1">INDIRECT("'※ 인력 세부데이터'!"&amp;I$1&amp;$T10, TRUE)</f>
        <v>181</v>
      </c>
      <c r="J9" s="1538" cm="1">
        <f t="array" aca="1" ref="J9" ca="1">INDIRECT("'※ 인력 세부데이터'!"&amp;J$1&amp;$T10, TRUE)</f>
        <v>181</v>
      </c>
      <c r="K9" s="1538" cm="1">
        <f t="array" aca="1" ref="K9" ca="1">INDIRECT("'※ 인력 세부데이터'!"&amp;K$1&amp;$T10, TRUE)</f>
        <v>181</v>
      </c>
      <c r="L9" s="1536" cm="1">
        <f t="array" aca="1" ref="L9" ca="1">INDIRECT("'※ 인력 세부데이터'!"&amp;L$1&amp;$T10, TRUE)</f>
        <v>184</v>
      </c>
      <c r="M9" s="1538" cm="1">
        <f t="array" aca="1" ref="M9" ca="1">INDIRECT("'※ 인력 세부데이터'!"&amp;M$1&amp;$T10, TRUE)</f>
        <v>184</v>
      </c>
      <c r="N9" s="1538" cm="1">
        <f t="array" aca="1" ref="N9" ca="1">INDIRECT("'※ 인력 세부데이터'!"&amp;N$1&amp;$T10, TRUE)</f>
        <v>184</v>
      </c>
      <c r="O9" s="1539" cm="1">
        <f t="array" aca="1" ref="O9" ca="1">INDIRECT("'※ 인력 세부데이터'!"&amp;O$1&amp;$T10, TRUE)</f>
        <v>8.3295608872793123E-2</v>
      </c>
      <c r="P9" s="1540" cm="1">
        <f t="array" aca="1" ref="P9" ca="1">INDIRECT("'※ 인력 세부데이터'!"&amp;P$1&amp;$T10, TRUE)</f>
        <v>37</v>
      </c>
      <c r="Q9" s="1541" cm="1">
        <f t="array" aca="1" ref="Q9" ca="1">INDIRECT("'※ 인력 세부데이터'!"&amp;Q$1&amp;$T10, TRUE)</f>
        <v>0.20108695652173914</v>
      </c>
      <c r="R9" s="1542" cm="1">
        <f t="array" aca="1" ref="R9" ca="1">INDIRECT("'※ 인력 세부데이터'!"&amp;R$1&amp;$T10, TRUE)</f>
        <v>41.880434782608695</v>
      </c>
      <c r="S9" s="1543" cm="1">
        <f t="array" aca="1" ref="S9" ca="1">INDIRECT("'※ 인력 세부데이터'!"&amp;S$1&amp;$T10, TRUE)</f>
        <v>12.046292435973807</v>
      </c>
      <c r="T9" s="1520">
        <f>ROW('※ 인력 세부데이터'!J5)</f>
        <v>5</v>
      </c>
      <c r="U9" s="1521"/>
    </row>
    <row r="10" spans="1:57" x14ac:dyDescent="0.55000000000000004">
      <c r="A10" s="7179"/>
      <c r="B10" s="594"/>
      <c r="C10" s="594" t="s">
        <v>171</v>
      </c>
      <c r="D10" s="1544" cm="1">
        <f t="array" aca="1" ref="D10" ca="1">INDIRECT("'※ 인력 세부데이터'!"&amp;D$1&amp;$T11, TRUE)</f>
        <v>24.25</v>
      </c>
      <c r="E10" s="1545" cm="1">
        <f t="array" aca="1" ref="E10" ca="1">INDIRECT("'※ 인력 세부데이터'!"&amp;E$1&amp;$T11, TRUE)</f>
        <v>27.75</v>
      </c>
      <c r="F10" s="1526" cm="1">
        <f t="array" aca="1" ref="F10" ca="1">INDIRECT("'※ 인력 세부데이터'!"&amp;F$1&amp;$T11, TRUE)</f>
        <v>28</v>
      </c>
      <c r="G10" s="1527" cm="1">
        <f t="array" aca="1" ref="G10" ca="1">INDIRECT("'※ 인력 세부데이터'!"&amp;G$1&amp;$T11, TRUE)</f>
        <v>28</v>
      </c>
      <c r="H10" s="1527" cm="1">
        <f t="array" aca="1" ref="H10" ca="1">INDIRECT("'※ 인력 세부데이터'!"&amp;H$1&amp;$T11, TRUE)</f>
        <v>28</v>
      </c>
      <c r="I10" s="1527" cm="1">
        <f t="array" aca="1" ref="I10" ca="1">INDIRECT("'※ 인력 세부데이터'!"&amp;I$1&amp;$T11, TRUE)</f>
        <v>28</v>
      </c>
      <c r="J10" s="1527" cm="1">
        <f t="array" aca="1" ref="J10" ca="1">INDIRECT("'※ 인력 세부데이터'!"&amp;J$1&amp;$T11, TRUE)</f>
        <v>28</v>
      </c>
      <c r="K10" s="1527" cm="1">
        <f t="array" aca="1" ref="K10" ca="1">INDIRECT("'※ 인력 세부데이터'!"&amp;K$1&amp;$T11, TRUE)</f>
        <v>28</v>
      </c>
      <c r="L10" s="1545" cm="1">
        <f t="array" aca="1" ref="L10" ca="1">INDIRECT("'※ 인력 세부데이터'!"&amp;L$1&amp;$T11, TRUE)</f>
        <v>32</v>
      </c>
      <c r="M10" s="1527" cm="1">
        <f t="array" aca="1" ref="M10" ca="1">INDIRECT("'※ 인력 세부데이터'!"&amp;M$1&amp;$T11, TRUE)</f>
        <v>32</v>
      </c>
      <c r="N10" s="1527" cm="1">
        <f t="array" aca="1" ref="N10" ca="1">INDIRECT("'※ 인력 세부데이터'!"&amp;N$1&amp;$T11, TRUE)</f>
        <v>32</v>
      </c>
      <c r="O10" s="1528" cm="1">
        <f t="array" aca="1" ref="O10" ca="1">INDIRECT("'※ 인력 세부데이터'!"&amp;O$1&amp;$T11, TRUE)</f>
        <v>0.17391304347826086</v>
      </c>
      <c r="P10" s="1546" cm="1">
        <f t="array" aca="1" ref="P10" ca="1">INDIRECT("'※ 인력 세부데이터'!"&amp;P$1&amp;$T11, TRUE)</f>
        <v>1</v>
      </c>
      <c r="Q10" s="1547" cm="1">
        <f t="array" aca="1" ref="Q10" ca="1">INDIRECT("'※ 인력 세부데이터'!"&amp;Q$1&amp;$T11, TRUE)</f>
        <v>3.125E-2</v>
      </c>
      <c r="R10" s="1548" cm="1">
        <f t="array" aca="1" ref="R10" ca="1">INDIRECT("'※ 인력 세부데이터'!"&amp;R$1&amp;$T11, TRUE)</f>
        <v>52</v>
      </c>
      <c r="S10" s="1549" cm="1">
        <f t="array" aca="1" ref="S10" ca="1">INDIRECT("'※ 인력 세부데이터'!"&amp;S$1&amp;$T11, TRUE)</f>
        <v>17.848373287671237</v>
      </c>
      <c r="T10" s="1520">
        <f>ROW('※ 인력 세부데이터'!J6)</f>
        <v>6</v>
      </c>
      <c r="U10" s="1521"/>
    </row>
    <row r="11" spans="1:57" x14ac:dyDescent="0.55000000000000004">
      <c r="A11" s="7179"/>
      <c r="B11" s="886"/>
      <c r="C11" s="594" t="s">
        <v>173</v>
      </c>
      <c r="D11" s="1544" cm="1">
        <f t="array" aca="1" ref="D11" ca="1">INDIRECT("'※ 인력 세부데이터'!"&amp;D$1&amp;$T12, TRUE)</f>
        <v>59.916666666666664</v>
      </c>
      <c r="E11" s="1545" cm="1">
        <f t="array" aca="1" ref="E11" ca="1">INDIRECT("'※ 인력 세부데이터'!"&amp;E$1&amp;$T12, TRUE)</f>
        <v>63.666666666666664</v>
      </c>
      <c r="F11" s="1526" cm="1">
        <f t="array" aca="1" ref="F11" ca="1">INDIRECT("'※ 인력 세부데이터'!"&amp;F$1&amp;$T12, TRUE)</f>
        <v>61</v>
      </c>
      <c r="G11" s="1527" cm="1">
        <f t="array" aca="1" ref="G11" ca="1">INDIRECT("'※ 인력 세부데이터'!"&amp;G$1&amp;$T12, TRUE)</f>
        <v>64</v>
      </c>
      <c r="H11" s="1527" cm="1">
        <f t="array" aca="1" ref="H11" ca="1">INDIRECT("'※ 인력 세부데이터'!"&amp;H$1&amp;$T12, TRUE)</f>
        <v>64</v>
      </c>
      <c r="I11" s="1527" cm="1">
        <f t="array" aca="1" ref="I11" ca="1">INDIRECT("'※ 인력 세부데이터'!"&amp;I$1&amp;$T12, TRUE)</f>
        <v>64</v>
      </c>
      <c r="J11" s="1527" cm="1">
        <f t="array" aca="1" ref="J11" ca="1">INDIRECT("'※ 인력 세부데이터'!"&amp;J$1&amp;$T12, TRUE)</f>
        <v>64</v>
      </c>
      <c r="K11" s="1527" cm="1">
        <f t="array" aca="1" ref="K11" ca="1">INDIRECT("'※ 인력 세부데이터'!"&amp;K$1&amp;$T12, TRUE)</f>
        <v>64</v>
      </c>
      <c r="L11" s="1545" cm="1">
        <f t="array" aca="1" ref="L11" ca="1">INDIRECT("'※ 인력 세부데이터'!"&amp;L$1&amp;$T12, TRUE)</f>
        <v>65</v>
      </c>
      <c r="M11" s="1527" cm="1">
        <f t="array" aca="1" ref="M11" ca="1">INDIRECT("'※ 인력 세부데이터'!"&amp;M$1&amp;$T12, TRUE)</f>
        <v>65</v>
      </c>
      <c r="N11" s="1527" cm="1">
        <f t="array" aca="1" ref="N11" ca="1">INDIRECT("'※ 인력 세부데이터'!"&amp;N$1&amp;$T12, TRUE)</f>
        <v>65</v>
      </c>
      <c r="O11" s="1528" cm="1">
        <f t="array" aca="1" ref="O11" ca="1">INDIRECT("'※ 인력 세부데이터'!"&amp;O$1&amp;$T12, TRUE)</f>
        <v>0.35326086956521741</v>
      </c>
      <c r="P11" s="1546" cm="1">
        <f t="array" aca="1" ref="P11" ca="1">INDIRECT("'※ 인력 세부데이터'!"&amp;P$1&amp;$T12, TRUE)</f>
        <v>7</v>
      </c>
      <c r="Q11" s="1547" cm="1">
        <f t="array" aca="1" ref="Q11" ca="1">INDIRECT("'※ 인력 세부데이터'!"&amp;Q$1&amp;$T12, TRUE)</f>
        <v>0.1076923076923077</v>
      </c>
      <c r="R11" s="1548" cm="1">
        <f t="array" aca="1" ref="R11" ca="1">INDIRECT("'※ 인력 세부데이터'!"&amp;R$1&amp;$T12, TRUE)</f>
        <v>47.123076923076923</v>
      </c>
      <c r="S11" s="1549" cm="1">
        <f t="array" aca="1" ref="S11" ca="1">INDIRECT("'※ 인력 세부데이터'!"&amp;S$1&amp;$T12, TRUE)</f>
        <v>16.018672286617488</v>
      </c>
      <c r="T11" s="1520">
        <f>ROW('※ 인력 세부데이터'!J7)</f>
        <v>7</v>
      </c>
      <c r="U11" s="1521"/>
    </row>
    <row r="12" spans="1:57" x14ac:dyDescent="0.55000000000000004">
      <c r="A12" s="7179"/>
      <c r="B12" s="886"/>
      <c r="C12" s="886" t="s">
        <v>174</v>
      </c>
      <c r="D12" s="1544" cm="1">
        <f t="array" aca="1" ref="D12" ca="1">INDIRECT("'※ 인력 세부데이터'!"&amp;D$1&amp;$T13, TRUE)</f>
        <v>45.583333333333336</v>
      </c>
      <c r="E12" s="1545" cm="1">
        <f t="array" aca="1" ref="E12" ca="1">INDIRECT("'※ 인력 세부데이터'!"&amp;E$1&amp;$T13, TRUE)</f>
        <v>47.083333333333336</v>
      </c>
      <c r="F12" s="1526" cm="1">
        <f t="array" aca="1" ref="F12" ca="1">INDIRECT("'※ 인력 세부데이터'!"&amp;F$1&amp;$T13, TRUE)</f>
        <v>47</v>
      </c>
      <c r="G12" s="1527" cm="1">
        <f t="array" aca="1" ref="G12" ca="1">INDIRECT("'※ 인력 세부데이터'!"&amp;G$1&amp;$T13, TRUE)</f>
        <v>47</v>
      </c>
      <c r="H12" s="1527" cm="1">
        <f t="array" aca="1" ref="H12" ca="1">INDIRECT("'※ 인력 세부데이터'!"&amp;H$1&amp;$T13, TRUE)</f>
        <v>47</v>
      </c>
      <c r="I12" s="1527" cm="1">
        <f t="array" aca="1" ref="I12" ca="1">INDIRECT("'※ 인력 세부데이터'!"&amp;I$1&amp;$T13, TRUE)</f>
        <v>47</v>
      </c>
      <c r="J12" s="1527" cm="1">
        <f t="array" aca="1" ref="J12" ca="1">INDIRECT("'※ 인력 세부데이터'!"&amp;J$1&amp;$T13, TRUE)</f>
        <v>47</v>
      </c>
      <c r="K12" s="1527" cm="1">
        <f t="array" aca="1" ref="K12" ca="1">INDIRECT("'※ 인력 세부데이터'!"&amp;K$1&amp;$T13, TRUE)</f>
        <v>47</v>
      </c>
      <c r="L12" s="1545" cm="1">
        <f t="array" aca="1" ref="L12" ca="1">INDIRECT("'※ 인력 세부데이터'!"&amp;L$1&amp;$T13, TRUE)</f>
        <v>46</v>
      </c>
      <c r="M12" s="1527" cm="1">
        <f t="array" aca="1" ref="M12" ca="1">INDIRECT("'※ 인력 세부데이터'!"&amp;M$1&amp;$T13, TRUE)</f>
        <v>46</v>
      </c>
      <c r="N12" s="1527" cm="1">
        <f t="array" aca="1" ref="N12" ca="1">INDIRECT("'※ 인력 세부데이터'!"&amp;N$1&amp;$T13, TRUE)</f>
        <v>46</v>
      </c>
      <c r="O12" s="1528" cm="1">
        <f t="array" aca="1" ref="O12" ca="1">INDIRECT("'※ 인력 세부데이터'!"&amp;O$1&amp;$T13, TRUE)</f>
        <v>0.25</v>
      </c>
      <c r="P12" s="1546" cm="1">
        <f t="array" aca="1" ref="P12" ca="1">INDIRECT("'※ 인력 세부데이터'!"&amp;P$1&amp;$T13, TRUE)</f>
        <v>11</v>
      </c>
      <c r="Q12" s="1547" cm="1">
        <f t="array" aca="1" ref="Q12" ca="1">INDIRECT("'※ 인력 세부데이터'!"&amp;Q$1&amp;$T13, TRUE)</f>
        <v>0.2391304347826087</v>
      </c>
      <c r="R12" s="1548" cm="1">
        <f t="array" aca="1" ref="R12" ca="1">INDIRECT("'※ 인력 세부데이터'!"&amp;R$1&amp;$T13, TRUE)</f>
        <v>38.5</v>
      </c>
      <c r="S12" s="1549" cm="1">
        <f t="array" aca="1" ref="S12" ca="1">INDIRECT("'※ 인력 세부데이터'!"&amp;S$1&amp;$T13, TRUE)</f>
        <v>10.881596188207265</v>
      </c>
      <c r="T12" s="1520">
        <f>ROW('※ 인력 세부데이터'!J8)</f>
        <v>8</v>
      </c>
      <c r="U12" s="1521"/>
    </row>
    <row r="13" spans="1:57" x14ac:dyDescent="0.55000000000000004">
      <c r="A13" s="7179"/>
      <c r="B13" s="886"/>
      <c r="C13" s="886" t="s">
        <v>175</v>
      </c>
      <c r="D13" s="1544" cm="1">
        <f t="array" aca="1" ref="D13" ca="1">INDIRECT("'※ 인력 세부데이터'!"&amp;D$1&amp;$T14, TRUE)</f>
        <v>22.833333333333332</v>
      </c>
      <c r="E13" s="1545" cm="1">
        <f t="array" aca="1" ref="E13" ca="1">INDIRECT("'※ 인력 세부데이터'!"&amp;E$1&amp;$T14, TRUE)</f>
        <v>23.5</v>
      </c>
      <c r="F13" s="1526" cm="1">
        <f t="array" aca="1" ref="F13" ca="1">INDIRECT("'※ 인력 세부데이터'!"&amp;F$1&amp;$T14, TRUE)</f>
        <v>26</v>
      </c>
      <c r="G13" s="1527" cm="1">
        <f t="array" aca="1" ref="G13" ca="1">INDIRECT("'※ 인력 세부데이터'!"&amp;G$1&amp;$T14, TRUE)</f>
        <v>26</v>
      </c>
      <c r="H13" s="1527" cm="1">
        <f t="array" aca="1" ref="H13" ca="1">INDIRECT("'※ 인력 세부데이터'!"&amp;H$1&amp;$T14, TRUE)</f>
        <v>24</v>
      </c>
      <c r="I13" s="1527" cm="1">
        <f t="array" aca="1" ref="I13" ca="1">INDIRECT("'※ 인력 세부데이터'!"&amp;I$1&amp;$T14, TRUE)</f>
        <v>24</v>
      </c>
      <c r="J13" s="1527" cm="1">
        <f t="array" aca="1" ref="J13" ca="1">INDIRECT("'※ 인력 세부데이터'!"&amp;J$1&amp;$T14, TRUE)</f>
        <v>24</v>
      </c>
      <c r="K13" s="1527" cm="1">
        <f t="array" aca="1" ref="K13" ca="1">INDIRECT("'※ 인력 세부데이터'!"&amp;K$1&amp;$T14, TRUE)</f>
        <v>24</v>
      </c>
      <c r="L13" s="1545" cm="1">
        <f t="array" aca="1" ref="L13" ca="1">INDIRECT("'※ 인력 세부데이터'!"&amp;L$1&amp;$T14, TRUE)</f>
        <v>14</v>
      </c>
      <c r="M13" s="1527" cm="1">
        <f t="array" aca="1" ref="M13" ca="1">INDIRECT("'※ 인력 세부데이터'!"&amp;M$1&amp;$T14, TRUE)</f>
        <v>14</v>
      </c>
      <c r="N13" s="1527" cm="1">
        <f t="array" aca="1" ref="N13" ca="1">INDIRECT("'※ 인력 세부데이터'!"&amp;N$1&amp;$T14, TRUE)</f>
        <v>14</v>
      </c>
      <c r="O13" s="1528" cm="1">
        <f t="array" aca="1" ref="O13" ca="1">INDIRECT("'※ 인력 세부데이터'!"&amp;O$1&amp;$T14, TRUE)</f>
        <v>7.6086956521739135E-2</v>
      </c>
      <c r="P13" s="1546" cm="1">
        <f t="array" aca="1" ref="P13" ca="1">INDIRECT("'※ 인력 세부데이터'!"&amp;P$1&amp;$T14, TRUE)</f>
        <v>6</v>
      </c>
      <c r="Q13" s="1547" cm="1">
        <f t="array" aca="1" ref="Q13" ca="1">INDIRECT("'※ 인력 세부데이터'!"&amp;Q$1&amp;$T14, TRUE)</f>
        <v>0.42857142857142855</v>
      </c>
      <c r="R13" s="1548" cm="1">
        <f t="array" aca="1" ref="R13" ca="1">INDIRECT("'※ 인력 세부데이터'!"&amp;R$1&amp;$T14, TRUE)</f>
        <v>31.142857142857142</v>
      </c>
      <c r="S13" s="1549" cm="1">
        <f t="array" aca="1" ref="S13" ca="1">INDIRECT("'※ 인력 세부데이터'!"&amp;S$1&amp;$T14, TRUE)</f>
        <v>4.6559686888453999</v>
      </c>
      <c r="T13" s="1520">
        <f>ROW('※ 인력 세부데이터'!J9)</f>
        <v>9</v>
      </c>
      <c r="U13" s="1521"/>
    </row>
    <row r="14" spans="1:57" x14ac:dyDescent="0.55000000000000004">
      <c r="A14" s="7179"/>
      <c r="B14" s="594"/>
      <c r="C14" s="886" t="s">
        <v>176</v>
      </c>
      <c r="D14" s="1544" cm="1">
        <f t="array" aca="1" ref="D14" ca="1">INDIRECT("'※ 인력 세부데이터'!"&amp;D$1&amp;$T15, TRUE)</f>
        <v>26.083333333333332</v>
      </c>
      <c r="E14" s="1545" cm="1">
        <f t="array" aca="1" ref="E14" ca="1">INDIRECT("'※ 인력 세부데이터'!"&amp;E$1&amp;$T15, TRUE)</f>
        <v>22</v>
      </c>
      <c r="F14" s="1526" cm="1">
        <f t="array" aca="1" ref="F14" ca="1">INDIRECT("'※ 인력 세부데이터'!"&amp;F$1&amp;$T15, TRUE)</f>
        <v>18</v>
      </c>
      <c r="G14" s="1527" cm="1">
        <f t="array" aca="1" ref="G14" ca="1">INDIRECT("'※ 인력 세부데이터'!"&amp;G$1&amp;$T15, TRUE)</f>
        <v>18</v>
      </c>
      <c r="H14" s="1527" cm="1">
        <f t="array" aca="1" ref="H14" ca="1">INDIRECT("'※ 인력 세부데이터'!"&amp;H$1&amp;$T15, TRUE)</f>
        <v>18</v>
      </c>
      <c r="I14" s="1527" cm="1">
        <f t="array" aca="1" ref="I14" ca="1">INDIRECT("'※ 인력 세부데이터'!"&amp;I$1&amp;$T15, TRUE)</f>
        <v>18</v>
      </c>
      <c r="J14" s="1527" cm="1">
        <f t="array" aca="1" ref="J14" ca="1">INDIRECT("'※ 인력 세부데이터'!"&amp;J$1&amp;$T15, TRUE)</f>
        <v>18</v>
      </c>
      <c r="K14" s="1527" cm="1">
        <f t="array" aca="1" ref="K14" ca="1">INDIRECT("'※ 인력 세부데이터'!"&amp;K$1&amp;$T15, TRUE)</f>
        <v>18</v>
      </c>
      <c r="L14" s="1545" cm="1">
        <f t="array" aca="1" ref="L14" ca="1">INDIRECT("'※ 인력 세부데이터'!"&amp;L$1&amp;$T15, TRUE)</f>
        <v>27</v>
      </c>
      <c r="M14" s="1527" cm="1">
        <f t="array" aca="1" ref="M14" ca="1">INDIRECT("'※ 인력 세부데이터'!"&amp;M$1&amp;$T15, TRUE)</f>
        <v>27</v>
      </c>
      <c r="N14" s="1527" cm="1">
        <f t="array" aca="1" ref="N14" ca="1">INDIRECT("'※ 인력 세부데이터'!"&amp;N$1&amp;$T15, TRUE)</f>
        <v>27</v>
      </c>
      <c r="O14" s="1528" cm="1">
        <f t="array" aca="1" ref="O14" ca="1">INDIRECT("'※ 인력 세부데이터'!"&amp;O$1&amp;$T15, TRUE)</f>
        <v>0.14673913043478262</v>
      </c>
      <c r="P14" s="1546" cm="1">
        <f t="array" aca="1" ref="P14" ca="1">INDIRECT("'※ 인력 세부데이터'!"&amp;P$1&amp;$T15, TRUE)</f>
        <v>12</v>
      </c>
      <c r="Q14" s="1547" cm="1">
        <f t="array" aca="1" ref="Q14" ca="1">INDIRECT("'※ 인력 세부데이터'!"&amp;Q$1&amp;$T15, TRUE)</f>
        <v>0.44444444444444442</v>
      </c>
      <c r="R14" s="1548" cm="1">
        <f t="array" aca="1" ref="R14" ca="1">INDIRECT("'※ 인력 세부데이터'!"&amp;R$1&amp;$T15, TRUE)</f>
        <v>28.592592592592592</v>
      </c>
      <c r="S14" s="1549" cm="1">
        <f t="array" aca="1" ref="S14" ca="1">INDIRECT("'※ 인력 세부데이터'!"&amp;S$1&amp;$T15, TRUE)</f>
        <v>1.4229325215626598</v>
      </c>
      <c r="T14" s="1520">
        <f>ROW('※ 인력 세부데이터'!J10)</f>
        <v>10</v>
      </c>
      <c r="U14" s="1521"/>
    </row>
    <row r="15" spans="1:57" x14ac:dyDescent="0.55000000000000004">
      <c r="A15" s="7179"/>
      <c r="B15" s="1533" t="s">
        <v>178</v>
      </c>
      <c r="C15" s="1534"/>
      <c r="D15" s="1535" cm="1">
        <f t="array" aca="1" ref="D15" ca="1">INDIRECT("'※ 인력 세부데이터'!"&amp;D$1&amp;$T16, TRUE)</f>
        <v>1811.8333333333333</v>
      </c>
      <c r="E15" s="1536" cm="1">
        <f t="array" aca="1" ref="E15" ca="1">INDIRECT("'※ 인력 세부데이터'!"&amp;E$1&amp;$T16, TRUE)</f>
        <v>1867.6666666666667</v>
      </c>
      <c r="F15" s="1537" cm="1">
        <f t="array" aca="1" ref="F15" ca="1">INDIRECT("'※ 인력 세부데이터'!"&amp;F$1&amp;$T16, TRUE)</f>
        <v>1916</v>
      </c>
      <c r="G15" s="1538" cm="1">
        <f t="array" aca="1" ref="G15" ca="1">INDIRECT("'※ 인력 세부데이터'!"&amp;G$1&amp;$T16, TRUE)</f>
        <v>1904</v>
      </c>
      <c r="H15" s="1538" cm="1">
        <f t="array" aca="1" ref="H15" ca="1">INDIRECT("'※ 인력 세부데이터'!"&amp;H$1&amp;$T16, TRUE)</f>
        <v>1911</v>
      </c>
      <c r="I15" s="1538" cm="1">
        <f t="array" aca="1" ref="I15" ca="1">INDIRECT("'※ 인력 세부데이터'!"&amp;I$1&amp;$T16, TRUE)</f>
        <v>1908</v>
      </c>
      <c r="J15" s="1538" cm="1">
        <f t="array" aca="1" ref="J15" ca="1">INDIRECT("'※ 인력 세부데이터'!"&amp;J$1&amp;$T16, TRUE)</f>
        <v>1901</v>
      </c>
      <c r="K15" s="1538" cm="1">
        <f t="array" aca="1" ref="K15" ca="1">INDIRECT("'※ 인력 세부데이터'!"&amp;K$1&amp;$T16, TRUE)</f>
        <v>1886</v>
      </c>
      <c r="L15" s="1536" cm="1">
        <f t="array" aca="1" ref="L15" ca="1">INDIRECT("'※ 인력 세부데이터'!"&amp;L$1&amp;$T16, TRUE)</f>
        <v>1832.5</v>
      </c>
      <c r="M15" s="1538" cm="1">
        <f t="array" aca="1" ref="M15" ca="1">INDIRECT("'※ 인력 세부데이터'!"&amp;M$1&amp;$T16, TRUE)</f>
        <v>1832</v>
      </c>
      <c r="N15" s="1538" cm="1">
        <f t="array" aca="1" ref="N15" ca="1">INDIRECT("'※ 인력 세부데이터'!"&amp;N$1&amp;$T16, TRUE)</f>
        <v>1833</v>
      </c>
      <c r="O15" s="1539" cm="1">
        <f t="array" aca="1" ref="O15" ca="1">INDIRECT("'※ 인력 세부데이터'!"&amp;O$1&amp;$T16, TRUE)</f>
        <v>0.82933454051607058</v>
      </c>
      <c r="P15" s="1540" cm="1">
        <f t="array" aca="1" ref="P15" ca="1">INDIRECT("'※ 인력 세부데이터'!"&amp;P$1&amp;$T16, TRUE)</f>
        <v>731</v>
      </c>
      <c r="Q15" s="1541" cm="1">
        <f t="array" aca="1" ref="Q15" ca="1">INDIRECT("'※ 인력 세부데이터'!"&amp;Q$1&amp;$T16, TRUE)</f>
        <v>0.3990174672489083</v>
      </c>
      <c r="R15" s="1542" cm="1">
        <f t="array" aca="1" ref="R15" ca="1">INDIRECT("'※ 인력 세부데이터'!"&amp;R$1&amp;$T16, TRUE)</f>
        <v>34.920349154391708</v>
      </c>
      <c r="S15" s="1543" cm="1">
        <f t="array" aca="1" ref="S15" ca="1">INDIRECT("'※ 인력 세부데이터'!"&amp;S$1&amp;$T16, TRUE)</f>
        <v>6.2707082483240981</v>
      </c>
      <c r="T15" s="1520">
        <f>ROW('※ 인력 세부데이터'!J11)</f>
        <v>11</v>
      </c>
      <c r="U15" s="1521"/>
    </row>
    <row r="16" spans="1:57" x14ac:dyDescent="0.55000000000000004">
      <c r="A16" s="7179"/>
      <c r="B16" s="1067"/>
      <c r="C16" s="886" t="s">
        <v>195</v>
      </c>
      <c r="D16" s="1544" cm="1">
        <f t="array" aca="1" ref="D16" ca="1">INDIRECT("'※ 인력 세부데이터'!"&amp;D$1&amp;$T17, TRUE)</f>
        <v>2.9166666666666665</v>
      </c>
      <c r="E16" s="1545" cm="1">
        <f t="array" aca="1" ref="E16" ca="1">INDIRECT("'※ 인력 세부데이터'!"&amp;E$1&amp;$T17, TRUE)</f>
        <v>1.1666666666666667</v>
      </c>
      <c r="F16" s="1526" cm="1">
        <f t="array" aca="1" ref="F16" ca="1">INDIRECT("'※ 인력 세부데이터'!"&amp;F$1&amp;$T17, TRUE)</f>
        <v>3</v>
      </c>
      <c r="G16" s="1527" cm="1">
        <f t="array" aca="1" ref="G16" ca="1">INDIRECT("'※ 인력 세부데이터'!"&amp;G$1&amp;$T17, TRUE)</f>
        <v>1</v>
      </c>
      <c r="H16" s="1527" cm="1">
        <f t="array" aca="1" ref="H16" ca="1">INDIRECT("'※ 인력 세부데이터'!"&amp;H$1&amp;$T17, TRUE)</f>
        <v>1</v>
      </c>
      <c r="I16" s="1527" cm="1">
        <f t="array" aca="1" ref="I16" ca="1">INDIRECT("'※ 인력 세부데이터'!"&amp;I$1&amp;$T17, TRUE)</f>
        <v>1</v>
      </c>
      <c r="J16" s="1527" cm="1">
        <f t="array" aca="1" ref="J16" ca="1">INDIRECT("'※ 인력 세부데이터'!"&amp;J$1&amp;$T17, TRUE)</f>
        <v>1</v>
      </c>
      <c r="K16" s="1527" cm="1">
        <f t="array" aca="1" ref="K16" ca="1">INDIRECT("'※ 인력 세부데이터'!"&amp;K$1&amp;$T17, TRUE)</f>
        <v>1</v>
      </c>
      <c r="L16" s="1545" cm="1">
        <f t="array" aca="1" ref="L16" ca="1">INDIRECT("'※ 인력 세부데이터'!"&amp;L$1&amp;$T17, TRUE)</f>
        <v>3</v>
      </c>
      <c r="M16" s="1527" cm="1">
        <f t="array" aca="1" ref="M16" ca="1">INDIRECT("'※ 인력 세부데이터'!"&amp;M$1&amp;$T17, TRUE)</f>
        <v>3</v>
      </c>
      <c r="N16" s="1527" cm="1">
        <f t="array" aca="1" ref="N16" ca="1">INDIRECT("'※ 인력 세부데이터'!"&amp;N$1&amp;$T17, TRUE)</f>
        <v>3</v>
      </c>
      <c r="O16" s="1528" cm="1">
        <f t="array" aca="1" ref="O16" ca="1">INDIRECT("'※ 인력 세부데이터'!"&amp;O$1&amp;$T17, TRUE)</f>
        <v>1.6375545851528383E-3</v>
      </c>
      <c r="P16" s="1546" cm="1">
        <f t="array" aca="1" ref="P16" ca="1">INDIRECT("'※ 인력 세부데이터'!"&amp;P$1&amp;$T17, TRUE)</f>
        <v>1</v>
      </c>
      <c r="Q16" s="1547" cm="1">
        <f t="array" aca="1" ref="Q16" ca="1">INDIRECT("'※ 인력 세부데이터'!"&amp;Q$1&amp;$T17, TRUE)</f>
        <v>0.33333333333333331</v>
      </c>
      <c r="R16" s="1548" cm="1">
        <f t="array" aca="1" ref="R16" ca="1">INDIRECT("'※ 인력 세부데이터'!"&amp;R$1&amp;$T17, TRUE)</f>
        <v>45.333333333333336</v>
      </c>
      <c r="S16" s="1549" cm="1">
        <f t="array" aca="1" ref="S16" ca="1">INDIRECT("'※ 인력 세부데이터'!"&amp;S$1&amp;$T17, TRUE)</f>
        <v>17.357077625570778</v>
      </c>
      <c r="T16" s="1520">
        <f>ROW('※ 인력 세부데이터'!J12)</f>
        <v>12</v>
      </c>
      <c r="U16" s="1521"/>
    </row>
    <row r="17" spans="1:21" x14ac:dyDescent="0.55000000000000004">
      <c r="A17" s="7179"/>
      <c r="B17" s="594"/>
      <c r="C17" s="594" t="s">
        <v>171</v>
      </c>
      <c r="D17" s="1544" cm="1">
        <f t="array" aca="1" ref="D17" ca="1">INDIRECT("'※ 인력 세부데이터'!"&amp;D$1&amp;$T18, TRUE)</f>
        <v>21.166666666666668</v>
      </c>
      <c r="E17" s="1545" cm="1">
        <f t="array" aca="1" ref="E17" ca="1">INDIRECT("'※ 인력 세부데이터'!"&amp;E$1&amp;$T18, TRUE)</f>
        <v>27.166666666666668</v>
      </c>
      <c r="F17" s="1526" cm="1">
        <f t="array" aca="1" ref="F17" ca="1">INDIRECT("'※ 인력 세부데이터'!"&amp;F$1&amp;$T18, TRUE)</f>
        <v>22</v>
      </c>
      <c r="G17" s="1527" cm="1">
        <f t="array" aca="1" ref="G17" ca="1">INDIRECT("'※ 인력 세부데이터'!"&amp;G$1&amp;$T18, TRUE)</f>
        <v>25</v>
      </c>
      <c r="H17" s="1527" cm="1">
        <f t="array" aca="1" ref="H17" ca="1">INDIRECT("'※ 인력 세부데이터'!"&amp;H$1&amp;$T18, TRUE)</f>
        <v>25</v>
      </c>
      <c r="I17" s="1527" cm="1">
        <f t="array" aca="1" ref="I17" ca="1">INDIRECT("'※ 인력 세부데이터'!"&amp;I$1&amp;$T18, TRUE)</f>
        <v>25</v>
      </c>
      <c r="J17" s="1527" cm="1">
        <f t="array" aca="1" ref="J17" ca="1">INDIRECT("'※ 인력 세부데이터'!"&amp;J$1&amp;$T18, TRUE)</f>
        <v>24</v>
      </c>
      <c r="K17" s="1527" cm="1">
        <f t="array" aca="1" ref="K17" ca="1">INDIRECT("'※ 인력 세부데이터'!"&amp;K$1&amp;$T18, TRUE)</f>
        <v>24</v>
      </c>
      <c r="L17" s="1545" cm="1">
        <f t="array" aca="1" ref="L17" ca="1">INDIRECT("'※ 인력 세부데이터'!"&amp;L$1&amp;$T18, TRUE)</f>
        <v>40</v>
      </c>
      <c r="M17" s="1527" cm="1">
        <f t="array" aca="1" ref="M17" ca="1">INDIRECT("'※ 인력 세부데이터'!"&amp;M$1&amp;$T18, TRUE)</f>
        <v>40</v>
      </c>
      <c r="N17" s="1527" cm="1">
        <f t="array" aca="1" ref="N17" ca="1">INDIRECT("'※ 인력 세부데이터'!"&amp;N$1&amp;$T18, TRUE)</f>
        <v>40</v>
      </c>
      <c r="O17" s="1528" cm="1">
        <f t="array" aca="1" ref="O17" ca="1">INDIRECT("'※ 인력 세부데이터'!"&amp;O$1&amp;$T18, TRUE)</f>
        <v>2.1834061135371178E-2</v>
      </c>
      <c r="P17" s="1546" cm="1">
        <f t="array" aca="1" ref="P17" ca="1">INDIRECT("'※ 인력 세부데이터'!"&amp;P$1&amp;$T18, TRUE)</f>
        <v>5</v>
      </c>
      <c r="Q17" s="1547" cm="1">
        <f t="array" aca="1" ref="Q17" ca="1">INDIRECT("'※ 인력 세부데이터'!"&amp;Q$1&amp;$T18, TRUE)</f>
        <v>0.125</v>
      </c>
      <c r="R17" s="1548" cm="1">
        <f t="array" aca="1" ref="R17" ca="1">INDIRECT("'※ 인력 세부데이터'!"&amp;R$1&amp;$T18, TRUE)</f>
        <v>44.2</v>
      </c>
      <c r="S17" s="1549" cm="1">
        <f t="array" aca="1" ref="S17" ca="1">INDIRECT("'※ 인력 세부데이터'!"&amp;S$1&amp;$T18, TRUE)</f>
        <v>16.031986301369862</v>
      </c>
      <c r="T17" s="1520">
        <f>ROW('※ 인력 세부데이터'!J13)</f>
        <v>13</v>
      </c>
      <c r="U17" s="1521"/>
    </row>
    <row r="18" spans="1:21" x14ac:dyDescent="0.55000000000000004">
      <c r="A18" s="7179"/>
      <c r="B18" s="594"/>
      <c r="C18" s="594" t="s">
        <v>173</v>
      </c>
      <c r="D18" s="1544" cm="1">
        <f t="array" aca="1" ref="D18" ca="1">INDIRECT("'※ 인력 세부데이터'!"&amp;D$1&amp;$T19, TRUE)</f>
        <v>100.16666666666667</v>
      </c>
      <c r="E18" s="1545" cm="1">
        <f t="array" aca="1" ref="E18" ca="1">INDIRECT("'※ 인력 세부데이터'!"&amp;E$1&amp;$T19, TRUE)</f>
        <v>127.33333333333333</v>
      </c>
      <c r="F18" s="1526" cm="1">
        <f t="array" aca="1" ref="F18" ca="1">INDIRECT("'※ 인력 세부데이터'!"&amp;F$1&amp;$T19, TRUE)</f>
        <v>106</v>
      </c>
      <c r="G18" s="1527" cm="1">
        <f t="array" aca="1" ref="G18" ca="1">INDIRECT("'※ 인력 세부데이터'!"&amp;G$1&amp;$T19, TRUE)</f>
        <v>125</v>
      </c>
      <c r="H18" s="1527" cm="1">
        <f t="array" aca="1" ref="H18" ca="1">INDIRECT("'※ 인력 세부데이터'!"&amp;H$1&amp;$T19, TRUE)</f>
        <v>124</v>
      </c>
      <c r="I18" s="1527" cm="1">
        <f t="array" aca="1" ref="I18" ca="1">INDIRECT("'※ 인력 세부데이터'!"&amp;I$1&amp;$T19, TRUE)</f>
        <v>124</v>
      </c>
      <c r="J18" s="1527" cm="1">
        <f t="array" aca="1" ref="J18" ca="1">INDIRECT("'※ 인력 세부데이터'!"&amp;J$1&amp;$T19, TRUE)</f>
        <v>124</v>
      </c>
      <c r="K18" s="1527" cm="1">
        <f t="array" aca="1" ref="K18" ca="1">INDIRECT("'※ 인력 세부데이터'!"&amp;K$1&amp;$T19, TRUE)</f>
        <v>124</v>
      </c>
      <c r="L18" s="1545" cm="1">
        <f t="array" aca="1" ref="L18" ca="1">INDIRECT("'※ 인력 세부데이터'!"&amp;L$1&amp;$T19, TRUE)</f>
        <v>161</v>
      </c>
      <c r="M18" s="1527" cm="1">
        <f t="array" aca="1" ref="M18" ca="1">INDIRECT("'※ 인력 세부데이터'!"&amp;M$1&amp;$T19, TRUE)</f>
        <v>161</v>
      </c>
      <c r="N18" s="1527" cm="1">
        <f t="array" aca="1" ref="N18" ca="1">INDIRECT("'※ 인력 세부데이터'!"&amp;N$1&amp;$T19, TRUE)</f>
        <v>161</v>
      </c>
      <c r="O18" s="1528" cm="1">
        <f t="array" aca="1" ref="O18" ca="1">INDIRECT("'※ 인력 세부데이터'!"&amp;O$1&amp;$T19, TRUE)</f>
        <v>8.7882096069868992E-2</v>
      </c>
      <c r="P18" s="1546" cm="1">
        <f t="array" aca="1" ref="P18" ca="1">INDIRECT("'※ 인력 세부데이터'!"&amp;P$1&amp;$T19, TRUE)</f>
        <v>42</v>
      </c>
      <c r="Q18" s="1547" cm="1">
        <f t="array" aca="1" ref="Q18" ca="1">INDIRECT("'※ 인력 세부데이터'!"&amp;Q$1&amp;$T19, TRUE)</f>
        <v>0.2608695652173913</v>
      </c>
      <c r="R18" s="1548" cm="1">
        <f t="array" aca="1" ref="R18" ca="1">INDIRECT("'※ 인력 세부데이터'!"&amp;R$1&amp;$T19, TRUE)</f>
        <v>40.87577639751553</v>
      </c>
      <c r="S18" s="1549" cm="1">
        <f t="array" aca="1" ref="S18" ca="1">INDIRECT("'※ 인력 세부데이터'!"&amp;S$1&amp;$T19, TRUE)</f>
        <v>12.903462945630912</v>
      </c>
      <c r="T18" s="1520">
        <f>ROW('※ 인력 세부데이터'!J14)</f>
        <v>14</v>
      </c>
      <c r="U18" s="1521"/>
    </row>
    <row r="19" spans="1:21" x14ac:dyDescent="0.55000000000000004">
      <c r="A19" s="7179"/>
      <c r="B19" s="594"/>
      <c r="C19" s="886" t="s">
        <v>174</v>
      </c>
      <c r="D19" s="1544" cm="1">
        <f t="array" aca="1" ref="D19" ca="1">INDIRECT("'※ 인력 세부데이터'!"&amp;D$1&amp;$T20, TRUE)</f>
        <v>312.75</v>
      </c>
      <c r="E19" s="1545" cm="1">
        <f t="array" aca="1" ref="E19" ca="1">INDIRECT("'※ 인력 세부데이터'!"&amp;E$1&amp;$T20, TRUE)</f>
        <v>342.75</v>
      </c>
      <c r="F19" s="1526" cm="1">
        <f t="array" aca="1" ref="F19" ca="1">INDIRECT("'※ 인력 세부데이터'!"&amp;F$1&amp;$T20, TRUE)</f>
        <v>322</v>
      </c>
      <c r="G19" s="1527" cm="1">
        <f t="array" aca="1" ref="G19" ca="1">INDIRECT("'※ 인력 세부데이터'!"&amp;G$1&amp;$T20, TRUE)</f>
        <v>348</v>
      </c>
      <c r="H19" s="1527" cm="1">
        <f t="array" aca="1" ref="H19" ca="1">INDIRECT("'※ 인력 세부데이터'!"&amp;H$1&amp;$T20, TRUE)</f>
        <v>344</v>
      </c>
      <c r="I19" s="1527" cm="1">
        <f t="array" aca="1" ref="I19" ca="1">INDIRECT("'※ 인력 세부데이터'!"&amp;I$1&amp;$T20, TRUE)</f>
        <v>343</v>
      </c>
      <c r="J19" s="1527" cm="1">
        <f t="array" aca="1" ref="J19" ca="1">INDIRECT("'※ 인력 세부데이터'!"&amp;J$1&amp;$T20, TRUE)</f>
        <v>344</v>
      </c>
      <c r="K19" s="1527" cm="1">
        <f t="array" aca="1" ref="K19" ca="1">INDIRECT("'※ 인력 세부데이터'!"&amp;K$1&amp;$T20, TRUE)</f>
        <v>340</v>
      </c>
      <c r="L19" s="1545" cm="1">
        <f t="array" aca="1" ref="L19" ca="1">INDIRECT("'※ 인력 세부데이터'!"&amp;L$1&amp;$T20, TRUE)</f>
        <v>388</v>
      </c>
      <c r="M19" s="1527" cm="1">
        <f t="array" aca="1" ref="M19" ca="1">INDIRECT("'※ 인력 세부데이터'!"&amp;M$1&amp;$T20, TRUE)</f>
        <v>389</v>
      </c>
      <c r="N19" s="1527" cm="1">
        <f t="array" aca="1" ref="N19" ca="1">INDIRECT("'※ 인력 세부데이터'!"&amp;N$1&amp;$T20, TRUE)</f>
        <v>387</v>
      </c>
      <c r="O19" s="1528" cm="1">
        <f t="array" aca="1" ref="O19" ca="1">INDIRECT("'※ 인력 세부데이터'!"&amp;O$1&amp;$T20, TRUE)</f>
        <v>0.21233624454148473</v>
      </c>
      <c r="P19" s="1546" cm="1">
        <f t="array" aca="1" ref="P19" ca="1">INDIRECT("'※ 인력 세부데이터'!"&amp;P$1&amp;$T20, TRUE)</f>
        <v>173</v>
      </c>
      <c r="Q19" s="1547" cm="1">
        <f t="array" aca="1" ref="Q19" ca="1">INDIRECT("'※ 인력 세부데이터'!"&amp;Q$1&amp;$T20, TRUE)</f>
        <v>0.44473007712082263</v>
      </c>
      <c r="R19" s="1548" cm="1">
        <f t="array" aca="1" ref="R19" ca="1">INDIRECT("'※ 인력 세부데이터'!"&amp;R$1&amp;$T20, TRUE)</f>
        <v>38.496124031007753</v>
      </c>
      <c r="S19" s="1549" cm="1">
        <f t="array" aca="1" ref="S19" ca="1">INDIRECT("'※ 인력 세부데이터'!"&amp;S$1&amp;$T20, TRUE)</f>
        <v>10.309312944674522</v>
      </c>
      <c r="T19" s="1520">
        <f>ROW('※ 인력 세부데이터'!J15)</f>
        <v>15</v>
      </c>
      <c r="U19" s="1521"/>
    </row>
    <row r="20" spans="1:21" x14ac:dyDescent="0.55000000000000004">
      <c r="A20" s="7179"/>
      <c r="B20" s="594"/>
      <c r="C20" s="886" t="s">
        <v>175</v>
      </c>
      <c r="D20" s="1544" cm="1">
        <f t="array" aca="1" ref="D20" ca="1">INDIRECT("'※ 인력 세부데이터'!"&amp;D$1&amp;$T21, TRUE)</f>
        <v>507</v>
      </c>
      <c r="E20" s="1545" cm="1">
        <f t="array" aca="1" ref="E20" ca="1">INDIRECT("'※ 인력 세부데이터'!"&amp;E$1&amp;$T21, TRUE)</f>
        <v>534.33333333333337</v>
      </c>
      <c r="F20" s="1526" cm="1">
        <f t="array" aca="1" ref="F20" ca="1">INDIRECT("'※ 인력 세부데이터'!"&amp;F$1&amp;$T21, TRUE)</f>
        <v>518</v>
      </c>
      <c r="G20" s="1527" cm="1">
        <f t="array" aca="1" ref="G20" ca="1">INDIRECT("'※ 인력 세부데이터'!"&amp;G$1&amp;$T21, TRUE)</f>
        <v>544</v>
      </c>
      <c r="H20" s="1527" cm="1">
        <f t="array" aca="1" ref="H20" ca="1">INDIRECT("'※ 인력 세부데이터'!"&amp;H$1&amp;$T21, TRUE)</f>
        <v>543</v>
      </c>
      <c r="I20" s="1527" cm="1">
        <f t="array" aca="1" ref="I20" ca="1">INDIRECT("'※ 인력 세부데이터'!"&amp;I$1&amp;$T21, TRUE)</f>
        <v>536</v>
      </c>
      <c r="J20" s="1527" cm="1">
        <f t="array" aca="1" ref="J20" ca="1">INDIRECT("'※ 인력 세부데이터'!"&amp;J$1&amp;$T21, TRUE)</f>
        <v>529</v>
      </c>
      <c r="K20" s="1527" cm="1">
        <f t="array" aca="1" ref="K20" ca="1">INDIRECT("'※ 인력 세부데이터'!"&amp;K$1&amp;$T21, TRUE)</f>
        <v>522</v>
      </c>
      <c r="L20" s="1545" cm="1">
        <f t="array" aca="1" ref="L20" ca="1">INDIRECT("'※ 인력 세부데이터'!"&amp;L$1&amp;$T21, TRUE)</f>
        <v>518</v>
      </c>
      <c r="M20" s="1527" cm="1">
        <f t="array" aca="1" ref="M20" ca="1">INDIRECT("'※ 인력 세부데이터'!"&amp;M$1&amp;$T21, TRUE)</f>
        <v>520</v>
      </c>
      <c r="N20" s="1527" cm="1">
        <f t="array" aca="1" ref="N20" ca="1">INDIRECT("'※ 인력 세부데이터'!"&amp;N$1&amp;$T21, TRUE)</f>
        <v>516</v>
      </c>
      <c r="O20" s="1528" cm="1">
        <f t="array" aca="1" ref="O20" ca="1">INDIRECT("'※ 인력 세부데이터'!"&amp;O$1&amp;$T21, TRUE)</f>
        <v>0.28384279475982532</v>
      </c>
      <c r="P20" s="1546" cm="1">
        <f t="array" aca="1" ref="P20" ca="1">INDIRECT("'※ 인력 세부데이터'!"&amp;P$1&amp;$T21, TRUE)</f>
        <v>227</v>
      </c>
      <c r="Q20" s="1547" cm="1">
        <f t="array" aca="1" ref="Q20" ca="1">INDIRECT("'※ 인력 세부데이터'!"&amp;Q$1&amp;$T21, TRUE)</f>
        <v>0.43653846153846154</v>
      </c>
      <c r="R20" s="1548" cm="1">
        <f t="array" aca="1" ref="R20" ca="1">INDIRECT("'※ 인력 세부데이터'!"&amp;R$1&amp;$T21, TRUE)</f>
        <v>35.354651162790695</v>
      </c>
      <c r="S20" s="1549" cm="1">
        <f t="array" aca="1" ref="S20" ca="1">INDIRECT("'※ 인력 세부데이터'!"&amp;S$1&amp;$T21, TRUE)</f>
        <v>6.475061059785495</v>
      </c>
      <c r="T20" s="1520">
        <f>ROW('※ 인력 세부데이터'!J16)</f>
        <v>16</v>
      </c>
      <c r="U20" s="1521"/>
    </row>
    <row r="21" spans="1:21" x14ac:dyDescent="0.55000000000000004">
      <c r="A21" s="7179"/>
      <c r="B21" s="1550"/>
      <c r="C21" s="886" t="s">
        <v>176</v>
      </c>
      <c r="D21" s="1544" cm="1">
        <f t="array" aca="1" ref="D21" ca="1">INDIRECT("'※ 인력 세부데이터'!"&amp;D$1&amp;$T22, TRUE)</f>
        <v>744.33333333333337</v>
      </c>
      <c r="E21" s="1545" cm="1">
        <f t="array" aca="1" ref="E21" ca="1">INDIRECT("'※ 인력 세부데이터'!"&amp;E$1&amp;$T22, TRUE)</f>
        <v>823.41666666666663</v>
      </c>
      <c r="F21" s="1526" cm="1">
        <f t="array" aca="1" ref="F21" ca="1">INDIRECT("'※ 인력 세부데이터'!"&amp;F$1&amp;$T22, TRUE)</f>
        <v>810</v>
      </c>
      <c r="G21" s="1527" cm="1">
        <f t="array" aca="1" ref="G21" ca="1">INDIRECT("'※ 인력 세부데이터'!"&amp;G$1&amp;$T22, TRUE)</f>
        <v>860</v>
      </c>
      <c r="H21" s="1527" cm="1">
        <f t="array" aca="1" ref="H21" ca="1">INDIRECT("'※ 인력 세부데이터'!"&amp;H$1&amp;$T22, TRUE)</f>
        <v>874</v>
      </c>
      <c r="I21" s="1527" cm="1">
        <f t="array" aca="1" ref="I21" ca="1">INDIRECT("'※ 인력 세부데이터'!"&amp;I$1&amp;$T22, TRUE)</f>
        <v>879</v>
      </c>
      <c r="J21" s="1527" cm="1">
        <f t="array" aca="1" ref="J21" ca="1">INDIRECT("'※ 인력 세부데이터'!"&amp;J$1&amp;$T22, TRUE)</f>
        <v>879</v>
      </c>
      <c r="K21" s="1527" cm="1">
        <f t="array" aca="1" ref="K21" ca="1">INDIRECT("'※ 인력 세부데이터'!"&amp;K$1&amp;$T22, TRUE)</f>
        <v>875</v>
      </c>
      <c r="L21" s="1545" cm="1">
        <f t="array" aca="1" ref="L21" ca="1">INDIRECT("'※ 인력 세부데이터'!"&amp;L$1&amp;$T22, TRUE)</f>
        <v>722.5</v>
      </c>
      <c r="M21" s="1527" cm="1">
        <f t="array" aca="1" ref="M21" ca="1">INDIRECT("'※ 인력 세부데이터'!"&amp;M$1&amp;$T22, TRUE)</f>
        <v>719</v>
      </c>
      <c r="N21" s="1527" cm="1">
        <f t="array" aca="1" ref="N21" ca="1">INDIRECT("'※ 인력 세부데이터'!"&amp;N$1&amp;$T22, TRUE)</f>
        <v>726</v>
      </c>
      <c r="O21" s="1528" cm="1">
        <f t="array" aca="1" ref="O21" ca="1">INDIRECT("'※ 인력 세부데이터'!"&amp;O$1&amp;$T22, TRUE)</f>
        <v>0.39246724890829693</v>
      </c>
      <c r="P21" s="1546" cm="1">
        <f t="array" aca="1" ref="P21" ca="1">INDIRECT("'※ 인력 세부데이터'!"&amp;P$1&amp;$T22, TRUE)</f>
        <v>283</v>
      </c>
      <c r="Q21" s="1547" cm="1">
        <f t="array" aca="1" ref="Q21" ca="1">INDIRECT("'※ 인력 세부데이터'!"&amp;Q$1&amp;$T22, TRUE)</f>
        <v>0.39360222531293465</v>
      </c>
      <c r="R21" s="1548" cm="1">
        <f t="array" aca="1" ref="R21" ca="1">INDIRECT("'※ 인력 세부데이터'!"&amp;R$1&amp;$T22, TRUE)</f>
        <v>30.830578512396695</v>
      </c>
      <c r="S21" s="1549" cm="1">
        <f t="array" aca="1" ref="S21" ca="1">INDIRECT("'※ 인력 세부데이터'!"&amp;S$1&amp;$T22, TRUE)</f>
        <v>1.9181327597267783</v>
      </c>
      <c r="T21" s="1520">
        <f>ROW('※ 인력 세부데이터'!J17)</f>
        <v>17</v>
      </c>
      <c r="U21" s="1521"/>
    </row>
    <row r="22" spans="1:21" x14ac:dyDescent="0.55000000000000004">
      <c r="A22" s="7179"/>
      <c r="B22" s="1550"/>
      <c r="C22" s="886" t="s">
        <v>196</v>
      </c>
      <c r="D22" s="1544" cm="1">
        <f t="array" aca="1" ref="D22" ca="1">INDIRECT("'※ 인력 세부데이터'!"&amp;D$1&amp;$T23, TRUE)</f>
        <v>123.5</v>
      </c>
      <c r="E22" s="1545" cm="1">
        <f t="array" aca="1" ref="E22" ca="1">INDIRECT("'※ 인력 세부데이터'!"&amp;E$1&amp;$T23, TRUE)</f>
        <v>34.5</v>
      </c>
      <c r="F22" s="1526" cm="1">
        <f t="array" aca="1" ref="F22" ca="1">INDIRECT("'※ 인력 세부데이터'!"&amp;F$1&amp;$T23, TRUE)</f>
        <v>135</v>
      </c>
      <c r="G22" s="1527" cm="1">
        <f t="array" aca="1" ref="G22" ca="1">INDIRECT("'※ 인력 세부데이터'!"&amp;G$1&amp;$T23, TRUE)</f>
        <v>1</v>
      </c>
      <c r="H22" s="1527" cm="1">
        <f t="array" aca="1" ref="H22" ca="1">INDIRECT("'※ 인력 세부데이터'!"&amp;H$1&amp;$T23, TRUE)</f>
        <v>0</v>
      </c>
      <c r="I22" s="1527" cm="1">
        <f t="array" aca="1" ref="I22" ca="1">INDIRECT("'※ 인력 세부데이터'!"&amp;I$1&amp;$T23, TRUE)</f>
        <v>0</v>
      </c>
      <c r="J22" s="1527" cm="1">
        <f t="array" aca="1" ref="J22" ca="1">INDIRECT("'※ 인력 세부데이터'!"&amp;J$1&amp;$T23, TRUE)</f>
        <v>0</v>
      </c>
      <c r="K22" s="1527" cm="1">
        <f t="array" aca="1" ref="K22" ca="1">INDIRECT("'※ 인력 세부데이터'!"&amp;K$1&amp;$T23, TRUE)</f>
        <v>0</v>
      </c>
      <c r="L22" s="1545" cm="1">
        <f t="array" aca="1" ref="L22" ca="1">INDIRECT("'※ 인력 세부데이터'!"&amp;L$1&amp;$T23, TRUE)</f>
        <v>0</v>
      </c>
      <c r="M22" s="1527" cm="1">
        <f t="array" aca="1" ref="M22" ca="1">INDIRECT("'※ 인력 세부데이터'!"&amp;M$1&amp;$T23, TRUE)</f>
        <v>0</v>
      </c>
      <c r="N22" s="1527" cm="1">
        <f t="array" aca="1" ref="N22" ca="1">INDIRECT("'※ 인력 세부데이터'!"&amp;N$1&amp;$T23, TRUE)</f>
        <v>0</v>
      </c>
      <c r="O22" s="1528" cm="1">
        <f t="array" aca="1" ref="O22" ca="1">INDIRECT("'※ 인력 세부데이터'!"&amp;O$1&amp;$T23, TRUE)</f>
        <v>0</v>
      </c>
      <c r="P22" s="1546" cm="1">
        <f t="array" aca="1" ref="P22" ca="1">INDIRECT("'※ 인력 세부데이터'!"&amp;P$1&amp;$T23, TRUE)</f>
        <v>0</v>
      </c>
      <c r="Q22" s="1547" cm="1">
        <f t="array" aca="1" ref="Q22" ca="1">INDIRECT("'※ 인력 세부데이터'!"&amp;Q$1&amp;$T23, TRUE)</f>
        <v>0</v>
      </c>
      <c r="R22" s="1548" cm="1">
        <f t="array" aca="1" ref="R22" ca="1">INDIRECT("'※ 인력 세부데이터'!"&amp;R$1&amp;$T23, TRUE)</f>
        <v>0</v>
      </c>
      <c r="S22" s="1549" cm="1">
        <f t="array" aca="1" ref="S22" ca="1">INDIRECT("'※ 인력 세부데이터'!"&amp;S$1&amp;$T23, TRUE)</f>
        <v>0</v>
      </c>
      <c r="T22" s="1520">
        <f>ROW('※ 인력 세부데이터'!J18)</f>
        <v>18</v>
      </c>
      <c r="U22" s="1521"/>
    </row>
    <row r="23" spans="1:21" x14ac:dyDescent="0.55000000000000004">
      <c r="A23" s="7179"/>
      <c r="B23" s="1533" t="s">
        <v>179</v>
      </c>
      <c r="C23" s="1534"/>
      <c r="D23" s="1535" cm="1">
        <f t="array" aca="1" ref="D23" ca="1">INDIRECT("'※ 인력 세부데이터'!"&amp;D$1&amp;$T24, TRUE)</f>
        <v>111.41666666666667</v>
      </c>
      <c r="E23" s="1536" cm="1">
        <f t="array" aca="1" ref="E23" ca="1">INDIRECT("'※ 인력 세부데이터'!"&amp;E$1&amp;$T24, TRUE)</f>
        <v>141.75</v>
      </c>
      <c r="F23" s="1537" cm="1">
        <f t="array" aca="1" ref="F23" ca="1">INDIRECT("'※ 인력 세부데이터'!"&amp;F$1&amp;$T24, TRUE)</f>
        <v>122</v>
      </c>
      <c r="G23" s="1538" cm="1">
        <f t="array" aca="1" ref="G23" ca="1">INDIRECT("'※ 인력 세부데이터'!"&amp;G$1&amp;$T24, TRUE)</f>
        <v>126</v>
      </c>
      <c r="H23" s="1538" cm="1">
        <f t="array" aca="1" ref="H23" ca="1">INDIRECT("'※ 인력 세부데이터'!"&amp;H$1&amp;$T24, TRUE)</f>
        <v>133</v>
      </c>
      <c r="I23" s="1538" cm="1">
        <f t="array" aca="1" ref="I23" ca="1">INDIRECT("'※ 인력 세부데이터'!"&amp;I$1&amp;$T24, TRUE)</f>
        <v>143</v>
      </c>
      <c r="J23" s="1538" cm="1">
        <f t="array" aca="1" ref="J23" ca="1">INDIRECT("'※ 인력 세부데이터'!"&amp;J$1&amp;$T24, TRUE)</f>
        <v>146</v>
      </c>
      <c r="K23" s="1538" cm="1">
        <f t="array" aca="1" ref="K23" ca="1">INDIRECT("'※ 인력 세부데이터'!"&amp;K$1&amp;$T24, TRUE)</f>
        <v>147</v>
      </c>
      <c r="L23" s="1536" cm="1">
        <f t="array" aca="1" ref="L23" ca="1">INDIRECT("'※ 인력 세부데이터'!"&amp;L$1&amp;$T24, TRUE)</f>
        <v>151.5</v>
      </c>
      <c r="M23" s="1538" cm="1">
        <f t="array" aca="1" ref="M23" ca="1">INDIRECT("'※ 인력 세부데이터'!"&amp;M$1&amp;$T24, TRUE)</f>
        <v>153</v>
      </c>
      <c r="N23" s="1538" cm="1">
        <f t="array" aca="1" ref="N23" ca="1">INDIRECT("'※ 인력 세부데이터'!"&amp;N$1&amp;$T24, TRUE)</f>
        <v>150</v>
      </c>
      <c r="O23" s="1539" cm="1">
        <f t="array" aca="1" ref="O23" ca="1">INDIRECT("'※ 인력 세부데이터'!"&amp;O$1&amp;$T24, TRUE)</f>
        <v>6.9262109551833415E-2</v>
      </c>
      <c r="P23" s="1540" cm="1">
        <f t="array" aca="1" ref="P23" ca="1">INDIRECT("'※ 인력 세부데이터'!"&amp;P$1&amp;$T24, TRUE)</f>
        <v>90</v>
      </c>
      <c r="Q23" s="1541" cm="1">
        <f t="array" aca="1" ref="Q23" ca="1">INDIRECT("'※ 인력 세부데이터'!"&amp;Q$1&amp;$T24, TRUE)</f>
        <v>0.58823529411764708</v>
      </c>
      <c r="R23" s="1542" cm="1">
        <f t="array" aca="1" ref="R23" ca="1">INDIRECT("'※ 인력 세부데이터'!"&amp;R$1&amp;$T24, TRUE)</f>
        <v>38.880000000000003</v>
      </c>
      <c r="S23" s="1543" cm="1">
        <f t="array" aca="1" ref="S23" ca="1">INDIRECT("'※ 인력 세부데이터'!"&amp;S$1&amp;$T24, TRUE)</f>
        <v>4.5600730593607306</v>
      </c>
      <c r="T23" s="1520">
        <f>ROW('※ 인력 세부데이터'!J19)</f>
        <v>19</v>
      </c>
      <c r="U23" s="1521"/>
    </row>
    <row r="24" spans="1:21" ht="15.45" thickBot="1" x14ac:dyDescent="0.6">
      <c r="A24" s="7436"/>
      <c r="B24" s="1551" t="s">
        <v>1092</v>
      </c>
      <c r="C24" s="1552"/>
      <c r="D24" s="1553" cm="1">
        <f t="array" aca="1" ref="D24" ca="1">INDIRECT("'※ 인력 세부데이터'!"&amp;D$1&amp;$T25, TRUE)</f>
        <v>48.25</v>
      </c>
      <c r="E24" s="1554" cm="1">
        <f t="array" aca="1" ref="E24" ca="1">INDIRECT("'※ 인력 세부데이터'!"&amp;E$1&amp;$T25, TRUE)</f>
        <v>43.416666666666664</v>
      </c>
      <c r="F24" s="1555" cm="1">
        <f t="array" aca="1" ref="F24" ca="1">INDIRECT("'※ 인력 세부데이터'!"&amp;F$1&amp;$T25, TRUE)</f>
        <v>52</v>
      </c>
      <c r="G24" s="1556" cm="1">
        <f t="array" aca="1" ref="G24" ca="1">INDIRECT("'※ 인력 세부데이터'!"&amp;G$1&amp;$T25, TRUE)</f>
        <v>53</v>
      </c>
      <c r="H24" s="1556" cm="1">
        <f t="array" aca="1" ref="H24" ca="1">INDIRECT("'※ 인력 세부데이터'!"&amp;H$1&amp;$T25, TRUE)</f>
        <v>52</v>
      </c>
      <c r="I24" s="1556" cm="1">
        <f t="array" aca="1" ref="I24" ca="1">INDIRECT("'※ 인력 세부데이터'!"&amp;I$1&amp;$T25, TRUE)</f>
        <v>51</v>
      </c>
      <c r="J24" s="1556" cm="1">
        <f t="array" aca="1" ref="J24" ca="1">INDIRECT("'※ 인력 세부데이터'!"&amp;J$1&amp;$T25, TRUE)</f>
        <v>48</v>
      </c>
      <c r="K24" s="1556" cm="1">
        <f t="array" aca="1" ref="K24" ca="1">INDIRECT("'※ 인력 세부데이터'!"&amp;K$1&amp;$T25, TRUE)</f>
        <v>45</v>
      </c>
      <c r="L24" s="1554" cm="1">
        <f t="array" aca="1" ref="L24" ca="1">INDIRECT("'※ 인력 세부데이터'!"&amp;L$1&amp;$T25, TRUE)</f>
        <v>32</v>
      </c>
      <c r="M24" s="1556" cm="1">
        <f t="array" aca="1" ref="M24" ca="1">INDIRECT("'※ 인력 세부데이터'!"&amp;M$1&amp;$T25, TRUE)</f>
        <v>32</v>
      </c>
      <c r="N24" s="1556" cm="1">
        <f t="array" aca="1" ref="N24" ca="1">INDIRECT("'※ 인력 세부데이터'!"&amp;N$1&amp;$T25, TRUE)</f>
        <v>32</v>
      </c>
      <c r="O24" s="1557" cm="1">
        <f t="array" aca="1" ref="O24" ca="1">INDIRECT("'※ 인력 세부데이터'!"&amp;O$1&amp;$T25, TRUE)</f>
        <v>1.4486192847442281E-2</v>
      </c>
      <c r="P24" s="1558" cm="1">
        <f t="array" aca="1" ref="P24" ca="1">INDIRECT("'※ 인력 세부데이터'!"&amp;P$1&amp;$T25, TRUE)</f>
        <v>17</v>
      </c>
      <c r="Q24" s="1559" cm="1">
        <f t="array" aca="1" ref="Q24" ca="1">INDIRECT("'※ 인력 세부데이터'!"&amp;Q$1&amp;$T25, TRUE)</f>
        <v>0.53125</v>
      </c>
      <c r="R24" s="1560" cm="1">
        <f t="array" aca="1" ref="R24" ca="1">INDIRECT("'※ 인력 세부데이터'!"&amp;R$1&amp;$T25, TRUE)</f>
        <v>46.375</v>
      </c>
      <c r="S24" s="1561" cm="1">
        <f t="array" aca="1" ref="S24" ca="1">INDIRECT("'※ 인력 세부데이터'!"&amp;S$1&amp;$T25, TRUE)</f>
        <v>2.0385273972602738</v>
      </c>
      <c r="T24" s="1520">
        <f>ROW('※ 인력 세부데이터'!J20)</f>
        <v>20</v>
      </c>
      <c r="U24" s="1521"/>
    </row>
    <row r="25" spans="1:21" x14ac:dyDescent="0.55000000000000004">
      <c r="A25" s="7437" t="s">
        <v>182</v>
      </c>
      <c r="B25" s="1562" t="s">
        <v>183</v>
      </c>
      <c r="C25" s="1563"/>
      <c r="D25" s="1564" cm="1">
        <f t="array" aca="1" ref="D25" ca="1">INDIRECT("'※ 인력 세부데이터'!"&amp;D$1&amp;$T26, TRUE)</f>
        <v>341</v>
      </c>
      <c r="E25" s="1565" cm="1">
        <f t="array" aca="1" ref="E25" ca="1">INDIRECT("'※ 인력 세부데이터'!"&amp;E$1&amp;$T26, TRUE)</f>
        <v>396.33333333333331</v>
      </c>
      <c r="F25" s="1566" cm="1">
        <f t="array" aca="1" ref="F25" ca="1">INDIRECT("'※ 인력 세부데이터'!"&amp;F$1&amp;$T26, TRUE)</f>
        <v>370</v>
      </c>
      <c r="G25" s="1567" cm="1">
        <f t="array" aca="1" ref="G25" ca="1">INDIRECT("'※ 인력 세부데이터'!"&amp;G$1&amp;$T26, TRUE)</f>
        <v>379</v>
      </c>
      <c r="H25" s="1567" cm="1">
        <f t="array" aca="1" ref="H25" ca="1">INDIRECT("'※ 인력 세부데이터'!"&amp;H$1&amp;$T26, TRUE)</f>
        <v>382</v>
      </c>
      <c r="I25" s="1567" cm="1">
        <f t="array" aca="1" ref="I25" ca="1">INDIRECT("'※ 인력 세부데이터'!"&amp;I$1&amp;$T26, TRUE)</f>
        <v>391</v>
      </c>
      <c r="J25" s="1567" cm="1">
        <f t="array" aca="1" ref="J25" ca="1">INDIRECT("'※ 인력 세부데이터'!"&amp;J$1&amp;$T26, TRUE)</f>
        <v>403</v>
      </c>
      <c r="K25" s="1567" cm="1">
        <f t="array" aca="1" ref="K25" ca="1">INDIRECT("'※ 인력 세부데이터'!"&amp;K$1&amp;$T26, TRUE)</f>
        <v>403</v>
      </c>
      <c r="L25" s="1565" cm="1">
        <f t="array" aca="1" ref="L25" ca="1">INDIRECT("'※ 인력 세부데이터'!"&amp;L$1&amp;$T26, TRUE)</f>
        <v>425</v>
      </c>
      <c r="M25" s="1567" cm="1">
        <f t="array" aca="1" ref="M25" ca="1">INDIRECT("'※ 인력 세부데이터'!"&amp;M$1&amp;$T26, TRUE)</f>
        <v>425</v>
      </c>
      <c r="N25" s="1567" cm="1">
        <f t="array" aca="1" ref="N25" ca="1">INDIRECT("'※ 인력 세부데이터'!"&amp;N$1&amp;$T26, TRUE)</f>
        <v>425</v>
      </c>
      <c r="O25" s="1568" cm="1">
        <f t="array" aca="1" ref="O25" ca="1">INDIRECT("'※ 인력 세부데이터'!"&amp;O$1&amp;$T26, TRUE)</f>
        <v>0.1923947487550928</v>
      </c>
      <c r="P25" s="1569" cm="1">
        <f t="array" aca="1" ref="P25" ca="1">INDIRECT("'※ 인력 세부데이터'!"&amp;P$1&amp;$T26, TRUE)</f>
        <v>200</v>
      </c>
      <c r="Q25" s="1570" cm="1">
        <f t="array" aca="1" ref="Q25" ca="1">INDIRECT("'※ 인력 세부데이터'!"&amp;Q$1&amp;$T26, TRUE)</f>
        <v>0.47058823529411764</v>
      </c>
      <c r="R25" s="1571" cm="1">
        <f t="array" aca="1" ref="R25" ca="1">INDIRECT("'※ 인력 세부데이터'!"&amp;R$1&amp;$T26, TRUE)</f>
        <v>39.510588235294115</v>
      </c>
      <c r="S25" s="1572" cm="1">
        <f t="array" aca="1" ref="S25" ca="1">INDIRECT("'※ 인력 세부데이터'!"&amp;S$1&amp;$T26, TRUE)</f>
        <v>7.5671490733279514</v>
      </c>
      <c r="T25" s="1520">
        <f>ROW('※ 인력 세부데이터'!J21)</f>
        <v>21</v>
      </c>
      <c r="U25" s="1521"/>
    </row>
    <row r="26" spans="1:21" x14ac:dyDescent="0.55000000000000004">
      <c r="A26" s="7179"/>
      <c r="B26" s="594"/>
      <c r="C26" s="886" t="s">
        <v>184</v>
      </c>
      <c r="D26" s="1544" cm="1">
        <f t="array" aca="1" ref="D26" ca="1">INDIRECT("'※ 인력 세부데이터'!"&amp;D$1&amp;$T27, TRUE)</f>
        <v>1</v>
      </c>
      <c r="E26" s="1545" cm="1">
        <f t="array" aca="1" ref="E26" ca="1">INDIRECT("'※ 인력 세부데이터'!"&amp;E$1&amp;$T27, TRUE)</f>
        <v>1</v>
      </c>
      <c r="F26" s="1526" cm="1">
        <f t="array" aca="1" ref="F26" ca="1">INDIRECT("'※ 인력 세부데이터'!"&amp;F$1&amp;$T27, TRUE)</f>
        <v>1</v>
      </c>
      <c r="G26" s="1527" cm="1">
        <f t="array" aca="1" ref="G26" ca="1">INDIRECT("'※ 인력 세부데이터'!"&amp;G$1&amp;$T27, TRUE)</f>
        <v>1</v>
      </c>
      <c r="H26" s="1527" cm="1">
        <f t="array" aca="1" ref="H26" ca="1">INDIRECT("'※ 인력 세부데이터'!"&amp;H$1&amp;$T27, TRUE)</f>
        <v>1</v>
      </c>
      <c r="I26" s="1527" cm="1">
        <f t="array" aca="1" ref="I26" ca="1">INDIRECT("'※ 인력 세부데이터'!"&amp;I$1&amp;$T27, TRUE)</f>
        <v>1</v>
      </c>
      <c r="J26" s="1527" cm="1">
        <f t="array" aca="1" ref="J26" ca="1">INDIRECT("'※ 인력 세부데이터'!"&amp;J$1&amp;$T27, TRUE)</f>
        <v>1</v>
      </c>
      <c r="K26" s="1527" cm="1">
        <f t="array" aca="1" ref="K26" ca="1">INDIRECT("'※ 인력 세부데이터'!"&amp;K$1&amp;$T27, TRUE)</f>
        <v>1</v>
      </c>
      <c r="L26" s="1545" cm="1">
        <f t="array" aca="1" ref="L26" ca="1">INDIRECT("'※ 인력 세부데이터'!"&amp;L$1&amp;$T27, TRUE)</f>
        <v>1</v>
      </c>
      <c r="M26" s="1527" cm="1">
        <f t="array" aca="1" ref="M26" ca="1">INDIRECT("'※ 인력 세부데이터'!"&amp;M$1&amp;$T27, TRUE)</f>
        <v>1</v>
      </c>
      <c r="N26" s="1527" cm="1">
        <f t="array" aca="1" ref="N26" ca="1">INDIRECT("'※ 인력 세부데이터'!"&amp;N$1&amp;$T27, TRUE)</f>
        <v>1</v>
      </c>
      <c r="O26" s="1528" cm="1">
        <f t="array" aca="1" ref="O26" ca="1">INDIRECT("'※ 인력 세부데이터'!"&amp;O$1&amp;$T27, TRUE)</f>
        <v>2.352941176470588E-3</v>
      </c>
      <c r="P26" s="1546" cm="1">
        <f t="array" aca="1" ref="P26" ca="1">INDIRECT("'※ 인력 세부데이터'!"&amp;P$1&amp;$T27, TRUE)</f>
        <v>0</v>
      </c>
      <c r="Q26" s="1547" cm="1">
        <f t="array" aca="1" ref="Q26" ca="1">INDIRECT("'※ 인력 세부데이터'!"&amp;Q$1&amp;$T27, TRUE)</f>
        <v>0</v>
      </c>
      <c r="R26" s="1548" cm="1">
        <f t="array" aca="1" ref="R26" ca="1">INDIRECT("'※ 인력 세부데이터'!"&amp;R$1&amp;$T27, TRUE)</f>
        <v>60</v>
      </c>
      <c r="S26" s="1549" cm="1">
        <f t="array" aca="1" ref="S26" ca="1">INDIRECT("'※ 인력 세부데이터'!"&amp;S$1&amp;$T27, TRUE)</f>
        <v>1.2438356164383562</v>
      </c>
      <c r="T26" s="1520">
        <f>ROW('※ 인력 세부데이터'!J22)</f>
        <v>22</v>
      </c>
      <c r="U26" s="1521"/>
    </row>
    <row r="27" spans="1:21" x14ac:dyDescent="0.55000000000000004">
      <c r="A27" s="7179"/>
      <c r="B27" s="594"/>
      <c r="C27" s="886" t="s">
        <v>185</v>
      </c>
      <c r="D27" s="1544" cm="1">
        <f t="array" aca="1" ref="D27" ca="1">INDIRECT("'※ 인력 세부데이터'!"&amp;D$1&amp;$T28, TRUE)</f>
        <v>31.666666666666668</v>
      </c>
      <c r="E27" s="1545" cm="1">
        <f t="array" aca="1" ref="E27" ca="1">INDIRECT("'※ 인력 세부데이터'!"&amp;E$1&amp;$T28, TRUE)</f>
        <v>43.083333333333336</v>
      </c>
      <c r="F27" s="1526" cm="1">
        <f t="array" aca="1" ref="F27" ca="1">INDIRECT("'※ 인력 세부데이터'!"&amp;F$1&amp;$T28, TRUE)</f>
        <v>43</v>
      </c>
      <c r="G27" s="1527" cm="1">
        <f t="array" aca="1" ref="G27" ca="1">INDIRECT("'※ 인력 세부데이터'!"&amp;G$1&amp;$T28, TRUE)</f>
        <v>43</v>
      </c>
      <c r="H27" s="1527" cm="1">
        <f t="array" aca="1" ref="H27" ca="1">INDIRECT("'※ 인력 세부데이터'!"&amp;H$1&amp;$T28, TRUE)</f>
        <v>42</v>
      </c>
      <c r="I27" s="1527" cm="1">
        <f t="array" aca="1" ref="I27" ca="1">INDIRECT("'※ 인력 세부데이터'!"&amp;I$1&amp;$T28, TRUE)</f>
        <v>41</v>
      </c>
      <c r="J27" s="1527" cm="1">
        <f t="array" aca="1" ref="J27" ca="1">INDIRECT("'※ 인력 세부데이터'!"&amp;J$1&amp;$T28, TRUE)</f>
        <v>41</v>
      </c>
      <c r="K27" s="1527" cm="1">
        <f t="array" aca="1" ref="K27" ca="1">INDIRECT("'※ 인력 세부데이터'!"&amp;K$1&amp;$T28, TRUE)</f>
        <v>42</v>
      </c>
      <c r="L27" s="1545" cm="1">
        <f t="array" aca="1" ref="L27" ca="1">INDIRECT("'※ 인력 세부데이터'!"&amp;L$1&amp;$T28, TRUE)</f>
        <v>42</v>
      </c>
      <c r="M27" s="1527" cm="1">
        <f t="array" aca="1" ref="M27" ca="1">INDIRECT("'※ 인력 세부데이터'!"&amp;M$1&amp;$T28, TRUE)</f>
        <v>42</v>
      </c>
      <c r="N27" s="1527" cm="1">
        <f t="array" aca="1" ref="N27" ca="1">INDIRECT("'※ 인력 세부데이터'!"&amp;N$1&amp;$T28, TRUE)</f>
        <v>42</v>
      </c>
      <c r="O27" s="1528" cm="1">
        <f t="array" aca="1" ref="O27" ca="1">INDIRECT("'※ 인력 세부데이터'!"&amp;O$1&amp;$T28, TRUE)</f>
        <v>9.8823529411764699E-2</v>
      </c>
      <c r="P27" s="1546" cm="1">
        <f t="array" aca="1" ref="P27" ca="1">INDIRECT("'※ 인력 세부데이터'!"&amp;P$1&amp;$T28, TRUE)</f>
        <v>13</v>
      </c>
      <c r="Q27" s="1547" cm="1">
        <f t="array" aca="1" ref="Q27" ca="1">INDIRECT("'※ 인력 세부데이터'!"&amp;Q$1&amp;$T28, TRUE)</f>
        <v>0.30952380952380953</v>
      </c>
      <c r="R27" s="1548" cm="1">
        <f t="array" aca="1" ref="R27" ca="1">INDIRECT("'※ 인력 세부데이터'!"&amp;R$1&amp;$T28, TRUE)</f>
        <v>39.547619047619051</v>
      </c>
      <c r="S27" s="1549" cm="1">
        <f t="array" aca="1" ref="S27" ca="1">INDIRECT("'※ 인력 세부데이터'!"&amp;S$1&amp;$T28, TRUE)</f>
        <v>8.8243966079582528</v>
      </c>
      <c r="T27" s="1520">
        <f>ROW('※ 인력 세부데이터'!J23)</f>
        <v>23</v>
      </c>
      <c r="U27" s="1521"/>
    </row>
    <row r="28" spans="1:21" hidden="1" x14ac:dyDescent="0.55000000000000004">
      <c r="A28" s="7179"/>
      <c r="B28" s="594"/>
      <c r="C28" s="886" t="s">
        <v>197</v>
      </c>
      <c r="D28" s="1544" cm="1">
        <f t="array" aca="1" ref="D28" ca="1">INDIRECT("'※ 인력 세부데이터'!"&amp;D$1&amp;$T29, TRUE)</f>
        <v>20.25</v>
      </c>
      <c r="E28" s="1545" cm="1">
        <f t="array" aca="1" ref="E28" ca="1">INDIRECT("'※ 인력 세부데이터'!"&amp;E$1&amp;$T29, TRUE)</f>
        <v>0</v>
      </c>
      <c r="F28" s="1526" cm="1">
        <f t="array" aca="1" ref="F28" ca="1">INDIRECT("'※ 인력 세부데이터'!"&amp;F$1&amp;$T29, TRUE)</f>
        <v>0</v>
      </c>
      <c r="G28" s="1527" cm="1">
        <f t="array" aca="1" ref="G28" ca="1">INDIRECT("'※ 인력 세부데이터'!"&amp;G$1&amp;$T29, TRUE)</f>
        <v>0</v>
      </c>
      <c r="H28" s="1527" cm="1">
        <f t="array" aca="1" ref="H28" ca="1">INDIRECT("'※ 인력 세부데이터'!"&amp;H$1&amp;$T29, TRUE)</f>
        <v>0</v>
      </c>
      <c r="I28" s="1527" cm="1">
        <f t="array" aca="1" ref="I28" ca="1">INDIRECT("'※ 인력 세부데이터'!"&amp;I$1&amp;$T29, TRUE)</f>
        <v>0</v>
      </c>
      <c r="J28" s="1527" cm="1">
        <f t="array" aca="1" ref="J28" ca="1">INDIRECT("'※ 인력 세부데이터'!"&amp;J$1&amp;$T29, TRUE)</f>
        <v>0</v>
      </c>
      <c r="K28" s="1527" cm="1">
        <f t="array" aca="1" ref="K28" ca="1">INDIRECT("'※ 인력 세부데이터'!"&amp;K$1&amp;$T29, TRUE)</f>
        <v>0</v>
      </c>
      <c r="L28" s="1545" cm="1">
        <f t="array" aca="1" ref="L28" ca="1">INDIRECT("'※ 인력 세부데이터'!"&amp;L$1&amp;$T29, TRUE)</f>
        <v>0</v>
      </c>
      <c r="M28" s="1527" cm="1">
        <f t="array" aca="1" ref="M28" ca="1">INDIRECT("'※ 인력 세부데이터'!"&amp;M$1&amp;$T29, TRUE)</f>
        <v>0</v>
      </c>
      <c r="N28" s="1527" cm="1">
        <f t="array" aca="1" ref="N28" ca="1">INDIRECT("'※ 인력 세부데이터'!"&amp;N$1&amp;$T29, TRUE)</f>
        <v>0</v>
      </c>
      <c r="O28" s="1528" cm="1">
        <f t="array" aca="1" ref="O28" ca="1">INDIRECT("'※ 인력 세부데이터'!"&amp;O$1&amp;$T29, TRUE)</f>
        <v>0</v>
      </c>
      <c r="P28" s="1546" cm="1">
        <f t="array" aca="1" ref="P28" ca="1">INDIRECT("'※ 인력 세부데이터'!"&amp;P$1&amp;$T29, TRUE)</f>
        <v>0</v>
      </c>
      <c r="Q28" s="1547" cm="1">
        <f t="array" aca="1" ref="Q28" ca="1">INDIRECT("'※ 인력 세부데이터'!"&amp;Q$1&amp;$T29, TRUE)</f>
        <v>0</v>
      </c>
      <c r="R28" s="1548" cm="1">
        <f t="array" aca="1" ref="R28" ca="1">INDIRECT("'※ 인력 세부데이터'!"&amp;R$1&amp;$T29, TRUE)</f>
        <v>0</v>
      </c>
      <c r="S28" s="1549" cm="1">
        <f t="array" aca="1" ref="S28" ca="1">INDIRECT("'※ 인력 세부데이터'!"&amp;S$1&amp;$T29, TRUE)</f>
        <v>0</v>
      </c>
      <c r="T28" s="1520">
        <f>ROW('※ 인력 세부데이터'!J24)</f>
        <v>24</v>
      </c>
      <c r="U28" s="1521"/>
    </row>
    <row r="29" spans="1:21" x14ac:dyDescent="0.55000000000000004">
      <c r="A29" s="7179"/>
      <c r="B29" s="594"/>
      <c r="C29" s="1573" t="s">
        <v>717</v>
      </c>
      <c r="D29" s="1544" cm="1">
        <f t="array" aca="1" ref="D29" ca="1">INDIRECT("'※ 인력 세부데이터'!"&amp;D$1&amp;$T30, TRUE)</f>
        <v>15.666666666666666</v>
      </c>
      <c r="E29" s="1545" cm="1">
        <f t="array" aca="1" ref="E29" ca="1">INDIRECT("'※ 인력 세부데이터'!"&amp;E$1&amp;$T30, TRUE)</f>
        <v>19.916666666666668</v>
      </c>
      <c r="F29" s="1526" cm="1">
        <f t="array" aca="1" ref="F29" ca="1">INDIRECT("'※ 인력 세부데이터'!"&amp;F$1&amp;$T30, TRUE)</f>
        <v>20</v>
      </c>
      <c r="G29" s="1527" cm="1">
        <f t="array" aca="1" ref="G29" ca="1">INDIRECT("'※ 인력 세부데이터'!"&amp;G$1&amp;$T30, TRUE)</f>
        <v>20</v>
      </c>
      <c r="H29" s="1527" cm="1">
        <f t="array" aca="1" ref="H29" ca="1">INDIRECT("'※ 인력 세부데이터'!"&amp;H$1&amp;$T30, TRUE)</f>
        <v>20</v>
      </c>
      <c r="I29" s="1527" cm="1">
        <f t="array" aca="1" ref="I29" ca="1">INDIRECT("'※ 인력 세부데이터'!"&amp;I$1&amp;$T30, TRUE)</f>
        <v>20</v>
      </c>
      <c r="J29" s="1527" cm="1">
        <f t="array" aca="1" ref="J29" ca="1">INDIRECT("'※ 인력 세부데이터'!"&amp;J$1&amp;$T30, TRUE)</f>
        <v>19</v>
      </c>
      <c r="K29" s="1527" cm="1">
        <f t="array" aca="1" ref="K29" ca="1">INDIRECT("'※ 인력 세부데이터'!"&amp;K$1&amp;$T30, TRUE)</f>
        <v>19</v>
      </c>
      <c r="L29" s="1545" cm="1">
        <f t="array" aca="1" ref="L29" ca="1">INDIRECT("'※ 인력 세부데이터'!"&amp;L$1&amp;$T30, TRUE)</f>
        <v>21</v>
      </c>
      <c r="M29" s="1527" cm="1">
        <f t="array" aca="1" ref="M29" ca="1">INDIRECT("'※ 인력 세부데이터'!"&amp;M$1&amp;$T30, TRUE)</f>
        <v>21</v>
      </c>
      <c r="N29" s="1527" cm="1">
        <f t="array" aca="1" ref="N29" ca="1">INDIRECT("'※ 인력 세부데이터'!"&amp;N$1&amp;$T30, TRUE)</f>
        <v>21</v>
      </c>
      <c r="O29" s="1528" cm="1">
        <f t="array" aca="1" ref="O29" ca="1">INDIRECT("'※ 인력 세부데이터'!"&amp;O$1&amp;$T30, TRUE)</f>
        <v>4.9411764705882349E-2</v>
      </c>
      <c r="P29" s="1546" cm="1">
        <f t="array" aca="1" ref="P29" ca="1">INDIRECT("'※ 인력 세부데이터'!"&amp;P$1&amp;$T30, TRUE)</f>
        <v>6</v>
      </c>
      <c r="Q29" s="1547" cm="1">
        <f t="array" aca="1" ref="Q29" ca="1">INDIRECT("'※ 인력 세부데이터'!"&amp;Q$1&amp;$T30, TRUE)</f>
        <v>0.2857142857142857</v>
      </c>
      <c r="R29" s="1548" cm="1">
        <f t="array" aca="1" ref="R29" ca="1">INDIRECT("'※ 인력 세부데이터'!"&amp;R$1&amp;$T30, TRUE)</f>
        <v>38.952380952380949</v>
      </c>
      <c r="S29" s="1549" cm="1">
        <f t="array" aca="1" ref="S29" ca="1">INDIRECT("'※ 인력 세부데이터'!"&amp;S$1&amp;$T30, TRUE)</f>
        <v>7.1039791258969345</v>
      </c>
      <c r="T29" s="1520">
        <f>ROW('※ 인력 세부데이터'!J25)</f>
        <v>25</v>
      </c>
      <c r="U29" s="1521"/>
    </row>
    <row r="30" spans="1:21" x14ac:dyDescent="0.55000000000000004">
      <c r="A30" s="7179"/>
      <c r="B30" s="594"/>
      <c r="C30" s="886" t="s">
        <v>198</v>
      </c>
      <c r="D30" s="1544" cm="1">
        <f t="array" aca="1" ref="D30" ca="1">INDIRECT("'※ 인력 세부데이터'!"&amp;D$1&amp;$T31, TRUE)</f>
        <v>6</v>
      </c>
      <c r="E30" s="1545" cm="1">
        <f t="array" aca="1" ref="E30" ca="1">INDIRECT("'※ 인력 세부데이터'!"&amp;E$1&amp;$T31, TRUE)</f>
        <v>6</v>
      </c>
      <c r="F30" s="1526" cm="1">
        <f t="array" aca="1" ref="F30" ca="1">INDIRECT("'※ 인력 세부데이터'!"&amp;F$1&amp;$T31, TRUE)</f>
        <v>6</v>
      </c>
      <c r="G30" s="1527" cm="1">
        <f t="array" aca="1" ref="G30" ca="1">INDIRECT("'※ 인력 세부데이터'!"&amp;G$1&amp;$T31, TRUE)</f>
        <v>6</v>
      </c>
      <c r="H30" s="1527" cm="1">
        <f t="array" aca="1" ref="H30" ca="1">INDIRECT("'※ 인력 세부데이터'!"&amp;H$1&amp;$T31, TRUE)</f>
        <v>6</v>
      </c>
      <c r="I30" s="1527" cm="1">
        <f t="array" aca="1" ref="I30" ca="1">INDIRECT("'※ 인력 세부데이터'!"&amp;I$1&amp;$T31, TRUE)</f>
        <v>6</v>
      </c>
      <c r="J30" s="1527" cm="1">
        <f t="array" aca="1" ref="J30" ca="1">INDIRECT("'※ 인력 세부데이터'!"&amp;J$1&amp;$T31, TRUE)</f>
        <v>6</v>
      </c>
      <c r="K30" s="1527" cm="1">
        <f t="array" aca="1" ref="K30" ca="1">INDIRECT("'※ 인력 세부데이터'!"&amp;K$1&amp;$T31, TRUE)</f>
        <v>6</v>
      </c>
      <c r="L30" s="1545" cm="1">
        <f t="array" aca="1" ref="L30" ca="1">INDIRECT("'※ 인력 세부데이터'!"&amp;L$1&amp;$T31, TRUE)</f>
        <v>6</v>
      </c>
      <c r="M30" s="1527" cm="1">
        <f t="array" aca="1" ref="M30" ca="1">INDIRECT("'※ 인력 세부데이터'!"&amp;M$1&amp;$T31, TRUE)</f>
        <v>6</v>
      </c>
      <c r="N30" s="1527" cm="1">
        <f t="array" aca="1" ref="N30" ca="1">INDIRECT("'※ 인력 세부데이터'!"&amp;N$1&amp;$T31, TRUE)</f>
        <v>6</v>
      </c>
      <c r="O30" s="1528" cm="1">
        <f t="array" aca="1" ref="O30" ca="1">INDIRECT("'※ 인력 세부데이터'!"&amp;O$1&amp;$T31, TRUE)</f>
        <v>1.411764705882353E-2</v>
      </c>
      <c r="P30" s="1546" cm="1">
        <f t="array" aca="1" ref="P30" ca="1">INDIRECT("'※ 인력 세부데이터'!"&amp;P$1&amp;$T31, TRUE)</f>
        <v>2</v>
      </c>
      <c r="Q30" s="1547" cm="1">
        <f t="array" aca="1" ref="Q30" ca="1">INDIRECT("'※ 인력 세부데이터'!"&amp;Q$1&amp;$T31, TRUE)</f>
        <v>0.33333333333333331</v>
      </c>
      <c r="R30" s="1548" cm="1">
        <f t="array" aca="1" ref="R30" ca="1">INDIRECT("'※ 인력 세부데이터'!"&amp;R$1&amp;$T31, TRUE)</f>
        <v>44.5</v>
      </c>
      <c r="S30" s="1549" cm="1">
        <f t="array" aca="1" ref="S30" ca="1">INDIRECT("'※ 인력 세부데이터'!"&amp;S$1&amp;$T31, TRUE)</f>
        <v>14.06529680365297</v>
      </c>
      <c r="T30" s="1520">
        <f>ROW('※ 인력 세부데이터'!J26)</f>
        <v>26</v>
      </c>
      <c r="U30" s="1521"/>
    </row>
    <row r="31" spans="1:21" x14ac:dyDescent="0.55000000000000004">
      <c r="A31" s="7179"/>
      <c r="B31" s="594"/>
      <c r="C31" s="886" t="s">
        <v>186</v>
      </c>
      <c r="D31" s="1544" cm="1">
        <f t="array" aca="1" ref="D31" ca="1">INDIRECT("'※ 인력 세부데이터'!"&amp;D$1&amp;$T32, TRUE)</f>
        <v>50.666666666666664</v>
      </c>
      <c r="E31" s="1545" cm="1">
        <f t="array" aca="1" ref="E31" ca="1">INDIRECT("'※ 인력 세부데이터'!"&amp;E$1&amp;$T32, TRUE)</f>
        <v>47.333333333333336</v>
      </c>
      <c r="F31" s="1526" cm="1">
        <f t="array" aca="1" ref="F31" ca="1">INDIRECT("'※ 인력 세부데이터'!"&amp;F$1&amp;$T32, TRUE)</f>
        <v>50</v>
      </c>
      <c r="G31" s="1527" cm="1">
        <f t="array" aca="1" ref="G31" ca="1">INDIRECT("'※ 인력 세부데이터'!"&amp;G$1&amp;$T32, TRUE)</f>
        <v>50</v>
      </c>
      <c r="H31" s="1527" cm="1">
        <f t="array" aca="1" ref="H31" ca="1">INDIRECT("'※ 인력 세부데이터'!"&amp;H$1&amp;$T32, TRUE)</f>
        <v>49</v>
      </c>
      <c r="I31" s="1527" cm="1">
        <f t="array" aca="1" ref="I31" ca="1">INDIRECT("'※ 인력 세부데이터'!"&amp;I$1&amp;$T32, TRUE)</f>
        <v>49</v>
      </c>
      <c r="J31" s="1527" cm="1">
        <f t="array" aca="1" ref="J31" ca="1">INDIRECT("'※ 인력 세부데이터'!"&amp;J$1&amp;$T32, TRUE)</f>
        <v>49</v>
      </c>
      <c r="K31" s="1527" cm="1">
        <f t="array" aca="1" ref="K31" ca="1">INDIRECT("'※ 인력 세부데이터'!"&amp;K$1&amp;$T32, TRUE)</f>
        <v>49</v>
      </c>
      <c r="L31" s="1545" cm="1">
        <f t="array" aca="1" ref="L31" ca="1">INDIRECT("'※ 인력 세부데이터'!"&amp;L$1&amp;$T32, TRUE)</f>
        <v>49</v>
      </c>
      <c r="M31" s="1527" cm="1">
        <f t="array" aca="1" ref="M31" ca="1">INDIRECT("'※ 인력 세부데이터'!"&amp;M$1&amp;$T32, TRUE)</f>
        <v>49</v>
      </c>
      <c r="N31" s="1527" cm="1">
        <f t="array" aca="1" ref="N31" ca="1">INDIRECT("'※ 인력 세부데이터'!"&amp;N$1&amp;$T32, TRUE)</f>
        <v>49</v>
      </c>
      <c r="O31" s="1528" cm="1">
        <f t="array" aca="1" ref="O31" ca="1">INDIRECT("'※ 인력 세부데이터'!"&amp;O$1&amp;$T32, TRUE)</f>
        <v>0.11529411764705882</v>
      </c>
      <c r="P31" s="1546" cm="1">
        <f t="array" aca="1" ref="P31" ca="1">INDIRECT("'※ 인력 세부데이터'!"&amp;P$1&amp;$T32, TRUE)</f>
        <v>21</v>
      </c>
      <c r="Q31" s="1547" cm="1">
        <f t="array" aca="1" ref="Q31" ca="1">INDIRECT("'※ 인력 세부데이터'!"&amp;Q$1&amp;$T32, TRUE)</f>
        <v>0.42857142857142855</v>
      </c>
      <c r="R31" s="1548" cm="1">
        <f t="array" aca="1" ref="R31" ca="1">INDIRECT("'※ 인력 세부데이터'!"&amp;R$1&amp;$T32, TRUE)</f>
        <v>42.795918367346935</v>
      </c>
      <c r="S31" s="1549" cm="1">
        <f t="array" aca="1" ref="S31" ca="1">INDIRECT("'※ 인력 세부데이터'!"&amp;S$1&amp;$T32, TRUE)</f>
        <v>10.94649147330165</v>
      </c>
      <c r="T31" s="1520">
        <f>ROW('※ 인력 세부데이터'!J27)</f>
        <v>27</v>
      </c>
      <c r="U31" s="1521"/>
    </row>
    <row r="32" spans="1:21" x14ac:dyDescent="0.55000000000000004">
      <c r="A32" s="7179"/>
      <c r="B32" s="594"/>
      <c r="C32" s="886" t="s">
        <v>1017</v>
      </c>
      <c r="D32" s="1544" cm="1">
        <f t="array" aca="1" ref="D32" ca="1">INDIRECT("'※ 인력 세부데이터'!"&amp;D$1&amp;$T33, TRUE)</f>
        <v>132.16666666666666</v>
      </c>
      <c r="E32" s="1545" cm="1">
        <f t="array" aca="1" ref="E32" ca="1">INDIRECT("'※ 인력 세부데이터'!"&amp;E$1&amp;$T33, TRUE)</f>
        <v>175.41666666666666</v>
      </c>
      <c r="F32" s="1526" cm="1">
        <f t="array" aca="1" ref="F32" ca="1">INDIRECT("'※ 인력 세부데이터'!"&amp;F$1&amp;$T33, TRUE)</f>
        <v>158</v>
      </c>
      <c r="G32" s="1527" cm="1">
        <f t="array" aca="1" ref="G32" ca="1">INDIRECT("'※ 인력 세부데이터'!"&amp;G$1&amp;$T33, TRUE)</f>
        <v>163</v>
      </c>
      <c r="H32" s="1527" cm="1">
        <f t="array" aca="1" ref="H32" ca="1">INDIRECT("'※ 인력 세부데이터'!"&amp;H$1&amp;$T33, TRUE)</f>
        <v>170</v>
      </c>
      <c r="I32" s="1527" cm="1">
        <f t="array" aca="1" ref="I32" ca="1">INDIRECT("'※ 인력 세부데이터'!"&amp;I$1&amp;$T33, TRUE)</f>
        <v>180</v>
      </c>
      <c r="J32" s="1527" cm="1">
        <f t="array" aca="1" ref="J32" ca="1">INDIRECT("'※ 인력 세부데이터'!"&amp;J$1&amp;$T33, TRUE)</f>
        <v>181</v>
      </c>
      <c r="K32" s="1527" cm="1">
        <f t="array" aca="1" ref="K32" ca="1">INDIRECT("'※ 인력 세부데이터'!"&amp;K$1&amp;$T33, TRUE)</f>
        <v>181</v>
      </c>
      <c r="L32" s="1545" cm="1">
        <f t="array" aca="1" ref="L32" ca="1">INDIRECT("'※ 인력 세부데이터'!"&amp;L$1&amp;$T33, TRUE)</f>
        <v>179.5</v>
      </c>
      <c r="M32" s="1527" cm="1">
        <f t="array" aca="1" ref="M32" ca="1">INDIRECT("'※ 인력 세부데이터'!"&amp;M$1&amp;$T33, TRUE)</f>
        <v>181</v>
      </c>
      <c r="N32" s="1527" cm="1">
        <f t="array" aca="1" ref="N32" ca="1">INDIRECT("'※ 인력 세부데이터'!"&amp;N$1&amp;$T33, TRUE)</f>
        <v>178</v>
      </c>
      <c r="O32" s="1528" cm="1">
        <f t="array" aca="1" ref="O32" ca="1">INDIRECT("'※ 인력 세부데이터'!"&amp;O$1&amp;$T33, TRUE)</f>
        <v>0.42588235294117649</v>
      </c>
      <c r="P32" s="1546" cm="1">
        <f t="array" aca="1" ref="P32" ca="1">INDIRECT("'※ 인력 세부데이터'!"&amp;P$1&amp;$T33, TRUE)</f>
        <v>95</v>
      </c>
      <c r="Q32" s="1547" cm="1">
        <f t="array" aca="1" ref="Q32" ca="1">INDIRECT("'※ 인력 세부데이터'!"&amp;Q$1&amp;$T33, TRUE)</f>
        <v>0.52486187845303867</v>
      </c>
      <c r="R32" s="1548" cm="1">
        <f t="array" aca="1" ref="R32" ca="1">INDIRECT("'※ 인력 세부데이터'!"&amp;R$1&amp;$T33, TRUE)</f>
        <v>38.983146067415731</v>
      </c>
      <c r="S32" s="1549" cm="1">
        <f t="array" aca="1" ref="S32" ca="1">INDIRECT("'※ 인력 세부데이터'!"&amp;S$1&amp;$T33, TRUE)</f>
        <v>5.588471602277969</v>
      </c>
      <c r="T32" s="1520">
        <f>ROW('※ 인력 세부데이터'!J28)</f>
        <v>28</v>
      </c>
      <c r="U32" s="1521"/>
    </row>
    <row r="33" spans="1:22" x14ac:dyDescent="0.55000000000000004">
      <c r="A33" s="7179"/>
      <c r="B33" s="594"/>
      <c r="C33" s="886" t="s">
        <v>1018</v>
      </c>
      <c r="D33" s="1544" cm="1">
        <f t="array" aca="1" ref="D33" ca="1">INDIRECT("'※ 인력 세부데이터'!"&amp;D$1&amp;$T34, TRUE)</f>
        <v>95.333333333333329</v>
      </c>
      <c r="E33" s="1545" cm="1">
        <f t="array" aca="1" ref="E33" ca="1">INDIRECT("'※ 인력 세부데이터'!"&amp;E$1&amp;$T34, TRUE)</f>
        <v>103.08333333333333</v>
      </c>
      <c r="F33" s="1526" cm="1">
        <f t="array" aca="1" ref="F33" ca="1">INDIRECT("'※ 인력 세부데이터'!"&amp;F$1&amp;$T34, TRUE)</f>
        <v>92</v>
      </c>
      <c r="G33" s="1527" cm="1">
        <f t="array" aca="1" ref="G33" ca="1">INDIRECT("'※ 인력 세부데이터'!"&amp;G$1&amp;$T34, TRUE)</f>
        <v>94</v>
      </c>
      <c r="H33" s="1527" cm="1">
        <f t="array" aca="1" ref="H33" ca="1">INDIRECT("'※ 인력 세부데이터'!"&amp;H$1&amp;$T34, TRUE)</f>
        <v>94</v>
      </c>
      <c r="I33" s="1527" cm="1">
        <f t="array" aca="1" ref="I33" ca="1">INDIRECT("'※ 인력 세부데이터'!"&amp;I$1&amp;$T34, TRUE)</f>
        <v>94</v>
      </c>
      <c r="J33" s="1527" cm="1">
        <f t="array" aca="1" ref="J33" ca="1">INDIRECT("'※ 인력 세부데이터'!"&amp;J$1&amp;$T34, TRUE)</f>
        <v>104</v>
      </c>
      <c r="K33" s="1527" cm="1">
        <f t="array" aca="1" ref="K33" ca="1">INDIRECT("'※ 인력 세부데이터'!"&amp;K$1&amp;$T34, TRUE)</f>
        <v>103</v>
      </c>
      <c r="L33" s="1545" cm="1">
        <f t="array" aca="1" ref="L33" ca="1">INDIRECT("'※ 인력 세부데이터'!"&amp;L$1&amp;$T34, TRUE)</f>
        <v>125.5</v>
      </c>
      <c r="M33" s="1527" cm="1">
        <f t="array" aca="1" ref="M33" ca="1">INDIRECT("'※ 인력 세부데이터'!"&amp;M$1&amp;$T34, TRUE)</f>
        <v>124</v>
      </c>
      <c r="N33" s="1527" cm="1">
        <f t="array" aca="1" ref="N33" ca="1">INDIRECT("'※ 인력 세부데이터'!"&amp;N$1&amp;$T34, TRUE)</f>
        <v>127</v>
      </c>
      <c r="O33" s="1528" cm="1">
        <f t="array" aca="1" ref="O33" ca="1">INDIRECT("'※ 인력 세부데이터'!"&amp;O$1&amp;$T34, TRUE)</f>
        <v>0.29176470588235293</v>
      </c>
      <c r="P33" s="1546" cm="1">
        <f t="array" aca="1" ref="P33" ca="1">INDIRECT("'※ 인력 세부데이터'!"&amp;P$1&amp;$T34, TRUE)</f>
        <v>63</v>
      </c>
      <c r="Q33" s="1547" cm="1">
        <f t="array" aca="1" ref="Q33" ca="1">INDIRECT("'※ 인력 세부데이터'!"&amp;Q$1&amp;$T34, TRUE)</f>
        <v>0.50806451612903225</v>
      </c>
      <c r="R33" s="1548" cm="1">
        <f t="array" aca="1" ref="R33" ca="1">INDIRECT("'※ 인력 세부데이터'!"&amp;R$1&amp;$T34, TRUE)</f>
        <v>38.503937007874015</v>
      </c>
      <c r="S33" s="1549" cm="1">
        <f t="array" aca="1" ref="S33" ca="1">INDIRECT("'※ 인력 세부데이터'!"&amp;S$1&amp;$T34, TRUE)</f>
        <v>8.4906266853629599</v>
      </c>
      <c r="T33" s="1520">
        <f>ROW('※ 인력 세부데이터'!J29)</f>
        <v>29</v>
      </c>
      <c r="U33" s="1521"/>
    </row>
    <row r="34" spans="1:22" x14ac:dyDescent="0.55000000000000004">
      <c r="A34" s="7179"/>
      <c r="B34" s="1533" t="s">
        <v>187</v>
      </c>
      <c r="C34" s="1534"/>
      <c r="D34" s="1535" cm="1">
        <f t="array" aca="1" ref="D34" ca="1">INDIRECT("'※ 인력 세부데이터'!"&amp;D$1&amp;$T35, TRUE)</f>
        <v>1722.0833333333333</v>
      </c>
      <c r="E34" s="1536" cm="1">
        <f t="array" aca="1" ref="E34" ca="1">INDIRECT("'※ 인력 세부데이터'!"&amp;E$1&amp;$T35, TRUE)</f>
        <v>1732.5833333333333</v>
      </c>
      <c r="F34" s="1574" cm="1">
        <f t="array" aca="1" ref="F34" ca="1">INDIRECT("'※ 인력 세부데이터'!"&amp;F$1&amp;$T35, TRUE)</f>
        <v>1809</v>
      </c>
      <c r="G34" s="1575" cm="1">
        <f t="array" aca="1" ref="G34" ca="1">INDIRECT("'※ 인력 세부데이터'!"&amp;G$1&amp;$T35, TRUE)</f>
        <v>1788</v>
      </c>
      <c r="H34" s="1575" cm="1">
        <f t="array" aca="1" ref="H34" ca="1">INDIRECT("'※ 인력 세부데이터'!"&amp;H$1&amp;$T35, TRUE)</f>
        <v>1801</v>
      </c>
      <c r="I34" s="1575" cm="1">
        <f t="array" aca="1" ref="I34" ca="1">INDIRECT("'※ 인력 세부데이터'!"&amp;I$1&amp;$T35, TRUE)</f>
        <v>1782</v>
      </c>
      <c r="J34" s="1575" cm="1">
        <f t="array" aca="1" ref="J34" ca="1">INDIRECT("'※ 인력 세부데이터'!"&amp;J$1&amp;$T35, TRUE)</f>
        <v>1755</v>
      </c>
      <c r="K34" s="1575" cm="1">
        <f t="array" aca="1" ref="K34" ca="1">INDIRECT("'※ 인력 세부데이터'!"&amp;K$1&amp;$T35, TRUE)</f>
        <v>1744</v>
      </c>
      <c r="L34" s="1536" cm="1">
        <f t="array" aca="1" ref="L34" ca="1">INDIRECT("'※ 인력 세부데이터'!"&amp;L$1&amp;$T35, TRUE)</f>
        <v>1675.5</v>
      </c>
      <c r="M34" s="1575" cm="1">
        <f t="array" aca="1" ref="M34" ca="1">INDIRECT("'※ 인력 세부데이터'!"&amp;M$1&amp;$T35, TRUE)</f>
        <v>1676</v>
      </c>
      <c r="N34" s="1575" cm="1">
        <f t="array" aca="1" ref="N34" ca="1">INDIRECT("'※ 인력 세부데이터'!"&amp;N$1&amp;$T35, TRUE)</f>
        <v>1675</v>
      </c>
      <c r="O34" s="1539" cm="1">
        <f t="array" aca="1" ref="O34" ca="1">INDIRECT("'※ 인력 세부데이터'!"&amp;O$1&amp;$T35, TRUE)</f>
        <v>0.75871435038478952</v>
      </c>
      <c r="P34" s="1540" cm="1">
        <f t="array" aca="1" ref="P34" ca="1">INDIRECT("'※ 인력 세부데이터'!"&amp;P$1&amp;$T35, TRUE)</f>
        <v>609</v>
      </c>
      <c r="Q34" s="1541" cm="1">
        <f t="array" aca="1" ref="Q34" ca="1">INDIRECT("'※ 인력 세부데이터'!"&amp;Q$1&amp;$T35, TRUE)</f>
        <v>0.36336515513126494</v>
      </c>
      <c r="R34" s="1542" cm="1">
        <f t="array" aca="1" ref="R34" ca="1">INDIRECT("'※ 인력 세부데이터'!"&amp;R$1&amp;$T35, TRUE)</f>
        <v>35.136716417910449</v>
      </c>
      <c r="S34" s="1543" cm="1">
        <f t="array" aca="1" ref="S34" ca="1">INDIRECT("'※ 인력 세부데이터'!"&amp;S$1&amp;$T35, TRUE)</f>
        <v>6.2778589245552947</v>
      </c>
      <c r="T34" s="1520">
        <f>ROW('※ 인력 세부데이터'!J30)</f>
        <v>30</v>
      </c>
      <c r="U34" s="1521"/>
    </row>
    <row r="35" spans="1:22" x14ac:dyDescent="0.55000000000000004">
      <c r="A35" s="7179"/>
      <c r="B35" s="1550"/>
      <c r="C35" s="1576" t="s">
        <v>188</v>
      </c>
      <c r="D35" s="1577" cm="1">
        <f t="array" aca="1" ref="D35" ca="1">INDIRECT("'※ 인력 세부데이터'!"&amp;D$1&amp;$T36, TRUE)</f>
        <v>328.58333333333331</v>
      </c>
      <c r="E35" s="1578" cm="1">
        <f t="array" aca="1" ref="E35" ca="1">INDIRECT("'※ 인력 세부데이터'!"&amp;E$1&amp;$T36, TRUE)</f>
        <v>336.58333333333331</v>
      </c>
      <c r="F35" s="1579" cm="1">
        <f t="array" aca="1" ref="F35" ca="1">INDIRECT("'※ 인력 세부데이터'!"&amp;F$1&amp;$T36, TRUE)</f>
        <v>351</v>
      </c>
      <c r="G35" s="1580" cm="1">
        <f t="array" aca="1" ref="G35" ca="1">INDIRECT("'※ 인력 세부데이터'!"&amp;G$1&amp;$T36, TRUE)</f>
        <v>354</v>
      </c>
      <c r="H35" s="1580" cm="1">
        <f t="array" aca="1" ref="H35" ca="1">INDIRECT("'※ 인력 세부데이터'!"&amp;H$1&amp;$T36, TRUE)</f>
        <v>350</v>
      </c>
      <c r="I35" s="1580" cm="1">
        <f t="array" aca="1" ref="I35" ca="1">INDIRECT("'※ 인력 세부데이터'!"&amp;I$1&amp;$T36, TRUE)</f>
        <v>346</v>
      </c>
      <c r="J35" s="1580" cm="1">
        <f t="array" aca="1" ref="J35" ca="1">INDIRECT("'※ 인력 세부데이터'!"&amp;J$1&amp;$T36, TRUE)</f>
        <v>343</v>
      </c>
      <c r="K35" s="1580" cm="1">
        <f t="array" aca="1" ref="K35" ca="1">INDIRECT("'※ 인력 세부데이터'!"&amp;K$1&amp;$T36, TRUE)</f>
        <v>342</v>
      </c>
      <c r="L35" s="1578" cm="1">
        <f t="array" aca="1" ref="L35" ca="1">INDIRECT("'※ 인력 세부데이터'!"&amp;L$1&amp;$T36, TRUE)</f>
        <v>320</v>
      </c>
      <c r="M35" s="1580" cm="1">
        <f t="array" aca="1" ref="M35" ca="1">INDIRECT("'※ 인력 세부데이터'!"&amp;M$1&amp;$T36, TRUE)</f>
        <v>321</v>
      </c>
      <c r="N35" s="1580" cm="1">
        <f t="array" aca="1" ref="N35" ca="1">INDIRECT("'※ 인력 세부데이터'!"&amp;N$1&amp;$T36, TRUE)</f>
        <v>319</v>
      </c>
      <c r="O35" s="1581" cm="1">
        <f t="array" aca="1" ref="O35" ca="1">INDIRECT("'※ 인력 세부데이터'!"&amp;O$1&amp;$T36, TRUE)</f>
        <v>0.14531462200090539</v>
      </c>
      <c r="P35" s="1582" cm="1">
        <f t="array" aca="1" ref="P35" ca="1">INDIRECT("'※ 인력 세부데이터'!"&amp;P$1&amp;$T36, TRUE)</f>
        <v>83</v>
      </c>
      <c r="Q35" s="1583" cm="1">
        <f t="array" aca="1" ref="Q35" ca="1">INDIRECT("'※ 인력 세부데이터'!"&amp;Q$1&amp;$T36, TRUE)</f>
        <v>0.25856697819314639</v>
      </c>
      <c r="R35" s="1584" cm="1">
        <f t="array" aca="1" ref="R35" ca="1">INDIRECT("'※ 인력 세부데이터'!"&amp;R$1&amp;$T36, TRUE)</f>
        <v>36.043887147335425</v>
      </c>
      <c r="S35" s="1585" cm="1">
        <f t="array" aca="1" ref="S35" ca="1">INDIRECT("'※ 인력 세부데이터'!"&amp;S$1&amp;$T36, TRUE)</f>
        <v>6.3550307038261646</v>
      </c>
      <c r="T35" s="1520">
        <f>ROW('※ 인력 세부데이터'!J31)</f>
        <v>31</v>
      </c>
      <c r="U35" s="1521"/>
    </row>
    <row r="36" spans="1:22" x14ac:dyDescent="0.55000000000000004">
      <c r="A36" s="7179"/>
      <c r="B36" s="1550"/>
      <c r="C36" s="886" t="s">
        <v>204</v>
      </c>
      <c r="D36" s="1544" cm="1">
        <f t="array" aca="1" ref="D36" ca="1">INDIRECT("'※ 인력 세부데이터'!"&amp;D$1&amp;$T37, TRUE)</f>
        <v>36.583333333333336</v>
      </c>
      <c r="E36" s="1545" cm="1">
        <f t="array" aca="1" ref="E36" ca="1">INDIRECT("'※ 인력 세부데이터'!"&amp;E$1&amp;$T37, TRUE)</f>
        <v>37.166666666666664</v>
      </c>
      <c r="F36" s="1526" cm="1">
        <f t="array" aca="1" ref="F36" ca="1">INDIRECT("'※ 인력 세부데이터'!"&amp;F$1&amp;$T37, TRUE)</f>
        <v>38</v>
      </c>
      <c r="G36" s="1527" cm="1">
        <f t="array" aca="1" ref="G36" ca="1">INDIRECT("'※ 인력 세부데이터'!"&amp;G$1&amp;$T37, TRUE)</f>
        <v>41</v>
      </c>
      <c r="H36" s="1527" cm="1">
        <f t="array" aca="1" ref="H36" ca="1">INDIRECT("'※ 인력 세부데이터'!"&amp;H$1&amp;$T37, TRUE)</f>
        <v>41</v>
      </c>
      <c r="I36" s="1527" cm="1">
        <f t="array" aca="1" ref="I36" ca="1">INDIRECT("'※ 인력 세부데이터'!"&amp;I$1&amp;$T37, TRUE)</f>
        <v>42</v>
      </c>
      <c r="J36" s="1527" cm="1">
        <f t="array" aca="1" ref="J36" ca="1">INDIRECT("'※ 인력 세부데이터'!"&amp;J$1&amp;$T37, TRUE)</f>
        <v>40</v>
      </c>
      <c r="K36" s="1527" cm="1">
        <f t="array" aca="1" ref="K36" ca="1">INDIRECT("'※ 인력 세부데이터'!"&amp;K$1&amp;$T37, TRUE)</f>
        <v>41</v>
      </c>
      <c r="L36" s="1545" cm="1">
        <f t="array" aca="1" ref="L36" ca="1">INDIRECT("'※ 인력 세부데이터'!"&amp;L$1&amp;$T37, TRUE)</f>
        <v>34</v>
      </c>
      <c r="M36" s="1527" cm="1">
        <f t="array" aca="1" ref="M36" ca="1">INDIRECT("'※ 인력 세부데이터'!"&amp;M$1&amp;$T37, TRUE)</f>
        <v>34</v>
      </c>
      <c r="N36" s="1527" cm="1">
        <f t="array" aca="1" ref="N36" ca="1">INDIRECT("'※ 인력 세부데이터'!"&amp;N$1&amp;$T37, TRUE)</f>
        <v>34</v>
      </c>
      <c r="O36" s="1528" cm="1">
        <f t="array" aca="1" ref="O36" ca="1">INDIRECT("'※ 인력 세부데이터'!"&amp;O$1&amp;$T37, TRUE)</f>
        <v>0.1059190031152648</v>
      </c>
      <c r="P36" s="1546" cm="1">
        <f t="array" aca="1" ref="P36" ca="1">INDIRECT("'※ 인력 세부데이터'!"&amp;P$1&amp;$T37, TRUE)</f>
        <v>10</v>
      </c>
      <c r="Q36" s="1547" cm="1">
        <f t="array" aca="1" ref="Q36" ca="1">INDIRECT("'※ 인력 세부데이터'!"&amp;Q$1&amp;$T37, TRUE)</f>
        <v>0.29411764705882354</v>
      </c>
      <c r="R36" s="1548" cm="1">
        <f t="array" aca="1" ref="R36" ca="1">INDIRECT("'※ 인력 세부데이터'!"&amp;R$1&amp;$T37, TRUE)</f>
        <v>42.235294117647058</v>
      </c>
      <c r="S36" s="1549" cm="1">
        <f t="array" aca="1" ref="S36" ca="1">INDIRECT("'※ 인력 세부데이터'!"&amp;S$1&amp;$T37, TRUE)</f>
        <v>13.490491539081384</v>
      </c>
      <c r="T36" s="1520">
        <f>ROW('※ 인력 세부데이터'!J32)</f>
        <v>32</v>
      </c>
      <c r="U36" s="1521"/>
    </row>
    <row r="37" spans="1:22" x14ac:dyDescent="0.55000000000000004">
      <c r="A37" s="7179"/>
      <c r="B37" s="1550"/>
      <c r="C37" s="886" t="s">
        <v>939</v>
      </c>
      <c r="D37" s="1544" cm="1">
        <f t="array" aca="1" ref="D37" ca="1">INDIRECT("'※ 인력 세부데이터'!"&amp;D$1&amp;$T38, TRUE)</f>
        <v>19.583333333333332</v>
      </c>
      <c r="E37" s="1545" cm="1">
        <f t="array" aca="1" ref="E37" ca="1">INDIRECT("'※ 인력 세부데이터'!"&amp;E$1&amp;$T38, TRUE)</f>
        <v>22.75</v>
      </c>
      <c r="F37" s="1526" cm="1">
        <f t="array" aca="1" ref="F37" ca="1">INDIRECT("'※ 인력 세부데이터'!"&amp;F$1&amp;$T38, TRUE)</f>
        <v>22</v>
      </c>
      <c r="G37" s="1527" cm="1">
        <f t="array" aca="1" ref="G37" ca="1">INDIRECT("'※ 인력 세부데이터'!"&amp;G$1&amp;$T38, TRUE)</f>
        <v>24</v>
      </c>
      <c r="H37" s="1527" cm="1">
        <f t="array" aca="1" ref="H37" ca="1">INDIRECT("'※ 인력 세부데이터'!"&amp;H$1&amp;$T38, TRUE)</f>
        <v>25</v>
      </c>
      <c r="I37" s="1527" cm="1">
        <f t="array" aca="1" ref="I37" ca="1">INDIRECT("'※ 인력 세부데이터'!"&amp;I$1&amp;$T38, TRUE)</f>
        <v>25</v>
      </c>
      <c r="J37" s="1527" cm="1">
        <f t="array" aca="1" ref="J37" ca="1">INDIRECT("'※ 인력 세부데이터'!"&amp;J$1&amp;$T38, TRUE)</f>
        <v>25</v>
      </c>
      <c r="K37" s="1527" cm="1">
        <f t="array" aca="1" ref="K37" ca="1">INDIRECT("'※ 인력 세부데이터'!"&amp;K$1&amp;$T38, TRUE)</f>
        <v>25</v>
      </c>
      <c r="L37" s="1545" cm="1">
        <f t="array" aca="1" ref="L37" ca="1">INDIRECT("'※ 인력 세부데이터'!"&amp;L$1&amp;$T38, TRUE)</f>
        <v>14</v>
      </c>
      <c r="M37" s="1527" cm="1">
        <f t="array" aca="1" ref="M37" ca="1">INDIRECT("'※ 인력 세부데이터'!"&amp;M$1&amp;$T38, TRUE)</f>
        <v>14</v>
      </c>
      <c r="N37" s="1527" cm="1">
        <f t="array" aca="1" ref="N37" ca="1">INDIRECT("'※ 인력 세부데이터'!"&amp;N$1&amp;$T38, TRUE)</f>
        <v>14</v>
      </c>
      <c r="O37" s="1528" cm="1">
        <f t="array" aca="1" ref="O37" ca="1">INDIRECT("'※ 인력 세부데이터'!"&amp;O$1&amp;$T38, TRUE)</f>
        <v>4.3613707165109032E-2</v>
      </c>
      <c r="P37" s="1546" cm="1">
        <f t="array" aca="1" ref="P37" ca="1">INDIRECT("'※ 인력 세부데이터'!"&amp;P$1&amp;$T38, TRUE)</f>
        <v>0</v>
      </c>
      <c r="Q37" s="1547" cm="1">
        <f t="array" aca="1" ref="Q37" ca="1">INDIRECT("'※ 인력 세부데이터'!"&amp;Q$1&amp;$T38, TRUE)</f>
        <v>0</v>
      </c>
      <c r="R37" s="1548" cm="1">
        <f t="array" aca="1" ref="R37" ca="1">INDIRECT("'※ 인력 세부데이터'!"&amp;R$1&amp;$T38, TRUE)</f>
        <v>47.142857142857146</v>
      </c>
      <c r="S37" s="1549" cm="1">
        <f t="array" aca="1" ref="S37" ca="1">INDIRECT("'※ 인력 세부데이터'!"&amp;S$1&amp;$T38, TRUE)</f>
        <v>8.5600782778864968</v>
      </c>
      <c r="T37" s="1520">
        <f>ROW('※ 인력 세부데이터'!J33)</f>
        <v>33</v>
      </c>
      <c r="U37" s="1521"/>
    </row>
    <row r="38" spans="1:22" x14ac:dyDescent="0.55000000000000004">
      <c r="A38" s="7179"/>
      <c r="B38" s="1550"/>
      <c r="C38" s="886" t="s">
        <v>19</v>
      </c>
      <c r="D38" s="1544" cm="1">
        <f t="array" aca="1" ref="D38" ca="1">INDIRECT("'※ 인력 세부데이터'!"&amp;D$1&amp;$T39, TRUE)</f>
        <v>204.08333333333334</v>
      </c>
      <c r="E38" s="1545" cm="1">
        <f t="array" aca="1" ref="E38" ca="1">INDIRECT("'※ 인력 세부데이터'!"&amp;E$1&amp;$T39, TRUE)</f>
        <v>208.25</v>
      </c>
      <c r="F38" s="1526" cm="1">
        <f t="array" aca="1" ref="F38" ca="1">INDIRECT("'※ 인력 세부데이터'!"&amp;F$1&amp;$T39, TRUE)</f>
        <v>219</v>
      </c>
      <c r="G38" s="1527" cm="1">
        <f t="array" aca="1" ref="G38" ca="1">INDIRECT("'※ 인력 세부데이터'!"&amp;G$1&amp;$T39, TRUE)</f>
        <v>217</v>
      </c>
      <c r="H38" s="1527" cm="1">
        <f t="array" aca="1" ref="H38" ca="1">INDIRECT("'※ 인력 세부데이터'!"&amp;H$1&amp;$T39, TRUE)</f>
        <v>211</v>
      </c>
      <c r="I38" s="1527" cm="1">
        <f t="array" aca="1" ref="I38" ca="1">INDIRECT("'※ 인력 세부데이터'!"&amp;I$1&amp;$T39, TRUE)</f>
        <v>208</v>
      </c>
      <c r="J38" s="1527" cm="1">
        <f t="array" aca="1" ref="J38" ca="1">INDIRECT("'※ 인력 세부데이터'!"&amp;J$1&amp;$T39, TRUE)</f>
        <v>208</v>
      </c>
      <c r="K38" s="1527" cm="1">
        <f t="array" aca="1" ref="K38" ca="1">INDIRECT("'※ 인력 세부데이터'!"&amp;K$1&amp;$T39, TRUE)</f>
        <v>208</v>
      </c>
      <c r="L38" s="1545" cm="1">
        <f t="array" aca="1" ref="L38" ca="1">INDIRECT("'※ 인력 세부데이터'!"&amp;L$1&amp;$T39, TRUE)</f>
        <v>206.5</v>
      </c>
      <c r="M38" s="1527" cm="1">
        <f t="array" aca="1" ref="M38" ca="1">INDIRECT("'※ 인력 세부데이터'!"&amp;M$1&amp;$T39, TRUE)</f>
        <v>208</v>
      </c>
      <c r="N38" s="1527" cm="1">
        <f t="array" aca="1" ref="N38" ca="1">INDIRECT("'※ 인력 세부데이터'!"&amp;N$1&amp;$T39, TRUE)</f>
        <v>205</v>
      </c>
      <c r="O38" s="1528" cm="1">
        <f t="array" aca="1" ref="O38" ca="1">INDIRECT("'※ 인력 세부데이터'!"&amp;O$1&amp;$T39, TRUE)</f>
        <v>0.6479750778816199</v>
      </c>
      <c r="P38" s="1546" cm="1">
        <f t="array" aca="1" ref="P38" ca="1">INDIRECT("'※ 인력 세부데이터'!"&amp;P$1&amp;$T39, TRUE)</f>
        <v>46</v>
      </c>
      <c r="Q38" s="1547" cm="1">
        <f t="array" aca="1" ref="Q38" ca="1">INDIRECT("'※ 인력 세부데이터'!"&amp;Q$1&amp;$T39, TRUE)</f>
        <v>0.22115384615384615</v>
      </c>
      <c r="R38" s="1548" cm="1">
        <f t="array" aca="1" ref="R38" ca="1">INDIRECT("'※ 인력 세부데이터'!"&amp;R$1&amp;$T39, TRUE)</f>
        <v>34.15609756097561</v>
      </c>
      <c r="S38" s="1549" cm="1">
        <f t="array" aca="1" ref="S38" ca="1">INDIRECT("'※ 인력 세부데이터'!"&amp;S$1&amp;$T39, TRUE)</f>
        <v>5.0861476779151387</v>
      </c>
      <c r="T38" s="1520">
        <f>ROW('※ 인력 세부데이터'!J34)</f>
        <v>34</v>
      </c>
      <c r="U38" s="1521"/>
    </row>
    <row r="39" spans="1:22" x14ac:dyDescent="0.55000000000000004">
      <c r="A39" s="7179"/>
      <c r="B39" s="1550"/>
      <c r="C39" s="886" t="s">
        <v>20</v>
      </c>
      <c r="D39" s="1544" cm="1">
        <f t="array" aca="1" ref="D39" ca="1">INDIRECT("'※ 인력 세부데이터'!"&amp;D$1&amp;$T40, TRUE)</f>
        <v>68.333333333333329</v>
      </c>
      <c r="E39" s="1545" cm="1">
        <f t="array" aca="1" ref="E39" ca="1">INDIRECT("'※ 인력 세부데이터'!"&amp;E$1&amp;$T40, TRUE)</f>
        <v>68.416666666666671</v>
      </c>
      <c r="F39" s="1526" cm="1">
        <f t="array" aca="1" ref="F39" ca="1">INDIRECT("'※ 인력 세부데이터'!"&amp;F$1&amp;$T40, TRUE)</f>
        <v>72</v>
      </c>
      <c r="G39" s="1527" cm="1">
        <f t="array" aca="1" ref="G39" ca="1">INDIRECT("'※ 인력 세부데이터'!"&amp;G$1&amp;$T40, TRUE)</f>
        <v>72</v>
      </c>
      <c r="H39" s="1527" cm="1">
        <f t="array" aca="1" ref="H39" ca="1">INDIRECT("'※ 인력 세부데이터'!"&amp;H$1&amp;$T40, TRUE)</f>
        <v>73</v>
      </c>
      <c r="I39" s="1527" cm="1">
        <f t="array" aca="1" ref="I39" ca="1">INDIRECT("'※ 인력 세부데이터'!"&amp;I$1&amp;$T40, TRUE)</f>
        <v>71</v>
      </c>
      <c r="J39" s="1527" cm="1">
        <f t="array" aca="1" ref="J39" ca="1">INDIRECT("'※ 인력 세부데이터'!"&amp;J$1&amp;$T40, TRUE)</f>
        <v>70</v>
      </c>
      <c r="K39" s="1527" cm="1">
        <f t="array" aca="1" ref="K39" ca="1">INDIRECT("'※ 인력 세부데이터'!"&amp;K$1&amp;$T40, TRUE)</f>
        <v>68</v>
      </c>
      <c r="L39" s="1545" cm="1">
        <f t="array" aca="1" ref="L39" ca="1">INDIRECT("'※ 인력 세부데이터'!"&amp;L$1&amp;$T40, TRUE)</f>
        <v>65.5</v>
      </c>
      <c r="M39" s="1527" cm="1">
        <f t="array" aca="1" ref="M39" ca="1">INDIRECT("'※ 인력 세부데이터'!"&amp;M$1&amp;$T40, TRUE)</f>
        <v>65</v>
      </c>
      <c r="N39" s="1527" cm="1">
        <f t="array" aca="1" ref="N39" ca="1">INDIRECT("'※ 인력 세부데이터'!"&amp;N$1&amp;$T40, TRUE)</f>
        <v>66</v>
      </c>
      <c r="O39" s="1528" cm="1">
        <f t="array" aca="1" ref="O39" ca="1">INDIRECT("'※ 인력 세부데이터'!"&amp;O$1&amp;$T40, TRUE)</f>
        <v>0.20249221183800623</v>
      </c>
      <c r="P39" s="1546" cm="1">
        <f t="array" aca="1" ref="P39" ca="1">INDIRECT("'※ 인력 세부데이터'!"&amp;P$1&amp;$T40, TRUE)</f>
        <v>27</v>
      </c>
      <c r="Q39" s="1547" cm="1">
        <f t="array" aca="1" ref="Q39" ca="1">INDIRECT("'※ 인력 세부데이터'!"&amp;Q$1&amp;$T40, TRUE)</f>
        <v>0.41538461538461541</v>
      </c>
      <c r="R39" s="1548" cm="1">
        <f t="array" aca="1" ref="R39" ca="1">INDIRECT("'※ 인력 세부데이터'!"&amp;R$1&amp;$T40, TRUE)</f>
        <v>36.363636363636367</v>
      </c>
      <c r="S39" s="1549" cm="1">
        <f t="array" aca="1" ref="S39" ca="1">INDIRECT("'※ 인력 세부데이터'!"&amp;S$1&amp;$T40, TRUE)</f>
        <v>6.1526774595267719</v>
      </c>
      <c r="T39" s="1520">
        <f>ROW('※ 인력 세부데이터'!J35)</f>
        <v>35</v>
      </c>
      <c r="U39" s="1521"/>
    </row>
    <row r="40" spans="1:22" x14ac:dyDescent="0.55000000000000004">
      <c r="A40" s="7179"/>
      <c r="B40" s="1550"/>
      <c r="C40" s="1576" t="s">
        <v>189</v>
      </c>
      <c r="D40" s="1577" cm="1">
        <f t="array" aca="1" ref="D40" ca="1">INDIRECT("'※ 인력 세부데이터'!"&amp;D$1&amp;$T41, TRUE)</f>
        <v>276.75</v>
      </c>
      <c r="E40" s="1578" cm="1">
        <f t="array" aca="1" ref="E40" ca="1">INDIRECT("'※ 인력 세부데이터'!"&amp;E$1&amp;$T41, TRUE)</f>
        <v>274.08333333333331</v>
      </c>
      <c r="F40" s="1579" cm="1">
        <f t="array" aca="1" ref="F40" ca="1">INDIRECT("'※ 인력 세부데이터'!"&amp;F$1&amp;$T41, TRUE)</f>
        <v>283</v>
      </c>
      <c r="G40" s="1580" cm="1">
        <f t="array" aca="1" ref="G40" ca="1">INDIRECT("'※ 인력 세부데이터'!"&amp;G$1&amp;$T41, TRUE)</f>
        <v>280</v>
      </c>
      <c r="H40" s="1580" cm="1">
        <f t="array" aca="1" ref="H40" ca="1">INDIRECT("'※ 인력 세부데이터'!"&amp;H$1&amp;$T41, TRUE)</f>
        <v>286</v>
      </c>
      <c r="I40" s="1580" cm="1">
        <f t="array" aca="1" ref="I40" ca="1">INDIRECT("'※ 인력 세부데이터'!"&amp;I$1&amp;$T41, TRUE)</f>
        <v>278</v>
      </c>
      <c r="J40" s="1580" cm="1">
        <f t="array" aca="1" ref="J40" ca="1">INDIRECT("'※ 인력 세부데이터'!"&amp;J$1&amp;$T41, TRUE)</f>
        <v>274</v>
      </c>
      <c r="K40" s="1580" cm="1">
        <f t="array" aca="1" ref="K40" ca="1">INDIRECT("'※ 인력 세부데이터'!"&amp;K$1&amp;$T41, TRUE)</f>
        <v>273</v>
      </c>
      <c r="L40" s="1578" cm="1">
        <f t="array" aca="1" ref="L40" ca="1">INDIRECT("'※ 인력 세부데이터'!"&amp;L$1&amp;$T41, TRUE)</f>
        <v>271</v>
      </c>
      <c r="M40" s="1580" cm="1">
        <f t="array" aca="1" ref="M40" ca="1">INDIRECT("'※ 인력 세부데이터'!"&amp;M$1&amp;$T41, TRUE)</f>
        <v>269</v>
      </c>
      <c r="N40" s="1580" cm="1">
        <f t="array" aca="1" ref="N40" ca="1">INDIRECT("'※ 인력 세부데이터'!"&amp;N$1&amp;$T41, TRUE)</f>
        <v>273</v>
      </c>
      <c r="O40" s="1581" cm="1">
        <f t="array" aca="1" ref="O40" ca="1">INDIRECT("'※ 인력 세부데이터'!"&amp;O$1&amp;$T41, TRUE)</f>
        <v>0.12177455862381167</v>
      </c>
      <c r="P40" s="1582" cm="1">
        <f t="array" aca="1" ref="P40" ca="1">INDIRECT("'※ 인력 세부데이터'!"&amp;P$1&amp;$T41, TRUE)</f>
        <v>90</v>
      </c>
      <c r="Q40" s="1583" cm="1">
        <f t="array" aca="1" ref="Q40" ca="1">INDIRECT("'※ 인력 세부데이터'!"&amp;Q$1&amp;$T41, TRUE)</f>
        <v>0.33457249070631973</v>
      </c>
      <c r="R40" s="1584" cm="1">
        <f t="array" aca="1" ref="R40" ca="1">INDIRECT("'※ 인력 세부데이터'!"&amp;R$1&amp;$T41, TRUE)</f>
        <v>37.227106227106226</v>
      </c>
      <c r="S40" s="1585" cm="1">
        <f t="array" aca="1" ref="S40" ca="1">INDIRECT("'※ 인력 세부데이터'!"&amp;S$1&amp;$T41, TRUE)</f>
        <v>7.2008229213708637</v>
      </c>
      <c r="T40" s="1520">
        <f>ROW('※ 인력 세부데이터'!J36)</f>
        <v>36</v>
      </c>
      <c r="U40" s="1521"/>
    </row>
    <row r="41" spans="1:22" x14ac:dyDescent="0.55000000000000004">
      <c r="A41" s="7179"/>
      <c r="B41" s="1550"/>
      <c r="C41" s="886" t="s">
        <v>204</v>
      </c>
      <c r="D41" s="1544" cm="1">
        <f t="array" aca="1" ref="D41" ca="1">INDIRECT("'※ 인력 세부데이터'!"&amp;D$1&amp;$T42, TRUE)</f>
        <v>31.666666666666668</v>
      </c>
      <c r="E41" s="1545" cm="1">
        <f t="array" aca="1" ref="E41" ca="1">INDIRECT("'※ 인력 세부데이터'!"&amp;E$1&amp;$T42, TRUE)</f>
        <v>35.583333333333336</v>
      </c>
      <c r="F41" s="1526" cm="1">
        <f t="array" aca="1" ref="F41" ca="1">INDIRECT("'※ 인력 세부데이터'!"&amp;F$1&amp;$T42, TRUE)</f>
        <v>36</v>
      </c>
      <c r="G41" s="1527" cm="1">
        <f t="array" aca="1" ref="G41" ca="1">INDIRECT("'※ 인력 세부데이터'!"&amp;G$1&amp;$T42, TRUE)</f>
        <v>38</v>
      </c>
      <c r="H41" s="1527" cm="1">
        <f t="array" aca="1" ref="H41" ca="1">INDIRECT("'※ 인력 세부데이터'!"&amp;H$1&amp;$T42, TRUE)</f>
        <v>37</v>
      </c>
      <c r="I41" s="1527" cm="1">
        <f t="array" aca="1" ref="I41" ca="1">INDIRECT("'※ 인력 세부데이터'!"&amp;I$1&amp;$T42, TRUE)</f>
        <v>38</v>
      </c>
      <c r="J41" s="1527" cm="1">
        <f t="array" aca="1" ref="J41" ca="1">INDIRECT("'※ 인력 세부데이터'!"&amp;J$1&amp;$T42, TRUE)</f>
        <v>38</v>
      </c>
      <c r="K41" s="1527" cm="1">
        <f t="array" aca="1" ref="K41" ca="1">INDIRECT("'※ 인력 세부데이터'!"&amp;K$1&amp;$T42, TRUE)</f>
        <v>38</v>
      </c>
      <c r="L41" s="1545" cm="1">
        <f t="array" aca="1" ref="L41" ca="1">INDIRECT("'※ 인력 세부데이터'!"&amp;L$1&amp;$T42, TRUE)</f>
        <v>33</v>
      </c>
      <c r="M41" s="1527" cm="1">
        <f t="array" aca="1" ref="M41" ca="1">INDIRECT("'※ 인력 세부데이터'!"&amp;M$1&amp;$T42, TRUE)</f>
        <v>33</v>
      </c>
      <c r="N41" s="1527" cm="1">
        <f t="array" aca="1" ref="N41" ca="1">INDIRECT("'※ 인력 세부데이터'!"&amp;N$1&amp;$T42, TRUE)</f>
        <v>33</v>
      </c>
      <c r="O41" s="1528" cm="1">
        <f t="array" aca="1" ref="O41" ca="1">INDIRECT("'※ 인력 세부데이터'!"&amp;O$1&amp;$T42, TRUE)</f>
        <v>0.12267657992565056</v>
      </c>
      <c r="P41" s="1546" cm="1">
        <f t="array" aca="1" ref="P41" ca="1">INDIRECT("'※ 인력 세부데이터'!"&amp;P$1&amp;$T42, TRUE)</f>
        <v>10</v>
      </c>
      <c r="Q41" s="1547" cm="1">
        <f t="array" aca="1" ref="Q41" ca="1">INDIRECT("'※ 인력 세부데이터'!"&amp;Q$1&amp;$T42, TRUE)</f>
        <v>0.30303030303030304</v>
      </c>
      <c r="R41" s="1548" cm="1">
        <f t="array" aca="1" ref="R41" ca="1">INDIRECT("'※ 인력 세부데이터'!"&amp;R$1&amp;$T42, TRUE)</f>
        <v>42.878787878787875</v>
      </c>
      <c r="S41" s="1549" cm="1">
        <f t="array" aca="1" ref="S41" ca="1">INDIRECT("'※ 인력 세부데이터'!"&amp;S$1&amp;$T42, TRUE)</f>
        <v>12.624159402241592</v>
      </c>
      <c r="T41" s="1520">
        <f>ROW('※ 인력 세부데이터'!J37)</f>
        <v>37</v>
      </c>
      <c r="U41" s="1521"/>
    </row>
    <row r="42" spans="1:22" x14ac:dyDescent="0.55000000000000004">
      <c r="A42" s="7179"/>
      <c r="B42" s="1550"/>
      <c r="C42" s="886" t="s">
        <v>939</v>
      </c>
      <c r="D42" s="1544" cm="1">
        <f t="array" aca="1" ref="D42" ca="1">INDIRECT("'※ 인력 세부데이터'!"&amp;D$1&amp;$T43, TRUE)</f>
        <v>15</v>
      </c>
      <c r="E42" s="1545" cm="1">
        <f t="array" aca="1" ref="E42" ca="1">INDIRECT("'※ 인력 세부데이터'!"&amp;E$1&amp;$T43, TRUE)</f>
        <v>12.25</v>
      </c>
      <c r="F42" s="1526" cm="1">
        <f t="array" aca="1" ref="F42" ca="1">INDIRECT("'※ 인력 세부데이터'!"&amp;F$1&amp;$T43, TRUE)</f>
        <v>15</v>
      </c>
      <c r="G42" s="1527" cm="1">
        <f t="array" aca="1" ref="G42" ca="1">INDIRECT("'※ 인력 세부데이터'!"&amp;G$1&amp;$T43, TRUE)</f>
        <v>12</v>
      </c>
      <c r="H42" s="1527" cm="1">
        <f t="array" aca="1" ref="H42" ca="1">INDIRECT("'※ 인력 세부데이터'!"&amp;H$1&amp;$T43, TRUE)</f>
        <v>13</v>
      </c>
      <c r="I42" s="1527" cm="1">
        <f t="array" aca="1" ref="I42" ca="1">INDIRECT("'※ 인력 세부데이터'!"&amp;I$1&amp;$T43, TRUE)</f>
        <v>13</v>
      </c>
      <c r="J42" s="1527" cm="1">
        <f t="array" aca="1" ref="J42" ca="1">INDIRECT("'※ 인력 세부데이터'!"&amp;J$1&amp;$T43, TRUE)</f>
        <v>12</v>
      </c>
      <c r="K42" s="1527" cm="1">
        <f t="array" aca="1" ref="K42" ca="1">INDIRECT("'※ 인력 세부데이터'!"&amp;K$1&amp;$T43, TRUE)</f>
        <v>12</v>
      </c>
      <c r="L42" s="1545" cm="1">
        <f t="array" aca="1" ref="L42" ca="1">INDIRECT("'※ 인력 세부데이터'!"&amp;L$1&amp;$T43, TRUE)</f>
        <v>7</v>
      </c>
      <c r="M42" s="1527" cm="1">
        <f t="array" aca="1" ref="M42" ca="1">INDIRECT("'※ 인력 세부데이터'!"&amp;M$1&amp;$T43, TRUE)</f>
        <v>7</v>
      </c>
      <c r="N42" s="1527" cm="1">
        <f t="array" aca="1" ref="N42" ca="1">INDIRECT("'※ 인력 세부데이터'!"&amp;N$1&amp;$T43, TRUE)</f>
        <v>7</v>
      </c>
      <c r="O42" s="1528" cm="1">
        <f t="array" aca="1" ref="O42" ca="1">INDIRECT("'※ 인력 세부데이터'!"&amp;O$1&amp;$T43, TRUE)</f>
        <v>2.6022304832713755E-2</v>
      </c>
      <c r="P42" s="1546" cm="1">
        <f t="array" aca="1" ref="P42" ca="1">INDIRECT("'※ 인력 세부데이터'!"&amp;P$1&amp;$T43, TRUE)</f>
        <v>0</v>
      </c>
      <c r="Q42" s="1547" cm="1">
        <f t="array" aca="1" ref="Q42" ca="1">INDIRECT("'※ 인력 세부데이터'!"&amp;Q$1&amp;$T43, TRUE)</f>
        <v>0</v>
      </c>
      <c r="R42" s="1548" cm="1">
        <f t="array" aca="1" ref="R42" ca="1">INDIRECT("'※ 인력 세부데이터'!"&amp;R$1&amp;$T43, TRUE)</f>
        <v>47.428571428571431</v>
      </c>
      <c r="S42" s="1549" cm="1">
        <f t="array" aca="1" ref="S42" ca="1">INDIRECT("'※ 인력 세부데이터'!"&amp;S$1&amp;$T43, TRUE)</f>
        <v>8.2904109589041095</v>
      </c>
      <c r="T42" s="1520">
        <f>ROW('※ 인력 세부데이터'!J38)</f>
        <v>38</v>
      </c>
      <c r="U42" s="1521"/>
    </row>
    <row r="43" spans="1:22" x14ac:dyDescent="0.55000000000000004">
      <c r="A43" s="7179"/>
      <c r="B43" s="1550"/>
      <c r="C43" s="886" t="s">
        <v>19</v>
      </c>
      <c r="D43" s="1544" cm="1">
        <f t="array" aca="1" ref="D43" ca="1">INDIRECT("'※ 인력 세부데이터'!"&amp;D$1&amp;$T44, TRUE)</f>
        <v>183.75</v>
      </c>
      <c r="E43" s="1545" cm="1">
        <f t="array" aca="1" ref="E43" ca="1">INDIRECT("'※ 인력 세부데이터'!"&amp;E$1&amp;$T44, TRUE)</f>
        <v>180.08333333333334</v>
      </c>
      <c r="F43" s="1526" cm="1">
        <f t="array" aca="1" ref="F43" ca="1">INDIRECT("'※ 인력 세부데이터'!"&amp;F$1&amp;$T44, TRUE)</f>
        <v>184</v>
      </c>
      <c r="G43" s="1527" cm="1">
        <f t="array" aca="1" ref="G43" ca="1">INDIRECT("'※ 인력 세부데이터'!"&amp;G$1&amp;$T44, TRUE)</f>
        <v>181</v>
      </c>
      <c r="H43" s="1527" cm="1">
        <f t="array" aca="1" ref="H43" ca="1">INDIRECT("'※ 인력 세부데이터'!"&amp;H$1&amp;$T44, TRUE)</f>
        <v>186</v>
      </c>
      <c r="I43" s="1527" cm="1">
        <f t="array" aca="1" ref="I43" ca="1">INDIRECT("'※ 인력 세부데이터'!"&amp;I$1&amp;$T44, TRUE)</f>
        <v>181</v>
      </c>
      <c r="J43" s="1527" cm="1">
        <f t="array" aca="1" ref="J43" ca="1">INDIRECT("'※ 인력 세부데이터'!"&amp;J$1&amp;$T44, TRUE)</f>
        <v>179</v>
      </c>
      <c r="K43" s="1527" cm="1">
        <f t="array" aca="1" ref="K43" ca="1">INDIRECT("'※ 인력 세부데이터'!"&amp;K$1&amp;$T44, TRUE)</f>
        <v>178</v>
      </c>
      <c r="L43" s="1545" cm="1">
        <f t="array" aca="1" ref="L43" ca="1">INDIRECT("'※ 인력 세부데이터'!"&amp;L$1&amp;$T44, TRUE)</f>
        <v>184.5</v>
      </c>
      <c r="M43" s="1527" cm="1">
        <f t="array" aca="1" ref="M43" ca="1">INDIRECT("'※ 인력 세부데이터'!"&amp;M$1&amp;$T44, TRUE)</f>
        <v>183</v>
      </c>
      <c r="N43" s="1527" cm="1">
        <f t="array" aca="1" ref="N43" ca="1">INDIRECT("'※ 인력 세부데이터'!"&amp;N$1&amp;$T44, TRUE)</f>
        <v>186</v>
      </c>
      <c r="O43" s="1528" cm="1">
        <f t="array" aca="1" ref="O43" ca="1">INDIRECT("'※ 인력 세부데이터'!"&amp;O$1&amp;$T44, TRUE)</f>
        <v>0.6802973977695167</v>
      </c>
      <c r="P43" s="1546" cm="1">
        <f t="array" aca="1" ref="P43" ca="1">INDIRECT("'※ 인력 세부데이터'!"&amp;P$1&amp;$T44, TRUE)</f>
        <v>60</v>
      </c>
      <c r="Q43" s="1547" cm="1">
        <f t="array" aca="1" ref="Q43" ca="1">INDIRECT("'※ 인력 세부데이터'!"&amp;Q$1&amp;$T44, TRUE)</f>
        <v>0.32786885245901637</v>
      </c>
      <c r="R43" s="1548" cm="1">
        <f t="array" aca="1" ref="R43" ca="1">INDIRECT("'※ 인력 세부데이터'!"&amp;R$1&amp;$T44, TRUE)</f>
        <v>36.215053763440864</v>
      </c>
      <c r="S43" s="1549" cm="1">
        <f t="array" aca="1" ref="S43" ca="1">INDIRECT("'※ 인력 세부데이터'!"&amp;S$1&amp;$T44, TRUE)</f>
        <v>6.4073648549123545</v>
      </c>
      <c r="T43" s="1520">
        <f>ROW('※ 인력 세부데이터'!J39)</f>
        <v>39</v>
      </c>
      <c r="U43" s="1521"/>
    </row>
    <row r="44" spans="1:22" x14ac:dyDescent="0.55000000000000004">
      <c r="A44" s="7179"/>
      <c r="B44" s="1550"/>
      <c r="C44" s="886" t="s">
        <v>20</v>
      </c>
      <c r="D44" s="1544" cm="1">
        <f t="array" aca="1" ref="D44" ca="1">INDIRECT("'※ 인력 세부데이터'!"&amp;D$1&amp;$T45, TRUE)</f>
        <v>46.333333333333336</v>
      </c>
      <c r="E44" s="1545" cm="1">
        <f t="array" aca="1" ref="E44" ca="1">INDIRECT("'※ 인력 세부데이터'!"&amp;E$1&amp;$T45, TRUE)</f>
        <v>46.166666666666664</v>
      </c>
      <c r="F44" s="1526" cm="1">
        <f t="array" aca="1" ref="F44" ca="1">INDIRECT("'※ 인력 세부데이터'!"&amp;F$1&amp;$T45, TRUE)</f>
        <v>48</v>
      </c>
      <c r="G44" s="1527" cm="1">
        <f t="array" aca="1" ref="G44" ca="1">INDIRECT("'※ 인력 세부데이터'!"&amp;G$1&amp;$T45, TRUE)</f>
        <v>49</v>
      </c>
      <c r="H44" s="1527" cm="1">
        <f t="array" aca="1" ref="H44" ca="1">INDIRECT("'※ 인력 세부데이터'!"&amp;H$1&amp;$T45, TRUE)</f>
        <v>50</v>
      </c>
      <c r="I44" s="1527" cm="1">
        <f t="array" aca="1" ref="I44" ca="1">INDIRECT("'※ 인력 세부데이터'!"&amp;I$1&amp;$T45, TRUE)</f>
        <v>46</v>
      </c>
      <c r="J44" s="1527" cm="1">
        <f t="array" aca="1" ref="J44" ca="1">INDIRECT("'※ 인력 세부데이터'!"&amp;J$1&amp;$T45, TRUE)</f>
        <v>45</v>
      </c>
      <c r="K44" s="1527" cm="1">
        <f t="array" aca="1" ref="K44" ca="1">INDIRECT("'※ 인력 세부데이터'!"&amp;K$1&amp;$T45, TRUE)</f>
        <v>45</v>
      </c>
      <c r="L44" s="1545" cm="1">
        <f t="array" aca="1" ref="L44" ca="1">INDIRECT("'※ 인력 세부데이터'!"&amp;L$1&amp;$T45, TRUE)</f>
        <v>46.5</v>
      </c>
      <c r="M44" s="1527" cm="1">
        <f t="array" aca="1" ref="M44" ca="1">INDIRECT("'※ 인력 세부데이터'!"&amp;M$1&amp;$T45, TRUE)</f>
        <v>46</v>
      </c>
      <c r="N44" s="1527" cm="1">
        <f t="array" aca="1" ref="N44" ca="1">INDIRECT("'※ 인력 세부데이터'!"&amp;N$1&amp;$T45, TRUE)</f>
        <v>47</v>
      </c>
      <c r="O44" s="1528" cm="1">
        <f t="array" aca="1" ref="O44" ca="1">INDIRECT("'※ 인력 세부데이터'!"&amp;O$1&amp;$T45, TRUE)</f>
        <v>0.17100371747211895</v>
      </c>
      <c r="P44" s="1546" cm="1">
        <f t="array" aca="1" ref="P44" ca="1">INDIRECT("'※ 인력 세부데이터'!"&amp;P$1&amp;$T45, TRUE)</f>
        <v>20</v>
      </c>
      <c r="Q44" s="1547" cm="1">
        <f t="array" aca="1" ref="Q44" ca="1">INDIRECT("'※ 인력 세부데이터'!"&amp;Q$1&amp;$T45, TRUE)</f>
        <v>0.43478260869565216</v>
      </c>
      <c r="R44" s="1548" cm="1">
        <f t="array" aca="1" ref="R44" ca="1">INDIRECT("'※ 인력 세부데이터'!"&amp;R$1&amp;$T45, TRUE)</f>
        <v>35.744680851063826</v>
      </c>
      <c r="S44" s="1549" cm="1">
        <f t="array" aca="1" ref="S44" ca="1">INDIRECT("'※ 인력 세부데이터'!"&amp;S$1&amp;$T45, TRUE)</f>
        <v>6.3707373943456718</v>
      </c>
      <c r="T44" s="1520">
        <f>ROW('※ 인력 세부데이터'!J40)</f>
        <v>40</v>
      </c>
      <c r="U44" s="1521"/>
    </row>
    <row r="45" spans="1:22" x14ac:dyDescent="0.55000000000000004">
      <c r="A45" s="7179"/>
      <c r="B45" s="1586"/>
      <c r="C45" s="685" t="s">
        <v>190</v>
      </c>
      <c r="D45" s="1587" cm="1">
        <f t="array" aca="1" ref="D45" ca="1">INDIRECT("'※ 인력 세부데이터'!"&amp;D$1&amp;$T46, TRUE)</f>
        <v>334.91666666666669</v>
      </c>
      <c r="E45" s="1588" cm="1">
        <f t="array" aca="1" ref="E45" ca="1">INDIRECT("'※ 인력 세부데이터'!"&amp;E$1&amp;$T46, TRUE)</f>
        <v>331.16666666666669</v>
      </c>
      <c r="F45" s="1589" cm="1">
        <f t="array" aca="1" ref="F45" ca="1">INDIRECT("'※ 인력 세부데이터'!"&amp;F$1&amp;$T46, TRUE)</f>
        <v>348</v>
      </c>
      <c r="G45" s="1590" cm="1">
        <f t="array" aca="1" ref="G45" ca="1">INDIRECT("'※ 인력 세부데이터'!"&amp;G$1&amp;$T46, TRUE)</f>
        <v>343</v>
      </c>
      <c r="H45" s="1590" cm="1">
        <f t="array" aca="1" ref="H45" ca="1">INDIRECT("'※ 인력 세부데이터'!"&amp;H$1&amp;$T46, TRUE)</f>
        <v>342</v>
      </c>
      <c r="I45" s="1590" cm="1">
        <f t="array" aca="1" ref="I45" ca="1">INDIRECT("'※ 인력 세부데이터'!"&amp;I$1&amp;$T46, TRUE)</f>
        <v>341</v>
      </c>
      <c r="J45" s="1590" cm="1">
        <f t="array" aca="1" ref="J45" ca="1">INDIRECT("'※ 인력 세부데이터'!"&amp;J$1&amp;$T46, TRUE)</f>
        <v>338</v>
      </c>
      <c r="K45" s="1590" cm="1">
        <f t="array" aca="1" ref="K45" ca="1">INDIRECT("'※ 인력 세부데이터'!"&amp;K$1&amp;$T46, TRUE)</f>
        <v>332</v>
      </c>
      <c r="L45" s="1588" cm="1">
        <f t="array" aca="1" ref="L45" ca="1">INDIRECT("'※ 인력 세부데이터'!"&amp;L$1&amp;$T46, TRUE)</f>
        <v>320.5</v>
      </c>
      <c r="M45" s="1590" cm="1">
        <f t="array" aca="1" ref="M45" ca="1">INDIRECT("'※ 인력 세부데이터'!"&amp;M$1&amp;$T46, TRUE)</f>
        <v>320</v>
      </c>
      <c r="N45" s="1590" cm="1">
        <f t="array" aca="1" ref="N45" ca="1">INDIRECT("'※ 인력 세부데이터'!"&amp;N$1&amp;$T46, TRUE)</f>
        <v>321</v>
      </c>
      <c r="O45" s="1591" cm="1">
        <f t="array" aca="1" ref="O45" ca="1">INDIRECT("'※ 인력 세부데이터'!"&amp;O$1&amp;$T46, TRUE)</f>
        <v>0.14486192847442281</v>
      </c>
      <c r="P45" s="1592" cm="1">
        <f t="array" aca="1" ref="P45" ca="1">INDIRECT("'※ 인력 세부데이터'!"&amp;P$1&amp;$T46, TRUE)</f>
        <v>109</v>
      </c>
      <c r="Q45" s="1593" cm="1">
        <f t="array" aca="1" ref="Q45" ca="1">INDIRECT("'※ 인력 세부데이터'!"&amp;Q$1&amp;$T46, TRUE)</f>
        <v>0.34062500000000001</v>
      </c>
      <c r="R45" s="1594" cm="1">
        <f t="array" aca="1" ref="R45" ca="1">INDIRECT("'※ 인력 세부데이터'!"&amp;R$1&amp;$T46, TRUE)</f>
        <v>34.610591900311526</v>
      </c>
      <c r="S45" s="1595" cm="1">
        <f t="array" aca="1" ref="S45" ca="1">INDIRECT("'※ 인력 세부데이터'!"&amp;S$1&amp;$T46, TRUE)</f>
        <v>5.9740110101139443</v>
      </c>
      <c r="T45" s="1596">
        <f>ROW('※ 인력 세부데이터'!J41)</f>
        <v>41</v>
      </c>
      <c r="U45" s="1597"/>
      <c r="V45" s="698"/>
    </row>
    <row r="46" spans="1:22" x14ac:dyDescent="0.55000000000000004">
      <c r="A46" s="7179"/>
      <c r="B46" s="1586"/>
      <c r="C46" s="673" t="s">
        <v>204</v>
      </c>
      <c r="D46" s="1598" cm="1">
        <f t="array" aca="1" ref="D46" ca="1">INDIRECT("'※ 인력 세부데이터'!"&amp;D$1&amp;$T47, TRUE)</f>
        <v>35</v>
      </c>
      <c r="E46" s="1599" cm="1">
        <f t="array" aca="1" ref="E46" ca="1">INDIRECT("'※ 인력 세부데이터'!"&amp;E$1&amp;$T47, TRUE)</f>
        <v>36.166666666666664</v>
      </c>
      <c r="F46" s="1600" cm="1">
        <f t="array" aca="1" ref="F46" ca="1">INDIRECT("'※ 인력 세부데이터'!"&amp;F$1&amp;$T47, TRUE)</f>
        <v>38</v>
      </c>
      <c r="G46" s="1601" cm="1">
        <f t="array" aca="1" ref="G46" ca="1">INDIRECT("'※ 인력 세부데이터'!"&amp;G$1&amp;$T47, TRUE)</f>
        <v>38</v>
      </c>
      <c r="H46" s="1601" cm="1">
        <f t="array" aca="1" ref="H46" ca="1">INDIRECT("'※ 인력 세부데이터'!"&amp;H$1&amp;$T47, TRUE)</f>
        <v>37</v>
      </c>
      <c r="I46" s="1601" cm="1">
        <f t="array" aca="1" ref="I46" ca="1">INDIRECT("'※ 인력 세부데이터'!"&amp;I$1&amp;$T47, TRUE)</f>
        <v>38</v>
      </c>
      <c r="J46" s="1601" cm="1">
        <f t="array" aca="1" ref="J46" ca="1">INDIRECT("'※ 인력 세부데이터'!"&amp;J$1&amp;$T47, TRUE)</f>
        <v>37</v>
      </c>
      <c r="K46" s="1601" cm="1">
        <f t="array" aca="1" ref="K46" ca="1">INDIRECT("'※ 인력 세부데이터'!"&amp;K$1&amp;$T47, TRUE)</f>
        <v>37</v>
      </c>
      <c r="L46" s="1599" cm="1">
        <f t="array" aca="1" ref="L46" ca="1">INDIRECT("'※ 인력 세부데이터'!"&amp;L$1&amp;$T47, TRUE)</f>
        <v>34</v>
      </c>
      <c r="M46" s="1601" cm="1">
        <f t="array" aca="1" ref="M46" ca="1">INDIRECT("'※ 인력 세부데이터'!"&amp;M$1&amp;$T47, TRUE)</f>
        <v>34</v>
      </c>
      <c r="N46" s="1601" cm="1">
        <f t="array" aca="1" ref="N46" ca="1">INDIRECT("'※ 인력 세부데이터'!"&amp;N$1&amp;$T47, TRUE)</f>
        <v>34</v>
      </c>
      <c r="O46" s="1602" cm="1">
        <f t="array" aca="1" ref="O46" ca="1">INDIRECT("'※ 인력 세부데이터'!"&amp;O$1&amp;$T47, TRUE)</f>
        <v>0.10625</v>
      </c>
      <c r="P46" s="1603" cm="1">
        <f t="array" aca="1" ref="P46" ca="1">INDIRECT("'※ 인력 세부데이터'!"&amp;P$1&amp;$T47, TRUE)</f>
        <v>13</v>
      </c>
      <c r="Q46" s="1604" cm="1">
        <f t="array" aca="1" ref="Q46" ca="1">INDIRECT("'※ 인력 세부데이터'!"&amp;Q$1&amp;$T47, TRUE)</f>
        <v>0.38235294117647056</v>
      </c>
      <c r="R46" s="1605" cm="1">
        <f t="array" aca="1" ref="R46" ca="1">INDIRECT("'※ 인력 세부데이터'!"&amp;R$1&amp;$T47, TRUE)</f>
        <v>41.235294117647058</v>
      </c>
      <c r="S46" s="1606" cm="1">
        <f t="array" aca="1" ref="S46" ca="1">INDIRECT("'※ 인력 세부데이터'!"&amp;S$1&amp;$T47, TRUE)</f>
        <v>13.115149073327965</v>
      </c>
      <c r="T46" s="1596">
        <f>ROW('※ 인력 세부데이터'!J42)</f>
        <v>42</v>
      </c>
      <c r="U46" s="1597"/>
      <c r="V46" s="698"/>
    </row>
    <row r="47" spans="1:22" x14ac:dyDescent="0.55000000000000004">
      <c r="A47" s="7179"/>
      <c r="B47" s="1586"/>
      <c r="C47" s="673" t="s">
        <v>939</v>
      </c>
      <c r="D47" s="1598" cm="1">
        <f t="array" aca="1" ref="D47" ca="1">INDIRECT("'※ 인력 세부데이터'!"&amp;D$1&amp;$T48, TRUE)</f>
        <v>20.083333333333332</v>
      </c>
      <c r="E47" s="1599" cm="1">
        <f t="array" aca="1" ref="E47" ca="1">INDIRECT("'※ 인력 세부데이터'!"&amp;E$1&amp;$T48, TRUE)</f>
        <v>17.5</v>
      </c>
      <c r="F47" s="1600" cm="1">
        <f t="array" aca="1" ref="F47" ca="1">INDIRECT("'※ 인력 세부데이터'!"&amp;F$1&amp;$T48, TRUE)</f>
        <v>21</v>
      </c>
      <c r="G47" s="1601" cm="1">
        <f t="array" aca="1" ref="G47" ca="1">INDIRECT("'※ 인력 세부데이터'!"&amp;G$1&amp;$T48, TRUE)</f>
        <v>21</v>
      </c>
      <c r="H47" s="1601" cm="1">
        <f t="array" aca="1" ref="H47" ca="1">INDIRECT("'※ 인력 세부데이터'!"&amp;H$1&amp;$T48, TRUE)</f>
        <v>20</v>
      </c>
      <c r="I47" s="1601" cm="1">
        <f t="array" aca="1" ref="I47" ca="1">INDIRECT("'※ 인력 세부데이터'!"&amp;I$1&amp;$T48, TRUE)</f>
        <v>18</v>
      </c>
      <c r="J47" s="1601" cm="1">
        <f t="array" aca="1" ref="J47" ca="1">INDIRECT("'※ 인력 세부데이터'!"&amp;J$1&amp;$T48, TRUE)</f>
        <v>18</v>
      </c>
      <c r="K47" s="1601" cm="1">
        <f t="array" aca="1" ref="K47" ca="1">INDIRECT("'※ 인력 세부데이터'!"&amp;K$1&amp;$T48, TRUE)</f>
        <v>18</v>
      </c>
      <c r="L47" s="1599" cm="1">
        <f t="array" aca="1" ref="L47" ca="1">INDIRECT("'※ 인력 세부데이터'!"&amp;L$1&amp;$T48, TRUE)</f>
        <v>9</v>
      </c>
      <c r="M47" s="1601" cm="1">
        <f t="array" aca="1" ref="M47" ca="1">INDIRECT("'※ 인력 세부데이터'!"&amp;M$1&amp;$T48, TRUE)</f>
        <v>9</v>
      </c>
      <c r="N47" s="1601" cm="1">
        <f t="array" aca="1" ref="N47" ca="1">INDIRECT("'※ 인력 세부데이터'!"&amp;N$1&amp;$T48, TRUE)</f>
        <v>9</v>
      </c>
      <c r="O47" s="1602" cm="1">
        <f t="array" aca="1" ref="O47" ca="1">INDIRECT("'※ 인력 세부데이터'!"&amp;O$1&amp;$T48, TRUE)</f>
        <v>2.8125000000000001E-2</v>
      </c>
      <c r="P47" s="1603" cm="1">
        <f t="array" aca="1" ref="P47" ca="1">INDIRECT("'※ 인력 세부데이터'!"&amp;P$1&amp;$T48, TRUE)</f>
        <v>0</v>
      </c>
      <c r="Q47" s="1604" cm="1">
        <f t="array" aca="1" ref="Q47" ca="1">INDIRECT("'※ 인력 세부데이터'!"&amp;Q$1&amp;$T48, TRUE)</f>
        <v>0</v>
      </c>
      <c r="R47" s="1605" cm="1">
        <f t="array" aca="1" ref="R47" ca="1">INDIRECT("'※ 인력 세부데이터'!"&amp;R$1&amp;$T48, TRUE)</f>
        <v>38.111111111111114</v>
      </c>
      <c r="S47" s="1606" cm="1">
        <f t="array" aca="1" ref="S47" ca="1">INDIRECT("'※ 인력 세부데이터'!"&amp;S$1&amp;$T48, TRUE)</f>
        <v>3.5954337899543378</v>
      </c>
      <c r="T47" s="1596">
        <f>ROW('※ 인력 세부데이터'!J43)</f>
        <v>43</v>
      </c>
      <c r="U47" s="1597"/>
      <c r="V47" s="698"/>
    </row>
    <row r="48" spans="1:22" x14ac:dyDescent="0.55000000000000004">
      <c r="A48" s="7179"/>
      <c r="B48" s="1586"/>
      <c r="C48" s="673" t="s">
        <v>19</v>
      </c>
      <c r="D48" s="1598" cm="1">
        <f t="array" aca="1" ref="D48" ca="1">INDIRECT("'※ 인력 세부데이터'!"&amp;D$1&amp;$T49, TRUE)</f>
        <v>235.75</v>
      </c>
      <c r="E48" s="1599" cm="1">
        <f t="array" aca="1" ref="E48" ca="1">INDIRECT("'※ 인력 세부데이터'!"&amp;E$1&amp;$T49, TRUE)</f>
        <v>234.75</v>
      </c>
      <c r="F48" s="1600" cm="1">
        <f t="array" aca="1" ref="F48" ca="1">INDIRECT("'※ 인력 세부데이터'!"&amp;F$1&amp;$T49, TRUE)</f>
        <v>245</v>
      </c>
      <c r="G48" s="1601" cm="1">
        <f t="array" aca="1" ref="G48" ca="1">INDIRECT("'※ 인력 세부데이터'!"&amp;G$1&amp;$T49, TRUE)</f>
        <v>242</v>
      </c>
      <c r="H48" s="1601" cm="1">
        <f t="array" aca="1" ref="H48" ca="1">INDIRECT("'※ 인력 세부데이터'!"&amp;H$1&amp;$T49, TRUE)</f>
        <v>241</v>
      </c>
      <c r="I48" s="1601" cm="1">
        <f t="array" aca="1" ref="I48" ca="1">INDIRECT("'※ 인력 세부데이터'!"&amp;I$1&amp;$T49, TRUE)</f>
        <v>241</v>
      </c>
      <c r="J48" s="1601" cm="1">
        <f t="array" aca="1" ref="J48" ca="1">INDIRECT("'※ 인력 세부데이터'!"&amp;J$1&amp;$T49, TRUE)</f>
        <v>241</v>
      </c>
      <c r="K48" s="1601" cm="1">
        <f t="array" aca="1" ref="K48" ca="1">INDIRECT("'※ 인력 세부데이터'!"&amp;K$1&amp;$T49, TRUE)</f>
        <v>237</v>
      </c>
      <c r="L48" s="1599" cm="1">
        <f t="array" aca="1" ref="L48" ca="1">INDIRECT("'※ 인력 세부데이터'!"&amp;L$1&amp;$T49, TRUE)</f>
        <v>236.5</v>
      </c>
      <c r="M48" s="1601" cm="1">
        <f t="array" aca="1" ref="M48" ca="1">INDIRECT("'※ 인력 세부데이터'!"&amp;M$1&amp;$T49, TRUE)</f>
        <v>237</v>
      </c>
      <c r="N48" s="1601" cm="1">
        <f t="array" aca="1" ref="N48" ca="1">INDIRECT("'※ 인력 세부데이터'!"&amp;N$1&amp;$T49, TRUE)</f>
        <v>236</v>
      </c>
      <c r="O48" s="1602" cm="1">
        <f t="array" aca="1" ref="O48" ca="1">INDIRECT("'※ 인력 세부데이터'!"&amp;O$1&amp;$T49, TRUE)</f>
        <v>0.74062499999999998</v>
      </c>
      <c r="P48" s="1603" cm="1">
        <f t="array" aca="1" ref="P48" ca="1">INDIRECT("'※ 인력 세부데이터'!"&amp;P$1&amp;$T49, TRUE)</f>
        <v>79</v>
      </c>
      <c r="Q48" s="1604" cm="1">
        <f t="array" aca="1" ref="Q48" ca="1">INDIRECT("'※ 인력 세부데이터'!"&amp;Q$1&amp;$T49, TRUE)</f>
        <v>0.33333333333333331</v>
      </c>
      <c r="R48" s="1605" cm="1">
        <f t="array" aca="1" ref="R48" ca="1">INDIRECT("'※ 인력 세부데이터'!"&amp;R$1&amp;$T49, TRUE)</f>
        <v>33.699152542372879</v>
      </c>
      <c r="S48" s="1606" cm="1">
        <f t="array" aca="1" ref="S48" ca="1">INDIRECT("'※ 인력 세부데이터'!"&amp;S$1&amp;$T49, TRUE)</f>
        <v>5.1548990016252638</v>
      </c>
      <c r="T48" s="1596">
        <f>ROW('※ 인력 세부데이터'!J44)</f>
        <v>44</v>
      </c>
      <c r="U48" s="1597"/>
      <c r="V48" s="698"/>
    </row>
    <row r="49" spans="1:22" x14ac:dyDescent="0.55000000000000004">
      <c r="A49" s="7179"/>
      <c r="B49" s="1586"/>
      <c r="C49" s="673" t="s">
        <v>20</v>
      </c>
      <c r="D49" s="1598" cm="1">
        <f t="array" aca="1" ref="D49" ca="1">INDIRECT("'※ 인력 세부데이터'!"&amp;D$1&amp;$T50, TRUE)</f>
        <v>44.083333333333336</v>
      </c>
      <c r="E49" s="1599" cm="1">
        <f t="array" aca="1" ref="E49" ca="1">INDIRECT("'※ 인력 세부데이터'!"&amp;E$1&amp;$T50, TRUE)</f>
        <v>42.75</v>
      </c>
      <c r="F49" s="1600" cm="1">
        <f t="array" aca="1" ref="F49" ca="1">INDIRECT("'※ 인력 세부데이터'!"&amp;F$1&amp;$T50, TRUE)</f>
        <v>44</v>
      </c>
      <c r="G49" s="1601" cm="1">
        <f t="array" aca="1" ref="G49" ca="1">INDIRECT("'※ 인력 세부데이터'!"&amp;G$1&amp;$T50, TRUE)</f>
        <v>42</v>
      </c>
      <c r="H49" s="1601" cm="1">
        <f t="array" aca="1" ref="H49" ca="1">INDIRECT("'※ 인력 세부데이터'!"&amp;H$1&amp;$T50, TRUE)</f>
        <v>44</v>
      </c>
      <c r="I49" s="1601" cm="1">
        <f t="array" aca="1" ref="I49" ca="1">INDIRECT("'※ 인력 세부데이터'!"&amp;I$1&amp;$T50, TRUE)</f>
        <v>44</v>
      </c>
      <c r="J49" s="1601" cm="1">
        <f t="array" aca="1" ref="J49" ca="1">INDIRECT("'※ 인력 세부데이터'!"&amp;J$1&amp;$T50, TRUE)</f>
        <v>42</v>
      </c>
      <c r="K49" s="1601" cm="1">
        <f t="array" aca="1" ref="K49" ca="1">INDIRECT("'※ 인력 세부데이터'!"&amp;K$1&amp;$T50, TRUE)</f>
        <v>40</v>
      </c>
      <c r="L49" s="1599" cm="1">
        <f t="array" aca="1" ref="L49" ca="1">INDIRECT("'※ 인력 세부데이터'!"&amp;L$1&amp;$T50, TRUE)</f>
        <v>41</v>
      </c>
      <c r="M49" s="1601" cm="1">
        <f t="array" aca="1" ref="M49" ca="1">INDIRECT("'※ 인력 세부데이터'!"&amp;M$1&amp;$T50, TRUE)</f>
        <v>40</v>
      </c>
      <c r="N49" s="1601" cm="1">
        <f t="array" aca="1" ref="N49" ca="1">INDIRECT("'※ 인력 세부데이터'!"&amp;N$1&amp;$T50, TRUE)</f>
        <v>42</v>
      </c>
      <c r="O49" s="1602" cm="1">
        <f t="array" aca="1" ref="O49" ca="1">INDIRECT("'※ 인력 세부데이터'!"&amp;O$1&amp;$T50, TRUE)</f>
        <v>0.125</v>
      </c>
      <c r="P49" s="1603" cm="1">
        <f t="array" aca="1" ref="P49" ca="1">INDIRECT("'※ 인력 세부데이터'!"&amp;P$1&amp;$T50, TRUE)</f>
        <v>17</v>
      </c>
      <c r="Q49" s="1604" cm="1">
        <f t="array" aca="1" ref="Q49" ca="1">INDIRECT("'※ 인력 세부데이터'!"&amp;Q$1&amp;$T50, TRUE)</f>
        <v>0.42499999999999999</v>
      </c>
      <c r="R49" s="1605" cm="1">
        <f t="array" aca="1" ref="R49" ca="1">INDIRECT("'※ 인력 세부데이터'!"&amp;R$1&amp;$T50, TRUE)</f>
        <v>33.61904761904762</v>
      </c>
      <c r="S49" s="1606" cm="1">
        <f t="array" aca="1" ref="S49" ca="1">INDIRECT("'※ 인력 세부데이터'!"&amp;S$1&amp;$T50, TRUE)</f>
        <v>5.3054142204827137</v>
      </c>
      <c r="T49" s="1596">
        <f>ROW('※ 인력 세부데이터'!J45)</f>
        <v>45</v>
      </c>
      <c r="U49" s="1597"/>
      <c r="V49" s="698"/>
    </row>
    <row r="50" spans="1:22" x14ac:dyDescent="0.55000000000000004">
      <c r="A50" s="7179"/>
      <c r="B50" s="1586"/>
      <c r="C50" s="685" t="s">
        <v>191</v>
      </c>
      <c r="D50" s="1587" cm="1">
        <f t="array" aca="1" ref="D50" ca="1">INDIRECT("'※ 인력 세부데이터'!"&amp;D$1&amp;$T51, TRUE)</f>
        <v>410.75</v>
      </c>
      <c r="E50" s="1588" cm="1">
        <f t="array" aca="1" ref="E50" ca="1">INDIRECT("'※ 인력 세부데이터'!"&amp;E$1&amp;$T51, TRUE)</f>
        <v>411.41666666666669</v>
      </c>
      <c r="F50" s="1589" cm="1">
        <f t="array" aca="1" ref="F50" ca="1">INDIRECT("'※ 인력 세부데이터'!"&amp;F$1&amp;$T51, TRUE)</f>
        <v>434</v>
      </c>
      <c r="G50" s="1590" cm="1">
        <f t="array" aca="1" ref="G50" ca="1">INDIRECT("'※ 인력 세부데이터'!"&amp;G$1&amp;$T51, TRUE)</f>
        <v>426</v>
      </c>
      <c r="H50" s="1590" cm="1">
        <f t="array" aca="1" ref="H50" ca="1">INDIRECT("'※ 인력 세부데이터'!"&amp;H$1&amp;$T51, TRUE)</f>
        <v>423</v>
      </c>
      <c r="I50" s="1590" cm="1">
        <f t="array" aca="1" ref="I50" ca="1">INDIRECT("'※ 인력 세부데이터'!"&amp;I$1&amp;$T51, TRUE)</f>
        <v>417</v>
      </c>
      <c r="J50" s="1590" cm="1">
        <f t="array" aca="1" ref="J50" ca="1">INDIRECT("'※ 인력 세부데이터'!"&amp;J$1&amp;$T51, TRUE)</f>
        <v>414</v>
      </c>
      <c r="K50" s="1590" cm="1">
        <f t="array" aca="1" ref="K50" ca="1">INDIRECT("'※ 인력 세부데이터'!"&amp;K$1&amp;$T51, TRUE)</f>
        <v>410</v>
      </c>
      <c r="L50" s="1588" cm="1">
        <f t="array" aca="1" ref="L50" ca="1">INDIRECT("'※ 인력 세부데이터'!"&amp;L$1&amp;$T51, TRUE)</f>
        <v>405.5</v>
      </c>
      <c r="M50" s="1590" cm="1">
        <f t="array" aca="1" ref="M50" ca="1">INDIRECT("'※ 인력 세부데이터'!"&amp;M$1&amp;$T51, TRUE)</f>
        <v>405</v>
      </c>
      <c r="N50" s="1590" cm="1">
        <f t="array" aca="1" ref="N50" ca="1">INDIRECT("'※ 인력 세부데이터'!"&amp;N$1&amp;$T51, TRUE)</f>
        <v>406</v>
      </c>
      <c r="O50" s="1591" cm="1">
        <f t="array" aca="1" ref="O50" ca="1">INDIRECT("'※ 인력 세부데이터'!"&amp;O$1&amp;$T51, TRUE)</f>
        <v>0.18334087822544137</v>
      </c>
      <c r="P50" s="1592" cm="1">
        <f t="array" aca="1" ref="P50" ca="1">INDIRECT("'※ 인력 세부데이터'!"&amp;P$1&amp;$T51, TRUE)</f>
        <v>175</v>
      </c>
      <c r="Q50" s="1593" cm="1">
        <f t="array" aca="1" ref="Q50" ca="1">INDIRECT("'※ 인력 세부데이터'!"&amp;Q$1&amp;$T51, TRUE)</f>
        <v>0.43209876543209874</v>
      </c>
      <c r="R50" s="1594" cm="1">
        <f t="array" aca="1" ref="R50" ca="1">INDIRECT("'※ 인력 세부데이터'!"&amp;R$1&amp;$T51, TRUE)</f>
        <v>34.596059113300491</v>
      </c>
      <c r="S50" s="1595" cm="1">
        <f t="array" aca="1" ref="S50" ca="1">INDIRECT("'※ 인력 세부데이터'!"&amp;S$1&amp;$T51, TRUE)</f>
        <v>6.5609892705310759</v>
      </c>
      <c r="T50" s="1596">
        <f>ROW('※ 인력 세부데이터'!J46)</f>
        <v>46</v>
      </c>
      <c r="U50" s="1597"/>
      <c r="V50" s="698"/>
    </row>
    <row r="51" spans="1:22" x14ac:dyDescent="0.55000000000000004">
      <c r="A51" s="7179"/>
      <c r="B51" s="1586"/>
      <c r="C51" s="673" t="s">
        <v>204</v>
      </c>
      <c r="D51" s="1598" cm="1">
        <f t="array" aca="1" ref="D51" ca="1">INDIRECT("'※ 인력 세부데이터'!"&amp;D$1&amp;$T52, TRUE)</f>
        <v>45.75</v>
      </c>
      <c r="E51" s="1599" cm="1">
        <f t="array" aca="1" ref="E51" ca="1">INDIRECT("'※ 인력 세부데이터'!"&amp;E$1&amp;$T52, TRUE)</f>
        <v>46.333333333333336</v>
      </c>
      <c r="F51" s="1600" cm="1">
        <f t="array" aca="1" ref="F51" ca="1">INDIRECT("'※ 인력 세부데이터'!"&amp;F$1&amp;$T52, TRUE)</f>
        <v>46</v>
      </c>
      <c r="G51" s="1601" cm="1">
        <f t="array" aca="1" ref="G51" ca="1">INDIRECT("'※ 인력 세부데이터'!"&amp;G$1&amp;$T52, TRUE)</f>
        <v>48</v>
      </c>
      <c r="H51" s="1601" cm="1">
        <f t="array" aca="1" ref="H51" ca="1">INDIRECT("'※ 인력 세부데이터'!"&amp;H$1&amp;$T52, TRUE)</f>
        <v>49</v>
      </c>
      <c r="I51" s="1601" cm="1">
        <f t="array" aca="1" ref="I51" ca="1">INDIRECT("'※ 인력 세부데이터'!"&amp;I$1&amp;$T52, TRUE)</f>
        <v>49</v>
      </c>
      <c r="J51" s="1601" cm="1">
        <f t="array" aca="1" ref="J51" ca="1">INDIRECT("'※ 인력 세부데이터'!"&amp;J$1&amp;$T52, TRUE)</f>
        <v>48</v>
      </c>
      <c r="K51" s="1601" cm="1">
        <f t="array" aca="1" ref="K51" ca="1">INDIRECT("'※ 인력 세부데이터'!"&amp;K$1&amp;$T52, TRUE)</f>
        <v>47</v>
      </c>
      <c r="L51" s="1599" cm="1">
        <f t="array" aca="1" ref="L51" ca="1">INDIRECT("'※ 인력 세부데이터'!"&amp;L$1&amp;$T52, TRUE)</f>
        <v>44</v>
      </c>
      <c r="M51" s="1601" cm="1">
        <f t="array" aca="1" ref="M51" ca="1">INDIRECT("'※ 인력 세부데이터'!"&amp;M$1&amp;$T52, TRUE)</f>
        <v>44</v>
      </c>
      <c r="N51" s="1601" cm="1">
        <f t="array" aca="1" ref="N51" ca="1">INDIRECT("'※ 인력 세부데이터'!"&amp;N$1&amp;$T52, TRUE)</f>
        <v>44</v>
      </c>
      <c r="O51" s="1602" cm="1">
        <f t="array" aca="1" ref="O51" ca="1">INDIRECT("'※ 인력 세부데이터'!"&amp;O$1&amp;$T52, TRUE)</f>
        <v>0.10864197530864197</v>
      </c>
      <c r="P51" s="1603" cm="1">
        <f t="array" aca="1" ref="P51" ca="1">INDIRECT("'※ 인력 세부데이터'!"&amp;P$1&amp;$T52, TRUE)</f>
        <v>16</v>
      </c>
      <c r="Q51" s="1604" cm="1">
        <f t="array" aca="1" ref="Q51" ca="1">INDIRECT("'※ 인력 세부데이터'!"&amp;Q$1&amp;$T52, TRUE)</f>
        <v>0.36363636363636365</v>
      </c>
      <c r="R51" s="1605" cm="1">
        <f t="array" aca="1" ref="R51" ca="1">INDIRECT("'※ 인력 세부데이터'!"&amp;R$1&amp;$T52, TRUE)</f>
        <v>42.25</v>
      </c>
      <c r="S51" s="1606" cm="1">
        <f t="array" aca="1" ref="S51" ca="1">INDIRECT("'※ 인력 세부데이터'!"&amp;S$1&amp;$T52, TRUE)</f>
        <v>13.270236612702361</v>
      </c>
      <c r="T51" s="1596">
        <f>ROW('※ 인력 세부데이터'!J47)</f>
        <v>47</v>
      </c>
      <c r="U51" s="1597"/>
      <c r="V51" s="698"/>
    </row>
    <row r="52" spans="1:22" x14ac:dyDescent="0.55000000000000004">
      <c r="A52" s="7179"/>
      <c r="B52" s="1586"/>
      <c r="C52" s="673" t="s">
        <v>939</v>
      </c>
      <c r="D52" s="1598" cm="1">
        <f t="array" aca="1" ref="D52" ca="1">INDIRECT("'※ 인력 세부데이터'!"&amp;D$1&amp;$T53, TRUE)</f>
        <v>26.416666666666668</v>
      </c>
      <c r="E52" s="1599" cm="1">
        <f t="array" aca="1" ref="E52" ca="1">INDIRECT("'※ 인력 세부데이터'!"&amp;E$1&amp;$T53, TRUE)</f>
        <v>25.833333333333332</v>
      </c>
      <c r="F52" s="1600" cm="1">
        <f t="array" aca="1" ref="F52" ca="1">INDIRECT("'※ 인력 세부데이터'!"&amp;F$1&amp;$T53, TRUE)</f>
        <v>29</v>
      </c>
      <c r="G52" s="1601" cm="1">
        <f t="array" aca="1" ref="G52" ca="1">INDIRECT("'※ 인력 세부데이터'!"&amp;G$1&amp;$T53, TRUE)</f>
        <v>27</v>
      </c>
      <c r="H52" s="1601" cm="1">
        <f t="array" aca="1" ref="H52" ca="1">INDIRECT("'※ 인력 세부데이터'!"&amp;H$1&amp;$T53, TRUE)</f>
        <v>28</v>
      </c>
      <c r="I52" s="1601" cm="1">
        <f t="array" aca="1" ref="I52" ca="1">INDIRECT("'※ 인력 세부데이터'!"&amp;I$1&amp;$T53, TRUE)</f>
        <v>28</v>
      </c>
      <c r="J52" s="1601" cm="1">
        <f t="array" aca="1" ref="J52" ca="1">INDIRECT("'※ 인력 세부데이터'!"&amp;J$1&amp;$T53, TRUE)</f>
        <v>27</v>
      </c>
      <c r="K52" s="1601" cm="1">
        <f t="array" aca="1" ref="K52" ca="1">INDIRECT("'※ 인력 세부데이터'!"&amp;K$1&amp;$T53, TRUE)</f>
        <v>27</v>
      </c>
      <c r="L52" s="1599" cm="1">
        <f t="array" aca="1" ref="L52" ca="1">INDIRECT("'※ 인력 세부데이터'!"&amp;L$1&amp;$T53, TRUE)</f>
        <v>14</v>
      </c>
      <c r="M52" s="1601" cm="1">
        <f t="array" aca="1" ref="M52" ca="1">INDIRECT("'※ 인력 세부데이터'!"&amp;M$1&amp;$T53, TRUE)</f>
        <v>14</v>
      </c>
      <c r="N52" s="1601" cm="1">
        <f t="array" aca="1" ref="N52" ca="1">INDIRECT("'※ 인력 세부데이터'!"&amp;N$1&amp;$T53, TRUE)</f>
        <v>14</v>
      </c>
      <c r="O52" s="1602" cm="1">
        <f t="array" aca="1" ref="O52" ca="1">INDIRECT("'※ 인력 세부데이터'!"&amp;O$1&amp;$T53, TRUE)</f>
        <v>3.4567901234567898E-2</v>
      </c>
      <c r="P52" s="1603" cm="1">
        <f t="array" aca="1" ref="P52" ca="1">INDIRECT("'※ 인력 세부데이터'!"&amp;P$1&amp;$T53, TRUE)</f>
        <v>2</v>
      </c>
      <c r="Q52" s="1604" cm="1">
        <f t="array" aca="1" ref="Q52" ca="1">INDIRECT("'※ 인력 세부데이터'!"&amp;Q$1&amp;$T53, TRUE)</f>
        <v>0.14285714285714285</v>
      </c>
      <c r="R52" s="1605" cm="1">
        <f t="array" aca="1" ref="R52" ca="1">INDIRECT("'※ 인력 세부데이터'!"&amp;R$1&amp;$T53, TRUE)</f>
        <v>42.785714285714285</v>
      </c>
      <c r="S52" s="1606" cm="1">
        <f t="array" aca="1" ref="S52" ca="1">INDIRECT("'※ 인력 세부데이터'!"&amp;S$1&amp;$T53, TRUE)</f>
        <v>6.2142857142857135</v>
      </c>
      <c r="T52" s="1596">
        <f>ROW('※ 인력 세부데이터'!J48)</f>
        <v>48</v>
      </c>
      <c r="U52" s="1597"/>
      <c r="V52" s="698"/>
    </row>
    <row r="53" spans="1:22" x14ac:dyDescent="0.55000000000000004">
      <c r="A53" s="7179"/>
      <c r="B53" s="1586"/>
      <c r="C53" s="673" t="s">
        <v>19</v>
      </c>
      <c r="D53" s="1598" cm="1">
        <f t="array" aca="1" ref="D53" ca="1">INDIRECT("'※ 인력 세부데이터'!"&amp;D$1&amp;$T54, TRUE)</f>
        <v>242.5</v>
      </c>
      <c r="E53" s="1599" cm="1">
        <f t="array" aca="1" ref="E53" ca="1">INDIRECT("'※ 인력 세부데이터'!"&amp;E$1&amp;$T54, TRUE)</f>
        <v>240.83333333333334</v>
      </c>
      <c r="F53" s="1600" cm="1">
        <f t="array" aca="1" ref="F53" ca="1">INDIRECT("'※ 인력 세부데이터'!"&amp;F$1&amp;$T54, TRUE)</f>
        <v>257</v>
      </c>
      <c r="G53" s="1601" cm="1">
        <f t="array" aca="1" ref="G53" ca="1">INDIRECT("'※ 인력 세부데이터'!"&amp;G$1&amp;$T54, TRUE)</f>
        <v>248</v>
      </c>
      <c r="H53" s="1601" cm="1">
        <f t="array" aca="1" ref="H53" ca="1">INDIRECT("'※ 인력 세부데이터'!"&amp;H$1&amp;$T54, TRUE)</f>
        <v>246</v>
      </c>
      <c r="I53" s="1601" cm="1">
        <f t="array" aca="1" ref="I53" ca="1">INDIRECT("'※ 인력 세부데이터'!"&amp;I$1&amp;$T54, TRUE)</f>
        <v>244</v>
      </c>
      <c r="J53" s="1601" cm="1">
        <f t="array" aca="1" ref="J53" ca="1">INDIRECT("'※ 인력 세부데이터'!"&amp;J$1&amp;$T54, TRUE)</f>
        <v>242</v>
      </c>
      <c r="K53" s="1601" cm="1">
        <f t="array" aca="1" ref="K53" ca="1">INDIRECT("'※ 인력 세부데이터'!"&amp;K$1&amp;$T54, TRUE)</f>
        <v>243</v>
      </c>
      <c r="L53" s="1599" cm="1">
        <f t="array" aca="1" ref="L53" ca="1">INDIRECT("'※ 인력 세부데이터'!"&amp;L$1&amp;$T54, TRUE)</f>
        <v>251</v>
      </c>
      <c r="M53" s="1601" cm="1">
        <f t="array" aca="1" ref="M53" ca="1">INDIRECT("'※ 인력 세부데이터'!"&amp;M$1&amp;$T54, TRUE)</f>
        <v>250</v>
      </c>
      <c r="N53" s="1601" cm="1">
        <f t="array" aca="1" ref="N53" ca="1">INDIRECT("'※ 인력 세부데이터'!"&amp;N$1&amp;$T54, TRUE)</f>
        <v>252</v>
      </c>
      <c r="O53" s="1602" cm="1">
        <f t="array" aca="1" ref="O53" ca="1">INDIRECT("'※ 인력 세부데이터'!"&amp;O$1&amp;$T54, TRUE)</f>
        <v>0.61728395061728392</v>
      </c>
      <c r="P53" s="1603" cm="1">
        <f t="array" aca="1" ref="P53" ca="1">INDIRECT("'※ 인력 세부데이터'!"&amp;P$1&amp;$T54, TRUE)</f>
        <v>112</v>
      </c>
      <c r="Q53" s="1604" cm="1">
        <f t="array" aca="1" ref="Q53" ca="1">INDIRECT("'※ 인력 세부데이터'!"&amp;Q$1&amp;$T54, TRUE)</f>
        <v>0.44800000000000001</v>
      </c>
      <c r="R53" s="1605" cm="1">
        <f t="array" aca="1" ref="R53" ca="1">INDIRECT("'※ 인력 세부데이터'!"&amp;R$1&amp;$T54, TRUE)</f>
        <v>32.400793650793652</v>
      </c>
      <c r="S53" s="1606" cm="1">
        <f t="array" aca="1" ref="S53" ca="1">INDIRECT("'※ 인력 세부데이터'!"&amp;S$1&amp;$T54, TRUE)</f>
        <v>5.4616655794738005</v>
      </c>
      <c r="T53" s="1596">
        <f>ROW('※ 인력 세부데이터'!J49)</f>
        <v>49</v>
      </c>
      <c r="U53" s="1597"/>
      <c r="V53" s="698"/>
    </row>
    <row r="54" spans="1:22" x14ac:dyDescent="0.55000000000000004">
      <c r="A54" s="7179"/>
      <c r="B54" s="1586"/>
      <c r="C54" s="673" t="s">
        <v>20</v>
      </c>
      <c r="D54" s="1598" cm="1">
        <f t="array" aca="1" ref="D54" ca="1">INDIRECT("'※ 인력 세부데이터'!"&amp;D$1&amp;$T55, TRUE)</f>
        <v>96.083333333333329</v>
      </c>
      <c r="E54" s="1599" cm="1">
        <f t="array" aca="1" ref="E54" ca="1">INDIRECT("'※ 인력 세부데이터'!"&amp;E$1&amp;$T55, TRUE)</f>
        <v>98.416666666666671</v>
      </c>
      <c r="F54" s="1600" cm="1">
        <f t="array" aca="1" ref="F54" ca="1">INDIRECT("'※ 인력 세부데이터'!"&amp;F$1&amp;$T55, TRUE)</f>
        <v>102</v>
      </c>
      <c r="G54" s="1601" cm="1">
        <f t="array" aca="1" ref="G54" ca="1">INDIRECT("'※ 인력 세부데이터'!"&amp;G$1&amp;$T55, TRUE)</f>
        <v>103</v>
      </c>
      <c r="H54" s="1601" cm="1">
        <f t="array" aca="1" ref="H54" ca="1">INDIRECT("'※ 인력 세부데이터'!"&amp;H$1&amp;$T55, TRUE)</f>
        <v>100</v>
      </c>
      <c r="I54" s="1601" cm="1">
        <f t="array" aca="1" ref="I54" ca="1">INDIRECT("'※ 인력 세부데이터'!"&amp;I$1&amp;$T55, TRUE)</f>
        <v>96</v>
      </c>
      <c r="J54" s="1601" cm="1">
        <f t="array" aca="1" ref="J54" ca="1">INDIRECT("'※ 인력 세부데이터'!"&amp;J$1&amp;$T55, TRUE)</f>
        <v>97</v>
      </c>
      <c r="K54" s="1601" cm="1">
        <f t="array" aca="1" ref="K54" ca="1">INDIRECT("'※ 인력 세부데이터'!"&amp;K$1&amp;$T55, TRUE)</f>
        <v>93</v>
      </c>
      <c r="L54" s="1599" cm="1">
        <f t="array" aca="1" ref="L54" ca="1">INDIRECT("'※ 인력 세부데이터'!"&amp;L$1&amp;$T55, TRUE)</f>
        <v>96.5</v>
      </c>
      <c r="M54" s="1601" cm="1">
        <f t="array" aca="1" ref="M54" ca="1">INDIRECT("'※ 인력 세부데이터'!"&amp;M$1&amp;$T55, TRUE)</f>
        <v>97</v>
      </c>
      <c r="N54" s="1601" cm="1">
        <f t="array" aca="1" ref="N54" ca="1">INDIRECT("'※ 인력 세부데이터'!"&amp;N$1&amp;$T55, TRUE)</f>
        <v>96</v>
      </c>
      <c r="O54" s="1602" cm="1">
        <f t="array" aca="1" ref="O54" ca="1">INDIRECT("'※ 인력 세부데이터'!"&amp;O$1&amp;$T55, TRUE)</f>
        <v>0.23950617283950618</v>
      </c>
      <c r="P54" s="1603" cm="1">
        <f t="array" aca="1" ref="P54" ca="1">INDIRECT("'※ 인력 세부데이터'!"&amp;P$1&amp;$T55, TRUE)</f>
        <v>45</v>
      </c>
      <c r="Q54" s="1604" cm="1">
        <f t="array" aca="1" ref="Q54" ca="1">INDIRECT("'※ 인력 세부데이터'!"&amp;Q$1&amp;$T55, TRUE)</f>
        <v>0.46391752577319589</v>
      </c>
      <c r="R54" s="1605" cm="1">
        <f t="array" aca="1" ref="R54" ca="1">INDIRECT("'※ 인력 세부데이터'!"&amp;R$1&amp;$T55, TRUE)</f>
        <v>35.65625</v>
      </c>
      <c r="S54" s="1606" cm="1">
        <f t="array" aca="1" ref="S54" ca="1">INDIRECT("'※ 인력 세부데이터'!"&amp;S$1&amp;$T55, TRUE)</f>
        <v>6.4222031963470299</v>
      </c>
      <c r="T54" s="1596">
        <f>ROW('※ 인력 세부데이터'!J50)</f>
        <v>50</v>
      </c>
      <c r="U54" s="1597"/>
      <c r="V54" s="698"/>
    </row>
    <row r="55" spans="1:22" x14ac:dyDescent="0.55000000000000004">
      <c r="A55" s="7179"/>
      <c r="B55" s="1586"/>
      <c r="C55" s="685" t="s">
        <v>192</v>
      </c>
      <c r="D55" s="1587" cm="1">
        <f t="array" aca="1" ref="D55" ca="1">INDIRECT("'※ 인력 세부데이터'!"&amp;D$1&amp;$T56, TRUE)</f>
        <v>371.08333333333331</v>
      </c>
      <c r="E55" s="1588" cm="1">
        <f t="array" aca="1" ref="E55" ca="1">INDIRECT("'※ 인력 세부데이터'!"&amp;E$1&amp;$T56, TRUE)</f>
        <v>377.83333333333331</v>
      </c>
      <c r="F55" s="1589" cm="1">
        <f t="array" aca="1" ref="F55" ca="1">INDIRECT("'※ 인력 세부데이터'!"&amp;F$1&amp;$T56, TRUE)</f>
        <v>393</v>
      </c>
      <c r="G55" s="1590" cm="1">
        <f t="array" aca="1" ref="G55" ca="1">INDIRECT("'※ 인력 세부데이터'!"&amp;G$1&amp;$T56, TRUE)</f>
        <v>385</v>
      </c>
      <c r="H55" s="1590" cm="1">
        <f t="array" aca="1" ref="H55" ca="1">INDIRECT("'※ 인력 세부데이터'!"&amp;H$1&amp;$T56, TRUE)</f>
        <v>400</v>
      </c>
      <c r="I55" s="1590" cm="1">
        <f t="array" aca="1" ref="I55" ca="1">INDIRECT("'※ 인력 세부데이터'!"&amp;I$1&amp;$T56, TRUE)</f>
        <v>400</v>
      </c>
      <c r="J55" s="1590" cm="1">
        <f t="array" aca="1" ref="J55" ca="1">INDIRECT("'※ 인력 세부데이터'!"&amp;J$1&amp;$T56, TRUE)</f>
        <v>386</v>
      </c>
      <c r="K55" s="1590" cm="1">
        <f t="array" aca="1" ref="K55" ca="1">INDIRECT("'※ 인력 세부데이터'!"&amp;K$1&amp;$T56, TRUE)</f>
        <v>387</v>
      </c>
      <c r="L55" s="1588" cm="1">
        <f t="array" aca="1" ref="L55" ca="1">INDIRECT("'※ 인력 세부데이터'!"&amp;L$1&amp;$T56, TRUE)</f>
        <v>358.5</v>
      </c>
      <c r="M55" s="1590" cm="1">
        <f t="array" aca="1" ref="M55" ca="1">INDIRECT("'※ 인력 세부데이터'!"&amp;M$1&amp;$T56, TRUE)</f>
        <v>361</v>
      </c>
      <c r="N55" s="1590" cm="1">
        <f t="array" aca="1" ref="N55" ca="1">INDIRECT("'※ 인력 세부데이터'!"&amp;N$1&amp;$T56, TRUE)</f>
        <v>356</v>
      </c>
      <c r="O55" s="1591" cm="1">
        <f t="array" aca="1" ref="O55" ca="1">INDIRECT("'※ 인력 세부데이터'!"&amp;O$1&amp;$T56, TRUE)</f>
        <v>0.16342236306020824</v>
      </c>
      <c r="P55" s="1592" cm="1">
        <f t="array" aca="1" ref="P55" ca="1">INDIRECT("'※ 인력 세부데이터'!"&amp;P$1&amp;$T56, TRUE)</f>
        <v>152</v>
      </c>
      <c r="Q55" s="1593" cm="1">
        <f t="array" aca="1" ref="Q55" ca="1">INDIRECT("'※ 인력 세부데이터'!"&amp;Q$1&amp;$T56, TRUE)</f>
        <v>0.42105263157894735</v>
      </c>
      <c r="R55" s="1594" cm="1">
        <f t="array" aca="1" ref="R55" ca="1">INDIRECT("'※ 인력 세부데이터'!"&amp;R$1&amp;$T56, TRUE)</f>
        <v>33.811797752808985</v>
      </c>
      <c r="S55" s="1595" cm="1">
        <f t="array" aca="1" ref="S55" ca="1">INDIRECT("'※ 인력 세부데이터'!"&amp;S$1&amp;$T56, TRUE)</f>
        <v>5.4520086193627764</v>
      </c>
      <c r="T55" s="1596">
        <f>ROW('※ 인력 세부데이터'!J51)</f>
        <v>51</v>
      </c>
      <c r="U55" s="1597"/>
      <c r="V55" s="698"/>
    </row>
    <row r="56" spans="1:22" x14ac:dyDescent="0.55000000000000004">
      <c r="A56" s="7179"/>
      <c r="B56" s="1586"/>
      <c r="C56" s="673" t="s">
        <v>204</v>
      </c>
      <c r="D56" s="1598" cm="1">
        <f t="array" aca="1" ref="D56" ca="1">INDIRECT("'※ 인력 세부데이터'!"&amp;D$1&amp;$T57, TRUE)</f>
        <v>42</v>
      </c>
      <c r="E56" s="1599" cm="1">
        <f t="array" aca="1" ref="E56" ca="1">INDIRECT("'※ 인력 세부데이터'!"&amp;E$1&amp;$T57, TRUE)</f>
        <v>43.833333333333336</v>
      </c>
      <c r="F56" s="1600" cm="1">
        <f t="array" aca="1" ref="F56" ca="1">INDIRECT("'※ 인력 세부데이터'!"&amp;F$1&amp;$T57, TRUE)</f>
        <v>42</v>
      </c>
      <c r="G56" s="1601" cm="1">
        <f t="array" aca="1" ref="G56" ca="1">INDIRECT("'※ 인력 세부데이터'!"&amp;G$1&amp;$T57, TRUE)</f>
        <v>45</v>
      </c>
      <c r="H56" s="1601" cm="1">
        <f t="array" aca="1" ref="H56" ca="1">INDIRECT("'※ 인력 세부데이터'!"&amp;H$1&amp;$T57, TRUE)</f>
        <v>45</v>
      </c>
      <c r="I56" s="1601" cm="1">
        <f t="array" aca="1" ref="I56" ca="1">INDIRECT("'※ 인력 세부데이터'!"&amp;I$1&amp;$T57, TRUE)</f>
        <v>45</v>
      </c>
      <c r="J56" s="1601" cm="1">
        <f t="array" aca="1" ref="J56" ca="1">INDIRECT("'※ 인력 세부데이터'!"&amp;J$1&amp;$T57, TRUE)</f>
        <v>44</v>
      </c>
      <c r="K56" s="1601" cm="1">
        <f t="array" aca="1" ref="K56" ca="1">INDIRECT("'※ 인력 세부데이터'!"&amp;K$1&amp;$T57, TRUE)</f>
        <v>45</v>
      </c>
      <c r="L56" s="1599" cm="1">
        <f t="array" aca="1" ref="L56" ca="1">INDIRECT("'※ 인력 세부데이터'!"&amp;L$1&amp;$T57, TRUE)</f>
        <v>41.5</v>
      </c>
      <c r="M56" s="1601" cm="1">
        <f t="array" aca="1" ref="M56" ca="1">INDIRECT("'※ 인력 세부데이터'!"&amp;M$1&amp;$T57, TRUE)</f>
        <v>42</v>
      </c>
      <c r="N56" s="1601" cm="1">
        <f t="array" aca="1" ref="N56" ca="1">INDIRECT("'※ 인력 세부데이터'!"&amp;N$1&amp;$T57, TRUE)</f>
        <v>41</v>
      </c>
      <c r="O56" s="1602" cm="1">
        <f t="array" aca="1" ref="O56" ca="1">INDIRECT("'※ 인력 세부데이터'!"&amp;O$1&amp;$T57, TRUE)</f>
        <v>0.11634349030470914</v>
      </c>
      <c r="P56" s="1603" cm="1">
        <f t="array" aca="1" ref="P56" ca="1">INDIRECT("'※ 인력 세부데이터'!"&amp;P$1&amp;$T57, TRUE)</f>
        <v>10</v>
      </c>
      <c r="Q56" s="1604" cm="1">
        <f t="array" aca="1" ref="Q56" ca="1">INDIRECT("'※ 인력 세부데이터'!"&amp;Q$1&amp;$T57, TRUE)</f>
        <v>0.23809523809523808</v>
      </c>
      <c r="R56" s="1605" cm="1">
        <f t="array" aca="1" ref="R56" ca="1">INDIRECT("'※ 인력 세부데이터'!"&amp;R$1&amp;$T57, TRUE)</f>
        <v>41.243902439024389</v>
      </c>
      <c r="S56" s="1606" cm="1">
        <f t="array" aca="1" ref="S56" ca="1">INDIRECT("'※ 인력 세부데이터'!"&amp;S$1&amp;$T57, TRUE)</f>
        <v>12.698830604744405</v>
      </c>
      <c r="T56" s="1596">
        <f>ROW('※ 인력 세부데이터'!J52)</f>
        <v>52</v>
      </c>
      <c r="U56" s="1597"/>
      <c r="V56" s="698"/>
    </row>
    <row r="57" spans="1:22" x14ac:dyDescent="0.55000000000000004">
      <c r="A57" s="7179"/>
      <c r="B57" s="1586"/>
      <c r="C57" s="673" t="s">
        <v>939</v>
      </c>
      <c r="D57" s="1598" cm="1">
        <f t="array" aca="1" ref="D57" ca="1">INDIRECT("'※ 인력 세부데이터'!"&amp;D$1&amp;$T58, TRUE)</f>
        <v>31.833333333333332</v>
      </c>
      <c r="E57" s="1599" cm="1">
        <f t="array" aca="1" ref="E57" ca="1">INDIRECT("'※ 인력 세부데이터'!"&amp;E$1&amp;$T58, TRUE)</f>
        <v>33.5</v>
      </c>
      <c r="F57" s="1600" cm="1">
        <f t="array" aca="1" ref="F57" ca="1">INDIRECT("'※ 인력 세부데이터'!"&amp;F$1&amp;$T58, TRUE)</f>
        <v>39</v>
      </c>
      <c r="G57" s="1601" cm="1">
        <f t="array" aca="1" ref="G57" ca="1">INDIRECT("'※ 인력 세부데이터'!"&amp;G$1&amp;$T58, TRUE)</f>
        <v>37</v>
      </c>
      <c r="H57" s="1601" cm="1">
        <f t="array" aca="1" ref="H57" ca="1">INDIRECT("'※ 인력 세부데이터'!"&amp;H$1&amp;$T58, TRUE)</f>
        <v>42</v>
      </c>
      <c r="I57" s="1601" cm="1">
        <f t="array" aca="1" ref="I57" ca="1">INDIRECT("'※ 인력 세부데이터'!"&amp;I$1&amp;$T58, TRUE)</f>
        <v>41</v>
      </c>
      <c r="J57" s="1601" cm="1">
        <f t="array" aca="1" ref="J57" ca="1">INDIRECT("'※ 인력 세부데이터'!"&amp;J$1&amp;$T58, TRUE)</f>
        <v>40</v>
      </c>
      <c r="K57" s="1601" cm="1">
        <f t="array" aca="1" ref="K57" ca="1">INDIRECT("'※ 인력 세부데이터'!"&amp;K$1&amp;$T58, TRUE)</f>
        <v>38</v>
      </c>
      <c r="L57" s="1599" cm="1">
        <f t="array" aca="1" ref="L57" ca="1">INDIRECT("'※ 인력 세부데이터'!"&amp;L$1&amp;$T58, TRUE)</f>
        <v>16</v>
      </c>
      <c r="M57" s="1601" cm="1">
        <f t="array" aca="1" ref="M57" ca="1">INDIRECT("'※ 인력 세부데이터'!"&amp;M$1&amp;$T58, TRUE)</f>
        <v>16</v>
      </c>
      <c r="N57" s="1601" cm="1">
        <f t="array" aca="1" ref="N57" ca="1">INDIRECT("'※ 인력 세부데이터'!"&amp;N$1&amp;$T58, TRUE)</f>
        <v>16</v>
      </c>
      <c r="O57" s="1602" cm="1">
        <f t="array" aca="1" ref="O57" ca="1">INDIRECT("'※ 인력 세부데이터'!"&amp;O$1&amp;$T58, TRUE)</f>
        <v>4.4321329639889197E-2</v>
      </c>
      <c r="P57" s="1603" cm="1">
        <f t="array" aca="1" ref="P57" ca="1">INDIRECT("'※ 인력 세부데이터'!"&amp;P$1&amp;$T58, TRUE)</f>
        <v>4</v>
      </c>
      <c r="Q57" s="1604" cm="1">
        <f t="array" aca="1" ref="Q57" ca="1">INDIRECT("'※ 인력 세부데이터'!"&amp;Q$1&amp;$T58, TRUE)</f>
        <v>0.25</v>
      </c>
      <c r="R57" s="1605" cm="1">
        <f t="array" aca="1" ref="R57" ca="1">INDIRECT("'※ 인력 세부데이터'!"&amp;R$1&amp;$T58, TRUE)</f>
        <v>43.75</v>
      </c>
      <c r="S57" s="1606" cm="1">
        <f t="array" aca="1" ref="S57" ca="1">INDIRECT("'※ 인력 세부데이터'!"&amp;S$1&amp;$T58, TRUE)</f>
        <v>3.7304794520547939</v>
      </c>
      <c r="T57" s="1596">
        <f>ROW('※ 인력 세부데이터'!J53)</f>
        <v>53</v>
      </c>
      <c r="U57" s="1597"/>
      <c r="V57" s="698"/>
    </row>
    <row r="58" spans="1:22" x14ac:dyDescent="0.55000000000000004">
      <c r="A58" s="7179"/>
      <c r="B58" s="1586"/>
      <c r="C58" s="673" t="s">
        <v>19</v>
      </c>
      <c r="D58" s="1598" cm="1">
        <f t="array" aca="1" ref="D58" ca="1">INDIRECT("'※ 인력 세부데이터'!"&amp;D$1&amp;$T59, TRUE)</f>
        <v>217.5</v>
      </c>
      <c r="E58" s="1599" cm="1">
        <f t="array" aca="1" ref="E58" ca="1">INDIRECT("'※ 인력 세부데이터'!"&amp;E$1&amp;$T59, TRUE)</f>
        <v>228.16666666666666</v>
      </c>
      <c r="F58" s="1600" cm="1">
        <f t="array" aca="1" ref="F58" ca="1">INDIRECT("'※ 인력 세부데이터'!"&amp;F$1&amp;$T59, TRUE)</f>
        <v>234</v>
      </c>
      <c r="G58" s="1601" cm="1">
        <f t="array" aca="1" ref="G58" ca="1">INDIRECT("'※ 인력 세부데이터'!"&amp;G$1&amp;$T59, TRUE)</f>
        <v>228</v>
      </c>
      <c r="H58" s="1601" cm="1">
        <f t="array" aca="1" ref="H58" ca="1">INDIRECT("'※ 인력 세부데이터'!"&amp;H$1&amp;$T59, TRUE)</f>
        <v>235</v>
      </c>
      <c r="I58" s="1601" cm="1">
        <f t="array" aca="1" ref="I58" ca="1">INDIRECT("'※ 인력 세부데이터'!"&amp;I$1&amp;$T59, TRUE)</f>
        <v>237</v>
      </c>
      <c r="J58" s="1601" cm="1">
        <f t="array" aca="1" ref="J58" ca="1">INDIRECT("'※ 인력 세부데이터'!"&amp;J$1&amp;$T59, TRUE)</f>
        <v>228</v>
      </c>
      <c r="K58" s="1601" cm="1">
        <f t="array" aca="1" ref="K58" ca="1">INDIRECT("'※ 인력 세부데이터'!"&amp;K$1&amp;$T59, TRUE)</f>
        <v>228</v>
      </c>
      <c r="L58" s="1599" cm="1">
        <f t="array" aca="1" ref="L58" ca="1">INDIRECT("'※ 인력 세부데이터'!"&amp;L$1&amp;$T59, TRUE)</f>
        <v>229</v>
      </c>
      <c r="M58" s="1601" cm="1">
        <f t="array" aca="1" ref="M58" ca="1">INDIRECT("'※ 인력 세부데이터'!"&amp;M$1&amp;$T59, TRUE)</f>
        <v>228</v>
      </c>
      <c r="N58" s="1601" cm="1">
        <f t="array" aca="1" ref="N58" ca="1">INDIRECT("'※ 인력 세부데이터'!"&amp;N$1&amp;$T59, TRUE)</f>
        <v>230</v>
      </c>
      <c r="O58" s="1602" cm="1">
        <f t="array" aca="1" ref="O58" ca="1">INDIRECT("'※ 인력 세부데이터'!"&amp;O$1&amp;$T59, TRUE)</f>
        <v>0.63157894736842102</v>
      </c>
      <c r="P58" s="1603" cm="1">
        <f t="array" aca="1" ref="P58" ca="1">INDIRECT("'※ 인력 세부데이터'!"&amp;P$1&amp;$T59, TRUE)</f>
        <v>110</v>
      </c>
      <c r="Q58" s="1604" cm="1">
        <f t="array" aca="1" ref="Q58" ca="1">INDIRECT("'※ 인력 세부데이터'!"&amp;Q$1&amp;$T59, TRUE)</f>
        <v>0.48245614035087719</v>
      </c>
      <c r="R58" s="1605" cm="1">
        <f t="array" aca="1" ref="R58" ca="1">INDIRECT("'※ 인력 세부데이터'!"&amp;R$1&amp;$T59, TRUE)</f>
        <v>31.417391304347827</v>
      </c>
      <c r="S58" s="1606" cm="1">
        <f t="array" aca="1" ref="S58" ca="1">INDIRECT("'※ 인력 세부데이터'!"&amp;S$1&amp;$T59, TRUE)</f>
        <v>4.3711733174508636</v>
      </c>
      <c r="T58" s="1596">
        <f>ROW('※ 인력 세부데이터'!J54)</f>
        <v>54</v>
      </c>
      <c r="U58" s="1597"/>
      <c r="V58" s="698"/>
    </row>
    <row r="59" spans="1:22" x14ac:dyDescent="0.55000000000000004">
      <c r="A59" s="7179"/>
      <c r="B59" s="1586"/>
      <c r="C59" s="673" t="s">
        <v>20</v>
      </c>
      <c r="D59" s="1598" cm="1">
        <f t="array" aca="1" ref="D59" ca="1">INDIRECT("'※ 인력 세부데이터'!"&amp;D$1&amp;$T60, TRUE)</f>
        <v>79.75</v>
      </c>
      <c r="E59" s="1599" cm="1">
        <f t="array" aca="1" ref="E59" ca="1">INDIRECT("'※ 인력 세부데이터'!"&amp;E$1&amp;$T60, TRUE)</f>
        <v>72.333333333333329</v>
      </c>
      <c r="F59" s="1600" cm="1">
        <f t="array" aca="1" ref="F59" ca="1">INDIRECT("'※ 인력 세부데이터'!"&amp;F$1&amp;$T60, TRUE)</f>
        <v>78</v>
      </c>
      <c r="G59" s="1601" cm="1">
        <f t="array" aca="1" ref="G59" ca="1">INDIRECT("'※ 인력 세부데이터'!"&amp;G$1&amp;$T60, TRUE)</f>
        <v>75</v>
      </c>
      <c r="H59" s="1601" cm="1">
        <f t="array" aca="1" ref="H59" ca="1">INDIRECT("'※ 인력 세부데이터'!"&amp;H$1&amp;$T60, TRUE)</f>
        <v>78</v>
      </c>
      <c r="I59" s="1601" cm="1">
        <f t="array" aca="1" ref="I59" ca="1">INDIRECT("'※ 인력 세부데이터'!"&amp;I$1&amp;$T60, TRUE)</f>
        <v>77</v>
      </c>
      <c r="J59" s="1601" cm="1">
        <f t="array" aca="1" ref="J59" ca="1">INDIRECT("'※ 인력 세부데이터'!"&amp;J$1&amp;$T60, TRUE)</f>
        <v>74</v>
      </c>
      <c r="K59" s="1601" cm="1">
        <f t="array" aca="1" ref="K59" ca="1">INDIRECT("'※ 인력 세부데이터'!"&amp;K$1&amp;$T60, TRUE)</f>
        <v>76</v>
      </c>
      <c r="L59" s="1599" cm="1">
        <f t="array" aca="1" ref="L59" ca="1">INDIRECT("'※ 인력 세부데이터'!"&amp;L$1&amp;$T60, TRUE)</f>
        <v>72</v>
      </c>
      <c r="M59" s="1601" cm="1">
        <f t="array" aca="1" ref="M59" ca="1">INDIRECT("'※ 인력 세부데이터'!"&amp;M$1&amp;$T60, TRUE)</f>
        <v>75</v>
      </c>
      <c r="N59" s="1601" cm="1">
        <f t="array" aca="1" ref="N59" ca="1">INDIRECT("'※ 인력 세부데이터'!"&amp;N$1&amp;$T60, TRUE)</f>
        <v>69</v>
      </c>
      <c r="O59" s="1602" cm="1">
        <f t="array" aca="1" ref="O59" ca="1">INDIRECT("'※ 인력 세부데이터'!"&amp;O$1&amp;$T60, TRUE)</f>
        <v>0.2077562326869806</v>
      </c>
      <c r="P59" s="1603" cm="1">
        <f t="array" aca="1" ref="P59" ca="1">INDIRECT("'※ 인력 세부데이터'!"&amp;P$1&amp;$T60, TRUE)</f>
        <v>28</v>
      </c>
      <c r="Q59" s="1604" cm="1">
        <f t="array" aca="1" ref="Q59" ca="1">INDIRECT("'※ 인력 세부데이터'!"&amp;Q$1&amp;$T60, TRUE)</f>
        <v>0.37333333333333335</v>
      </c>
      <c r="R59" s="1605" cm="1">
        <f t="array" aca="1" ref="R59" ca="1">INDIRECT("'※ 인력 세부데이터'!"&amp;R$1&amp;$T60, TRUE)</f>
        <v>35.072463768115945</v>
      </c>
      <c r="S59" s="1606" cm="1">
        <f t="array" aca="1" ref="S59" ca="1">INDIRECT("'※ 인력 세부데이터'!"&amp;S$1&amp;$T60, TRUE)</f>
        <v>5.1479054993051419</v>
      </c>
      <c r="T59" s="1596">
        <f>ROW('※ 인력 세부데이터'!J55)</f>
        <v>55</v>
      </c>
      <c r="U59" s="1597"/>
      <c r="V59" s="698"/>
    </row>
    <row r="60" spans="1:22" x14ac:dyDescent="0.55000000000000004">
      <c r="A60" s="7179"/>
      <c r="B60" s="1396" t="s">
        <v>193</v>
      </c>
      <c r="C60" s="1607"/>
      <c r="D60" s="1608" cm="1">
        <f t="array" aca="1" ref="D60" ca="1">INDIRECT("'※ 인력 세부데이터'!"&amp;D$1&amp;$T61, TRUE)</f>
        <v>7</v>
      </c>
      <c r="E60" s="1609" cm="1">
        <f t="array" aca="1" ref="E60" ca="1">INDIRECT("'※ 인력 세부데이터'!"&amp;E$1&amp;$T61, TRUE)</f>
        <v>2</v>
      </c>
      <c r="F60" s="1610" cm="1">
        <f t="array" aca="1" ref="F60" ca="1">INDIRECT("'※ 인력 세부데이터'!"&amp;F$1&amp;$T61, TRUE)</f>
        <v>2</v>
      </c>
      <c r="G60" s="1611" cm="1">
        <f t="array" aca="1" ref="G60" ca="1">INDIRECT("'※ 인력 세부데이터'!"&amp;G$1&amp;$T61, TRUE)</f>
        <v>2</v>
      </c>
      <c r="H60" s="1611" cm="1">
        <f t="array" aca="1" ref="H60" ca="1">INDIRECT("'※ 인력 세부데이터'!"&amp;H$1&amp;$T61, TRUE)</f>
        <v>2</v>
      </c>
      <c r="I60" s="1611" cm="1">
        <f t="array" aca="1" ref="I60" ca="1">INDIRECT("'※ 인력 세부데이터'!"&amp;I$1&amp;$T61, TRUE)</f>
        <v>2</v>
      </c>
      <c r="J60" s="1611" cm="1">
        <f t="array" aca="1" ref="J60" ca="1">INDIRECT("'※ 인력 세부데이터'!"&amp;J$1&amp;$T61, TRUE)</f>
        <v>2</v>
      </c>
      <c r="K60" s="1611" cm="1">
        <f t="array" aca="1" ref="K60" ca="1">INDIRECT("'※ 인력 세부데이터'!"&amp;K$1&amp;$T61, TRUE)</f>
        <v>2</v>
      </c>
      <c r="L60" s="1609" cm="1">
        <f t="array" aca="1" ref="L60" ca="1">INDIRECT("'※ 인력 세부데이터'!"&amp;L$1&amp;$T61, TRUE)</f>
        <v>2</v>
      </c>
      <c r="M60" s="1611" cm="1">
        <f t="array" aca="1" ref="M60" ca="1">INDIRECT("'※ 인력 세부데이터'!"&amp;M$1&amp;$T61, TRUE)</f>
        <v>2</v>
      </c>
      <c r="N60" s="1611" cm="1">
        <f t="array" aca="1" ref="N60" ca="1">INDIRECT("'※ 인력 세부데이터'!"&amp;N$1&amp;$T61, TRUE)</f>
        <v>2</v>
      </c>
      <c r="O60" s="1612" cm="1">
        <f t="array" aca="1" ref="O60" ca="1">INDIRECT("'※ 인력 세부데이터'!"&amp;O$1&amp;$T61, TRUE)</f>
        <v>9.0538705296514259E-4</v>
      </c>
      <c r="P60" s="1613" cm="1">
        <f t="array" aca="1" ref="P60" ca="1">INDIRECT("'※ 인력 세부데이터'!"&amp;P$1&amp;$T61, TRUE)</f>
        <v>1</v>
      </c>
      <c r="Q60" s="1614" cm="1">
        <f t="array" aca="1" ref="Q60" ca="1">INDIRECT("'※ 인력 세부데이터'!"&amp;Q$1&amp;$T61, TRUE)</f>
        <v>0.5</v>
      </c>
      <c r="R60" s="1615" cm="1">
        <f t="array" aca="1" ref="R60" ca="1">INDIRECT("'※ 인력 세부데이터'!"&amp;R$1&amp;$T61, TRUE)</f>
        <v>47</v>
      </c>
      <c r="S60" s="1616" cm="1">
        <f t="array" aca="1" ref="S60" ca="1">INDIRECT("'※ 인력 세부데이터'!"&amp;S$1&amp;$T61, TRUE)</f>
        <v>18.11643835616438</v>
      </c>
      <c r="T60" s="1596">
        <f>ROW('※ 인력 세부데이터'!J56)</f>
        <v>56</v>
      </c>
      <c r="U60" s="1597"/>
      <c r="V60" s="698"/>
    </row>
    <row r="61" spans="1:22" x14ac:dyDescent="0.55000000000000004">
      <c r="A61" s="7179"/>
      <c r="B61" s="1617" t="s">
        <v>194</v>
      </c>
      <c r="C61" s="1607"/>
      <c r="D61" s="1608" cm="1">
        <f t="array" aca="1" ref="D61" ca="1">INDIRECT("'※ 인력 세부데이터'!"&amp;D$1&amp;$T62, TRUE)</f>
        <v>86.666666666666671</v>
      </c>
      <c r="E61" s="1609" cm="1">
        <f t="array" aca="1" ref="E61" ca="1">INDIRECT("'※ 인력 세부데이터'!"&amp;E$1&amp;$T62, TRUE)</f>
        <v>114.16666666666667</v>
      </c>
      <c r="F61" s="1610" cm="1">
        <f t="array" aca="1" ref="F61" ca="1">INDIRECT("'※ 인력 세부데이터'!"&amp;F$1&amp;$T62, TRUE)</f>
        <v>100</v>
      </c>
      <c r="G61" s="1611" cm="1">
        <f t="array" aca="1" ref="G61" ca="1">INDIRECT("'※ 인력 세부데이터'!"&amp;G$1&amp;$T62, TRUE)</f>
        <v>105</v>
      </c>
      <c r="H61" s="1611" cm="1">
        <f t="array" aca="1" ref="H61" ca="1">INDIRECT("'※ 인력 세부데이터'!"&amp;H$1&amp;$T62, TRUE)</f>
        <v>100</v>
      </c>
      <c r="I61" s="1611" cm="1">
        <f t="array" aca="1" ref="I61" ca="1">INDIRECT("'※ 인력 세부데이터'!"&amp;I$1&amp;$T62, TRUE)</f>
        <v>113</v>
      </c>
      <c r="J61" s="1611" cm="1">
        <f t="array" aca="1" ref="J61" ca="1">INDIRECT("'※ 인력 세부데이터'!"&amp;J$1&amp;$T62, TRUE)</f>
        <v>124</v>
      </c>
      <c r="K61" s="1611" cm="1">
        <f t="array" aca="1" ref="K61" ca="1">INDIRECT("'※ 인력 세부데이터'!"&amp;K$1&amp;$T62, TRUE)</f>
        <v>120</v>
      </c>
      <c r="L61" s="1609" cm="1">
        <f t="array" aca="1" ref="L61" ca="1">INDIRECT("'※ 인력 세부데이터'!"&amp;L$1&amp;$T62, TRUE)</f>
        <v>102.5</v>
      </c>
      <c r="M61" s="1611" cm="1">
        <f t="array" aca="1" ref="M61" ca="1">INDIRECT("'※ 인력 세부데이터'!"&amp;M$1&amp;$T62, TRUE)</f>
        <v>103</v>
      </c>
      <c r="N61" s="1611" cm="1">
        <f t="array" aca="1" ref="N61" ca="1">INDIRECT("'※ 인력 세부데이터'!"&amp;N$1&amp;$T62, TRUE)</f>
        <v>102</v>
      </c>
      <c r="O61" s="1612" cm="1">
        <f t="array" aca="1" ref="O61" ca="1">INDIRECT("'※ 인력 세부데이터'!"&amp;O$1&amp;$T62, TRUE)</f>
        <v>4.6627433227704844E-2</v>
      </c>
      <c r="P61" s="1613" cm="1">
        <f t="array" aca="1" ref="P61" ca="1">INDIRECT("'※ 인력 세부데이터'!"&amp;P$1&amp;$T62, TRUE)</f>
        <v>65</v>
      </c>
      <c r="Q61" s="1614" cm="1">
        <f t="array" aca="1" ref="Q61" ca="1">INDIRECT("'※ 인력 세부데이터'!"&amp;Q$1&amp;$T62, TRUE)</f>
        <v>0.6310679611650486</v>
      </c>
      <c r="R61" s="1615" cm="1">
        <f t="array" aca="1" ref="R61" ca="1">INDIRECT("'※ 인력 세부데이터'!"&amp;R$1&amp;$T62, TRUE)</f>
        <v>35.725490196078432</v>
      </c>
      <c r="S61" s="1616" cm="1">
        <f t="array" aca="1" ref="S61" ca="1">INDIRECT("'※ 인력 세부데이터'!"&amp;S$1&amp;$T62, TRUE)</f>
        <v>7.8477840451248975</v>
      </c>
      <c r="T61" s="1596">
        <f>ROW('※ 인력 세부데이터'!J57)</f>
        <v>57</v>
      </c>
      <c r="U61" s="1597"/>
      <c r="V61" s="698"/>
    </row>
    <row r="62" spans="1:22" ht="15.45" thickBot="1" x14ac:dyDescent="0.6">
      <c r="A62" s="7438"/>
      <c r="B62" s="1618" t="s">
        <v>1038</v>
      </c>
      <c r="C62" s="1619"/>
      <c r="D62" s="1620" cm="1">
        <f t="array" aca="1" ref="D62" ca="1">INDIRECT("'※ 인력 세부데이터'!"&amp;D$1&amp;$T63, TRUE)</f>
        <v>0</v>
      </c>
      <c r="E62" s="1621" cm="1">
        <f t="array" aca="1" ref="E62" ca="1">INDIRECT("'※ 인력 세부데이터'!"&amp;E$1&amp;$T63, TRUE)</f>
        <v>11</v>
      </c>
      <c r="F62" s="1620" cm="1">
        <f t="array" aca="1" ref="F62" ca="1">INDIRECT("'※ 인력 세부데이터'!"&amp;F$1&amp;$T63, TRUE)</f>
        <v>0</v>
      </c>
      <c r="G62" s="1622" cm="1">
        <f t="array" aca="1" ref="G62" ca="1">INDIRECT("'※ 인력 세부데이터'!"&amp;G$1&amp;$T63, TRUE)</f>
        <v>0</v>
      </c>
      <c r="H62" s="1622" cm="1">
        <f t="array" aca="1" ref="H62" ca="1">INDIRECT("'※ 인력 세부데이터'!"&amp;H$1&amp;$T63, TRUE)</f>
        <v>0</v>
      </c>
      <c r="I62" s="1622" cm="1">
        <f t="array" aca="1" ref="I62" ca="1">INDIRECT("'※ 인력 세부데이터'!"&amp;I$1&amp;$T63, TRUE)</f>
        <v>0</v>
      </c>
      <c r="J62" s="1622" cm="1">
        <f t="array" aca="1" ref="J62" ca="1">INDIRECT("'※ 인력 세부데이터'!"&amp;J$1&amp;$T63, TRUE)</f>
        <v>0</v>
      </c>
      <c r="K62" s="1622" cm="1">
        <f t="array" aca="1" ref="K62" ca="1">INDIRECT("'※ 인력 세부데이터'!"&amp;K$1&amp;$T63, TRUE)</f>
        <v>0</v>
      </c>
      <c r="L62" s="1621" cm="1">
        <f t="array" aca="1" ref="L62" ca="1">INDIRECT("'※ 인력 세부데이터'!"&amp;L$1&amp;$T63, TRUE)</f>
        <v>0</v>
      </c>
      <c r="M62" s="1622" cm="1">
        <f t="array" aca="1" ref="M62" ca="1">INDIRECT("'※ 인력 세부데이터'!"&amp;M$1&amp;$T63, TRUE)</f>
        <v>0</v>
      </c>
      <c r="N62" s="1622" cm="1">
        <f t="array" aca="1" ref="N62" ca="1">INDIRECT("'※ 인력 세부데이터'!"&amp;N$1&amp;$T63, TRUE)</f>
        <v>0</v>
      </c>
      <c r="O62" s="1623" cm="1">
        <f t="array" aca="1" ref="O62" ca="1">INDIRECT("'※ 인력 세부데이터'!"&amp;O$1&amp;$T63, TRUE)</f>
        <v>0</v>
      </c>
      <c r="P62" s="1624" cm="1">
        <f t="array" aca="1" ref="P62" ca="1">INDIRECT("'※ 인력 세부데이터'!"&amp;P$1&amp;$T63, TRUE)</f>
        <v>0</v>
      </c>
      <c r="Q62" s="1625" cm="1">
        <f t="array" aca="1" ref="Q62" ca="1">INDIRECT("'※ 인력 세부데이터'!"&amp;Q$1&amp;$T63, TRUE)</f>
        <v>0</v>
      </c>
      <c r="R62" s="1626" cm="1">
        <f t="array" aca="1" ref="R62" ca="1">INDIRECT("'※ 인력 세부데이터'!"&amp;R$1&amp;$T63, TRUE)</f>
        <v>0</v>
      </c>
      <c r="S62" s="1627" cm="1">
        <f t="array" aca="1" ref="S62" ca="1">INDIRECT("'※ 인력 세부데이터'!"&amp;S$1&amp;$T63, TRUE)</f>
        <v>0</v>
      </c>
      <c r="T62" s="1596">
        <f>ROW('※ 인력 세부데이터'!J58)</f>
        <v>58</v>
      </c>
      <c r="U62" s="1521"/>
    </row>
    <row r="63" spans="1:22" ht="16.5" customHeight="1" thickBot="1" x14ac:dyDescent="0.6">
      <c r="B63" s="698"/>
      <c r="C63" s="698"/>
      <c r="D63" s="698"/>
      <c r="E63" s="698"/>
      <c r="F63" s="972"/>
      <c r="G63" s="972"/>
      <c r="H63" s="972"/>
      <c r="I63" s="972"/>
      <c r="J63" s="972"/>
      <c r="K63" s="972"/>
      <c r="L63" s="698"/>
      <c r="M63" s="972"/>
      <c r="N63" s="972"/>
      <c r="O63" s="1300"/>
      <c r="P63" s="1300"/>
      <c r="Q63" s="1300"/>
      <c r="R63" s="1300"/>
      <c r="S63" s="1300"/>
      <c r="T63" s="1596">
        <f>ROW('※ 인력 세부데이터'!J60)</f>
        <v>60</v>
      </c>
      <c r="U63" s="698"/>
      <c r="V63" s="698"/>
    </row>
    <row r="64" spans="1:22" ht="21.9" customHeight="1" thickTop="1" x14ac:dyDescent="0.55000000000000004">
      <c r="A64" s="7455" t="s">
        <v>124</v>
      </c>
      <c r="B64" s="7456"/>
      <c r="C64" s="7457"/>
      <c r="D64" s="1628" t="s">
        <v>1211</v>
      </c>
      <c r="E64" s="1629" t="s">
        <v>1212</v>
      </c>
      <c r="F64" s="1630" t="str" cm="1">
        <f t="array" aca="1" ref="F64" ca="1">INDIRECT("'※ 인력 세부데이터'!"&amp;F$1&amp;$T65, TRUE)</f>
        <v>'25.1월</v>
      </c>
      <c r="G64" s="1631" t="str" cm="1">
        <f t="array" aca="1" ref="G64" ca="1">INDIRECT("'※ 인력 세부데이터'!"&amp;G$1&amp;$T65, TRUE)</f>
        <v>'25.2월</v>
      </c>
      <c r="H64" s="1631" t="str" cm="1">
        <f t="array" aca="1" ref="H64" ca="1">INDIRECT("'※ 인력 세부데이터'!"&amp;H$1&amp;$T65, TRUE)</f>
        <v>'25.3월</v>
      </c>
      <c r="I64" s="1631" t="str" cm="1">
        <f t="array" aca="1" ref="I64" ca="1">INDIRECT("'※ 인력 세부데이터'!"&amp;I$1&amp;$T65, TRUE)</f>
        <v>'25.4월</v>
      </c>
      <c r="J64" s="1631" t="str" cm="1">
        <f t="array" aca="1" ref="J64" ca="1">INDIRECT("'※ 인력 세부데이터'!"&amp;J$1&amp;$T65, TRUE)</f>
        <v>'25.5월</v>
      </c>
      <c r="K64" s="1631" t="str" cm="1">
        <f t="array" aca="1" ref="K64" ca="1">INDIRECT("'※ 인력 세부데이터'!"&amp;K$1&amp;$T65, TRUE)</f>
        <v>'25.6월</v>
      </c>
      <c r="L64" s="6415" t="s">
        <v>1209</v>
      </c>
      <c r="M64" s="1631" t="str" cm="1">
        <f t="array" aca="1" ref="M64" ca="1">INDIRECT("'※ 인력 세부데이터'!"&amp;M$1&amp;$T65, TRUE)</f>
        <v>'26.1월</v>
      </c>
      <c r="N64" s="1631" t="str" cm="1">
        <f t="array" aca="1" ref="N64" ca="1">INDIRECT("'※ 인력 세부데이터'!"&amp;N$1&amp;$T65, TRUE)</f>
        <v>'26.2월</v>
      </c>
      <c r="O64" s="1632" t="s">
        <v>443</v>
      </c>
      <c r="P64" s="1633" t="s">
        <v>1008</v>
      </c>
      <c r="Q64" s="1633" t="s">
        <v>722</v>
      </c>
      <c r="R64" s="1633" t="s">
        <v>45</v>
      </c>
      <c r="S64" s="1633" t="s">
        <v>1007</v>
      </c>
      <c r="T64" s="698"/>
      <c r="U64" s="698"/>
      <c r="V64" s="698"/>
    </row>
    <row r="65" spans="1:56" ht="21.9" hidden="1" customHeight="1" thickTop="1" x14ac:dyDescent="0.55000000000000004">
      <c r="A65" s="7444" t="s">
        <v>1093</v>
      </c>
      <c r="B65" s="7445" t="s">
        <v>972</v>
      </c>
      <c r="C65" s="7446"/>
      <c r="D65" s="1634" cm="1">
        <f t="array" aca="1" ref="D65" ca="1">INDIRECT("'※ 인력 세부데이터'!"&amp;D$1&amp;$T66, TRUE)</f>
        <v>12.25</v>
      </c>
      <c r="E65" s="1635" cm="1">
        <f t="array" aca="1" ref="E65" ca="1">INDIRECT("'※ 인력 세부데이터'!"&amp;E$1&amp;$T66, TRUE)</f>
        <v>-2.25</v>
      </c>
      <c r="F65" s="1636" cm="1">
        <f t="array" aca="1" ref="F65" ca="1">INDIRECT("'※ 인력 세부데이터'!"&amp;F$1&amp;$T66, TRUE)</f>
        <v>31</v>
      </c>
      <c r="G65" s="1637" cm="1">
        <f t="array" aca="1" ref="G65" ca="1">INDIRECT("'※ 인력 세부데이터'!"&amp;G$1&amp;$T66, TRUE)</f>
        <v>-4</v>
      </c>
      <c r="H65" s="1637" cm="1">
        <f t="array" aca="1" ref="H65" ca="1">INDIRECT("'※ 인력 세부데이터'!"&amp;H$1&amp;$T66, TRUE)</f>
        <v>12</v>
      </c>
      <c r="I65" s="1637" cm="1">
        <f t="array" aca="1" ref="I65" ca="1">INDIRECT("'※ 인력 세부데이터'!"&amp;I$1&amp;$T66, TRUE)</f>
        <v>7</v>
      </c>
      <c r="J65" s="1637" cm="1">
        <f t="array" aca="1" ref="J65" ca="1">INDIRECT("'※ 인력 세부데이터'!"&amp;J$1&amp;$T66, TRUE)</f>
        <v>-4</v>
      </c>
      <c r="K65" s="1637" cm="1">
        <f t="array" aca="1" ref="K65" ca="1">INDIRECT("'※ 인력 세부데이터'!"&amp;K$1&amp;$T66, TRUE)</f>
        <v>-14</v>
      </c>
      <c r="L65" s="6416" cm="1">
        <f t="array" aca="1" ref="L65" ca="1">INDIRECT("'※ 인력 세부데이터'!"&amp;L$1&amp;$T66, TRUE)</f>
        <v>3.5</v>
      </c>
      <c r="M65" s="1637" cm="1">
        <f t="array" aca="1" ref="M65" ca="1">INDIRECT("'※ 인력 세부데이터'!"&amp;M$1&amp;$T66, TRUE)</f>
        <v>10</v>
      </c>
      <c r="N65" s="1637" cm="1">
        <f t="array" aca="1" ref="N65" ca="1">INDIRECT("'※ 인력 세부데이터'!"&amp;N$1&amp;$T66, TRUE)</f>
        <v>-3</v>
      </c>
      <c r="O65" s="1636" cm="1">
        <f t="array" aca="1" ref="O65" ca="1">INDIRECT("'※ 인력 세부데이터'!"&amp;O$2&amp;$T66, TRUE)</f>
        <v>-3</v>
      </c>
      <c r="P65" s="1637" cm="1">
        <f t="array" aca="1" ref="P65" ca="1">INDIRECT("'※ 인력 세부데이터'!"&amp;P$1&amp;$T66, TRUE)</f>
        <v>1</v>
      </c>
      <c r="Q65" s="1637" cm="1">
        <f t="array" aca="1" ref="Q65" ca="1">INDIRECT("'※ 인력 세부데이터'!"&amp;Q$1&amp;$T66, TRUE)</f>
        <v>5.75</v>
      </c>
      <c r="R65" s="1637" cm="1">
        <f t="array" aca="1" ref="R65" ca="1">INDIRECT("'※ 인력 세부데이터'!"&amp;R$1&amp;$T66, TRUE)</f>
        <v>-20</v>
      </c>
      <c r="S65" s="1637" cm="1">
        <f t="array" aca="1" ref="S65" ca="1">INDIRECT("'※ 인력 세부데이터'!"&amp;S$1&amp;$T66, TRUE)</f>
        <v>-13</v>
      </c>
      <c r="T65" s="1596">
        <v>3</v>
      </c>
      <c r="U65" s="698"/>
      <c r="V65" s="698"/>
    </row>
    <row r="66" spans="1:56" ht="21.9" hidden="1" customHeight="1" x14ac:dyDescent="0.55000000000000004">
      <c r="A66" s="7444"/>
      <c r="B66" s="7447" t="s">
        <v>973</v>
      </c>
      <c r="C66" s="7447"/>
      <c r="D66" s="1638" cm="1">
        <f t="array" aca="1" ref="D66" ca="1">INDIRECT("'※ 인력 세부데이터'!"&amp;D$1&amp;$T67, TRUE)</f>
        <v>0.33333333333333331</v>
      </c>
      <c r="E66" s="1639" cm="1">
        <f t="array" aca="1" ref="E66" ca="1">INDIRECT("'※ 인력 세부데이터'!"&amp;E$1&amp;$T67, TRUE)</f>
        <v>0.33333333333333331</v>
      </c>
      <c r="F66" s="1640" cm="1">
        <f t="array" aca="1" ref="F66" ca="1">INDIRECT("'※ 인력 세부데이터'!"&amp;F$1&amp;$T67, TRUE)</f>
        <v>0</v>
      </c>
      <c r="G66" s="1641" cm="1">
        <f t="array" aca="1" ref="G66" ca="1">INDIRECT("'※ 인력 세부데이터'!"&amp;G$1&amp;$T67, TRUE)</f>
        <v>3</v>
      </c>
      <c r="H66" s="1641" cm="1">
        <f t="array" aca="1" ref="H66" ca="1">INDIRECT("'※ 인력 세부데이터'!"&amp;H$1&amp;$T67, TRUE)</f>
        <v>-2</v>
      </c>
      <c r="I66" s="1641" cm="1">
        <f t="array" aca="1" ref="I66" ca="1">INDIRECT("'※ 인력 세부데이터'!"&amp;I$1&amp;$T67, TRUE)</f>
        <v>0</v>
      </c>
      <c r="J66" s="1641" cm="1">
        <f t="array" aca="1" ref="J66" ca="1">INDIRECT("'※ 인력 세부데이터'!"&amp;J$1&amp;$T67, TRUE)</f>
        <v>0</v>
      </c>
      <c r="K66" s="1641" cm="1">
        <f t="array" aca="1" ref="K66" ca="1">INDIRECT("'※ 인력 세부데이터'!"&amp;K$1&amp;$T67, TRUE)</f>
        <v>0</v>
      </c>
      <c r="L66" s="6417" cm="1">
        <f t="array" aca="1" ref="L66" ca="1">INDIRECT("'※ 인력 세부데이터'!"&amp;L$1&amp;$T67, TRUE)</f>
        <v>-0.5</v>
      </c>
      <c r="M66" s="1641" cm="1">
        <f t="array" aca="1" ref="M66" ca="1">INDIRECT("'※ 인력 세부데이터'!"&amp;M$1&amp;$T67, TRUE)</f>
        <v>0</v>
      </c>
      <c r="N66" s="1641" cm="1">
        <f t="array" aca="1" ref="N66" ca="1">INDIRECT("'※ 인력 세부데이터'!"&amp;N$1&amp;$T67, TRUE)</f>
        <v>-1</v>
      </c>
      <c r="O66" s="1640" cm="1">
        <f t="array" aca="1" ref="O66" ca="1">INDIRECT("'※ 인력 세부데이터'!"&amp;O$2&amp;$T67, TRUE)</f>
        <v>-1</v>
      </c>
      <c r="P66" s="1641" cm="1">
        <f t="array" aca="1" ref="P66" ca="1">INDIRECT("'※ 인력 세부데이터'!"&amp;P$1&amp;$T67, TRUE)</f>
        <v>-4</v>
      </c>
      <c r="Q66" s="1641" cm="1">
        <f t="array" aca="1" ref="Q66" ca="1">INDIRECT("'※ 인력 세부데이터'!"&amp;Q$1&amp;$T67, TRUE)</f>
        <v>-0.83333333333333326</v>
      </c>
      <c r="R66" s="1641" cm="1">
        <f t="array" aca="1" ref="R66" ca="1">INDIRECT("'※ 인력 세부데이터'!"&amp;R$1&amp;$T67, TRUE)</f>
        <v>-4</v>
      </c>
      <c r="S66" s="1641" cm="1">
        <f t="array" aca="1" ref="S66" ca="1">INDIRECT("'※ 인력 세부데이터'!"&amp;S$1&amp;$T67, TRUE)</f>
        <v>-1</v>
      </c>
      <c r="T66" s="1596">
        <f>ROW('※ 인력 세부데이터'!J62)</f>
        <v>62</v>
      </c>
      <c r="U66" s="698"/>
      <c r="V66" s="698"/>
    </row>
    <row r="67" spans="1:56" ht="21.9" hidden="1" customHeight="1" x14ac:dyDescent="0.55000000000000004">
      <c r="A67" s="7444"/>
      <c r="B67" s="7447" t="s">
        <v>974</v>
      </c>
      <c r="C67" s="7447"/>
      <c r="D67" s="1638" cm="1">
        <f t="array" aca="1" ref="D67" ca="1">INDIRECT("'※ 인력 세부데이터'!"&amp;D$1&amp;$T68, TRUE)</f>
        <v>12.083333333333334</v>
      </c>
      <c r="E67" s="1639" cm="1">
        <f t="array" aca="1" ref="E67" ca="1">INDIRECT("'※ 인력 세부데이터'!"&amp;E$1&amp;$T68, TRUE)</f>
        <v>-5</v>
      </c>
      <c r="F67" s="1640" cm="1">
        <f t="array" aca="1" ref="F67" ca="1">INDIRECT("'※ 인력 세부데이터'!"&amp;F$1&amp;$T68, TRUE)</f>
        <v>25</v>
      </c>
      <c r="G67" s="1641" cm="1">
        <f t="array" aca="1" ref="G67" ca="1">INDIRECT("'※ 인력 세부데이터'!"&amp;G$1&amp;$T68, TRUE)</f>
        <v>-11</v>
      </c>
      <c r="H67" s="1641" cm="1">
        <f t="array" aca="1" ref="H67" ca="1">INDIRECT("'※ 인력 세부데이터'!"&amp;H$1&amp;$T68, TRUE)</f>
        <v>7</v>
      </c>
      <c r="I67" s="1641" cm="1">
        <f t="array" aca="1" ref="I67" ca="1">INDIRECT("'※ 인력 세부데이터'!"&amp;I$1&amp;$T68, TRUE)</f>
        <v>-3</v>
      </c>
      <c r="J67" s="1641" cm="1">
        <f t="array" aca="1" ref="J67" ca="1">INDIRECT("'※ 인력 세부데이터'!"&amp;J$1&amp;$T68, TRUE)</f>
        <v>-7</v>
      </c>
      <c r="K67" s="1641" cm="1">
        <f t="array" aca="1" ref="K67" ca="1">INDIRECT("'※ 인력 세부데이터'!"&amp;K$1&amp;$T68, TRUE)</f>
        <v>-15</v>
      </c>
      <c r="L67" s="6417" cm="1">
        <f t="array" aca="1" ref="L67" ca="1">INDIRECT("'※ 인력 세부데이터'!"&amp;L$1&amp;$T68, TRUE)</f>
        <v>1.5</v>
      </c>
      <c r="M67" s="1641" cm="1">
        <f t="array" aca="1" ref="M67" ca="1">INDIRECT("'※ 인력 세부데이터'!"&amp;M$1&amp;$T68, TRUE)</f>
        <v>2</v>
      </c>
      <c r="N67" s="1641" cm="1">
        <f t="array" aca="1" ref="N67" ca="1">INDIRECT("'※ 인력 세부데이터'!"&amp;N$1&amp;$T68, TRUE)</f>
        <v>1</v>
      </c>
      <c r="O67" s="1640" cm="1">
        <f t="array" aca="1" ref="O67" ca="1">INDIRECT("'※ 인력 세부데이터'!"&amp;O$2&amp;$T68, TRUE)</f>
        <v>1</v>
      </c>
      <c r="P67" s="1641" cm="1">
        <f t="array" aca="1" ref="P67" ca="1">INDIRECT("'※ 인력 세부데이터'!"&amp;P$1&amp;$T68, TRUE)</f>
        <v>12</v>
      </c>
      <c r="Q67" s="1641" cm="1">
        <f t="array" aca="1" ref="Q67" ca="1">INDIRECT("'※ 인력 세부데이터'!"&amp;Q$1&amp;$T68, TRUE)</f>
        <v>6.5</v>
      </c>
      <c r="R67" s="1641" cm="1">
        <f t="array" aca="1" ref="R67" ca="1">INDIRECT("'※ 인력 세부데이터'!"&amp;R$1&amp;$T68, TRUE)</f>
        <v>-11</v>
      </c>
      <c r="S67" s="1641" cm="1">
        <f t="array" aca="1" ref="S67" ca="1">INDIRECT("'※ 인력 세부데이터'!"&amp;S$1&amp;$T68, TRUE)</f>
        <v>-1</v>
      </c>
      <c r="T67" s="1596">
        <f>ROW('※ 인력 세부데이터'!J63)</f>
        <v>63</v>
      </c>
      <c r="U67" s="698"/>
      <c r="V67" s="698"/>
    </row>
    <row r="68" spans="1:56" ht="21.9" hidden="1" customHeight="1" x14ac:dyDescent="0.55000000000000004">
      <c r="A68" s="7444"/>
      <c r="B68" s="7448" t="s">
        <v>975</v>
      </c>
      <c r="C68" s="7448"/>
      <c r="D68" s="1638" cm="1">
        <f t="array" aca="1" ref="D68" ca="1">INDIRECT("'※ 인력 세부데이터'!"&amp;D$1&amp;$T69, TRUE)</f>
        <v>-0.16666666666666666</v>
      </c>
      <c r="E68" s="1639" cm="1">
        <f t="array" aca="1" ref="E68" ca="1">INDIRECT("'※ 인력 세부데이터'!"&amp;E$1&amp;$T69, TRUE)</f>
        <v>2.4166666666666665</v>
      </c>
      <c r="F68" s="1640" cm="1">
        <f t="array" aca="1" ref="F68" ca="1">INDIRECT("'※ 인력 세부데이터'!"&amp;F$1&amp;$T69, TRUE)</f>
        <v>6</v>
      </c>
      <c r="G68" s="1641" cm="1">
        <f t="array" aca="1" ref="G68" ca="1">INDIRECT("'※ 인력 세부데이터'!"&amp;G$1&amp;$T69, TRUE)</f>
        <v>4</v>
      </c>
      <c r="H68" s="1641" cm="1">
        <f t="array" aca="1" ref="H68" ca="1">INDIRECT("'※ 인력 세부데이터'!"&amp;H$1&amp;$T69, TRUE)</f>
        <v>7</v>
      </c>
      <c r="I68" s="1641" cm="1">
        <f t="array" aca="1" ref="I68" ca="1">INDIRECT("'※ 인력 세부데이터'!"&amp;I$1&amp;$T69, TRUE)</f>
        <v>10</v>
      </c>
      <c r="J68" s="1641" cm="1">
        <f t="array" aca="1" ref="J68" ca="1">INDIRECT("'※ 인력 세부데이터'!"&amp;J$1&amp;$T69, TRUE)</f>
        <v>3</v>
      </c>
      <c r="K68" s="1641" cm="1">
        <f t="array" aca="1" ref="K68" ca="1">INDIRECT("'※ 인력 세부데이터'!"&amp;K$1&amp;$T69, TRUE)</f>
        <v>1</v>
      </c>
      <c r="L68" s="6417" cm="1">
        <f t="array" aca="1" ref="L68" ca="1">INDIRECT("'※ 인력 세부데이터'!"&amp;L$1&amp;$T69, TRUE)</f>
        <v>2.5</v>
      </c>
      <c r="M68" s="1641" cm="1">
        <f t="array" aca="1" ref="M68" ca="1">INDIRECT("'※ 인력 세부데이터'!"&amp;M$1&amp;$T69, TRUE)</f>
        <v>8</v>
      </c>
      <c r="N68" s="1641" cm="1">
        <f t="array" aca="1" ref="N68" ca="1">INDIRECT("'※ 인력 세부데이터'!"&amp;N$1&amp;$T69, TRUE)</f>
        <v>-3</v>
      </c>
      <c r="O68" s="1640" cm="1">
        <f t="array" aca="1" ref="O68" ca="1">INDIRECT("'※ 인력 세부데이터'!"&amp;O$2&amp;$T69, TRUE)</f>
        <v>-3</v>
      </c>
      <c r="P68" s="1641" cm="1">
        <f t="array" aca="1" ref="P68" ca="1">INDIRECT("'※ 인력 세부데이터'!"&amp;P$1&amp;$T69, TRUE)</f>
        <v>-7</v>
      </c>
      <c r="Q68" s="1641" cm="1">
        <f t="array" aca="1" ref="Q68" ca="1">INDIRECT("'※ 인력 세부데이터'!"&amp;Q$1&amp;$T69, TRUE)</f>
        <v>8.3333333333333481E-2</v>
      </c>
      <c r="R68" s="1641" cm="1">
        <f t="array" aca="1" ref="R68" ca="1">INDIRECT("'※ 인력 세부데이터'!"&amp;R$1&amp;$T69, TRUE)</f>
        <v>-5</v>
      </c>
      <c r="S68" s="1641" cm="1">
        <f t="array" aca="1" ref="S68" ca="1">INDIRECT("'※ 인력 세부데이터'!"&amp;S$1&amp;$T69, TRUE)</f>
        <v>-11</v>
      </c>
      <c r="T68" s="1596">
        <f>ROW('※ 인력 세부데이터'!J64)</f>
        <v>64</v>
      </c>
      <c r="U68" s="698"/>
      <c r="V68" s="698"/>
    </row>
    <row r="69" spans="1:56" ht="21.9" customHeight="1" x14ac:dyDescent="0.55000000000000004">
      <c r="A69" s="7449" t="s">
        <v>1094</v>
      </c>
      <c r="B69" s="7452" t="s">
        <v>985</v>
      </c>
      <c r="C69" s="7453"/>
      <c r="D69" s="1642" cm="1">
        <f t="array" aca="1" ref="D69" ca="1">INDIRECT("'※ 인력 세부데이터'!"&amp;D$1&amp;$T70, TRUE)</f>
        <v>75.416666666666671</v>
      </c>
      <c r="E69" s="1643" cm="1">
        <f t="array" aca="1" ref="E69" ca="1">INDIRECT("'※ 인력 세부데이터'!"&amp;E$1&amp;$T70, TRUE)</f>
        <v>44.166666666666664</v>
      </c>
      <c r="F69" s="1644" cm="1">
        <f t="array" aca="1" ref="F69" ca="1">INDIRECT("'※ 인력 세부데이터'!"&amp;F$1&amp;$T70, TRUE)</f>
        <v>65</v>
      </c>
      <c r="G69" s="1645" cm="1">
        <f t="array" aca="1" ref="G69" ca="1">INDIRECT("'※ 인력 세부데이터'!"&amp;G$1&amp;$T70, TRUE)</f>
        <v>55</v>
      </c>
      <c r="H69" s="1645" cm="1">
        <f t="array" aca="1" ref="H69" ca="1">INDIRECT("'※ 인력 세부데이터'!"&amp;H$1&amp;$T70, TRUE)</f>
        <v>71</v>
      </c>
      <c r="I69" s="1645" cm="1">
        <f t="array" aca="1" ref="I69" ca="1">INDIRECT("'※ 인력 세부데이터'!"&amp;I$1&amp;$T70, TRUE)</f>
        <v>49</v>
      </c>
      <c r="J69" s="1645" cm="1">
        <f t="array" aca="1" ref="J69" ca="1">INDIRECT("'※ 인력 세부데이터'!"&amp;J$1&amp;$T70, TRUE)</f>
        <v>38</v>
      </c>
      <c r="K69" s="1645" cm="1">
        <f t="array" aca="1" ref="K69" ca="1">INDIRECT("'※ 인력 세부데이터'!"&amp;K$1&amp;$T70, TRUE)</f>
        <v>30</v>
      </c>
      <c r="L69" s="6418" cm="1">
        <f t="array" aca="1" ref="L69" ca="1">INDIRECT("'※ 인력 세부데이터'!"&amp;L$1&amp;$T70, TRUE)</f>
        <v>55</v>
      </c>
      <c r="M69" s="1645" cm="1">
        <f t="array" aca="1" ref="M69" ca="1">INDIRECT("'※ 인력 세부데이터'!"&amp;M$1&amp;$T70, TRUE)</f>
        <v>57</v>
      </c>
      <c r="N69" s="1645" cm="1">
        <f t="array" aca="1" ref="N69" ca="1">INDIRECT("'※ 인력 세부데이터'!"&amp;N$1&amp;$T70, TRUE)</f>
        <v>53</v>
      </c>
      <c r="O69" s="1644" cm="1">
        <f t="array" aca="1" ref="O69" ca="1">INDIRECT("'※ 인력 세부데이터'!"&amp;O$2&amp;$T70, TRUE)</f>
        <v>53</v>
      </c>
      <c r="P69" s="1645" cm="1">
        <f t="array" aca="1" ref="P69" ca="1">INDIRECT("'※ 인력 세부데이터'!"&amp;P$1&amp;$T70, TRUE)</f>
        <v>-2</v>
      </c>
      <c r="Q69" s="1645" cm="1">
        <f t="array" aca="1" ref="Q69" ca="1">INDIRECT("'※ 인력 세부데이터'!"&amp;Q$1&amp;$T70, TRUE)</f>
        <v>10.833333333333336</v>
      </c>
      <c r="R69" s="1645" cm="1">
        <f t="array" aca="1" ref="R69" ca="1">INDIRECT("'※ 인력 세부데이터'!"&amp;R$1&amp;$T70, TRUE)</f>
        <v>-10</v>
      </c>
      <c r="S69" s="1645" cm="1">
        <f t="array" aca="1" ref="S69" ca="1">INDIRECT("'※ 인력 세부데이터'!"&amp;S$1&amp;$T70, TRUE)</f>
        <v>-4</v>
      </c>
      <c r="T69" s="1596">
        <f>ROW('※ 인력 세부데이터'!J65)</f>
        <v>65</v>
      </c>
      <c r="U69" s="698"/>
      <c r="V69" s="698"/>
    </row>
    <row r="70" spans="1:56" ht="21.9" customHeight="1" x14ac:dyDescent="0.55000000000000004">
      <c r="A70" s="7444"/>
      <c r="B70" s="1646" t="s">
        <v>984</v>
      </c>
      <c r="C70" s="1647"/>
      <c r="D70" s="1648" cm="1">
        <f t="array" aca="1" ref="D70" ca="1">INDIRECT("'※ 인력 세부데이터'!"&amp;D$1&amp;$T71, TRUE)</f>
        <v>3.5839513638984209E-2</v>
      </c>
      <c r="E70" s="1649" cm="1">
        <f t="array" aca="1" ref="E70" ca="1">INDIRECT("'※ 인력 세부데이터'!"&amp;E$1&amp;$T71, TRUE)</f>
        <v>2.0099785918457503E-2</v>
      </c>
      <c r="F70" s="1650" cm="1">
        <f t="array" aca="1" ref="F70" ca="1">INDIRECT("'※ 인력 세부데이터'!"&amp;F$1&amp;$T71, TRUE)</f>
        <v>2.9318899413622011E-2</v>
      </c>
      <c r="G70" s="1651" cm="1">
        <f t="array" aca="1" ref="G70" ca="1">INDIRECT("'※ 인력 세부데이터'!"&amp;G$1&amp;$T71, TRUE)</f>
        <v>2.4853140533212834E-2</v>
      </c>
      <c r="H70" s="1651" cm="1">
        <f t="array" aca="1" ref="H70" ca="1">INDIRECT("'※ 인력 세부데이터'!"&amp;H$1&amp;$T71, TRUE)</f>
        <v>3.191011235955056E-2</v>
      </c>
      <c r="I70" s="1651" cm="1">
        <f t="array" aca="1" ref="I70" ca="1">INDIRECT("'※ 인력 세부데이터'!"&amp;I$1&amp;$T71, TRUE)</f>
        <v>2.1953405017921146E-2</v>
      </c>
      <c r="J70" s="1651" cm="1">
        <f t="array" aca="1" ref="J70" ca="1">INDIRECT("'※ 인력 세부데이터'!"&amp;J$1&amp;$T71, TRUE)</f>
        <v>1.7055655296229804E-2</v>
      </c>
      <c r="K70" s="1651" cm="1">
        <f t="array" aca="1" ref="K70" ca="1">INDIRECT("'※ 인력 세부데이터'!"&amp;K$1&amp;$T71, TRUE)</f>
        <v>1.3550135501355014E-2</v>
      </c>
      <c r="L70" s="6419" cm="1">
        <f t="array" aca="1" ref="L70" ca="1">INDIRECT("'※ 인력 세부데이터'!"&amp;L$1&amp;$T71, TRUE)</f>
        <v>2.5368583575715451E-2</v>
      </c>
      <c r="M70" s="1651" cm="1">
        <f t="array" aca="1" ref="M70" ca="1">INDIRECT("'※ 인력 세부데이터'!"&amp;M$1&amp;$T71, TRUE)</f>
        <v>2.6279391424619641E-2</v>
      </c>
      <c r="N70" s="1651" cm="1">
        <f t="array" aca="1" ref="N70" ca="1">INDIRECT("'※ 인력 세부데이터'!"&amp;N$1&amp;$T71, TRUE)</f>
        <v>2.4457775726811262E-2</v>
      </c>
      <c r="O70" s="1650" cm="1">
        <f t="array" aca="1" ref="O70" ca="1">INDIRECT("'※ 인력 세부데이터'!"&amp;O$2&amp;$T71, TRUE)</f>
        <v>2.4457775726811262E-2</v>
      </c>
      <c r="P70" s="1651" cm="1">
        <f t="array" aca="1" ref="P70" ca="1">INDIRECT("'※ 인력 세부데이터'!"&amp;P$1&amp;$T71, TRUE)</f>
        <v>-3.9536480640157273E-4</v>
      </c>
      <c r="Q70" s="1651" cm="1">
        <f t="array" aca="1" ref="Q70" ca="1">INDIRECT("'※ 인력 세부데이터'!"&amp;Q$1&amp;$T71, TRUE)</f>
        <v>5.2687976572579481E-3</v>
      </c>
      <c r="R70" s="1651" cm="1">
        <f t="array" aca="1" ref="R70" ca="1">INDIRECT("'※ 인력 세부데이터'!"&amp;R$1&amp;$T71, TRUE)</f>
        <v>-3.4348727954039426E-3</v>
      </c>
      <c r="S70" s="1651" cm="1">
        <f t="array" aca="1" ref="S70" ca="1">INDIRECT("'※ 인력 세부데이터'!"&amp;S$1&amp;$T71, TRUE)</f>
        <v>-1.8216156978083792E-3</v>
      </c>
      <c r="T70" s="1596">
        <f>ROW('※ 인력 세부데이터'!J66)</f>
        <v>66</v>
      </c>
      <c r="U70" s="698"/>
      <c r="V70" s="698"/>
    </row>
    <row r="71" spans="1:56" ht="21.9" customHeight="1" x14ac:dyDescent="0.55000000000000004">
      <c r="A71" s="7444"/>
      <c r="B71" s="1652" t="s">
        <v>973</v>
      </c>
      <c r="C71" s="1653"/>
      <c r="D71" s="1654" cm="1">
        <f t="array" aca="1" ref="D71" ca="1">INDIRECT("'※ 인력 세부데이터'!"&amp;D$1&amp;$T72, TRUE)</f>
        <v>1.4166666666666667</v>
      </c>
      <c r="E71" s="1655" cm="1">
        <f t="array" aca="1" ref="E71" ca="1">INDIRECT("'※ 인력 세부데이터'!"&amp;E$1&amp;$T72, TRUE)</f>
        <v>1.25</v>
      </c>
      <c r="F71" s="1656" cm="1">
        <f t="array" aca="1" ref="F71" ca="1">INDIRECT("'※ 인력 세부데이터'!"&amp;F$1&amp;$T72, TRUE)</f>
        <v>0</v>
      </c>
      <c r="G71" s="1657" cm="1">
        <f t="array" aca="1" ref="G71" ca="1">INDIRECT("'※ 인력 세부데이터'!"&amp;G$1&amp;$T72, TRUE)</f>
        <v>3</v>
      </c>
      <c r="H71" s="1657" cm="1">
        <f t="array" aca="1" ref="H71" ca="1">INDIRECT("'※ 인력 세부데이터'!"&amp;H$1&amp;$T72, TRUE)</f>
        <v>0</v>
      </c>
      <c r="I71" s="1657" cm="1">
        <f t="array" aca="1" ref="I71" ca="1">INDIRECT("'※ 인력 세부데이터'!"&amp;I$1&amp;$T72, TRUE)</f>
        <v>0</v>
      </c>
      <c r="J71" s="1657" cm="1">
        <f t="array" aca="1" ref="J71" ca="1">INDIRECT("'※ 인력 세부데이터'!"&amp;J$1&amp;$T72, TRUE)</f>
        <v>0</v>
      </c>
      <c r="K71" s="1657" cm="1">
        <f t="array" aca="1" ref="K71" ca="1">INDIRECT("'※ 인력 세부데이터'!"&amp;K$1&amp;$T72, TRUE)</f>
        <v>0</v>
      </c>
      <c r="L71" s="6420" cm="1">
        <f t="array" aca="1" ref="L71" ca="1">INDIRECT("'※ 인력 세부데이터'!"&amp;L$1&amp;$T72, TRUE)</f>
        <v>0</v>
      </c>
      <c r="M71" s="1657" cm="1">
        <f t="array" aca="1" ref="M71" ca="1">INDIRECT("'※ 인력 세부데이터'!"&amp;M$1&amp;$T72, TRUE)</f>
        <v>0</v>
      </c>
      <c r="N71" s="1657" cm="1">
        <f t="array" aca="1" ref="N71" ca="1">INDIRECT("'※ 인력 세부데이터'!"&amp;N$1&amp;$T72, TRUE)</f>
        <v>0</v>
      </c>
      <c r="O71" s="1656" cm="1">
        <f t="array" aca="1" ref="O71" ca="1">INDIRECT("'※ 인력 세부데이터'!"&amp;O$2&amp;$T72, TRUE)</f>
        <v>0</v>
      </c>
      <c r="P71" s="1657" cm="1">
        <f t="array" aca="1" ref="P71" ca="1">INDIRECT("'※ 인력 세부데이터'!"&amp;P$1&amp;$T72, TRUE)</f>
        <v>-3</v>
      </c>
      <c r="Q71" s="1657" cm="1">
        <f t="array" aca="1" ref="Q71" ca="1">INDIRECT("'※ 인력 세부데이터'!"&amp;Q$1&amp;$T72, TRUE)</f>
        <v>-1.25</v>
      </c>
      <c r="R71" s="1657" cm="1">
        <f t="array" aca="1" ref="R71" ca="1">INDIRECT("'※ 인력 세부데이터'!"&amp;R$1&amp;$T72, TRUE)</f>
        <v>-3</v>
      </c>
      <c r="S71" s="1657" cm="1">
        <f t="array" aca="1" ref="S71" ca="1">INDIRECT("'※ 인력 세부데이터'!"&amp;S$1&amp;$T72, TRUE)</f>
        <v>0</v>
      </c>
      <c r="T71" s="1596">
        <f>ROW('※ 인력 세부데이터'!J67)</f>
        <v>67</v>
      </c>
      <c r="U71" s="698"/>
      <c r="V71" s="698"/>
    </row>
    <row r="72" spans="1:56" ht="21.9" customHeight="1" x14ac:dyDescent="0.55000000000000004">
      <c r="A72" s="7444"/>
      <c r="B72" s="1658" t="s">
        <v>984</v>
      </c>
      <c r="C72" s="1659"/>
      <c r="D72" s="1660" cm="1">
        <f t="array" aca="1" ref="D72" ca="1">INDIRECT("'※ 인력 세부데이터'!"&amp;D$1&amp;$T73, TRUE)</f>
        <v>7.7486586777551839E-3</v>
      </c>
      <c r="E72" s="1661" cm="1">
        <f t="array" aca="1" ref="E72" ca="1">INDIRECT("'※ 인력 세부데이터'!"&amp;E$1&amp;$T73, TRUE)</f>
        <v>6.6435801728126449E-3</v>
      </c>
      <c r="F72" s="1662" cm="1">
        <f t="array" aca="1" ref="F72" ca="1">INDIRECT("'※ 인력 세부데이터'!"&amp;F$1&amp;$T73, TRUE)</f>
        <v>0</v>
      </c>
      <c r="G72" s="1663" cm="1">
        <f t="array" aca="1" ref="G72" ca="1">INDIRECT("'※ 인력 세부데이터'!"&amp;G$1&amp;$T73, TRUE)</f>
        <v>1.6393442622950821E-2</v>
      </c>
      <c r="H72" s="1663" cm="1">
        <f t="array" aca="1" ref="H72" ca="1">INDIRECT("'※ 인력 세부데이터'!"&amp;H$1&amp;$T73, TRUE)</f>
        <v>0</v>
      </c>
      <c r="I72" s="1663" cm="1">
        <f t="array" aca="1" ref="I72" ca="1">INDIRECT("'※ 인력 세부데이터'!"&amp;I$1&amp;$T73, TRUE)</f>
        <v>0</v>
      </c>
      <c r="J72" s="1663" cm="1">
        <f t="array" aca="1" ref="J72" ca="1">INDIRECT("'※ 인력 세부데이터'!"&amp;J$1&amp;$T73, TRUE)</f>
        <v>0</v>
      </c>
      <c r="K72" s="1663" cm="1">
        <f t="array" aca="1" ref="K72" ca="1">INDIRECT("'※ 인력 세부데이터'!"&amp;K$1&amp;$T73, TRUE)</f>
        <v>0</v>
      </c>
      <c r="L72" s="6421" cm="1">
        <f t="array" aca="1" ref="L72" ca="1">INDIRECT("'※ 인력 세부데이터'!"&amp;L$1&amp;$T73, TRUE)</f>
        <v>0</v>
      </c>
      <c r="M72" s="1663" cm="1">
        <f t="array" aca="1" ref="M72" ca="1">INDIRECT("'※ 인력 세부데이터'!"&amp;M$1&amp;$T73, TRUE)</f>
        <v>0</v>
      </c>
      <c r="N72" s="1663" cm="1">
        <f t="array" aca="1" ref="N72" ca="1">INDIRECT("'※ 인력 세부데이터'!"&amp;N$1&amp;$T73, TRUE)</f>
        <v>0</v>
      </c>
      <c r="O72" s="1662" cm="1">
        <f t="array" aca="1" ref="O72" ca="1">INDIRECT("'※ 인력 세부데이터'!"&amp;O$2&amp;$T73, TRUE)</f>
        <v>0</v>
      </c>
      <c r="P72" s="1663" cm="1">
        <f t="array" aca="1" ref="P72" ca="1">INDIRECT("'※ 인력 세부데이터'!"&amp;P$1&amp;$T73, TRUE)</f>
        <v>-1.6393442622950821E-2</v>
      </c>
      <c r="Q72" s="1663" cm="1">
        <f t="array" aca="1" ref="Q72" ca="1">INDIRECT("'※ 인력 세부데이터'!"&amp;Q$1&amp;$T73, TRUE)</f>
        <v>-6.6435801728126449E-3</v>
      </c>
      <c r="R72" s="1663" cm="1">
        <f t="array" aca="1" ref="R72" ca="1">INDIRECT("'※ 인력 세부데이터'!"&amp;R$1&amp;$T73, TRUE)</f>
        <v>-1.6393442622950821E-2</v>
      </c>
      <c r="S72" s="1663" cm="1">
        <f t="array" aca="1" ref="S72" ca="1">INDIRECT("'※ 인력 세부데이터'!"&amp;S$1&amp;$T73, TRUE)</f>
        <v>0</v>
      </c>
      <c r="T72" s="1596">
        <f>ROW('※ 인력 세부데이터'!J68)</f>
        <v>68</v>
      </c>
      <c r="U72" s="698"/>
      <c r="V72" s="698"/>
    </row>
    <row r="73" spans="1:56" ht="21.9" customHeight="1" x14ac:dyDescent="0.55000000000000004">
      <c r="A73" s="7444"/>
      <c r="B73" s="1652" t="s">
        <v>974</v>
      </c>
      <c r="C73" s="1653"/>
      <c r="D73" s="1654" cm="1">
        <f t="array" aca="1" ref="D73" ca="1">INDIRECT("'※ 인력 세부데이터'!"&amp;D$1&amp;$T74, TRUE)</f>
        <v>67.25</v>
      </c>
      <c r="E73" s="1655" cm="1">
        <f t="array" aca="1" ref="E73" ca="1">INDIRECT("'※ 인력 세부데이터'!"&amp;E$1&amp;$T74, TRUE)</f>
        <v>36.833333333333336</v>
      </c>
      <c r="F73" s="1656" cm="1">
        <f t="array" aca="1" ref="F73" ca="1">INDIRECT("'※ 인력 세부데이터'!"&amp;F$1&amp;$T74, TRUE)</f>
        <v>57</v>
      </c>
      <c r="G73" s="1657" cm="1">
        <f t="array" aca="1" ref="G73" ca="1">INDIRECT("'※ 인력 세부데이터'!"&amp;G$1&amp;$T74, TRUE)</f>
        <v>44</v>
      </c>
      <c r="H73" s="1657" cm="1">
        <f t="array" aca="1" ref="H73" ca="1">INDIRECT("'※ 인력 세부데이터'!"&amp;H$1&amp;$T74, TRUE)</f>
        <v>59</v>
      </c>
      <c r="I73" s="1657" cm="1">
        <f t="array" aca="1" ref="I73" ca="1">INDIRECT("'※ 인력 세부데이터'!"&amp;I$1&amp;$T74, TRUE)</f>
        <v>36</v>
      </c>
      <c r="J73" s="1657" cm="1">
        <f t="array" aca="1" ref="J73" ca="1">INDIRECT("'※ 인력 세부데이터'!"&amp;J$1&amp;$T74, TRUE)</f>
        <v>29</v>
      </c>
      <c r="K73" s="1657" cm="1">
        <f t="array" aca="1" ref="K73" ca="1">INDIRECT("'※ 인력 세부데이터'!"&amp;K$1&amp;$T74, TRUE)</f>
        <v>25</v>
      </c>
      <c r="L73" s="6420" cm="1">
        <f t="array" aca="1" ref="L73" ca="1">INDIRECT("'※ 인력 세부데이터'!"&amp;L$1&amp;$T74, TRUE)</f>
        <v>49</v>
      </c>
      <c r="M73" s="1657" cm="1">
        <f t="array" aca="1" ref="M73" ca="1">INDIRECT("'※ 인력 세부데이터'!"&amp;M$1&amp;$T74, TRUE)</f>
        <v>48</v>
      </c>
      <c r="N73" s="1657" cm="1">
        <f t="array" aca="1" ref="N73" ca="1">INDIRECT("'※ 인력 세부데이터'!"&amp;N$1&amp;$T74, TRUE)</f>
        <v>50</v>
      </c>
      <c r="O73" s="1656" cm="1">
        <f t="array" aca="1" ref="O73" ca="1">INDIRECT("'※ 인력 세부데이터'!"&amp;O$2&amp;$T74, TRUE)</f>
        <v>50</v>
      </c>
      <c r="P73" s="1657" cm="1">
        <f t="array" aca="1" ref="P73" ca="1">INDIRECT("'※ 인력 세부데이터'!"&amp;P$1&amp;$T74, TRUE)</f>
        <v>6</v>
      </c>
      <c r="Q73" s="1657" cm="1">
        <f t="array" aca="1" ref="Q73" ca="1">INDIRECT("'※ 인력 세부데이터'!"&amp;Q$1&amp;$T74, TRUE)</f>
        <v>12.166666666666664</v>
      </c>
      <c r="R73" s="1657" cm="1">
        <f t="array" aca="1" ref="R73" ca="1">INDIRECT("'※ 인력 세부데이터'!"&amp;R$1&amp;$T74, TRUE)</f>
        <v>-3</v>
      </c>
      <c r="S73" s="1657" cm="1">
        <f t="array" aca="1" ref="S73" ca="1">INDIRECT("'※ 인력 세부데이터'!"&amp;S$1&amp;$T74, TRUE)</f>
        <v>2</v>
      </c>
      <c r="T73" s="1596">
        <f>ROW('※ 인력 세부데이터'!J69)</f>
        <v>69</v>
      </c>
      <c r="U73" s="698"/>
      <c r="V73" s="698"/>
    </row>
    <row r="74" spans="1:56" ht="21.9" customHeight="1" x14ac:dyDescent="0.55000000000000004">
      <c r="A74" s="7444"/>
      <c r="B74" s="1658" t="s">
        <v>984</v>
      </c>
      <c r="C74" s="1659"/>
      <c r="D74" s="1660" cm="1">
        <f t="array" aca="1" ref="D74" ca="1">INDIRECT("'※ 인력 세부데이터'!"&amp;D$1&amp;$T75, TRUE)</f>
        <v>3.7116510016892736E-2</v>
      </c>
      <c r="E74" s="1661" cm="1">
        <f t="array" aca="1" ref="E74" ca="1">INDIRECT("'※ 인력 세부데이터'!"&amp;E$1&amp;$T75, TRUE)</f>
        <v>1.9675166816550255E-2</v>
      </c>
      <c r="F74" s="1662" cm="1">
        <f t="array" aca="1" ref="F74" ca="1">INDIRECT("'※ 인력 세부데이터'!"&amp;F$1&amp;$T75, TRUE)</f>
        <v>2.9765013054830286E-2</v>
      </c>
      <c r="G74" s="1663" cm="1">
        <f t="array" aca="1" ref="G74" ca="1">INDIRECT("'※ 인력 세부데이터'!"&amp;G$1&amp;$T75, TRUE)</f>
        <v>2.3109243697478993E-2</v>
      </c>
      <c r="H74" s="1663" cm="1">
        <f t="array" aca="1" ref="H74" ca="1">INDIRECT("'※ 인력 세부데이터'!"&amp;H$1&amp;$T75, TRUE)</f>
        <v>3.0873888016745159E-2</v>
      </c>
      <c r="I74" s="1663" cm="1">
        <f t="array" aca="1" ref="I74" ca="1">INDIRECT("'※ 인력 세부데이터'!"&amp;I$1&amp;$T75, TRUE)</f>
        <v>1.8867924528301886E-2</v>
      </c>
      <c r="J74" s="1663" cm="1">
        <f t="array" aca="1" ref="J74" ca="1">INDIRECT("'※ 인력 세부데이터'!"&amp;J$1&amp;$T75, TRUE)</f>
        <v>1.5255128879537085E-2</v>
      </c>
      <c r="K74" s="1663" cm="1">
        <f t="array" aca="1" ref="K74" ca="1">INDIRECT("'※ 인력 세부데이터'!"&amp;K$1&amp;$T75, TRUE)</f>
        <v>1.3255567338282079E-2</v>
      </c>
      <c r="L74" s="6421" cm="1">
        <f t="array" aca="1" ref="L74" ca="1">INDIRECT("'※ 인력 세부데이터'!"&amp;L$1&amp;$T75, TRUE)</f>
        <v>2.6739280107300173E-2</v>
      </c>
      <c r="M74" s="1663" cm="1">
        <f t="array" aca="1" ref="M74" ca="1">INDIRECT("'※ 인력 세부데이터'!"&amp;M$1&amp;$T75, TRUE)</f>
        <v>2.6200873362445413E-2</v>
      </c>
      <c r="N74" s="1663" cm="1">
        <f t="array" aca="1" ref="N74" ca="1">INDIRECT("'※ 인력 세부데이터'!"&amp;N$1&amp;$T75, TRUE)</f>
        <v>2.7277686852154936E-2</v>
      </c>
      <c r="O74" s="1662" cm="1">
        <f t="array" aca="1" ref="O74" ca="1">INDIRECT("'※ 인력 세부데이터'!"&amp;O$2&amp;$T75, TRUE)</f>
        <v>2.7277686852154936E-2</v>
      </c>
      <c r="P74" s="1663" cm="1">
        <f t="array" aca="1" ref="P74" ca="1">INDIRECT("'※ 인력 세부데이터'!"&amp;P$1&amp;$T75, TRUE)</f>
        <v>4.168443154675943E-3</v>
      </c>
      <c r="Q74" s="1663" cm="1">
        <f t="array" aca="1" ref="Q74" ca="1">INDIRECT("'※ 인력 세부데이터'!"&amp;Q$1&amp;$T75, TRUE)</f>
        <v>7.0641132907499175E-3</v>
      </c>
      <c r="R74" s="1663" cm="1">
        <f t="array" aca="1" ref="R74" ca="1">INDIRECT("'※ 인력 세부데이터'!"&amp;R$1&amp;$T75, TRUE)</f>
        <v>6.0430346229106702E-4</v>
      </c>
      <c r="S74" s="1663" cm="1">
        <f t="array" aca="1" ref="S74" ca="1">INDIRECT("'※ 인력 세부데이터'!"&amp;S$1&amp;$T75, TRUE)</f>
        <v>1.0768134897095223E-3</v>
      </c>
      <c r="T74" s="1596">
        <f>ROW('※ 인력 세부데이터'!J70)</f>
        <v>70</v>
      </c>
      <c r="U74" s="698"/>
      <c r="V74" s="698"/>
    </row>
    <row r="75" spans="1:56" ht="21.9" customHeight="1" x14ac:dyDescent="0.55000000000000004">
      <c r="A75" s="7444"/>
      <c r="B75" s="1652" t="s">
        <v>975</v>
      </c>
      <c r="C75" s="1653"/>
      <c r="D75" s="1654" cm="1">
        <f t="array" aca="1" ref="D75" ca="1">INDIRECT("'※ 인력 세부데이터'!"&amp;D$1&amp;$T76, TRUE)</f>
        <v>6.75</v>
      </c>
      <c r="E75" s="1655" cm="1">
        <f t="array" aca="1" ref="E75" ca="1">INDIRECT("'※ 인력 세부데이터'!"&amp;E$1&amp;$T76, TRUE)</f>
        <v>6.083333333333333</v>
      </c>
      <c r="F75" s="1656" cm="1">
        <f t="array" aca="1" ref="F75" ca="1">INDIRECT("'※ 인력 세부데이터'!"&amp;F$1&amp;$T76, TRUE)</f>
        <v>8</v>
      </c>
      <c r="G75" s="1657" cm="1">
        <f t="array" aca="1" ref="G75" ca="1">INDIRECT("'※ 인력 세부데이터'!"&amp;G$1&amp;$T76, TRUE)</f>
        <v>8</v>
      </c>
      <c r="H75" s="1657" cm="1">
        <f t="array" aca="1" ref="H75" ca="1">INDIRECT("'※ 인력 세부데이터'!"&amp;H$1&amp;$T76, TRUE)</f>
        <v>12</v>
      </c>
      <c r="I75" s="1657" cm="1">
        <f t="array" aca="1" ref="I75" ca="1">INDIRECT("'※ 인력 세부데이터'!"&amp;I$1&amp;$T76, TRUE)</f>
        <v>13</v>
      </c>
      <c r="J75" s="1657" cm="1">
        <f t="array" aca="1" ref="J75" ca="1">INDIRECT("'※ 인력 세부데이터'!"&amp;J$1&amp;$T76, TRUE)</f>
        <v>9</v>
      </c>
      <c r="K75" s="1657" cm="1">
        <f t="array" aca="1" ref="K75" ca="1">INDIRECT("'※ 인력 세부데이터'!"&amp;K$1&amp;$T76, TRUE)</f>
        <v>5</v>
      </c>
      <c r="L75" s="6420" cm="1">
        <f t="array" aca="1" ref="L75" ca="1">INDIRECT("'※ 인력 세부데이터'!"&amp;L$1&amp;$T76, TRUE)</f>
        <v>6</v>
      </c>
      <c r="M75" s="1657" cm="1">
        <f t="array" aca="1" ref="M75" ca="1">INDIRECT("'※ 인력 세부데이터'!"&amp;M$1&amp;$T76, TRUE)</f>
        <v>9</v>
      </c>
      <c r="N75" s="1657" cm="1">
        <f t="array" aca="1" ref="N75" ca="1">INDIRECT("'※ 인력 세부데이터'!"&amp;N$1&amp;$T76, TRUE)</f>
        <v>3</v>
      </c>
      <c r="O75" s="1656" cm="1">
        <f t="array" aca="1" ref="O75" ca="1">INDIRECT("'※ 인력 세부데이터'!"&amp;O$2&amp;$T76, TRUE)</f>
        <v>3</v>
      </c>
      <c r="P75" s="1657" cm="1">
        <f t="array" aca="1" ref="P75" ca="1">INDIRECT("'※ 인력 세부데이터'!"&amp;P$1&amp;$T76, TRUE)</f>
        <v>-5</v>
      </c>
      <c r="Q75" s="1657" cm="1">
        <f t="array" aca="1" ref="Q75" ca="1">INDIRECT("'※ 인력 세부데이터'!"&amp;Q$1&amp;$T76, TRUE)</f>
        <v>-8.3333333333333037E-2</v>
      </c>
      <c r="R75" s="1657" cm="1">
        <f t="array" aca="1" ref="R75" ca="1">INDIRECT("'※ 인력 세부데이터'!"&amp;R$1&amp;$T76, TRUE)</f>
        <v>-4</v>
      </c>
      <c r="S75" s="1657" cm="1">
        <f t="array" aca="1" ref="S75" ca="1">INDIRECT("'※ 인력 세부데이터'!"&amp;S$1&amp;$T76, TRUE)</f>
        <v>-6</v>
      </c>
      <c r="T75" s="1596">
        <f>ROW('※ 인력 세부데이터'!J71)</f>
        <v>71</v>
      </c>
      <c r="U75" s="698"/>
      <c r="V75" s="698"/>
    </row>
    <row r="76" spans="1:56" ht="21.9" customHeight="1" x14ac:dyDescent="0.55000000000000004">
      <c r="A76" s="7444"/>
      <c r="B76" s="1664" t="s">
        <v>983</v>
      </c>
      <c r="C76" s="1653"/>
      <c r="D76" s="1665" cm="1">
        <f t="array" aca="1" ref="D76" ca="1">INDIRECT("'※ 인력 세부데이터'!"&amp;D$1&amp;$T77, TRUE)</f>
        <v>6.095533165109366E-2</v>
      </c>
      <c r="E76" s="1666" cm="1">
        <f t="array" aca="1" ref="E76" ca="1">INDIRECT("'※ 인력 세부데이터'!"&amp;E$1&amp;$T77, TRUE)</f>
        <v>4.3923699723359765E-2</v>
      </c>
      <c r="F76" s="1667" cm="1">
        <f t="array" aca="1" ref="F76" ca="1">INDIRECT("'※ 인력 세부데이터'!"&amp;F$1&amp;$T77, TRUE)</f>
        <v>6.5573770491803282E-2</v>
      </c>
      <c r="G76" s="1668" cm="1">
        <f t="array" aca="1" ref="G76" ca="1">INDIRECT("'※ 인력 세부데이터'!"&amp;G$1&amp;$T77, TRUE)</f>
        <v>6.3492063492063489E-2</v>
      </c>
      <c r="H76" s="1668" cm="1">
        <f t="array" aca="1" ref="H76" ca="1">INDIRECT("'※ 인력 세부데이터'!"&amp;H$1&amp;$T77, TRUE)</f>
        <v>9.0225563909774431E-2</v>
      </c>
      <c r="I76" s="1668" cm="1">
        <f t="array" aca="1" ref="I76" ca="1">INDIRECT("'※ 인력 세부데이터'!"&amp;I$1&amp;$T77, TRUE)</f>
        <v>9.0909090909090912E-2</v>
      </c>
      <c r="J76" s="1668" cm="1">
        <f t="array" aca="1" ref="J76" ca="1">INDIRECT("'※ 인력 세부데이터'!"&amp;J$1&amp;$T77, TRUE)</f>
        <v>6.1643835616438353E-2</v>
      </c>
      <c r="K76" s="1668" cm="1">
        <f t="array" aca="1" ref="K76" ca="1">INDIRECT("'※ 인력 세부데이터'!"&amp;K$1&amp;$T77, TRUE)</f>
        <v>3.4013605442176874E-2</v>
      </c>
      <c r="L76" s="6422" cm="1">
        <f t="array" aca="1" ref="L76" ca="1">INDIRECT("'※ 인력 세부데이터'!"&amp;L$1&amp;$T77, TRUE)</f>
        <v>3.9411764705882354E-2</v>
      </c>
      <c r="M76" s="1668" cm="1">
        <f t="array" aca="1" ref="M76" ca="1">INDIRECT("'※ 인력 세부데이터'!"&amp;M$1&amp;$T77, TRUE)</f>
        <v>5.8823529411764705E-2</v>
      </c>
      <c r="N76" s="1668" cm="1">
        <f t="array" aca="1" ref="N76" ca="1">INDIRECT("'※ 인력 세부데이터'!"&amp;N$1&amp;$T77, TRUE)</f>
        <v>0.02</v>
      </c>
      <c r="O76" s="1667" cm="1">
        <f t="array" aca="1" ref="O76" ca="1">INDIRECT("'※ 인력 세부데이터'!"&amp;O$2&amp;$T77, TRUE)</f>
        <v>0.02</v>
      </c>
      <c r="P76" s="1668" cm="1">
        <f t="array" aca="1" ref="P76" ca="1">INDIRECT("'※ 인력 세부데이터'!"&amp;P$1&amp;$T77, TRUE)</f>
        <v>-4.3492063492063485E-2</v>
      </c>
      <c r="Q76" s="1668" cm="1">
        <f t="array" aca="1" ref="Q76" ca="1">INDIRECT("'※ 인력 세부데이터'!"&amp;Q$1&amp;$T77, TRUE)</f>
        <v>-4.51193501747741E-3</v>
      </c>
      <c r="R76" s="1668" cm="1">
        <f t="array" aca="1" ref="R76" ca="1">INDIRECT("'※ 인력 세부데이터'!"&amp;R$1&amp;$T77, TRUE)</f>
        <v>-5.0242304572102076E-2</v>
      </c>
      <c r="S76" s="1668" cm="1">
        <f t="array" aca="1" ref="S76" ca="1">INDIRECT("'※ 인력 세부데이터'!"&amp;S$1&amp;$T77, TRUE)</f>
        <v>-3.8823529411764701E-2</v>
      </c>
      <c r="T76" s="1596">
        <f>ROW('※ 인력 세부데이터'!J72)</f>
        <v>72</v>
      </c>
      <c r="U76" s="698"/>
      <c r="V76" s="698"/>
    </row>
    <row r="77" spans="1:56" ht="21.9" customHeight="1" x14ac:dyDescent="0.55000000000000004">
      <c r="A77" s="7449" t="s">
        <v>1095</v>
      </c>
      <c r="B77" s="7452" t="s">
        <v>986</v>
      </c>
      <c r="C77" s="7453"/>
      <c r="D77" s="1642" cm="1">
        <f t="array" aca="1" ref="D77" ca="1">INDIRECT("'※ 인력 세부데이터'!"&amp;D$1&amp;$T78, TRUE)</f>
        <v>63.166666666666664</v>
      </c>
      <c r="E77" s="1643" cm="1">
        <f t="array" aca="1" ref="E77" ca="1">INDIRECT("'※ 인력 세부데이터'!"&amp;E$1&amp;$T78, TRUE)</f>
        <v>46.416666666666664</v>
      </c>
      <c r="F77" s="1644" cm="1">
        <f t="array" aca="1" ref="F77" ca="1">INDIRECT("'※ 인력 세부데이터'!"&amp;F$1&amp;$T78, TRUE)</f>
        <v>34</v>
      </c>
      <c r="G77" s="1645" cm="1">
        <f t="array" aca="1" ref="G77" ca="1">INDIRECT("'※ 인력 세부데이터'!"&amp;G$1&amp;$T78, TRUE)</f>
        <v>59</v>
      </c>
      <c r="H77" s="1645" cm="1">
        <f t="array" aca="1" ref="H77" ca="1">INDIRECT("'※ 인력 세부데이터'!"&amp;H$1&amp;$T78, TRUE)</f>
        <v>59</v>
      </c>
      <c r="I77" s="1645" cm="1">
        <f t="array" aca="1" ref="I77" ca="1">INDIRECT("'※ 인력 세부데이터'!"&amp;I$1&amp;$T78, TRUE)</f>
        <v>42</v>
      </c>
      <c r="J77" s="1645" cm="1">
        <f t="array" aca="1" ref="J77" ca="1">INDIRECT("'※ 인력 세부데이터'!"&amp;J$1&amp;$T78, TRUE)</f>
        <v>42</v>
      </c>
      <c r="K77" s="1645" cm="1">
        <f t="array" aca="1" ref="K77" ca="1">INDIRECT("'※ 인력 세부데이터'!"&amp;K$1&amp;$T78, TRUE)</f>
        <v>44</v>
      </c>
      <c r="L77" s="6418" cm="1">
        <f t="array" aca="1" ref="L77" ca="1">INDIRECT("'※ 인력 세부데이터'!"&amp;L$1&amp;$T78, TRUE)</f>
        <v>51.5</v>
      </c>
      <c r="M77" s="1645" cm="1">
        <f t="array" aca="1" ref="M77" ca="1">INDIRECT("'※ 인력 세부데이터'!"&amp;M$1&amp;$T78, TRUE)</f>
        <v>47</v>
      </c>
      <c r="N77" s="1645" cm="1">
        <f t="array" aca="1" ref="N77" ca="1">INDIRECT("'※ 인력 세부데이터'!"&amp;N$1&amp;$T78, TRUE)</f>
        <v>56</v>
      </c>
      <c r="O77" s="1644" cm="1">
        <f t="array" aca="1" ref="O77" ca="1">INDIRECT("'※ 인력 세부데이터'!"&amp;O$2&amp;$T78, TRUE)</f>
        <v>56</v>
      </c>
      <c r="P77" s="1645" cm="1">
        <f t="array" aca="1" ref="P77" ca="1">INDIRECT("'※ 인력 세부데이터'!"&amp;P$1&amp;$T78, TRUE)</f>
        <v>-3</v>
      </c>
      <c r="Q77" s="1645" cm="1">
        <f t="array" aca="1" ref="Q77" ca="1">INDIRECT("'※ 인력 세부데이터'!"&amp;Q$1&amp;$T78, TRUE)</f>
        <v>5.0833333333333357</v>
      </c>
      <c r="R77" s="1645" cm="1">
        <f t="array" aca="1" ref="R77" ca="1">INDIRECT("'※ 인력 세부데이터'!"&amp;R$1&amp;$T78, TRUE)</f>
        <v>10</v>
      </c>
      <c r="S77" s="1645" cm="1">
        <f t="array" aca="1" ref="S77" ca="1">INDIRECT("'※ 인력 세부데이터'!"&amp;S$1&amp;$T78, TRUE)</f>
        <v>9</v>
      </c>
      <c r="T77" s="1596">
        <f>ROW('※ 인력 세부데이터'!J73)</f>
        <v>73</v>
      </c>
      <c r="U77" s="681"/>
      <c r="V77" s="681"/>
      <c r="W77" s="594"/>
      <c r="X77" s="594"/>
      <c r="Y77" s="594"/>
      <c r="Z77" s="594"/>
      <c r="AA77" s="594"/>
      <c r="AB77" s="594"/>
      <c r="AC77" s="594"/>
      <c r="AD77" s="594"/>
      <c r="AE77" s="594"/>
      <c r="AF77" s="594"/>
      <c r="AG77" s="594"/>
      <c r="AH77" s="594"/>
      <c r="AI77" s="594"/>
      <c r="AJ77" s="594"/>
      <c r="AK77" s="594"/>
      <c r="AL77" s="594"/>
      <c r="AM77" s="594"/>
      <c r="AN77" s="594"/>
      <c r="AO77" s="594"/>
      <c r="AP77" s="594"/>
      <c r="AQ77" s="594"/>
      <c r="AR77" s="594"/>
      <c r="AS77" s="594"/>
      <c r="AT77" s="594"/>
      <c r="AU77" s="594"/>
      <c r="AV77" s="594"/>
      <c r="AW77" s="594"/>
      <c r="AX77" s="594"/>
      <c r="AY77" s="594"/>
      <c r="AZ77" s="594"/>
      <c r="BA77" s="594"/>
      <c r="BB77" s="594"/>
      <c r="BC77" s="594"/>
      <c r="BD77" s="594"/>
    </row>
    <row r="78" spans="1:56" ht="21.9" customHeight="1" x14ac:dyDescent="0.55000000000000004">
      <c r="A78" s="7444"/>
      <c r="B78" s="1669" t="s">
        <v>987</v>
      </c>
      <c r="C78" s="1670"/>
      <c r="D78" s="1671" cm="1">
        <f t="array" aca="1" ref="D78" ca="1">INDIRECT("'※ 인력 세부데이터'!"&amp;D$1&amp;$T79, TRUE)</f>
        <v>2.9179864983906154E-2</v>
      </c>
      <c r="E78" s="1672" cm="1">
        <f t="array" aca="1" ref="E78" ca="1">INDIRECT("'※ 인력 세부데이터'!"&amp;E$1&amp;$T79, TRUE)</f>
        <v>2.0705916339505772E-2</v>
      </c>
      <c r="F78" s="1673" cm="1">
        <f t="array" aca="1" ref="F78" ca="1">INDIRECT("'※ 인력 세부데이터'!"&amp;F$1&amp;$T79, TRUE)</f>
        <v>1.5104398045313194E-2</v>
      </c>
      <c r="G78" s="1674" cm="1">
        <f t="array" aca="1" ref="G78" ca="1">INDIRECT("'※ 인력 세부데이터'!"&amp;G$1&amp;$T79, TRUE)</f>
        <v>2.596830985915493E-2</v>
      </c>
      <c r="H78" s="1674" cm="1">
        <f t="array" aca="1" ref="H78" ca="1">INDIRECT("'※ 인력 세부데이터'!"&amp;H$1&amp;$T79, TRUE)</f>
        <v>2.583187390542907E-2</v>
      </c>
      <c r="I78" s="1674" cm="1">
        <f t="array" aca="1" ref="I78" ca="1">INDIRECT("'※ 인력 세부데이터'!"&amp;I$1&amp;$T79, TRUE)</f>
        <v>1.8469656992084433E-2</v>
      </c>
      <c r="J78" s="1674" cm="1">
        <f t="array" aca="1" ref="J78" ca="1">INDIRECT("'※ 인력 세부데이터'!"&amp;J$1&amp;$T79, TRUE)</f>
        <v>1.8502202643171806E-2</v>
      </c>
      <c r="K78" s="1674" cm="1">
        <f t="array" aca="1" ref="K78" ca="1">INDIRECT("'※ 인력 세부데이터'!"&amp;K$1&amp;$T79, TRUE)</f>
        <v>1.9486271036315322E-2</v>
      </c>
      <c r="L78" s="6423" cm="1">
        <f t="array" aca="1" ref="L78" ca="1">INDIRECT("'※ 인력 세부데이터'!"&amp;L$1&amp;$T79, TRUE)</f>
        <v>2.3200284683754187E-2</v>
      </c>
      <c r="M78" s="1674" cm="1">
        <f t="array" aca="1" ref="M78" ca="1">INDIRECT("'※ 인력 세부데이터'!"&amp;M$1&amp;$T79, TRUE)</f>
        <v>2.1209386281588447E-2</v>
      </c>
      <c r="N78" s="1674" cm="1">
        <f t="array" aca="1" ref="N78" ca="1">INDIRECT("'※ 인력 세부데이터'!"&amp;N$1&amp;$T79, TRUE)</f>
        <v>2.5191183085919926E-2</v>
      </c>
      <c r="O78" s="1673" cm="1">
        <f t="array" aca="1" ref="O78" ca="1">INDIRECT("'※ 인력 세부데이터'!"&amp;O$2&amp;$T79, TRUE)</f>
        <v>2.5191183085919926E-2</v>
      </c>
      <c r="P78" s="1674" cm="1">
        <f t="array" aca="1" ref="P78" ca="1">INDIRECT("'※ 인력 세부데이터'!"&amp;P$1&amp;$T79, TRUE)</f>
        <v>-7.7712677323500332E-4</v>
      </c>
      <c r="Q78" s="1674" cm="1">
        <f t="array" aca="1" ref="Q78" ca="1">INDIRECT("'※ 인력 세부데이터'!"&amp;Q$1&amp;$T79, TRUE)</f>
        <v>2.4943683442484148E-3</v>
      </c>
      <c r="R78" s="1674" cm="1">
        <f t="array" aca="1" ref="R78" ca="1">INDIRECT("'※ 인력 세부데이터'!"&amp;R$1&amp;$T79, TRUE)</f>
        <v>5.3278614630402482E-3</v>
      </c>
      <c r="S78" s="1674" cm="1">
        <f t="array" aca="1" ref="S78" ca="1">INDIRECT("'※ 인력 세부데이터'!"&amp;S$1&amp;$T79, TRUE)</f>
        <v>3.9817968043314791E-3</v>
      </c>
      <c r="T78" s="1596">
        <f>ROW('※ 인력 세부데이터'!J74)</f>
        <v>74</v>
      </c>
      <c r="U78" s="681"/>
      <c r="V78" s="681"/>
      <c r="W78" s="594"/>
      <c r="X78" s="594"/>
      <c r="Y78" s="594"/>
      <c r="Z78" s="594"/>
      <c r="AA78" s="594"/>
      <c r="AB78" s="594"/>
      <c r="AC78" s="594"/>
      <c r="AD78" s="594"/>
      <c r="AE78" s="594"/>
      <c r="AF78" s="594"/>
      <c r="AG78" s="594"/>
      <c r="AH78" s="594"/>
      <c r="AI78" s="594"/>
      <c r="AJ78" s="594"/>
      <c r="AK78" s="594"/>
      <c r="AL78" s="594"/>
      <c r="AM78" s="594"/>
      <c r="AN78" s="594"/>
      <c r="AO78" s="594"/>
      <c r="AP78" s="594"/>
      <c r="AQ78" s="594"/>
      <c r="AR78" s="594"/>
      <c r="AS78" s="594"/>
      <c r="AT78" s="594"/>
      <c r="AU78" s="594"/>
      <c r="AV78" s="594"/>
      <c r="AW78" s="594"/>
      <c r="AX78" s="594"/>
      <c r="AY78" s="594"/>
      <c r="AZ78" s="594"/>
      <c r="BA78" s="594"/>
      <c r="BB78" s="594"/>
      <c r="BC78" s="594"/>
      <c r="BD78" s="594"/>
    </row>
    <row r="79" spans="1:56" ht="21.9" customHeight="1" x14ac:dyDescent="0.55000000000000004">
      <c r="A79" s="7444"/>
      <c r="B79" s="1675"/>
      <c r="C79" s="1676" t="s">
        <v>982</v>
      </c>
      <c r="D79" s="1677"/>
      <c r="E79" s="1678"/>
      <c r="F79" s="1679" cm="1">
        <f t="array" aca="1" ref="F79" ca="1">INDIRECT("'※ 인력 세부데이터'!"&amp;F$1&amp;$T80, TRUE)</f>
        <v>17</v>
      </c>
      <c r="G79" s="1680" cm="1">
        <f t="array" aca="1" ref="G79" ca="1">INDIRECT("'※ 인력 세부데이터'!"&amp;G$1&amp;$T80, TRUE)</f>
        <v>26</v>
      </c>
      <c r="H79" s="1681" cm="1">
        <f t="array" aca="1" ref="H79" ca="1">INDIRECT("'※ 인력 세부데이터'!"&amp;H$1&amp;$T80, TRUE)</f>
        <v>16</v>
      </c>
      <c r="I79" s="1680" cm="1">
        <f t="array" aca="1" ref="I79" ca="1">INDIRECT("'※ 인력 세부데이터'!"&amp;I$1&amp;$T80, TRUE)</f>
        <v>9</v>
      </c>
      <c r="J79" s="1681" cm="1">
        <f t="array" aca="1" ref="J79" ca="1">INDIRECT("'※ 인력 세부데이터'!"&amp;J$1&amp;$T80, TRUE)</f>
        <v>15</v>
      </c>
      <c r="K79" s="1681" cm="1">
        <f t="array" aca="1" ref="K79" ca="1">INDIRECT("'※ 인력 세부데이터'!"&amp;K$1&amp;$T80, TRUE)</f>
        <v>9</v>
      </c>
      <c r="L79" s="6424"/>
      <c r="M79" s="1681" cm="1">
        <f t="array" aca="1" ref="M79" ca="1">INDIRECT("'※ 인력 세부데이터'!"&amp;M$1&amp;$T80, TRUE)</f>
        <v>13</v>
      </c>
      <c r="N79" s="1681" cm="1">
        <f t="array" aca="1" ref="N79" ca="1">INDIRECT("'※ 인력 세부데이터'!"&amp;N$1&amp;$T80, TRUE)</f>
        <v>21</v>
      </c>
      <c r="O79" s="1679" cm="1">
        <f t="array" aca="1" ref="O79" ca="1">INDIRECT("'※ 인력 세부데이터'!"&amp;O$2&amp;$T80, TRUE)</f>
        <v>21</v>
      </c>
      <c r="P79" s="1681" cm="1">
        <f t="array" aca="1" ref="P79" ca="1">INDIRECT("'※ 인력 세부데이터'!"&amp;P$1&amp;$T80, TRUE)</f>
        <v>-5</v>
      </c>
      <c r="Q79" s="1681" cm="1">
        <f t="array" aca="1" ref="Q79" ca="1">INDIRECT("'※ 인력 세부데이터'!"&amp;Q$1&amp;$T80, TRUE)</f>
        <v>3.9166666666666661</v>
      </c>
      <c r="R79" s="1681" cm="1">
        <f t="array" aca="1" ref="R79" ca="1">INDIRECT("'※ 인력 세부데이터'!"&amp;R$1&amp;$T80, TRUE)</f>
        <v>-9</v>
      </c>
      <c r="S79" s="1681" cm="1">
        <f t="array" aca="1" ref="S79" ca="1">INDIRECT("'※ 인력 세부데이터'!"&amp;S$1&amp;$T80, TRUE)</f>
        <v>8</v>
      </c>
      <c r="T79" s="1596">
        <f>ROW('※ 인력 세부데이터'!J75)</f>
        <v>75</v>
      </c>
      <c r="U79" s="681"/>
      <c r="V79" s="681"/>
      <c r="W79" s="594"/>
      <c r="X79" s="594"/>
      <c r="Y79" s="594"/>
      <c r="Z79" s="594"/>
      <c r="AA79" s="594"/>
      <c r="AB79" s="594"/>
      <c r="AC79" s="594"/>
      <c r="AD79" s="594"/>
      <c r="AE79" s="594"/>
      <c r="AF79" s="594"/>
      <c r="AG79" s="594"/>
      <c r="AH79" s="594"/>
      <c r="AI79" s="594"/>
      <c r="AJ79" s="594"/>
      <c r="AK79" s="594"/>
      <c r="AL79" s="594"/>
      <c r="AM79" s="594"/>
      <c r="AN79" s="594"/>
      <c r="AO79" s="594"/>
      <c r="AP79" s="594"/>
      <c r="AQ79" s="594"/>
      <c r="AR79" s="594"/>
      <c r="AS79" s="594"/>
      <c r="AT79" s="594"/>
      <c r="AU79" s="594"/>
      <c r="AV79" s="594"/>
      <c r="AW79" s="594"/>
      <c r="AX79" s="594"/>
      <c r="AY79" s="594"/>
      <c r="AZ79" s="594"/>
      <c r="BA79" s="594"/>
      <c r="BB79" s="594"/>
      <c r="BC79" s="594"/>
      <c r="BD79" s="594"/>
    </row>
    <row r="80" spans="1:56" ht="21.9" customHeight="1" x14ac:dyDescent="0.55000000000000004">
      <c r="A80" s="7444"/>
      <c r="B80" s="1682"/>
      <c r="C80" s="1683" t="s">
        <v>990</v>
      </c>
      <c r="D80" s="1684"/>
      <c r="E80" s="1685"/>
      <c r="F80" s="1686" cm="1">
        <f t="array" aca="1" ref="F80" ca="1">INDIRECT("'※ 인력 세부데이터'!"&amp;F$1&amp;$T81, TRUE)</f>
        <v>0.5</v>
      </c>
      <c r="G80" s="1687" cm="1">
        <f t="array" aca="1" ref="G80" ca="1">INDIRECT("'※ 인력 세부데이터'!"&amp;G$1&amp;$T81, TRUE)</f>
        <v>0.44067796610169491</v>
      </c>
      <c r="H80" s="1687" cm="1">
        <f t="array" aca="1" ref="H80" ca="1">INDIRECT("'※ 인력 세부데이터'!"&amp;H$1&amp;$T81, TRUE)</f>
        <v>0.29090909090909089</v>
      </c>
      <c r="I80" s="1687" cm="1">
        <f t="array" aca="1" ref="I80" ca="1">INDIRECT("'※ 인력 세부데이터'!"&amp;I$1&amp;$T81, TRUE)</f>
        <v>0.21428571428571427</v>
      </c>
      <c r="J80" s="1687" cm="1">
        <f t="array" aca="1" ref="J80" ca="1">INDIRECT("'※ 인력 세부데이터'!"&amp;J$1&amp;$T81, TRUE)</f>
        <v>0.35714285714285715</v>
      </c>
      <c r="K80" s="1687" cm="1">
        <f t="array" aca="1" ref="K80" ca="1">INDIRECT("'※ 인력 세부데이터'!"&amp;K$1&amp;$T81, TRUE)</f>
        <v>0.20454545454545456</v>
      </c>
      <c r="L80" s="6425"/>
      <c r="M80" s="1687" cm="1">
        <f t="array" aca="1" ref="M80" ca="1">INDIRECT("'※ 인력 세부데이터'!"&amp;M$1&amp;$T81, TRUE)</f>
        <v>0.28888888888888886</v>
      </c>
      <c r="N80" s="1687" cm="1">
        <f t="array" aca="1" ref="N80" ca="1">INDIRECT("'※ 인력 세부데이터'!"&amp;N$1&amp;$T81, TRUE)</f>
        <v>0.38181818181818183</v>
      </c>
      <c r="O80" s="1686" cm="1">
        <f t="array" aca="1" ref="O80" ca="1">INDIRECT("'※ 인력 세부데이터'!"&amp;O$2&amp;$T81, TRUE)</f>
        <v>0.38181818181818183</v>
      </c>
      <c r="P80" s="1687" cm="1">
        <f t="array" aca="1" ref="P80" ca="1">INDIRECT("'※ 인력 세부데이터'!"&amp;P$1&amp;$T81, TRUE)</f>
        <v>-5.8859784283513072E-2</v>
      </c>
      <c r="Q80" s="1687" cm="1">
        <f t="array" aca="1" ref="Q80" ca="1">INDIRECT("'※ 인력 세부데이터'!"&amp;Q$1&amp;$T81, TRUE)</f>
        <v>3.6113092441076577E-2</v>
      </c>
      <c r="R80" s="1687" cm="1">
        <f t="array" aca="1" ref="R80" ca="1">INDIRECT("'※ 인력 세부데이터'!"&amp;R$1&amp;$T81, TRUE)</f>
        <v>-0.26997089539462416</v>
      </c>
      <c r="S80" s="1687" cm="1">
        <f t="array" aca="1" ref="S80" ca="1">INDIRECT("'※ 인력 세부데이터'!"&amp;S$1&amp;$T81, TRUE)</f>
        <v>9.2929292929292973E-2</v>
      </c>
      <c r="T80" s="1596">
        <f>ROW('※ 인력 세부데이터'!J76)</f>
        <v>76</v>
      </c>
      <c r="U80" s="681"/>
      <c r="V80" s="681"/>
      <c r="W80" s="594"/>
      <c r="X80" s="594"/>
      <c r="Y80" s="594"/>
      <c r="Z80" s="594"/>
      <c r="AA80" s="594"/>
      <c r="AB80" s="594"/>
      <c r="AC80" s="594"/>
      <c r="AD80" s="594"/>
      <c r="AE80" s="594"/>
      <c r="AF80" s="594"/>
      <c r="AG80" s="594"/>
      <c r="AH80" s="594"/>
      <c r="AI80" s="594"/>
      <c r="AJ80" s="594"/>
      <c r="AK80" s="594"/>
      <c r="AL80" s="594"/>
      <c r="AM80" s="594"/>
      <c r="AN80" s="594"/>
      <c r="AO80" s="594"/>
      <c r="AP80" s="594"/>
      <c r="AQ80" s="594"/>
      <c r="AR80" s="594"/>
      <c r="AS80" s="594"/>
      <c r="AT80" s="594"/>
      <c r="AU80" s="594"/>
      <c r="AV80" s="594"/>
      <c r="AW80" s="594"/>
      <c r="AX80" s="594"/>
      <c r="AY80" s="594"/>
      <c r="AZ80" s="594"/>
      <c r="BA80" s="594"/>
      <c r="BB80" s="594"/>
      <c r="BC80" s="594"/>
      <c r="BD80" s="594"/>
    </row>
    <row r="81" spans="1:56" ht="21.9" customHeight="1" x14ac:dyDescent="0.55000000000000004">
      <c r="A81" s="7444"/>
      <c r="B81" s="1688" t="s">
        <v>973</v>
      </c>
      <c r="C81" s="1689"/>
      <c r="D81" s="1690" cm="1">
        <f t="array" aca="1" ref="D81" ca="1">INDIRECT("'※ 인력 세부데이터'!"&amp;D$1&amp;$T82, TRUE)</f>
        <v>1.0833333333333333</v>
      </c>
      <c r="E81" s="1691" cm="1">
        <f t="array" aca="1" ref="E81" ca="1">INDIRECT("'※ 인력 세부데이터'!"&amp;E$1&amp;$T82, TRUE)</f>
        <v>0.91666666666666663</v>
      </c>
      <c r="F81" s="1692" cm="1">
        <f t="array" aca="1" ref="F81" ca="1">INDIRECT("'※ 인력 세부데이터'!"&amp;F$1&amp;$T82, TRUE)</f>
        <v>0</v>
      </c>
      <c r="G81" s="1693" cm="1">
        <f t="array" aca="1" ref="G81" ca="1">INDIRECT("'※ 인력 세부데이터'!"&amp;G$1&amp;$T82, TRUE)</f>
        <v>0</v>
      </c>
      <c r="H81" s="1693" cm="1">
        <f t="array" aca="1" ref="H81" ca="1">INDIRECT("'※ 인력 세부데이터'!"&amp;H$1&amp;$T82, TRUE)</f>
        <v>2</v>
      </c>
      <c r="I81" s="1693" cm="1">
        <f t="array" aca="1" ref="I81" ca="1">INDIRECT("'※ 인력 세부데이터'!"&amp;I$1&amp;$T82, TRUE)</f>
        <v>0</v>
      </c>
      <c r="J81" s="1693" cm="1">
        <f t="array" aca="1" ref="J81" ca="1">INDIRECT("'※ 인력 세부데이터'!"&amp;J$1&amp;$T82, TRUE)</f>
        <v>0</v>
      </c>
      <c r="K81" s="1693" cm="1">
        <f t="array" aca="1" ref="K81" ca="1">INDIRECT("'※ 인력 세부데이터'!"&amp;K$1&amp;$T82, TRUE)</f>
        <v>0</v>
      </c>
      <c r="L81" s="6426" cm="1">
        <f t="array" aca="1" ref="L81" ca="1">INDIRECT("'※ 인력 세부데이터'!"&amp;L$1&amp;$T82, TRUE)</f>
        <v>0.5</v>
      </c>
      <c r="M81" s="1693" cm="1">
        <f t="array" aca="1" ref="M81" ca="1">INDIRECT("'※ 인력 세부데이터'!"&amp;M$1&amp;$T82, TRUE)</f>
        <v>0</v>
      </c>
      <c r="N81" s="1693" cm="1">
        <f t="array" aca="1" ref="N81" ca="1">INDIRECT("'※ 인력 세부데이터'!"&amp;N$1&amp;$T82, TRUE)</f>
        <v>1</v>
      </c>
      <c r="O81" s="1692" cm="1">
        <f t="array" aca="1" ref="O81" ca="1">INDIRECT("'※ 인력 세부데이터'!"&amp;O$2&amp;$T82, TRUE)</f>
        <v>1</v>
      </c>
      <c r="P81" s="1693" cm="1">
        <f t="array" aca="1" ref="P81" ca="1">INDIRECT("'※ 인력 세부데이터'!"&amp;P$1&amp;$T82, TRUE)</f>
        <v>1</v>
      </c>
      <c r="Q81" s="1693" cm="1">
        <f t="array" aca="1" ref="Q81" ca="1">INDIRECT("'※ 인력 세부데이터'!"&amp;Q$1&amp;$T82, TRUE)</f>
        <v>-0.41666666666666663</v>
      </c>
      <c r="R81" s="1693" cm="1">
        <f t="array" aca="1" ref="R81" ca="1">INDIRECT("'※ 인력 세부데이터'!"&amp;R$1&amp;$T82, TRUE)</f>
        <v>1</v>
      </c>
      <c r="S81" s="1693" cm="1">
        <f t="array" aca="1" ref="S81" ca="1">INDIRECT("'※ 인력 세부데이터'!"&amp;S$1&amp;$T82, TRUE)</f>
        <v>1</v>
      </c>
      <c r="T81" s="1596">
        <f>ROW('※ 인력 세부데이터'!J77)</f>
        <v>77</v>
      </c>
      <c r="U81" s="681"/>
      <c r="V81" s="681"/>
      <c r="W81" s="594"/>
      <c r="X81" s="594"/>
      <c r="Y81" s="594"/>
      <c r="Z81" s="594"/>
      <c r="AA81" s="594"/>
      <c r="AB81" s="594"/>
      <c r="AC81" s="594"/>
      <c r="AD81" s="594"/>
      <c r="AE81" s="594"/>
      <c r="AF81" s="594"/>
      <c r="AG81" s="594"/>
      <c r="AH81" s="594"/>
      <c r="AI81" s="594"/>
      <c r="AJ81" s="594"/>
      <c r="AK81" s="594"/>
      <c r="AL81" s="594"/>
      <c r="AM81" s="594"/>
      <c r="AN81" s="594"/>
      <c r="AO81" s="594"/>
      <c r="AP81" s="594"/>
      <c r="AQ81" s="594"/>
      <c r="AR81" s="594"/>
      <c r="AS81" s="594"/>
      <c r="AT81" s="594"/>
      <c r="AU81" s="594"/>
      <c r="AV81" s="594"/>
      <c r="AW81" s="594"/>
      <c r="AX81" s="594"/>
      <c r="AY81" s="594"/>
      <c r="AZ81" s="594"/>
      <c r="BA81" s="594"/>
      <c r="BB81" s="594"/>
      <c r="BC81" s="594"/>
      <c r="BD81" s="594"/>
    </row>
    <row r="82" spans="1:56" ht="21.9" customHeight="1" x14ac:dyDescent="0.55000000000000004">
      <c r="A82" s="7444"/>
      <c r="B82" s="1694" t="s">
        <v>988</v>
      </c>
      <c r="C82" s="1689"/>
      <c r="D82" s="1695" cm="1">
        <f t="array" aca="1" ref="D82" ca="1">INDIRECT("'※ 인력 세부데이터'!"&amp;D$1&amp;$T83, TRUE)</f>
        <v>6.055950448643873E-3</v>
      </c>
      <c r="E82" s="1696" cm="1">
        <f t="array" aca="1" ref="E82" ca="1">INDIRECT("'※ 인력 세부데이터'!"&amp;E$1&amp;$T83, TRUE)</f>
        <v>4.8776275820404703E-3</v>
      </c>
      <c r="F82" s="1697" cm="1">
        <f t="array" aca="1" ref="F82" ca="1">INDIRECT("'※ 인력 세부데이터'!"&amp;F$1&amp;$T83, TRUE)</f>
        <v>0</v>
      </c>
      <c r="G82" s="1698" cm="1">
        <f t="array" aca="1" ref="G82" ca="1">INDIRECT("'※ 인력 세부데이터'!"&amp;G$1&amp;$T83, TRUE)</f>
        <v>0</v>
      </c>
      <c r="H82" s="1698" cm="1">
        <f t="array" aca="1" ref="H82" ca="1">INDIRECT("'※ 인력 세부데이터'!"&amp;H$1&amp;$T83, TRUE)</f>
        <v>1.092896174863388E-2</v>
      </c>
      <c r="I82" s="1698" cm="1">
        <f t="array" aca="1" ref="I82" ca="1">INDIRECT("'※ 인력 세부데이터'!"&amp;I$1&amp;$T83, TRUE)</f>
        <v>0</v>
      </c>
      <c r="J82" s="1698" cm="1">
        <f t="array" aca="1" ref="J82" ca="1">INDIRECT("'※ 인력 세부데이터'!"&amp;J$1&amp;$T83, TRUE)</f>
        <v>0</v>
      </c>
      <c r="K82" s="1698" cm="1">
        <f t="array" aca="1" ref="K82" ca="1">INDIRECT("'※ 인력 세부데이터'!"&amp;K$1&amp;$T83, TRUE)</f>
        <v>0</v>
      </c>
      <c r="L82" s="6427" cm="1">
        <f t="array" aca="1" ref="L82" ca="1">INDIRECT("'※ 인력 세부데이터'!"&amp;L$1&amp;$T83, TRUE)</f>
        <v>2.7027027027027029E-3</v>
      </c>
      <c r="M82" s="1698" cm="1">
        <f t="array" aca="1" ref="M82" ca="1">INDIRECT("'※ 인력 세부데이터'!"&amp;M$1&amp;$T83, TRUE)</f>
        <v>0</v>
      </c>
      <c r="N82" s="1698" cm="1">
        <f t="array" aca="1" ref="N82" ca="1">INDIRECT("'※ 인력 세부데이터'!"&amp;N$1&amp;$T83, TRUE)</f>
        <v>5.4054054054054057E-3</v>
      </c>
      <c r="O82" s="1697" cm="1">
        <f t="array" aca="1" ref="O82" ca="1">INDIRECT("'※ 인력 세부데이터'!"&amp;O$2&amp;$T83, TRUE)</f>
        <v>5.4054054054054057E-3</v>
      </c>
      <c r="P82" s="1698" cm="1">
        <f t="array" aca="1" ref="P82" ca="1">INDIRECT("'※ 인력 세부데이터'!"&amp;P$1&amp;$T83, TRUE)</f>
        <v>5.4054054054054057E-3</v>
      </c>
      <c r="Q82" s="1698" cm="1">
        <f t="array" aca="1" ref="Q82" ca="1">INDIRECT("'※ 인력 세부데이터'!"&amp;Q$1&amp;$T83, TRUE)</f>
        <v>-2.1749248793377675E-3</v>
      </c>
      <c r="R82" s="1698" cm="1">
        <f t="array" aca="1" ref="R82" ca="1">INDIRECT("'※ 인력 세부데이터'!"&amp;R$1&amp;$T83, TRUE)</f>
        <v>5.4054054054054057E-3</v>
      </c>
      <c r="S82" s="1698" cm="1">
        <f t="array" aca="1" ref="S82" ca="1">INDIRECT("'※ 인력 세부데이터'!"&amp;S$1&amp;$T83, TRUE)</f>
        <v>5.4054054054054057E-3</v>
      </c>
      <c r="T82" s="1596">
        <f>ROW('※ 인력 세부데이터'!J78)</f>
        <v>78</v>
      </c>
      <c r="U82" s="681"/>
      <c r="V82" s="681"/>
      <c r="W82" s="594"/>
      <c r="X82" s="594"/>
      <c r="Y82" s="594"/>
      <c r="Z82" s="594"/>
      <c r="AA82" s="594"/>
      <c r="AB82" s="594"/>
      <c r="AC82" s="594"/>
      <c r="AD82" s="594"/>
      <c r="AE82" s="594"/>
      <c r="AF82" s="594"/>
      <c r="AG82" s="594"/>
      <c r="AH82" s="594"/>
      <c r="AI82" s="594"/>
      <c r="AJ82" s="594"/>
      <c r="AK82" s="594"/>
      <c r="AL82" s="594"/>
      <c r="AM82" s="594"/>
      <c r="AN82" s="594"/>
      <c r="AO82" s="594"/>
      <c r="AP82" s="594"/>
      <c r="AQ82" s="594"/>
      <c r="AR82" s="594"/>
      <c r="AS82" s="594"/>
      <c r="AT82" s="594"/>
      <c r="AU82" s="594"/>
      <c r="AV82" s="594"/>
      <c r="AW82" s="594"/>
      <c r="AX82" s="594"/>
      <c r="AY82" s="594"/>
      <c r="AZ82" s="594"/>
      <c r="BA82" s="594"/>
      <c r="BB82" s="594"/>
      <c r="BC82" s="594"/>
      <c r="BD82" s="594"/>
    </row>
    <row r="83" spans="1:56" ht="21.9" customHeight="1" x14ac:dyDescent="0.55000000000000004">
      <c r="A83" s="7444"/>
      <c r="B83" s="1652"/>
      <c r="C83" s="1699" t="s">
        <v>982</v>
      </c>
      <c r="D83" s="1677"/>
      <c r="E83" s="1678"/>
      <c r="F83" s="1700" cm="1">
        <f t="array" aca="1" ref="F83" ca="1">INDIRECT("'※ 인력 세부데이터'!"&amp;F$1&amp;$T84, TRUE)</f>
        <v>0</v>
      </c>
      <c r="G83" s="1701" cm="1">
        <f t="array" aca="1" ref="G83" ca="1">INDIRECT("'※ 인력 세부데이터'!"&amp;G$1&amp;$T84, TRUE)</f>
        <v>0</v>
      </c>
      <c r="H83" s="1702" cm="1">
        <f t="array" aca="1" ref="H83" ca="1">INDIRECT("'※ 인력 세부데이터'!"&amp;H$1&amp;$T84, TRUE)</f>
        <v>0</v>
      </c>
      <c r="I83" s="1702" cm="1">
        <f t="array" aca="1" ref="I83" ca="1">INDIRECT("'※ 인력 세부데이터'!"&amp;I$1&amp;$T84, TRUE)</f>
        <v>0</v>
      </c>
      <c r="J83" s="1702" cm="1">
        <f t="array" aca="1" ref="J83" ca="1">INDIRECT("'※ 인력 세부데이터'!"&amp;J$1&amp;$T84, TRUE)</f>
        <v>0</v>
      </c>
      <c r="K83" s="1702" cm="1">
        <f t="array" aca="1" ref="K83" ca="1">INDIRECT("'※ 인력 세부데이터'!"&amp;K$1&amp;$T84, TRUE)</f>
        <v>0</v>
      </c>
      <c r="L83" s="6424"/>
      <c r="M83" s="1702" cm="1">
        <f t="array" aca="1" ref="M83" ca="1">INDIRECT("'※ 인력 세부데이터'!"&amp;M$1&amp;$T84, TRUE)</f>
        <v>0</v>
      </c>
      <c r="N83" s="1702" cm="1">
        <f t="array" aca="1" ref="N83" ca="1">INDIRECT("'※ 인력 세부데이터'!"&amp;N$1&amp;$T84, TRUE)</f>
        <v>0</v>
      </c>
      <c r="O83" s="1700" cm="1">
        <f t="array" aca="1" ref="O83" ca="1">INDIRECT("'※ 인력 세부데이터'!"&amp;O$2&amp;$T84, TRUE)</f>
        <v>0</v>
      </c>
      <c r="P83" s="1701" cm="1">
        <f t="array" aca="1" ref="P83" ca="1">INDIRECT("'※ 인력 세부데이터'!"&amp;P$1&amp;$T84, TRUE)</f>
        <v>0</v>
      </c>
      <c r="Q83" s="1701" cm="1">
        <f t="array" aca="1" ref="Q83" ca="1">INDIRECT("'※ 인력 세부데이터'!"&amp;Q$1&amp;$T84, TRUE)</f>
        <v>0</v>
      </c>
      <c r="R83" s="1701" cm="1">
        <f t="array" aca="1" ref="R83" ca="1">INDIRECT("'※ 인력 세부데이터'!"&amp;R$1&amp;$T84, TRUE)</f>
        <v>0</v>
      </c>
      <c r="S83" s="1701" cm="1">
        <f t="array" aca="1" ref="S83" ca="1">INDIRECT("'※ 인력 세부데이터'!"&amp;S$1&amp;$T84, TRUE)</f>
        <v>0</v>
      </c>
      <c r="T83" s="1596">
        <f>ROW('※ 인력 세부데이터'!J79)</f>
        <v>79</v>
      </c>
      <c r="U83" s="681"/>
      <c r="V83" s="681"/>
      <c r="W83" s="594"/>
      <c r="X83" s="594"/>
      <c r="Y83" s="594"/>
      <c r="Z83" s="594"/>
      <c r="AA83" s="594"/>
      <c r="AB83" s="594"/>
      <c r="AC83" s="594"/>
      <c r="AD83" s="594"/>
      <c r="AE83" s="594"/>
      <c r="AF83" s="594"/>
      <c r="AG83" s="594"/>
      <c r="AH83" s="594"/>
      <c r="AI83" s="594"/>
      <c r="AJ83" s="594"/>
      <c r="AK83" s="594"/>
      <c r="AL83" s="594"/>
      <c r="AM83" s="594"/>
      <c r="AN83" s="594"/>
      <c r="AO83" s="594"/>
      <c r="AP83" s="594"/>
      <c r="AQ83" s="594"/>
      <c r="AR83" s="594"/>
      <c r="AS83" s="594"/>
      <c r="AT83" s="594"/>
      <c r="AU83" s="594"/>
      <c r="AV83" s="594"/>
      <c r="AW83" s="594"/>
      <c r="AX83" s="594"/>
      <c r="AY83" s="594"/>
      <c r="AZ83" s="594"/>
      <c r="BA83" s="594"/>
      <c r="BB83" s="594"/>
      <c r="BC83" s="594"/>
      <c r="BD83" s="594"/>
    </row>
    <row r="84" spans="1:56" ht="21.9" customHeight="1" x14ac:dyDescent="0.55000000000000004">
      <c r="A84" s="7444"/>
      <c r="B84" s="1658"/>
      <c r="C84" s="1683" t="s">
        <v>990</v>
      </c>
      <c r="D84" s="1684"/>
      <c r="E84" s="1685"/>
      <c r="F84" s="1686" cm="1">
        <f t="array" aca="1" ref="F84" ca="1">INDIRECT("'※ 인력 세부데이터'!"&amp;F$1&amp;$T85, TRUE)</f>
        <v>0</v>
      </c>
      <c r="G84" s="1687" cm="1">
        <f t="array" aca="1" ref="G84" ca="1">INDIRECT("'※ 인력 세부데이터'!"&amp;G$1&amp;$T85, TRUE)</f>
        <v>0</v>
      </c>
      <c r="H84" s="1687" cm="1">
        <f t="array" aca="1" ref="H84" ca="1">INDIRECT("'※ 인력 세부데이터'!"&amp;H$1&amp;$T85, TRUE)</f>
        <v>0</v>
      </c>
      <c r="I84" s="1687" cm="1">
        <f t="array" aca="1" ref="I84" ca="1">INDIRECT("'※ 인력 세부데이터'!"&amp;I$1&amp;$T85, TRUE)</f>
        <v>0</v>
      </c>
      <c r="J84" s="1687" cm="1">
        <f t="array" aca="1" ref="J84" ca="1">INDIRECT("'※ 인력 세부데이터'!"&amp;J$1&amp;$T85, TRUE)</f>
        <v>0</v>
      </c>
      <c r="K84" s="1687" cm="1">
        <f t="array" aca="1" ref="K84" ca="1">INDIRECT("'※ 인력 세부데이터'!"&amp;K$1&amp;$T85, TRUE)</f>
        <v>0</v>
      </c>
      <c r="L84" s="6425"/>
      <c r="M84" s="1687" cm="1">
        <f t="array" aca="1" ref="M84" ca="1">INDIRECT("'※ 인력 세부데이터'!"&amp;M$1&amp;$T85, TRUE)</f>
        <v>0</v>
      </c>
      <c r="N84" s="1687" cm="1">
        <f t="array" aca="1" ref="N84" ca="1">INDIRECT("'※ 인력 세부데이터'!"&amp;N$1&amp;$T85, TRUE)</f>
        <v>0</v>
      </c>
      <c r="O84" s="1686" cm="1">
        <f t="array" aca="1" ref="O84" ca="1">INDIRECT("'※ 인력 세부데이터'!"&amp;O$2&amp;$T85, TRUE)</f>
        <v>0</v>
      </c>
      <c r="P84" s="1687" cm="1">
        <f t="array" aca="1" ref="P84" ca="1">INDIRECT("'※ 인력 세부데이터'!"&amp;P$1&amp;$T85, TRUE)</f>
        <v>0</v>
      </c>
      <c r="Q84" s="1687" cm="1">
        <f t="array" aca="1" ref="Q84" ca="1">INDIRECT("'※ 인력 세부데이터'!"&amp;Q$1&amp;$T85, TRUE)</f>
        <v>0</v>
      </c>
      <c r="R84" s="1687" cm="1">
        <f t="array" aca="1" ref="R84" ca="1">INDIRECT("'※ 인력 세부데이터'!"&amp;R$1&amp;$T85, TRUE)</f>
        <v>0</v>
      </c>
      <c r="S84" s="1687" cm="1">
        <f t="array" aca="1" ref="S84" ca="1">INDIRECT("'※ 인력 세부데이터'!"&amp;S$1&amp;$T85, TRUE)</f>
        <v>0</v>
      </c>
      <c r="T84" s="1596">
        <f>ROW('※ 인력 세부데이터'!J80)</f>
        <v>80</v>
      </c>
      <c r="U84" s="681"/>
      <c r="V84" s="681"/>
      <c r="W84" s="594"/>
      <c r="X84" s="594"/>
      <c r="Y84" s="594"/>
      <c r="Z84" s="594"/>
      <c r="AA84" s="594"/>
      <c r="AB84" s="594"/>
      <c r="AC84" s="594"/>
      <c r="AD84" s="594"/>
      <c r="AE84" s="594"/>
      <c r="AF84" s="594"/>
      <c r="AG84" s="594"/>
      <c r="AH84" s="594"/>
      <c r="AI84" s="594"/>
      <c r="AJ84" s="594"/>
      <c r="AK84" s="594"/>
      <c r="AL84" s="594"/>
      <c r="AM84" s="594"/>
      <c r="AN84" s="594"/>
      <c r="AO84" s="594"/>
      <c r="AP84" s="594"/>
      <c r="AQ84" s="594"/>
      <c r="AR84" s="594"/>
      <c r="AS84" s="594"/>
      <c r="AT84" s="594"/>
      <c r="AU84" s="594"/>
      <c r="AV84" s="594"/>
      <c r="AW84" s="594"/>
      <c r="AX84" s="594"/>
      <c r="AY84" s="594"/>
      <c r="AZ84" s="594"/>
      <c r="BA84" s="594"/>
      <c r="BB84" s="594"/>
      <c r="BC84" s="594"/>
      <c r="BD84" s="594"/>
    </row>
    <row r="85" spans="1:56" ht="21.9" customHeight="1" x14ac:dyDescent="0.55000000000000004">
      <c r="A85" s="7444"/>
      <c r="B85" s="1688" t="s">
        <v>974</v>
      </c>
      <c r="C85" s="1689"/>
      <c r="D85" s="1690" cm="1">
        <f t="array" aca="1" ref="D85" ca="1">INDIRECT("'※ 인력 세부데이터'!"&amp;D$1&amp;$T86, TRUE)</f>
        <v>55.166666666666664</v>
      </c>
      <c r="E85" s="1691" cm="1">
        <f t="array" aca="1" ref="E85" ca="1">INDIRECT("'※ 인력 세부데이터'!"&amp;E$1&amp;$T86, TRUE)</f>
        <v>41.833333333333336</v>
      </c>
      <c r="F85" s="1692" cm="1">
        <f t="array" aca="1" ref="F85" ca="1">INDIRECT("'※ 인력 세부데이터'!"&amp;F$1&amp;$T86, TRUE)</f>
        <v>32</v>
      </c>
      <c r="G85" s="1693" cm="1">
        <f t="array" aca="1" ref="G85" ca="1">INDIRECT("'※ 인력 세부데이터'!"&amp;G$1&amp;$T86, TRUE)</f>
        <v>55</v>
      </c>
      <c r="H85" s="1693" cm="1">
        <f t="array" aca="1" ref="H85" ca="1">INDIRECT("'※ 인력 세부데이터'!"&amp;H$1&amp;$T86, TRUE)</f>
        <v>52</v>
      </c>
      <c r="I85" s="1693" cm="1">
        <f t="array" aca="1" ref="I85" ca="1">INDIRECT("'※ 인력 세부데이터'!"&amp;I$1&amp;$T86, TRUE)</f>
        <v>39</v>
      </c>
      <c r="J85" s="1693" cm="1">
        <f t="array" aca="1" ref="J85" ca="1">INDIRECT("'※ 인력 세부데이터'!"&amp;J$1&amp;$T86, TRUE)</f>
        <v>36</v>
      </c>
      <c r="K85" s="1693" cm="1">
        <f t="array" aca="1" ref="K85" ca="1">INDIRECT("'※ 인력 세부데이터'!"&amp;K$1&amp;$T86, TRUE)</f>
        <v>40</v>
      </c>
      <c r="L85" s="6426" cm="1">
        <f t="array" aca="1" ref="L85" ca="1">INDIRECT("'※ 인력 세부데이터'!"&amp;L$1&amp;$T86, TRUE)</f>
        <v>47.5</v>
      </c>
      <c r="M85" s="1693" cm="1">
        <f t="array" aca="1" ref="M85" ca="1">INDIRECT("'※ 인력 세부데이터'!"&amp;M$1&amp;$T86, TRUE)</f>
        <v>46</v>
      </c>
      <c r="N85" s="1693" cm="1">
        <f t="array" aca="1" ref="N85" ca="1">INDIRECT("'※ 인력 세부데이터'!"&amp;N$1&amp;$T86, TRUE)</f>
        <v>49</v>
      </c>
      <c r="O85" s="1692" cm="1">
        <f t="array" aca="1" ref="O85" ca="1">INDIRECT("'※ 인력 세부데이터'!"&amp;O$2&amp;$T86, TRUE)</f>
        <v>49</v>
      </c>
      <c r="P85" s="1693" cm="1">
        <f t="array" aca="1" ref="P85" ca="1">INDIRECT("'※ 인력 세부데이터'!"&amp;P$1&amp;$T86, TRUE)</f>
        <v>-6</v>
      </c>
      <c r="Q85" s="1693" cm="1">
        <f t="array" aca="1" ref="Q85" ca="1">INDIRECT("'※ 인력 세부데이터'!"&amp;Q$1&amp;$T86, TRUE)</f>
        <v>5.6666666666666643</v>
      </c>
      <c r="R85" s="1693" cm="1">
        <f t="array" aca="1" ref="R85" ca="1">INDIRECT("'※ 인력 세부데이터'!"&amp;R$1&amp;$T86, TRUE)</f>
        <v>8</v>
      </c>
      <c r="S85" s="1693" cm="1">
        <f t="array" aca="1" ref="S85" ca="1">INDIRECT("'※ 인력 세부데이터'!"&amp;S$1&amp;$T86, TRUE)</f>
        <v>3</v>
      </c>
      <c r="T85" s="1596">
        <f>ROW('※ 인력 세부데이터'!J81)</f>
        <v>81</v>
      </c>
      <c r="U85" s="681"/>
      <c r="V85" s="681"/>
      <c r="W85" s="594"/>
      <c r="X85" s="594"/>
      <c r="Y85" s="594"/>
      <c r="Z85" s="594"/>
      <c r="AA85" s="594"/>
      <c r="AB85" s="594"/>
      <c r="AC85" s="594"/>
      <c r="AD85" s="594"/>
      <c r="AE85" s="594"/>
      <c r="AF85" s="594"/>
      <c r="AG85" s="594"/>
      <c r="AH85" s="594"/>
      <c r="AI85" s="594"/>
      <c r="AJ85" s="594"/>
      <c r="AK85" s="594"/>
      <c r="AL85" s="594"/>
      <c r="AM85" s="594"/>
      <c r="AN85" s="594"/>
      <c r="AO85" s="594"/>
      <c r="AP85" s="594"/>
      <c r="AQ85" s="594"/>
      <c r="AR85" s="594"/>
      <c r="AS85" s="594"/>
      <c r="AT85" s="594"/>
      <c r="AU85" s="594"/>
      <c r="AV85" s="594"/>
      <c r="AW85" s="594"/>
      <c r="AX85" s="594"/>
      <c r="AY85" s="594"/>
      <c r="AZ85" s="594"/>
      <c r="BA85" s="594"/>
      <c r="BB85" s="594"/>
      <c r="BC85" s="594"/>
      <c r="BD85" s="594"/>
    </row>
    <row r="86" spans="1:56" ht="21.9" customHeight="1" x14ac:dyDescent="0.55000000000000004">
      <c r="A86" s="7444"/>
      <c r="B86" s="1694" t="s">
        <v>988</v>
      </c>
      <c r="C86" s="1689"/>
      <c r="D86" s="1695" cm="1">
        <f t="array" aca="1" ref="D86" ca="1">INDIRECT("'※ 인력 세부데이터'!"&amp;D$1&amp;$T87, TRUE)</f>
        <v>2.9600973383277957E-2</v>
      </c>
      <c r="E86" s="1696" cm="1">
        <f t="array" aca="1" ref="E86" ca="1">INDIRECT("'※ 인력 세부데이터'!"&amp;E$1&amp;$T87, TRUE)</f>
        <v>2.1889063370649216E-2</v>
      </c>
      <c r="F86" s="1697" cm="1">
        <f t="array" aca="1" ref="F86" ca="1">INDIRECT("'※ 인력 세부데이터'!"&amp;F$1&amp;$T87, TRUE)</f>
        <v>1.6435541859270673E-2</v>
      </c>
      <c r="G86" s="1698" cm="1">
        <f t="array" aca="1" ref="G86" ca="1">INDIRECT("'※ 인력 세부데이터'!"&amp;G$1&amp;$T87, TRUE)</f>
        <v>2.8075548749361919E-2</v>
      </c>
      <c r="H86" s="1698" cm="1">
        <f t="array" aca="1" ref="H86" ca="1">INDIRECT("'※ 인력 세부데이터'!"&amp;H$1&amp;$T87, TRUE)</f>
        <v>2.6490066225165563E-2</v>
      </c>
      <c r="I86" s="1698" cm="1">
        <f t="array" aca="1" ref="I86" ca="1">INDIRECT("'※ 인력 세부데이터'!"&amp;I$1&amp;$T87, TRUE)</f>
        <v>2.0030816640986132E-2</v>
      </c>
      <c r="J86" s="1698" cm="1">
        <f t="array" aca="1" ref="J86" ca="1">INDIRECT("'※ 인력 세부데이터'!"&amp;J$1&amp;$T87, TRUE)</f>
        <v>1.8585441404233349E-2</v>
      </c>
      <c r="K86" s="1698" cm="1">
        <f t="array" aca="1" ref="K86" ca="1">INDIRECT("'※ 인력 세부데이터'!"&amp;K$1&amp;$T87, TRUE)</f>
        <v>2.0768431983385256E-2</v>
      </c>
      <c r="L86" s="6427" cm="1">
        <f t="array" aca="1" ref="L86" ca="1">INDIRECT("'※ 인력 세부데이터'!"&amp;L$1&amp;$T87, TRUE)</f>
        <v>2.5265137239856541E-2</v>
      </c>
      <c r="M86" s="1698" cm="1">
        <f t="array" aca="1" ref="M86" ca="1">INDIRECT("'※ 인력 세부데이터'!"&amp;M$1&amp;$T87, TRUE)</f>
        <v>2.4494142705005325E-2</v>
      </c>
      <c r="N86" s="1698" cm="1">
        <f t="array" aca="1" ref="N86" ca="1">INDIRECT("'※ 인력 세부데이터'!"&amp;N$1&amp;$T87, TRUE)</f>
        <v>2.6036131774707757E-2</v>
      </c>
      <c r="O86" s="1697" cm="1">
        <f t="array" aca="1" ref="O86" ca="1">INDIRECT("'※ 인력 세부데이터'!"&amp;O$2&amp;$T87, TRUE)</f>
        <v>2.6036131774707757E-2</v>
      </c>
      <c r="P86" s="1698" cm="1">
        <f t="array" aca="1" ref="P86" ca="1">INDIRECT("'※ 인력 세부데이터'!"&amp;P$1&amp;$T87, TRUE)</f>
        <v>-2.0394169746541617E-3</v>
      </c>
      <c r="Q86" s="1698" cm="1">
        <f t="array" aca="1" ref="Q86" ca="1">INDIRECT("'※ 인력 세부데이터'!"&amp;Q$1&amp;$T87, TRUE)</f>
        <v>3.3760738692073244E-3</v>
      </c>
      <c r="R86" s="1698" cm="1">
        <f t="array" aca="1" ref="R86" ca="1">INDIRECT("'※ 인력 세부데이터'!"&amp;R$1&amp;$T87, TRUE)</f>
        <v>6.0191838710804899E-3</v>
      </c>
      <c r="S86" s="1698" cm="1">
        <f t="array" aca="1" ref="S86" ca="1">INDIRECT("'※ 인력 세부데이터'!"&amp;S$1&amp;$T87, TRUE)</f>
        <v>1.5419890697024319E-3</v>
      </c>
      <c r="T86" s="1596">
        <f>ROW('※ 인력 세부데이터'!J82)</f>
        <v>82</v>
      </c>
      <c r="U86" s="681"/>
      <c r="V86" s="681"/>
      <c r="W86" s="594"/>
      <c r="X86" s="594"/>
      <c r="Y86" s="594"/>
      <c r="Z86" s="594"/>
      <c r="AA86" s="594"/>
      <c r="AB86" s="594"/>
      <c r="AC86" s="594"/>
      <c r="AD86" s="594"/>
      <c r="AE86" s="594"/>
      <c r="AF86" s="594"/>
      <c r="AG86" s="594"/>
      <c r="AH86" s="594"/>
      <c r="AI86" s="594"/>
      <c r="AJ86" s="594"/>
      <c r="AK86" s="594"/>
      <c r="AL86" s="594"/>
      <c r="AM86" s="594"/>
      <c r="AN86" s="594"/>
      <c r="AO86" s="594"/>
      <c r="AP86" s="594"/>
      <c r="AQ86" s="594"/>
      <c r="AR86" s="594"/>
      <c r="AS86" s="594"/>
      <c r="AT86" s="594"/>
      <c r="AU86" s="594"/>
      <c r="AV86" s="594"/>
      <c r="AW86" s="594"/>
      <c r="AX86" s="594"/>
      <c r="AY86" s="594"/>
      <c r="AZ86" s="594"/>
      <c r="BA86" s="594"/>
      <c r="BB86" s="594"/>
      <c r="BC86" s="594"/>
      <c r="BD86" s="594"/>
    </row>
    <row r="87" spans="1:56" ht="21.9" customHeight="1" x14ac:dyDescent="0.55000000000000004">
      <c r="A87" s="7444"/>
      <c r="B87" s="1664"/>
      <c r="C87" s="1699" t="s">
        <v>982</v>
      </c>
      <c r="D87" s="1677"/>
      <c r="E87" s="1678"/>
      <c r="F87" s="1703" cm="1">
        <f t="array" aca="1" ref="F87" ca="1">INDIRECT("'※ 인력 세부데이터'!"&amp;F$1&amp;$T88, TRUE)</f>
        <v>15</v>
      </c>
      <c r="G87" s="1702" cm="1">
        <f t="array" aca="1" ref="G87" ca="1">INDIRECT("'※ 인력 세부데이터'!"&amp;G$1&amp;$T88, TRUE)</f>
        <v>23</v>
      </c>
      <c r="H87" s="1702" cm="1">
        <f t="array" aca="1" ref="H87" ca="1">INDIRECT("'※ 인력 세부데이터'!"&amp;H$1&amp;$T88, TRUE)</f>
        <v>13</v>
      </c>
      <c r="I87" s="1702" cm="1">
        <f t="array" aca="1" ref="I87" ca="1">INDIRECT("'※ 인력 세부데이터'!"&amp;I$1&amp;$T88, TRUE)</f>
        <v>8</v>
      </c>
      <c r="J87" s="1702" cm="1">
        <f t="array" aca="1" ref="J87" ca="1">INDIRECT("'※ 인력 세부데이터'!"&amp;J$1&amp;$T88, TRUE)</f>
        <v>9</v>
      </c>
      <c r="K87" s="1702" cm="1">
        <f t="array" aca="1" ref="K87" ca="1">INDIRECT("'※ 인력 세부데이터'!"&amp;K$1&amp;$T88, TRUE)</f>
        <v>6</v>
      </c>
      <c r="L87" s="6424"/>
      <c r="M87" s="1702" cm="1">
        <f t="array" aca="1" ref="M87" ca="1">INDIRECT("'※ 인력 세부데이터'!"&amp;M$1&amp;$T88, TRUE)</f>
        <v>12</v>
      </c>
      <c r="N87" s="1702" cm="1">
        <f t="array" aca="1" ref="N87" ca="1">INDIRECT("'※ 인력 세부데이터'!"&amp;N$1&amp;$T88, TRUE)</f>
        <v>20</v>
      </c>
      <c r="O87" s="1703" cm="1">
        <f t="array" aca="1" ref="O87" ca="1">INDIRECT("'※ 인력 세부데이터'!"&amp;O$2&amp;$T88, TRUE)</f>
        <v>20</v>
      </c>
      <c r="P87" s="1702" cm="1">
        <f t="array" aca="1" ref="P87" ca="1">INDIRECT("'※ 인력 세부데이터'!"&amp;P$1&amp;$T88, TRUE)</f>
        <v>-3</v>
      </c>
      <c r="Q87" s="1702" cm="1">
        <f t="array" aca="1" ref="Q87" ca="1">INDIRECT("'※ 인력 세부데이터'!"&amp;Q$1&amp;$T88, TRUE)</f>
        <v>5.25</v>
      </c>
      <c r="R87" s="1702" cm="1">
        <f t="array" aca="1" ref="R87" ca="1">INDIRECT("'※ 인력 세부데이터'!"&amp;R$1&amp;$T88, TRUE)</f>
        <v>-6</v>
      </c>
      <c r="S87" s="1702" cm="1">
        <f t="array" aca="1" ref="S87" ca="1">INDIRECT("'※ 인력 세부데이터'!"&amp;S$1&amp;$T88, TRUE)</f>
        <v>8</v>
      </c>
      <c r="T87" s="1596">
        <f>ROW('※ 인력 세부데이터'!J83)</f>
        <v>83</v>
      </c>
      <c r="U87" s="681"/>
      <c r="V87" s="681"/>
      <c r="W87" s="594"/>
      <c r="X87" s="594"/>
      <c r="Y87" s="594"/>
      <c r="Z87" s="594"/>
      <c r="AA87" s="594"/>
      <c r="AB87" s="594"/>
      <c r="AC87" s="594"/>
      <c r="AD87" s="594"/>
      <c r="AE87" s="594"/>
      <c r="AF87" s="594"/>
      <c r="AG87" s="594"/>
      <c r="AH87" s="594"/>
      <c r="AI87" s="594"/>
      <c r="AJ87" s="594"/>
      <c r="AK87" s="594"/>
      <c r="AL87" s="594"/>
      <c r="AM87" s="594"/>
      <c r="AN87" s="594"/>
      <c r="AO87" s="594"/>
      <c r="AP87" s="594"/>
      <c r="AQ87" s="594"/>
      <c r="AR87" s="594"/>
      <c r="AS87" s="594"/>
      <c r="AT87" s="594"/>
      <c r="AU87" s="594"/>
      <c r="AV87" s="594"/>
      <c r="AW87" s="594"/>
      <c r="AX87" s="594"/>
      <c r="AY87" s="594"/>
      <c r="AZ87" s="594"/>
      <c r="BA87" s="594"/>
      <c r="BB87" s="594"/>
      <c r="BC87" s="594"/>
      <c r="BD87" s="594"/>
    </row>
    <row r="88" spans="1:56" ht="21.9" customHeight="1" x14ac:dyDescent="0.55000000000000004">
      <c r="A88" s="7444"/>
      <c r="B88" s="1664"/>
      <c r="C88" s="1704" t="s">
        <v>990</v>
      </c>
      <c r="D88" s="1684"/>
      <c r="E88" s="1685"/>
      <c r="F88" s="1705" cm="1">
        <f t="array" aca="1" ref="F88" ca="1">INDIRECT("'※ 인력 세부데이터'!"&amp;F$1&amp;$T89, TRUE)</f>
        <v>0.46875</v>
      </c>
      <c r="G88" s="1706" cm="1">
        <f t="array" aca="1" ref="G88" ca="1">INDIRECT("'※ 인력 세부데이터'!"&amp;G$1&amp;$T89, TRUE)</f>
        <v>0.44230769230769229</v>
      </c>
      <c r="H88" s="1706" cm="1">
        <f t="array" aca="1" ref="H88" ca="1">INDIRECT("'※ 인력 세부데이터'!"&amp;H$1&amp;$T89, TRUE)</f>
        <v>0.26</v>
      </c>
      <c r="I88" s="1706" cm="1">
        <f t="array" aca="1" ref="I88" ca="1">INDIRECT("'※ 인력 세부데이터'!"&amp;I$1&amp;$T89, TRUE)</f>
        <v>0.21052631578947367</v>
      </c>
      <c r="J88" s="1706" cm="1">
        <f t="array" aca="1" ref="J88" ca="1">INDIRECT("'※ 인력 세부데이터'!"&amp;J$1&amp;$T89, TRUE)</f>
        <v>0.25714285714285712</v>
      </c>
      <c r="K88" s="1706" cm="1">
        <f t="array" aca="1" ref="K88" ca="1">INDIRECT("'※ 인력 세부데이터'!"&amp;K$1&amp;$T89, TRUE)</f>
        <v>0.15</v>
      </c>
      <c r="L88" s="6425"/>
      <c r="M88" s="1706" cm="1">
        <f t="array" aca="1" ref="M88" ca="1">INDIRECT("'※ 인력 세부데이터'!"&amp;M$1&amp;$T89, TRUE)</f>
        <v>0.27272727272727271</v>
      </c>
      <c r="N88" s="1706" cm="1">
        <f t="array" aca="1" ref="N88" ca="1">INDIRECT("'※ 인력 세부데이터'!"&amp;N$1&amp;$T89, TRUE)</f>
        <v>0.40816326530612246</v>
      </c>
      <c r="O88" s="1705" cm="1">
        <f t="array" aca="1" ref="O88" ca="1">INDIRECT("'※ 인력 세부데이터'!"&amp;O$2&amp;$T89, TRUE)</f>
        <v>0.40816326530612246</v>
      </c>
      <c r="P88" s="1706" cm="1">
        <f t="array" aca="1" ref="P88" ca="1">INDIRECT("'※ 인력 세부데이터'!"&amp;P$1&amp;$T89, TRUE)</f>
        <v>-3.4144427001569833E-2</v>
      </c>
      <c r="Q88" s="1706" cm="1">
        <f t="array" aca="1" ref="Q88" ca="1">INDIRECT("'※ 인력 세부데이터'!"&amp;Q$1&amp;$T89, TRUE)</f>
        <v>6.6912365490229997E-2</v>
      </c>
      <c r="R88" s="1706" cm="1">
        <f t="array" aca="1" ref="R88" ca="1">INDIRECT("'※ 인력 세부데이터'!"&amp;R$1&amp;$T89, TRUE)</f>
        <v>-0.23016715427429713</v>
      </c>
      <c r="S88" s="1706" cm="1">
        <f t="array" aca="1" ref="S88" ca="1">INDIRECT("'※ 인력 세부데이터'!"&amp;S$1&amp;$T89, TRUE)</f>
        <v>0.13543599257884975</v>
      </c>
      <c r="T88" s="1596">
        <f>ROW('※ 인력 세부데이터'!J84)</f>
        <v>84</v>
      </c>
      <c r="U88" s="681"/>
      <c r="V88" s="681"/>
      <c r="W88" s="594"/>
      <c r="X88" s="594"/>
      <c r="Y88" s="594"/>
      <c r="Z88" s="594"/>
      <c r="AA88" s="594"/>
      <c r="AB88" s="594"/>
      <c r="AC88" s="594"/>
      <c r="AD88" s="594"/>
      <c r="AE88" s="594"/>
      <c r="AF88" s="594"/>
      <c r="AG88" s="594"/>
      <c r="AH88" s="594"/>
      <c r="AI88" s="594"/>
      <c r="AJ88" s="594"/>
      <c r="AK88" s="594"/>
      <c r="AL88" s="594"/>
      <c r="AM88" s="594"/>
      <c r="AN88" s="594"/>
      <c r="AO88" s="594"/>
      <c r="AP88" s="594"/>
      <c r="AQ88" s="594"/>
      <c r="AR88" s="594"/>
      <c r="AS88" s="594"/>
      <c r="AT88" s="594"/>
      <c r="AU88" s="594"/>
      <c r="AV88" s="594"/>
      <c r="AW88" s="594"/>
      <c r="AX88" s="594"/>
      <c r="AY88" s="594"/>
      <c r="AZ88" s="594"/>
      <c r="BA88" s="594"/>
      <c r="BB88" s="594"/>
      <c r="BC88" s="594"/>
      <c r="BD88" s="594"/>
    </row>
    <row r="89" spans="1:56" x14ac:dyDescent="0.55000000000000004">
      <c r="A89" s="7444"/>
      <c r="B89" s="1664"/>
      <c r="C89" s="1707" t="s">
        <v>978</v>
      </c>
      <c r="D89" s="1708" cm="1">
        <f t="array" aca="1" ref="D89" ca="1">INDIRECT("'※ 인력 세부데이터'!"&amp;D$1&amp;$T90, TRUE)</f>
        <v>38.666666666666664</v>
      </c>
      <c r="E89" s="1709" cm="1">
        <f t="array" aca="1" ref="E89" ca="1">INDIRECT("'※ 인력 세부데이터'!"&amp;E$1&amp;$T90, TRUE)</f>
        <v>25.166666666666668</v>
      </c>
      <c r="F89" s="1710" cm="1">
        <f t="array" aca="1" ref="F89" ca="1">INDIRECT("'※ 인력 세부데이터'!"&amp;F$1&amp;$T90, TRUE)</f>
        <v>23</v>
      </c>
      <c r="G89" s="1709" cm="1">
        <f t="array" aca="1" ref="G89" ca="1">INDIRECT("'※ 인력 세부데이터'!"&amp;G$1&amp;$T90, TRUE)</f>
        <v>36</v>
      </c>
      <c r="H89" s="1709" cm="1">
        <f t="array" aca="1" ref="H89" ca="1">INDIRECT("'※ 인력 세부데이터'!"&amp;H$1&amp;$T90, TRUE)</f>
        <v>33</v>
      </c>
      <c r="I89" s="1709" cm="1">
        <f t="array" aca="1" ref="I89" ca="1">INDIRECT("'※ 인력 세부데이터'!"&amp;I$1&amp;$T90, TRUE)</f>
        <v>23</v>
      </c>
      <c r="J89" s="1709" cm="1">
        <f t="array" aca="1" ref="J89" ca="1">INDIRECT("'※ 인력 세부데이터'!"&amp;J$1&amp;$T90, TRUE)</f>
        <v>25</v>
      </c>
      <c r="K89" s="1709" cm="1">
        <f t="array" aca="1" ref="K89" ca="1">INDIRECT("'※ 인력 세부데이터'!"&amp;K$1&amp;$T90, TRUE)</f>
        <v>21</v>
      </c>
      <c r="L89" s="6428" cm="1">
        <f t="array" aca="1" ref="L89" ca="1">INDIRECT("'※ 인력 세부데이터'!"&amp;L$1&amp;$T90, TRUE)</f>
        <v>30.5</v>
      </c>
      <c r="M89" s="1709" cm="1">
        <f t="array" aca="1" ref="M89" ca="1">INDIRECT("'※ 인력 세부데이터'!"&amp;M$1&amp;$T90, TRUE)</f>
        <v>27</v>
      </c>
      <c r="N89" s="1709" cm="1">
        <f t="array" aca="1" ref="N89" ca="1">INDIRECT("'※ 인력 세부데이터'!"&amp;N$1&amp;$T90, TRUE)</f>
        <v>34</v>
      </c>
      <c r="O89" s="1710" cm="1">
        <f t="array" aca="1" ref="O89" ca="1">INDIRECT("'※ 인력 세부데이터'!"&amp;O$2&amp;$T90, TRUE)</f>
        <v>34</v>
      </c>
      <c r="P89" s="1709" cm="1">
        <f t="array" aca="1" ref="P89" ca="1">INDIRECT("'※ 인력 세부데이터'!"&amp;P$1&amp;$T90, TRUE)</f>
        <v>-2</v>
      </c>
      <c r="Q89" s="1709" cm="1">
        <f t="array" aca="1" ref="Q89" ca="1">INDIRECT("'※ 인력 세부데이터'!"&amp;Q$1&amp;$T90, TRUE)</f>
        <v>5.3333333333333321</v>
      </c>
      <c r="R89" s="1709" cm="1">
        <f t="array" aca="1" ref="R89" ca="1">INDIRECT("'※ 인력 세부데이터'!"&amp;R$1&amp;$T90, TRUE)</f>
        <v>2</v>
      </c>
      <c r="S89" s="1709" cm="1">
        <f t="array" aca="1" ref="S89" ca="1">INDIRECT("'※ 인력 세부데이터'!"&amp;S$1&amp;$T90, TRUE)</f>
        <v>7</v>
      </c>
      <c r="T89" s="1596">
        <f>ROW('※ 인력 세부데이터'!J85)</f>
        <v>85</v>
      </c>
      <c r="U89" s="681"/>
      <c r="V89" s="681"/>
      <c r="W89" s="594"/>
      <c r="X89" s="594"/>
      <c r="Y89" s="594"/>
      <c r="Z89" s="594"/>
      <c r="AA89" s="594"/>
      <c r="AB89" s="594"/>
      <c r="AC89" s="594"/>
      <c r="AD89" s="594"/>
      <c r="AE89" s="594"/>
      <c r="AF89" s="594"/>
      <c r="AG89" s="594"/>
      <c r="AH89" s="594"/>
      <c r="AI89" s="594"/>
      <c r="AJ89" s="594"/>
      <c r="AK89" s="594"/>
      <c r="AL89" s="594"/>
      <c r="AM89" s="594"/>
      <c r="AN89" s="594"/>
      <c r="AO89" s="594"/>
      <c r="AP89" s="594"/>
      <c r="AQ89" s="594"/>
      <c r="AR89" s="594"/>
      <c r="AS89" s="594"/>
      <c r="AT89" s="594"/>
      <c r="AU89" s="594"/>
      <c r="AV89" s="594"/>
      <c r="AW89" s="594"/>
      <c r="AX89" s="594"/>
      <c r="AY89" s="594"/>
      <c r="AZ89" s="594"/>
      <c r="BA89" s="594"/>
      <c r="BB89" s="594"/>
      <c r="BC89" s="594"/>
      <c r="BD89" s="594"/>
    </row>
    <row r="90" spans="1:56" x14ac:dyDescent="0.55000000000000004">
      <c r="A90" s="7444"/>
      <c r="B90" s="1711"/>
      <c r="C90" s="1712" t="s">
        <v>982</v>
      </c>
      <c r="D90" s="1677"/>
      <c r="E90" s="1713" cm="1">
        <f t="array" aca="1" ref="E90" ca="1">INDIRECT("'※ 인력 세부데이터'!"&amp;E$1&amp;$T91, TRUE)</f>
        <v>6.333333333333333</v>
      </c>
      <c r="F90" s="1714" cm="1">
        <f t="array" aca="1" ref="F90" ca="1">INDIRECT("'※ 인력 세부데이터'!"&amp;F$1&amp;$T91, TRUE)</f>
        <v>9</v>
      </c>
      <c r="G90" s="1713" cm="1">
        <f t="array" aca="1" ref="G90" ca="1">INDIRECT("'※ 인력 세부데이터'!"&amp;G$1&amp;$T91, TRUE)</f>
        <v>15</v>
      </c>
      <c r="H90" s="1713" cm="1">
        <f t="array" aca="1" ref="H90" ca="1">INDIRECT("'※ 인력 세부데이터'!"&amp;H$1&amp;$T91, TRUE)</f>
        <v>9</v>
      </c>
      <c r="I90" s="1713" cm="1">
        <f t="array" aca="1" ref="I90" ca="1">INDIRECT("'※ 인력 세부데이터'!"&amp;I$1&amp;$T91, TRUE)</f>
        <v>6</v>
      </c>
      <c r="J90" s="1713" cm="1">
        <f t="array" aca="1" ref="J90" ca="1">INDIRECT("'※ 인력 세부데이터'!"&amp;J$1&amp;$T91, TRUE)</f>
        <v>3</v>
      </c>
      <c r="K90" s="1713" cm="1">
        <f t="array" aca="1" ref="K90" ca="1">INDIRECT("'※ 인력 세부데이터'!"&amp;K$1&amp;$T91, TRUE)</f>
        <v>3</v>
      </c>
      <c r="L90" s="6429" cm="1">
        <f t="array" aca="1" ref="L90" ca="1">INDIRECT("'※ 인력 세부데이터'!"&amp;L$1&amp;$T91, TRUE)</f>
        <v>11</v>
      </c>
      <c r="M90" s="1713" cm="1">
        <f t="array" aca="1" ref="M90" ca="1">INDIRECT("'※ 인력 세부데이터'!"&amp;M$1&amp;$T91, TRUE)</f>
        <v>7</v>
      </c>
      <c r="N90" s="1713" cm="1">
        <f t="array" aca="1" ref="N90" ca="1">INDIRECT("'※ 인력 세부데이터'!"&amp;N$1&amp;$T91, TRUE)</f>
        <v>15</v>
      </c>
      <c r="O90" s="1714" cm="1">
        <f t="array" aca="1" ref="O90" ca="1">INDIRECT("'※ 인력 세부데이터'!"&amp;O$2&amp;$T91, TRUE)</f>
        <v>15</v>
      </c>
      <c r="P90" s="1713" cm="1">
        <f t="array" aca="1" ref="P90" ca="1">INDIRECT("'※ 인력 세부데이터'!"&amp;P$1&amp;$T91, TRUE)</f>
        <v>0</v>
      </c>
      <c r="Q90" s="1713" cm="1">
        <f t="array" aca="1" ref="Q90" ca="1">INDIRECT("'※ 인력 세부데이터'!"&amp;Q$1&amp;$T91, TRUE)</f>
        <v>4.666666666666667</v>
      </c>
      <c r="R90" s="1713" cm="1">
        <f t="array" aca="1" ref="R90" ca="1">INDIRECT("'※ 인력 세부데이터'!"&amp;R$1&amp;$T91, TRUE)</f>
        <v>-2</v>
      </c>
      <c r="S90" s="1713" cm="1">
        <f t="array" aca="1" ref="S90" ca="1">INDIRECT("'※ 인력 세부데이터'!"&amp;S$1&amp;$T91, TRUE)</f>
        <v>8</v>
      </c>
      <c r="T90" s="1596">
        <f>ROW('※ 인력 세부데이터'!J86)</f>
        <v>86</v>
      </c>
      <c r="U90" s="681"/>
      <c r="V90" s="681"/>
      <c r="W90" s="594"/>
      <c r="X90" s="594"/>
      <c r="Y90" s="594"/>
      <c r="Z90" s="594"/>
      <c r="AA90" s="594"/>
      <c r="AB90" s="594"/>
      <c r="AC90" s="594"/>
      <c r="AD90" s="594"/>
      <c r="AE90" s="594"/>
      <c r="AF90" s="594"/>
      <c r="AG90" s="594"/>
      <c r="AH90" s="594"/>
      <c r="AI90" s="594"/>
      <c r="AJ90" s="594"/>
      <c r="AK90" s="594"/>
      <c r="AL90" s="594"/>
      <c r="AM90" s="594"/>
      <c r="AN90" s="594"/>
      <c r="AO90" s="594"/>
      <c r="AP90" s="594"/>
      <c r="AQ90" s="594"/>
      <c r="AR90" s="594"/>
      <c r="AS90" s="594"/>
      <c r="AT90" s="594"/>
      <c r="AU90" s="594"/>
      <c r="AV90" s="594"/>
      <c r="AW90" s="594"/>
      <c r="AX90" s="594"/>
      <c r="AY90" s="594"/>
      <c r="AZ90" s="594"/>
      <c r="BA90" s="594"/>
      <c r="BB90" s="594"/>
      <c r="BC90" s="594"/>
      <c r="BD90" s="594"/>
    </row>
    <row r="91" spans="1:56" x14ac:dyDescent="0.55000000000000004">
      <c r="A91" s="7444"/>
      <c r="B91" s="1711"/>
      <c r="C91" s="1715" t="s">
        <v>989</v>
      </c>
      <c r="D91" s="1684"/>
      <c r="E91" s="1706" cm="1">
        <f t="array" aca="1" ref="E91" ca="1">INDIRECT("'※ 인력 세부데이터'!"&amp;E$1&amp;$T92, TRUE)</f>
        <v>0.25379480304360835</v>
      </c>
      <c r="F91" s="1705" cm="1">
        <f t="array" aca="1" ref="F91" ca="1">INDIRECT("'※ 인력 세부데이터'!"&amp;F$1&amp;$T92, TRUE)</f>
        <v>0.39130434782608697</v>
      </c>
      <c r="G91" s="1706" cm="1">
        <f t="array" aca="1" ref="G91" ca="1">INDIRECT("'※ 인력 세부데이터'!"&amp;G$1&amp;$T92, TRUE)</f>
        <v>0.41666666666666669</v>
      </c>
      <c r="H91" s="1706" cm="1">
        <f t="array" aca="1" ref="H91" ca="1">INDIRECT("'※ 인력 세부데이터'!"&amp;H$1&amp;$T92, TRUE)</f>
        <v>0.27272727272727271</v>
      </c>
      <c r="I91" s="1706" cm="1">
        <f t="array" aca="1" ref="I91" ca="1">INDIRECT("'※ 인력 세부데이터'!"&amp;I$1&amp;$T92, TRUE)</f>
        <v>0.2608695652173913</v>
      </c>
      <c r="J91" s="1706" cm="1">
        <f t="array" aca="1" ref="J91" ca="1">INDIRECT("'※ 인력 세부데이터'!"&amp;J$1&amp;$T92, TRUE)</f>
        <v>0.12</v>
      </c>
      <c r="K91" s="1706" cm="1">
        <f t="array" aca="1" ref="K91" ca="1">INDIRECT("'※ 인력 세부데이터'!"&amp;K$1&amp;$T92, TRUE)</f>
        <v>0.14285714285714285</v>
      </c>
      <c r="L91" s="6430" cm="1">
        <f t="array" aca="1" ref="L91" ca="1">INDIRECT("'※ 인력 세부데이터'!"&amp;L$1&amp;$T92, TRUE)</f>
        <v>0.35021786492374729</v>
      </c>
      <c r="M91" s="1706" cm="1">
        <f t="array" aca="1" ref="M91" ca="1">INDIRECT("'※ 인력 세부데이터'!"&amp;M$1&amp;$T92, TRUE)</f>
        <v>0.25925925925925924</v>
      </c>
      <c r="N91" s="1706" cm="1">
        <f t="array" aca="1" ref="N91" ca="1">INDIRECT("'※ 인력 세부데이터'!"&amp;N$1&amp;$T92, TRUE)</f>
        <v>0.44117647058823528</v>
      </c>
      <c r="O91" s="1705" cm="1">
        <f t="array" aca="1" ref="O91" ca="1">INDIRECT("'※ 인력 세부데이터'!"&amp;O$1&amp;$T92, TRUE)</f>
        <v>0</v>
      </c>
      <c r="P91" s="1706" cm="1">
        <f t="array" aca="1" ref="P91" ca="1">INDIRECT("'※ 인력 세부데이터'!"&amp;P$1&amp;$T92, TRUE)</f>
        <v>2.4509803921568596E-2</v>
      </c>
      <c r="Q91" s="1706" cm="1">
        <f t="array" aca="1" ref="Q91" ca="1">INDIRECT("'※ 인력 세부데이터'!"&amp;Q$1&amp;$T92, TRUE)</f>
        <v>9.6423061880138938E-2</v>
      </c>
      <c r="R91" s="1706" cm="1">
        <f t="array" aca="1" ref="R91" ca="1">INDIRECT("'※ 인력 세부데이터'!"&amp;R$1&amp;$T92, TRUE)</f>
        <v>-0.10753528464525908</v>
      </c>
      <c r="S91" s="1706" cm="1">
        <f t="array" aca="1" ref="S91" ca="1">INDIRECT("'※ 인력 세부데이터'!"&amp;S$1&amp;$T92, TRUE)</f>
        <v>0.18191721132897604</v>
      </c>
      <c r="T91" s="1596">
        <f>ROW('※ 인력 세부데이터'!J87)</f>
        <v>87</v>
      </c>
      <c r="U91" s="681"/>
      <c r="V91" s="681"/>
      <c r="W91" s="594"/>
      <c r="X91" s="594"/>
      <c r="Y91" s="594"/>
      <c r="Z91" s="594"/>
      <c r="AA91" s="594"/>
      <c r="AB91" s="594"/>
      <c r="AC91" s="594"/>
      <c r="AD91" s="594"/>
      <c r="AE91" s="594"/>
      <c r="AF91" s="594"/>
      <c r="AG91" s="594"/>
      <c r="AH91" s="594"/>
      <c r="AI91" s="594"/>
      <c r="AJ91" s="594"/>
      <c r="AK91" s="594"/>
      <c r="AL91" s="594"/>
      <c r="AM91" s="594"/>
      <c r="AN91" s="594"/>
      <c r="AO91" s="594"/>
      <c r="AP91" s="594"/>
      <c r="AQ91" s="594"/>
      <c r="AR91" s="594"/>
      <c r="AS91" s="594"/>
      <c r="AT91" s="594"/>
      <c r="AU91" s="594"/>
      <c r="AV91" s="594"/>
      <c r="AW91" s="594"/>
      <c r="AX91" s="594"/>
      <c r="AY91" s="594"/>
      <c r="AZ91" s="594"/>
      <c r="BA91" s="594"/>
      <c r="BB91" s="594"/>
      <c r="BC91" s="594"/>
      <c r="BD91" s="594"/>
    </row>
    <row r="92" spans="1:56" x14ac:dyDescent="0.55000000000000004">
      <c r="A92" s="7444"/>
      <c r="B92" s="1711"/>
      <c r="C92" s="1716" t="s">
        <v>1019</v>
      </c>
      <c r="D92" s="1717" cm="1">
        <f t="array" aca="1" ref="D92" ca="1">INDIRECT("'※ 인력 세부데이터'!"&amp;D$1&amp;$T93, TRUE)</f>
        <v>1.3333333333333333</v>
      </c>
      <c r="E92" s="1718" cm="1">
        <f t="array" aca="1" ref="E92" ca="1">INDIRECT("'※ 인력 세부데이터'!"&amp;E$1&amp;$T93, TRUE)</f>
        <v>2.6363636363636362</v>
      </c>
      <c r="F92" s="1719" cm="1">
        <f t="array" aca="1" ref="F92" ca="1">INDIRECT("'※ 인력 세부데이터'!"&amp;F$1&amp;$T93, TRUE)</f>
        <v>3</v>
      </c>
      <c r="G92" s="1718" cm="1">
        <f t="array" aca="1" ref="G92" ca="1">INDIRECT("'※ 인력 세부데이터'!"&amp;G$1&amp;$T93, TRUE)</f>
        <v>2</v>
      </c>
      <c r="H92" s="1718" cm="1">
        <f t="array" aca="1" ref="H92" ca="1">INDIRECT("'※ 인력 세부데이터'!"&amp;H$1&amp;$T93, TRUE)</f>
        <v>4</v>
      </c>
      <c r="I92" s="1718" cm="1">
        <f t="array" aca="1" ref="I92" ca="1">INDIRECT("'※ 인력 세부데이터'!"&amp;I$1&amp;$T93, TRUE)</f>
        <v>2</v>
      </c>
      <c r="J92" s="1718" cm="1">
        <f t="array" aca="1" ref="J92" ca="1">INDIRECT("'※ 인력 세부데이터'!"&amp;J$1&amp;$T93, TRUE)</f>
        <v>1</v>
      </c>
      <c r="K92" s="1718" cm="1">
        <f t="array" aca="1" ref="K92" ca="1">INDIRECT("'※ 인력 세부데이터'!"&amp;K$1&amp;$T93, TRUE)</f>
        <v>3</v>
      </c>
      <c r="L92" s="6431" cm="1">
        <f t="array" aca="1" ref="L92" ca="1">INDIRECT("'※ 인력 세부데이터'!"&amp;L$1&amp;$T93, TRUE)</f>
        <v>1</v>
      </c>
      <c r="M92" s="1718" cm="1">
        <f t="array" aca="1" ref="M92" ca="1">INDIRECT("'※ 인력 세부데이터'!"&amp;M$1&amp;$T93, TRUE)</f>
        <v>1</v>
      </c>
      <c r="N92" s="1718" cm="1">
        <f t="array" aca="1" ref="N92" ca="1">INDIRECT("'※ 인력 세부데이터'!"&amp;N$1&amp;$T93, TRUE)</f>
        <v>1</v>
      </c>
      <c r="O92" s="1719" cm="1">
        <f t="array" aca="1" ref="O92" ca="1">INDIRECT("'※ 인력 세부데이터'!"&amp;O$2&amp;$T93, TRUE)</f>
        <v>1</v>
      </c>
      <c r="P92" s="1718" cm="1">
        <f t="array" aca="1" ref="P92" ca="1">INDIRECT("'※ 인력 세부데이터'!"&amp;P$1&amp;$T93, TRUE)</f>
        <v>-1</v>
      </c>
      <c r="Q92" s="1718" cm="1">
        <f t="array" aca="1" ref="Q92" ca="1">INDIRECT("'※ 인력 세부데이터'!"&amp;Q$1&amp;$T93, TRUE)</f>
        <v>-1.6363636363636362</v>
      </c>
      <c r="R92" s="1718" cm="1">
        <f t="array" aca="1" ref="R92" ca="1">INDIRECT("'※ 인력 세부데이터'!"&amp;R$1&amp;$T93, TRUE)</f>
        <v>-3</v>
      </c>
      <c r="S92" s="1718" cm="1">
        <f t="array" aca="1" ref="S92" ca="1">INDIRECT("'※ 인력 세부데이터'!"&amp;S$1&amp;$T93, TRUE)</f>
        <v>0</v>
      </c>
      <c r="T92" s="1596">
        <f>ROW('※ 인력 세부데이터'!J88)</f>
        <v>88</v>
      </c>
      <c r="U92" s="681"/>
      <c r="V92" s="681"/>
      <c r="W92" s="594"/>
      <c r="X92" s="594"/>
      <c r="Y92" s="594"/>
      <c r="Z92" s="594"/>
      <c r="AA92" s="594"/>
      <c r="AB92" s="594"/>
      <c r="AC92" s="594"/>
      <c r="AD92" s="594"/>
      <c r="AE92" s="594"/>
      <c r="AF92" s="594"/>
      <c r="AG92" s="594"/>
      <c r="AH92" s="594"/>
      <c r="AI92" s="594"/>
      <c r="AJ92" s="594"/>
      <c r="AK92" s="594"/>
      <c r="AL92" s="594"/>
      <c r="AM92" s="594"/>
      <c r="AN92" s="594"/>
      <c r="AO92" s="594"/>
      <c r="AP92" s="594"/>
      <c r="AQ92" s="594"/>
      <c r="AR92" s="594"/>
      <c r="AS92" s="594"/>
      <c r="AT92" s="594"/>
      <c r="AU92" s="594"/>
      <c r="AV92" s="594"/>
      <c r="AW92" s="594"/>
      <c r="AX92" s="594"/>
      <c r="AY92" s="594"/>
      <c r="AZ92" s="594"/>
      <c r="BA92" s="594"/>
      <c r="BB92" s="594"/>
      <c r="BC92" s="594"/>
      <c r="BD92" s="594"/>
    </row>
    <row r="93" spans="1:56" x14ac:dyDescent="0.55000000000000004">
      <c r="A93" s="7444"/>
      <c r="B93" s="1711"/>
      <c r="C93" s="1712" t="s">
        <v>981</v>
      </c>
      <c r="D93" s="1677"/>
      <c r="E93" s="1713" cm="1">
        <f t="array" aca="1" ref="E93" ca="1">INDIRECT("'※ 인력 세부데이터'!"&amp;E$1&amp;$T94, TRUE)</f>
        <v>1.2857142857142858</v>
      </c>
      <c r="F93" s="1714" cm="1">
        <f t="array" aca="1" ref="F93" ca="1">INDIRECT("'※ 인력 세부데이터'!"&amp;F$1&amp;$T94, TRUE)</f>
        <v>2</v>
      </c>
      <c r="G93" s="1713" cm="1">
        <f t="array" aca="1" ref="G93" ca="1">INDIRECT("'※ 인력 세부데이터'!"&amp;G$1&amp;$T94, TRUE)</f>
        <v>2</v>
      </c>
      <c r="H93" s="1713" cm="1">
        <f t="array" aca="1" ref="H93" ca="1">INDIRECT("'※ 인력 세부데이터'!"&amp;H$1&amp;$T94, TRUE)</f>
        <v>1</v>
      </c>
      <c r="I93" s="1713" cm="1">
        <f t="array" aca="1" ref="I93" ca="1">INDIRECT("'※ 인력 세부데이터'!"&amp;I$1&amp;$T94, TRUE)</f>
        <v>1</v>
      </c>
      <c r="J93" s="1713" cm="1">
        <f t="array" aca="1" ref="J93" ca="1">INDIRECT("'※ 인력 세부데이터'!"&amp;J$1&amp;$T94, TRUE)</f>
        <v>1</v>
      </c>
      <c r="K93" s="1713" cm="1">
        <f t="array" aca="1" ref="K93" ca="1">INDIRECT("'※ 인력 세부데이터'!"&amp;K$1&amp;$T94, TRUE)</f>
        <v>0</v>
      </c>
      <c r="L93" s="6429" cm="1">
        <f t="array" aca="1" ref="L93" ca="1">INDIRECT("'※ 인력 세부데이터'!"&amp;L$1&amp;$T94, TRUE)</f>
        <v>0</v>
      </c>
      <c r="M93" s="1713" cm="1">
        <f t="array" aca="1" ref="M93" ca="1">INDIRECT("'※ 인력 세부데이터'!"&amp;M$1&amp;$T94, TRUE)</f>
        <v>0</v>
      </c>
      <c r="N93" s="1713" cm="1">
        <f t="array" aca="1" ref="N93" ca="1">INDIRECT("'※ 인력 세부데이터'!"&amp;N$1&amp;$T94, TRUE)</f>
        <v>0</v>
      </c>
      <c r="O93" s="1714" cm="1">
        <f t="array" aca="1" ref="O93" ca="1">INDIRECT("'※ 인력 세부데이터'!"&amp;O$2&amp;$T94, TRUE)</f>
        <v>0</v>
      </c>
      <c r="P93" s="1713" cm="1">
        <f t="array" aca="1" ref="P93" ca="1">INDIRECT("'※ 인력 세부데이터'!"&amp;P$1&amp;$T94, TRUE)</f>
        <v>-2</v>
      </c>
      <c r="Q93" s="1713" cm="1">
        <f t="array" aca="1" ref="Q93" ca="1">INDIRECT("'※ 인력 세부데이터'!"&amp;Q$1&amp;$T94, TRUE)</f>
        <v>-1.2857142857142858</v>
      </c>
      <c r="R93" s="1713" cm="1">
        <f t="array" aca="1" ref="R93" ca="1">INDIRECT("'※ 인력 세부데이터'!"&amp;R$1&amp;$T94, TRUE)</f>
        <v>-4</v>
      </c>
      <c r="S93" s="1713" cm="1">
        <f t="array" aca="1" ref="S93" ca="1">INDIRECT("'※ 인력 세부데이터'!"&amp;S$1&amp;$T94, TRUE)</f>
        <v>0</v>
      </c>
      <c r="T93" s="1596">
        <f>ROW('※ 인력 세부데이터'!J89)</f>
        <v>89</v>
      </c>
      <c r="U93" s="681"/>
      <c r="V93" s="681"/>
      <c r="W93" s="594"/>
      <c r="X93" s="594"/>
      <c r="Y93" s="594"/>
      <c r="Z93" s="594"/>
      <c r="AA93" s="594"/>
      <c r="AB93" s="594"/>
      <c r="AC93" s="594"/>
      <c r="AD93" s="594"/>
      <c r="AE93" s="594"/>
      <c r="AF93" s="594"/>
      <c r="AG93" s="594"/>
      <c r="AH93" s="594"/>
      <c r="AI93" s="594"/>
      <c r="AJ93" s="594"/>
      <c r="AK93" s="594"/>
      <c r="AL93" s="594"/>
      <c r="AM93" s="594"/>
      <c r="AN93" s="594"/>
      <c r="AO93" s="594"/>
      <c r="AP93" s="594"/>
      <c r="AQ93" s="594"/>
      <c r="AR93" s="594"/>
      <c r="AS93" s="594"/>
      <c r="AT93" s="594"/>
      <c r="AU93" s="594"/>
      <c r="AV93" s="594"/>
      <c r="AW93" s="594"/>
      <c r="AX93" s="594"/>
      <c r="AY93" s="594"/>
      <c r="AZ93" s="594"/>
      <c r="BA93" s="594"/>
      <c r="BB93" s="594"/>
      <c r="BC93" s="594"/>
      <c r="BD93" s="594"/>
    </row>
    <row r="94" spans="1:56" x14ac:dyDescent="0.55000000000000004">
      <c r="A94" s="7444"/>
      <c r="B94" s="1711"/>
      <c r="C94" s="1715" t="s">
        <v>989</v>
      </c>
      <c r="D94" s="1684"/>
      <c r="E94" s="1706" cm="1">
        <f t="array" aca="1" ref="E94" ca="1">INDIRECT("'※ 인력 세부데이터'!"&amp;E$1&amp;$T95, TRUE)</f>
        <v>0.55952380952380953</v>
      </c>
      <c r="F94" s="1705" cm="1">
        <f t="array" aca="1" ref="F94" ca="1">INDIRECT("'※ 인력 세부데이터'!"&amp;F$1&amp;$T95, TRUE)</f>
        <v>0.66666666666666663</v>
      </c>
      <c r="G94" s="1706" cm="1">
        <f t="array" aca="1" ref="G94" ca="1">INDIRECT("'※ 인력 세부데이터'!"&amp;G$1&amp;$T95, TRUE)</f>
        <v>1</v>
      </c>
      <c r="H94" s="1706" cm="1">
        <f t="array" aca="1" ref="H94" ca="1">INDIRECT("'※ 인력 세부데이터'!"&amp;H$1&amp;$T95, TRUE)</f>
        <v>0.25</v>
      </c>
      <c r="I94" s="1706" cm="1">
        <f t="array" aca="1" ref="I94" ca="1">INDIRECT("'※ 인력 세부데이터'!"&amp;I$1&amp;$T95, TRUE)</f>
        <v>0.5</v>
      </c>
      <c r="J94" s="1706" cm="1">
        <f t="array" aca="1" ref="J94" ca="1">INDIRECT("'※ 인력 세부데이터'!"&amp;J$1&amp;$T95, TRUE)</f>
        <v>1</v>
      </c>
      <c r="K94" s="1706" cm="1">
        <f t="array" aca="1" ref="K94" ca="1">INDIRECT("'※ 인력 세부데이터'!"&amp;K$1&amp;$T95, TRUE)</f>
        <v>0</v>
      </c>
      <c r="L94" s="6430" cm="1">
        <f t="array" aca="1" ref="L94" ca="1">INDIRECT("'※ 인력 세부데이터'!"&amp;L$1&amp;$T95, TRUE)</f>
        <v>0</v>
      </c>
      <c r="M94" s="1706" cm="1">
        <f t="array" aca="1" ref="M94" ca="1">INDIRECT("'※ 인력 세부데이터'!"&amp;M$1&amp;$T95, TRUE)</f>
        <v>0</v>
      </c>
      <c r="N94" s="1706" cm="1">
        <f t="array" aca="1" ref="N94" ca="1">INDIRECT("'※ 인력 세부데이터'!"&amp;N$1&amp;$T95, TRUE)</f>
        <v>0</v>
      </c>
      <c r="O94" s="1705" cm="1">
        <f t="array" aca="1" ref="O94" ca="1">INDIRECT("'※ 인력 세부데이터'!"&amp;O$1&amp;$T95, TRUE)</f>
        <v>0</v>
      </c>
      <c r="P94" s="1706" cm="1">
        <f t="array" aca="1" ref="P94" ca="1">INDIRECT("'※ 인력 세부데이터'!"&amp;P$1&amp;$T95, TRUE)</f>
        <v>-1</v>
      </c>
      <c r="Q94" s="1706" cm="1">
        <f t="array" aca="1" ref="Q94" ca="1">INDIRECT("'※ 인력 세부데이터'!"&amp;Q$1&amp;$T95, TRUE)</f>
        <v>-0.55952380952380953</v>
      </c>
      <c r="R94" s="1706" cm="1">
        <f t="array" aca="1" ref="R94" ca="1">INDIRECT("'※ 인력 세부데이터'!"&amp;R$1&amp;$T95, TRUE)</f>
        <v>-1.6666666666666665</v>
      </c>
      <c r="S94" s="1706" cm="1">
        <f t="array" aca="1" ref="S94" ca="1">INDIRECT("'※ 인력 세부데이터'!"&amp;S$1&amp;$T95, TRUE)</f>
        <v>0</v>
      </c>
      <c r="T94" s="1596">
        <f>ROW('※ 인력 세부데이터'!J90)</f>
        <v>90</v>
      </c>
      <c r="U94" s="681"/>
      <c r="V94" s="681"/>
      <c r="W94" s="594"/>
      <c r="X94" s="594"/>
      <c r="Y94" s="594"/>
      <c r="Z94" s="594"/>
      <c r="AA94" s="594"/>
      <c r="AB94" s="594"/>
      <c r="AC94" s="594"/>
      <c r="AD94" s="594"/>
      <c r="AE94" s="594"/>
      <c r="AF94" s="594"/>
      <c r="AG94" s="594"/>
      <c r="AH94" s="594"/>
      <c r="AI94" s="594"/>
      <c r="AJ94" s="594"/>
      <c r="AK94" s="594"/>
      <c r="AL94" s="594"/>
      <c r="AM94" s="594"/>
      <c r="AN94" s="594"/>
      <c r="AO94" s="594"/>
      <c r="AP94" s="594"/>
      <c r="AQ94" s="594"/>
      <c r="AR94" s="594"/>
      <c r="AS94" s="594"/>
      <c r="AT94" s="594"/>
      <c r="AU94" s="594"/>
      <c r="AV94" s="594"/>
      <c r="AW94" s="594"/>
      <c r="AX94" s="594"/>
      <c r="AY94" s="594"/>
      <c r="AZ94" s="594"/>
      <c r="BA94" s="594"/>
      <c r="BB94" s="594"/>
      <c r="BC94" s="594"/>
      <c r="BD94" s="594"/>
    </row>
    <row r="95" spans="1:56" x14ac:dyDescent="0.55000000000000004">
      <c r="A95" s="7444"/>
      <c r="B95" s="1711"/>
      <c r="C95" s="1716" t="s">
        <v>979</v>
      </c>
      <c r="D95" s="1717" cm="1">
        <f t="array" aca="1" ref="D95" ca="1">INDIRECT("'※ 인력 세부데이터'!"&amp;D$1&amp;$T96, TRUE)</f>
        <v>11.833333333333334</v>
      </c>
      <c r="E95" s="1718" cm="1">
        <f t="array" aca="1" ref="E95" ca="1">INDIRECT("'※ 인력 세부데이터'!"&amp;E$1&amp;$T96, TRUE)</f>
        <v>10.333333333333334</v>
      </c>
      <c r="F95" s="1719" cm="1">
        <f t="array" aca="1" ref="F95" ca="1">INDIRECT("'※ 인력 세부데이터'!"&amp;F$1&amp;$T96, TRUE)</f>
        <v>6</v>
      </c>
      <c r="G95" s="1718" cm="1">
        <f t="array" aca="1" ref="G95" ca="1">INDIRECT("'※ 인력 세부데이터'!"&amp;G$1&amp;$T96, TRUE)</f>
        <v>10</v>
      </c>
      <c r="H95" s="1718" cm="1">
        <f t="array" aca="1" ref="H95" ca="1">INDIRECT("'※ 인력 세부데이터'!"&amp;H$1&amp;$T96, TRUE)</f>
        <v>8</v>
      </c>
      <c r="I95" s="1718" cm="1">
        <f t="array" aca="1" ref="I95" ca="1">INDIRECT("'※ 인력 세부데이터'!"&amp;I$1&amp;$T96, TRUE)</f>
        <v>10</v>
      </c>
      <c r="J95" s="1718" cm="1">
        <f t="array" aca="1" ref="J95" ca="1">INDIRECT("'※ 인력 세부데이터'!"&amp;J$1&amp;$T96, TRUE)</f>
        <v>7</v>
      </c>
      <c r="K95" s="1718" cm="1">
        <f t="array" aca="1" ref="K95" ca="1">INDIRECT("'※ 인력 세부데이터'!"&amp;K$1&amp;$T96, TRUE)</f>
        <v>11</v>
      </c>
      <c r="L95" s="6431" cm="1">
        <f t="array" aca="1" ref="L95" ca="1">INDIRECT("'※ 인력 세부데이터'!"&amp;L$1&amp;$T96, TRUE)</f>
        <v>13.5</v>
      </c>
      <c r="M95" s="1718" cm="1">
        <f t="array" aca="1" ref="M95" ca="1">INDIRECT("'※ 인력 세부데이터'!"&amp;M$1&amp;$T96, TRUE)</f>
        <v>13</v>
      </c>
      <c r="N95" s="1718" cm="1">
        <f t="array" aca="1" ref="N95" ca="1">INDIRECT("'※ 인력 세부데이터'!"&amp;N$1&amp;$T96, TRUE)</f>
        <v>14</v>
      </c>
      <c r="O95" s="1719" cm="1">
        <f t="array" aca="1" ref="O95" ca="1">INDIRECT("'※ 인력 세부데이터'!"&amp;O$2&amp;$T96, TRUE)</f>
        <v>14</v>
      </c>
      <c r="P95" s="1718" cm="1">
        <f t="array" aca="1" ref="P95" ca="1">INDIRECT("'※ 인력 세부데이터'!"&amp;P$1&amp;$T96, TRUE)</f>
        <v>4</v>
      </c>
      <c r="Q95" s="1718" cm="1">
        <f t="array" aca="1" ref="Q95" ca="1">INDIRECT("'※ 인력 세부데이터'!"&amp;Q$1&amp;$T96, TRUE)</f>
        <v>3.1666666666666661</v>
      </c>
      <c r="R95" s="1718" cm="1">
        <f t="array" aca="1" ref="R95" ca="1">INDIRECT("'※ 인력 세부데이터'!"&amp;R$1&amp;$T96, TRUE)</f>
        <v>11</v>
      </c>
      <c r="S95" s="1718" cm="1">
        <f t="array" aca="1" ref="S95" ca="1">INDIRECT("'※ 인력 세부데이터'!"&amp;S$1&amp;$T96, TRUE)</f>
        <v>1</v>
      </c>
      <c r="T95" s="1596">
        <f>ROW('※ 인력 세부데이터'!J91)</f>
        <v>91</v>
      </c>
      <c r="U95" s="681"/>
      <c r="V95" s="681"/>
      <c r="W95" s="594"/>
      <c r="X95" s="594"/>
      <c r="Y95" s="594"/>
      <c r="Z95" s="594"/>
      <c r="AA95" s="594"/>
      <c r="AB95" s="594"/>
      <c r="AC95" s="594"/>
      <c r="AD95" s="594"/>
      <c r="AE95" s="594"/>
      <c r="AF95" s="594"/>
      <c r="AG95" s="594"/>
      <c r="AH95" s="594"/>
      <c r="AI95" s="594"/>
      <c r="AJ95" s="594"/>
      <c r="AK95" s="594"/>
      <c r="AL95" s="594"/>
      <c r="AM95" s="594"/>
      <c r="AN95" s="594"/>
      <c r="AO95" s="594"/>
      <c r="AP95" s="594"/>
      <c r="AQ95" s="594"/>
      <c r="AR95" s="594"/>
      <c r="AS95" s="594"/>
      <c r="AT95" s="594"/>
      <c r="AU95" s="594"/>
      <c r="AV95" s="594"/>
      <c r="AW95" s="594"/>
      <c r="AX95" s="594"/>
      <c r="AY95" s="594"/>
      <c r="AZ95" s="594"/>
      <c r="BA95" s="594"/>
      <c r="BB95" s="594"/>
      <c r="BC95" s="594"/>
      <c r="BD95" s="594"/>
    </row>
    <row r="96" spans="1:56" x14ac:dyDescent="0.55000000000000004">
      <c r="A96" s="7444"/>
      <c r="B96" s="1711"/>
      <c r="C96" s="1712" t="s">
        <v>981</v>
      </c>
      <c r="D96" s="1677"/>
      <c r="E96" s="1713" cm="1">
        <f t="array" aca="1" ref="E96" ca="1">INDIRECT("'※ 인력 세부데이터'!"&amp;E$1&amp;$T97, TRUE)</f>
        <v>3.4166666666666665</v>
      </c>
      <c r="F96" s="1714" cm="1">
        <f t="array" aca="1" ref="F96" ca="1">INDIRECT("'※ 인력 세부데이터'!"&amp;F$1&amp;$T97, TRUE)</f>
        <v>4</v>
      </c>
      <c r="G96" s="1713" cm="1">
        <f t="array" aca="1" ref="G96" ca="1">INDIRECT("'※ 인력 세부데이터'!"&amp;G$1&amp;$T97, TRUE)</f>
        <v>5</v>
      </c>
      <c r="H96" s="1713" cm="1">
        <f t="array" aca="1" ref="H96" ca="1">INDIRECT("'※ 인력 세부데이터'!"&amp;H$1&amp;$T97, TRUE)</f>
        <v>3</v>
      </c>
      <c r="I96" s="1713" cm="1">
        <f t="array" aca="1" ref="I96" ca="1">INDIRECT("'※ 인력 세부데이터'!"&amp;I$1&amp;$T97, TRUE)</f>
        <v>1</v>
      </c>
      <c r="J96" s="1713" cm="1">
        <f t="array" aca="1" ref="J96" ca="1">INDIRECT("'※ 인력 세부데이터'!"&amp;J$1&amp;$T97, TRUE)</f>
        <v>5</v>
      </c>
      <c r="K96" s="1713" cm="1">
        <f t="array" aca="1" ref="K96" ca="1">INDIRECT("'※ 인력 세부데이터'!"&amp;K$1&amp;$T97, TRUE)</f>
        <v>2</v>
      </c>
      <c r="L96" s="6429" cm="1">
        <f t="array" aca="1" ref="L96" ca="1">INDIRECT("'※ 인력 세부데이터'!"&amp;L$1&amp;$T97, TRUE)</f>
        <v>5</v>
      </c>
      <c r="M96" s="1713" cm="1">
        <f t="array" aca="1" ref="M96" ca="1">INDIRECT("'※ 인력 세부데이터'!"&amp;M$1&amp;$T97, TRUE)</f>
        <v>5</v>
      </c>
      <c r="N96" s="1713" cm="1">
        <f t="array" aca="1" ref="N96" ca="1">INDIRECT("'※ 인력 세부데이터'!"&amp;N$1&amp;$T97, TRUE)</f>
        <v>5</v>
      </c>
      <c r="O96" s="1714" cm="1">
        <f t="array" aca="1" ref="O96" ca="1">INDIRECT("'※ 인력 세부데이터'!"&amp;O$2&amp;$T97, TRUE)</f>
        <v>5</v>
      </c>
      <c r="P96" s="1713" cm="1">
        <f t="array" aca="1" ref="P96" ca="1">INDIRECT("'※ 인력 세부데이터'!"&amp;P$1&amp;$T97, TRUE)</f>
        <v>0</v>
      </c>
      <c r="Q96" s="1713" cm="1">
        <f t="array" aca="1" ref="Q96" ca="1">INDIRECT("'※ 인력 세부데이터'!"&amp;Q$1&amp;$T97, TRUE)</f>
        <v>1.5833333333333335</v>
      </c>
      <c r="R96" s="1713" cm="1">
        <f t="array" aca="1" ref="R96" ca="1">INDIRECT("'※ 인력 세부데이터'!"&amp;R$1&amp;$T97, TRUE)</f>
        <v>1</v>
      </c>
      <c r="S96" s="1713" cm="1">
        <f t="array" aca="1" ref="S96" ca="1">INDIRECT("'※ 인력 세부데이터'!"&amp;S$1&amp;$T97, TRUE)</f>
        <v>0</v>
      </c>
      <c r="T96" s="1596">
        <f>ROW('※ 인력 세부데이터'!J92)</f>
        <v>92</v>
      </c>
      <c r="U96" s="681"/>
      <c r="V96" s="681"/>
      <c r="W96" s="594"/>
      <c r="X96" s="594"/>
      <c r="Y96" s="594"/>
      <c r="Z96" s="594"/>
      <c r="AA96" s="594"/>
      <c r="AB96" s="594"/>
      <c r="AC96" s="594"/>
      <c r="AD96" s="594"/>
      <c r="AE96" s="594"/>
      <c r="AF96" s="594"/>
      <c r="AG96" s="594"/>
      <c r="AH96" s="594"/>
      <c r="AI96" s="594"/>
      <c r="AJ96" s="594"/>
      <c r="AK96" s="594"/>
      <c r="AL96" s="594"/>
      <c r="AM96" s="594"/>
      <c r="AN96" s="594"/>
      <c r="AO96" s="594"/>
      <c r="AP96" s="594"/>
      <c r="AQ96" s="594"/>
      <c r="AR96" s="594"/>
      <c r="AS96" s="594"/>
      <c r="AT96" s="594"/>
      <c r="AU96" s="594"/>
      <c r="AV96" s="594"/>
      <c r="AW96" s="594"/>
      <c r="AX96" s="594"/>
      <c r="AY96" s="594"/>
      <c r="AZ96" s="594"/>
      <c r="BA96" s="594"/>
      <c r="BB96" s="594"/>
      <c r="BC96" s="594"/>
      <c r="BD96" s="594"/>
    </row>
    <row r="97" spans="1:56" x14ac:dyDescent="0.55000000000000004">
      <c r="A97" s="7444"/>
      <c r="B97" s="1711"/>
      <c r="C97" s="1715" t="s">
        <v>989</v>
      </c>
      <c r="D97" s="1684"/>
      <c r="E97" s="1706" cm="1">
        <f t="array" aca="1" ref="E97" ca="1">INDIRECT("'※ 인력 세부데이터'!"&amp;E$1&amp;$T98, TRUE)</f>
        <v>0.37521751124692299</v>
      </c>
      <c r="F97" s="1705" cm="1">
        <f t="array" aca="1" ref="F97" ca="1">INDIRECT("'※ 인력 세부데이터'!"&amp;F$1&amp;$T98, TRUE)</f>
        <v>0.66666666666666663</v>
      </c>
      <c r="G97" s="1706" cm="1">
        <f t="array" aca="1" ref="G97" ca="1">INDIRECT("'※ 인력 세부데이터'!"&amp;G$1&amp;$T98, TRUE)</f>
        <v>0.5</v>
      </c>
      <c r="H97" s="1706" cm="1">
        <f t="array" aca="1" ref="H97" ca="1">INDIRECT("'※ 인력 세부데이터'!"&amp;H$1&amp;$T98, TRUE)</f>
        <v>0.375</v>
      </c>
      <c r="I97" s="1706" cm="1">
        <f t="array" aca="1" ref="I97" ca="1">INDIRECT("'※ 인력 세부데이터'!"&amp;I$1&amp;$T98, TRUE)</f>
        <v>0.1</v>
      </c>
      <c r="J97" s="1706" cm="1">
        <f t="array" aca="1" ref="J97" ca="1">INDIRECT("'※ 인력 세부데이터'!"&amp;J$1&amp;$T98, TRUE)</f>
        <v>0.7142857142857143</v>
      </c>
      <c r="K97" s="1706" cm="1">
        <f t="array" aca="1" ref="K97" ca="1">INDIRECT("'※ 인력 세부데이터'!"&amp;K$1&amp;$T98, TRUE)</f>
        <v>0.18181818181818182</v>
      </c>
      <c r="L97" s="6430" cm="1">
        <f t="array" aca="1" ref="L97" ca="1">INDIRECT("'※ 인력 세부데이터'!"&amp;L$1&amp;$T98, TRUE)</f>
        <v>0.37087912087912089</v>
      </c>
      <c r="M97" s="1706" cm="1">
        <f t="array" aca="1" ref="M97" ca="1">INDIRECT("'※ 인력 세부데이터'!"&amp;M$1&amp;$T98, TRUE)</f>
        <v>0.38461538461538464</v>
      </c>
      <c r="N97" s="1706" cm="1">
        <f t="array" aca="1" ref="N97" ca="1">INDIRECT("'※ 인력 세부데이터'!"&amp;N$1&amp;$T98, TRUE)</f>
        <v>0.35714285714285715</v>
      </c>
      <c r="O97" s="1705" cm="1">
        <f t="array" aca="1" ref="O97" ca="1">INDIRECT("'※ 인력 세부데이터'!"&amp;O$1&amp;$T98, TRUE)</f>
        <v>0</v>
      </c>
      <c r="P97" s="1706" cm="1">
        <f t="array" aca="1" ref="P97" ca="1">INDIRECT("'※ 인력 세부데이터'!"&amp;P$1&amp;$T98, TRUE)</f>
        <v>-0.14285714285714285</v>
      </c>
      <c r="Q97" s="1706" cm="1">
        <f t="array" aca="1" ref="Q97" ca="1">INDIRECT("'※ 인력 세부데이터'!"&amp;Q$1&amp;$T98, TRUE)</f>
        <v>-4.3383903678020919E-3</v>
      </c>
      <c r="R97" s="1706" cm="1">
        <f t="array" aca="1" ref="R97" ca="1">INDIRECT("'※ 인력 세부데이터'!"&amp;R$1&amp;$T98, TRUE)</f>
        <v>-0.42490842490842473</v>
      </c>
      <c r="S97" s="1706" cm="1">
        <f t="array" aca="1" ref="S97" ca="1">INDIRECT("'※ 인력 세부데이터'!"&amp;S$1&amp;$T98, TRUE)</f>
        <v>-2.7472527472527486E-2</v>
      </c>
      <c r="T97" s="1596">
        <f>ROW('※ 인력 세부데이터'!J93)</f>
        <v>93</v>
      </c>
      <c r="U97" s="681"/>
      <c r="V97" s="681"/>
      <c r="W97" s="594"/>
      <c r="X97" s="594"/>
      <c r="Y97" s="594"/>
      <c r="Z97" s="594"/>
      <c r="AA97" s="594"/>
      <c r="AB97" s="594"/>
      <c r="AC97" s="594"/>
      <c r="AD97" s="594"/>
      <c r="AE97" s="594"/>
      <c r="AF97" s="594"/>
      <c r="AG97" s="594"/>
      <c r="AH97" s="594"/>
      <c r="AI97" s="594"/>
      <c r="AJ97" s="594"/>
      <c r="AK97" s="594"/>
      <c r="AL97" s="594"/>
      <c r="AM97" s="594"/>
      <c r="AN97" s="594"/>
      <c r="AO97" s="594"/>
      <c r="AP97" s="594"/>
      <c r="AQ97" s="594"/>
      <c r="AR97" s="594"/>
      <c r="AS97" s="594"/>
      <c r="AT97" s="594"/>
      <c r="AU97" s="594"/>
      <c r="AV97" s="594"/>
      <c r="AW97" s="594"/>
      <c r="AX97" s="594"/>
      <c r="AY97" s="594"/>
      <c r="AZ97" s="594"/>
      <c r="BA97" s="594"/>
      <c r="BB97" s="594"/>
      <c r="BC97" s="594"/>
      <c r="BD97" s="594"/>
    </row>
    <row r="98" spans="1:56" x14ac:dyDescent="0.55000000000000004">
      <c r="A98" s="7444"/>
      <c r="B98" s="1711"/>
      <c r="C98" s="1716" t="s">
        <v>980</v>
      </c>
      <c r="D98" s="1717" cm="1">
        <f t="array" aca="1" ref="D98" ca="1">INDIRECT("'※ 인력 세부데이터'!"&amp;D$1&amp;$T99, TRUE)</f>
        <v>2.9166666666666665</v>
      </c>
      <c r="E98" s="1718" cm="1">
        <f t="array" aca="1" ref="E98" ca="1">INDIRECT("'※ 인력 세부데이터'!"&amp;E$1&amp;$T99, TRUE)</f>
        <v>2.8333333333333335</v>
      </c>
      <c r="F98" s="1720" cm="1">
        <f t="array" aca="1" ref="F98" ca="1">INDIRECT("'※ 인력 세부데이터'!"&amp;F$1&amp;$T99, TRUE)</f>
        <v>0</v>
      </c>
      <c r="G98" s="1718" cm="1">
        <f t="array" aca="1" ref="G98" ca="1">INDIRECT("'※ 인력 세부데이터'!"&amp;G$1&amp;$T99, TRUE)</f>
        <v>4</v>
      </c>
      <c r="H98" s="1718" cm="1">
        <f t="array" aca="1" ref="H98" ca="1">INDIRECT("'※ 인력 세부데이터'!"&amp;H$1&amp;$T99, TRUE)</f>
        <v>7</v>
      </c>
      <c r="I98" s="1718" cm="1">
        <f t="array" aca="1" ref="I98" ca="1">INDIRECT("'※ 인력 세부데이터'!"&amp;I$1&amp;$T99, TRUE)</f>
        <v>3</v>
      </c>
      <c r="J98" s="1718" cm="1">
        <f t="array" aca="1" ref="J98" ca="1">INDIRECT("'※ 인력 세부데이터'!"&amp;J$1&amp;$T99, TRUE)</f>
        <v>2</v>
      </c>
      <c r="K98" s="1718" cm="1">
        <f t="array" aca="1" ref="K98" ca="1">INDIRECT("'※ 인력 세부데이터'!"&amp;K$1&amp;$T99, TRUE)</f>
        <v>5</v>
      </c>
      <c r="L98" s="6431" cm="1">
        <f t="array" aca="1" ref="L98" ca="1">INDIRECT("'※ 인력 세부데이터'!"&amp;L$1&amp;$T99, TRUE)</f>
        <v>1.5</v>
      </c>
      <c r="M98" s="1718" cm="1">
        <f t="array" aca="1" ref="M98" ca="1">INDIRECT("'※ 인력 세부데이터'!"&amp;M$1&amp;$T99, TRUE)</f>
        <v>3</v>
      </c>
      <c r="N98" s="1718" cm="1">
        <f t="array" aca="1" ref="N98" ca="1">INDIRECT("'※ 인력 세부데이터'!"&amp;N$1&amp;$T99, TRUE)</f>
        <v>0</v>
      </c>
      <c r="O98" s="1719" cm="1">
        <f t="array" aca="1" ref="O98" ca="1">INDIRECT("'※ 인력 세부데이터'!"&amp;O$2&amp;$T99, TRUE)</f>
        <v>0</v>
      </c>
      <c r="P98" s="1718" cm="1">
        <f t="array" aca="1" ref="P98" ca="1">INDIRECT("'※ 인력 세부데이터'!"&amp;P$1&amp;$T99, TRUE)</f>
        <v>-4</v>
      </c>
      <c r="Q98" s="1718" cm="1">
        <f t="array" aca="1" ref="Q98" ca="1">INDIRECT("'※ 인력 세부데이터'!"&amp;Q$1&amp;$T99, TRUE)</f>
        <v>-1.3333333333333335</v>
      </c>
      <c r="R98" s="1718" cm="1">
        <f t="array" aca="1" ref="R98" ca="1">INDIRECT("'※ 인력 세부데이터'!"&amp;R$1&amp;$T99, TRUE)</f>
        <v>-1</v>
      </c>
      <c r="S98" s="1718" cm="1">
        <f t="array" aca="1" ref="S98" ca="1">INDIRECT("'※ 인력 세부데이터'!"&amp;S$1&amp;$T99, TRUE)</f>
        <v>-3</v>
      </c>
      <c r="T98" s="1596">
        <f>ROW('※ 인력 세부데이터'!J94)</f>
        <v>94</v>
      </c>
      <c r="U98" s="681"/>
      <c r="V98" s="681"/>
      <c r="W98" s="594"/>
      <c r="X98" s="594"/>
      <c r="Y98" s="594"/>
      <c r="Z98" s="594"/>
      <c r="AA98" s="594"/>
      <c r="AB98" s="594"/>
      <c r="AC98" s="594"/>
      <c r="AD98" s="594"/>
      <c r="AE98" s="594"/>
      <c r="AF98" s="594"/>
      <c r="AG98" s="594"/>
      <c r="AH98" s="594"/>
      <c r="AI98" s="594"/>
      <c r="AJ98" s="594"/>
      <c r="AK98" s="594"/>
      <c r="AL98" s="594"/>
      <c r="AM98" s="594"/>
      <c r="AN98" s="594"/>
      <c r="AO98" s="594"/>
      <c r="AP98" s="594"/>
      <c r="AQ98" s="594"/>
      <c r="AR98" s="594"/>
      <c r="AS98" s="594"/>
      <c r="AT98" s="594"/>
      <c r="AU98" s="594"/>
      <c r="AV98" s="594"/>
      <c r="AW98" s="594"/>
      <c r="AX98" s="594"/>
      <c r="AY98" s="594"/>
      <c r="AZ98" s="594"/>
      <c r="BA98" s="594"/>
      <c r="BB98" s="594"/>
      <c r="BC98" s="594"/>
      <c r="BD98" s="594"/>
    </row>
    <row r="99" spans="1:56" x14ac:dyDescent="0.55000000000000004">
      <c r="A99" s="7444"/>
      <c r="B99" s="1711"/>
      <c r="C99" s="1712" t="s">
        <v>981</v>
      </c>
      <c r="D99" s="1677"/>
      <c r="E99" s="1713" cm="1">
        <f t="array" aca="1" ref="E99" ca="1">INDIRECT("'※ 인력 세부데이터'!"&amp;E$1&amp;$T100, TRUE)</f>
        <v>0.5</v>
      </c>
      <c r="F99" s="1714" cm="1">
        <f t="array" aca="1" ref="F99" ca="1">INDIRECT("'※ 인력 세부데이터'!"&amp;F$1&amp;$T100, TRUE)</f>
        <v>0</v>
      </c>
      <c r="G99" s="1713" cm="1">
        <f t="array" aca="1" ref="G99" ca="1">INDIRECT("'※ 인력 세부데이터'!"&amp;G$1&amp;$T100, TRUE)</f>
        <v>1</v>
      </c>
      <c r="H99" s="1713" cm="1">
        <f t="array" aca="1" ref="H99" ca="1">INDIRECT("'※ 인력 세부데이터'!"&amp;H$1&amp;$T100, TRUE)</f>
        <v>0</v>
      </c>
      <c r="I99" s="1713" cm="1">
        <f t="array" aca="1" ref="I99" ca="1">INDIRECT("'※ 인력 세부데이터'!"&amp;I$1&amp;$T100, TRUE)</f>
        <v>0</v>
      </c>
      <c r="J99" s="1713" cm="1">
        <f t="array" aca="1" ref="J99" ca="1">INDIRECT("'※ 인력 세부데이터'!"&amp;J$1&amp;$T100, TRUE)</f>
        <v>0</v>
      </c>
      <c r="K99" s="1713" cm="1">
        <f t="array" aca="1" ref="K99" ca="1">INDIRECT("'※ 인력 세부데이터'!"&amp;K$1&amp;$T100, TRUE)</f>
        <v>0</v>
      </c>
      <c r="L99" s="6429" cm="1">
        <f t="array" aca="1" ref="L99" ca="1">INDIRECT("'※ 인력 세부데이터'!"&amp;L$1&amp;$T100, TRUE)</f>
        <v>0</v>
      </c>
      <c r="M99" s="1713" cm="1">
        <f t="array" aca="1" ref="M99" ca="1">INDIRECT("'※ 인력 세부데이터'!"&amp;M$1&amp;$T100, TRUE)</f>
        <v>0</v>
      </c>
      <c r="N99" s="1713" cm="1">
        <f t="array" aca="1" ref="N99" ca="1">INDIRECT("'※ 인력 세부데이터'!"&amp;N$1&amp;$T100, TRUE)</f>
        <v>0</v>
      </c>
      <c r="O99" s="1714" cm="1">
        <f t="array" aca="1" ref="O99" ca="1">INDIRECT("'※ 인력 세부데이터'!"&amp;O$2&amp;$T100, TRUE)</f>
        <v>0</v>
      </c>
      <c r="P99" s="1713" cm="1">
        <f t="array" aca="1" ref="P99" ca="1">INDIRECT("'※ 인력 세부데이터'!"&amp;P$1&amp;$T100, TRUE)</f>
        <v>-1</v>
      </c>
      <c r="Q99" s="1713" cm="1">
        <f t="array" aca="1" ref="Q99" ca="1">INDIRECT("'※ 인력 세부데이터'!"&amp;Q$1&amp;$T100, TRUE)</f>
        <v>-0.5</v>
      </c>
      <c r="R99" s="1713" cm="1">
        <f t="array" aca="1" ref="R99" ca="1">INDIRECT("'※ 인력 세부데이터'!"&amp;R$1&amp;$T100, TRUE)</f>
        <v>-1</v>
      </c>
      <c r="S99" s="1713" cm="1">
        <f t="array" aca="1" ref="S99" ca="1">INDIRECT("'※ 인력 세부데이터'!"&amp;S$1&amp;$T100, TRUE)</f>
        <v>0</v>
      </c>
      <c r="T99" s="1596">
        <f>ROW('※ 인력 세부데이터'!J95)</f>
        <v>95</v>
      </c>
      <c r="U99" s="681"/>
      <c r="V99" s="681"/>
      <c r="W99" s="594"/>
      <c r="X99" s="594"/>
      <c r="Y99" s="594"/>
      <c r="Z99" s="594"/>
      <c r="AA99" s="594"/>
      <c r="AB99" s="594"/>
      <c r="AC99" s="594"/>
      <c r="AD99" s="594"/>
      <c r="AE99" s="594"/>
      <c r="AF99" s="594"/>
      <c r="AG99" s="594"/>
      <c r="AH99" s="594"/>
      <c r="AI99" s="594"/>
      <c r="AJ99" s="594"/>
      <c r="AK99" s="594"/>
      <c r="AL99" s="594"/>
      <c r="AM99" s="594"/>
      <c r="AN99" s="594"/>
      <c r="AO99" s="594"/>
      <c r="AP99" s="594"/>
      <c r="AQ99" s="594"/>
      <c r="AR99" s="594"/>
      <c r="AS99" s="594"/>
      <c r="AT99" s="594"/>
      <c r="AU99" s="594"/>
      <c r="AV99" s="594"/>
      <c r="AW99" s="594"/>
      <c r="AX99" s="594"/>
      <c r="AY99" s="594"/>
      <c r="AZ99" s="594"/>
      <c r="BA99" s="594"/>
      <c r="BB99" s="594"/>
      <c r="BC99" s="594"/>
      <c r="BD99" s="594"/>
    </row>
    <row r="100" spans="1:56" x14ac:dyDescent="0.55000000000000004">
      <c r="A100" s="7444"/>
      <c r="B100" s="1711"/>
      <c r="C100" s="1721" t="s">
        <v>989</v>
      </c>
      <c r="D100" s="1684"/>
      <c r="E100" s="1706" cm="1">
        <f t="array" aca="1" ref="E100" ca="1">INDIRECT("'※ 인력 세부데이터'!"&amp;E$1&amp;$T101, TRUE)</f>
        <v>4.1666666666666664E-2</v>
      </c>
      <c r="F100" s="1722" cm="1">
        <f t="array" aca="1" ref="F100" ca="1">INDIRECT("'※ 인력 세부데이터'!"&amp;F$1&amp;$T101, TRUE)</f>
        <v>0</v>
      </c>
      <c r="G100" s="1706" cm="1">
        <f t="array" aca="1" ref="G100" ca="1">INDIRECT("'※ 인력 세부데이터'!"&amp;G$1&amp;$T101, TRUE)</f>
        <v>0.25</v>
      </c>
      <c r="H100" s="1713" cm="1">
        <f t="array" aca="1" ref="H100" ca="1">INDIRECT("'※ 인력 세부데이터'!"&amp;H$1&amp;$T101, TRUE)</f>
        <v>0</v>
      </c>
      <c r="I100" s="1713" cm="1">
        <f t="array" aca="1" ref="I100" ca="1">INDIRECT("'※ 인력 세부데이터'!"&amp;I$1&amp;$T101, TRUE)</f>
        <v>0</v>
      </c>
      <c r="J100" s="1713" cm="1">
        <f t="array" aca="1" ref="J100" ca="1">INDIRECT("'※ 인력 세부데이터'!"&amp;J$1&amp;$T101, TRUE)</f>
        <v>0</v>
      </c>
      <c r="K100" s="1713" cm="1">
        <f t="array" aca="1" ref="K100" ca="1">INDIRECT("'※ 인력 세부데이터'!"&amp;K$1&amp;$T101, TRUE)</f>
        <v>0</v>
      </c>
      <c r="L100" s="6430" cm="1">
        <f t="array" aca="1" ref="L100" ca="1">INDIRECT("'※ 인력 세부데이터'!"&amp;L$1&amp;$T101, TRUE)</f>
        <v>0</v>
      </c>
      <c r="M100" s="1713" cm="1">
        <f t="array" aca="1" ref="M100" ca="1">INDIRECT("'※ 인력 세부데이터'!"&amp;M$1&amp;$T101, TRUE)</f>
        <v>0</v>
      </c>
      <c r="N100" s="1713" cm="1">
        <f t="array" aca="1" ref="N100" ca="1">INDIRECT("'※ 인력 세부데이터'!"&amp;N$1&amp;$T101, TRUE)</f>
        <v>0</v>
      </c>
      <c r="O100" s="1722" cm="1">
        <f t="array" aca="1" ref="O100" ca="1">INDIRECT("'※ 인력 세부데이터'!"&amp;O$1&amp;$T101, TRUE)</f>
        <v>0</v>
      </c>
      <c r="P100" s="1706" cm="1">
        <f t="array" aca="1" ref="P100" ca="1">INDIRECT("'※ 인력 세부데이터'!"&amp;P$1&amp;$T101, TRUE)</f>
        <v>-0.25</v>
      </c>
      <c r="Q100" s="1706" cm="1">
        <f t="array" aca="1" ref="Q100" ca="1">INDIRECT("'※ 인력 세부데이터'!"&amp;Q$1&amp;$T101, TRUE)</f>
        <v>-4.1666666666666664E-2</v>
      </c>
      <c r="R100" s="1706" cm="1">
        <f t="array" aca="1" ref="R100" ca="1">INDIRECT("'※ 인력 세부데이터'!"&amp;R$1&amp;$T101, TRUE)</f>
        <v>-0.25</v>
      </c>
      <c r="S100" s="1706" cm="1">
        <f t="array" aca="1" ref="S100" ca="1">INDIRECT("'※ 인력 세부데이터'!"&amp;S$1&amp;$T101, TRUE)</f>
        <v>0</v>
      </c>
      <c r="T100" s="1596">
        <f>ROW('※ 인력 세부데이터'!J96)</f>
        <v>96</v>
      </c>
      <c r="U100" s="681"/>
      <c r="V100" s="681"/>
      <c r="W100" s="594"/>
      <c r="X100" s="594"/>
      <c r="Y100" s="594"/>
      <c r="Z100" s="594"/>
      <c r="AA100" s="594"/>
      <c r="AB100" s="594"/>
      <c r="AC100" s="594"/>
      <c r="AD100" s="594"/>
      <c r="AE100" s="594"/>
      <c r="AF100" s="594"/>
      <c r="AG100" s="594"/>
      <c r="AH100" s="594"/>
      <c r="AI100" s="594"/>
      <c r="AJ100" s="594"/>
      <c r="AK100" s="594"/>
      <c r="AL100" s="594"/>
      <c r="AM100" s="594"/>
      <c r="AN100" s="594"/>
      <c r="AO100" s="594"/>
      <c r="AP100" s="594"/>
      <c r="AQ100" s="594"/>
      <c r="AR100" s="594"/>
      <c r="AS100" s="594"/>
      <c r="AT100" s="594"/>
      <c r="AU100" s="594"/>
      <c r="AV100" s="594"/>
      <c r="AW100" s="594"/>
      <c r="AX100" s="594"/>
      <c r="AY100" s="594"/>
      <c r="AZ100" s="594"/>
      <c r="BA100" s="594"/>
      <c r="BB100" s="594"/>
      <c r="BC100" s="594"/>
      <c r="BD100" s="594"/>
    </row>
    <row r="101" spans="1:56" ht="21.9" customHeight="1" x14ac:dyDescent="0.55000000000000004">
      <c r="A101" s="7444"/>
      <c r="B101" s="1723" t="s">
        <v>975</v>
      </c>
      <c r="C101" s="1724"/>
      <c r="D101" s="1725" cm="1">
        <f t="array" aca="1" ref="D101" ca="1">INDIRECT("'※ 인력 세부데이터'!"&amp;D$1&amp;$T102, TRUE)</f>
        <v>6.916666666666667</v>
      </c>
      <c r="E101" s="1726" cm="1">
        <f t="array" aca="1" ref="E101" ca="1">INDIRECT("'※ 인력 세부데이터'!"&amp;E$1&amp;$T102, TRUE)</f>
        <v>3.6666666666666665</v>
      </c>
      <c r="F101" s="1727" cm="1">
        <f t="array" aca="1" ref="F101" ca="1">INDIRECT("'※ 인력 세부데이터'!"&amp;F$1&amp;$T102, TRUE)</f>
        <v>2</v>
      </c>
      <c r="G101" s="1728" cm="1">
        <f t="array" aca="1" ref="G101" ca="1">INDIRECT("'※ 인력 세부데이터'!"&amp;G$1&amp;$T102, TRUE)</f>
        <v>4</v>
      </c>
      <c r="H101" s="1728" cm="1">
        <f t="array" aca="1" ref="H101" ca="1">INDIRECT("'※ 인력 세부데이터'!"&amp;H$1&amp;$T102, TRUE)</f>
        <v>5</v>
      </c>
      <c r="I101" s="1728" cm="1">
        <f t="array" aca="1" ref="I101" ca="1">INDIRECT("'※ 인력 세부데이터'!"&amp;I$1&amp;$T102, TRUE)</f>
        <v>3</v>
      </c>
      <c r="J101" s="1728" cm="1">
        <f t="array" aca="1" ref="J101" ca="1">INDIRECT("'※ 인력 세부데이터'!"&amp;J$1&amp;$T102, TRUE)</f>
        <v>6</v>
      </c>
      <c r="K101" s="1728" cm="1">
        <f t="array" aca="1" ref="K101" ca="1">INDIRECT("'※ 인력 세부데이터'!"&amp;K$1&amp;$T102, TRUE)</f>
        <v>4</v>
      </c>
      <c r="L101" s="6432" cm="1">
        <f t="array" aca="1" ref="L101" ca="1">INDIRECT("'※ 인력 세부데이터'!"&amp;L$1&amp;$T102, TRUE)</f>
        <v>3.5</v>
      </c>
      <c r="M101" s="1728" cm="1">
        <f t="array" aca="1" ref="M101" ca="1">INDIRECT("'※ 인력 세부데이터'!"&amp;M$1&amp;$T102, TRUE)</f>
        <v>1</v>
      </c>
      <c r="N101" s="1728" cm="1">
        <f t="array" aca="1" ref="N101" ca="1">INDIRECT("'※ 인력 세부데이터'!"&amp;N$1&amp;$T102, TRUE)</f>
        <v>6</v>
      </c>
      <c r="O101" s="1727" cm="1">
        <f t="array" aca="1" ref="O101" ca="1">INDIRECT("'※ 인력 세부데이터'!"&amp;O$2&amp;$T102, TRUE)</f>
        <v>6</v>
      </c>
      <c r="P101" s="1728" cm="1">
        <f t="array" aca="1" ref="P101" ca="1">INDIRECT("'※ 인력 세부데이터'!"&amp;P$1&amp;$T102, TRUE)</f>
        <v>2</v>
      </c>
      <c r="Q101" s="1728" cm="1">
        <f t="array" aca="1" ref="Q101" ca="1">INDIRECT("'※ 인력 세부데이터'!"&amp;Q$1&amp;$T102, TRUE)</f>
        <v>-0.16666666666666652</v>
      </c>
      <c r="R101" s="1728" cm="1">
        <f t="array" aca="1" ref="R101" ca="1">INDIRECT("'※ 인력 세부데이터'!"&amp;R$1&amp;$T102, TRUE)</f>
        <v>1</v>
      </c>
      <c r="S101" s="1728" cm="1">
        <f t="array" aca="1" ref="S101" ca="1">INDIRECT("'※ 인력 세부데이터'!"&amp;S$1&amp;$T102, TRUE)</f>
        <v>5</v>
      </c>
      <c r="T101" s="1596">
        <f>ROW('※ 인력 세부데이터'!J97)</f>
        <v>97</v>
      </c>
      <c r="U101" s="681"/>
      <c r="V101" s="681"/>
      <c r="W101" s="594"/>
      <c r="X101" s="594"/>
      <c r="Y101" s="594"/>
      <c r="Z101" s="594"/>
      <c r="AA101" s="594"/>
      <c r="AB101" s="594"/>
      <c r="AC101" s="594"/>
      <c r="AD101" s="594"/>
      <c r="AE101" s="594"/>
      <c r="AF101" s="594"/>
      <c r="AG101" s="594"/>
      <c r="AH101" s="594"/>
      <c r="AI101" s="594"/>
      <c r="AJ101" s="594"/>
      <c r="AK101" s="594"/>
      <c r="AL101" s="594"/>
      <c r="AM101" s="594"/>
      <c r="AN101" s="594"/>
      <c r="AO101" s="594"/>
      <c r="AP101" s="594"/>
      <c r="AQ101" s="594"/>
      <c r="AR101" s="594"/>
      <c r="AS101" s="594"/>
      <c r="AT101" s="594"/>
      <c r="AU101" s="594"/>
      <c r="AV101" s="594"/>
      <c r="AW101" s="594"/>
      <c r="AX101" s="594"/>
      <c r="AY101" s="594"/>
      <c r="AZ101" s="594"/>
      <c r="BA101" s="594"/>
      <c r="BB101" s="594"/>
      <c r="BC101" s="594"/>
      <c r="BD101" s="594"/>
    </row>
    <row r="102" spans="1:56" ht="21.9" customHeight="1" x14ac:dyDescent="0.55000000000000004">
      <c r="A102" s="7444"/>
      <c r="B102" s="1694" t="s">
        <v>988</v>
      </c>
      <c r="C102" s="1689"/>
      <c r="D102" s="1695" cm="1">
        <f t="array" aca="1" ref="D102" ca="1">INDIRECT("'※ 인력 세부데이터'!"&amp;D$1&amp;$T103, TRUE)</f>
        <v>5.5231063596970859E-2</v>
      </c>
      <c r="E102" s="1696" cm="1">
        <f t="array" aca="1" ref="E102" ca="1">INDIRECT("'※ 인력 세부데이터'!"&amp;E$1&amp;$T103, TRUE)</f>
        <v>2.5103517856888774E-2</v>
      </c>
      <c r="F102" s="1697" cm="1">
        <f t="array" aca="1" ref="F102" ca="1">INDIRECT("'※ 인력 세부데이터'!"&amp;F$1&amp;$T103, TRUE)</f>
        <v>1.6129032258064516E-2</v>
      </c>
      <c r="G102" s="1698" cm="1">
        <f t="array" aca="1" ref="G102" ca="1">INDIRECT("'※ 인력 세부데이터'!"&amp;G$1&amp;$T103, TRUE)</f>
        <v>3.0769230769230771E-2</v>
      </c>
      <c r="H102" s="1698" cm="1">
        <f t="array" aca="1" ref="H102" ca="1">INDIRECT("'※ 인력 세부데이터'!"&amp;H$1&amp;$T103, TRUE)</f>
        <v>3.6231884057971016E-2</v>
      </c>
      <c r="I102" s="1698" cm="1">
        <f t="array" aca="1" ref="I102" ca="1">INDIRECT("'※ 인력 세부데이터'!"&amp;I$1&amp;$T103, TRUE)</f>
        <v>2.0547945205479451E-2</v>
      </c>
      <c r="J102" s="1698" cm="1">
        <f t="array" aca="1" ref="J102" ca="1">INDIRECT("'※ 인력 세부데이터'!"&amp;J$1&amp;$T103, TRUE)</f>
        <v>3.9473684210526314E-2</v>
      </c>
      <c r="K102" s="1698" cm="1">
        <f t="array" aca="1" ref="K102" ca="1">INDIRECT("'※ 인력 세부데이터'!"&amp;K$1&amp;$T103, TRUE)</f>
        <v>2.6490066225165563E-2</v>
      </c>
      <c r="L102" s="6427" cm="1">
        <f t="array" aca="1" ref="L102" ca="1">INDIRECT("'※ 인력 세부데이터'!"&amp;L$1&amp;$T103, TRUE)</f>
        <v>2.247752247752248E-2</v>
      </c>
      <c r="M102" s="1698" cm="1">
        <f t="array" aca="1" ref="M102" ca="1">INDIRECT("'※ 인력 세부데이터'!"&amp;M$1&amp;$T103, TRUE)</f>
        <v>6.4935064935064939E-3</v>
      </c>
      <c r="N102" s="1698" cm="1">
        <f t="array" aca="1" ref="N102" ca="1">INDIRECT("'※ 인력 세부데이터'!"&amp;N$1&amp;$T103, TRUE)</f>
        <v>3.8461538461538464E-2</v>
      </c>
      <c r="O102" s="1697" cm="1">
        <f t="array" aca="1" ref="O102" ca="1">INDIRECT("'※ 인력 세부데이터'!"&amp;O$2&amp;$T103, TRUE)</f>
        <v>3.8461538461538464E-2</v>
      </c>
      <c r="P102" s="1698" cm="1">
        <f t="array" aca="1" ref="P102" ca="1">INDIRECT("'※ 인력 세부데이터'!"&amp;P$1&amp;$T103, TRUE)</f>
        <v>7.6923076923076927E-3</v>
      </c>
      <c r="Q102" s="1698" cm="1">
        <f t="array" aca="1" ref="Q102" ca="1">INDIRECT("'※ 인력 세부데이터'!"&amp;Q$1&amp;$T103, TRUE)</f>
        <v>-2.6259953793662943E-3</v>
      </c>
      <c r="R102" s="1698" cm="1">
        <f t="array" aca="1" ref="R102" ca="1">INDIRECT("'※ 인력 세부데이터'!"&amp;R$1&amp;$T103, TRUE)</f>
        <v>-1.9432180722503273E-3</v>
      </c>
      <c r="S102" s="1698" cm="1">
        <f t="array" aca="1" ref="S102" ca="1">INDIRECT("'※ 인력 세부데이터'!"&amp;S$1&amp;$T103, TRUE)</f>
        <v>3.1968031968031968E-2</v>
      </c>
      <c r="T102" s="1596">
        <f>ROW('※ 인력 세부데이터'!J98)</f>
        <v>98</v>
      </c>
      <c r="U102" s="681"/>
      <c r="V102" s="681"/>
      <c r="W102" s="594"/>
      <c r="X102" s="594"/>
      <c r="Y102" s="594"/>
      <c r="Z102" s="594"/>
      <c r="AA102" s="594"/>
      <c r="AB102" s="594"/>
      <c r="AC102" s="594"/>
      <c r="AD102" s="594"/>
      <c r="AE102" s="594"/>
      <c r="AF102" s="594"/>
      <c r="AG102" s="594"/>
      <c r="AH102" s="594"/>
      <c r="AI102" s="594"/>
      <c r="AJ102" s="594"/>
      <c r="AK102" s="594"/>
      <c r="AL102" s="594"/>
      <c r="AM102" s="594"/>
      <c r="AN102" s="594"/>
      <c r="AO102" s="594"/>
      <c r="AP102" s="594"/>
      <c r="AQ102" s="594"/>
      <c r="AR102" s="594"/>
      <c r="AS102" s="594"/>
      <c r="AT102" s="594"/>
      <c r="AU102" s="594"/>
      <c r="AV102" s="594"/>
      <c r="AW102" s="594"/>
      <c r="AX102" s="594"/>
      <c r="AY102" s="594"/>
      <c r="AZ102" s="594"/>
      <c r="BA102" s="594"/>
      <c r="BB102" s="594"/>
      <c r="BC102" s="594"/>
      <c r="BD102" s="594"/>
    </row>
    <row r="103" spans="1:56" ht="21.9" customHeight="1" x14ac:dyDescent="0.55000000000000004">
      <c r="A103" s="7444"/>
      <c r="B103" s="1652"/>
      <c r="C103" s="1699" t="s">
        <v>982</v>
      </c>
      <c r="D103" s="1729"/>
      <c r="E103" s="1730"/>
      <c r="F103" s="1703" cm="1">
        <f t="array" aca="1" ref="F103" ca="1">INDIRECT("'※ 인력 세부데이터'!"&amp;F$1&amp;$T104, TRUE)</f>
        <v>2</v>
      </c>
      <c r="G103" s="1702" cm="1">
        <f t="array" aca="1" ref="G103" ca="1">INDIRECT("'※ 인력 세부데이터'!"&amp;G$1&amp;$T104, TRUE)</f>
        <v>3</v>
      </c>
      <c r="H103" s="1702" cm="1">
        <f t="array" aca="1" ref="H103" ca="1">INDIRECT("'※ 인력 세부데이터'!"&amp;H$1&amp;$T104, TRUE)</f>
        <v>3</v>
      </c>
      <c r="I103" s="1702" cm="1">
        <f t="array" aca="1" ref="I103" ca="1">INDIRECT("'※ 인력 세부데이터'!"&amp;I$1&amp;$T104, TRUE)</f>
        <v>1</v>
      </c>
      <c r="J103" s="1702" cm="1">
        <f t="array" aca="1" ref="J103" ca="1">INDIRECT("'※ 인력 세부데이터'!"&amp;J$1&amp;$T104, TRUE)</f>
        <v>6</v>
      </c>
      <c r="K103" s="1702" cm="1">
        <f t="array" aca="1" ref="K103" ca="1">INDIRECT("'※ 인력 세부데이터'!"&amp;K$1&amp;$T104, TRUE)</f>
        <v>3</v>
      </c>
      <c r="L103" s="6433"/>
      <c r="M103" s="1702" cm="1">
        <f t="array" aca="1" ref="M103" ca="1">INDIRECT("'※ 인력 세부데이터'!"&amp;M$1&amp;$T104, TRUE)</f>
        <v>1</v>
      </c>
      <c r="N103" s="1702" cm="1">
        <f t="array" aca="1" ref="N103" ca="1">INDIRECT("'※ 인력 세부데이터'!"&amp;N$1&amp;$T104, TRUE)</f>
        <v>1</v>
      </c>
      <c r="O103" s="1703" cm="1">
        <f t="array" aca="1" ref="O103" ca="1">INDIRECT("'※ 인력 세부데이터'!"&amp;O$2&amp;$T104, TRUE)</f>
        <v>1</v>
      </c>
      <c r="P103" s="1702" cm="1">
        <f t="array" aca="1" ref="P103" ca="1">INDIRECT("'※ 인력 세부데이터'!"&amp;P$1&amp;$T104, TRUE)</f>
        <v>-2</v>
      </c>
      <c r="Q103" s="1702" cm="1">
        <f t="array" aca="1" ref="Q103" ca="1">INDIRECT("'※ 인력 세부데이터'!"&amp;Q$1&amp;$T104, TRUE)</f>
        <v>-1.5454545454545454</v>
      </c>
      <c r="R103" s="1702" cm="1">
        <f t="array" aca="1" ref="R103" ca="1">INDIRECT("'※ 인력 세부데이터'!"&amp;R$1&amp;$T104, TRUE)</f>
        <v>-3</v>
      </c>
      <c r="S103" s="1702" cm="1">
        <f t="array" aca="1" ref="S103" ca="1">INDIRECT("'※ 인력 세부데이터'!"&amp;S$1&amp;$T104, TRUE)</f>
        <v>0</v>
      </c>
      <c r="T103" s="1596">
        <f>ROW('※ 인력 세부데이터'!J99)</f>
        <v>99</v>
      </c>
      <c r="U103" s="681"/>
      <c r="V103" s="681"/>
      <c r="W103" s="594"/>
      <c r="X103" s="594"/>
      <c r="Y103" s="594"/>
      <c r="Z103" s="594"/>
      <c r="AA103" s="594"/>
      <c r="AB103" s="594"/>
      <c r="AC103" s="594"/>
      <c r="AD103" s="594"/>
      <c r="AE103" s="594"/>
      <c r="AF103" s="594"/>
      <c r="AG103" s="594"/>
      <c r="AH103" s="594"/>
      <c r="AI103" s="594"/>
      <c r="AJ103" s="594"/>
      <c r="AK103" s="594"/>
      <c r="AL103" s="594"/>
      <c r="AM103" s="594"/>
      <c r="AN103" s="594"/>
      <c r="AO103" s="594"/>
      <c r="AP103" s="594"/>
      <c r="AQ103" s="594"/>
      <c r="AR103" s="594"/>
      <c r="AS103" s="594"/>
      <c r="AT103" s="594"/>
      <c r="AU103" s="594"/>
      <c r="AV103" s="594"/>
      <c r="AW103" s="594"/>
      <c r="AX103" s="594"/>
      <c r="AY103" s="594"/>
      <c r="AZ103" s="594"/>
      <c r="BA103" s="594"/>
      <c r="BB103" s="594"/>
      <c r="BC103" s="594"/>
      <c r="BD103" s="594"/>
    </row>
    <row r="104" spans="1:56" ht="21.9" customHeight="1" thickBot="1" x14ac:dyDescent="0.6">
      <c r="A104" s="7454"/>
      <c r="B104" s="1731"/>
      <c r="C104" s="1732" t="s">
        <v>990</v>
      </c>
      <c r="D104" s="1733"/>
      <c r="E104" s="1734"/>
      <c r="F104" s="1735" cm="1">
        <f t="array" aca="1" ref="F104" ca="1">INDIRECT("'※ 인력 세부데이터'!"&amp;F$1&amp;$T105, TRUE)</f>
        <v>1</v>
      </c>
      <c r="G104" s="1736" cm="1">
        <f t="array" aca="1" ref="G104" ca="1">INDIRECT("'※ 인력 세부데이터'!"&amp;G$1&amp;$T105, TRUE)</f>
        <v>0.75</v>
      </c>
      <c r="H104" s="1736" cm="1">
        <f t="array" aca="1" ref="H104" ca="1">INDIRECT("'※ 인력 세부데이터'!"&amp;H$1&amp;$T105, TRUE)</f>
        <v>0.6</v>
      </c>
      <c r="I104" s="1736" cm="1">
        <f t="array" aca="1" ref="I104" ca="1">INDIRECT("'※ 인력 세부데이터'!"&amp;I$1&amp;$T105, TRUE)</f>
        <v>0.33333333333333331</v>
      </c>
      <c r="J104" s="1736" cm="1">
        <f t="array" aca="1" ref="J104" ca="1">INDIRECT("'※ 인력 세부데이터'!"&amp;J$1&amp;$T105, TRUE)</f>
        <v>1</v>
      </c>
      <c r="K104" s="1736" cm="1">
        <f t="array" aca="1" ref="K104" ca="1">INDIRECT("'※ 인력 세부데이터'!"&amp;K$1&amp;$T105, TRUE)</f>
        <v>0.75</v>
      </c>
      <c r="L104" s="6434"/>
      <c r="M104" s="1736" cm="1">
        <f t="array" aca="1" ref="M104" ca="1">INDIRECT("'※ 인력 세부데이터'!"&amp;M$1&amp;$T105, TRUE)</f>
        <v>1</v>
      </c>
      <c r="N104" s="1736" cm="1">
        <f t="array" aca="1" ref="N104" ca="1">INDIRECT("'※ 인력 세부데이터'!"&amp;N$1&amp;$T105, TRUE)</f>
        <v>0.16666666666666666</v>
      </c>
      <c r="O104" s="1735" cm="1">
        <f t="array" aca="1" ref="O104" ca="1">INDIRECT("'※ 인력 세부데이터'!"&amp;O$2&amp;$T105, TRUE)</f>
        <v>0.16666666666666666</v>
      </c>
      <c r="P104" s="1736" cm="1">
        <f t="array" aca="1" ref="P104" ca="1">INDIRECT("'※ 인력 세부데이터'!"&amp;P$1&amp;$T105, TRUE)</f>
        <v>-0.58333333333333337</v>
      </c>
      <c r="Q104" s="1736" cm="1">
        <f t="array" aca="1" ref="Q104" ca="1">INDIRECT("'※ 인력 세부데이터'!"&amp;Q$1&amp;$T105, TRUE)</f>
        <v>-1.2301587301587258E-2</v>
      </c>
      <c r="R104" s="1736" cm="1">
        <f t="array" aca="1" ref="R104" ca="1">INDIRECT("'※ 인력 세부데이터'!"&amp;R$1&amp;$T105, TRUE)</f>
        <v>-0.58333333333333326</v>
      </c>
      <c r="S104" s="1736" cm="1">
        <f t="array" aca="1" ref="S104" ca="1">INDIRECT("'※ 인력 세부데이터'!"&amp;S$1&amp;$T105, TRUE)</f>
        <v>-0.83333333333333337</v>
      </c>
      <c r="T104" s="1596">
        <f>ROW('※ 인력 세부데이터'!J100)</f>
        <v>100</v>
      </c>
      <c r="U104" s="681"/>
      <c r="V104" s="681"/>
      <c r="W104" s="594"/>
      <c r="X104" s="594"/>
      <c r="Y104" s="594"/>
      <c r="Z104" s="594"/>
      <c r="AA104" s="594"/>
      <c r="AB104" s="594"/>
      <c r="AC104" s="594"/>
      <c r="AD104" s="594"/>
      <c r="AE104" s="594"/>
      <c r="AF104" s="594"/>
      <c r="AG104" s="594"/>
      <c r="AH104" s="594"/>
      <c r="AI104" s="594"/>
      <c r="AJ104" s="594"/>
      <c r="AK104" s="594"/>
      <c r="AL104" s="594"/>
      <c r="AM104" s="594"/>
      <c r="AN104" s="594"/>
      <c r="AO104" s="594"/>
      <c r="AP104" s="594"/>
      <c r="AQ104" s="594"/>
      <c r="AR104" s="594"/>
      <c r="AS104" s="594"/>
      <c r="AT104" s="594"/>
      <c r="AU104" s="594"/>
      <c r="AV104" s="594"/>
      <c r="AW104" s="594"/>
      <c r="AX104" s="594"/>
      <c r="AY104" s="594"/>
      <c r="AZ104" s="594"/>
      <c r="BA104" s="594"/>
      <c r="BB104" s="594"/>
      <c r="BC104" s="594"/>
      <c r="BD104" s="594"/>
    </row>
    <row r="105" spans="1:56" ht="16.5" customHeight="1" thickBot="1" x14ac:dyDescent="0.6">
      <c r="B105" s="698"/>
      <c r="C105" s="698"/>
      <c r="D105" s="698"/>
      <c r="E105" s="698"/>
      <c r="F105" s="972"/>
      <c r="G105" s="972"/>
      <c r="H105" s="972"/>
      <c r="I105" s="972"/>
      <c r="J105" s="972"/>
      <c r="K105" s="972"/>
      <c r="L105" s="698"/>
      <c r="M105" s="972"/>
      <c r="N105" s="972"/>
      <c r="O105" s="1300"/>
      <c r="P105" s="1300"/>
      <c r="Q105" s="1300"/>
      <c r="R105" s="1300"/>
      <c r="S105" s="1300"/>
      <c r="T105" s="1596">
        <f>ROW('※ 인력 세부데이터'!J101)</f>
        <v>101</v>
      </c>
      <c r="U105" s="698"/>
      <c r="V105" s="698"/>
    </row>
    <row r="106" spans="1:56" ht="18.899999999999999" customHeight="1" thickBot="1" x14ac:dyDescent="0.6">
      <c r="A106" s="7442" t="s">
        <v>124</v>
      </c>
      <c r="B106" s="7443"/>
      <c r="C106" s="7443"/>
      <c r="D106" s="1737" t="s">
        <v>1211</v>
      </c>
      <c r="E106" s="1737" t="s">
        <v>1212</v>
      </c>
      <c r="F106" s="1738" t="str">
        <f t="shared" ref="F106:J106" ca="1" si="0">F6</f>
        <v>'25.1월</v>
      </c>
      <c r="G106" s="1739" t="str">
        <f t="shared" ca="1" si="0"/>
        <v>'25.2월</v>
      </c>
      <c r="H106" s="1739" t="str">
        <f t="shared" ca="1" si="0"/>
        <v>'25.3월</v>
      </c>
      <c r="I106" s="1739" t="str">
        <f t="shared" ca="1" si="0"/>
        <v>'25.4월</v>
      </c>
      <c r="J106" s="1739" t="str">
        <f t="shared" ca="1" si="0"/>
        <v>'25.5월</v>
      </c>
      <c r="K106" s="1739" t="str">
        <f t="shared" ref="K106" ca="1" si="1">K6</f>
        <v>'25.6월</v>
      </c>
      <c r="L106" s="6435" t="s">
        <v>1209</v>
      </c>
      <c r="M106" s="1739" t="str">
        <f t="shared" ref="M106" ca="1" si="2">M6</f>
        <v>'26.1월</v>
      </c>
      <c r="N106" s="1739" t="str">
        <f t="shared" ref="N106" ca="1" si="3">N6</f>
        <v>'26.2월</v>
      </c>
      <c r="O106" s="1740" t="s">
        <v>221</v>
      </c>
      <c r="P106" s="1741" t="s">
        <v>222</v>
      </c>
      <c r="Q106" s="1741" t="s">
        <v>223</v>
      </c>
      <c r="R106" s="1741" t="s">
        <v>233</v>
      </c>
      <c r="S106" s="1742" t="s">
        <v>224</v>
      </c>
      <c r="T106" s="1596"/>
      <c r="U106" s="698"/>
      <c r="V106" s="698"/>
    </row>
    <row r="107" spans="1:56" ht="18.899999999999999" customHeight="1" x14ac:dyDescent="0.55000000000000004">
      <c r="A107" s="7439" t="s">
        <v>205</v>
      </c>
      <c r="B107" s="1452" t="s">
        <v>239</v>
      </c>
      <c r="C107" s="1347"/>
      <c r="D107" s="1743" cm="1">
        <f t="array" aca="1" ref="D107" ca="1">INDIRECT("'※ 인력 세부데이터'!"&amp;D$1&amp;$T108, TRUE)</f>
        <v>1083.5</v>
      </c>
      <c r="E107" s="1743" cm="1">
        <f t="array" aca="1" ref="E107" ca="1">INDIRECT("'※ 인력 세부데이터'!"&amp;E$1&amp;$T108, TRUE)</f>
        <v>1092.1666666666667</v>
      </c>
      <c r="F107" s="1744" cm="1">
        <f t="array" aca="1" ref="F107" ca="1">INDIRECT("'※ 인력 세부데이터'!"&amp;F$1&amp;$T108, TRUE)</f>
        <v>1139</v>
      </c>
      <c r="G107" s="1745" cm="1">
        <f t="array" aca="1" ref="G107" ca="1">INDIRECT("'※ 인력 세부데이터'!"&amp;G$1&amp;$T108, TRUE)</f>
        <v>1117</v>
      </c>
      <c r="H107" s="1745" cm="1">
        <f t="array" aca="1" ref="H107" ca="1">INDIRECT("'※ 인력 세부데이터'!"&amp;H$1&amp;$T108, TRUE)</f>
        <v>1119</v>
      </c>
      <c r="I107" s="1745" cm="1">
        <f t="array" aca="1" ref="I107" ca="1">INDIRECT("'※ 인력 세부데이터'!"&amp;I$1&amp;$T108, TRUE)</f>
        <v>1112</v>
      </c>
      <c r="J107" s="1745" cm="1">
        <f t="array" aca="1" ref="J107" ca="1">INDIRECT("'※ 인력 세부데이터'!"&amp;J$1&amp;$T108, TRUE)</f>
        <v>1098</v>
      </c>
      <c r="K107" s="1745" cm="1">
        <f t="array" aca="1" ref="K107" ca="1">INDIRECT("'※ 인력 세부데이터'!"&amp;K$1&amp;$T108, TRUE)</f>
        <v>1094</v>
      </c>
      <c r="L107" s="6436" cm="1">
        <f t="array" aca="1" ref="L107" ca="1">INDIRECT("'※ 인력 세부데이터'!"&amp;L$1&amp;$T108, TRUE)</f>
        <v>1107.5</v>
      </c>
      <c r="M107" s="1745" cm="1">
        <f t="array" aca="1" ref="M107" ca="1">INDIRECT("'※ 인력 세부데이터'!"&amp;M$1&amp;$T108, TRUE)</f>
        <v>1106</v>
      </c>
      <c r="N107" s="1745" cm="1">
        <f t="array" aca="1" ref="N107" ca="1">INDIRECT("'※ 인력 세부데이터'!"&amp;N$1&amp;$T108, TRUE)</f>
        <v>1109</v>
      </c>
      <c r="O107" s="1746" cm="1">
        <f t="array" aca="1" ref="O107" ca="1">INDIRECT("'※ 인력 세부데이터'!"&amp;O$1&amp;$T108, TRUE)</f>
        <v>1066</v>
      </c>
      <c r="P107" s="1747" cm="1">
        <f t="array" aca="1" ref="P107" ca="1">INDIRECT("'※ 인력 세부데이터'!"&amp;P$1&amp;$T108, TRUE)</f>
        <v>-43</v>
      </c>
      <c r="Q107" s="1748" cm="1">
        <f t="array" aca="1" ref="Q107" ca="1">INDIRECT("'※ 인력 세부데이터'!"&amp;Q$1&amp;$T108, TRUE)</f>
        <v>1.0375234521575984</v>
      </c>
      <c r="R107" s="1749" cm="1">
        <f t="array" aca="1" ref="R107" ca="1">INDIRECT("'※ 인력 세부데이터'!"&amp;R$1&amp;$T108, TRUE)</f>
        <v>252</v>
      </c>
      <c r="S107" s="1750" cm="1">
        <f t="array" aca="1" ref="S107" ca="1">INDIRECT("'※ 인력 세부데이터'!"&amp;S$1&amp;$T108, TRUE)</f>
        <v>4.3888888888888893</v>
      </c>
      <c r="T107" s="1596"/>
      <c r="U107" s="4375"/>
      <c r="V107" s="698"/>
    </row>
    <row r="108" spans="1:56" ht="18.899999999999999" customHeight="1" x14ac:dyDescent="0.55000000000000004">
      <c r="A108" s="7439"/>
      <c r="B108" s="1751" t="s">
        <v>206</v>
      </c>
      <c r="C108" s="1752"/>
      <c r="D108" s="1753" cm="1">
        <f t="array" aca="1" ref="D108" ca="1">INDIRECT("'※ 인력 세부데이터'!"&amp;D$1&amp;$T109, TRUE)</f>
        <v>203.91666666666666</v>
      </c>
      <c r="E108" s="1753" cm="1">
        <f t="array" aca="1" ref="E108" ca="1">INDIRECT("'※ 인력 세부데이터'!"&amp;E$1&amp;$T109, TRUE)</f>
        <v>208.25</v>
      </c>
      <c r="F108" s="1754" cm="1">
        <f t="array" aca="1" ref="F108" ca="1">INDIRECT("'※ 인력 세부데이터'!"&amp;F$1&amp;$T109, TRUE)</f>
        <v>219</v>
      </c>
      <c r="G108" s="1755" cm="1">
        <f t="array" aca="1" ref="G108" ca="1">INDIRECT("'※ 인력 세부데이터'!"&amp;G$1&amp;$T109, TRUE)</f>
        <v>217</v>
      </c>
      <c r="H108" s="1755" cm="1">
        <f t="array" aca="1" ref="H108" ca="1">INDIRECT("'※ 인력 세부데이터'!"&amp;H$1&amp;$T109, TRUE)</f>
        <v>211</v>
      </c>
      <c r="I108" s="1755" cm="1">
        <f t="array" aca="1" ref="I108" ca="1">INDIRECT("'※ 인력 세부데이터'!"&amp;I$1&amp;$T109, TRUE)</f>
        <v>208</v>
      </c>
      <c r="J108" s="1755" cm="1">
        <f t="array" aca="1" ref="J108" ca="1">INDIRECT("'※ 인력 세부데이터'!"&amp;J$1&amp;$T109, TRUE)</f>
        <v>208</v>
      </c>
      <c r="K108" s="1755" cm="1">
        <f t="array" aca="1" ref="K108" ca="1">INDIRECT("'※ 인력 세부데이터'!"&amp;K$1&amp;$T109, TRUE)</f>
        <v>208</v>
      </c>
      <c r="L108" s="6437" cm="1">
        <f t="array" aca="1" ref="L108" ca="1">INDIRECT("'※ 인력 세부데이터'!"&amp;L$1&amp;$T109, TRUE)</f>
        <v>206.5</v>
      </c>
      <c r="M108" s="1755" cm="1">
        <f t="array" aca="1" ref="M108" ca="1">INDIRECT("'※ 인력 세부데이터'!"&amp;M$1&amp;$T109, TRUE)</f>
        <v>208</v>
      </c>
      <c r="N108" s="1755" cm="1">
        <f t="array" aca="1" ref="N108" ca="1">INDIRECT("'※ 인력 세부데이터'!"&amp;N$1&amp;$T109, TRUE)</f>
        <v>205</v>
      </c>
      <c r="O108" s="1756" cm="1">
        <f t="array" aca="1" ref="O108" ca="1">INDIRECT("'※ 인력 세부데이터'!"&amp;O$1&amp;$T109, TRUE)</f>
        <v>204</v>
      </c>
      <c r="P108" s="1757" cm="1">
        <f t="array" aca="1" ref="P108" ca="1">INDIRECT("'※ 인력 세부데이터'!"&amp;P$1&amp;$T109, TRUE)</f>
        <v>-1</v>
      </c>
      <c r="Q108" s="1758" cm="1">
        <f t="array" aca="1" ref="Q108" ca="1">INDIRECT("'※ 인력 세부데이터'!"&amp;Q$1&amp;$T109, TRUE)</f>
        <v>1.0196078431372548</v>
      </c>
      <c r="R108" s="1759" cm="1">
        <f t="array" aca="1" ref="R108" ca="1">INDIRECT("'※ 인력 세부데이터'!"&amp;R$1&amp;$T109, TRUE)</f>
        <v>49</v>
      </c>
      <c r="S108" s="1760" cm="1">
        <f t="array" aca="1" ref="S108" ca="1">INDIRECT("'※ 인력 세부데이터'!"&amp;S$1&amp;$T109, TRUE)</f>
        <v>4.2448979591836737</v>
      </c>
      <c r="T108" s="1596">
        <f>ROW('※ 인력 세부데이터'!J103)</f>
        <v>103</v>
      </c>
      <c r="U108" s="698"/>
      <c r="V108" s="698"/>
    </row>
    <row r="109" spans="1:56" ht="18.899999999999999" customHeight="1" x14ac:dyDescent="0.55000000000000004">
      <c r="A109" s="7439"/>
      <c r="B109" s="1761" t="s">
        <v>207</v>
      </c>
      <c r="C109" s="685"/>
      <c r="D109" s="1587" cm="1">
        <f t="array" aca="1" ref="D109" ca="1">INDIRECT("'※ 인력 세부데이터'!"&amp;D$1&amp;$T110, TRUE)</f>
        <v>183.75</v>
      </c>
      <c r="E109" s="1587" cm="1">
        <f t="array" aca="1" ref="E109" ca="1">INDIRECT("'※ 인력 세부데이터'!"&amp;E$1&amp;$T110, TRUE)</f>
        <v>180.08333333333334</v>
      </c>
      <c r="F109" s="1589" cm="1">
        <f t="array" aca="1" ref="F109" ca="1">INDIRECT("'※ 인력 세부데이터'!"&amp;F$1&amp;$T110, TRUE)</f>
        <v>184</v>
      </c>
      <c r="G109" s="1590" cm="1">
        <f t="array" aca="1" ref="G109" ca="1">INDIRECT("'※ 인력 세부데이터'!"&amp;G$1&amp;$T110, TRUE)</f>
        <v>181</v>
      </c>
      <c r="H109" s="1590" cm="1">
        <f t="array" aca="1" ref="H109" ca="1">INDIRECT("'※ 인력 세부데이터'!"&amp;H$1&amp;$T110, TRUE)</f>
        <v>186</v>
      </c>
      <c r="I109" s="1590" cm="1">
        <f t="array" aca="1" ref="I109" ca="1">INDIRECT("'※ 인력 세부데이터'!"&amp;I$1&amp;$T110, TRUE)</f>
        <v>181</v>
      </c>
      <c r="J109" s="1590" cm="1">
        <f t="array" aca="1" ref="J109" ca="1">INDIRECT("'※ 인력 세부데이터'!"&amp;J$1&amp;$T110, TRUE)</f>
        <v>179</v>
      </c>
      <c r="K109" s="1590" cm="1">
        <f t="array" aca="1" ref="K109" ca="1">INDIRECT("'※ 인력 세부데이터'!"&amp;K$1&amp;$T110, TRUE)</f>
        <v>178</v>
      </c>
      <c r="L109" s="6438" cm="1">
        <f t="array" aca="1" ref="L109" ca="1">INDIRECT("'※ 인력 세부데이터'!"&amp;L$1&amp;$T110, TRUE)</f>
        <v>184.5</v>
      </c>
      <c r="M109" s="1590" cm="1">
        <f t="array" aca="1" ref="M109" ca="1">INDIRECT("'※ 인력 세부데이터'!"&amp;M$1&amp;$T110, TRUE)</f>
        <v>183</v>
      </c>
      <c r="N109" s="1590" cm="1">
        <f t="array" aca="1" ref="N109" ca="1">INDIRECT("'※ 인력 세부데이터'!"&amp;N$1&amp;$T110, TRUE)</f>
        <v>186</v>
      </c>
      <c r="O109" s="1762" cm="1">
        <f t="array" aca="1" ref="O109" ca="1">INDIRECT("'※ 인력 세부데이터'!"&amp;O$1&amp;$T110, TRUE)</f>
        <v>177</v>
      </c>
      <c r="P109" s="1763" cm="1">
        <f t="array" aca="1" ref="P109" ca="1">INDIRECT("'※ 인력 세부데이터'!"&amp;P$1&amp;$T110, TRUE)</f>
        <v>-9</v>
      </c>
      <c r="Q109" s="1764" cm="1">
        <f t="array" aca="1" ref="Q109" ca="1">INDIRECT("'※ 인력 세부데이터'!"&amp;Q$1&amp;$T110, TRUE)</f>
        <v>1.0338983050847457</v>
      </c>
      <c r="R109" s="1765" cm="1">
        <f t="array" aca="1" ref="R109" ca="1">INDIRECT("'※ 인력 세부데이터'!"&amp;R$1&amp;$T110, TRUE)</f>
        <v>42</v>
      </c>
      <c r="S109" s="1766" cm="1">
        <f t="array" aca="1" ref="S109" ca="1">INDIRECT("'※ 인력 세부데이터'!"&amp;S$1&amp;$T110, TRUE)</f>
        <v>4.3571428571428568</v>
      </c>
      <c r="T109" s="1596">
        <f>ROW('※ 인력 세부데이터'!J104)</f>
        <v>104</v>
      </c>
      <c r="U109" s="698"/>
      <c r="V109" s="698"/>
    </row>
    <row r="110" spans="1:56" ht="18.899999999999999" customHeight="1" x14ac:dyDescent="0.55000000000000004">
      <c r="A110" s="7439"/>
      <c r="B110" s="1761" t="s">
        <v>208</v>
      </c>
      <c r="C110" s="685"/>
      <c r="D110" s="1587" cm="1">
        <f t="array" aca="1" ref="D110" ca="1">INDIRECT("'※ 인력 세부데이터'!"&amp;D$1&amp;$T111, TRUE)</f>
        <v>235.25</v>
      </c>
      <c r="E110" s="1587" cm="1">
        <f t="array" aca="1" ref="E110" ca="1">INDIRECT("'※ 인력 세부데이터'!"&amp;E$1&amp;$T111, TRUE)</f>
        <v>234.66666666666666</v>
      </c>
      <c r="F110" s="1589" cm="1">
        <f t="array" aca="1" ref="F110" ca="1">INDIRECT("'※ 인력 세부데이터'!"&amp;F$1&amp;$T111, TRUE)</f>
        <v>245</v>
      </c>
      <c r="G110" s="1590" cm="1">
        <f t="array" aca="1" ref="G110" ca="1">INDIRECT("'※ 인력 세부데이터'!"&amp;G$1&amp;$T111, TRUE)</f>
        <v>242</v>
      </c>
      <c r="H110" s="1590" cm="1">
        <f t="array" aca="1" ref="H110" ca="1">INDIRECT("'※ 인력 세부데이터'!"&amp;H$1&amp;$T111, TRUE)</f>
        <v>241</v>
      </c>
      <c r="I110" s="1590" cm="1">
        <f t="array" aca="1" ref="I110" ca="1">INDIRECT("'※ 인력 세부데이터'!"&amp;I$1&amp;$T111, TRUE)</f>
        <v>241</v>
      </c>
      <c r="J110" s="1590" cm="1">
        <f t="array" aca="1" ref="J110" ca="1">INDIRECT("'※ 인력 세부데이터'!"&amp;J$1&amp;$T111, TRUE)</f>
        <v>241</v>
      </c>
      <c r="K110" s="1590" cm="1">
        <f t="array" aca="1" ref="K110" ca="1">INDIRECT("'※ 인력 세부데이터'!"&amp;K$1&amp;$T111, TRUE)</f>
        <v>237</v>
      </c>
      <c r="L110" s="6438" cm="1">
        <f t="array" aca="1" ref="L110" ca="1">INDIRECT("'※ 인력 세부데이터'!"&amp;L$1&amp;$T111, TRUE)</f>
        <v>236.5</v>
      </c>
      <c r="M110" s="1590" cm="1">
        <f t="array" aca="1" ref="M110" ca="1">INDIRECT("'※ 인력 세부데이터'!"&amp;M$1&amp;$T111, TRUE)</f>
        <v>237</v>
      </c>
      <c r="N110" s="1590" cm="1">
        <f t="array" aca="1" ref="N110" ca="1">INDIRECT("'※ 인력 세부데이터'!"&amp;N$1&amp;$T111, TRUE)</f>
        <v>236</v>
      </c>
      <c r="O110" s="1762" cm="1">
        <f t="array" aca="1" ref="O110" ca="1">INDIRECT("'※ 인력 세부데이터'!"&amp;O$1&amp;$T111, TRUE)</f>
        <v>221</v>
      </c>
      <c r="P110" s="1763" cm="1">
        <f t="array" aca="1" ref="P110" ca="1">INDIRECT("'※ 인력 세부데이터'!"&amp;P$1&amp;$T111, TRUE)</f>
        <v>-15</v>
      </c>
      <c r="Q110" s="1764" cm="1">
        <f t="array" aca="1" ref="Q110" ca="1">INDIRECT("'※ 인력 세부데이터'!"&amp;Q$1&amp;$T111, TRUE)</f>
        <v>1.0723981900452488</v>
      </c>
      <c r="R110" s="1765" cm="1">
        <f t="array" aca="1" ref="R110" ca="1">INDIRECT("'※ 인력 세부데이터'!"&amp;R$1&amp;$T111, TRUE)</f>
        <v>50</v>
      </c>
      <c r="S110" s="1766" cm="1">
        <f t="array" aca="1" ref="S110" ca="1">INDIRECT("'※ 인력 세부데이터'!"&amp;S$1&amp;$T111, TRUE)</f>
        <v>4.74</v>
      </c>
      <c r="T110" s="1596">
        <f>ROW('※ 인력 세부데이터'!J105)</f>
        <v>105</v>
      </c>
      <c r="U110" s="698"/>
      <c r="V110" s="698"/>
    </row>
    <row r="111" spans="1:56" ht="18.899999999999999" customHeight="1" x14ac:dyDescent="0.55000000000000004">
      <c r="A111" s="7439"/>
      <c r="B111" s="1761" t="s">
        <v>209</v>
      </c>
      <c r="C111" s="685"/>
      <c r="D111" s="1587" cm="1">
        <f t="array" aca="1" ref="D111" ca="1">INDIRECT("'※ 인력 세부데이터'!"&amp;D$1&amp;$T112, TRUE)</f>
        <v>243.08333333333334</v>
      </c>
      <c r="E111" s="1587" cm="1">
        <f t="array" aca="1" ref="E111" ca="1">INDIRECT("'※ 인력 세부데이터'!"&amp;E$1&amp;$T112, TRUE)</f>
        <v>240.91666666666666</v>
      </c>
      <c r="F111" s="1589" cm="1">
        <f t="array" aca="1" ref="F111" ca="1">INDIRECT("'※ 인력 세부데이터'!"&amp;F$1&amp;$T112, TRUE)</f>
        <v>257</v>
      </c>
      <c r="G111" s="1590" cm="1">
        <f t="array" aca="1" ref="G111" ca="1">INDIRECT("'※ 인력 세부데이터'!"&amp;G$1&amp;$T112, TRUE)</f>
        <v>249</v>
      </c>
      <c r="H111" s="1590" cm="1">
        <f t="array" aca="1" ref="H111" ca="1">INDIRECT("'※ 인력 세부데이터'!"&amp;H$1&amp;$T112, TRUE)</f>
        <v>246</v>
      </c>
      <c r="I111" s="1590" cm="1">
        <f t="array" aca="1" ref="I111" ca="1">INDIRECT("'※ 인력 세부데이터'!"&amp;I$1&amp;$T112, TRUE)</f>
        <v>244</v>
      </c>
      <c r="J111" s="1590" cm="1">
        <f t="array" aca="1" ref="J111" ca="1">INDIRECT("'※ 인력 세부데이터'!"&amp;J$1&amp;$T112, TRUE)</f>
        <v>242</v>
      </c>
      <c r="K111" s="1590" cm="1">
        <f t="array" aca="1" ref="K111" ca="1">INDIRECT("'※ 인력 세부데이터'!"&amp;K$1&amp;$T112, TRUE)</f>
        <v>243</v>
      </c>
      <c r="L111" s="6438" cm="1">
        <f t="array" aca="1" ref="L111" ca="1">INDIRECT("'※ 인력 세부데이터'!"&amp;L$1&amp;$T112, TRUE)</f>
        <v>251</v>
      </c>
      <c r="M111" s="1590" cm="1">
        <f t="array" aca="1" ref="M111" ca="1">INDIRECT("'※ 인력 세부데이터'!"&amp;M$1&amp;$T112, TRUE)</f>
        <v>250</v>
      </c>
      <c r="N111" s="1590" cm="1">
        <f t="array" aca="1" ref="N111" ca="1">INDIRECT("'※ 인력 세부데이터'!"&amp;N$1&amp;$T112, TRUE)</f>
        <v>252</v>
      </c>
      <c r="O111" s="1762" cm="1">
        <f t="array" aca="1" ref="O111" ca="1">INDIRECT("'※ 인력 세부데이터'!"&amp;O$1&amp;$T112, TRUE)</f>
        <v>248</v>
      </c>
      <c r="P111" s="1763" cm="1">
        <f t="array" aca="1" ref="P111" ca="1">INDIRECT("'※ 인력 세부데이터'!"&amp;P$1&amp;$T112, TRUE)</f>
        <v>-4</v>
      </c>
      <c r="Q111" s="1764" cm="1">
        <f t="array" aca="1" ref="Q111" ca="1">INDIRECT("'※ 인력 세부데이터'!"&amp;Q$1&amp;$T112, TRUE)</f>
        <v>1.0080645161290323</v>
      </c>
      <c r="R111" s="1765" cm="1">
        <f t="array" aca="1" ref="R111" ca="1">INDIRECT("'※ 인력 세부데이터'!"&amp;R$1&amp;$T112, TRUE)</f>
        <v>57</v>
      </c>
      <c r="S111" s="1766" cm="1">
        <f t="array" aca="1" ref="S111" ca="1">INDIRECT("'※ 인력 세부데이터'!"&amp;S$1&amp;$T112, TRUE)</f>
        <v>4.3859649122807021</v>
      </c>
      <c r="T111" s="1596">
        <f>ROW('※ 인력 세부데이터'!J106)</f>
        <v>106</v>
      </c>
      <c r="U111" s="698"/>
      <c r="V111" s="698"/>
    </row>
    <row r="112" spans="1:56" ht="18.899999999999999" customHeight="1" x14ac:dyDescent="0.55000000000000004">
      <c r="A112" s="7439"/>
      <c r="B112" s="1767" t="s">
        <v>210</v>
      </c>
      <c r="C112" s="1768"/>
      <c r="D112" s="1769" cm="1">
        <f t="array" aca="1" ref="D112" ca="1">INDIRECT("'※ 인력 세부데이터'!"&amp;D$1&amp;$T113, TRUE)</f>
        <v>217.5</v>
      </c>
      <c r="E112" s="1769" cm="1">
        <f t="array" aca="1" ref="E112" ca="1">INDIRECT("'※ 인력 세부데이터'!"&amp;E$1&amp;$T113, TRUE)</f>
        <v>228.25</v>
      </c>
      <c r="F112" s="1770" cm="1">
        <f t="array" aca="1" ref="F112" ca="1">INDIRECT("'※ 인력 세부데이터'!"&amp;F$1&amp;$T113, TRUE)</f>
        <v>234</v>
      </c>
      <c r="G112" s="1771" cm="1">
        <f t="array" aca="1" ref="G112" ca="1">INDIRECT("'※ 인력 세부데이터'!"&amp;G$1&amp;$T113, TRUE)</f>
        <v>228</v>
      </c>
      <c r="H112" s="1771" cm="1">
        <f t="array" aca="1" ref="H112" ca="1">INDIRECT("'※ 인력 세부데이터'!"&amp;H$1&amp;$T113, TRUE)</f>
        <v>235</v>
      </c>
      <c r="I112" s="1771" cm="1">
        <f t="array" aca="1" ref="I112" ca="1">INDIRECT("'※ 인력 세부데이터'!"&amp;I$1&amp;$T113, TRUE)</f>
        <v>238</v>
      </c>
      <c r="J112" s="1771" cm="1">
        <f t="array" aca="1" ref="J112" ca="1">INDIRECT("'※ 인력 세부데이터'!"&amp;J$1&amp;$T113, TRUE)</f>
        <v>228</v>
      </c>
      <c r="K112" s="1771" cm="1">
        <f t="array" aca="1" ref="K112" ca="1">INDIRECT("'※ 인력 세부데이터'!"&amp;K$1&amp;$T113, TRUE)</f>
        <v>228</v>
      </c>
      <c r="L112" s="6439" cm="1">
        <f t="array" aca="1" ref="L112" ca="1">INDIRECT("'※ 인력 세부데이터'!"&amp;L$1&amp;$T113, TRUE)</f>
        <v>229</v>
      </c>
      <c r="M112" s="1771" cm="1">
        <f t="array" aca="1" ref="M112" ca="1">INDIRECT("'※ 인력 세부데이터'!"&amp;M$1&amp;$T113, TRUE)</f>
        <v>228</v>
      </c>
      <c r="N112" s="1771" cm="1">
        <f t="array" aca="1" ref="N112" ca="1">INDIRECT("'※ 인력 세부데이터'!"&amp;N$1&amp;$T113, TRUE)</f>
        <v>230</v>
      </c>
      <c r="O112" s="1772" cm="1">
        <f t="array" aca="1" ref="O112" ca="1">INDIRECT("'※ 인력 세부데이터'!"&amp;O$1&amp;$T113, TRUE)</f>
        <v>216</v>
      </c>
      <c r="P112" s="1773" cm="1">
        <f t="array" aca="1" ref="P112" ca="1">INDIRECT("'※ 인력 세부데이터'!"&amp;P$1&amp;$T113, TRUE)</f>
        <v>-14</v>
      </c>
      <c r="Q112" s="1774" cm="1">
        <f t="array" aca="1" ref="Q112" ca="1">INDIRECT("'※ 인력 세부데이터'!"&amp;Q$1&amp;$T113, TRUE)</f>
        <v>1.0555555555555556</v>
      </c>
      <c r="R112" s="1775" cm="1">
        <f t="array" aca="1" ref="R112" ca="1">INDIRECT("'※ 인력 세부데이터'!"&amp;R$1&amp;$T113, TRUE)</f>
        <v>54</v>
      </c>
      <c r="S112" s="1776" cm="1">
        <f t="array" aca="1" ref="S112" ca="1">INDIRECT("'※ 인력 세부데이터'!"&amp;S$1&amp;$T113, TRUE)</f>
        <v>4.2222222222222223</v>
      </c>
      <c r="T112" s="1596">
        <f>ROW('※ 인력 세부데이터'!J107)</f>
        <v>107</v>
      </c>
      <c r="U112" s="698"/>
      <c r="V112" s="698"/>
    </row>
    <row r="113" spans="1:22" ht="18.899999999999999" customHeight="1" x14ac:dyDescent="0.55000000000000004">
      <c r="A113" s="7439"/>
      <c r="B113" s="1777"/>
      <c r="C113" s="1778" t="s">
        <v>211</v>
      </c>
      <c r="D113" s="1598" cm="1">
        <f t="array" aca="1" ref="D113" ca="1">INDIRECT("'※ 인력 세부데이터'!"&amp;D$1&amp;$T114, TRUE)</f>
        <v>100.66666666666667</v>
      </c>
      <c r="E113" s="1598" cm="1">
        <f t="array" aca="1" ref="E113" ca="1">INDIRECT("'※ 인력 세부데이터'!"&amp;E$1&amp;$T114, TRUE)</f>
        <v>102.75</v>
      </c>
      <c r="F113" s="1600" cm="1">
        <f t="array" aca="1" ref="F113" ca="1">INDIRECT("'※ 인력 세부데이터'!"&amp;F$1&amp;$T114, TRUE)</f>
        <v>110</v>
      </c>
      <c r="G113" s="1601" cm="1">
        <f t="array" aca="1" ref="G113" ca="1">INDIRECT("'※ 인력 세부데이터'!"&amp;G$1&amp;$T114, TRUE)</f>
        <v>110</v>
      </c>
      <c r="H113" s="1601" cm="1">
        <f t="array" aca="1" ref="H113" ca="1">INDIRECT("'※ 인력 세부데이터'!"&amp;H$1&amp;$T114, TRUE)</f>
        <v>106</v>
      </c>
      <c r="I113" s="1601" cm="1">
        <f t="array" aca="1" ref="I113" ca="1">INDIRECT("'※ 인력 세부데이터'!"&amp;I$1&amp;$T114, TRUE)</f>
        <v>103</v>
      </c>
      <c r="J113" s="1601" cm="1">
        <f t="array" aca="1" ref="J113" ca="1">INDIRECT("'※ 인력 세부데이터'!"&amp;J$1&amp;$T114, TRUE)</f>
        <v>103</v>
      </c>
      <c r="K113" s="1601" cm="1">
        <f t="array" aca="1" ref="K113" ca="1">INDIRECT("'※ 인력 세부데이터'!"&amp;K$1&amp;$T114, TRUE)</f>
        <v>102</v>
      </c>
      <c r="L113" s="6440" cm="1">
        <f t="array" aca="1" ref="L113" ca="1">INDIRECT("'※ 인력 세부데이터'!"&amp;L$1&amp;$T114, TRUE)</f>
        <v>97</v>
      </c>
      <c r="M113" s="1601" cm="1">
        <f t="array" aca="1" ref="M113" ca="1">INDIRECT("'※ 인력 세부데이터'!"&amp;M$1&amp;$T114, TRUE)</f>
        <v>99</v>
      </c>
      <c r="N113" s="1601" cm="1">
        <f t="array" aca="1" ref="N113" ca="1">INDIRECT("'※ 인력 세부데이터'!"&amp;N$1&amp;$T114, TRUE)</f>
        <v>95</v>
      </c>
      <c r="O113" s="1779" cm="1">
        <f t="array" aca="1" ref="O113" ca="1">INDIRECT("'※ 인력 세부데이터'!"&amp;O$1&amp;$T114, TRUE)</f>
        <v>96</v>
      </c>
      <c r="P113" s="1780" cm="1">
        <f t="array" aca="1" ref="P113" ca="1">INDIRECT("'※ 인력 세부데이터'!"&amp;P$1&amp;$T114, TRUE)</f>
        <v>1</v>
      </c>
      <c r="Q113" s="1781" cm="1">
        <f t="array" aca="1" ref="Q113" ca="1">INDIRECT("'※ 인력 세부데이터'!"&amp;Q$1&amp;$T114, TRUE)</f>
        <v>1.03125</v>
      </c>
      <c r="R113" s="1782" cm="1">
        <f t="array" aca="1" ref="R113" ca="1">INDIRECT("'※ 인력 세부데이터'!"&amp;R$1&amp;$T114, TRUE)</f>
        <v>23</v>
      </c>
      <c r="S113" s="1783" cm="1">
        <f t="array" aca="1" ref="S113" ca="1">INDIRECT("'※ 인력 세부데이터'!"&amp;S$1&amp;$T114, TRUE)</f>
        <v>4.3043478260869561</v>
      </c>
      <c r="T113" s="1596">
        <f>ROW('※ 인력 세부데이터'!J108)</f>
        <v>108</v>
      </c>
      <c r="U113" s="698"/>
      <c r="V113" s="698"/>
    </row>
    <row r="114" spans="1:22" ht="18.899999999999999" customHeight="1" x14ac:dyDescent="0.55000000000000004">
      <c r="A114" s="7439"/>
      <c r="B114" s="1777"/>
      <c r="C114" s="1778" t="s">
        <v>212</v>
      </c>
      <c r="D114" s="1598" cm="1">
        <f t="array" aca="1" ref="D114" ca="1">INDIRECT("'※ 인력 세부데이터'!"&amp;D$1&amp;$T115, TRUE)</f>
        <v>103.25</v>
      </c>
      <c r="E114" s="1598" cm="1">
        <f t="array" aca="1" ref="E114" ca="1">INDIRECT("'※ 인력 세부데이터'!"&amp;E$1&amp;$T115, TRUE)</f>
        <v>105.5</v>
      </c>
      <c r="F114" s="1600" cm="1">
        <f t="array" aca="1" ref="F114" ca="1">INDIRECT("'※ 인력 세부데이터'!"&amp;F$1&amp;$T115, TRUE)</f>
        <v>109</v>
      </c>
      <c r="G114" s="1601" cm="1">
        <f t="array" aca="1" ref="G114" ca="1">INDIRECT("'※ 인력 세부데이터'!"&amp;G$1&amp;$T115, TRUE)</f>
        <v>107</v>
      </c>
      <c r="H114" s="1601" cm="1">
        <f t="array" aca="1" ref="H114" ca="1">INDIRECT("'※ 인력 세부데이터'!"&amp;H$1&amp;$T115, TRUE)</f>
        <v>105</v>
      </c>
      <c r="I114" s="1601" cm="1">
        <f t="array" aca="1" ref="I114" ca="1">INDIRECT("'※ 인력 세부데이터'!"&amp;I$1&amp;$T115, TRUE)</f>
        <v>105</v>
      </c>
      <c r="J114" s="1601" cm="1">
        <f t="array" aca="1" ref="J114" ca="1">INDIRECT("'※ 인력 세부데이터'!"&amp;J$1&amp;$T115, TRUE)</f>
        <v>105</v>
      </c>
      <c r="K114" s="1601" cm="1">
        <f t="array" aca="1" ref="K114" ca="1">INDIRECT("'※ 인력 세부데이터'!"&amp;K$1&amp;$T115, TRUE)</f>
        <v>106</v>
      </c>
      <c r="L114" s="6440" cm="1">
        <f t="array" aca="1" ref="L114" ca="1">INDIRECT("'※ 인력 세부데이터'!"&amp;L$1&amp;$T115, TRUE)</f>
        <v>109.5</v>
      </c>
      <c r="M114" s="1601" cm="1">
        <f t="array" aca="1" ref="M114" ca="1">INDIRECT("'※ 인력 세부데이터'!"&amp;M$1&amp;$T115, TRUE)</f>
        <v>109</v>
      </c>
      <c r="N114" s="1601" cm="1">
        <f t="array" aca="1" ref="N114" ca="1">INDIRECT("'※ 인력 세부데이터'!"&amp;N$1&amp;$T115, TRUE)</f>
        <v>110</v>
      </c>
      <c r="O114" s="1779" cm="1">
        <f t="array" aca="1" ref="O114" ca="1">INDIRECT("'※ 인력 세부데이터'!"&amp;O$1&amp;$T115, TRUE)</f>
        <v>108</v>
      </c>
      <c r="P114" s="1780" cm="1">
        <f t="array" aca="1" ref="P114" ca="1">INDIRECT("'※ 인력 세부데이터'!"&amp;P$1&amp;$T115, TRUE)</f>
        <v>-2</v>
      </c>
      <c r="Q114" s="1781" cm="1">
        <f t="array" aca="1" ref="Q114" ca="1">INDIRECT("'※ 인력 세부데이터'!"&amp;Q$1&amp;$T115, TRUE)</f>
        <v>1.0092592592592593</v>
      </c>
      <c r="R114" s="1782" cm="1">
        <f t="array" aca="1" ref="R114" ca="1">INDIRECT("'※ 인력 세부데이터'!"&amp;R$1&amp;$T115, TRUE)</f>
        <v>26</v>
      </c>
      <c r="S114" s="1783" cm="1">
        <f t="array" aca="1" ref="S114" ca="1">INDIRECT("'※ 인력 세부데이터'!"&amp;S$1&amp;$T115, TRUE)</f>
        <v>4.1923076923076925</v>
      </c>
      <c r="T114" s="1596">
        <f>ROW('※ 인력 세부데이터'!J109)</f>
        <v>109</v>
      </c>
      <c r="U114" s="698"/>
      <c r="V114" s="698"/>
    </row>
    <row r="115" spans="1:22" ht="18.899999999999999" customHeight="1" x14ac:dyDescent="0.55000000000000004">
      <c r="A115" s="7439"/>
      <c r="B115" s="1777"/>
      <c r="C115" s="1778" t="s">
        <v>213</v>
      </c>
      <c r="D115" s="1598" cm="1">
        <f t="array" aca="1" ref="D115" ca="1">INDIRECT("'※ 인력 세부데이터'!"&amp;D$1&amp;$T116, TRUE)</f>
        <v>77.916666666666671</v>
      </c>
      <c r="E115" s="1598" cm="1">
        <f t="array" aca="1" ref="E115" ca="1">INDIRECT("'※ 인력 세부데이터'!"&amp;E$1&amp;$T116, TRUE)</f>
        <v>75.5</v>
      </c>
      <c r="F115" s="1600" cm="1">
        <f t="array" aca="1" ref="F115" ca="1">INDIRECT("'※ 인력 세부데이터'!"&amp;F$1&amp;$T116, TRUE)</f>
        <v>77</v>
      </c>
      <c r="G115" s="1601" cm="1">
        <f t="array" aca="1" ref="G115" ca="1">INDIRECT("'※ 인력 세부데이터'!"&amp;G$1&amp;$T116, TRUE)</f>
        <v>75</v>
      </c>
      <c r="H115" s="1601" cm="1">
        <f t="array" aca="1" ref="H115" ca="1">INDIRECT("'※ 인력 세부데이터'!"&amp;H$1&amp;$T116, TRUE)</f>
        <v>77</v>
      </c>
      <c r="I115" s="1601" cm="1">
        <f t="array" aca="1" ref="I115" ca="1">INDIRECT("'※ 인력 세부데이터'!"&amp;I$1&amp;$T116, TRUE)</f>
        <v>77</v>
      </c>
      <c r="J115" s="1601" cm="1">
        <f t="array" aca="1" ref="J115" ca="1">INDIRECT("'※ 인력 세부데이터'!"&amp;J$1&amp;$T116, TRUE)</f>
        <v>76</v>
      </c>
      <c r="K115" s="1601" cm="1">
        <f t="array" aca="1" ref="K115" ca="1">INDIRECT("'※ 인력 세부데이터'!"&amp;K$1&amp;$T116, TRUE)</f>
        <v>75</v>
      </c>
      <c r="L115" s="6440" cm="1">
        <f t="array" aca="1" ref="L115" ca="1">INDIRECT("'※ 인력 세부데이터'!"&amp;L$1&amp;$T116, TRUE)</f>
        <v>77.5</v>
      </c>
      <c r="M115" s="1601" cm="1">
        <f t="array" aca="1" ref="M115" ca="1">INDIRECT("'※ 인력 세부데이터'!"&amp;M$1&amp;$T116, TRUE)</f>
        <v>76</v>
      </c>
      <c r="N115" s="1601" cm="1">
        <f t="array" aca="1" ref="N115" ca="1">INDIRECT("'※ 인력 세부데이터'!"&amp;N$1&amp;$T116, TRUE)</f>
        <v>79</v>
      </c>
      <c r="O115" s="1779" cm="1">
        <f t="array" aca="1" ref="O115" ca="1">INDIRECT("'※ 인력 세부데이터'!"&amp;O$1&amp;$T116, TRUE)</f>
        <v>75</v>
      </c>
      <c r="P115" s="1780" cm="1">
        <f t="array" aca="1" ref="P115" ca="1">INDIRECT("'※ 인력 세부데이터'!"&amp;P$1&amp;$T116, TRUE)</f>
        <v>-4</v>
      </c>
      <c r="Q115" s="1781" cm="1">
        <f t="array" aca="1" ref="Q115" ca="1">INDIRECT("'※ 인력 세부데이터'!"&amp;Q$1&amp;$T116, TRUE)</f>
        <v>1.0133333333333334</v>
      </c>
      <c r="R115" s="1782" cm="1">
        <f t="array" aca="1" ref="R115" ca="1">INDIRECT("'※ 인력 세부데이터'!"&amp;R$1&amp;$T116, TRUE)</f>
        <v>17</v>
      </c>
      <c r="S115" s="1783" cm="1">
        <f t="array" aca="1" ref="S115" ca="1">INDIRECT("'※ 인력 세부데이터'!"&amp;S$1&amp;$T116, TRUE)</f>
        <v>4.4705882352941178</v>
      </c>
      <c r="T115" s="1596">
        <f>ROW('※ 인력 세부데이터'!J110)</f>
        <v>110</v>
      </c>
      <c r="U115" s="698"/>
      <c r="V115" s="698"/>
    </row>
    <row r="116" spans="1:22" ht="18.899999999999999" customHeight="1" x14ac:dyDescent="0.55000000000000004">
      <c r="A116" s="7439"/>
      <c r="B116" s="1777"/>
      <c r="C116" s="1778" t="s">
        <v>214</v>
      </c>
      <c r="D116" s="1598" cm="1">
        <f t="array" aca="1" ref="D116" ca="1">INDIRECT("'※ 인력 세부데이터'!"&amp;D$1&amp;$T117, TRUE)</f>
        <v>105.83333333333333</v>
      </c>
      <c r="E116" s="1598" cm="1">
        <f t="array" aca="1" ref="E116" ca="1">INDIRECT("'※ 인력 세부데이터'!"&amp;E$1&amp;$T117, TRUE)</f>
        <v>104.58333333333333</v>
      </c>
      <c r="F116" s="1600" cm="1">
        <f t="array" aca="1" ref="F116" ca="1">INDIRECT("'※ 인력 세부데이터'!"&amp;F$1&amp;$T117, TRUE)</f>
        <v>107</v>
      </c>
      <c r="G116" s="1601" cm="1">
        <f t="array" aca="1" ref="G116" ca="1">INDIRECT("'※ 인력 세부데이터'!"&amp;G$1&amp;$T117, TRUE)</f>
        <v>106</v>
      </c>
      <c r="H116" s="1601" cm="1">
        <f t="array" aca="1" ref="H116" ca="1">INDIRECT("'※ 인력 세부데이터'!"&amp;H$1&amp;$T117, TRUE)</f>
        <v>109</v>
      </c>
      <c r="I116" s="1601" cm="1">
        <f t="array" aca="1" ref="I116" ca="1">INDIRECT("'※ 인력 세부데이터'!"&amp;I$1&amp;$T117, TRUE)</f>
        <v>104</v>
      </c>
      <c r="J116" s="1601" cm="1">
        <f t="array" aca="1" ref="J116" ca="1">INDIRECT("'※ 인력 세부데이터'!"&amp;J$1&amp;$T117, TRUE)</f>
        <v>103</v>
      </c>
      <c r="K116" s="1601" cm="1">
        <f t="array" aca="1" ref="K116" ca="1">INDIRECT("'※ 인력 세부데이터'!"&amp;K$1&amp;$T117, TRUE)</f>
        <v>103</v>
      </c>
      <c r="L116" s="6440" cm="1">
        <f t="array" aca="1" ref="L116" ca="1">INDIRECT("'※ 인력 세부데이터'!"&amp;L$1&amp;$T117, TRUE)</f>
        <v>107</v>
      </c>
      <c r="M116" s="1601" cm="1">
        <f t="array" aca="1" ref="M116" ca="1">INDIRECT("'※ 인력 세부데이터'!"&amp;M$1&amp;$T117, TRUE)</f>
        <v>107</v>
      </c>
      <c r="N116" s="1601" cm="1">
        <f t="array" aca="1" ref="N116" ca="1">INDIRECT("'※ 인력 세부데이터'!"&amp;N$1&amp;$T117, TRUE)</f>
        <v>107</v>
      </c>
      <c r="O116" s="1779" cm="1">
        <f t="array" aca="1" ref="O116" ca="1">INDIRECT("'※ 인력 세부데이터'!"&amp;O$1&amp;$T117, TRUE)</f>
        <v>102</v>
      </c>
      <c r="P116" s="1780" cm="1">
        <f t="array" aca="1" ref="P116" ca="1">INDIRECT("'※ 인력 세부데이터'!"&amp;P$1&amp;$T117, TRUE)</f>
        <v>-5</v>
      </c>
      <c r="Q116" s="1781" cm="1">
        <f t="array" aca="1" ref="Q116" ca="1">INDIRECT("'※ 인력 세부데이터'!"&amp;Q$1&amp;$T117, TRUE)</f>
        <v>1.0490196078431373</v>
      </c>
      <c r="R116" s="1782" cm="1">
        <f t="array" aca="1" ref="R116" ca="1">INDIRECT("'※ 인력 세부데이터'!"&amp;R$1&amp;$T117, TRUE)</f>
        <v>25</v>
      </c>
      <c r="S116" s="1783" cm="1">
        <f t="array" aca="1" ref="S116" ca="1">INDIRECT("'※ 인력 세부데이터'!"&amp;S$1&amp;$T117, TRUE)</f>
        <v>4.28</v>
      </c>
      <c r="T116" s="1596">
        <f>ROW('※ 인력 세부데이터'!J111)</f>
        <v>111</v>
      </c>
      <c r="U116" s="698"/>
      <c r="V116" s="698"/>
    </row>
    <row r="117" spans="1:22" ht="18.899999999999999" customHeight="1" x14ac:dyDescent="0.55000000000000004">
      <c r="A117" s="7439"/>
      <c r="B117" s="1777"/>
      <c r="C117" s="1778" t="s">
        <v>215</v>
      </c>
      <c r="D117" s="1598" cm="1">
        <f t="array" aca="1" ref="D117" ca="1">INDIRECT("'※ 인력 세부데이터'!"&amp;D$1&amp;$T118, TRUE)</f>
        <v>144.75</v>
      </c>
      <c r="E117" s="1598" cm="1">
        <f t="array" aca="1" ref="E117" ca="1">INDIRECT("'※ 인력 세부데이터'!"&amp;E$1&amp;$T118, TRUE)</f>
        <v>141.58333333333334</v>
      </c>
      <c r="F117" s="1600" cm="1">
        <f t="array" aca="1" ref="F117" ca="1">INDIRECT("'※ 인력 세부데이터'!"&amp;F$1&amp;$T118, TRUE)</f>
        <v>148</v>
      </c>
      <c r="G117" s="1601" cm="1">
        <f t="array" aca="1" ref="G117" ca="1">INDIRECT("'※ 인력 세부데이터'!"&amp;G$1&amp;$T118, TRUE)</f>
        <v>146</v>
      </c>
      <c r="H117" s="1601" cm="1">
        <f t="array" aca="1" ref="H117" ca="1">INDIRECT("'※ 인력 세부데이터'!"&amp;H$1&amp;$T118, TRUE)</f>
        <v>142</v>
      </c>
      <c r="I117" s="1601" cm="1">
        <f t="array" aca="1" ref="I117" ca="1">INDIRECT("'※ 인력 세부데이터'!"&amp;I$1&amp;$T118, TRUE)</f>
        <v>143</v>
      </c>
      <c r="J117" s="1601" cm="1">
        <f t="array" aca="1" ref="J117" ca="1">INDIRECT("'※ 인력 세부데이터'!"&amp;J$1&amp;$T118, TRUE)</f>
        <v>141</v>
      </c>
      <c r="K117" s="1601" cm="1">
        <f t="array" aca="1" ref="K117" ca="1">INDIRECT("'※ 인력 세부데이터'!"&amp;K$1&amp;$T118, TRUE)</f>
        <v>140</v>
      </c>
      <c r="L117" s="6440" cm="1">
        <f t="array" aca="1" ref="L117" ca="1">INDIRECT("'※ 인력 세부데이터'!"&amp;L$1&amp;$T118, TRUE)</f>
        <v>146</v>
      </c>
      <c r="M117" s="1601" cm="1">
        <f t="array" aca="1" ref="M117" ca="1">INDIRECT("'※ 인력 세부데이터'!"&amp;M$1&amp;$T118, TRUE)</f>
        <v>146</v>
      </c>
      <c r="N117" s="1601" cm="1">
        <f t="array" aca="1" ref="N117" ca="1">INDIRECT("'※ 인력 세부데이터'!"&amp;N$1&amp;$T118, TRUE)</f>
        <v>146</v>
      </c>
      <c r="O117" s="1779" cm="1">
        <f t="array" aca="1" ref="O117" ca="1">INDIRECT("'※ 인력 세부데이터'!"&amp;O$1&amp;$T118, TRUE)</f>
        <v>135</v>
      </c>
      <c r="P117" s="1780" cm="1">
        <f t="array" aca="1" ref="P117" ca="1">INDIRECT("'※ 인력 세부데이터'!"&amp;P$1&amp;$T118, TRUE)</f>
        <v>-11</v>
      </c>
      <c r="Q117" s="1781" cm="1">
        <f t="array" aca="1" ref="Q117" ca="1">INDIRECT("'※ 인력 세부데이터'!"&amp;Q$1&amp;$T118, TRUE)</f>
        <v>1.0814814814814815</v>
      </c>
      <c r="R117" s="1782" cm="1">
        <f t="array" aca="1" ref="R117" ca="1">INDIRECT("'※ 인력 세부데이터'!"&amp;R$1&amp;$T118, TRUE)</f>
        <v>30</v>
      </c>
      <c r="S117" s="1783" cm="1">
        <f t="array" aca="1" ref="S117" ca="1">INDIRECT("'※ 인력 세부데이터'!"&amp;S$1&amp;$T118, TRUE)</f>
        <v>4.8666666666666663</v>
      </c>
      <c r="T117" s="1596">
        <f>ROW('※ 인력 세부데이터'!J112)</f>
        <v>112</v>
      </c>
      <c r="U117" s="698"/>
      <c r="V117" s="698"/>
    </row>
    <row r="118" spans="1:22" ht="18.899999999999999" customHeight="1" x14ac:dyDescent="0.55000000000000004">
      <c r="A118" s="7439"/>
      <c r="B118" s="1777"/>
      <c r="C118" s="1778" t="s">
        <v>216</v>
      </c>
      <c r="D118" s="1544" cm="1">
        <f t="array" aca="1" ref="D118" ca="1">INDIRECT("'※ 인력 세부데이터'!"&amp;D$1&amp;$T119, TRUE)</f>
        <v>90.5</v>
      </c>
      <c r="E118" s="1544" cm="1">
        <f t="array" aca="1" ref="E118" ca="1">INDIRECT("'※ 인력 세부데이터'!"&amp;E$1&amp;$T119, TRUE)</f>
        <v>93.083333333333329</v>
      </c>
      <c r="F118" s="1526" cm="1">
        <f t="array" aca="1" ref="F118" ca="1">INDIRECT("'※ 인력 세부데이터'!"&amp;F$1&amp;$T119, TRUE)</f>
        <v>97</v>
      </c>
      <c r="G118" s="1527" cm="1">
        <f t="array" aca="1" ref="G118" ca="1">INDIRECT("'※ 인력 세부데이터'!"&amp;G$1&amp;$T119, TRUE)</f>
        <v>96</v>
      </c>
      <c r="H118" s="1527" cm="1">
        <f t="array" aca="1" ref="H118" ca="1">INDIRECT("'※ 인력 세부데이터'!"&amp;H$1&amp;$T119, TRUE)</f>
        <v>99</v>
      </c>
      <c r="I118" s="1527" cm="1">
        <f t="array" aca="1" ref="I118" ca="1">INDIRECT("'※ 인력 세부데이터'!"&amp;I$1&amp;$T119, TRUE)</f>
        <v>98</v>
      </c>
      <c r="J118" s="1527" cm="1">
        <f t="array" aca="1" ref="J118" ca="1">INDIRECT("'※ 인력 세부데이터'!"&amp;J$1&amp;$T119, TRUE)</f>
        <v>100</v>
      </c>
      <c r="K118" s="1527" cm="1">
        <f t="array" aca="1" ref="K118" ca="1">INDIRECT("'※ 인력 세부데이터'!"&amp;K$1&amp;$T119, TRUE)</f>
        <v>97</v>
      </c>
      <c r="L118" s="6441" cm="1">
        <f t="array" aca="1" ref="L118" ca="1">INDIRECT("'※ 인력 세부데이터'!"&amp;L$1&amp;$T119, TRUE)</f>
        <v>90.5</v>
      </c>
      <c r="M118" s="1527" cm="1">
        <f t="array" aca="1" ref="M118" ca="1">INDIRECT("'※ 인력 세부데이터'!"&amp;M$1&amp;$T119, TRUE)</f>
        <v>91</v>
      </c>
      <c r="N118" s="1527" cm="1">
        <f t="array" aca="1" ref="N118" ca="1">INDIRECT("'※ 인력 세부데이터'!"&amp;N$1&amp;$T119, TRUE)</f>
        <v>90</v>
      </c>
      <c r="O118" s="1784" cm="1">
        <f t="array" aca="1" ref="O118" ca="1">INDIRECT("'※ 인력 세부데이터'!"&amp;O$1&amp;$T119, TRUE)</f>
        <v>86</v>
      </c>
      <c r="P118" s="1785" cm="1">
        <f t="array" aca="1" ref="P118" ca="1">INDIRECT("'※ 인력 세부데이터'!"&amp;P$1&amp;$T119, TRUE)</f>
        <v>-4</v>
      </c>
      <c r="Q118" s="1786" cm="1">
        <f t="array" aca="1" ref="Q118" ca="1">INDIRECT("'※ 인력 세부데이터'!"&amp;Q$1&amp;$T119, TRUE)</f>
        <v>1.058139534883721</v>
      </c>
      <c r="R118" s="1787" cm="1">
        <f t="array" aca="1" ref="R118" ca="1">INDIRECT("'※ 인력 세부데이터'!"&amp;R$1&amp;$T119, TRUE)</f>
        <v>20</v>
      </c>
      <c r="S118" s="1788" cm="1">
        <f t="array" aca="1" ref="S118" ca="1">INDIRECT("'※ 인력 세부데이터'!"&amp;S$1&amp;$T119, TRUE)</f>
        <v>4.55</v>
      </c>
      <c r="T118" s="1520">
        <f>ROW('※ 인력 세부데이터'!J113)</f>
        <v>113</v>
      </c>
    </row>
    <row r="119" spans="1:22" ht="18.899999999999999" customHeight="1" x14ac:dyDescent="0.55000000000000004">
      <c r="A119" s="7439"/>
      <c r="B119" s="1777"/>
      <c r="C119" s="1778" t="s">
        <v>217</v>
      </c>
      <c r="D119" s="1544" cm="1">
        <f t="array" aca="1" ref="D119" ca="1">INDIRECT("'※ 인력 세부데이터'!"&amp;D$1&amp;$T120, TRUE)</f>
        <v>121.08333333333333</v>
      </c>
      <c r="E119" s="1544" cm="1">
        <f t="array" aca="1" ref="E119" ca="1">INDIRECT("'※ 인력 세부데이터'!"&amp;E$1&amp;$T120, TRUE)</f>
        <v>119.25</v>
      </c>
      <c r="F119" s="1526" cm="1">
        <f t="array" aca="1" ref="F119" ca="1">INDIRECT("'※ 인력 세부데이터'!"&amp;F$1&amp;$T120, TRUE)</f>
        <v>134</v>
      </c>
      <c r="G119" s="1527" cm="1">
        <f t="array" aca="1" ref="G119" ca="1">INDIRECT("'※ 인력 세부데이터'!"&amp;G$1&amp;$T120, TRUE)</f>
        <v>125</v>
      </c>
      <c r="H119" s="1527" cm="1">
        <f t="array" aca="1" ref="H119" ca="1">INDIRECT("'※ 인력 세부데이터'!"&amp;H$1&amp;$T120, TRUE)</f>
        <v>125</v>
      </c>
      <c r="I119" s="1527" cm="1">
        <f t="array" aca="1" ref="I119" ca="1">INDIRECT("'※ 인력 세부데이터'!"&amp;I$1&amp;$T120, TRUE)</f>
        <v>123</v>
      </c>
      <c r="J119" s="1527" cm="1">
        <f t="array" aca="1" ref="J119" ca="1">INDIRECT("'※ 인력 세부데이터'!"&amp;J$1&amp;$T120, TRUE)</f>
        <v>120</v>
      </c>
      <c r="K119" s="1527" cm="1">
        <f t="array" aca="1" ref="K119" ca="1">INDIRECT("'※ 인력 세부데이터'!"&amp;K$1&amp;$T120, TRUE)</f>
        <v>118</v>
      </c>
      <c r="L119" s="6441" cm="1">
        <f t="array" aca="1" ref="L119" ca="1">INDIRECT("'※ 인력 세부데이터'!"&amp;L$1&amp;$T120, TRUE)</f>
        <v>126</v>
      </c>
      <c r="M119" s="1527" cm="1">
        <f t="array" aca="1" ref="M119" ca="1">INDIRECT("'※ 인력 세부데이터'!"&amp;M$1&amp;$T120, TRUE)</f>
        <v>124</v>
      </c>
      <c r="N119" s="1527" cm="1">
        <f t="array" aca="1" ref="N119" ca="1">INDIRECT("'※ 인력 세부데이터'!"&amp;N$1&amp;$T120, TRUE)</f>
        <v>128</v>
      </c>
      <c r="O119" s="1784" cm="1">
        <f t="array" aca="1" ref="O119" ca="1">INDIRECT("'※ 인력 세부데이터'!"&amp;O$1&amp;$T120, TRUE)</f>
        <v>128</v>
      </c>
      <c r="P119" s="1785" cm="1">
        <f t="array" aca="1" ref="P119" ca="1">INDIRECT("'※ 인력 세부데이터'!"&amp;P$1&amp;$T120, TRUE)</f>
        <v>0</v>
      </c>
      <c r="Q119" s="1786" cm="1">
        <f t="array" aca="1" ref="Q119" ca="1">INDIRECT("'※ 인력 세부데이터'!"&amp;Q$1&amp;$T120, TRUE)</f>
        <v>0.96875</v>
      </c>
      <c r="R119" s="1787" cm="1">
        <f t="array" aca="1" ref="R119" ca="1">INDIRECT("'※ 인력 세부데이터'!"&amp;R$1&amp;$T120, TRUE)</f>
        <v>28</v>
      </c>
      <c r="S119" s="1788" cm="1">
        <f t="array" aca="1" ref="S119" ca="1">INDIRECT("'※ 인력 세부데이터'!"&amp;S$1&amp;$T120, TRUE)</f>
        <v>4.4285714285714288</v>
      </c>
      <c r="T119" s="1520">
        <f>ROW('※ 인력 세부데이터'!J114)</f>
        <v>114</v>
      </c>
    </row>
    <row r="120" spans="1:22" ht="18.899999999999999" customHeight="1" x14ac:dyDescent="0.55000000000000004">
      <c r="A120" s="7439"/>
      <c r="B120" s="1777"/>
      <c r="C120" s="1778" t="s">
        <v>218</v>
      </c>
      <c r="D120" s="1544" cm="1">
        <f t="array" aca="1" ref="D120" ca="1">INDIRECT("'※ 인력 세부데이터'!"&amp;D$1&amp;$T121, TRUE)</f>
        <v>122</v>
      </c>
      <c r="E120" s="1544" cm="1">
        <f t="array" aca="1" ref="E120" ca="1">INDIRECT("'※ 인력 세부데이터'!"&amp;E$1&amp;$T121, TRUE)</f>
        <v>121.66666666666667</v>
      </c>
      <c r="F120" s="1526" cm="1">
        <f t="array" aca="1" ref="F120" ca="1">INDIRECT("'※ 인력 세부데이터'!"&amp;F$1&amp;$T121, TRUE)</f>
        <v>123</v>
      </c>
      <c r="G120" s="1527" cm="1">
        <f t="array" aca="1" ref="G120" ca="1">INDIRECT("'※ 인력 세부데이터'!"&amp;G$1&amp;$T121, TRUE)</f>
        <v>124</v>
      </c>
      <c r="H120" s="1527" cm="1">
        <f t="array" aca="1" ref="H120" ca="1">INDIRECT("'※ 인력 세부데이터'!"&amp;H$1&amp;$T121, TRUE)</f>
        <v>121</v>
      </c>
      <c r="I120" s="1527" cm="1">
        <f t="array" aca="1" ref="I120" ca="1">INDIRECT("'※ 인력 세부데이터'!"&amp;I$1&amp;$T121, TRUE)</f>
        <v>121</v>
      </c>
      <c r="J120" s="1527" cm="1">
        <f t="array" aca="1" ref="J120" ca="1">INDIRECT("'※ 인력 세부데이터'!"&amp;J$1&amp;$T121, TRUE)</f>
        <v>122</v>
      </c>
      <c r="K120" s="1527" cm="1">
        <f t="array" aca="1" ref="K120" ca="1">INDIRECT("'※ 인력 세부데이터'!"&amp;K$1&amp;$T121, TRUE)</f>
        <v>125</v>
      </c>
      <c r="L120" s="6441" cm="1">
        <f t="array" aca="1" ref="L120" ca="1">INDIRECT("'※ 인력 세부데이터'!"&amp;L$1&amp;$T121, TRUE)</f>
        <v>125</v>
      </c>
      <c r="M120" s="1527" cm="1">
        <f t="array" aca="1" ref="M120" ca="1">INDIRECT("'※ 인력 세부데이터'!"&amp;M$1&amp;$T121, TRUE)</f>
        <v>126</v>
      </c>
      <c r="N120" s="1527" cm="1">
        <f t="array" aca="1" ref="N120" ca="1">INDIRECT("'※ 인력 세부데이터'!"&amp;N$1&amp;$T121, TRUE)</f>
        <v>124</v>
      </c>
      <c r="O120" s="1784" cm="1">
        <f t="array" aca="1" ref="O120" ca="1">INDIRECT("'※ 인력 세부데이터'!"&amp;O$1&amp;$T121, TRUE)</f>
        <v>120</v>
      </c>
      <c r="P120" s="1785" cm="1">
        <f t="array" aca="1" ref="P120" ca="1">INDIRECT("'※ 인력 세부데이터'!"&amp;P$1&amp;$T121, TRUE)</f>
        <v>-4</v>
      </c>
      <c r="Q120" s="1786" cm="1">
        <f t="array" aca="1" ref="Q120" ca="1">INDIRECT("'※ 인력 세부데이터'!"&amp;Q$1&amp;$T121, TRUE)</f>
        <v>1.05</v>
      </c>
      <c r="R120" s="1787" cm="1">
        <f t="array" aca="1" ref="R120" ca="1">INDIRECT("'※ 인력 세부데이터'!"&amp;R$1&amp;$T121, TRUE)</f>
        <v>29</v>
      </c>
      <c r="S120" s="1788" cm="1">
        <f t="array" aca="1" ref="S120" ca="1">INDIRECT("'※ 인력 세부데이터'!"&amp;S$1&amp;$T121, TRUE)</f>
        <v>4.3448275862068968</v>
      </c>
      <c r="T120" s="1520">
        <f>ROW('※ 인력 세부데이터'!J115)</f>
        <v>115</v>
      </c>
    </row>
    <row r="121" spans="1:22" ht="18.899999999999999" customHeight="1" x14ac:dyDescent="0.55000000000000004">
      <c r="A121" s="7439"/>
      <c r="B121" s="1777"/>
      <c r="C121" s="1778" t="s">
        <v>219</v>
      </c>
      <c r="D121" s="1544" cm="1">
        <f t="array" aca="1" ref="D121" ca="1">INDIRECT("'※ 인력 세부데이터'!"&amp;D$1&amp;$T122, TRUE)</f>
        <v>107.58333333333333</v>
      </c>
      <c r="E121" s="1544" cm="1">
        <f t="array" aca="1" ref="E121" ca="1">INDIRECT("'※ 인력 세부데이터'!"&amp;E$1&amp;$T122, TRUE)</f>
        <v>117</v>
      </c>
      <c r="F121" s="1526" cm="1">
        <f t="array" aca="1" ref="F121" ca="1">INDIRECT("'※ 인력 세부데이터'!"&amp;F$1&amp;$T122, TRUE)</f>
        <v>124</v>
      </c>
      <c r="G121" s="1527" cm="1">
        <f t="array" aca="1" ref="G121" ca="1">INDIRECT("'※ 인력 세부데이터'!"&amp;G$1&amp;$T122, TRUE)</f>
        <v>119</v>
      </c>
      <c r="H121" s="1527" cm="1">
        <f t="array" aca="1" ref="H121" ca="1">INDIRECT("'※ 인력 세부데이터'!"&amp;H$1&amp;$T122, TRUE)</f>
        <v>120</v>
      </c>
      <c r="I121" s="1527" cm="1">
        <f t="array" aca="1" ref="I121" ca="1">INDIRECT("'※ 인력 세부데이터'!"&amp;I$1&amp;$T122, TRUE)</f>
        <v>123</v>
      </c>
      <c r="J121" s="1527" cm="1">
        <f t="array" aca="1" ref="J121" ca="1">INDIRECT("'※ 인력 세부데이터'!"&amp;J$1&amp;$T122, TRUE)</f>
        <v>117</v>
      </c>
      <c r="K121" s="1527" cm="1">
        <f t="array" aca="1" ref="K121" ca="1">INDIRECT("'※ 인력 세부데이터'!"&amp;K$1&amp;$T122, TRUE)</f>
        <v>118</v>
      </c>
      <c r="L121" s="6441" cm="1">
        <f t="array" aca="1" ref="L121" ca="1">INDIRECT("'※ 인력 세부데이터'!"&amp;L$1&amp;$T122, TRUE)</f>
        <v>116</v>
      </c>
      <c r="M121" s="1527" cm="1">
        <f t="array" aca="1" ref="M121" ca="1">INDIRECT("'※ 인력 세부데이터'!"&amp;M$1&amp;$T122, TRUE)</f>
        <v>115</v>
      </c>
      <c r="N121" s="1527" cm="1">
        <f t="array" aca="1" ref="N121" ca="1">INDIRECT("'※ 인력 세부데이터'!"&amp;N$1&amp;$T122, TRUE)</f>
        <v>117</v>
      </c>
      <c r="O121" s="1784" cm="1">
        <f t="array" aca="1" ref="O121" ca="1">INDIRECT("'※ 인력 세부데이터'!"&amp;O$1&amp;$T122, TRUE)</f>
        <v>108</v>
      </c>
      <c r="P121" s="1785" cm="1">
        <f t="array" aca="1" ref="P121" ca="1">INDIRECT("'※ 인력 세부데이터'!"&amp;P$1&amp;$T122, TRUE)</f>
        <v>-9</v>
      </c>
      <c r="Q121" s="1786" cm="1">
        <f t="array" aca="1" ref="Q121" ca="1">INDIRECT("'※ 인력 세부데이터'!"&amp;Q$1&amp;$T122, TRUE)</f>
        <v>1.0648148148148149</v>
      </c>
      <c r="R121" s="1787" cm="1">
        <f t="array" aca="1" ref="R121" ca="1">INDIRECT("'※ 인력 세부데이터'!"&amp;R$1&amp;$T122, TRUE)</f>
        <v>27</v>
      </c>
      <c r="S121" s="1788" cm="1">
        <f t="array" aca="1" ref="S121" ca="1">INDIRECT("'※ 인력 세부데이터'!"&amp;S$1&amp;$T122, TRUE)</f>
        <v>4.2592592592592595</v>
      </c>
      <c r="T121" s="1520">
        <f>ROW('※ 인력 세부데이터'!J116)</f>
        <v>116</v>
      </c>
    </row>
    <row r="122" spans="1:22" ht="18.899999999999999" customHeight="1" thickBot="1" x14ac:dyDescent="0.6">
      <c r="A122" s="7439"/>
      <c r="B122" s="1777"/>
      <c r="C122" s="1778" t="s">
        <v>220</v>
      </c>
      <c r="D122" s="1544" cm="1">
        <f t="array" aca="1" ref="D122" ca="1">INDIRECT("'※ 인력 세부데이터'!"&amp;D$1&amp;$T123, TRUE)</f>
        <v>109.91666666666667</v>
      </c>
      <c r="E122" s="1544" cm="1">
        <f t="array" aca="1" ref="E122" ca="1">INDIRECT("'※ 인력 세부데이터'!"&amp;E$1&amp;$T123, TRUE)</f>
        <v>111.25</v>
      </c>
      <c r="F122" s="1526" cm="1">
        <f t="array" aca="1" ref="F122" ca="1">INDIRECT("'※ 인력 세부데이터'!"&amp;F$1&amp;$T123, TRUE)</f>
        <v>110</v>
      </c>
      <c r="G122" s="1527" cm="1">
        <f t="array" aca="1" ref="G122" ca="1">INDIRECT("'※ 인력 세부데이터'!"&amp;G$1&amp;$T123, TRUE)</f>
        <v>109</v>
      </c>
      <c r="H122" s="1527" cm="1">
        <f t="array" aca="1" ref="H122" ca="1">INDIRECT("'※ 인력 세부데이터'!"&amp;H$1&amp;$T123, TRUE)</f>
        <v>115</v>
      </c>
      <c r="I122" s="1527" cm="1">
        <f t="array" aca="1" ref="I122" ca="1">INDIRECT("'※ 인력 세부데이터'!"&amp;I$1&amp;$T123, TRUE)</f>
        <v>115</v>
      </c>
      <c r="J122" s="1527" cm="1">
        <f t="array" aca="1" ref="J122" ca="1">INDIRECT("'※ 인력 세부데이터'!"&amp;J$1&amp;$T123, TRUE)</f>
        <v>111</v>
      </c>
      <c r="K122" s="1527" cm="1">
        <f t="array" aca="1" ref="K122" ca="1">INDIRECT("'※ 인력 세부데이터'!"&amp;K$1&amp;$T123, TRUE)</f>
        <v>110</v>
      </c>
      <c r="L122" s="6441" cm="1">
        <f t="array" aca="1" ref="L122" ca="1">INDIRECT("'※ 인력 세부데이터'!"&amp;L$1&amp;$T123, TRUE)</f>
        <v>113</v>
      </c>
      <c r="M122" s="1527" cm="1">
        <f t="array" aca="1" ref="M122" ca="1">INDIRECT("'※ 인력 세부데이터'!"&amp;M$1&amp;$T123, TRUE)</f>
        <v>113</v>
      </c>
      <c r="N122" s="1527" cm="1">
        <f t="array" aca="1" ref="N122" ca="1">INDIRECT("'※ 인력 세부데이터'!"&amp;N$1&amp;$T123, TRUE)</f>
        <v>113</v>
      </c>
      <c r="O122" s="1784" cm="1">
        <f t="array" aca="1" ref="O122" ca="1">INDIRECT("'※ 인력 세부데이터'!"&amp;O$1&amp;$T123, TRUE)</f>
        <v>108</v>
      </c>
      <c r="P122" s="1785" cm="1">
        <f t="array" aca="1" ref="P122" ca="1">INDIRECT("'※ 인력 세부데이터'!"&amp;P$1&amp;$T123, TRUE)</f>
        <v>-5</v>
      </c>
      <c r="Q122" s="1786" cm="1">
        <f t="array" aca="1" ref="Q122" ca="1">INDIRECT("'※ 인력 세부데이터'!"&amp;Q$1&amp;$T123, TRUE)</f>
        <v>1.0462962962962963</v>
      </c>
      <c r="R122" s="1787" cm="1">
        <f t="array" aca="1" ref="R122" ca="1">INDIRECT("'※ 인력 세부데이터'!"&amp;R$1&amp;$T123, TRUE)</f>
        <v>27</v>
      </c>
      <c r="S122" s="1788" cm="1">
        <f t="array" aca="1" ref="S122" ca="1">INDIRECT("'※ 인력 세부데이터'!"&amp;S$1&amp;$T123, TRUE)</f>
        <v>4.1851851851851851</v>
      </c>
      <c r="T122" s="1520">
        <f>ROW('※ 인력 세부데이터'!J117)</f>
        <v>117</v>
      </c>
    </row>
    <row r="123" spans="1:22" ht="18.899999999999999" customHeight="1" x14ac:dyDescent="0.55000000000000004">
      <c r="A123" s="7432" t="s">
        <v>225</v>
      </c>
      <c r="B123" s="1789" t="s">
        <v>240</v>
      </c>
      <c r="C123" s="1790"/>
      <c r="D123" s="1791" cm="1">
        <f t="array" aca="1" ref="D123" ca="1">INDIRECT("'※ 인력 세부데이터'!"&amp;D$1&amp;$T124, TRUE)</f>
        <v>334.91666666666669</v>
      </c>
      <c r="E123" s="1791" cm="1">
        <f t="array" aca="1" ref="E123" ca="1">INDIRECT("'※ 인력 세부데이터'!"&amp;E$1&amp;$T124, TRUE)</f>
        <v>328.25</v>
      </c>
      <c r="F123" s="1792" cm="1">
        <f t="array" aca="1" ref="F123" ca="1">INDIRECT("'※ 인력 세부데이터'!"&amp;F$1&amp;$T124, TRUE)</f>
        <v>344</v>
      </c>
      <c r="G123" s="1793" cm="1">
        <f t="array" aca="1" ref="G123" ca="1">INDIRECT("'※ 인력 세부데이터'!"&amp;G$1&amp;$T124, TRUE)</f>
        <v>341</v>
      </c>
      <c r="H123" s="1793" cm="1">
        <f t="array" aca="1" ref="H123" ca="1">INDIRECT("'※ 인력 세부데이터'!"&amp;H$1&amp;$T124, TRUE)</f>
        <v>345</v>
      </c>
      <c r="I123" s="1793" cm="1">
        <f t="array" aca="1" ref="I123" ca="1">INDIRECT("'※ 인력 세부데이터'!"&amp;I$1&amp;$T124, TRUE)</f>
        <v>336</v>
      </c>
      <c r="J123" s="1793" cm="1">
        <f t="array" aca="1" ref="J123" ca="1">INDIRECT("'※ 인력 세부데이터'!"&amp;J$1&amp;$T124, TRUE)</f>
        <v>328</v>
      </c>
      <c r="K123" s="1793" cm="1">
        <f t="array" aca="1" ref="K123" ca="1">INDIRECT("'※ 인력 세부데이터'!"&amp;K$1&amp;$T124, TRUE)</f>
        <v>322</v>
      </c>
      <c r="L123" s="6442" cm="1">
        <f t="array" aca="1" ref="L123" ca="1">INDIRECT("'※ 인력 세부데이터'!"&amp;L$1&amp;$T124, TRUE)</f>
        <v>321.5</v>
      </c>
      <c r="M123" s="1793" cm="1">
        <f t="array" aca="1" ref="M123" ca="1">INDIRECT("'※ 인력 세부데이터'!"&amp;M$1&amp;$T124, TRUE)</f>
        <v>323</v>
      </c>
      <c r="N123" s="1793" cm="1">
        <f t="array" aca="1" ref="N123" ca="1">INDIRECT("'※ 인력 세부데이터'!"&amp;N$1&amp;$T124, TRUE)</f>
        <v>320</v>
      </c>
      <c r="O123" s="1794" cm="1">
        <f t="array" aca="1" ref="O123" ca="1">INDIRECT("'※ 인력 세부데이터'!"&amp;O$1&amp;$T124, TRUE)</f>
        <v>331</v>
      </c>
      <c r="P123" s="1795" cm="1">
        <f t="array" aca="1" ref="P123" ca="1">INDIRECT("'※ 인력 세부데이터'!"&amp;P$1&amp;$T124, TRUE)</f>
        <v>11</v>
      </c>
      <c r="Q123" s="1796" cm="1">
        <f t="array" aca="1" ref="Q123" ca="1">INDIRECT("'※ 인력 세부데이터'!"&amp;Q$1&amp;$T124, TRUE)</f>
        <v>0.97583081570996977</v>
      </c>
      <c r="R123" s="1797" cm="1">
        <f t="array" aca="1" ref="R123" ca="1">INDIRECT("'※ 인력 세부데이터'!"&amp;R$1&amp;$T124, TRUE)</f>
        <v>50</v>
      </c>
      <c r="S123" s="1798" cm="1">
        <f t="array" aca="1" ref="S123" ca="1">INDIRECT("'※ 인력 세부데이터'!"&amp;S$1&amp;$T124, TRUE)</f>
        <v>6.46</v>
      </c>
      <c r="T123" s="1520">
        <f>ROW('※ 인력 세부데이터'!J118)</f>
        <v>118</v>
      </c>
    </row>
    <row r="124" spans="1:22" ht="18.899999999999999" customHeight="1" x14ac:dyDescent="0.55000000000000004">
      <c r="A124" s="7433"/>
      <c r="B124" s="1751" t="s">
        <v>206</v>
      </c>
      <c r="C124" s="1799"/>
      <c r="D124" s="1800" cm="1">
        <f t="array" aca="1" ref="D124" ca="1">INDIRECT("'※ 인력 세부데이터'!"&amp;D$1&amp;$T125, TRUE)</f>
        <v>68.416666666666671</v>
      </c>
      <c r="E124" s="1800" cm="1">
        <f t="array" aca="1" ref="E124" ca="1">INDIRECT("'※ 인력 세부데이터'!"&amp;E$1&amp;$T125, TRUE)</f>
        <v>68.416666666666671</v>
      </c>
      <c r="F124" s="1801" cm="1">
        <f t="array" aca="1" ref="F124" ca="1">INDIRECT("'※ 인력 세부데이터'!"&amp;F$1&amp;$T125, TRUE)</f>
        <v>72</v>
      </c>
      <c r="G124" s="1802" cm="1">
        <f t="array" aca="1" ref="G124" ca="1">INDIRECT("'※ 인력 세부데이터'!"&amp;G$1&amp;$T125, TRUE)</f>
        <v>72</v>
      </c>
      <c r="H124" s="1802" cm="1">
        <f t="array" aca="1" ref="H124" ca="1">INDIRECT("'※ 인력 세부데이터'!"&amp;H$1&amp;$T125, TRUE)</f>
        <v>73</v>
      </c>
      <c r="I124" s="1802" cm="1">
        <f t="array" aca="1" ref="I124" ca="1">INDIRECT("'※ 인력 세부데이터'!"&amp;I$1&amp;$T125, TRUE)</f>
        <v>71</v>
      </c>
      <c r="J124" s="1802" cm="1">
        <f t="array" aca="1" ref="J124" ca="1">INDIRECT("'※ 인력 세부데이터'!"&amp;J$1&amp;$T125, TRUE)</f>
        <v>70</v>
      </c>
      <c r="K124" s="1802" cm="1">
        <f t="array" aca="1" ref="K124" ca="1">INDIRECT("'※ 인력 세부데이터'!"&amp;K$1&amp;$T125, TRUE)</f>
        <v>68</v>
      </c>
      <c r="L124" s="6443" cm="1">
        <f t="array" aca="1" ref="L124" ca="1">INDIRECT("'※ 인력 세부데이터'!"&amp;L$1&amp;$T125, TRUE)</f>
        <v>65.5</v>
      </c>
      <c r="M124" s="1802" cm="1">
        <f t="array" aca="1" ref="M124" ca="1">INDIRECT("'※ 인력 세부데이터'!"&amp;M$1&amp;$T125, TRUE)</f>
        <v>65</v>
      </c>
      <c r="N124" s="1802" cm="1">
        <f t="array" aca="1" ref="N124" ca="1">INDIRECT("'※ 인력 세부데이터'!"&amp;N$1&amp;$T125, TRUE)</f>
        <v>66</v>
      </c>
      <c r="O124" s="1803" cm="1">
        <f t="array" aca="1" ref="O124" ca="1">INDIRECT("'※ 인력 세부데이터'!"&amp;O$1&amp;$T125, TRUE)</f>
        <v>61</v>
      </c>
      <c r="P124" s="1804" cm="1">
        <f t="array" aca="1" ref="P124" ca="1">INDIRECT("'※ 인력 세부데이터'!"&amp;P$1&amp;$T125, TRUE)</f>
        <v>-5</v>
      </c>
      <c r="Q124" s="1805" cm="1">
        <f t="array" aca="1" ref="Q124" ca="1">INDIRECT("'※ 인력 세부데이터'!"&amp;Q$1&amp;$T125, TRUE)</f>
        <v>1.0655737704918034</v>
      </c>
      <c r="R124" s="1806" cm="1">
        <f t="array" aca="1" ref="R124" ca="1">INDIRECT("'※ 인력 세부데이터'!"&amp;R$1&amp;$T125, TRUE)</f>
        <v>10</v>
      </c>
      <c r="S124" s="1807" cm="1">
        <f t="array" aca="1" ref="S124" ca="1">INDIRECT("'※ 인력 세부데이터'!"&amp;S$1&amp;$T125, TRUE)</f>
        <v>6.5</v>
      </c>
      <c r="T124" s="1520">
        <f>ROW('※ 인력 세부데이터'!J119)</f>
        <v>119</v>
      </c>
    </row>
    <row r="125" spans="1:22" ht="18.899999999999999" customHeight="1" x14ac:dyDescent="0.55000000000000004">
      <c r="A125" s="7433"/>
      <c r="B125" s="1761" t="s">
        <v>207</v>
      </c>
      <c r="C125" s="1576"/>
      <c r="D125" s="1577" cm="1">
        <f t="array" aca="1" ref="D125" ca="1">INDIRECT("'※ 인력 세부데이터'!"&amp;D$1&amp;$T126, TRUE)</f>
        <v>46.583333333333336</v>
      </c>
      <c r="E125" s="1577" cm="1">
        <f t="array" aca="1" ref="E125" ca="1">INDIRECT("'※ 인력 세부데이터'!"&amp;E$1&amp;$T126, TRUE)</f>
        <v>46.25</v>
      </c>
      <c r="F125" s="1579" cm="1">
        <f t="array" aca="1" ref="F125" ca="1">INDIRECT("'※ 인력 세부데이터'!"&amp;F$1&amp;$T126, TRUE)</f>
        <v>48</v>
      </c>
      <c r="G125" s="1580" cm="1">
        <f t="array" aca="1" ref="G125" ca="1">INDIRECT("'※ 인력 세부데이터'!"&amp;G$1&amp;$T126, TRUE)</f>
        <v>49</v>
      </c>
      <c r="H125" s="1580" cm="1">
        <f t="array" aca="1" ref="H125" ca="1">INDIRECT("'※ 인력 세부데이터'!"&amp;H$1&amp;$T126, TRUE)</f>
        <v>50</v>
      </c>
      <c r="I125" s="1580" cm="1">
        <f t="array" aca="1" ref="I125" ca="1">INDIRECT("'※ 인력 세부데이터'!"&amp;I$1&amp;$T126, TRUE)</f>
        <v>47</v>
      </c>
      <c r="J125" s="1580" cm="1">
        <f t="array" aca="1" ref="J125" ca="1">INDIRECT("'※ 인력 세부데이터'!"&amp;J$1&amp;$T126, TRUE)</f>
        <v>45</v>
      </c>
      <c r="K125" s="1580" cm="1">
        <f t="array" aca="1" ref="K125" ca="1">INDIRECT("'※ 인력 세부데이터'!"&amp;K$1&amp;$T126, TRUE)</f>
        <v>45</v>
      </c>
      <c r="L125" s="6444" cm="1">
        <f t="array" aca="1" ref="L125" ca="1">INDIRECT("'※ 인력 세부데이터'!"&amp;L$1&amp;$T126, TRUE)</f>
        <v>46.5</v>
      </c>
      <c r="M125" s="1580" cm="1">
        <f t="array" aca="1" ref="M125" ca="1">INDIRECT("'※ 인력 세부데이터'!"&amp;M$1&amp;$T126, TRUE)</f>
        <v>46</v>
      </c>
      <c r="N125" s="1580" cm="1">
        <f t="array" aca="1" ref="N125" ca="1">INDIRECT("'※ 인력 세부데이터'!"&amp;N$1&amp;$T126, TRUE)</f>
        <v>47</v>
      </c>
      <c r="O125" s="1808" cm="1">
        <f t="array" aca="1" ref="O125" ca="1">INDIRECT("'※ 인력 세부데이터'!"&amp;O$1&amp;$T126, TRUE)</f>
        <v>48</v>
      </c>
      <c r="P125" s="1809" cm="1">
        <f t="array" aca="1" ref="P125" ca="1">INDIRECT("'※ 인력 세부데이터'!"&amp;P$1&amp;$T126, TRUE)</f>
        <v>1</v>
      </c>
      <c r="Q125" s="1810" cm="1">
        <f t="array" aca="1" ref="Q125" ca="1">INDIRECT("'※ 인력 세부데이터'!"&amp;Q$1&amp;$T126, TRUE)</f>
        <v>0.95833333333333337</v>
      </c>
      <c r="R125" s="1811" cm="1">
        <f t="array" aca="1" ref="R125" ca="1">INDIRECT("'※ 인력 세부데이터'!"&amp;R$1&amp;$T126, TRUE)</f>
        <v>7</v>
      </c>
      <c r="S125" s="1812" cm="1">
        <f t="array" aca="1" ref="S125" ca="1">INDIRECT("'※ 인력 세부데이터'!"&amp;S$1&amp;$T126, TRUE)</f>
        <v>6.5714285714285712</v>
      </c>
      <c r="T125" s="1520">
        <f>ROW('※ 인력 세부데이터'!J120)</f>
        <v>120</v>
      </c>
    </row>
    <row r="126" spans="1:22" ht="18.899999999999999" customHeight="1" x14ac:dyDescent="0.55000000000000004">
      <c r="A126" s="7433"/>
      <c r="B126" s="1761" t="s">
        <v>208</v>
      </c>
      <c r="C126" s="1576"/>
      <c r="D126" s="1577" cm="1">
        <f t="array" aca="1" ref="D126" ca="1">INDIRECT("'※ 인력 세부데이터'!"&amp;D$1&amp;$T127, TRUE)</f>
        <v>44.25</v>
      </c>
      <c r="E126" s="1577" cm="1">
        <f t="array" aca="1" ref="E126" ca="1">INDIRECT("'※ 인력 세부데이터'!"&amp;E$1&amp;$T127, TRUE)</f>
        <v>42.75</v>
      </c>
      <c r="F126" s="1579" cm="1">
        <f t="array" aca="1" ref="F126" ca="1">INDIRECT("'※ 인력 세부데이터'!"&amp;F$1&amp;$T127, TRUE)</f>
        <v>44</v>
      </c>
      <c r="G126" s="1580" cm="1">
        <f t="array" aca="1" ref="G126" ca="1">INDIRECT("'※ 인력 세부데이터'!"&amp;G$1&amp;$T127, TRUE)</f>
        <v>42</v>
      </c>
      <c r="H126" s="1580" cm="1">
        <f t="array" aca="1" ref="H126" ca="1">INDIRECT("'※ 인력 세부데이터'!"&amp;H$1&amp;$T127, TRUE)</f>
        <v>44</v>
      </c>
      <c r="I126" s="1580" cm="1">
        <f t="array" aca="1" ref="I126" ca="1">INDIRECT("'※ 인력 세부데이터'!"&amp;I$1&amp;$T127, TRUE)</f>
        <v>44</v>
      </c>
      <c r="J126" s="1580" cm="1">
        <f t="array" aca="1" ref="J126" ca="1">INDIRECT("'※ 인력 세부데이터'!"&amp;J$1&amp;$T127, TRUE)</f>
        <v>42</v>
      </c>
      <c r="K126" s="1580" cm="1">
        <f t="array" aca="1" ref="K126" ca="1">INDIRECT("'※ 인력 세부데이터'!"&amp;K$1&amp;$T127, TRUE)</f>
        <v>40</v>
      </c>
      <c r="L126" s="6444" cm="1">
        <f t="array" aca="1" ref="L126" ca="1">INDIRECT("'※ 인력 세부데이터'!"&amp;L$1&amp;$T127, TRUE)</f>
        <v>41</v>
      </c>
      <c r="M126" s="1580" cm="1">
        <f t="array" aca="1" ref="M126" ca="1">INDIRECT("'※ 인력 세부데이터'!"&amp;M$1&amp;$T127, TRUE)</f>
        <v>40</v>
      </c>
      <c r="N126" s="1580" cm="1">
        <f t="array" aca="1" ref="N126" ca="1">INDIRECT("'※ 인력 세부데이터'!"&amp;N$1&amp;$T127, TRUE)</f>
        <v>42</v>
      </c>
      <c r="O126" s="1808" cm="1">
        <f t="array" aca="1" ref="O126" ca="1">INDIRECT("'※ 인력 세부데이터'!"&amp;O$1&amp;$T127, TRUE)</f>
        <v>46</v>
      </c>
      <c r="P126" s="1809" cm="1">
        <f t="array" aca="1" ref="P126" ca="1">INDIRECT("'※ 인력 세부데이터'!"&amp;P$1&amp;$T127, TRUE)</f>
        <v>4</v>
      </c>
      <c r="Q126" s="1810" cm="1">
        <f t="array" aca="1" ref="Q126" ca="1">INDIRECT("'※ 인력 세부데이터'!"&amp;Q$1&amp;$T127, TRUE)</f>
        <v>0.86956521739130432</v>
      </c>
      <c r="R126" s="1811" cm="1">
        <f t="array" aca="1" ref="R126" ca="1">INDIRECT("'※ 인력 세부데이터'!"&amp;R$1&amp;$T127, TRUE)</f>
        <v>7</v>
      </c>
      <c r="S126" s="1812" cm="1">
        <f t="array" aca="1" ref="S126" ca="1">INDIRECT("'※ 인력 세부데이터'!"&amp;S$1&amp;$T127, TRUE)</f>
        <v>5.7142857142857144</v>
      </c>
      <c r="T126" s="1520">
        <f>ROW('※ 인력 세부데이터'!J121)</f>
        <v>121</v>
      </c>
    </row>
    <row r="127" spans="1:22" ht="18.899999999999999" customHeight="1" x14ac:dyDescent="0.55000000000000004">
      <c r="A127" s="7433"/>
      <c r="B127" s="1761" t="s">
        <v>209</v>
      </c>
      <c r="C127" s="1576"/>
      <c r="D127" s="1577" cm="1">
        <f t="array" aca="1" ref="D127" ca="1">INDIRECT("'※ 인력 세부데이터'!"&amp;D$1&amp;$T128, TRUE)</f>
        <v>96</v>
      </c>
      <c r="E127" s="1577" cm="1">
        <f t="array" aca="1" ref="E127" ca="1">INDIRECT("'※ 인력 세부데이터'!"&amp;E$1&amp;$T128, TRUE)</f>
        <v>98.416666666666671</v>
      </c>
      <c r="F127" s="1579" cm="1">
        <f t="array" aca="1" ref="F127" ca="1">INDIRECT("'※ 인력 세부데이터'!"&amp;F$1&amp;$T128, TRUE)</f>
        <v>102</v>
      </c>
      <c r="G127" s="1580" cm="1">
        <f t="array" aca="1" ref="G127" ca="1">INDIRECT("'※ 인력 세부데이터'!"&amp;G$1&amp;$T128, TRUE)</f>
        <v>103</v>
      </c>
      <c r="H127" s="1580" cm="1">
        <f t="array" aca="1" ref="H127" ca="1">INDIRECT("'※ 인력 세부데이터'!"&amp;H$1&amp;$T128, TRUE)</f>
        <v>100</v>
      </c>
      <c r="I127" s="1580" cm="1">
        <f t="array" aca="1" ref="I127" ca="1">INDIRECT("'※ 인력 세부데이터'!"&amp;I$1&amp;$T128, TRUE)</f>
        <v>96</v>
      </c>
      <c r="J127" s="1580" cm="1">
        <f t="array" aca="1" ref="J127" ca="1">INDIRECT("'※ 인력 세부데이터'!"&amp;J$1&amp;$T128, TRUE)</f>
        <v>97</v>
      </c>
      <c r="K127" s="1580" cm="1">
        <f t="array" aca="1" ref="K127" ca="1">INDIRECT("'※ 인력 세부데이터'!"&amp;K$1&amp;$T128, TRUE)</f>
        <v>93</v>
      </c>
      <c r="L127" s="6444" cm="1">
        <f t="array" aca="1" ref="L127" ca="1">INDIRECT("'※ 인력 세부데이터'!"&amp;L$1&amp;$T128, TRUE)</f>
        <v>96.5</v>
      </c>
      <c r="M127" s="1580" cm="1">
        <f t="array" aca="1" ref="M127" ca="1">INDIRECT("'※ 인력 세부데이터'!"&amp;M$1&amp;$T128, TRUE)</f>
        <v>97</v>
      </c>
      <c r="N127" s="1580" cm="1">
        <f t="array" aca="1" ref="N127" ca="1">INDIRECT("'※ 인력 세부데이터'!"&amp;N$1&amp;$T128, TRUE)</f>
        <v>96</v>
      </c>
      <c r="O127" s="1808" cm="1">
        <f t="array" aca="1" ref="O127" ca="1">INDIRECT("'※ 인력 세부데이터'!"&amp;O$1&amp;$T128, TRUE)</f>
        <v>98</v>
      </c>
      <c r="P127" s="1809" cm="1">
        <f t="array" aca="1" ref="P127" ca="1">INDIRECT("'※ 인력 세부데이터'!"&amp;P$1&amp;$T128, TRUE)</f>
        <v>2</v>
      </c>
      <c r="Q127" s="1810" cm="1">
        <f t="array" aca="1" ref="Q127" ca="1">INDIRECT("'※ 인력 세부데이터'!"&amp;Q$1&amp;$T128, TRUE)</f>
        <v>0.98979591836734693</v>
      </c>
      <c r="R127" s="1811" cm="1">
        <f t="array" aca="1" ref="R127" ca="1">INDIRECT("'※ 인력 세부데이터'!"&amp;R$1&amp;$T128, TRUE)</f>
        <v>14</v>
      </c>
      <c r="S127" s="1812" cm="1">
        <f t="array" aca="1" ref="S127" ca="1">INDIRECT("'※ 인력 세부데이터'!"&amp;S$1&amp;$T128, TRUE)</f>
        <v>6.9285714285714288</v>
      </c>
      <c r="T127" s="1520">
        <f>ROW('※ 인력 세부데이터'!J122)</f>
        <v>122</v>
      </c>
    </row>
    <row r="128" spans="1:22" ht="18.899999999999999" customHeight="1" x14ac:dyDescent="0.55000000000000004">
      <c r="A128" s="7433"/>
      <c r="B128" s="1767" t="s">
        <v>210</v>
      </c>
      <c r="C128" s="1813"/>
      <c r="D128" s="1814" cm="1">
        <f t="array" aca="1" ref="D128" ca="1">INDIRECT("'※ 인력 세부데이터'!"&amp;D$1&amp;$T129, TRUE)</f>
        <v>79.666666666666671</v>
      </c>
      <c r="E128" s="1814" cm="1">
        <f t="array" aca="1" ref="E128" ca="1">INDIRECT("'※ 인력 세부데이터'!"&amp;E$1&amp;$T129, TRUE)</f>
        <v>72.416666666666671</v>
      </c>
      <c r="F128" s="1815" cm="1">
        <f t="array" aca="1" ref="F128" ca="1">INDIRECT("'※ 인력 세부데이터'!"&amp;F$1&amp;$T129, TRUE)</f>
        <v>78</v>
      </c>
      <c r="G128" s="1816" cm="1">
        <f t="array" aca="1" ref="G128" ca="1">INDIRECT("'※ 인력 세부데이터'!"&amp;G$1&amp;$T129, TRUE)</f>
        <v>75</v>
      </c>
      <c r="H128" s="1816" cm="1">
        <f t="array" aca="1" ref="H128" ca="1">INDIRECT("'※ 인력 세부데이터'!"&amp;H$1&amp;$T129, TRUE)</f>
        <v>78</v>
      </c>
      <c r="I128" s="1816" cm="1">
        <f t="array" aca="1" ref="I128" ca="1">INDIRECT("'※ 인력 세부데이터'!"&amp;I$1&amp;$T129, TRUE)</f>
        <v>78</v>
      </c>
      <c r="J128" s="1816" cm="1">
        <f t="array" aca="1" ref="J128" ca="1">INDIRECT("'※ 인력 세부데이터'!"&amp;J$1&amp;$T129, TRUE)</f>
        <v>74</v>
      </c>
      <c r="K128" s="1816" cm="1">
        <f t="array" aca="1" ref="K128" ca="1">INDIRECT("'※ 인력 세부데이터'!"&amp;K$1&amp;$T129, TRUE)</f>
        <v>76</v>
      </c>
      <c r="L128" s="6445" cm="1">
        <f t="array" aca="1" ref="L128" ca="1">INDIRECT("'※ 인력 세부데이터'!"&amp;L$1&amp;$T129, TRUE)</f>
        <v>72</v>
      </c>
      <c r="M128" s="1816" cm="1">
        <f t="array" aca="1" ref="M128" ca="1">INDIRECT("'※ 인력 세부데이터'!"&amp;M$1&amp;$T129, TRUE)</f>
        <v>75</v>
      </c>
      <c r="N128" s="1816" cm="1">
        <f t="array" aca="1" ref="N128" ca="1">INDIRECT("'※ 인력 세부데이터'!"&amp;N$1&amp;$T129, TRUE)</f>
        <v>69</v>
      </c>
      <c r="O128" s="1817" cm="1">
        <f t="array" aca="1" ref="O128" ca="1">INDIRECT("'※ 인력 세부데이터'!"&amp;O$1&amp;$T129, TRUE)</f>
        <v>78</v>
      </c>
      <c r="P128" s="1818" cm="1">
        <f t="array" aca="1" ref="P128" ca="1">INDIRECT("'※ 인력 세부데이터'!"&amp;P$1&amp;$T129, TRUE)</f>
        <v>9</v>
      </c>
      <c r="Q128" s="1819" cm="1">
        <f t="array" aca="1" ref="Q128" ca="1">INDIRECT("'※ 인력 세부데이터'!"&amp;Q$1&amp;$T129, TRUE)</f>
        <v>0.96153846153846156</v>
      </c>
      <c r="R128" s="1820" cm="1">
        <f t="array" aca="1" ref="R128" ca="1">INDIRECT("'※ 인력 세부데이터'!"&amp;R$1&amp;$T129, TRUE)</f>
        <v>12</v>
      </c>
      <c r="S128" s="1821" cm="1">
        <f t="array" aca="1" ref="S128" ca="1">INDIRECT("'※ 인력 세부데이터'!"&amp;S$1&amp;$T129, TRUE)</f>
        <v>6.25</v>
      </c>
      <c r="T128" s="1520">
        <f>ROW('※ 인력 세부데이터'!J123)</f>
        <v>123</v>
      </c>
    </row>
    <row r="129" spans="1:20" ht="18.899999999999999" customHeight="1" x14ac:dyDescent="0.55000000000000004">
      <c r="A129" s="7433"/>
      <c r="B129" s="1822"/>
      <c r="C129" s="1823" t="s">
        <v>226</v>
      </c>
      <c r="D129" s="1544" cm="1">
        <f t="array" aca="1" ref="D129" ca="1">INDIRECT("'※ 인력 세부데이터'!"&amp;D$1&amp;$T130, TRUE)</f>
        <v>45.75</v>
      </c>
      <c r="E129" s="1544" cm="1">
        <f t="array" aca="1" ref="E129" ca="1">INDIRECT("'※ 인력 세부데이터'!"&amp;E$1&amp;$T130, TRUE)</f>
        <v>57.166666666666664</v>
      </c>
      <c r="F129" s="1526" cm="1">
        <f t="array" aca="1" ref="F129" ca="1">INDIRECT("'※ 인력 세부데이터'!"&amp;F$1&amp;$T130, TRUE)</f>
        <v>49</v>
      </c>
      <c r="G129" s="1527" cm="1">
        <f t="array" aca="1" ref="G129" ca="1">INDIRECT("'※ 인력 세부데이터'!"&amp;G$1&amp;$T130, TRUE)</f>
        <v>49</v>
      </c>
      <c r="H129" s="1527" cm="1">
        <f t="array" aca="1" ref="H129" ca="1">INDIRECT("'※ 인력 세부데이터'!"&amp;H$1&amp;$T130, TRUE)</f>
        <v>49</v>
      </c>
      <c r="I129" s="1527" cm="1">
        <f t="array" aca="1" ref="I129" ca="1">INDIRECT("'※ 인력 세부데이터'!"&amp;I$1&amp;$T130, TRUE)</f>
        <v>48</v>
      </c>
      <c r="J129" s="1527" cm="1">
        <f t="array" aca="1" ref="J129" ca="1">INDIRECT("'※ 인력 세부데이터'!"&amp;J$1&amp;$T130, TRUE)</f>
        <v>49</v>
      </c>
      <c r="K129" s="1527" cm="1">
        <f t="array" aca="1" ref="K129" ca="1">INDIRECT("'※ 인력 세부데이터'!"&amp;K$1&amp;$T130, TRUE)</f>
        <v>47</v>
      </c>
      <c r="L129" s="6441" cm="1">
        <f t="array" aca="1" ref="L129" ca="1">INDIRECT("'※ 인력 세부데이터'!"&amp;L$1&amp;$T130, TRUE)</f>
        <v>65.5</v>
      </c>
      <c r="M129" s="1527" cm="1">
        <f t="array" aca="1" ref="M129" ca="1">INDIRECT("'※ 인력 세부데이터'!"&amp;M$1&amp;$T130, TRUE)</f>
        <v>65</v>
      </c>
      <c r="N129" s="1527" cm="1">
        <f t="array" aca="1" ref="N129" ca="1">INDIRECT("'※ 인력 세부데이터'!"&amp;N$1&amp;$T130, TRUE)</f>
        <v>66</v>
      </c>
      <c r="O129" s="1824"/>
      <c r="P129" s="1825"/>
      <c r="Q129" s="1826"/>
      <c r="R129" s="1827" cm="1">
        <f t="array" aca="1" ref="R129" ca="1">INDIRECT("'※ 인력 세부데이터'!"&amp;R$1&amp;$T130, TRUE)</f>
        <v>10</v>
      </c>
      <c r="S129" s="1788" cm="1">
        <f t="array" aca="1" ref="S129" ca="1">INDIRECT("'※ 인력 세부데이터'!"&amp;S$1&amp;$T130, TRUE)</f>
        <v>6.5</v>
      </c>
      <c r="T129" s="1520">
        <f>ROW('※ 인력 세부데이터'!J124)</f>
        <v>124</v>
      </c>
    </row>
    <row r="130" spans="1:20" ht="18.899999999999999" customHeight="1" x14ac:dyDescent="0.55000000000000004">
      <c r="A130" s="7433"/>
      <c r="B130" s="1822"/>
      <c r="C130" s="1828" t="s">
        <v>237</v>
      </c>
      <c r="D130" s="1544" cm="1">
        <f t="array" aca="1" ref="D130" ca="1">INDIRECT("'※ 인력 세부데이터'!"&amp;D$1&amp;$T131, TRUE)</f>
        <v>17.666666666666668</v>
      </c>
      <c r="E130" s="1544" cm="1">
        <f t="array" aca="1" ref="E130" ca="1">INDIRECT("'※ 인력 세부데이터'!"&amp;E$1&amp;$T131, TRUE)</f>
        <v>19.666666666666668</v>
      </c>
      <c r="F130" s="1526" cm="1">
        <f t="array" aca="1" ref="F130" ca="1">INDIRECT("'※ 인력 세부데이터'!"&amp;F$1&amp;$T131, TRUE)</f>
        <v>18</v>
      </c>
      <c r="G130" s="1527" cm="1">
        <f t="array" aca="1" ref="G130" ca="1">INDIRECT("'※ 인력 세부데이터'!"&amp;G$1&amp;$T131, TRUE)</f>
        <v>18</v>
      </c>
      <c r="H130" s="1527" cm="1">
        <f t="array" aca="1" ref="H130" ca="1">INDIRECT("'※ 인력 세부데이터'!"&amp;H$1&amp;$T131, TRUE)</f>
        <v>20</v>
      </c>
      <c r="I130" s="1527" cm="1">
        <f t="array" aca="1" ref="I130" ca="1">INDIRECT("'※ 인력 세부데이터'!"&amp;I$1&amp;$T131, TRUE)</f>
        <v>19</v>
      </c>
      <c r="J130" s="1527" cm="1">
        <f t="array" aca="1" ref="J130" ca="1">INDIRECT("'※ 인력 세부데이터'!"&amp;J$1&amp;$T131, TRUE)</f>
        <v>20</v>
      </c>
      <c r="K130" s="1527" cm="1">
        <f t="array" aca="1" ref="K130" ca="1">INDIRECT("'※ 인력 세부데이터'!"&amp;K$1&amp;$T131, TRUE)</f>
        <v>19</v>
      </c>
      <c r="L130" s="6441" cm="1">
        <f t="array" aca="1" ref="L130" ca="1">INDIRECT("'※ 인력 세부데이터'!"&amp;L$1&amp;$T131, TRUE)</f>
        <v>20</v>
      </c>
      <c r="M130" s="1527" cm="1">
        <f t="array" aca="1" ref="M130" ca="1">INDIRECT("'※ 인력 세부데이터'!"&amp;M$1&amp;$T131, TRUE)</f>
        <v>20</v>
      </c>
      <c r="N130" s="1527" cm="1">
        <f t="array" aca="1" ref="N130" ca="1">INDIRECT("'※ 인력 세부데이터'!"&amp;N$1&amp;$T131, TRUE)</f>
        <v>20</v>
      </c>
      <c r="O130" s="1824"/>
      <c r="P130" s="1825"/>
      <c r="Q130" s="1826"/>
      <c r="R130" s="1829"/>
      <c r="S130" s="1830"/>
      <c r="T130" s="1520">
        <f>ROW('※ 인력 세부데이터'!J125)</f>
        <v>125</v>
      </c>
    </row>
    <row r="131" spans="1:20" ht="18.899999999999999" customHeight="1" x14ac:dyDescent="0.55000000000000004">
      <c r="A131" s="7433"/>
      <c r="B131" s="1822"/>
      <c r="C131" s="1837" t="s">
        <v>227</v>
      </c>
      <c r="D131" s="1544" cm="1">
        <f t="array" aca="1" ref="D131" ca="1">INDIRECT("'※ 인력 세부데이터'!"&amp;D$1&amp;$T132, TRUE)</f>
        <v>46.583333333333336</v>
      </c>
      <c r="E131" s="1544" cm="1">
        <f t="array" aca="1" ref="E131" ca="1">INDIRECT("'※ 인력 세부데이터'!"&amp;E$1&amp;$T132, TRUE)</f>
        <v>46.25</v>
      </c>
      <c r="F131" s="1526" cm="1">
        <f t="array" aca="1" ref="F131" ca="1">INDIRECT("'※ 인력 세부데이터'!"&amp;F$1&amp;$T132, TRUE)</f>
        <v>48</v>
      </c>
      <c r="G131" s="1527" cm="1">
        <f t="array" aca="1" ref="G131" ca="1">INDIRECT("'※ 인력 세부데이터'!"&amp;G$1&amp;$T132, TRUE)</f>
        <v>49</v>
      </c>
      <c r="H131" s="1527" cm="1">
        <f t="array" aca="1" ref="H131" ca="1">INDIRECT("'※ 인력 세부데이터'!"&amp;H$1&amp;$T132, TRUE)</f>
        <v>50</v>
      </c>
      <c r="I131" s="1527" cm="1">
        <f t="array" aca="1" ref="I131" ca="1">INDIRECT("'※ 인력 세부데이터'!"&amp;I$1&amp;$T132, TRUE)</f>
        <v>47</v>
      </c>
      <c r="J131" s="1527" cm="1">
        <f t="array" aca="1" ref="J131" ca="1">INDIRECT("'※ 인력 세부데이터'!"&amp;J$1&amp;$T132, TRUE)</f>
        <v>45</v>
      </c>
      <c r="K131" s="1527" cm="1">
        <f t="array" aca="1" ref="K131" ca="1">INDIRECT("'※ 인력 세부데이터'!"&amp;K$1&amp;$T132, TRUE)</f>
        <v>45</v>
      </c>
      <c r="L131" s="6441" cm="1">
        <f t="array" aca="1" ref="L131" ca="1">INDIRECT("'※ 인력 세부데이터'!"&amp;L$1&amp;$T132, TRUE)</f>
        <v>46.5</v>
      </c>
      <c r="M131" s="1527" cm="1">
        <f t="array" aca="1" ref="M131" ca="1">INDIRECT("'※ 인력 세부데이터'!"&amp;M$1&amp;$T132, TRUE)</f>
        <v>46</v>
      </c>
      <c r="N131" s="1527" cm="1">
        <f t="array" aca="1" ref="N131" ca="1">INDIRECT("'※ 인력 세부데이터'!"&amp;N$1&amp;$T132, TRUE)</f>
        <v>47</v>
      </c>
      <c r="O131" s="1824"/>
      <c r="P131" s="1825"/>
      <c r="Q131" s="1826"/>
      <c r="R131" s="1827" cm="1">
        <f t="array" aca="1" ref="R131" ca="1">INDIRECT("'※ 인력 세부데이터'!"&amp;R$1&amp;$T132, TRUE)</f>
        <v>7</v>
      </c>
      <c r="S131" s="1788" cm="1">
        <f t="array" aca="1" ref="S131" ca="1">INDIRECT("'※ 인력 세부데이터'!"&amp;S$1&amp;$T132, TRUE)</f>
        <v>6.5714285714285712</v>
      </c>
      <c r="T131" s="1520">
        <f>ROW('※ 인력 세부데이터'!J126)</f>
        <v>126</v>
      </c>
    </row>
    <row r="132" spans="1:20" ht="18.899999999999999" customHeight="1" x14ac:dyDescent="0.55000000000000004">
      <c r="A132" s="7433"/>
      <c r="B132" s="1822"/>
      <c r="C132" s="1828" t="s">
        <v>237</v>
      </c>
      <c r="D132" s="1544" cm="1">
        <f t="array" aca="1" ref="D132" ca="1">INDIRECT("'※ 인력 세부데이터'!"&amp;D$1&amp;$T133, TRUE)</f>
        <v>19.75</v>
      </c>
      <c r="E132" s="1544" cm="1">
        <f t="array" aca="1" ref="E132" ca="1">INDIRECT("'※ 인력 세부데이터'!"&amp;E$1&amp;$T133, TRUE)</f>
        <v>18.916666666666668</v>
      </c>
      <c r="F132" s="1526" cm="1">
        <f t="array" aca="1" ref="F132" ca="1">INDIRECT("'※ 인력 세부데이터'!"&amp;F$1&amp;$T133, TRUE)</f>
        <v>19</v>
      </c>
      <c r="G132" s="1527" cm="1">
        <f t="array" aca="1" ref="G132" ca="1">INDIRECT("'※ 인력 세부데이터'!"&amp;G$1&amp;$T133, TRUE)</f>
        <v>19</v>
      </c>
      <c r="H132" s="1527" cm="1">
        <f t="array" aca="1" ref="H132" ca="1">INDIRECT("'※ 인력 세부데이터'!"&amp;H$1&amp;$T133, TRUE)</f>
        <v>20</v>
      </c>
      <c r="I132" s="1527" cm="1">
        <f t="array" aca="1" ref="I132" ca="1">INDIRECT("'※ 인력 세부데이터'!"&amp;I$1&amp;$T133, TRUE)</f>
        <v>20</v>
      </c>
      <c r="J132" s="1527" cm="1">
        <f t="array" aca="1" ref="J132" ca="1">INDIRECT("'※ 인력 세부데이터'!"&amp;J$1&amp;$T133, TRUE)</f>
        <v>18</v>
      </c>
      <c r="K132" s="1527" cm="1">
        <f t="array" aca="1" ref="K132" ca="1">INDIRECT("'※ 인력 세부데이터'!"&amp;K$1&amp;$T133, TRUE)</f>
        <v>18</v>
      </c>
      <c r="L132" s="6441" cm="1">
        <f t="array" aca="1" ref="L132" ca="1">INDIRECT("'※ 인력 세부데이터'!"&amp;L$1&amp;$T133, TRUE)</f>
        <v>18.5</v>
      </c>
      <c r="M132" s="1527" cm="1">
        <f t="array" aca="1" ref="M132" ca="1">INDIRECT("'※ 인력 세부데이터'!"&amp;M$1&amp;$T133, TRUE)</f>
        <v>18</v>
      </c>
      <c r="N132" s="1527" cm="1">
        <f t="array" aca="1" ref="N132" ca="1">INDIRECT("'※ 인력 세부데이터'!"&amp;N$1&amp;$T133, TRUE)</f>
        <v>19</v>
      </c>
      <c r="O132" s="1824"/>
      <c r="P132" s="1825"/>
      <c r="Q132" s="1826"/>
      <c r="R132" s="1829"/>
      <c r="S132" s="1830"/>
      <c r="T132" s="1520">
        <f>ROW('※ 인력 세부데이터'!J127)</f>
        <v>127</v>
      </c>
    </row>
    <row r="133" spans="1:20" ht="18.899999999999999" customHeight="1" x14ac:dyDescent="0.55000000000000004">
      <c r="A133" s="7433"/>
      <c r="B133" s="1822"/>
      <c r="C133" s="1831" t="s">
        <v>228</v>
      </c>
      <c r="D133" s="1832" cm="1">
        <f t="array" aca="1" ref="D133" ca="1">INDIRECT("'※ 인력 세부데이터'!"&amp;D$1&amp;$T134, TRUE)</f>
        <v>44.25</v>
      </c>
      <c r="E133" s="1832" cm="1">
        <f t="array" aca="1" ref="E133" ca="1">INDIRECT("'※ 인력 세부데이터'!"&amp;E$1&amp;$T134, TRUE)</f>
        <v>42.75</v>
      </c>
      <c r="F133" s="1833" cm="1">
        <f t="array" aca="1" ref="F133" ca="1">INDIRECT("'※ 인력 세부데이터'!"&amp;F$1&amp;$T134, TRUE)</f>
        <v>44</v>
      </c>
      <c r="G133" s="1834" cm="1">
        <f t="array" aca="1" ref="G133" ca="1">INDIRECT("'※ 인력 세부데이터'!"&amp;G$1&amp;$T134, TRUE)</f>
        <v>42</v>
      </c>
      <c r="H133" s="1834" cm="1">
        <f t="array" aca="1" ref="H133" ca="1">INDIRECT("'※ 인력 세부데이터'!"&amp;H$1&amp;$T134, TRUE)</f>
        <v>44</v>
      </c>
      <c r="I133" s="1834" cm="1">
        <f t="array" aca="1" ref="I133" ca="1">INDIRECT("'※ 인력 세부데이터'!"&amp;I$1&amp;$T134, TRUE)</f>
        <v>44</v>
      </c>
      <c r="J133" s="1834" cm="1">
        <f t="array" aca="1" ref="J133" ca="1">INDIRECT("'※ 인력 세부데이터'!"&amp;J$1&amp;$T134, TRUE)</f>
        <v>42</v>
      </c>
      <c r="K133" s="1834" cm="1">
        <f t="array" aca="1" ref="K133" ca="1">INDIRECT("'※ 인력 세부데이터'!"&amp;K$1&amp;$T134, TRUE)</f>
        <v>40</v>
      </c>
      <c r="L133" s="6446" cm="1">
        <f t="array" aca="1" ref="L133" ca="1">INDIRECT("'※ 인력 세부데이터'!"&amp;L$1&amp;$T134, TRUE)</f>
        <v>41</v>
      </c>
      <c r="M133" s="1834" cm="1">
        <f t="array" aca="1" ref="M133" ca="1">INDIRECT("'※ 인력 세부데이터'!"&amp;M$1&amp;$T134, TRUE)</f>
        <v>40</v>
      </c>
      <c r="N133" s="1834" cm="1">
        <f t="array" aca="1" ref="N133" ca="1">INDIRECT("'※ 인력 세부데이터'!"&amp;N$1&amp;$T134, TRUE)</f>
        <v>42</v>
      </c>
      <c r="O133" s="1824"/>
      <c r="P133" s="1825"/>
      <c r="Q133" s="1826"/>
      <c r="R133" s="1838" cm="1">
        <f t="array" aca="1" ref="R133" ca="1">INDIRECT("'※ 인력 세부데이터'!"&amp;R$1&amp;$T134, TRUE)</f>
        <v>7</v>
      </c>
      <c r="S133" s="1839" cm="1">
        <f t="array" aca="1" ref="S133" ca="1">INDIRECT("'※ 인력 세부데이터'!"&amp;S$1&amp;$T134, TRUE)</f>
        <v>5.7142857142857144</v>
      </c>
      <c r="T133" s="1520">
        <f>ROW('※ 인력 세부데이터'!J128)</f>
        <v>128</v>
      </c>
    </row>
    <row r="134" spans="1:20" ht="18.899999999999999" customHeight="1" x14ac:dyDescent="0.55000000000000004">
      <c r="A134" s="7433"/>
      <c r="B134" s="1822"/>
      <c r="C134" s="1836" t="s">
        <v>237</v>
      </c>
      <c r="D134" s="1832" cm="1">
        <f t="array" aca="1" ref="D134" ca="1">INDIRECT("'※ 인력 세부데이터'!"&amp;D$1&amp;$T135, TRUE)</f>
        <v>18.666666666666668</v>
      </c>
      <c r="E134" s="1832" cm="1">
        <f t="array" aca="1" ref="E134" ca="1">INDIRECT("'※ 인력 세부데이터'!"&amp;E$1&amp;$T135, TRUE)</f>
        <v>16.666666666666668</v>
      </c>
      <c r="F134" s="1833" cm="1">
        <f t="array" aca="1" ref="F134" ca="1">INDIRECT("'※ 인력 세부데이터'!"&amp;F$1&amp;$T135, TRUE)</f>
        <v>16</v>
      </c>
      <c r="G134" s="1834" cm="1">
        <f t="array" aca="1" ref="G134" ca="1">INDIRECT("'※ 인력 세부데이터'!"&amp;G$1&amp;$T135, TRUE)</f>
        <v>16</v>
      </c>
      <c r="H134" s="1834" cm="1">
        <f t="array" aca="1" ref="H134" ca="1">INDIRECT("'※ 인력 세부데이터'!"&amp;H$1&amp;$T135, TRUE)</f>
        <v>17</v>
      </c>
      <c r="I134" s="1834" cm="1">
        <f t="array" aca="1" ref="I134" ca="1">INDIRECT("'※ 인력 세부데이터'!"&amp;I$1&amp;$T135, TRUE)</f>
        <v>17</v>
      </c>
      <c r="J134" s="1834" cm="1">
        <f t="array" aca="1" ref="J134" ca="1">INDIRECT("'※ 인력 세부데이터'!"&amp;J$1&amp;$T135, TRUE)</f>
        <v>17</v>
      </c>
      <c r="K134" s="1834" cm="1">
        <f t="array" aca="1" ref="K134" ca="1">INDIRECT("'※ 인력 세부데이터'!"&amp;K$1&amp;$T135, TRUE)</f>
        <v>17</v>
      </c>
      <c r="L134" s="6446" cm="1">
        <f t="array" aca="1" ref="L134" ca="1">INDIRECT("'※ 인력 세부데이터'!"&amp;L$1&amp;$T135, TRUE)</f>
        <v>13.5</v>
      </c>
      <c r="M134" s="1834" cm="1">
        <f t="array" aca="1" ref="M134" ca="1">INDIRECT("'※ 인력 세부데이터'!"&amp;M$1&amp;$T135, TRUE)</f>
        <v>13</v>
      </c>
      <c r="N134" s="1834" cm="1">
        <f t="array" aca="1" ref="N134" ca="1">INDIRECT("'※ 인력 세부데이터'!"&amp;N$1&amp;$T135, TRUE)</f>
        <v>14</v>
      </c>
      <c r="O134" s="1824"/>
      <c r="P134" s="1825"/>
      <c r="Q134" s="1826"/>
      <c r="R134" s="1829"/>
      <c r="S134" s="1830"/>
      <c r="T134" s="1520">
        <f>ROW('※ 인력 세부데이터'!J129)</f>
        <v>129</v>
      </c>
    </row>
    <row r="135" spans="1:20" ht="18.899999999999999" customHeight="1" x14ac:dyDescent="0.55000000000000004">
      <c r="A135" s="7433"/>
      <c r="B135" s="1822"/>
      <c r="C135" s="1837" t="s">
        <v>229</v>
      </c>
      <c r="D135" s="1544" cm="1">
        <f t="array" aca="1" ref="D135" ca="1">INDIRECT("'※ 인력 세부데이터'!"&amp;D$1&amp;$T136, TRUE)</f>
        <v>53.833333333333336</v>
      </c>
      <c r="E135" s="1544" cm="1">
        <f t="array" aca="1" ref="E135" ca="1">INDIRECT("'※ 인력 세부데이터'!"&amp;E$1&amp;$T136, TRUE)</f>
        <v>57.25</v>
      </c>
      <c r="F135" s="1526" cm="1">
        <f t="array" aca="1" ref="F135" ca="1">INDIRECT("'※ 인력 세부데이터'!"&amp;F$1&amp;$T136, TRUE)</f>
        <v>60</v>
      </c>
      <c r="G135" s="1527" cm="1">
        <f t="array" aca="1" ref="G135" ca="1">INDIRECT("'※ 인력 세부데이터'!"&amp;G$1&amp;$T136, TRUE)</f>
        <v>60</v>
      </c>
      <c r="H135" s="1527" cm="1">
        <f t="array" aca="1" ref="H135" ca="1">INDIRECT("'※ 인력 세부데이터'!"&amp;H$1&amp;$T136, TRUE)</f>
        <v>58</v>
      </c>
      <c r="I135" s="1527" cm="1">
        <f t="array" aca="1" ref="I135" ca="1">INDIRECT("'※ 인력 세부데이터'!"&amp;I$1&amp;$T136, TRUE)</f>
        <v>55</v>
      </c>
      <c r="J135" s="1527" cm="1">
        <f t="array" aca="1" ref="J135" ca="1">INDIRECT("'※ 인력 세부데이터'!"&amp;J$1&amp;$T136, TRUE)</f>
        <v>56</v>
      </c>
      <c r="K135" s="1527" cm="1">
        <f t="array" aca="1" ref="K135" ca="1">INDIRECT("'※ 인력 세부데이터'!"&amp;K$1&amp;$T136, TRUE)</f>
        <v>54</v>
      </c>
      <c r="L135" s="6441" cm="1">
        <f t="array" aca="1" ref="L135" ca="1">INDIRECT("'※ 인력 세부데이터'!"&amp;L$1&amp;$T136, TRUE)</f>
        <v>55.5</v>
      </c>
      <c r="M135" s="1527" cm="1">
        <f t="array" aca="1" ref="M135" ca="1">INDIRECT("'※ 인력 세부데이터'!"&amp;M$1&amp;$T136, TRUE)</f>
        <v>56</v>
      </c>
      <c r="N135" s="1527" cm="1">
        <f t="array" aca="1" ref="N135" ca="1">INDIRECT("'※ 인력 세부데이터'!"&amp;N$1&amp;$T136, TRUE)</f>
        <v>55</v>
      </c>
      <c r="O135" s="1824"/>
      <c r="P135" s="1825"/>
      <c r="Q135" s="1826"/>
      <c r="R135" s="1827" cm="1">
        <f t="array" aca="1" ref="R135" ca="1">INDIRECT("'※ 인력 세부데이터'!"&amp;R$1&amp;$T136, TRUE)</f>
        <v>8</v>
      </c>
      <c r="S135" s="1788" cm="1">
        <f t="array" aca="1" ref="S135" ca="1">INDIRECT("'※ 인력 세부데이터'!"&amp;S$1&amp;$T136, TRUE)</f>
        <v>7</v>
      </c>
      <c r="T135" s="1520">
        <f>ROW('※ 인력 세부데이터'!J130)</f>
        <v>130</v>
      </c>
    </row>
    <row r="136" spans="1:20" ht="18.899999999999999" customHeight="1" x14ac:dyDescent="0.55000000000000004">
      <c r="A136" s="7433"/>
      <c r="B136" s="1822"/>
      <c r="C136" s="1828" t="s">
        <v>237</v>
      </c>
      <c r="D136" s="1544" cm="1">
        <f t="array" aca="1" ref="D136" ca="1">INDIRECT("'※ 인력 세부데이터'!"&amp;D$1&amp;$T137, TRUE)</f>
        <v>23.333333333333332</v>
      </c>
      <c r="E136" s="1544" cm="1">
        <f t="array" aca="1" ref="E136" ca="1">INDIRECT("'※ 인력 세부데이터'!"&amp;E$1&amp;$T137, TRUE)</f>
        <v>26.25</v>
      </c>
      <c r="F136" s="1526" cm="1">
        <f t="array" aca="1" ref="F136" ca="1">INDIRECT("'※ 인력 세부데이터'!"&amp;F$1&amp;$T137, TRUE)</f>
        <v>26</v>
      </c>
      <c r="G136" s="1527" cm="1">
        <f t="array" aca="1" ref="G136" ca="1">INDIRECT("'※ 인력 세부데이터'!"&amp;G$1&amp;$T137, TRUE)</f>
        <v>26</v>
      </c>
      <c r="H136" s="1527" cm="1">
        <f t="array" aca="1" ref="H136" ca="1">INDIRECT("'※ 인력 세부데이터'!"&amp;H$1&amp;$T137, TRUE)</f>
        <v>27</v>
      </c>
      <c r="I136" s="1527" cm="1">
        <f t="array" aca="1" ref="I136" ca="1">INDIRECT("'※ 인력 세부데이터'!"&amp;I$1&amp;$T137, TRUE)</f>
        <v>27</v>
      </c>
      <c r="J136" s="1527" cm="1">
        <f t="array" aca="1" ref="J136" ca="1">INDIRECT("'※ 인력 세부데이터'!"&amp;J$1&amp;$T137, TRUE)</f>
        <v>27</v>
      </c>
      <c r="K136" s="1527" cm="1">
        <f t="array" aca="1" ref="K136" ca="1">INDIRECT("'※ 인력 세부데이터'!"&amp;K$1&amp;$T137, TRUE)</f>
        <v>25</v>
      </c>
      <c r="L136" s="6441" cm="1">
        <f t="array" aca="1" ref="L136" ca="1">INDIRECT("'※ 인력 세부데이터'!"&amp;L$1&amp;$T137, TRUE)</f>
        <v>23</v>
      </c>
      <c r="M136" s="1527" cm="1">
        <f t="array" aca="1" ref="M136" ca="1">INDIRECT("'※ 인력 세부데이터'!"&amp;M$1&amp;$T137, TRUE)</f>
        <v>23</v>
      </c>
      <c r="N136" s="1527" cm="1">
        <f t="array" aca="1" ref="N136" ca="1">INDIRECT("'※ 인력 세부데이터'!"&amp;N$1&amp;$T137, TRUE)</f>
        <v>23</v>
      </c>
      <c r="O136" s="1824"/>
      <c r="P136" s="1825"/>
      <c r="Q136" s="1826"/>
      <c r="R136" s="1829"/>
      <c r="S136" s="1830"/>
      <c r="T136" s="1520">
        <f>ROW('※ 인력 세부데이터'!J131)</f>
        <v>131</v>
      </c>
    </row>
    <row r="137" spans="1:20" ht="18.899999999999999" customHeight="1" x14ac:dyDescent="0.55000000000000004">
      <c r="A137" s="7433"/>
      <c r="B137" s="1822"/>
      <c r="C137" s="1831" t="s">
        <v>230</v>
      </c>
      <c r="D137" s="1832" cm="1">
        <f t="array" aca="1" ref="D137" ca="1">INDIRECT("'※ 인력 세부데이터'!"&amp;D$1&amp;$T138, TRUE)</f>
        <v>42.166666666666664</v>
      </c>
      <c r="E137" s="1832" cm="1">
        <f t="array" aca="1" ref="E137" ca="1">INDIRECT("'※ 인력 세부데이터'!"&amp;E$1&amp;$T138, TRUE)</f>
        <v>41.166666666666664</v>
      </c>
      <c r="F137" s="1833" cm="1">
        <f t="array" aca="1" ref="F137" ca="1">INDIRECT("'※ 인력 세부데이터'!"&amp;F$1&amp;$T138, TRUE)</f>
        <v>42</v>
      </c>
      <c r="G137" s="1834" cm="1">
        <f t="array" aca="1" ref="G137" ca="1">INDIRECT("'※ 인력 세부데이터'!"&amp;G$1&amp;$T138, TRUE)</f>
        <v>43</v>
      </c>
      <c r="H137" s="1834" cm="1">
        <f t="array" aca="1" ref="H137" ca="1">INDIRECT("'※ 인력 세부데이터'!"&amp;H$1&amp;$T138, TRUE)</f>
        <v>42</v>
      </c>
      <c r="I137" s="1834" cm="1">
        <f t="array" aca="1" ref="I137" ca="1">INDIRECT("'※ 인력 세부데이터'!"&amp;I$1&amp;$T138, TRUE)</f>
        <v>41</v>
      </c>
      <c r="J137" s="1834" cm="1">
        <f t="array" aca="1" ref="J137" ca="1">INDIRECT("'※ 인력 세부데이터'!"&amp;J$1&amp;$T138, TRUE)</f>
        <v>41</v>
      </c>
      <c r="K137" s="1834" cm="1">
        <f t="array" aca="1" ref="K137" ca="1">INDIRECT("'※ 인력 세부데이터'!"&amp;K$1&amp;$T138, TRUE)</f>
        <v>39</v>
      </c>
      <c r="L137" s="6446" cm="1">
        <f t="array" aca="1" ref="L137" ca="1">INDIRECT("'※ 인력 세부데이터'!"&amp;L$1&amp;$T138, TRUE)</f>
        <v>46</v>
      </c>
      <c r="M137" s="1834" cm="1">
        <f t="array" aca="1" ref="M137" ca="1">INDIRECT("'※ 인력 세부데이터'!"&amp;M$1&amp;$T138, TRUE)</f>
        <v>41</v>
      </c>
      <c r="N137" s="1834" cm="1">
        <f t="array" aca="1" ref="N137" ca="1">INDIRECT("'※ 인력 세부데이터'!"&amp;N$1&amp;$T138, TRUE)</f>
        <v>51</v>
      </c>
      <c r="O137" s="1824"/>
      <c r="P137" s="1825"/>
      <c r="Q137" s="1826"/>
      <c r="R137" s="1838" cm="1">
        <f t="array" aca="1" ref="R137" ca="1">INDIRECT("'※ 인력 세부데이터'!"&amp;R$1&amp;$T138, TRUE)</f>
        <v>6</v>
      </c>
      <c r="S137" s="1839" cm="1">
        <f t="array" aca="1" ref="S137" ca="1">INDIRECT("'※ 인력 세부데이터'!"&amp;S$1&amp;$T138, TRUE)</f>
        <v>6.833333333333333</v>
      </c>
      <c r="T137" s="1520">
        <f>ROW('※ 인력 세부데이터'!J132)</f>
        <v>132</v>
      </c>
    </row>
    <row r="138" spans="1:20" ht="18.899999999999999" customHeight="1" x14ac:dyDescent="0.55000000000000004">
      <c r="A138" s="7433"/>
      <c r="B138" s="1822"/>
      <c r="C138" s="1836" t="s">
        <v>237</v>
      </c>
      <c r="D138" s="1832" cm="1">
        <f t="array" aca="1" ref="D138" ca="1">INDIRECT("'※ 인력 세부데이터'!"&amp;D$1&amp;$T139, TRUE)</f>
        <v>18</v>
      </c>
      <c r="E138" s="1832" cm="1">
        <f t="array" aca="1" ref="E138" ca="1">INDIRECT("'※ 인력 세부데이터'!"&amp;E$1&amp;$T139, TRUE)</f>
        <v>18.333333333333332</v>
      </c>
      <c r="F138" s="1833" cm="1">
        <f t="array" aca="1" ref="F138" ca="1">INDIRECT("'※ 인력 세부데이터'!"&amp;F$1&amp;$T139, TRUE)</f>
        <v>18</v>
      </c>
      <c r="G138" s="1834" cm="1">
        <f t="array" aca="1" ref="G138" ca="1">INDIRECT("'※ 인력 세부데이터'!"&amp;G$1&amp;$T139, TRUE)</f>
        <v>19</v>
      </c>
      <c r="H138" s="1834" cm="1">
        <f t="array" aca="1" ref="H138" ca="1">INDIRECT("'※ 인력 세부데이터'!"&amp;H$1&amp;$T139, TRUE)</f>
        <v>19</v>
      </c>
      <c r="I138" s="1834" cm="1">
        <f t="array" aca="1" ref="I138" ca="1">INDIRECT("'※ 인력 세부데이터'!"&amp;I$1&amp;$T139, TRUE)</f>
        <v>18</v>
      </c>
      <c r="J138" s="1834" cm="1">
        <f t="array" aca="1" ref="J138" ca="1">INDIRECT("'※ 인력 세부데이터'!"&amp;J$1&amp;$T139, TRUE)</f>
        <v>19</v>
      </c>
      <c r="K138" s="1834" cm="1">
        <f t="array" aca="1" ref="K138" ca="1">INDIRECT("'※ 인력 세부데이터'!"&amp;K$1&amp;$T139, TRUE)</f>
        <v>17</v>
      </c>
      <c r="L138" s="6446" cm="1">
        <f t="array" aca="1" ref="L138" ca="1">INDIRECT("'※ 인력 세부데이터'!"&amp;L$1&amp;$T139, TRUE)</f>
        <v>15</v>
      </c>
      <c r="M138" s="1834" cm="1">
        <f t="array" aca="1" ref="M138" ca="1">INDIRECT("'※ 인력 세부데이터'!"&amp;M$1&amp;$T139, TRUE)</f>
        <v>15</v>
      </c>
      <c r="N138" s="1834" cm="1">
        <f t="array" aca="1" ref="N138" ca="1">INDIRECT("'※ 인력 세부데이터'!"&amp;N$1&amp;$T139, TRUE)</f>
        <v>15</v>
      </c>
      <c r="O138" s="1824"/>
      <c r="P138" s="1825"/>
      <c r="Q138" s="1826"/>
      <c r="R138" s="1829"/>
      <c r="S138" s="1830"/>
      <c r="T138" s="1520">
        <f>ROW('※ 인력 세부데이터'!J133)</f>
        <v>133</v>
      </c>
    </row>
    <row r="139" spans="1:20" ht="18.899999999999999" customHeight="1" x14ac:dyDescent="0.55000000000000004">
      <c r="A139" s="7433"/>
      <c r="B139" s="1822"/>
      <c r="C139" s="1837" t="s">
        <v>231</v>
      </c>
      <c r="D139" s="1544" cm="1">
        <f t="array" aca="1" ref="D139" ca="1">INDIRECT("'※ 인력 세부데이터'!"&amp;D$1&amp;$T140, TRUE)</f>
        <v>43.75</v>
      </c>
      <c r="E139" s="1544" cm="1">
        <f t="array" aca="1" ref="E139" ca="1">INDIRECT("'※ 인력 세부데이터'!"&amp;E$1&amp;$T140, TRUE)</f>
        <v>40.25</v>
      </c>
      <c r="F139" s="1526" cm="1">
        <f t="array" aca="1" ref="F139" ca="1">INDIRECT("'※ 인력 세부데이터'!"&amp;F$1&amp;$T140, TRUE)</f>
        <v>45</v>
      </c>
      <c r="G139" s="1527" cm="1">
        <f t="array" aca="1" ref="G139" ca="1">INDIRECT("'※ 인력 세부데이터'!"&amp;G$1&amp;$T140, TRUE)</f>
        <v>42</v>
      </c>
      <c r="H139" s="1527" cm="1">
        <f t="array" aca="1" ref="H139" ca="1">INDIRECT("'※ 인력 세부데이터'!"&amp;H$1&amp;$T140, TRUE)</f>
        <v>45</v>
      </c>
      <c r="I139" s="1527" cm="1">
        <f t="array" aca="1" ref="I139" ca="1">INDIRECT("'※ 인력 세부데이터'!"&amp;I$1&amp;$T140, TRUE)</f>
        <v>45</v>
      </c>
      <c r="J139" s="1527" cm="1">
        <f t="array" aca="1" ref="J139" ca="1">INDIRECT("'※ 인력 세부데이터'!"&amp;J$1&amp;$T140, TRUE)</f>
        <v>42</v>
      </c>
      <c r="K139" s="1527" cm="1">
        <f t="array" aca="1" ref="K139" ca="1">INDIRECT("'※ 인력 세부데이터'!"&amp;K$1&amp;$T140, TRUE)</f>
        <v>45</v>
      </c>
      <c r="L139" s="6441" cm="1">
        <f t="array" aca="1" ref="L139" ca="1">INDIRECT("'※ 인력 세부데이터'!"&amp;L$1&amp;$T140, TRUE)</f>
        <v>39.5</v>
      </c>
      <c r="M139" s="1527" cm="1">
        <f t="array" aca="1" ref="M139" ca="1">INDIRECT("'※ 인력 세부데이터'!"&amp;M$1&amp;$T140, TRUE)</f>
        <v>41</v>
      </c>
      <c r="N139" s="1527" cm="1">
        <f t="array" aca="1" ref="N139" ca="1">INDIRECT("'※ 인력 세부데이터'!"&amp;N$1&amp;$T140, TRUE)</f>
        <v>38</v>
      </c>
      <c r="O139" s="1824"/>
      <c r="P139" s="1825"/>
      <c r="Q139" s="1826"/>
      <c r="R139" s="1827" cm="1">
        <f t="array" aca="1" ref="R139" ca="1">INDIRECT("'※ 인력 세부데이터'!"&amp;R$1&amp;$T140, TRUE)</f>
        <v>6</v>
      </c>
      <c r="S139" s="1788" cm="1">
        <f t="array" aca="1" ref="S139" ca="1">INDIRECT("'※ 인력 세부데이터'!"&amp;S$1&amp;$T140, TRUE)</f>
        <v>6.833333333333333</v>
      </c>
      <c r="T139" s="1520">
        <f>ROW('※ 인력 세부데이터'!J134)</f>
        <v>134</v>
      </c>
    </row>
    <row r="140" spans="1:20" ht="18.899999999999999" customHeight="1" x14ac:dyDescent="0.55000000000000004">
      <c r="A140" s="7433"/>
      <c r="B140" s="1822"/>
      <c r="C140" s="1828" t="s">
        <v>237</v>
      </c>
      <c r="D140" s="1544" cm="1">
        <f t="array" aca="1" ref="D140" ca="1">INDIRECT("'※ 인력 세부데이터'!"&amp;D$1&amp;$T141, TRUE)</f>
        <v>20.666666666666668</v>
      </c>
      <c r="E140" s="1544" cm="1">
        <f t="array" aca="1" ref="E140" ca="1">INDIRECT("'※ 인력 세부데이터'!"&amp;E$1&amp;$T141, TRUE)</f>
        <v>17.583333333333332</v>
      </c>
      <c r="F140" s="1526" cm="1">
        <f t="array" aca="1" ref="F140" ca="1">INDIRECT("'※ 인력 세부데이터'!"&amp;F$1&amp;$T141, TRUE)</f>
        <v>20</v>
      </c>
      <c r="G140" s="1527" cm="1">
        <f t="array" aca="1" ref="G140" ca="1">INDIRECT("'※ 인력 세부데이터'!"&amp;G$1&amp;$T141, TRUE)</f>
        <v>20</v>
      </c>
      <c r="H140" s="1527" cm="1">
        <f t="array" aca="1" ref="H140" ca="1">INDIRECT("'※ 인력 세부데이터'!"&amp;H$1&amp;$T141, TRUE)</f>
        <v>22</v>
      </c>
      <c r="I140" s="1527" cm="1">
        <f t="array" aca="1" ref="I140" ca="1">INDIRECT("'※ 인력 세부데이터'!"&amp;I$1&amp;$T141, TRUE)</f>
        <v>23</v>
      </c>
      <c r="J140" s="1527" cm="1">
        <f t="array" aca="1" ref="J140" ca="1">INDIRECT("'※ 인력 세부데이터'!"&amp;J$1&amp;$T141, TRUE)</f>
        <v>20</v>
      </c>
      <c r="K140" s="1527" cm="1">
        <f t="array" aca="1" ref="K140" ca="1">INDIRECT("'※ 인력 세부데이터'!"&amp;K$1&amp;$T141, TRUE)</f>
        <v>22</v>
      </c>
      <c r="L140" s="6441" cm="1">
        <f t="array" aca="1" ref="L140" ca="1">INDIRECT("'※ 인력 세부데이터'!"&amp;L$1&amp;$T141, TRUE)</f>
        <v>13.5</v>
      </c>
      <c r="M140" s="1527" cm="1">
        <f t="array" aca="1" ref="M140" ca="1">INDIRECT("'※ 인력 세부데이터'!"&amp;M$1&amp;$T141, TRUE)</f>
        <v>14</v>
      </c>
      <c r="N140" s="1527" cm="1">
        <f t="array" aca="1" ref="N140" ca="1">INDIRECT("'※ 인력 세부데이터'!"&amp;N$1&amp;$T141, TRUE)</f>
        <v>13</v>
      </c>
      <c r="O140" s="1824"/>
      <c r="P140" s="1825"/>
      <c r="Q140" s="1826"/>
      <c r="R140" s="1829"/>
      <c r="S140" s="1830"/>
      <c r="T140" s="1520">
        <f>ROW('※ 인력 세부데이터'!J135)</f>
        <v>135</v>
      </c>
    </row>
    <row r="141" spans="1:20" ht="18.899999999999999" customHeight="1" x14ac:dyDescent="0.55000000000000004">
      <c r="A141" s="7433"/>
      <c r="B141" s="1822"/>
      <c r="C141" s="1831" t="s">
        <v>232</v>
      </c>
      <c r="D141" s="1832" cm="1">
        <f t="array" aca="1" ref="D141" ca="1">INDIRECT("'※ 인력 세부데이터'!"&amp;D$1&amp;$T142, TRUE)</f>
        <v>35.916666666666664</v>
      </c>
      <c r="E141" s="1832" cm="1">
        <f t="array" aca="1" ref="E141" ca="1">INDIRECT("'※ 인력 세부데이터'!"&amp;E$1&amp;$T142, TRUE)</f>
        <v>32.166666666666664</v>
      </c>
      <c r="F141" s="1833" cm="1">
        <f t="array" aca="1" ref="F141" ca="1">INDIRECT("'※ 인력 세부데이터'!"&amp;F$1&amp;$T142, TRUE)</f>
        <v>33</v>
      </c>
      <c r="G141" s="1834" cm="1">
        <f t="array" aca="1" ref="G141" ca="1">INDIRECT("'※ 인력 세부데이터'!"&amp;G$1&amp;$T142, TRUE)</f>
        <v>33</v>
      </c>
      <c r="H141" s="1834" cm="1">
        <f t="array" aca="1" ref="H141" ca="1">INDIRECT("'※ 인력 세부데이터'!"&amp;H$1&amp;$T142, TRUE)</f>
        <v>33</v>
      </c>
      <c r="I141" s="1834" cm="1">
        <f t="array" aca="1" ref="I141" ca="1">INDIRECT("'※ 인력 세부데이터'!"&amp;I$1&amp;$T142, TRUE)</f>
        <v>33</v>
      </c>
      <c r="J141" s="1834" cm="1">
        <f t="array" aca="1" ref="J141" ca="1">INDIRECT("'※ 인력 세부데이터'!"&amp;J$1&amp;$T142, TRUE)</f>
        <v>32</v>
      </c>
      <c r="K141" s="1834" cm="1">
        <f t="array" aca="1" ref="K141" ca="1">INDIRECT("'※ 인력 세부데이터'!"&amp;K$1&amp;$T142, TRUE)</f>
        <v>31</v>
      </c>
      <c r="L141" s="6446" cm="1">
        <f t="array" aca="1" ref="L141" ca="1">INDIRECT("'※ 인력 세부데이터'!"&amp;L$1&amp;$T142, TRUE)</f>
        <v>32.5</v>
      </c>
      <c r="M141" s="1834" cm="1">
        <f t="array" aca="1" ref="M141" ca="1">INDIRECT("'※ 인력 세부데이터'!"&amp;M$1&amp;$T142, TRUE)</f>
        <v>34</v>
      </c>
      <c r="N141" s="1834" cm="1">
        <f t="array" aca="1" ref="N141" ca="1">INDIRECT("'※ 인력 세부데이터'!"&amp;N$1&amp;$T142, TRUE)</f>
        <v>31</v>
      </c>
      <c r="O141" s="1824"/>
      <c r="P141" s="1840"/>
      <c r="Q141" s="1841"/>
      <c r="R141" s="1842" cm="1">
        <f t="array" aca="1" ref="R141" ca="1">INDIRECT("'※ 인력 세부데이터'!"&amp;R$1&amp;$T142, TRUE)</f>
        <v>6</v>
      </c>
      <c r="S141" s="1843" cm="1">
        <f t="array" aca="1" ref="S141" ca="1">INDIRECT("'※ 인력 세부데이터'!"&amp;S$1&amp;$T142, TRUE)</f>
        <v>5.666666666666667</v>
      </c>
      <c r="T141" s="1520">
        <f>ROW('※ 인력 세부데이터'!J136)</f>
        <v>136</v>
      </c>
    </row>
    <row r="142" spans="1:20" ht="18.899999999999999" customHeight="1" thickBot="1" x14ac:dyDescent="0.6">
      <c r="A142" s="7434"/>
      <c r="B142" s="1844"/>
      <c r="C142" s="1845" t="s">
        <v>237</v>
      </c>
      <c r="D142" s="1846" cm="1">
        <f t="array" aca="1" ref="D142" ca="1">INDIRECT("'※ 인력 세부데이터'!"&amp;D$1&amp;$T143, TRUE)</f>
        <v>15</v>
      </c>
      <c r="E142" s="1846" cm="1">
        <f t="array" aca="1" ref="E142" ca="1">INDIRECT("'※ 인력 세부데이터'!"&amp;E$1&amp;$T143, TRUE)</f>
        <v>10.833333333333334</v>
      </c>
      <c r="F142" s="1847" cm="1">
        <f t="array" aca="1" ref="F142" ca="1">INDIRECT("'※ 인력 세부데이터'!"&amp;F$1&amp;$T143, TRUE)</f>
        <v>11</v>
      </c>
      <c r="G142" s="1848" cm="1">
        <f t="array" aca="1" ref="G142" ca="1">INDIRECT("'※ 인력 세부데이터'!"&amp;G$1&amp;$T143, TRUE)</f>
        <v>11</v>
      </c>
      <c r="H142" s="1848" cm="1">
        <f t="array" aca="1" ref="H142" ca="1">INDIRECT("'※ 인력 세부데이터'!"&amp;H$1&amp;$T143, TRUE)</f>
        <v>11</v>
      </c>
      <c r="I142" s="1848" cm="1">
        <f t="array" aca="1" ref="I142" ca="1">INDIRECT("'※ 인력 세부데이터'!"&amp;I$1&amp;$T143, TRUE)</f>
        <v>13</v>
      </c>
      <c r="J142" s="1848" cm="1">
        <f t="array" aca="1" ref="J142" ca="1">INDIRECT("'※ 인력 세부데이터'!"&amp;J$1&amp;$T143, TRUE)</f>
        <v>13</v>
      </c>
      <c r="K142" s="1848" cm="1">
        <f t="array" aca="1" ref="K142" ca="1">INDIRECT("'※ 인력 세부데이터'!"&amp;K$1&amp;$T143, TRUE)</f>
        <v>12</v>
      </c>
      <c r="L142" s="6447" cm="1">
        <f t="array" aca="1" ref="L142" ca="1">INDIRECT("'※ 인력 세부데이터'!"&amp;L$1&amp;$T143, TRUE)</f>
        <v>9.5</v>
      </c>
      <c r="M142" s="1848" cm="1">
        <f t="array" aca="1" ref="M142" ca="1">INDIRECT("'※ 인력 세부데이터'!"&amp;M$1&amp;$T143, TRUE)</f>
        <v>10</v>
      </c>
      <c r="N142" s="1848" cm="1">
        <f t="array" aca="1" ref="N142" ca="1">INDIRECT("'※ 인력 세부데이터'!"&amp;N$1&amp;$T143, TRUE)</f>
        <v>9</v>
      </c>
      <c r="O142" s="1849"/>
      <c r="P142" s="1850"/>
      <c r="Q142" s="1851"/>
      <c r="R142" s="1852"/>
      <c r="S142" s="1853"/>
      <c r="T142" s="1520">
        <f>ROW('※ 인력 세부데이터'!J137)</f>
        <v>137</v>
      </c>
    </row>
    <row r="143" spans="1:20" x14ac:dyDescent="0.55000000000000004">
      <c r="T143" s="1520">
        <f>ROW('※ 인력 세부데이터'!J138)</f>
        <v>138</v>
      </c>
    </row>
  </sheetData>
  <mergeCells count="21">
    <mergeCell ref="B69:C69"/>
    <mergeCell ref="A77:A104"/>
    <mergeCell ref="B77:C77"/>
    <mergeCell ref="A64:C64"/>
    <mergeCell ref="F5:K5"/>
    <mergeCell ref="A3:S3"/>
    <mergeCell ref="A6:C6"/>
    <mergeCell ref="O5:S5"/>
    <mergeCell ref="A123:A142"/>
    <mergeCell ref="A8:A24"/>
    <mergeCell ref="A25:A62"/>
    <mergeCell ref="A107:A122"/>
    <mergeCell ref="A7:C7"/>
    <mergeCell ref="A106:C106"/>
    <mergeCell ref="A65:A68"/>
    <mergeCell ref="B65:C65"/>
    <mergeCell ref="B66:C66"/>
    <mergeCell ref="B67:C67"/>
    <mergeCell ref="B68:C68"/>
    <mergeCell ref="A69:A76"/>
    <mergeCell ref="M5:N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49" fitToHeight="0" orientation="landscape" r:id="rId1"/>
  <headerFooter scaleWithDoc="0">
    <oddFooter>&amp;R&amp;"-,기울임꼴"&amp;8&amp;P &amp; 페이지</oddFooter>
  </headerFooter>
  <rowBreaks count="2" manualBreakCount="2">
    <brk id="62" max="21" man="1"/>
    <brk id="105" max="2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7B74-ECF6-422C-965A-A35C30BB38BF}">
  <sheetPr codeName="Sheet23">
    <tabColor theme="9" tint="0.79998168889431442"/>
    <pageSetUpPr fitToPage="1"/>
  </sheetPr>
  <dimension ref="A1:BP139"/>
  <sheetViews>
    <sheetView showGridLines="0" zoomScale="55" zoomScaleNormal="55" zoomScaleSheetLayoutView="25" workbookViewId="0">
      <pane xSplit="3" topLeftCell="AE1" activePane="topRight" state="frozen"/>
      <selection activeCell="V54" sqref="V54"/>
      <selection pane="topRight" activeCell="AW10" sqref="AW10"/>
    </sheetView>
  </sheetViews>
  <sheetFormatPr defaultColWidth="9.140625" defaultRowHeight="15" outlineLevelCol="1" x14ac:dyDescent="0.55000000000000004"/>
  <cols>
    <col min="1" max="1" width="13.640625" style="559" customWidth="1"/>
    <col min="2" max="2" width="17.2109375" style="559" customWidth="1"/>
    <col min="3" max="3" width="14.35546875" style="559" customWidth="1"/>
    <col min="4" max="15" width="8.640625" style="559" customWidth="1" outlineLevel="1"/>
    <col min="16" max="16" width="8.640625" style="559" customWidth="1"/>
    <col min="17" max="17" width="9.85546875" style="559" customWidth="1"/>
    <col min="18" max="18" width="5.2109375" style="559" customWidth="1"/>
    <col min="19" max="23" width="8.640625" style="559" hidden="1" customWidth="1" outlineLevel="1"/>
    <col min="24" max="24" width="7.7109375" style="559" hidden="1" customWidth="1" outlineLevel="1"/>
    <col min="25" max="30" width="8.640625" style="559" hidden="1" customWidth="1" outlineLevel="1"/>
    <col min="31" max="31" width="8.640625" style="559" hidden="1" customWidth="1" collapsed="1"/>
    <col min="32" max="33" width="9.140625" style="559"/>
    <col min="34" max="38" width="9.140625" style="559" hidden="1" customWidth="1" outlineLevel="1"/>
    <col min="39" max="39" width="7.7109375" style="559" hidden="1" customWidth="1" outlineLevel="1"/>
    <col min="40" max="45" width="9.140625" style="559" hidden="1" customWidth="1" outlineLevel="1"/>
    <col min="46" max="46" width="9.140625" style="559" customWidth="1" collapsed="1"/>
    <col min="47" max="53" width="9.140625" style="559"/>
    <col min="54" max="54" width="7.7109375" style="559" bestFit="1" customWidth="1"/>
    <col min="55" max="63" width="9.140625" style="559"/>
    <col min="64" max="68" width="11.5703125" style="559" customWidth="1"/>
    <col min="69" max="16384" width="9.140625" style="559"/>
  </cols>
  <sheetData>
    <row r="1" spans="1:68" x14ac:dyDescent="0.55000000000000004">
      <c r="A1" s="4516">
        <f>'0. 개요'!AE2</f>
        <v>46054</v>
      </c>
      <c r="B1" s="4393">
        <f>'※ 영기팀 작성_가입자'!B1</f>
        <v>11.000999999999999</v>
      </c>
      <c r="AH1" s="4835">
        <f>AH6+AH12+AH20</f>
        <v>2218</v>
      </c>
      <c r="AI1" s="4836">
        <f>AI6+AI12+AI20</f>
        <v>2213</v>
      </c>
      <c r="AJ1" s="4836">
        <f t="shared" ref="AJ1:AR1" si="0">AJ6+AJ12+AJ20</f>
        <v>2225</v>
      </c>
      <c r="AK1" s="4836">
        <f t="shared" si="0"/>
        <v>2232</v>
      </c>
      <c r="AL1" s="4836">
        <f t="shared" si="0"/>
        <v>2228</v>
      </c>
      <c r="AM1" s="4836">
        <f t="shared" si="0"/>
        <v>2214</v>
      </c>
      <c r="AN1" s="4837">
        <f>AN6+AN12+AN20</f>
        <v>2190</v>
      </c>
      <c r="AO1" s="4836">
        <f t="shared" si="0"/>
        <v>2175</v>
      </c>
      <c r="AP1" s="4836">
        <f t="shared" si="0"/>
        <v>2170</v>
      </c>
      <c r="AQ1" s="4836">
        <f t="shared" si="0"/>
        <v>2147</v>
      </c>
      <c r="AR1" s="4836">
        <f t="shared" si="0"/>
        <v>2150</v>
      </c>
      <c r="AS1" s="4836">
        <f>AW6+AW12+AW20</f>
        <v>2169</v>
      </c>
      <c r="AW1" s="4836">
        <f>AW6+AW12+AW20</f>
        <v>2169</v>
      </c>
      <c r="AX1" s="4836">
        <v>2167</v>
      </c>
      <c r="AY1" s="4836">
        <f t="shared" ref="AY1:BB1" si="1">AY6+AY12+AY20</f>
        <v>0</v>
      </c>
      <c r="AZ1" s="4836">
        <f t="shared" si="1"/>
        <v>0</v>
      </c>
      <c r="BA1" s="4836">
        <f t="shared" si="1"/>
        <v>0</v>
      </c>
      <c r="BB1" s="4836">
        <f t="shared" si="1"/>
        <v>0</v>
      </c>
      <c r="BC1" s="4837">
        <f>BC6+BC12+BC20</f>
        <v>0</v>
      </c>
      <c r="BD1" s="4836">
        <f t="shared" ref="BD1:BH1" si="2">BD6+BD12+BD20</f>
        <v>0</v>
      </c>
      <c r="BE1" s="4836">
        <f t="shared" si="2"/>
        <v>0</v>
      </c>
      <c r="BF1" s="4836">
        <f t="shared" si="2"/>
        <v>0</v>
      </c>
      <c r="BG1" s="4836">
        <f t="shared" si="2"/>
        <v>0</v>
      </c>
      <c r="BH1" s="4836">
        <f t="shared" si="2"/>
        <v>0</v>
      </c>
    </row>
    <row r="2" spans="1:68" ht="15.45" thickBot="1" x14ac:dyDescent="0.6">
      <c r="D2" s="3286">
        <v>1.0009999999999999</v>
      </c>
      <c r="E2" s="3286">
        <v>2.0009999999999999</v>
      </c>
      <c r="F2" s="3286">
        <v>3.0009999999999999</v>
      </c>
      <c r="G2" s="3286">
        <v>4.0010000000000003</v>
      </c>
      <c r="H2" s="3286">
        <v>5.0010000000000003</v>
      </c>
      <c r="I2" s="3286">
        <v>6.0010000000000003</v>
      </c>
      <c r="J2" s="3286">
        <v>7.0010000000000003</v>
      </c>
      <c r="K2" s="3286">
        <v>8.0009999999999994</v>
      </c>
      <c r="L2" s="3286">
        <v>9.0009999999999994</v>
      </c>
      <c r="M2" s="3286">
        <v>10.000999999999999</v>
      </c>
      <c r="N2" s="3286">
        <v>11.000999999999999</v>
      </c>
      <c r="O2" s="3286">
        <v>12.000999999999999</v>
      </c>
      <c r="S2" s="3286">
        <v>1.0009999999999999</v>
      </c>
      <c r="T2" s="3286">
        <v>2.0009999999999999</v>
      </c>
      <c r="U2" s="3286">
        <v>3.0009999999999999</v>
      </c>
      <c r="V2" s="3286">
        <v>4.0010000000000003</v>
      </c>
      <c r="W2" s="3286">
        <v>5.0010000000000003</v>
      </c>
      <c r="X2" s="3286">
        <v>6.0010000000000003</v>
      </c>
      <c r="Y2" s="3286">
        <v>7.0010000000000003</v>
      </c>
      <c r="Z2" s="3286">
        <v>8.0009999999999994</v>
      </c>
      <c r="AA2" s="3286">
        <v>9.0009999999999994</v>
      </c>
      <c r="AB2" s="3286">
        <v>10.000999999999999</v>
      </c>
      <c r="AC2" s="3286">
        <v>11.000999999999999</v>
      </c>
      <c r="AD2" s="3286">
        <v>12.000999999999999</v>
      </c>
      <c r="AH2" s="5616">
        <v>45658</v>
      </c>
      <c r="AI2" s="5616">
        <v>45689</v>
      </c>
      <c r="AJ2" s="5616">
        <v>45717</v>
      </c>
      <c r="AK2" s="5616">
        <v>45748</v>
      </c>
      <c r="AL2" s="5616">
        <v>45778</v>
      </c>
      <c r="AM2" s="5616">
        <v>45809</v>
      </c>
      <c r="AN2" s="5616">
        <v>45839</v>
      </c>
      <c r="AO2" s="5616">
        <v>45870</v>
      </c>
      <c r="AP2" s="5616">
        <v>45901</v>
      </c>
      <c r="AQ2" s="5616">
        <v>45931</v>
      </c>
      <c r="AR2" s="5616">
        <v>45962</v>
      </c>
      <c r="AS2" s="5616">
        <v>45992</v>
      </c>
      <c r="AW2" s="4477">
        <v>46023</v>
      </c>
      <c r="AX2" s="4477">
        <v>46054</v>
      </c>
      <c r="AY2" s="4477">
        <v>46082</v>
      </c>
      <c r="AZ2" s="4477">
        <v>46113</v>
      </c>
      <c r="BA2" s="4477">
        <v>46143</v>
      </c>
      <c r="BB2" s="4477">
        <v>46174</v>
      </c>
      <c r="BC2" s="4477">
        <v>46204</v>
      </c>
      <c r="BD2" s="4477">
        <v>46235</v>
      </c>
      <c r="BE2" s="4477">
        <v>46266</v>
      </c>
      <c r="BF2" s="4477">
        <v>46296</v>
      </c>
      <c r="BG2" s="4477">
        <v>46327</v>
      </c>
      <c r="BH2" s="4477">
        <v>46357</v>
      </c>
    </row>
    <row r="3" spans="1:68" ht="16.75" thickBot="1" x14ac:dyDescent="0.6">
      <c r="D3" s="4534" t="s">
        <v>621</v>
      </c>
      <c r="E3" s="4534" t="s">
        <v>622</v>
      </c>
      <c r="F3" s="4534" t="s">
        <v>623</v>
      </c>
      <c r="G3" s="4534" t="s">
        <v>624</v>
      </c>
      <c r="H3" s="4534" t="s">
        <v>625</v>
      </c>
      <c r="I3" s="4534" t="s">
        <v>626</v>
      </c>
      <c r="J3" s="4534" t="s">
        <v>627</v>
      </c>
      <c r="K3" s="4534" t="s">
        <v>628</v>
      </c>
      <c r="L3" s="4534" t="s">
        <v>629</v>
      </c>
      <c r="M3" s="4534" t="s">
        <v>630</v>
      </c>
      <c r="N3" s="4534" t="s">
        <v>631</v>
      </c>
      <c r="O3" s="4534" t="s">
        <v>632</v>
      </c>
      <c r="P3" s="4534" t="s">
        <v>393</v>
      </c>
      <c r="Q3" s="4534" t="s">
        <v>610</v>
      </c>
      <c r="S3" s="4533" t="s">
        <v>2</v>
      </c>
      <c r="T3" s="4533" t="s">
        <v>608</v>
      </c>
      <c r="U3" s="4533" t="s">
        <v>503</v>
      </c>
      <c r="V3" s="4533" t="s">
        <v>341</v>
      </c>
      <c r="W3" s="4533" t="s">
        <v>342</v>
      </c>
      <c r="X3" s="4533" t="s">
        <v>343</v>
      </c>
      <c r="Y3" s="4533" t="s">
        <v>344</v>
      </c>
      <c r="Z3" s="4533" t="s">
        <v>345</v>
      </c>
      <c r="AA3" s="4533" t="s">
        <v>346</v>
      </c>
      <c r="AB3" s="4533" t="s">
        <v>347</v>
      </c>
      <c r="AC3" s="4838" t="s">
        <v>348</v>
      </c>
      <c r="AD3" s="4533" t="s">
        <v>349</v>
      </c>
      <c r="AE3" s="4534" t="s">
        <v>609</v>
      </c>
      <c r="AF3" s="4534" t="s">
        <v>610</v>
      </c>
      <c r="AH3" s="4839" t="s">
        <v>940</v>
      </c>
      <c r="AI3" s="4823" t="s">
        <v>942</v>
      </c>
      <c r="AJ3" s="4823" t="s">
        <v>944</v>
      </c>
      <c r="AK3" s="4823" t="s">
        <v>945</v>
      </c>
      <c r="AL3" s="4823" t="s">
        <v>946</v>
      </c>
      <c r="AM3" s="4823" t="s">
        <v>947</v>
      </c>
      <c r="AN3" s="4823" t="s">
        <v>948</v>
      </c>
      <c r="AO3" s="4823" t="s">
        <v>949</v>
      </c>
      <c r="AP3" s="4823" t="s">
        <v>950</v>
      </c>
      <c r="AQ3" s="4823" t="s">
        <v>951</v>
      </c>
      <c r="AR3" s="4823" t="s">
        <v>952</v>
      </c>
      <c r="AS3" s="4823" t="s">
        <v>953</v>
      </c>
      <c r="AT3" s="4840" t="s">
        <v>956</v>
      </c>
      <c r="AU3" s="4841" t="s">
        <v>610</v>
      </c>
      <c r="AW3" s="4685" t="s">
        <v>1122</v>
      </c>
      <c r="AX3" s="1155" t="s">
        <v>1072</v>
      </c>
      <c r="AY3" s="1155" t="s">
        <v>1073</v>
      </c>
      <c r="AZ3" s="1155" t="s">
        <v>1074</v>
      </c>
      <c r="BA3" s="1155" t="s">
        <v>1075</v>
      </c>
      <c r="BB3" s="1155" t="s">
        <v>1076</v>
      </c>
      <c r="BC3" s="1155" t="s">
        <v>1077</v>
      </c>
      <c r="BD3" s="1155" t="s">
        <v>1078</v>
      </c>
      <c r="BE3" s="1155" t="s">
        <v>1079</v>
      </c>
      <c r="BF3" s="1155" t="s">
        <v>1080</v>
      </c>
      <c r="BG3" s="1155" t="s">
        <v>1081</v>
      </c>
      <c r="BH3" s="1155" t="s">
        <v>1082</v>
      </c>
      <c r="BI3" s="4840" t="s">
        <v>1154</v>
      </c>
      <c r="BJ3" s="4841" t="s">
        <v>610</v>
      </c>
      <c r="BL3" s="4842" t="s">
        <v>199</v>
      </c>
      <c r="BM3" s="4843" t="s">
        <v>200</v>
      </c>
      <c r="BN3" s="4844" t="s">
        <v>201</v>
      </c>
      <c r="BO3" s="4845" t="s">
        <v>202</v>
      </c>
      <c r="BP3" s="4846" t="s">
        <v>203</v>
      </c>
    </row>
    <row r="4" spans="1:68" ht="15.45" thickTop="1" x14ac:dyDescent="0.55000000000000004">
      <c r="A4" s="7440" t="s">
        <v>181</v>
      </c>
      <c r="B4" s="7441"/>
      <c r="C4" s="7441"/>
      <c r="D4" s="4847">
        <f t="shared" ref="D4:N4" si="3">D5+D6+D12+D20+D21</f>
        <v>2164</v>
      </c>
      <c r="E4" s="4847">
        <f t="shared" si="3"/>
        <v>2158</v>
      </c>
      <c r="F4" s="4847">
        <f t="shared" si="3"/>
        <v>2146</v>
      </c>
      <c r="G4" s="4847">
        <f t="shared" si="3"/>
        <v>2133</v>
      </c>
      <c r="H4" s="4847">
        <f t="shared" si="3"/>
        <v>2147</v>
      </c>
      <c r="I4" s="4847">
        <f t="shared" si="3"/>
        <v>2125</v>
      </c>
      <c r="J4" s="4847">
        <f t="shared" si="3"/>
        <v>2120</v>
      </c>
      <c r="K4" s="4847">
        <f t="shared" si="3"/>
        <v>2107</v>
      </c>
      <c r="L4" s="4847">
        <f t="shared" si="3"/>
        <v>2091</v>
      </c>
      <c r="M4" s="4847">
        <f t="shared" si="3"/>
        <v>2094</v>
      </c>
      <c r="N4" s="4847">
        <f t="shared" si="3"/>
        <v>2096</v>
      </c>
      <c r="O4" s="4847">
        <f>O5+O6+O12+O20+O21</f>
        <v>2089</v>
      </c>
      <c r="P4" s="4848"/>
      <c r="Q4" s="4847">
        <f t="shared" ref="Q4:Q25" si="4">AVERAGE(D4:O4)</f>
        <v>2122.5</v>
      </c>
      <c r="S4" s="4847">
        <f t="shared" ref="S4:Z4" si="5">S5+S6+S12+S20+S21</f>
        <v>2091</v>
      </c>
      <c r="T4" s="4847">
        <f t="shared" si="5"/>
        <v>2099</v>
      </c>
      <c r="U4" s="4847">
        <f t="shared" si="5"/>
        <v>2110</v>
      </c>
      <c r="V4" s="4847">
        <f t="shared" si="5"/>
        <v>2141</v>
      </c>
      <c r="W4" s="4847">
        <f t="shared" si="5"/>
        <v>2148</v>
      </c>
      <c r="X4" s="4847">
        <f t="shared" si="5"/>
        <v>2148</v>
      </c>
      <c r="Y4" s="4847">
        <f t="shared" si="5"/>
        <v>2162</v>
      </c>
      <c r="Z4" s="4847">
        <f t="shared" si="5"/>
        <v>2169</v>
      </c>
      <c r="AA4" s="4847">
        <f>AA5+AA6+AA12+AA20+AA21</f>
        <v>2178</v>
      </c>
      <c r="AB4" s="4847">
        <f>AB5+AB6+AB12+AB20+AB21</f>
        <v>2198</v>
      </c>
      <c r="AC4" s="4847">
        <f>AC5+AC6+AC12+AC20+AC21</f>
        <v>2210</v>
      </c>
      <c r="AD4" s="4847">
        <v>2244</v>
      </c>
      <c r="AE4" s="4848"/>
      <c r="AF4" s="4847">
        <f>AVERAGE(S4:AE4)</f>
        <v>2158.1666666666665</v>
      </c>
      <c r="AH4" s="4849">
        <v>2278</v>
      </c>
      <c r="AI4" s="4847">
        <v>2274</v>
      </c>
      <c r="AJ4" s="4835">
        <v>2285</v>
      </c>
      <c r="AK4" s="4847">
        <v>2291</v>
      </c>
      <c r="AL4" s="4847">
        <v>2284</v>
      </c>
      <c r="AM4" s="4847">
        <v>2267</v>
      </c>
      <c r="AN4" s="4835">
        <v>2239</v>
      </c>
      <c r="AO4" s="4847">
        <v>2221</v>
      </c>
      <c r="AP4" s="4847">
        <v>2214</v>
      </c>
      <c r="AQ4" s="4847">
        <v>2192</v>
      </c>
      <c r="AR4" s="4847">
        <v>2193</v>
      </c>
      <c r="AS4" s="4847">
        <v>2200</v>
      </c>
      <c r="AT4" s="4847"/>
      <c r="AU4" s="4847">
        <f>AVERAGE(AH4:AS4)</f>
        <v>2244.8333333333335</v>
      </c>
      <c r="AW4" s="4847">
        <v>2209</v>
      </c>
      <c r="AX4" s="4847">
        <v>2207</v>
      </c>
      <c r="AY4" s="4847"/>
      <c r="AZ4" s="4847"/>
      <c r="BA4" s="4847"/>
      <c r="BB4" s="4847"/>
      <c r="BC4" s="4847"/>
      <c r="BD4" s="4847"/>
      <c r="BE4" s="4847"/>
      <c r="BF4" s="4847"/>
      <c r="BG4" s="4847"/>
      <c r="BH4" s="4847"/>
      <c r="BI4" s="4847"/>
      <c r="BJ4" s="4847">
        <f>AVERAGE(AW4:BI4)</f>
        <v>2208</v>
      </c>
      <c r="BL4" s="4850">
        <f>AW4/$AW$4</f>
        <v>1</v>
      </c>
      <c r="BM4" s="4851">
        <v>875</v>
      </c>
      <c r="BN4" s="4852">
        <f t="shared" ref="BN4:BN18" si="6">BM4/AW4</f>
        <v>0.39610683567224991</v>
      </c>
      <c r="BO4" s="4853">
        <v>36.014046216583594</v>
      </c>
      <c r="BP4" s="4854">
        <v>6.6088920061324021</v>
      </c>
    </row>
    <row r="5" spans="1:68" x14ac:dyDescent="0.55000000000000004">
      <c r="A5" s="7435" t="s">
        <v>180</v>
      </c>
      <c r="B5" s="1522" t="s">
        <v>172</v>
      </c>
      <c r="C5" s="1523"/>
      <c r="D5" s="1523">
        <v>7</v>
      </c>
      <c r="E5" s="1523">
        <v>7</v>
      </c>
      <c r="F5" s="1523">
        <v>7</v>
      </c>
      <c r="G5" s="1523">
        <v>7</v>
      </c>
      <c r="H5" s="1523">
        <v>7</v>
      </c>
      <c r="I5" s="1523">
        <v>7</v>
      </c>
      <c r="J5" s="1523">
        <v>7</v>
      </c>
      <c r="K5" s="1523">
        <v>7</v>
      </c>
      <c r="L5" s="1523">
        <v>7</v>
      </c>
      <c r="M5" s="1523">
        <v>7</v>
      </c>
      <c r="N5" s="1523">
        <v>7</v>
      </c>
      <c r="O5" s="1523">
        <v>8</v>
      </c>
      <c r="P5" s="1523"/>
      <c r="Q5" s="4855">
        <f t="shared" si="4"/>
        <v>7.083333333333333</v>
      </c>
      <c r="S5" s="4856">
        <v>8</v>
      </c>
      <c r="T5" s="4856">
        <v>8</v>
      </c>
      <c r="U5" s="4856">
        <v>8</v>
      </c>
      <c r="V5" s="4856">
        <v>8</v>
      </c>
      <c r="W5" s="4856">
        <v>8</v>
      </c>
      <c r="X5" s="4856">
        <v>8</v>
      </c>
      <c r="Y5" s="4856">
        <v>8</v>
      </c>
      <c r="Z5" s="4856">
        <v>8</v>
      </c>
      <c r="AA5" s="4856">
        <v>8</v>
      </c>
      <c r="AB5" s="4856">
        <v>8</v>
      </c>
      <c r="AC5" s="4857">
        <v>8</v>
      </c>
      <c r="AD5" s="4856">
        <v>8</v>
      </c>
      <c r="AE5" s="1523"/>
      <c r="AF5" s="4858">
        <f t="shared" ref="AF5:AF57" si="7">AVERAGE(S5:AE5)</f>
        <v>8</v>
      </c>
      <c r="AH5" s="4859">
        <v>8</v>
      </c>
      <c r="AI5" s="4856">
        <v>8</v>
      </c>
      <c r="AJ5" s="4856">
        <v>8</v>
      </c>
      <c r="AK5" s="4856">
        <v>8</v>
      </c>
      <c r="AL5" s="4856">
        <v>8</v>
      </c>
      <c r="AM5" s="4856">
        <v>8</v>
      </c>
      <c r="AN5" s="4856">
        <v>8</v>
      </c>
      <c r="AO5" s="4856">
        <v>8</v>
      </c>
      <c r="AP5" s="4856">
        <v>8</v>
      </c>
      <c r="AQ5" s="4856">
        <v>8</v>
      </c>
      <c r="AR5" s="4856">
        <v>8</v>
      </c>
      <c r="AS5" s="4856">
        <v>8</v>
      </c>
      <c r="AT5" s="1523"/>
      <c r="AU5" s="4858">
        <f t="shared" ref="AU5:AU68" si="8">AVERAGE(AH5:AS5)</f>
        <v>8</v>
      </c>
      <c r="AW5" s="4859">
        <v>8</v>
      </c>
      <c r="AX5" s="4856">
        <v>8</v>
      </c>
      <c r="AY5" s="4856"/>
      <c r="AZ5" s="4856"/>
      <c r="BA5" s="4856"/>
      <c r="BB5" s="4856"/>
      <c r="BC5" s="4856"/>
      <c r="BD5" s="4856"/>
      <c r="BE5" s="4856"/>
      <c r="BF5" s="4856"/>
      <c r="BG5" s="4856"/>
      <c r="BH5" s="4856"/>
      <c r="BI5" s="1523"/>
      <c r="BJ5" s="4858">
        <f t="shared" ref="BJ5:BJ24" si="9">AVERAGE(AW5:BI5)</f>
        <v>8</v>
      </c>
      <c r="BL5" s="4860">
        <f>AW5/$AW$4</f>
        <v>3.6215482118605704E-3</v>
      </c>
      <c r="BM5" s="4861">
        <v>0</v>
      </c>
      <c r="BN5" s="4862">
        <f t="shared" si="6"/>
        <v>0</v>
      </c>
      <c r="BO5" s="4863">
        <v>56.5</v>
      </c>
      <c r="BP5" s="4864">
        <v>15.731849315068494</v>
      </c>
    </row>
    <row r="6" spans="1:68" x14ac:dyDescent="0.55000000000000004">
      <c r="A6" s="7179"/>
      <c r="B6" s="1533" t="s">
        <v>177</v>
      </c>
      <c r="C6" s="1534"/>
      <c r="D6" s="4865">
        <f t="shared" ref="D6:N6" si="10">SUM(D7:D11)</f>
        <v>176</v>
      </c>
      <c r="E6" s="4865">
        <f t="shared" si="10"/>
        <v>174</v>
      </c>
      <c r="F6" s="4865">
        <f t="shared" si="10"/>
        <v>174</v>
      </c>
      <c r="G6" s="4865">
        <f t="shared" si="10"/>
        <v>174</v>
      </c>
      <c r="H6" s="4865">
        <f t="shared" si="10"/>
        <v>175</v>
      </c>
      <c r="I6" s="4865">
        <f t="shared" si="10"/>
        <v>172</v>
      </c>
      <c r="J6" s="4865">
        <f t="shared" si="10"/>
        <v>181</v>
      </c>
      <c r="K6" s="4865">
        <f t="shared" si="10"/>
        <v>181</v>
      </c>
      <c r="L6" s="4865">
        <f t="shared" si="10"/>
        <v>181</v>
      </c>
      <c r="M6" s="4865">
        <f t="shared" si="10"/>
        <v>180</v>
      </c>
      <c r="N6" s="4865">
        <f t="shared" si="10"/>
        <v>180</v>
      </c>
      <c r="O6" s="4865">
        <f>SUM(O7:O11)</f>
        <v>179</v>
      </c>
      <c r="P6" s="1534"/>
      <c r="Q6" s="4866">
        <f t="shared" si="4"/>
        <v>177.25</v>
      </c>
      <c r="S6" s="4867">
        <f t="shared" ref="S6:X6" si="11">SUM(S7:S11)</f>
        <v>176</v>
      </c>
      <c r="T6" s="4867">
        <f t="shared" si="11"/>
        <v>173</v>
      </c>
      <c r="U6" s="4867">
        <f t="shared" si="11"/>
        <v>173</v>
      </c>
      <c r="V6" s="4867">
        <f t="shared" si="11"/>
        <v>171</v>
      </c>
      <c r="W6" s="4867">
        <f t="shared" si="11"/>
        <v>171</v>
      </c>
      <c r="X6" s="4867">
        <f t="shared" si="11"/>
        <v>184</v>
      </c>
      <c r="Y6" s="4865">
        <f>SUM(Y7:Y11)</f>
        <v>183</v>
      </c>
      <c r="Z6" s="4865">
        <f>SUM(Z7:Z11)</f>
        <v>183</v>
      </c>
      <c r="AA6" s="4865">
        <f>SUM(AA7:AA11)</f>
        <v>183</v>
      </c>
      <c r="AB6" s="4865">
        <v>184</v>
      </c>
      <c r="AC6" s="4868">
        <v>183</v>
      </c>
      <c r="AD6" s="4867">
        <v>180</v>
      </c>
      <c r="AE6" s="1534"/>
      <c r="AF6" s="4869">
        <f t="shared" si="7"/>
        <v>178.66666666666666</v>
      </c>
      <c r="AH6" s="4870">
        <v>180</v>
      </c>
      <c r="AI6" s="4867">
        <v>183</v>
      </c>
      <c r="AJ6" s="4867">
        <v>181</v>
      </c>
      <c r="AK6" s="4867">
        <v>181</v>
      </c>
      <c r="AL6" s="4865">
        <v>181</v>
      </c>
      <c r="AM6" s="4865">
        <v>181</v>
      </c>
      <c r="AN6" s="4865">
        <v>180</v>
      </c>
      <c r="AO6" s="4865">
        <v>190</v>
      </c>
      <c r="AP6" s="4865">
        <v>189</v>
      </c>
      <c r="AQ6" s="4865">
        <v>189</v>
      </c>
      <c r="AR6" s="4865">
        <v>189</v>
      </c>
      <c r="AS6" s="4865">
        <v>184</v>
      </c>
      <c r="AT6" s="1534"/>
      <c r="AU6" s="4869">
        <f t="shared" si="8"/>
        <v>184</v>
      </c>
      <c r="AW6" s="4870">
        <v>184</v>
      </c>
      <c r="AX6" s="4867">
        <v>184</v>
      </c>
      <c r="AY6" s="4867"/>
      <c r="AZ6" s="4867"/>
      <c r="BA6" s="4865"/>
      <c r="BB6" s="4865"/>
      <c r="BC6" s="4865"/>
      <c r="BD6" s="4865"/>
      <c r="BE6" s="4865"/>
      <c r="BF6" s="4865"/>
      <c r="BG6" s="4865"/>
      <c r="BH6" s="4865"/>
      <c r="BI6" s="1534"/>
      <c r="BJ6" s="4869">
        <f t="shared" si="9"/>
        <v>184</v>
      </c>
      <c r="BL6" s="4871">
        <f>AW6/$AW$4</f>
        <v>8.3295608872793123E-2</v>
      </c>
      <c r="BM6" s="4872">
        <v>37</v>
      </c>
      <c r="BN6" s="4873">
        <f t="shared" si="6"/>
        <v>0.20108695652173914</v>
      </c>
      <c r="BO6" s="4874">
        <v>41.880434782608695</v>
      </c>
      <c r="BP6" s="4875">
        <v>12.046292435973807</v>
      </c>
    </row>
    <row r="7" spans="1:68" x14ac:dyDescent="0.55000000000000004">
      <c r="A7" s="7179"/>
      <c r="B7" s="594"/>
      <c r="C7" s="594" t="s">
        <v>171</v>
      </c>
      <c r="D7" s="559">
        <v>27</v>
      </c>
      <c r="E7" s="559">
        <v>27</v>
      </c>
      <c r="F7" s="559">
        <v>27</v>
      </c>
      <c r="G7" s="559">
        <v>27</v>
      </c>
      <c r="H7" s="559">
        <v>27</v>
      </c>
      <c r="I7" s="559">
        <v>26</v>
      </c>
      <c r="J7" s="559">
        <v>26</v>
      </c>
      <c r="K7" s="559">
        <v>26</v>
      </c>
      <c r="L7" s="559">
        <v>26</v>
      </c>
      <c r="M7" s="559">
        <v>26</v>
      </c>
      <c r="N7" s="559">
        <v>26</v>
      </c>
      <c r="O7" s="559">
        <v>26</v>
      </c>
      <c r="P7" s="594"/>
      <c r="Q7" s="4876">
        <f t="shared" si="4"/>
        <v>26.416666666666668</v>
      </c>
      <c r="S7" s="4877">
        <v>24</v>
      </c>
      <c r="T7" s="4877">
        <v>24</v>
      </c>
      <c r="U7" s="4877">
        <v>24</v>
      </c>
      <c r="V7" s="4877">
        <v>24</v>
      </c>
      <c r="W7" s="4877">
        <v>24</v>
      </c>
      <c r="X7" s="4877">
        <v>24</v>
      </c>
      <c r="Y7" s="4836">
        <v>24</v>
      </c>
      <c r="Z7" s="4836">
        <v>24</v>
      </c>
      <c r="AA7" s="4836">
        <v>24</v>
      </c>
      <c r="AB7" s="4836">
        <v>24</v>
      </c>
      <c r="AC7" s="4836">
        <v>23</v>
      </c>
      <c r="AD7" s="4877">
        <v>28</v>
      </c>
      <c r="AE7" s="594"/>
      <c r="AF7" s="2774">
        <f t="shared" si="7"/>
        <v>24.25</v>
      </c>
      <c r="AH7" s="4836">
        <v>28</v>
      </c>
      <c r="AI7" s="4877">
        <v>28</v>
      </c>
      <c r="AJ7" s="4836">
        <v>28</v>
      </c>
      <c r="AK7" s="4877">
        <v>28</v>
      </c>
      <c r="AL7" s="4836">
        <v>28</v>
      </c>
      <c r="AM7" s="4836">
        <v>28</v>
      </c>
      <c r="AN7" s="4836">
        <v>28</v>
      </c>
      <c r="AO7" s="4836">
        <v>28</v>
      </c>
      <c r="AP7" s="4836">
        <v>28</v>
      </c>
      <c r="AQ7" s="4836">
        <v>28</v>
      </c>
      <c r="AR7" s="4836">
        <v>28</v>
      </c>
      <c r="AS7" s="4836">
        <v>25</v>
      </c>
      <c r="AT7" s="594"/>
      <c r="AU7" s="2774">
        <f t="shared" si="8"/>
        <v>27.75</v>
      </c>
      <c r="AW7" s="4836">
        <v>32</v>
      </c>
      <c r="AX7" s="4877">
        <v>32</v>
      </c>
      <c r="AY7" s="4836"/>
      <c r="AZ7" s="4877"/>
      <c r="BA7" s="4836"/>
      <c r="BB7" s="4836"/>
      <c r="BC7" s="4836"/>
      <c r="BD7" s="4836"/>
      <c r="BE7" s="4836"/>
      <c r="BF7" s="4836"/>
      <c r="BG7" s="4836"/>
      <c r="BH7" s="4836"/>
      <c r="BI7" s="594"/>
      <c r="BJ7" s="2774">
        <f t="shared" si="9"/>
        <v>32</v>
      </c>
      <c r="BL7" s="4878">
        <f>AW7/$AW$6</f>
        <v>0.17391304347826086</v>
      </c>
      <c r="BM7" s="4879">
        <v>1</v>
      </c>
      <c r="BN7" s="4880">
        <f t="shared" si="6"/>
        <v>3.125E-2</v>
      </c>
      <c r="BO7" s="4881">
        <v>52</v>
      </c>
      <c r="BP7" s="4882">
        <v>17.848373287671237</v>
      </c>
    </row>
    <row r="8" spans="1:68" x14ac:dyDescent="0.55000000000000004">
      <c r="A8" s="7179"/>
      <c r="B8" s="886"/>
      <c r="C8" s="594" t="s">
        <v>173</v>
      </c>
      <c r="D8" s="559">
        <v>60</v>
      </c>
      <c r="E8" s="559">
        <v>60</v>
      </c>
      <c r="F8" s="559">
        <v>60</v>
      </c>
      <c r="G8" s="559">
        <v>60</v>
      </c>
      <c r="H8" s="559">
        <v>60</v>
      </c>
      <c r="I8" s="559">
        <v>60</v>
      </c>
      <c r="J8" s="559">
        <v>60</v>
      </c>
      <c r="K8" s="559">
        <v>60</v>
      </c>
      <c r="L8" s="559">
        <v>60</v>
      </c>
      <c r="M8" s="559">
        <v>60</v>
      </c>
      <c r="N8" s="559">
        <v>60</v>
      </c>
      <c r="O8" s="559">
        <v>59</v>
      </c>
      <c r="P8" s="594"/>
      <c r="Q8" s="4876">
        <f t="shared" si="4"/>
        <v>59.916666666666664</v>
      </c>
      <c r="S8" s="4877">
        <v>59</v>
      </c>
      <c r="T8" s="4877">
        <v>59</v>
      </c>
      <c r="U8" s="4877">
        <v>60</v>
      </c>
      <c r="V8" s="4877">
        <v>60</v>
      </c>
      <c r="W8" s="4877">
        <v>60</v>
      </c>
      <c r="X8" s="4877">
        <v>60</v>
      </c>
      <c r="Y8" s="4836">
        <v>60</v>
      </c>
      <c r="Z8" s="4836">
        <v>60</v>
      </c>
      <c r="AA8" s="4836">
        <v>60</v>
      </c>
      <c r="AB8" s="4836">
        <v>60</v>
      </c>
      <c r="AC8" s="4836">
        <v>60</v>
      </c>
      <c r="AD8" s="4877">
        <v>61</v>
      </c>
      <c r="AE8" s="594"/>
      <c r="AF8" s="2774">
        <f t="shared" si="7"/>
        <v>59.916666666666664</v>
      </c>
      <c r="AH8" s="4836">
        <v>61</v>
      </c>
      <c r="AI8" s="4877">
        <v>64</v>
      </c>
      <c r="AJ8" s="4836">
        <v>64</v>
      </c>
      <c r="AK8" s="4877">
        <v>64</v>
      </c>
      <c r="AL8" s="4836">
        <v>64</v>
      </c>
      <c r="AM8" s="4836">
        <v>64</v>
      </c>
      <c r="AN8" s="4836">
        <v>64</v>
      </c>
      <c r="AO8" s="4836">
        <v>64</v>
      </c>
      <c r="AP8" s="4836">
        <v>64</v>
      </c>
      <c r="AQ8" s="4836">
        <v>64</v>
      </c>
      <c r="AR8" s="4836">
        <v>64</v>
      </c>
      <c r="AS8" s="4836">
        <v>63</v>
      </c>
      <c r="AT8" s="594"/>
      <c r="AU8" s="2774">
        <f t="shared" si="8"/>
        <v>63.666666666666664</v>
      </c>
      <c r="AW8" s="4836">
        <v>65</v>
      </c>
      <c r="AX8" s="4877">
        <v>65</v>
      </c>
      <c r="AY8" s="4836"/>
      <c r="AZ8" s="4877"/>
      <c r="BA8" s="4836"/>
      <c r="BB8" s="4836"/>
      <c r="BC8" s="4836"/>
      <c r="BD8" s="4836"/>
      <c r="BE8" s="4836"/>
      <c r="BF8" s="4836"/>
      <c r="BG8" s="4836"/>
      <c r="BH8" s="4836"/>
      <c r="BI8" s="594"/>
      <c r="BJ8" s="2774">
        <f t="shared" si="9"/>
        <v>65</v>
      </c>
      <c r="BL8" s="4878">
        <f>AW8/$AW$6</f>
        <v>0.35326086956521741</v>
      </c>
      <c r="BM8" s="4879">
        <v>7</v>
      </c>
      <c r="BN8" s="4880">
        <f t="shared" si="6"/>
        <v>0.1076923076923077</v>
      </c>
      <c r="BO8" s="4881">
        <v>47.123076923076923</v>
      </c>
      <c r="BP8" s="4882">
        <v>16.018672286617488</v>
      </c>
    </row>
    <row r="9" spans="1:68" x14ac:dyDescent="0.55000000000000004">
      <c r="A9" s="7179"/>
      <c r="B9" s="886"/>
      <c r="C9" s="886" t="s">
        <v>174</v>
      </c>
      <c r="D9" s="559">
        <v>47</v>
      </c>
      <c r="E9" s="559">
        <v>47</v>
      </c>
      <c r="F9" s="559">
        <v>47</v>
      </c>
      <c r="G9" s="559">
        <v>46</v>
      </c>
      <c r="H9" s="559">
        <v>46</v>
      </c>
      <c r="I9" s="559">
        <v>46</v>
      </c>
      <c r="J9" s="559">
        <v>46</v>
      </c>
      <c r="K9" s="559">
        <v>46</v>
      </c>
      <c r="L9" s="559">
        <v>46</v>
      </c>
      <c r="M9" s="559">
        <v>46</v>
      </c>
      <c r="N9" s="559">
        <v>46</v>
      </c>
      <c r="O9" s="559">
        <v>46</v>
      </c>
      <c r="P9" s="886"/>
      <c r="Q9" s="4883">
        <f t="shared" si="4"/>
        <v>46.25</v>
      </c>
      <c r="S9" s="4884">
        <v>46</v>
      </c>
      <c r="T9" s="4884">
        <v>46</v>
      </c>
      <c r="U9" s="4884">
        <v>46</v>
      </c>
      <c r="V9" s="4884">
        <v>45</v>
      </c>
      <c r="W9" s="4884">
        <v>45</v>
      </c>
      <c r="X9" s="4884">
        <v>45</v>
      </c>
      <c r="Y9" s="4836">
        <v>45</v>
      </c>
      <c r="Z9" s="4836">
        <v>45</v>
      </c>
      <c r="AA9" s="4836">
        <v>45</v>
      </c>
      <c r="AB9" s="4836">
        <v>46</v>
      </c>
      <c r="AC9" s="4836">
        <v>46</v>
      </c>
      <c r="AD9" s="4884">
        <v>47</v>
      </c>
      <c r="AE9" s="886"/>
      <c r="AF9" s="1102">
        <f t="shared" si="7"/>
        <v>45.583333333333336</v>
      </c>
      <c r="AH9" s="4836">
        <v>47</v>
      </c>
      <c r="AI9" s="4884">
        <v>47</v>
      </c>
      <c r="AJ9" s="4836">
        <v>47</v>
      </c>
      <c r="AK9" s="4884">
        <v>47</v>
      </c>
      <c r="AL9" s="4836">
        <v>47</v>
      </c>
      <c r="AM9" s="4836">
        <v>47</v>
      </c>
      <c r="AN9" s="4836">
        <v>47</v>
      </c>
      <c r="AO9" s="4836">
        <v>47</v>
      </c>
      <c r="AP9" s="4836">
        <v>47</v>
      </c>
      <c r="AQ9" s="4836">
        <v>47</v>
      </c>
      <c r="AR9" s="4836">
        <v>47</v>
      </c>
      <c r="AS9" s="4836">
        <v>48</v>
      </c>
      <c r="AT9" s="886"/>
      <c r="AU9" s="1102">
        <f t="shared" si="8"/>
        <v>47.083333333333336</v>
      </c>
      <c r="AW9" s="4836">
        <v>46</v>
      </c>
      <c r="AX9" s="4884">
        <v>46</v>
      </c>
      <c r="AY9" s="4836"/>
      <c r="AZ9" s="4884"/>
      <c r="BA9" s="4836"/>
      <c r="BB9" s="4836"/>
      <c r="BC9" s="4836"/>
      <c r="BD9" s="4836"/>
      <c r="BE9" s="4836"/>
      <c r="BF9" s="4836"/>
      <c r="BG9" s="4836"/>
      <c r="BH9" s="4836"/>
      <c r="BI9" s="886"/>
      <c r="BJ9" s="1102">
        <f t="shared" si="9"/>
        <v>46</v>
      </c>
      <c r="BL9" s="4878">
        <f>AW9/$AW$6</f>
        <v>0.25</v>
      </c>
      <c r="BM9" s="4879">
        <v>11</v>
      </c>
      <c r="BN9" s="4880">
        <f t="shared" si="6"/>
        <v>0.2391304347826087</v>
      </c>
      <c r="BO9" s="4881">
        <v>38.5</v>
      </c>
      <c r="BP9" s="4882">
        <v>10.881596188207265</v>
      </c>
    </row>
    <row r="10" spans="1:68" x14ac:dyDescent="0.55000000000000004">
      <c r="A10" s="7179"/>
      <c r="B10" s="886"/>
      <c r="C10" s="886" t="s">
        <v>175</v>
      </c>
      <c r="D10" s="559">
        <v>25</v>
      </c>
      <c r="E10" s="559">
        <v>23</v>
      </c>
      <c r="F10" s="559">
        <v>23</v>
      </c>
      <c r="G10" s="559">
        <v>24</v>
      </c>
      <c r="H10" s="559">
        <v>25</v>
      </c>
      <c r="I10" s="559">
        <v>24</v>
      </c>
      <c r="J10" s="559">
        <v>24</v>
      </c>
      <c r="K10" s="559">
        <v>24</v>
      </c>
      <c r="L10" s="559">
        <v>24</v>
      </c>
      <c r="M10" s="559">
        <v>23</v>
      </c>
      <c r="N10" s="559">
        <v>23</v>
      </c>
      <c r="O10" s="559">
        <v>23</v>
      </c>
      <c r="P10" s="886"/>
      <c r="Q10" s="4883">
        <f t="shared" si="4"/>
        <v>23.75</v>
      </c>
      <c r="S10" s="4884">
        <v>23</v>
      </c>
      <c r="T10" s="4884">
        <v>23</v>
      </c>
      <c r="U10" s="4884">
        <v>23</v>
      </c>
      <c r="V10" s="4884">
        <v>23</v>
      </c>
      <c r="W10" s="4884">
        <v>23</v>
      </c>
      <c r="X10" s="4884">
        <v>23</v>
      </c>
      <c r="Y10" s="4836">
        <v>22</v>
      </c>
      <c r="Z10" s="4836">
        <v>22</v>
      </c>
      <c r="AA10" s="4836">
        <v>22</v>
      </c>
      <c r="AB10" s="4836">
        <v>22</v>
      </c>
      <c r="AC10" s="4836">
        <v>22</v>
      </c>
      <c r="AD10" s="4884">
        <v>26</v>
      </c>
      <c r="AE10" s="886"/>
      <c r="AF10" s="1102">
        <f t="shared" si="7"/>
        <v>22.833333333333332</v>
      </c>
      <c r="AH10" s="4836">
        <v>26</v>
      </c>
      <c r="AI10" s="4884">
        <v>26</v>
      </c>
      <c r="AJ10" s="4836">
        <v>24</v>
      </c>
      <c r="AK10" s="4884">
        <v>24</v>
      </c>
      <c r="AL10" s="4836">
        <v>24</v>
      </c>
      <c r="AM10" s="4836">
        <v>24</v>
      </c>
      <c r="AN10" s="4836">
        <v>24</v>
      </c>
      <c r="AO10" s="4836">
        <v>23</v>
      </c>
      <c r="AP10" s="4836">
        <v>22</v>
      </c>
      <c r="AQ10" s="4836">
        <v>22</v>
      </c>
      <c r="AR10" s="4836">
        <v>22</v>
      </c>
      <c r="AS10" s="4836">
        <v>21</v>
      </c>
      <c r="AT10" s="886"/>
      <c r="AU10" s="1102">
        <f t="shared" si="8"/>
        <v>23.5</v>
      </c>
      <c r="AW10" s="4836">
        <v>14</v>
      </c>
      <c r="AX10" s="4884">
        <v>14</v>
      </c>
      <c r="AY10" s="4836"/>
      <c r="AZ10" s="4884"/>
      <c r="BA10" s="4836"/>
      <c r="BB10" s="4836"/>
      <c r="BC10" s="4836"/>
      <c r="BD10" s="4836"/>
      <c r="BE10" s="4836"/>
      <c r="BF10" s="4836"/>
      <c r="BG10" s="4836"/>
      <c r="BH10" s="4836"/>
      <c r="BI10" s="886"/>
      <c r="BJ10" s="1102">
        <f t="shared" si="9"/>
        <v>14</v>
      </c>
      <c r="BL10" s="4878">
        <f>AW10/$AW$6</f>
        <v>7.6086956521739135E-2</v>
      </c>
      <c r="BM10" s="4879">
        <v>6</v>
      </c>
      <c r="BN10" s="4880">
        <f t="shared" si="6"/>
        <v>0.42857142857142855</v>
      </c>
      <c r="BO10" s="4881">
        <v>31.142857142857142</v>
      </c>
      <c r="BP10" s="4882">
        <v>4.6559686888453999</v>
      </c>
    </row>
    <row r="11" spans="1:68" x14ac:dyDescent="0.55000000000000004">
      <c r="A11" s="7179"/>
      <c r="B11" s="594"/>
      <c r="C11" s="886" t="s">
        <v>176</v>
      </c>
      <c r="D11" s="559">
        <v>17</v>
      </c>
      <c r="E11" s="559">
        <v>17</v>
      </c>
      <c r="F11" s="559">
        <v>17</v>
      </c>
      <c r="G11" s="559">
        <v>17</v>
      </c>
      <c r="H11" s="559">
        <v>17</v>
      </c>
      <c r="I11" s="559">
        <v>16</v>
      </c>
      <c r="J11" s="559">
        <v>25</v>
      </c>
      <c r="K11" s="559">
        <v>25</v>
      </c>
      <c r="L11" s="559">
        <v>25</v>
      </c>
      <c r="M11" s="559">
        <v>25</v>
      </c>
      <c r="N11" s="559">
        <v>25</v>
      </c>
      <c r="O11" s="559">
        <v>25</v>
      </c>
      <c r="P11" s="886"/>
      <c r="Q11" s="4883">
        <f t="shared" si="4"/>
        <v>20.916666666666668</v>
      </c>
      <c r="S11" s="4884">
        <v>24</v>
      </c>
      <c r="T11" s="4884">
        <v>21</v>
      </c>
      <c r="U11" s="4884">
        <v>20</v>
      </c>
      <c r="V11" s="4884">
        <v>19</v>
      </c>
      <c r="W11" s="4884">
        <v>19</v>
      </c>
      <c r="X11" s="4884">
        <v>32</v>
      </c>
      <c r="Y11" s="4836">
        <v>32</v>
      </c>
      <c r="Z11" s="4836">
        <v>32</v>
      </c>
      <c r="AA11" s="4836">
        <v>32</v>
      </c>
      <c r="AB11" s="4836">
        <v>32</v>
      </c>
      <c r="AC11" s="4836">
        <v>32</v>
      </c>
      <c r="AD11" s="4884">
        <v>18</v>
      </c>
      <c r="AE11" s="886"/>
      <c r="AF11" s="1102">
        <f t="shared" si="7"/>
        <v>26.083333333333332</v>
      </c>
      <c r="AH11" s="4836">
        <v>18</v>
      </c>
      <c r="AI11" s="4884">
        <v>18</v>
      </c>
      <c r="AJ11" s="4836">
        <v>18</v>
      </c>
      <c r="AK11" s="4884">
        <v>18</v>
      </c>
      <c r="AL11" s="4836">
        <v>18</v>
      </c>
      <c r="AM11" s="4836">
        <v>18</v>
      </c>
      <c r="AN11" s="4836">
        <v>17</v>
      </c>
      <c r="AO11" s="4836">
        <v>28</v>
      </c>
      <c r="AP11" s="4836">
        <v>28</v>
      </c>
      <c r="AQ11" s="4836">
        <v>28</v>
      </c>
      <c r="AR11" s="4836">
        <v>28</v>
      </c>
      <c r="AS11" s="4836">
        <v>27</v>
      </c>
      <c r="AT11" s="886"/>
      <c r="AU11" s="1102">
        <f t="shared" si="8"/>
        <v>22</v>
      </c>
      <c r="AW11" s="4836">
        <v>27</v>
      </c>
      <c r="AX11" s="4884">
        <v>27</v>
      </c>
      <c r="AY11" s="4836"/>
      <c r="AZ11" s="4884"/>
      <c r="BA11" s="4836"/>
      <c r="BB11" s="4836"/>
      <c r="BC11" s="4836"/>
      <c r="BD11" s="4836"/>
      <c r="BE11" s="4836"/>
      <c r="BF11" s="4836"/>
      <c r="BG11" s="4836"/>
      <c r="BH11" s="4836"/>
      <c r="BI11" s="886"/>
      <c r="BJ11" s="1102">
        <f t="shared" si="9"/>
        <v>27</v>
      </c>
      <c r="BL11" s="4878">
        <f>AW11/$AW$6</f>
        <v>0.14673913043478262</v>
      </c>
      <c r="BM11" s="4879">
        <v>12</v>
      </c>
      <c r="BN11" s="4880">
        <f t="shared" si="6"/>
        <v>0.44444444444444442</v>
      </c>
      <c r="BO11" s="4881">
        <v>28.592592592592592</v>
      </c>
      <c r="BP11" s="4882">
        <v>1.4229325215626598</v>
      </c>
    </row>
    <row r="12" spans="1:68" x14ac:dyDescent="0.55000000000000004">
      <c r="A12" s="7179"/>
      <c r="B12" s="1533" t="s">
        <v>178</v>
      </c>
      <c r="C12" s="1534"/>
      <c r="D12" s="4865">
        <f t="shared" ref="D12:N12" si="12">SUM(D13:D19)</f>
        <v>1831</v>
      </c>
      <c r="E12" s="4865">
        <f t="shared" si="12"/>
        <v>1825</v>
      </c>
      <c r="F12" s="4865">
        <f t="shared" si="12"/>
        <v>1811</v>
      </c>
      <c r="G12" s="4865">
        <f t="shared" si="12"/>
        <v>1797</v>
      </c>
      <c r="H12" s="4865">
        <f t="shared" si="12"/>
        <v>1803</v>
      </c>
      <c r="I12" s="4865">
        <f t="shared" si="12"/>
        <v>1786</v>
      </c>
      <c r="J12" s="4865">
        <f t="shared" si="12"/>
        <v>1772</v>
      </c>
      <c r="K12" s="4865">
        <f t="shared" si="12"/>
        <v>1762</v>
      </c>
      <c r="L12" s="4865">
        <f t="shared" si="12"/>
        <v>1740</v>
      </c>
      <c r="M12" s="4865">
        <f t="shared" si="12"/>
        <v>1744</v>
      </c>
      <c r="N12" s="4865">
        <f t="shared" si="12"/>
        <v>1746</v>
      </c>
      <c r="O12" s="4865">
        <f>SUM(O13:O19)</f>
        <v>1745</v>
      </c>
      <c r="P12" s="1534"/>
      <c r="Q12" s="4866">
        <f t="shared" si="4"/>
        <v>1780.1666666666667</v>
      </c>
      <c r="S12" s="4867">
        <f t="shared" ref="S12:AA12" si="13">SUM(S13:S19)</f>
        <v>1743</v>
      </c>
      <c r="T12" s="4867">
        <f t="shared" si="13"/>
        <v>1753</v>
      </c>
      <c r="U12" s="4867">
        <f t="shared" si="13"/>
        <v>1765</v>
      </c>
      <c r="V12" s="4867">
        <f t="shared" si="13"/>
        <v>1800</v>
      </c>
      <c r="W12" s="4867">
        <f t="shared" si="13"/>
        <v>1804</v>
      </c>
      <c r="X12" s="4867">
        <f t="shared" si="13"/>
        <v>1794</v>
      </c>
      <c r="Y12" s="4865">
        <f t="shared" si="13"/>
        <v>1811</v>
      </c>
      <c r="Z12" s="4865">
        <f t="shared" si="13"/>
        <v>1825</v>
      </c>
      <c r="AA12" s="4865">
        <f t="shared" si="13"/>
        <v>1830</v>
      </c>
      <c r="AB12" s="4865">
        <v>1861</v>
      </c>
      <c r="AC12" s="4868">
        <v>1866</v>
      </c>
      <c r="AD12" s="4867">
        <v>1890</v>
      </c>
      <c r="AE12" s="1534"/>
      <c r="AF12" s="4869">
        <f t="shared" si="7"/>
        <v>1811.8333333333333</v>
      </c>
      <c r="AH12" s="4849">
        <v>1916</v>
      </c>
      <c r="AI12" s="4867">
        <v>1904</v>
      </c>
      <c r="AJ12" s="4865">
        <v>1911</v>
      </c>
      <c r="AK12" s="4867">
        <v>1908</v>
      </c>
      <c r="AL12" s="4865">
        <v>1901</v>
      </c>
      <c r="AM12" s="4865">
        <v>1886</v>
      </c>
      <c r="AN12" s="4865">
        <v>1860</v>
      </c>
      <c r="AO12" s="4865">
        <v>1836</v>
      </c>
      <c r="AP12" s="4865">
        <v>1833</v>
      </c>
      <c r="AQ12" s="4865">
        <v>1812</v>
      </c>
      <c r="AR12" s="4865">
        <v>1815</v>
      </c>
      <c r="AS12" s="4865">
        <v>1830</v>
      </c>
      <c r="AT12" s="1534"/>
      <c r="AU12" s="4869">
        <f t="shared" si="8"/>
        <v>1867.6666666666667</v>
      </c>
      <c r="AW12" s="4865">
        <v>1832</v>
      </c>
      <c r="AX12" s="4867">
        <v>1833</v>
      </c>
      <c r="AY12" s="4865"/>
      <c r="AZ12" s="4867"/>
      <c r="BA12" s="4865"/>
      <c r="BB12" s="4865"/>
      <c r="BC12" s="4865"/>
      <c r="BD12" s="4865"/>
      <c r="BE12" s="4865"/>
      <c r="BF12" s="4865"/>
      <c r="BG12" s="4865"/>
      <c r="BH12" s="4865"/>
      <c r="BI12" s="1534"/>
      <c r="BJ12" s="4869">
        <f t="shared" si="9"/>
        <v>1832.5</v>
      </c>
      <c r="BL12" s="4871">
        <f>AW12/$AW$4</f>
        <v>0.82933454051607058</v>
      </c>
      <c r="BM12" s="4872">
        <v>731</v>
      </c>
      <c r="BN12" s="4873">
        <f t="shared" si="6"/>
        <v>0.3990174672489083</v>
      </c>
      <c r="BO12" s="4874">
        <v>34.920349154391708</v>
      </c>
      <c r="BP12" s="4875">
        <v>6.2707082483240981</v>
      </c>
    </row>
    <row r="13" spans="1:68" x14ac:dyDescent="0.55000000000000004">
      <c r="A13" s="7179"/>
      <c r="B13" s="1067"/>
      <c r="C13" s="886" t="s">
        <v>195</v>
      </c>
      <c r="D13" s="559">
        <v>3</v>
      </c>
      <c r="E13" s="559">
        <v>3</v>
      </c>
      <c r="F13" s="559">
        <v>3</v>
      </c>
      <c r="G13" s="559">
        <v>3</v>
      </c>
      <c r="H13" s="559">
        <v>3</v>
      </c>
      <c r="I13" s="559">
        <v>3</v>
      </c>
      <c r="J13" s="559">
        <v>3</v>
      </c>
      <c r="K13" s="559">
        <v>3</v>
      </c>
      <c r="L13" s="559">
        <v>3</v>
      </c>
      <c r="M13" s="559">
        <v>3</v>
      </c>
      <c r="N13" s="559">
        <v>3</v>
      </c>
      <c r="O13" s="559">
        <v>3</v>
      </c>
      <c r="P13" s="886"/>
      <c r="Q13" s="4883">
        <f t="shared" si="4"/>
        <v>3</v>
      </c>
      <c r="S13" s="4884">
        <v>2</v>
      </c>
      <c r="T13" s="4884">
        <v>3</v>
      </c>
      <c r="U13" s="4884">
        <v>3</v>
      </c>
      <c r="V13" s="4884">
        <v>3</v>
      </c>
      <c r="W13" s="4884">
        <v>3</v>
      </c>
      <c r="X13" s="4884">
        <v>3</v>
      </c>
      <c r="Y13" s="4836">
        <v>3</v>
      </c>
      <c r="Z13" s="4836">
        <v>3</v>
      </c>
      <c r="AA13" s="4836">
        <v>3</v>
      </c>
      <c r="AB13" s="4836">
        <v>3</v>
      </c>
      <c r="AC13" s="4836">
        <v>3</v>
      </c>
      <c r="AD13" s="4884">
        <v>3</v>
      </c>
      <c r="AE13" s="886"/>
      <c r="AF13" s="1102">
        <f t="shared" si="7"/>
        <v>2.9166666666666665</v>
      </c>
      <c r="AH13" s="4836">
        <v>3</v>
      </c>
      <c r="AI13" s="4884">
        <v>1</v>
      </c>
      <c r="AJ13" s="4836">
        <v>1</v>
      </c>
      <c r="AK13" s="4884">
        <v>1</v>
      </c>
      <c r="AL13" s="4836">
        <v>1</v>
      </c>
      <c r="AM13" s="559">
        <v>1</v>
      </c>
      <c r="AN13" s="4836">
        <v>1</v>
      </c>
      <c r="AO13" s="4836">
        <v>1</v>
      </c>
      <c r="AP13" s="4836">
        <v>1</v>
      </c>
      <c r="AQ13" s="4836">
        <v>1</v>
      </c>
      <c r="AR13" s="4836">
        <v>1</v>
      </c>
      <c r="AS13" s="4836">
        <v>1</v>
      </c>
      <c r="AT13" s="886"/>
      <c r="AU13" s="1102">
        <f t="shared" si="8"/>
        <v>1.1666666666666667</v>
      </c>
      <c r="AW13" s="4836">
        <v>3</v>
      </c>
      <c r="AX13" s="4884">
        <v>3</v>
      </c>
      <c r="AY13" s="4836"/>
      <c r="AZ13" s="4884"/>
      <c r="BA13" s="4836"/>
      <c r="BC13" s="4836"/>
      <c r="BD13" s="4836"/>
      <c r="BE13" s="4836"/>
      <c r="BF13" s="4836"/>
      <c r="BG13" s="4836"/>
      <c r="BH13" s="4836"/>
      <c r="BI13" s="886"/>
      <c r="BJ13" s="1102">
        <f t="shared" si="9"/>
        <v>3</v>
      </c>
      <c r="BL13" s="4885">
        <f t="shared" ref="BL13:BL19" si="14">AW13/$AW$12</f>
        <v>1.6375545851528383E-3</v>
      </c>
      <c r="BM13" s="4879">
        <v>1</v>
      </c>
      <c r="BN13" s="4880">
        <f t="shared" si="6"/>
        <v>0.33333333333333331</v>
      </c>
      <c r="BO13" s="4881">
        <v>45.333333333333336</v>
      </c>
      <c r="BP13" s="4882">
        <v>17.357077625570778</v>
      </c>
    </row>
    <row r="14" spans="1:68" x14ac:dyDescent="0.55000000000000004">
      <c r="A14" s="7179"/>
      <c r="B14" s="594"/>
      <c r="C14" s="594" t="s">
        <v>171</v>
      </c>
      <c r="D14" s="559">
        <v>22</v>
      </c>
      <c r="E14" s="559">
        <v>22</v>
      </c>
      <c r="F14" s="559">
        <v>21</v>
      </c>
      <c r="G14" s="559">
        <v>21</v>
      </c>
      <c r="H14" s="559">
        <v>21</v>
      </c>
      <c r="I14" s="559">
        <v>21</v>
      </c>
      <c r="J14" s="559">
        <v>21</v>
      </c>
      <c r="K14" s="559">
        <v>21</v>
      </c>
      <c r="L14" s="559">
        <v>21</v>
      </c>
      <c r="M14" s="559">
        <v>21</v>
      </c>
      <c r="N14" s="559">
        <v>21</v>
      </c>
      <c r="O14" s="559">
        <v>21</v>
      </c>
      <c r="P14" s="594"/>
      <c r="Q14" s="4876">
        <f t="shared" si="4"/>
        <v>21.166666666666668</v>
      </c>
      <c r="S14" s="4877">
        <v>20</v>
      </c>
      <c r="T14" s="4877">
        <v>21</v>
      </c>
      <c r="U14" s="4877">
        <v>21</v>
      </c>
      <c r="V14" s="4877">
        <v>21</v>
      </c>
      <c r="W14" s="4877">
        <v>21</v>
      </c>
      <c r="X14" s="4877">
        <v>20</v>
      </c>
      <c r="Y14" s="4836">
        <v>20</v>
      </c>
      <c r="Z14" s="4836">
        <v>22</v>
      </c>
      <c r="AA14" s="4836">
        <v>22</v>
      </c>
      <c r="AB14" s="4836">
        <v>22</v>
      </c>
      <c r="AC14" s="4836">
        <v>22</v>
      </c>
      <c r="AD14" s="4877">
        <v>22</v>
      </c>
      <c r="AE14" s="594"/>
      <c r="AF14" s="2774">
        <f t="shared" si="7"/>
        <v>21.166666666666668</v>
      </c>
      <c r="AH14" s="4836">
        <v>22</v>
      </c>
      <c r="AI14" s="4877">
        <v>25</v>
      </c>
      <c r="AJ14" s="4836">
        <v>25</v>
      </c>
      <c r="AK14" s="4877">
        <v>25</v>
      </c>
      <c r="AL14" s="4836">
        <v>24</v>
      </c>
      <c r="AM14" s="559">
        <v>24</v>
      </c>
      <c r="AN14" s="4836">
        <v>24</v>
      </c>
      <c r="AO14" s="4836">
        <v>32</v>
      </c>
      <c r="AP14" s="4836">
        <v>32</v>
      </c>
      <c r="AQ14" s="4836">
        <v>31</v>
      </c>
      <c r="AR14" s="4836">
        <v>31</v>
      </c>
      <c r="AS14" s="4836">
        <v>31</v>
      </c>
      <c r="AT14" s="594"/>
      <c r="AU14" s="2774">
        <f t="shared" si="8"/>
        <v>27.166666666666668</v>
      </c>
      <c r="AW14" s="4836">
        <v>40</v>
      </c>
      <c r="AX14" s="4877">
        <v>40</v>
      </c>
      <c r="AY14" s="4836"/>
      <c r="AZ14" s="4877"/>
      <c r="BA14" s="4836"/>
      <c r="BC14" s="4836"/>
      <c r="BD14" s="4836"/>
      <c r="BE14" s="4836"/>
      <c r="BF14" s="4836"/>
      <c r="BG14" s="4836"/>
      <c r="BH14" s="4836"/>
      <c r="BI14" s="594"/>
      <c r="BJ14" s="2774">
        <f t="shared" si="9"/>
        <v>40</v>
      </c>
      <c r="BL14" s="4885">
        <f t="shared" si="14"/>
        <v>2.1834061135371178E-2</v>
      </c>
      <c r="BM14" s="4879">
        <v>5</v>
      </c>
      <c r="BN14" s="4880">
        <f t="shared" si="6"/>
        <v>0.125</v>
      </c>
      <c r="BO14" s="4881">
        <v>44.2</v>
      </c>
      <c r="BP14" s="4882">
        <v>16.031986301369862</v>
      </c>
    </row>
    <row r="15" spans="1:68" x14ac:dyDescent="0.55000000000000004">
      <c r="A15" s="7179"/>
      <c r="B15" s="594"/>
      <c r="C15" s="594" t="s">
        <v>173</v>
      </c>
      <c r="D15" s="559">
        <v>109</v>
      </c>
      <c r="E15" s="559">
        <v>108</v>
      </c>
      <c r="F15" s="559">
        <v>108</v>
      </c>
      <c r="G15" s="559">
        <v>105</v>
      </c>
      <c r="H15" s="559">
        <v>105</v>
      </c>
      <c r="I15" s="559">
        <v>105</v>
      </c>
      <c r="J15" s="559">
        <v>104</v>
      </c>
      <c r="K15" s="559">
        <v>103</v>
      </c>
      <c r="L15" s="559">
        <v>103</v>
      </c>
      <c r="M15" s="559">
        <v>103</v>
      </c>
      <c r="N15" s="559">
        <v>101</v>
      </c>
      <c r="O15" s="559">
        <v>100</v>
      </c>
      <c r="P15" s="594"/>
      <c r="Q15" s="4876">
        <f t="shared" si="4"/>
        <v>104.5</v>
      </c>
      <c r="S15" s="4877">
        <v>90</v>
      </c>
      <c r="T15" s="4877">
        <v>98</v>
      </c>
      <c r="U15" s="4877">
        <v>97</v>
      </c>
      <c r="V15" s="4877">
        <v>96</v>
      </c>
      <c r="W15" s="4877">
        <v>96</v>
      </c>
      <c r="X15" s="4877">
        <v>96</v>
      </c>
      <c r="Y15" s="4836">
        <v>95</v>
      </c>
      <c r="Z15" s="4836">
        <v>107</v>
      </c>
      <c r="AA15" s="4836">
        <v>107</v>
      </c>
      <c r="AB15" s="4836">
        <v>107</v>
      </c>
      <c r="AC15" s="4836">
        <v>107</v>
      </c>
      <c r="AD15" s="4877">
        <v>106</v>
      </c>
      <c r="AE15" s="594"/>
      <c r="AF15" s="2774">
        <f t="shared" si="7"/>
        <v>100.16666666666667</v>
      </c>
      <c r="AH15" s="4836">
        <v>106</v>
      </c>
      <c r="AI15" s="4877">
        <v>125</v>
      </c>
      <c r="AJ15" s="4836">
        <v>124</v>
      </c>
      <c r="AK15" s="4877">
        <v>124</v>
      </c>
      <c r="AL15" s="4836">
        <v>124</v>
      </c>
      <c r="AM15" s="559">
        <v>124</v>
      </c>
      <c r="AN15" s="4836">
        <v>122</v>
      </c>
      <c r="AO15" s="4836">
        <v>138</v>
      </c>
      <c r="AP15" s="4836">
        <v>137</v>
      </c>
      <c r="AQ15" s="4836">
        <v>136</v>
      </c>
      <c r="AR15" s="4836">
        <v>135</v>
      </c>
      <c r="AS15" s="4836">
        <v>133</v>
      </c>
      <c r="AT15" s="594"/>
      <c r="AU15" s="2774">
        <f t="shared" si="8"/>
        <v>127.33333333333333</v>
      </c>
      <c r="AW15" s="4836">
        <v>161</v>
      </c>
      <c r="AX15" s="4877">
        <v>161</v>
      </c>
      <c r="AY15" s="4836"/>
      <c r="AZ15" s="4877"/>
      <c r="BA15" s="4836"/>
      <c r="BC15" s="4836"/>
      <c r="BD15" s="4836"/>
      <c r="BE15" s="4836"/>
      <c r="BF15" s="4836"/>
      <c r="BG15" s="4836"/>
      <c r="BH15" s="4836"/>
      <c r="BI15" s="594"/>
      <c r="BJ15" s="2774">
        <f t="shared" si="9"/>
        <v>161</v>
      </c>
      <c r="BL15" s="4885">
        <f t="shared" si="14"/>
        <v>8.7882096069868992E-2</v>
      </c>
      <c r="BM15" s="4879">
        <v>42</v>
      </c>
      <c r="BN15" s="4880">
        <f t="shared" si="6"/>
        <v>0.2608695652173913</v>
      </c>
      <c r="BO15" s="4881">
        <v>40.87577639751553</v>
      </c>
      <c r="BP15" s="4882">
        <v>12.903462945630912</v>
      </c>
    </row>
    <row r="16" spans="1:68" x14ac:dyDescent="0.55000000000000004">
      <c r="A16" s="7179"/>
      <c r="B16" s="594"/>
      <c r="C16" s="886" t="s">
        <v>174</v>
      </c>
      <c r="D16" s="559">
        <v>332</v>
      </c>
      <c r="E16" s="559">
        <v>328</v>
      </c>
      <c r="F16" s="559">
        <v>328</v>
      </c>
      <c r="G16" s="559">
        <v>326</v>
      </c>
      <c r="H16" s="559">
        <v>320</v>
      </c>
      <c r="I16" s="559">
        <v>318</v>
      </c>
      <c r="J16" s="559">
        <v>315</v>
      </c>
      <c r="K16" s="559">
        <v>315</v>
      </c>
      <c r="L16" s="559">
        <v>314</v>
      </c>
      <c r="M16" s="559">
        <v>312</v>
      </c>
      <c r="N16" s="559">
        <v>309</v>
      </c>
      <c r="O16" s="559">
        <v>309</v>
      </c>
      <c r="P16" s="886"/>
      <c r="Q16" s="4883">
        <f t="shared" si="4"/>
        <v>318.83333333333331</v>
      </c>
      <c r="S16" s="4884">
        <v>284</v>
      </c>
      <c r="T16" s="4884">
        <v>308</v>
      </c>
      <c r="U16" s="4884">
        <v>307</v>
      </c>
      <c r="V16" s="4884">
        <v>311</v>
      </c>
      <c r="W16" s="4884">
        <v>308</v>
      </c>
      <c r="X16" s="4884">
        <v>309</v>
      </c>
      <c r="Y16" s="4836">
        <v>304</v>
      </c>
      <c r="Z16" s="4836">
        <v>328</v>
      </c>
      <c r="AA16" s="4836">
        <v>326</v>
      </c>
      <c r="AB16" s="4836">
        <v>324</v>
      </c>
      <c r="AC16" s="4836">
        <v>322</v>
      </c>
      <c r="AD16" s="4884">
        <v>322</v>
      </c>
      <c r="AE16" s="886"/>
      <c r="AF16" s="1102">
        <f t="shared" si="7"/>
        <v>312.75</v>
      </c>
      <c r="AH16" s="4836">
        <v>322</v>
      </c>
      <c r="AI16" s="4884">
        <v>348</v>
      </c>
      <c r="AJ16" s="4836">
        <v>344</v>
      </c>
      <c r="AK16" s="4884">
        <v>343</v>
      </c>
      <c r="AL16" s="4836">
        <v>344</v>
      </c>
      <c r="AM16" s="559">
        <v>340</v>
      </c>
      <c r="AN16" s="4836">
        <v>337</v>
      </c>
      <c r="AO16" s="4836">
        <v>349</v>
      </c>
      <c r="AP16" s="4836">
        <v>348</v>
      </c>
      <c r="AQ16" s="4836">
        <v>347</v>
      </c>
      <c r="AR16" s="4836">
        <v>345</v>
      </c>
      <c r="AS16" s="4836">
        <v>346</v>
      </c>
      <c r="AT16" s="886"/>
      <c r="AU16" s="1102">
        <f t="shared" si="8"/>
        <v>342.75</v>
      </c>
      <c r="AW16" s="4836">
        <v>389</v>
      </c>
      <c r="AX16" s="4884">
        <v>387</v>
      </c>
      <c r="AY16" s="4836"/>
      <c r="AZ16" s="4884"/>
      <c r="BA16" s="4836"/>
      <c r="BC16" s="4836"/>
      <c r="BD16" s="4836"/>
      <c r="BE16" s="4836"/>
      <c r="BF16" s="4836"/>
      <c r="BG16" s="4836"/>
      <c r="BH16" s="4836"/>
      <c r="BI16" s="886"/>
      <c r="BJ16" s="1102">
        <f t="shared" si="9"/>
        <v>388</v>
      </c>
      <c r="BL16" s="4885">
        <f t="shared" si="14"/>
        <v>0.21233624454148473</v>
      </c>
      <c r="BM16" s="4879">
        <v>173</v>
      </c>
      <c r="BN16" s="4880">
        <f t="shared" si="6"/>
        <v>0.44473007712082263</v>
      </c>
      <c r="BO16" s="4881">
        <v>38.496124031007753</v>
      </c>
      <c r="BP16" s="4882">
        <v>10.309312944674522</v>
      </c>
    </row>
    <row r="17" spans="1:68" x14ac:dyDescent="0.55000000000000004">
      <c r="A17" s="7179"/>
      <c r="B17" s="594"/>
      <c r="C17" s="886" t="s">
        <v>175</v>
      </c>
      <c r="D17" s="559">
        <v>549</v>
      </c>
      <c r="E17" s="559">
        <v>545</v>
      </c>
      <c r="F17" s="559">
        <v>543</v>
      </c>
      <c r="G17" s="559">
        <v>536</v>
      </c>
      <c r="H17" s="559">
        <v>535</v>
      </c>
      <c r="I17" s="559">
        <v>527</v>
      </c>
      <c r="J17" s="559">
        <v>521</v>
      </c>
      <c r="K17" s="559">
        <v>516</v>
      </c>
      <c r="L17" s="559">
        <v>513</v>
      </c>
      <c r="M17" s="559">
        <v>512</v>
      </c>
      <c r="N17" s="559">
        <v>508</v>
      </c>
      <c r="O17" s="559">
        <v>504</v>
      </c>
      <c r="P17" s="886"/>
      <c r="Q17" s="4883">
        <f t="shared" si="4"/>
        <v>525.75</v>
      </c>
      <c r="S17" s="4884">
        <v>478</v>
      </c>
      <c r="T17" s="4884">
        <v>501</v>
      </c>
      <c r="U17" s="4884">
        <v>499</v>
      </c>
      <c r="V17" s="4884">
        <v>503</v>
      </c>
      <c r="W17" s="4884">
        <v>503</v>
      </c>
      <c r="X17" s="4884">
        <v>492</v>
      </c>
      <c r="Y17" s="4836">
        <v>500</v>
      </c>
      <c r="Z17" s="4836">
        <v>525</v>
      </c>
      <c r="AA17" s="4836">
        <v>518</v>
      </c>
      <c r="AB17" s="4836">
        <v>521</v>
      </c>
      <c r="AC17" s="4836">
        <v>522</v>
      </c>
      <c r="AD17" s="4884">
        <v>522</v>
      </c>
      <c r="AE17" s="886"/>
      <c r="AF17" s="1102">
        <f t="shared" si="7"/>
        <v>507</v>
      </c>
      <c r="AH17" s="4836">
        <v>518</v>
      </c>
      <c r="AI17" s="4884">
        <v>544</v>
      </c>
      <c r="AJ17" s="4836">
        <v>543</v>
      </c>
      <c r="AK17" s="4884">
        <v>536</v>
      </c>
      <c r="AL17" s="4836">
        <v>529</v>
      </c>
      <c r="AM17" s="559">
        <v>522</v>
      </c>
      <c r="AN17" s="4837">
        <v>519</v>
      </c>
      <c r="AO17" s="4836">
        <v>553</v>
      </c>
      <c r="AP17" s="4836">
        <v>542</v>
      </c>
      <c r="AQ17" s="4836">
        <v>542</v>
      </c>
      <c r="AR17" s="4836">
        <v>534</v>
      </c>
      <c r="AS17" s="4836">
        <v>530</v>
      </c>
      <c r="AT17" s="886"/>
      <c r="AU17" s="1102">
        <f t="shared" si="8"/>
        <v>534.33333333333337</v>
      </c>
      <c r="AW17" s="4836">
        <v>520</v>
      </c>
      <c r="AX17" s="4884">
        <v>516</v>
      </c>
      <c r="AY17" s="4836"/>
      <c r="AZ17" s="4884"/>
      <c r="BA17" s="4836"/>
      <c r="BC17" s="4837"/>
      <c r="BD17" s="4836"/>
      <c r="BE17" s="4836"/>
      <c r="BF17" s="4836"/>
      <c r="BG17" s="4836"/>
      <c r="BH17" s="4836"/>
      <c r="BI17" s="886"/>
      <c r="BJ17" s="1102">
        <f t="shared" si="9"/>
        <v>518</v>
      </c>
      <c r="BL17" s="4885">
        <f t="shared" si="14"/>
        <v>0.28384279475982532</v>
      </c>
      <c r="BM17" s="4879">
        <v>227</v>
      </c>
      <c r="BN17" s="4880">
        <f t="shared" si="6"/>
        <v>0.43653846153846154</v>
      </c>
      <c r="BO17" s="4881">
        <v>35.354651162790695</v>
      </c>
      <c r="BP17" s="4882">
        <v>6.475061059785495</v>
      </c>
    </row>
    <row r="18" spans="1:68" x14ac:dyDescent="0.55000000000000004">
      <c r="A18" s="7179"/>
      <c r="B18" s="1550"/>
      <c r="C18" s="886" t="s">
        <v>176</v>
      </c>
      <c r="D18" s="559">
        <v>787</v>
      </c>
      <c r="E18" s="559">
        <v>793</v>
      </c>
      <c r="F18" s="559">
        <v>787</v>
      </c>
      <c r="G18" s="559">
        <v>791</v>
      </c>
      <c r="H18" s="559">
        <v>797</v>
      </c>
      <c r="I18" s="559">
        <v>791</v>
      </c>
      <c r="J18" s="559">
        <v>790</v>
      </c>
      <c r="K18" s="559">
        <v>781</v>
      </c>
      <c r="L18" s="559">
        <v>769</v>
      </c>
      <c r="M18" s="559">
        <v>774</v>
      </c>
      <c r="N18" s="559">
        <v>782</v>
      </c>
      <c r="O18" s="559">
        <v>782</v>
      </c>
      <c r="P18" s="886"/>
      <c r="Q18" s="4883">
        <f t="shared" si="4"/>
        <v>785.33333333333337</v>
      </c>
      <c r="S18" s="4884">
        <v>786</v>
      </c>
      <c r="T18" s="4884">
        <v>716</v>
      </c>
      <c r="U18" s="4884">
        <v>707</v>
      </c>
      <c r="V18" s="4884">
        <v>730</v>
      </c>
      <c r="W18" s="4884">
        <v>741</v>
      </c>
      <c r="X18" s="4884">
        <v>762</v>
      </c>
      <c r="Y18" s="4836">
        <v>770</v>
      </c>
      <c r="Z18" s="4836">
        <v>730</v>
      </c>
      <c r="AA18" s="4836">
        <v>735</v>
      </c>
      <c r="AB18" s="4836">
        <v>744</v>
      </c>
      <c r="AC18" s="4836">
        <v>748</v>
      </c>
      <c r="AD18" s="4884">
        <v>763</v>
      </c>
      <c r="AE18" s="886"/>
      <c r="AF18" s="1102">
        <f t="shared" si="7"/>
        <v>744.33333333333337</v>
      </c>
      <c r="AH18" s="4836">
        <v>810</v>
      </c>
      <c r="AI18" s="4884">
        <v>860</v>
      </c>
      <c r="AJ18" s="4836">
        <v>874</v>
      </c>
      <c r="AK18" s="4884">
        <v>879</v>
      </c>
      <c r="AL18" s="4836">
        <v>879</v>
      </c>
      <c r="AM18" s="559">
        <v>875</v>
      </c>
      <c r="AN18" s="4836">
        <v>857</v>
      </c>
      <c r="AO18" s="4836">
        <v>763</v>
      </c>
      <c r="AP18" s="4836">
        <v>772</v>
      </c>
      <c r="AQ18" s="4836">
        <v>754</v>
      </c>
      <c r="AR18" s="4836">
        <v>769</v>
      </c>
      <c r="AS18" s="4836">
        <v>789</v>
      </c>
      <c r="AT18" s="886"/>
      <c r="AU18" s="1102">
        <f t="shared" si="8"/>
        <v>823.41666666666663</v>
      </c>
      <c r="AW18" s="4836">
        <v>719</v>
      </c>
      <c r="AX18" s="4884">
        <v>726</v>
      </c>
      <c r="AY18" s="4836"/>
      <c r="AZ18" s="4884"/>
      <c r="BA18" s="4836"/>
      <c r="BC18" s="4836"/>
      <c r="BD18" s="4836"/>
      <c r="BE18" s="4836"/>
      <c r="BF18" s="4836"/>
      <c r="BG18" s="4836"/>
      <c r="BH18" s="4836"/>
      <c r="BI18" s="886"/>
      <c r="BJ18" s="1102">
        <f t="shared" si="9"/>
        <v>722.5</v>
      </c>
      <c r="BL18" s="4885">
        <f t="shared" si="14"/>
        <v>0.39246724890829693</v>
      </c>
      <c r="BM18" s="4879">
        <v>283</v>
      </c>
      <c r="BN18" s="4880">
        <f t="shared" si="6"/>
        <v>0.39360222531293465</v>
      </c>
      <c r="BO18" s="4881">
        <v>30.830578512396695</v>
      </c>
      <c r="BP18" s="4882">
        <v>1.9181327597267783</v>
      </c>
    </row>
    <row r="19" spans="1:68" x14ac:dyDescent="0.55000000000000004">
      <c r="A19" s="7179"/>
      <c r="B19" s="1550"/>
      <c r="C19" s="886" t="s">
        <v>196</v>
      </c>
      <c r="D19" s="559">
        <v>29</v>
      </c>
      <c r="E19" s="559">
        <v>26</v>
      </c>
      <c r="F19" s="559">
        <v>21</v>
      </c>
      <c r="G19" s="559">
        <v>15</v>
      </c>
      <c r="H19" s="559">
        <v>22</v>
      </c>
      <c r="I19" s="559">
        <v>21</v>
      </c>
      <c r="J19" s="559">
        <v>18</v>
      </c>
      <c r="K19" s="559">
        <v>23</v>
      </c>
      <c r="L19" s="559">
        <v>17</v>
      </c>
      <c r="M19" s="559">
        <v>19</v>
      </c>
      <c r="N19" s="559">
        <v>22</v>
      </c>
      <c r="O19" s="559">
        <v>26</v>
      </c>
      <c r="P19" s="886"/>
      <c r="Q19" s="4883">
        <f t="shared" si="4"/>
        <v>21.583333333333332</v>
      </c>
      <c r="S19" s="4884">
        <v>83</v>
      </c>
      <c r="T19" s="4884">
        <v>106</v>
      </c>
      <c r="U19" s="4884">
        <v>131</v>
      </c>
      <c r="V19" s="4884">
        <v>136</v>
      </c>
      <c r="W19" s="4884">
        <v>132</v>
      </c>
      <c r="X19" s="4884">
        <v>112</v>
      </c>
      <c r="Y19" s="4836">
        <v>119</v>
      </c>
      <c r="Z19" s="4836">
        <v>110</v>
      </c>
      <c r="AA19" s="4836">
        <v>119</v>
      </c>
      <c r="AB19" s="4836">
        <v>140</v>
      </c>
      <c r="AC19" s="4836">
        <v>142</v>
      </c>
      <c r="AD19" s="4884">
        <v>152</v>
      </c>
      <c r="AE19" s="886"/>
      <c r="AF19" s="1102">
        <f t="shared" si="7"/>
        <v>123.5</v>
      </c>
      <c r="AH19" s="4836">
        <v>135</v>
      </c>
      <c r="AI19" s="4884">
        <v>1</v>
      </c>
      <c r="AJ19" s="4836"/>
      <c r="AK19" s="4884"/>
      <c r="AL19" s="4836"/>
      <c r="AM19" s="4836"/>
      <c r="AN19" s="4836"/>
      <c r="AO19" s="4836"/>
      <c r="AP19" s="4836">
        <v>1</v>
      </c>
      <c r="AQ19" s="4836">
        <v>1</v>
      </c>
      <c r="AR19" s="4836"/>
      <c r="AS19" s="4836"/>
      <c r="AT19" s="886"/>
      <c r="AU19" s="1102">
        <f t="shared" si="8"/>
        <v>34.5</v>
      </c>
      <c r="AW19" s="4836">
        <v>0</v>
      </c>
      <c r="AX19" s="4884"/>
      <c r="AY19" s="4836"/>
      <c r="AZ19" s="4884"/>
      <c r="BA19" s="4836"/>
      <c r="BB19" s="4836"/>
      <c r="BC19" s="4836"/>
      <c r="BD19" s="4836"/>
      <c r="BE19" s="4836"/>
      <c r="BF19" s="4836"/>
      <c r="BG19" s="4836"/>
      <c r="BH19" s="4836"/>
      <c r="BI19" s="886"/>
      <c r="BJ19" s="1102">
        <f t="shared" si="9"/>
        <v>0</v>
      </c>
      <c r="BL19" s="4885">
        <f t="shared" si="14"/>
        <v>0</v>
      </c>
      <c r="BM19" s="4879"/>
      <c r="BN19" s="4880"/>
      <c r="BO19" s="4881"/>
      <c r="BP19" s="4882"/>
    </row>
    <row r="20" spans="1:68" x14ac:dyDescent="0.55000000000000004">
      <c r="A20" s="7179"/>
      <c r="B20" s="1533" t="s">
        <v>179</v>
      </c>
      <c r="C20" s="1534"/>
      <c r="D20" s="4886">
        <v>124</v>
      </c>
      <c r="E20" s="4886">
        <v>121</v>
      </c>
      <c r="F20" s="4886">
        <v>121</v>
      </c>
      <c r="G20" s="4886">
        <v>121</v>
      </c>
      <c r="H20" s="4886">
        <v>120</v>
      </c>
      <c r="I20" s="4886">
        <v>120</v>
      </c>
      <c r="J20" s="4886">
        <v>119</v>
      </c>
      <c r="K20" s="4886">
        <v>114</v>
      </c>
      <c r="L20" s="4886">
        <v>117</v>
      </c>
      <c r="M20" s="4886">
        <v>116</v>
      </c>
      <c r="N20" s="4886">
        <v>116</v>
      </c>
      <c r="O20" s="4886">
        <v>118</v>
      </c>
      <c r="P20" s="1534"/>
      <c r="Q20" s="4866">
        <f t="shared" si="4"/>
        <v>118.91666666666667</v>
      </c>
      <c r="S20" s="4867">
        <v>123</v>
      </c>
      <c r="T20" s="4867">
        <v>122</v>
      </c>
      <c r="U20" s="4867">
        <v>119</v>
      </c>
      <c r="V20" s="4867">
        <v>116</v>
      </c>
      <c r="W20" s="4867">
        <v>116</v>
      </c>
      <c r="X20" s="4867">
        <v>116</v>
      </c>
      <c r="Y20" s="4865">
        <v>108</v>
      </c>
      <c r="Z20" s="4865">
        <v>98</v>
      </c>
      <c r="AA20" s="4865">
        <v>102</v>
      </c>
      <c r="AB20" s="4865">
        <v>95</v>
      </c>
      <c r="AC20" s="4868">
        <v>106</v>
      </c>
      <c r="AD20" s="4867">
        <v>116</v>
      </c>
      <c r="AE20" s="1534"/>
      <c r="AF20" s="4869">
        <f t="shared" si="7"/>
        <v>111.41666666666667</v>
      </c>
      <c r="AH20" s="4870">
        <v>122</v>
      </c>
      <c r="AI20" s="4867">
        <v>126</v>
      </c>
      <c r="AJ20" s="4865">
        <v>133</v>
      </c>
      <c r="AK20" s="4867">
        <v>143</v>
      </c>
      <c r="AL20" s="4865">
        <v>146</v>
      </c>
      <c r="AM20" s="4865">
        <v>147</v>
      </c>
      <c r="AN20" s="4865">
        <v>150</v>
      </c>
      <c r="AO20" s="4865">
        <v>149</v>
      </c>
      <c r="AP20" s="4865">
        <v>148</v>
      </c>
      <c r="AQ20" s="4865">
        <v>146</v>
      </c>
      <c r="AR20" s="4865">
        <v>146</v>
      </c>
      <c r="AS20" s="4865">
        <v>145</v>
      </c>
      <c r="AT20" s="1534"/>
      <c r="AU20" s="4869">
        <f t="shared" si="8"/>
        <v>141.75</v>
      </c>
      <c r="AW20" s="4870">
        <v>153</v>
      </c>
      <c r="AX20" s="4867">
        <v>150</v>
      </c>
      <c r="AY20" s="4865"/>
      <c r="AZ20" s="4867"/>
      <c r="BA20" s="4865"/>
      <c r="BB20" s="4865"/>
      <c r="BC20" s="4865"/>
      <c r="BD20" s="4865"/>
      <c r="BE20" s="4865"/>
      <c r="BF20" s="4865"/>
      <c r="BG20" s="4865"/>
      <c r="BH20" s="4865"/>
      <c r="BI20" s="1534"/>
      <c r="BJ20" s="4869">
        <f t="shared" si="9"/>
        <v>151.5</v>
      </c>
      <c r="BL20" s="4871">
        <f>AW20/$AW$4</f>
        <v>6.9262109551833415E-2</v>
      </c>
      <c r="BM20" s="4872">
        <v>90</v>
      </c>
      <c r="BN20" s="4873">
        <f>BM20/AW20</f>
        <v>0.58823529411764708</v>
      </c>
      <c r="BO20" s="4874">
        <v>38.880000000000003</v>
      </c>
      <c r="BP20" s="4875">
        <v>4.5600730593607306</v>
      </c>
    </row>
    <row r="21" spans="1:68" ht="15.45" thickBot="1" x14ac:dyDescent="0.6">
      <c r="A21" s="7436"/>
      <c r="B21" s="1551" t="s">
        <v>238</v>
      </c>
      <c r="C21" s="1552"/>
      <c r="D21" s="1552">
        <v>26</v>
      </c>
      <c r="E21" s="1552">
        <v>31</v>
      </c>
      <c r="F21" s="1552">
        <v>33</v>
      </c>
      <c r="G21" s="1552">
        <v>34</v>
      </c>
      <c r="H21" s="1552">
        <v>42</v>
      </c>
      <c r="I21" s="1552">
        <v>40</v>
      </c>
      <c r="J21" s="1552">
        <v>41</v>
      </c>
      <c r="K21" s="1552">
        <v>43</v>
      </c>
      <c r="L21" s="1552">
        <v>46</v>
      </c>
      <c r="M21" s="1552">
        <v>47</v>
      </c>
      <c r="N21" s="1552">
        <v>47</v>
      </c>
      <c r="O21" s="1552">
        <v>39</v>
      </c>
      <c r="P21" s="1552"/>
      <c r="Q21" s="4887">
        <f t="shared" si="4"/>
        <v>39.083333333333336</v>
      </c>
      <c r="S21" s="4888">
        <v>41</v>
      </c>
      <c r="T21" s="4888">
        <v>43</v>
      </c>
      <c r="U21" s="4888">
        <v>45</v>
      </c>
      <c r="V21" s="4888">
        <v>46</v>
      </c>
      <c r="W21" s="4888">
        <v>49</v>
      </c>
      <c r="X21" s="4888">
        <v>46</v>
      </c>
      <c r="Y21" s="4888">
        <v>52</v>
      </c>
      <c r="Z21" s="4888">
        <v>55</v>
      </c>
      <c r="AA21" s="4888">
        <v>55</v>
      </c>
      <c r="AB21" s="4888">
        <v>50</v>
      </c>
      <c r="AC21" s="4889">
        <v>47</v>
      </c>
      <c r="AD21" s="4888">
        <v>50</v>
      </c>
      <c r="AE21" s="1552"/>
      <c r="AF21" s="4890">
        <f t="shared" si="7"/>
        <v>48.25</v>
      </c>
      <c r="AH21" s="4891">
        <v>52</v>
      </c>
      <c r="AI21" s="4888">
        <v>53</v>
      </c>
      <c r="AJ21" s="4888">
        <v>52</v>
      </c>
      <c r="AK21" s="4888">
        <v>51</v>
      </c>
      <c r="AL21" s="4888">
        <v>48</v>
      </c>
      <c r="AM21" s="4888">
        <v>45</v>
      </c>
      <c r="AN21" s="4888">
        <v>41</v>
      </c>
      <c r="AO21" s="4888">
        <v>38</v>
      </c>
      <c r="AP21" s="4888">
        <v>36</v>
      </c>
      <c r="AQ21" s="4888">
        <v>37</v>
      </c>
      <c r="AR21" s="4888">
        <v>35</v>
      </c>
      <c r="AS21" s="4888">
        <v>33</v>
      </c>
      <c r="AT21" s="1552"/>
      <c r="AU21" s="4890">
        <f t="shared" si="8"/>
        <v>43.416666666666664</v>
      </c>
      <c r="AW21" s="4891">
        <v>32</v>
      </c>
      <c r="AX21" s="4888">
        <v>32</v>
      </c>
      <c r="AY21" s="4888"/>
      <c r="AZ21" s="4888"/>
      <c r="BA21" s="4888"/>
      <c r="BB21" s="4888"/>
      <c r="BC21" s="4888"/>
      <c r="BD21" s="4888"/>
      <c r="BE21" s="4888"/>
      <c r="BF21" s="4888"/>
      <c r="BG21" s="4888"/>
      <c r="BH21" s="4888"/>
      <c r="BI21" s="1552"/>
      <c r="BJ21" s="4890">
        <f t="shared" si="9"/>
        <v>32</v>
      </c>
      <c r="BL21" s="4892">
        <f>AW21/$AW$4</f>
        <v>1.4486192847442281E-2</v>
      </c>
      <c r="BM21" s="4893">
        <v>17</v>
      </c>
      <c r="BN21" s="4894">
        <f>BM21/AW21</f>
        <v>0.53125</v>
      </c>
      <c r="BO21" s="4895">
        <v>46.375</v>
      </c>
      <c r="BP21" s="4896">
        <v>2.0385273972602738</v>
      </c>
    </row>
    <row r="22" spans="1:68" x14ac:dyDescent="0.55000000000000004">
      <c r="A22" s="7179" t="s">
        <v>182</v>
      </c>
      <c r="B22" s="1533" t="s">
        <v>183</v>
      </c>
      <c r="C22" s="1534"/>
      <c r="D22" s="4865">
        <f t="shared" ref="D22:N22" si="15">SUM(D23:D30)</f>
        <v>333</v>
      </c>
      <c r="E22" s="4865">
        <f t="shared" si="15"/>
        <v>329</v>
      </c>
      <c r="F22" s="4865">
        <f t="shared" si="15"/>
        <v>325</v>
      </c>
      <c r="G22" s="4865">
        <f t="shared" si="15"/>
        <v>325</v>
      </c>
      <c r="H22" s="4865">
        <f t="shared" si="15"/>
        <v>325</v>
      </c>
      <c r="I22" s="4865">
        <f t="shared" si="15"/>
        <v>319</v>
      </c>
      <c r="J22" s="4865">
        <f t="shared" si="15"/>
        <v>325</v>
      </c>
      <c r="K22" s="4865">
        <f t="shared" si="15"/>
        <v>320</v>
      </c>
      <c r="L22" s="4865">
        <f t="shared" si="15"/>
        <v>324</v>
      </c>
      <c r="M22" s="4865">
        <f t="shared" si="15"/>
        <v>323</v>
      </c>
      <c r="N22" s="4865">
        <f t="shared" si="15"/>
        <v>322</v>
      </c>
      <c r="O22" s="4865">
        <f>SUM(O23:O30)</f>
        <v>325</v>
      </c>
      <c r="P22" s="1534"/>
      <c r="Q22" s="4866">
        <f t="shared" si="4"/>
        <v>324.58333333333331</v>
      </c>
      <c r="S22" s="4867">
        <f t="shared" ref="S22:X22" si="16">SUM(S23:S30)</f>
        <v>345</v>
      </c>
      <c r="T22" s="4867">
        <f t="shared" si="16"/>
        <v>336</v>
      </c>
      <c r="U22" s="4867">
        <f t="shared" si="16"/>
        <v>338</v>
      </c>
      <c r="V22" s="4867">
        <f t="shared" si="16"/>
        <v>328</v>
      </c>
      <c r="W22" s="4867">
        <f t="shared" si="16"/>
        <v>327</v>
      </c>
      <c r="X22" s="4867">
        <f t="shared" si="16"/>
        <v>329</v>
      </c>
      <c r="Y22" s="4865">
        <f>SUM(Y23:Y30)</f>
        <v>335</v>
      </c>
      <c r="Z22" s="4865">
        <f>SUM(Z23:Z30)</f>
        <v>345</v>
      </c>
      <c r="AA22" s="4865">
        <f>SUM(AA23:AA30)</f>
        <v>351</v>
      </c>
      <c r="AB22" s="4865">
        <f>SUM(AB23:AB30)</f>
        <v>345</v>
      </c>
      <c r="AC22" s="4868">
        <v>352</v>
      </c>
      <c r="AD22" s="4867">
        <v>361</v>
      </c>
      <c r="AE22" s="1534"/>
      <c r="AF22" s="4869">
        <f t="shared" si="7"/>
        <v>341</v>
      </c>
      <c r="AH22" s="4870">
        <v>370</v>
      </c>
      <c r="AI22" s="4867">
        <v>379</v>
      </c>
      <c r="AJ22" s="4865">
        <v>382</v>
      </c>
      <c r="AK22" s="4867">
        <v>391</v>
      </c>
      <c r="AL22" s="4865">
        <v>403</v>
      </c>
      <c r="AM22" s="4865">
        <v>403</v>
      </c>
      <c r="AN22" s="4865">
        <v>397</v>
      </c>
      <c r="AO22" s="4870">
        <v>397</v>
      </c>
      <c r="AP22" s="4865">
        <v>408</v>
      </c>
      <c r="AQ22" s="4865">
        <v>404</v>
      </c>
      <c r="AR22" s="4865">
        <v>405</v>
      </c>
      <c r="AS22" s="4865">
        <v>417</v>
      </c>
      <c r="AT22" s="1534"/>
      <c r="AU22" s="4869">
        <f t="shared" si="8"/>
        <v>396.33333333333331</v>
      </c>
      <c r="AW22" s="4870">
        <v>425</v>
      </c>
      <c r="AX22" s="4867">
        <v>425</v>
      </c>
      <c r="AY22" s="4865"/>
      <c r="AZ22" s="4867"/>
      <c r="BA22" s="4865"/>
      <c r="BB22" s="4865"/>
      <c r="BC22" s="4865"/>
      <c r="BD22" s="4870"/>
      <c r="BE22" s="4865"/>
      <c r="BF22" s="4865"/>
      <c r="BG22" s="4865"/>
      <c r="BH22" s="4865"/>
      <c r="BI22" s="1534"/>
      <c r="BJ22" s="4869">
        <f t="shared" si="9"/>
        <v>425</v>
      </c>
      <c r="BL22" s="4871">
        <f>AW22/$AW$4</f>
        <v>0.1923947487550928</v>
      </c>
      <c r="BM22" s="4872">
        <v>200</v>
      </c>
      <c r="BN22" s="4873">
        <f>BM22/AW22</f>
        <v>0.47058823529411764</v>
      </c>
      <c r="BO22" s="4874">
        <v>39.510588235294115</v>
      </c>
      <c r="BP22" s="4875">
        <v>7.5671490733279514</v>
      </c>
    </row>
    <row r="23" spans="1:68" x14ac:dyDescent="0.55000000000000004">
      <c r="A23" s="7179"/>
      <c r="B23" s="594"/>
      <c r="C23" s="886" t="s">
        <v>184</v>
      </c>
      <c r="D23" s="559">
        <v>1</v>
      </c>
      <c r="E23" s="559">
        <v>1</v>
      </c>
      <c r="F23" s="559">
        <v>1</v>
      </c>
      <c r="G23" s="559">
        <v>1</v>
      </c>
      <c r="H23" s="559">
        <v>1</v>
      </c>
      <c r="I23" s="559">
        <v>1</v>
      </c>
      <c r="J23" s="559">
        <v>1</v>
      </c>
      <c r="K23" s="559">
        <v>1</v>
      </c>
      <c r="L23" s="559">
        <v>1</v>
      </c>
      <c r="M23" s="559">
        <v>1</v>
      </c>
      <c r="N23" s="559">
        <v>1</v>
      </c>
      <c r="O23" s="559">
        <v>1</v>
      </c>
      <c r="P23" s="886"/>
      <c r="Q23" s="4883">
        <f t="shared" si="4"/>
        <v>1</v>
      </c>
      <c r="S23" s="4884">
        <v>1</v>
      </c>
      <c r="T23" s="4884">
        <v>1</v>
      </c>
      <c r="U23" s="4884">
        <v>1</v>
      </c>
      <c r="V23" s="4884">
        <v>1</v>
      </c>
      <c r="W23" s="4884">
        <v>1</v>
      </c>
      <c r="X23" s="4884">
        <v>1</v>
      </c>
      <c r="Y23" s="4836">
        <v>1</v>
      </c>
      <c r="Z23" s="4836">
        <v>1</v>
      </c>
      <c r="AA23" s="4836">
        <v>1</v>
      </c>
      <c r="AB23" s="4836">
        <v>1</v>
      </c>
      <c r="AC23" s="4836">
        <v>1</v>
      </c>
      <c r="AD23" s="4884">
        <v>1</v>
      </c>
      <c r="AE23" s="886"/>
      <c r="AF23" s="1102">
        <f t="shared" si="7"/>
        <v>1</v>
      </c>
      <c r="AH23" s="4836">
        <v>1</v>
      </c>
      <c r="AI23" s="4884">
        <v>1</v>
      </c>
      <c r="AJ23" s="4836">
        <v>1</v>
      </c>
      <c r="AK23" s="4884">
        <v>1</v>
      </c>
      <c r="AL23" s="4836">
        <v>1</v>
      </c>
      <c r="AM23" s="4836">
        <v>1</v>
      </c>
      <c r="AN23" s="4836">
        <v>1</v>
      </c>
      <c r="AO23" s="4836">
        <v>1</v>
      </c>
      <c r="AP23" s="4836">
        <v>1</v>
      </c>
      <c r="AQ23" s="4836">
        <v>1</v>
      </c>
      <c r="AR23" s="4836">
        <v>1</v>
      </c>
      <c r="AS23" s="4884">
        <v>1</v>
      </c>
      <c r="AT23" s="886"/>
      <c r="AU23" s="1102">
        <f t="shared" si="8"/>
        <v>1</v>
      </c>
      <c r="AW23" s="4836">
        <v>1</v>
      </c>
      <c r="AX23" s="4884">
        <v>1</v>
      </c>
      <c r="AY23" s="4836"/>
      <c r="AZ23" s="4884"/>
      <c r="BA23" s="4836"/>
      <c r="BB23" s="4836"/>
      <c r="BC23" s="4836"/>
      <c r="BD23" s="4836"/>
      <c r="BE23" s="4836"/>
      <c r="BF23" s="4836"/>
      <c r="BG23" s="4836"/>
      <c r="BH23" s="4884"/>
      <c r="BI23" s="886"/>
      <c r="BJ23" s="1102">
        <f t="shared" si="9"/>
        <v>1</v>
      </c>
      <c r="BL23" s="4878">
        <f>AW23/$AW$22</f>
        <v>2.352941176470588E-3</v>
      </c>
      <c r="BM23" s="4879">
        <v>0</v>
      </c>
      <c r="BN23" s="4880">
        <f>BM23/AW23</f>
        <v>0</v>
      </c>
      <c r="BO23" s="4881">
        <v>60</v>
      </c>
      <c r="BP23" s="4882">
        <v>1.2438356164383562</v>
      </c>
    </row>
    <row r="24" spans="1:68" x14ac:dyDescent="0.55000000000000004">
      <c r="A24" s="7179"/>
      <c r="B24" s="594"/>
      <c r="C24" s="886" t="s">
        <v>185</v>
      </c>
      <c r="D24" s="559">
        <v>36</v>
      </c>
      <c r="E24" s="559">
        <v>36</v>
      </c>
      <c r="F24" s="559">
        <v>35</v>
      </c>
      <c r="G24" s="559">
        <v>33</v>
      </c>
      <c r="H24" s="559">
        <v>33</v>
      </c>
      <c r="I24" s="559">
        <v>31</v>
      </c>
      <c r="J24" s="559">
        <v>34</v>
      </c>
      <c r="K24" s="559">
        <v>34</v>
      </c>
      <c r="L24" s="559">
        <v>34</v>
      </c>
      <c r="M24" s="559">
        <v>34</v>
      </c>
      <c r="N24" s="559">
        <v>34</v>
      </c>
      <c r="O24" s="559">
        <v>35</v>
      </c>
      <c r="P24" s="886"/>
      <c r="Q24" s="4883">
        <f t="shared" si="4"/>
        <v>34.083333333333336</v>
      </c>
      <c r="S24" s="4884">
        <v>36</v>
      </c>
      <c r="T24" s="4884">
        <v>35</v>
      </c>
      <c r="U24" s="4884">
        <v>35</v>
      </c>
      <c r="V24" s="4884">
        <v>34</v>
      </c>
      <c r="W24" s="4884">
        <v>34</v>
      </c>
      <c r="X24" s="4884">
        <v>36</v>
      </c>
      <c r="Y24" s="4836">
        <v>35</v>
      </c>
      <c r="Z24" s="4836">
        <v>35</v>
      </c>
      <c r="AA24" s="4836">
        <v>36</v>
      </c>
      <c r="AB24" s="4836">
        <v>21</v>
      </c>
      <c r="AC24" s="4836">
        <v>22</v>
      </c>
      <c r="AD24" s="4884">
        <v>21</v>
      </c>
      <c r="AE24" s="886"/>
      <c r="AF24" s="1102">
        <f t="shared" si="7"/>
        <v>31.666666666666668</v>
      </c>
      <c r="AH24" s="4836">
        <v>43</v>
      </c>
      <c r="AI24" s="4884">
        <v>43</v>
      </c>
      <c r="AJ24" s="4836">
        <v>42</v>
      </c>
      <c r="AK24" s="4884">
        <v>41</v>
      </c>
      <c r="AL24" s="4836">
        <v>41</v>
      </c>
      <c r="AM24" s="4836">
        <v>42</v>
      </c>
      <c r="AN24" s="4836">
        <v>41</v>
      </c>
      <c r="AO24" s="4836">
        <v>42</v>
      </c>
      <c r="AP24" s="4836">
        <v>53</v>
      </c>
      <c r="AQ24" s="4836">
        <v>44</v>
      </c>
      <c r="AR24" s="4836">
        <v>43</v>
      </c>
      <c r="AS24" s="4884">
        <v>42</v>
      </c>
      <c r="AT24" s="886"/>
      <c r="AU24" s="1102">
        <f t="shared" si="8"/>
        <v>43.083333333333336</v>
      </c>
      <c r="AW24" s="4836">
        <v>42</v>
      </c>
      <c r="AX24" s="4884">
        <v>42</v>
      </c>
      <c r="AY24" s="4836"/>
      <c r="AZ24" s="4884"/>
      <c r="BA24" s="4836"/>
      <c r="BB24" s="4836"/>
      <c r="BC24" s="4836"/>
      <c r="BD24" s="4836"/>
      <c r="BE24" s="4836"/>
      <c r="BF24" s="4836"/>
      <c r="BG24" s="4836"/>
      <c r="BH24" s="4884"/>
      <c r="BI24" s="886"/>
      <c r="BJ24" s="1102">
        <f t="shared" si="9"/>
        <v>42</v>
      </c>
      <c r="BL24" s="4878">
        <f>AW24/$AW$22</f>
        <v>9.8823529411764699E-2</v>
      </c>
      <c r="BM24" s="4879">
        <v>13</v>
      </c>
      <c r="BN24" s="4880">
        <f>BM24/AW24</f>
        <v>0.30952380952380953</v>
      </c>
      <c r="BO24" s="4881">
        <v>39.547619047619051</v>
      </c>
      <c r="BP24" s="4882">
        <v>8.8243966079582528</v>
      </c>
    </row>
    <row r="25" spans="1:68" x14ac:dyDescent="0.55000000000000004">
      <c r="A25" s="7179"/>
      <c r="B25" s="594"/>
      <c r="C25" s="886" t="s">
        <v>197</v>
      </c>
      <c r="D25" s="559">
        <v>25</v>
      </c>
      <c r="E25" s="559">
        <v>24</v>
      </c>
      <c r="F25" s="559">
        <v>24</v>
      </c>
      <c r="G25" s="559">
        <v>24</v>
      </c>
      <c r="H25" s="559">
        <v>25</v>
      </c>
      <c r="I25" s="559">
        <v>24</v>
      </c>
      <c r="J25" s="559">
        <v>26</v>
      </c>
      <c r="K25" s="559">
        <v>26</v>
      </c>
      <c r="L25" s="559">
        <v>26</v>
      </c>
      <c r="M25" s="559">
        <v>25</v>
      </c>
      <c r="N25" s="559">
        <v>24</v>
      </c>
      <c r="O25" s="559">
        <v>23</v>
      </c>
      <c r="P25" s="886"/>
      <c r="Q25" s="4883">
        <f t="shared" si="4"/>
        <v>24.666666666666668</v>
      </c>
      <c r="S25" s="4884">
        <v>21</v>
      </c>
      <c r="T25" s="4884">
        <v>19</v>
      </c>
      <c r="U25" s="4884">
        <v>19</v>
      </c>
      <c r="V25" s="4884">
        <v>19</v>
      </c>
      <c r="W25" s="4884">
        <v>19</v>
      </c>
      <c r="X25" s="4884">
        <v>23</v>
      </c>
      <c r="Y25" s="4836">
        <v>21</v>
      </c>
      <c r="Z25" s="4836">
        <v>20</v>
      </c>
      <c r="AA25" s="4836">
        <v>20</v>
      </c>
      <c r="AB25" s="4836">
        <v>21</v>
      </c>
      <c r="AC25" s="4836">
        <v>20</v>
      </c>
      <c r="AD25" s="4884">
        <v>21</v>
      </c>
      <c r="AE25" s="886"/>
      <c r="AF25" s="1102">
        <f t="shared" si="7"/>
        <v>20.25</v>
      </c>
      <c r="AH25" s="4836"/>
      <c r="AI25" s="4884"/>
      <c r="AJ25" s="4836"/>
      <c r="AK25" s="4884"/>
      <c r="AL25" s="4836"/>
      <c r="AM25" s="4836"/>
      <c r="AN25" s="4836"/>
      <c r="AO25" s="4836"/>
      <c r="AP25" s="4836"/>
      <c r="AQ25" s="4836"/>
      <c r="AR25" s="4836"/>
      <c r="AS25" s="4884"/>
      <c r="AT25" s="886"/>
      <c r="AU25" s="1102">
        <v>0</v>
      </c>
      <c r="AW25" s="4836">
        <v>0</v>
      </c>
      <c r="AX25" s="4884"/>
      <c r="AY25" s="4836"/>
      <c r="AZ25" s="4884"/>
      <c r="BA25" s="4836"/>
      <c r="BB25" s="4836"/>
      <c r="BC25" s="4836"/>
      <c r="BD25" s="4836"/>
      <c r="BE25" s="4836"/>
      <c r="BF25" s="4836"/>
      <c r="BG25" s="4836"/>
      <c r="BH25" s="4884"/>
      <c r="BI25" s="886"/>
      <c r="BJ25" s="1102"/>
      <c r="BL25" s="4878"/>
      <c r="BM25" s="4879"/>
      <c r="BN25" s="4880"/>
      <c r="BO25" s="4881"/>
      <c r="BP25" s="4882"/>
    </row>
    <row r="26" spans="1:68" x14ac:dyDescent="0.55000000000000004">
      <c r="A26" s="7179"/>
      <c r="B26" s="594"/>
      <c r="C26" s="886" t="s">
        <v>717</v>
      </c>
      <c r="P26" s="886"/>
      <c r="Q26" s="4883"/>
      <c r="S26" s="4884"/>
      <c r="T26" s="4884"/>
      <c r="U26" s="4884"/>
      <c r="V26" s="4884"/>
      <c r="W26" s="4884"/>
      <c r="X26" s="4884"/>
      <c r="Y26" s="4836"/>
      <c r="Z26" s="4836"/>
      <c r="AA26" s="4836"/>
      <c r="AB26" s="4836">
        <v>15</v>
      </c>
      <c r="AC26" s="4836">
        <v>15</v>
      </c>
      <c r="AD26" s="4884">
        <v>17</v>
      </c>
      <c r="AE26" s="886"/>
      <c r="AF26" s="1102">
        <f t="shared" si="7"/>
        <v>15.666666666666666</v>
      </c>
      <c r="AH26" s="4836">
        <v>20</v>
      </c>
      <c r="AI26" s="4884">
        <v>20</v>
      </c>
      <c r="AJ26" s="4836">
        <v>20</v>
      </c>
      <c r="AK26" s="4884">
        <v>20</v>
      </c>
      <c r="AL26" s="4836">
        <v>19</v>
      </c>
      <c r="AM26" s="4836">
        <v>19</v>
      </c>
      <c r="AN26" s="4836">
        <v>19</v>
      </c>
      <c r="AO26" s="4836">
        <v>19</v>
      </c>
      <c r="AP26" s="4836">
        <v>20</v>
      </c>
      <c r="AQ26" s="4836">
        <v>21</v>
      </c>
      <c r="AR26" s="4836">
        <v>21</v>
      </c>
      <c r="AS26" s="4884">
        <v>21</v>
      </c>
      <c r="AT26" s="886"/>
      <c r="AU26" s="1102">
        <f t="shared" si="8"/>
        <v>19.916666666666668</v>
      </c>
      <c r="AW26" s="4836">
        <v>21</v>
      </c>
      <c r="AX26" s="4884">
        <v>21</v>
      </c>
      <c r="AY26" s="4836"/>
      <c r="AZ26" s="4884"/>
      <c r="BA26" s="4836"/>
      <c r="BB26" s="4836"/>
      <c r="BC26" s="4836"/>
      <c r="BD26" s="4836"/>
      <c r="BE26" s="4836"/>
      <c r="BF26" s="4836"/>
      <c r="BG26" s="4836"/>
      <c r="BH26" s="4884"/>
      <c r="BI26" s="886"/>
      <c r="BJ26" s="1102">
        <f t="shared" ref="BJ26:BJ60" si="17">AVERAGE(AW26:BI26)</f>
        <v>21</v>
      </c>
      <c r="BL26" s="4878">
        <f>AW26/$AW$22</f>
        <v>4.9411764705882349E-2</v>
      </c>
      <c r="BM26" s="4879">
        <v>6</v>
      </c>
      <c r="BN26" s="4880">
        <f t="shared" ref="BN26:BN59" si="18">BM26/AW26</f>
        <v>0.2857142857142857</v>
      </c>
      <c r="BO26" s="4881">
        <v>38.952380952380949</v>
      </c>
      <c r="BP26" s="4882">
        <v>7.1039791258969345</v>
      </c>
    </row>
    <row r="27" spans="1:68" x14ac:dyDescent="0.55000000000000004">
      <c r="A27" s="7179"/>
      <c r="B27" s="594"/>
      <c r="C27" s="886" t="s">
        <v>198</v>
      </c>
      <c r="D27" s="559">
        <v>6</v>
      </c>
      <c r="E27" s="559">
        <v>6</v>
      </c>
      <c r="F27" s="559">
        <v>6</v>
      </c>
      <c r="G27" s="559">
        <v>6</v>
      </c>
      <c r="H27" s="559">
        <v>6</v>
      </c>
      <c r="I27" s="559">
        <v>6</v>
      </c>
      <c r="J27" s="559">
        <v>6</v>
      </c>
      <c r="K27" s="559">
        <v>6</v>
      </c>
      <c r="L27" s="559">
        <v>6</v>
      </c>
      <c r="M27" s="559">
        <v>6</v>
      </c>
      <c r="N27" s="559">
        <v>6</v>
      </c>
      <c r="O27" s="559">
        <v>6</v>
      </c>
      <c r="P27" s="886"/>
      <c r="Q27" s="4883">
        <f t="shared" ref="Q27:Q57" si="19">AVERAGE(D27:O27)</f>
        <v>6</v>
      </c>
      <c r="S27" s="4884">
        <v>6</v>
      </c>
      <c r="T27" s="4884">
        <v>6</v>
      </c>
      <c r="U27" s="4884">
        <v>6</v>
      </c>
      <c r="V27" s="4884">
        <v>6</v>
      </c>
      <c r="W27" s="4884">
        <v>6</v>
      </c>
      <c r="X27" s="4884">
        <v>6</v>
      </c>
      <c r="Y27" s="4836">
        <v>6</v>
      </c>
      <c r="Z27" s="4836">
        <v>6</v>
      </c>
      <c r="AA27" s="4836">
        <v>6</v>
      </c>
      <c r="AB27" s="4836">
        <v>6</v>
      </c>
      <c r="AC27" s="4836">
        <v>6</v>
      </c>
      <c r="AD27" s="4884">
        <v>6</v>
      </c>
      <c r="AE27" s="886"/>
      <c r="AF27" s="1102">
        <f t="shared" si="7"/>
        <v>6</v>
      </c>
      <c r="AH27" s="4836">
        <v>6</v>
      </c>
      <c r="AI27" s="4884">
        <v>6</v>
      </c>
      <c r="AJ27" s="4836">
        <v>6</v>
      </c>
      <c r="AK27" s="4884">
        <v>6</v>
      </c>
      <c r="AL27" s="4836">
        <v>6</v>
      </c>
      <c r="AM27" s="4836">
        <v>6</v>
      </c>
      <c r="AN27" s="4836">
        <v>6</v>
      </c>
      <c r="AO27" s="4836">
        <v>6</v>
      </c>
      <c r="AP27" s="4836">
        <v>6</v>
      </c>
      <c r="AQ27" s="4836">
        <v>6</v>
      </c>
      <c r="AR27" s="4836">
        <v>6</v>
      </c>
      <c r="AS27" s="4884">
        <v>6</v>
      </c>
      <c r="AT27" s="886"/>
      <c r="AU27" s="1102">
        <f t="shared" si="8"/>
        <v>6</v>
      </c>
      <c r="AW27" s="4836">
        <v>6</v>
      </c>
      <c r="AX27" s="4884">
        <v>6</v>
      </c>
      <c r="AY27" s="4836"/>
      <c r="AZ27" s="4884"/>
      <c r="BA27" s="4836"/>
      <c r="BB27" s="4836"/>
      <c r="BC27" s="4836"/>
      <c r="BD27" s="4836"/>
      <c r="BE27" s="4836"/>
      <c r="BF27" s="4836"/>
      <c r="BG27" s="4836"/>
      <c r="BH27" s="4884"/>
      <c r="BI27" s="886"/>
      <c r="BJ27" s="1102">
        <f t="shared" si="17"/>
        <v>6</v>
      </c>
      <c r="BL27" s="4878">
        <f>AW27/$AW$22</f>
        <v>1.411764705882353E-2</v>
      </c>
      <c r="BM27" s="4879">
        <v>2</v>
      </c>
      <c r="BN27" s="4880">
        <f t="shared" si="18"/>
        <v>0.33333333333333331</v>
      </c>
      <c r="BO27" s="4881">
        <v>44.5</v>
      </c>
      <c r="BP27" s="4882">
        <v>14.06529680365297</v>
      </c>
    </row>
    <row r="28" spans="1:68" x14ac:dyDescent="0.55000000000000004">
      <c r="A28" s="7179"/>
      <c r="B28" s="594"/>
      <c r="C28" s="886" t="s">
        <v>186</v>
      </c>
      <c r="D28" s="559">
        <v>59</v>
      </c>
      <c r="E28" s="559">
        <v>56</v>
      </c>
      <c r="F28" s="559">
        <v>57</v>
      </c>
      <c r="G28" s="559">
        <v>57</v>
      </c>
      <c r="H28" s="559">
        <v>57</v>
      </c>
      <c r="I28" s="559">
        <v>54</v>
      </c>
      <c r="J28" s="559">
        <v>53</v>
      </c>
      <c r="K28" s="559">
        <v>52</v>
      </c>
      <c r="L28" s="559">
        <v>53</v>
      </c>
      <c r="M28" s="559">
        <v>53</v>
      </c>
      <c r="N28" s="559">
        <v>53</v>
      </c>
      <c r="O28" s="559">
        <v>54</v>
      </c>
      <c r="P28" s="886"/>
      <c r="Q28" s="4883">
        <f t="shared" si="19"/>
        <v>54.833333333333336</v>
      </c>
      <c r="S28" s="4884">
        <v>53</v>
      </c>
      <c r="T28" s="4884">
        <v>51</v>
      </c>
      <c r="U28" s="4884">
        <v>51</v>
      </c>
      <c r="V28" s="4884">
        <v>50</v>
      </c>
      <c r="W28" s="4884">
        <v>50</v>
      </c>
      <c r="X28" s="4884">
        <v>52</v>
      </c>
      <c r="Y28" s="4836">
        <v>51</v>
      </c>
      <c r="Z28" s="4836">
        <v>50</v>
      </c>
      <c r="AA28" s="4836">
        <v>50</v>
      </c>
      <c r="AB28" s="4836">
        <v>50</v>
      </c>
      <c r="AC28" s="4836">
        <v>50</v>
      </c>
      <c r="AD28" s="4884">
        <v>50</v>
      </c>
      <c r="AE28" s="886"/>
      <c r="AF28" s="1102">
        <f t="shared" si="7"/>
        <v>50.666666666666664</v>
      </c>
      <c r="AH28" s="4836">
        <v>50</v>
      </c>
      <c r="AI28" s="4884">
        <v>50</v>
      </c>
      <c r="AJ28" s="4836">
        <v>49</v>
      </c>
      <c r="AK28" s="4884">
        <v>49</v>
      </c>
      <c r="AL28" s="4836">
        <v>49</v>
      </c>
      <c r="AM28" s="4836">
        <v>49</v>
      </c>
      <c r="AN28" s="4836">
        <v>45</v>
      </c>
      <c r="AO28" s="4836">
        <v>44</v>
      </c>
      <c r="AP28" s="4836">
        <v>44</v>
      </c>
      <c r="AQ28" s="4836">
        <v>45</v>
      </c>
      <c r="AR28" s="4836">
        <v>47</v>
      </c>
      <c r="AS28" s="4884">
        <v>47</v>
      </c>
      <c r="AT28" s="886"/>
      <c r="AU28" s="1102">
        <f t="shared" si="8"/>
        <v>47.333333333333336</v>
      </c>
      <c r="AW28" s="4836">
        <v>49</v>
      </c>
      <c r="AX28" s="4884">
        <v>49</v>
      </c>
      <c r="AY28" s="4836"/>
      <c r="AZ28" s="4884"/>
      <c r="BA28" s="4836"/>
      <c r="BB28" s="4836"/>
      <c r="BC28" s="4836"/>
      <c r="BD28" s="4836"/>
      <c r="BE28" s="4836"/>
      <c r="BF28" s="4836"/>
      <c r="BG28" s="4836"/>
      <c r="BH28" s="4884"/>
      <c r="BI28" s="886"/>
      <c r="BJ28" s="1102">
        <f t="shared" si="17"/>
        <v>49</v>
      </c>
      <c r="BL28" s="4878">
        <f>AW28/$AW$22</f>
        <v>0.11529411764705882</v>
      </c>
      <c r="BM28" s="4879">
        <v>21</v>
      </c>
      <c r="BN28" s="4880">
        <f t="shared" si="18"/>
        <v>0.42857142857142855</v>
      </c>
      <c r="BO28" s="4881">
        <v>42.795918367346935</v>
      </c>
      <c r="BP28" s="4882">
        <v>10.94649147330165</v>
      </c>
    </row>
    <row r="29" spans="1:68" x14ac:dyDescent="0.55000000000000004">
      <c r="A29" s="7179"/>
      <c r="B29" s="594"/>
      <c r="C29" s="886" t="s">
        <v>1017</v>
      </c>
      <c r="D29" s="559">
        <v>118</v>
      </c>
      <c r="E29" s="559">
        <v>117</v>
      </c>
      <c r="F29" s="559">
        <v>116</v>
      </c>
      <c r="G29" s="559">
        <v>116</v>
      </c>
      <c r="H29" s="559">
        <v>116</v>
      </c>
      <c r="I29" s="559">
        <v>117</v>
      </c>
      <c r="J29" s="559">
        <v>117</v>
      </c>
      <c r="K29" s="559">
        <v>113</v>
      </c>
      <c r="L29" s="559">
        <v>116</v>
      </c>
      <c r="M29" s="559">
        <v>116</v>
      </c>
      <c r="N29" s="559">
        <v>116</v>
      </c>
      <c r="O29" s="559">
        <v>118</v>
      </c>
      <c r="P29" s="886"/>
      <c r="Q29" s="4883">
        <f t="shared" si="19"/>
        <v>116.33333333333333</v>
      </c>
      <c r="S29" s="4884">
        <v>120</v>
      </c>
      <c r="T29" s="4884">
        <v>116</v>
      </c>
      <c r="U29" s="4884">
        <v>115</v>
      </c>
      <c r="V29" s="4884">
        <v>114</v>
      </c>
      <c r="W29" s="4884">
        <v>117</v>
      </c>
      <c r="X29" s="4884">
        <v>121</v>
      </c>
      <c r="Y29" s="4836">
        <v>133</v>
      </c>
      <c r="Z29" s="4836">
        <v>146</v>
      </c>
      <c r="AA29" s="4836">
        <v>150</v>
      </c>
      <c r="AB29" s="4836">
        <v>142</v>
      </c>
      <c r="AC29" s="4836">
        <v>151</v>
      </c>
      <c r="AD29" s="4884">
        <v>161</v>
      </c>
      <c r="AE29" s="886"/>
      <c r="AF29" s="1102">
        <f t="shared" si="7"/>
        <v>132.16666666666666</v>
      </c>
      <c r="AH29" s="4836">
        <v>158</v>
      </c>
      <c r="AI29" s="4884">
        <v>163</v>
      </c>
      <c r="AJ29" s="4836">
        <v>170</v>
      </c>
      <c r="AK29" s="4884">
        <v>180</v>
      </c>
      <c r="AL29" s="4836">
        <v>181</v>
      </c>
      <c r="AM29" s="4836">
        <v>181</v>
      </c>
      <c r="AN29" s="4836">
        <v>183</v>
      </c>
      <c r="AO29" s="4836">
        <v>181</v>
      </c>
      <c r="AP29" s="4836">
        <v>179</v>
      </c>
      <c r="AQ29" s="4836">
        <v>177</v>
      </c>
      <c r="AR29" s="4836">
        <v>176</v>
      </c>
      <c r="AS29" s="4884">
        <v>176</v>
      </c>
      <c r="AT29" s="886"/>
      <c r="AU29" s="1102">
        <f t="shared" si="8"/>
        <v>175.41666666666666</v>
      </c>
      <c r="AW29" s="4836">
        <v>181</v>
      </c>
      <c r="AX29" s="4884">
        <v>178</v>
      </c>
      <c r="AY29" s="4836"/>
      <c r="AZ29" s="4884"/>
      <c r="BA29" s="4836"/>
      <c r="BB29" s="4836"/>
      <c r="BC29" s="4836"/>
      <c r="BD29" s="4836"/>
      <c r="BE29" s="4836"/>
      <c r="BF29" s="4836"/>
      <c r="BG29" s="4836"/>
      <c r="BH29" s="4884"/>
      <c r="BI29" s="886"/>
      <c r="BJ29" s="1102">
        <f t="shared" si="17"/>
        <v>179.5</v>
      </c>
      <c r="BL29" s="4878">
        <f>AW29/$AW$22</f>
        <v>0.42588235294117649</v>
      </c>
      <c r="BM29" s="4879">
        <v>95</v>
      </c>
      <c r="BN29" s="4880">
        <f t="shared" si="18"/>
        <v>0.52486187845303867</v>
      </c>
      <c r="BO29" s="4881">
        <v>38.983146067415731</v>
      </c>
      <c r="BP29" s="4882">
        <v>5.588471602277969</v>
      </c>
    </row>
    <row r="30" spans="1:68" x14ac:dyDescent="0.55000000000000004">
      <c r="A30" s="7179"/>
      <c r="B30" s="594"/>
      <c r="C30" s="886" t="s">
        <v>1018</v>
      </c>
      <c r="D30" s="559">
        <v>88</v>
      </c>
      <c r="E30" s="559">
        <v>89</v>
      </c>
      <c r="F30" s="559">
        <v>86</v>
      </c>
      <c r="G30" s="559">
        <v>88</v>
      </c>
      <c r="H30" s="559">
        <v>87</v>
      </c>
      <c r="I30" s="559">
        <v>86</v>
      </c>
      <c r="J30" s="559">
        <v>88</v>
      </c>
      <c r="K30" s="559">
        <v>88</v>
      </c>
      <c r="L30" s="559">
        <v>88</v>
      </c>
      <c r="M30" s="559">
        <v>88</v>
      </c>
      <c r="N30" s="559">
        <v>88</v>
      </c>
      <c r="O30" s="559">
        <v>88</v>
      </c>
      <c r="P30" s="886"/>
      <c r="Q30" s="4883">
        <f t="shared" si="19"/>
        <v>87.666666666666671</v>
      </c>
      <c r="S30" s="4884">
        <v>108</v>
      </c>
      <c r="T30" s="4884">
        <v>108</v>
      </c>
      <c r="U30" s="4884">
        <v>111</v>
      </c>
      <c r="V30" s="4884">
        <v>104</v>
      </c>
      <c r="W30" s="4884">
        <v>100</v>
      </c>
      <c r="X30" s="4884">
        <v>90</v>
      </c>
      <c r="Y30" s="4836">
        <v>88</v>
      </c>
      <c r="Z30" s="4836">
        <v>87</v>
      </c>
      <c r="AA30" s="4836">
        <v>88</v>
      </c>
      <c r="AB30" s="4836">
        <v>89</v>
      </c>
      <c r="AC30" s="4836">
        <v>87</v>
      </c>
      <c r="AD30" s="4884">
        <v>84</v>
      </c>
      <c r="AE30" s="886"/>
      <c r="AF30" s="1102">
        <f t="shared" si="7"/>
        <v>95.333333333333329</v>
      </c>
      <c r="AH30" s="4836">
        <v>92</v>
      </c>
      <c r="AI30" s="4884">
        <v>94</v>
      </c>
      <c r="AJ30" s="4836">
        <v>94</v>
      </c>
      <c r="AK30" s="4884">
        <v>94</v>
      </c>
      <c r="AL30" s="4836">
        <v>104</v>
      </c>
      <c r="AM30" s="4836">
        <v>103</v>
      </c>
      <c r="AN30" s="4836">
        <v>102</v>
      </c>
      <c r="AO30" s="4836">
        <v>104</v>
      </c>
      <c r="AP30" s="4836">
        <v>105</v>
      </c>
      <c r="AQ30" s="4836">
        <v>110</v>
      </c>
      <c r="AR30" s="4836">
        <v>111</v>
      </c>
      <c r="AS30" s="4884">
        <v>124</v>
      </c>
      <c r="AT30" s="886"/>
      <c r="AU30" s="1102">
        <f t="shared" si="8"/>
        <v>103.08333333333333</v>
      </c>
      <c r="AW30" s="4836">
        <v>124</v>
      </c>
      <c r="AX30" s="4884">
        <v>127</v>
      </c>
      <c r="AY30" s="4836"/>
      <c r="AZ30" s="4884"/>
      <c r="BA30" s="4836"/>
      <c r="BB30" s="4836"/>
      <c r="BC30" s="4836"/>
      <c r="BD30" s="4836"/>
      <c r="BE30" s="4836"/>
      <c r="BF30" s="4836"/>
      <c r="BG30" s="4836"/>
      <c r="BH30" s="4884"/>
      <c r="BI30" s="886"/>
      <c r="BJ30" s="1102">
        <f t="shared" si="17"/>
        <v>125.5</v>
      </c>
      <c r="BL30" s="4878">
        <f>AW30/$AW$22</f>
        <v>0.29176470588235293</v>
      </c>
      <c r="BM30" s="4879">
        <v>63</v>
      </c>
      <c r="BN30" s="4880">
        <f t="shared" si="18"/>
        <v>0.50806451612903225</v>
      </c>
      <c r="BO30" s="4881">
        <v>38.503937007874015</v>
      </c>
      <c r="BP30" s="4882">
        <v>8.4906266853629599</v>
      </c>
    </row>
    <row r="31" spans="1:68" x14ac:dyDescent="0.55000000000000004">
      <c r="A31" s="7179"/>
      <c r="B31" s="1533" t="s">
        <v>187</v>
      </c>
      <c r="C31" s="1534"/>
      <c r="D31" s="4865">
        <f t="shared" ref="D31:N31" si="20">SUM(D32,D37,D42,D47,D52)</f>
        <v>1690</v>
      </c>
      <c r="E31" s="4865">
        <f t="shared" si="20"/>
        <v>1687</v>
      </c>
      <c r="F31" s="4865">
        <f t="shared" si="20"/>
        <v>1677</v>
      </c>
      <c r="G31" s="4865">
        <f t="shared" si="20"/>
        <v>1670</v>
      </c>
      <c r="H31" s="4865">
        <f t="shared" si="20"/>
        <v>1684</v>
      </c>
      <c r="I31" s="4865">
        <f t="shared" si="20"/>
        <v>1772</v>
      </c>
      <c r="J31" s="4865">
        <f t="shared" si="20"/>
        <v>1661</v>
      </c>
      <c r="K31" s="4865">
        <f t="shared" si="20"/>
        <v>1657</v>
      </c>
      <c r="L31" s="4865">
        <f t="shared" si="20"/>
        <v>1639</v>
      </c>
      <c r="M31" s="4865">
        <f t="shared" si="20"/>
        <v>1592</v>
      </c>
      <c r="N31" s="4865">
        <f t="shared" si="20"/>
        <v>1650</v>
      </c>
      <c r="O31" s="4865">
        <f>SUM(O32,O37,O42,O47,O52)</f>
        <v>1730</v>
      </c>
      <c r="P31" s="1534"/>
      <c r="Q31" s="4866">
        <f t="shared" si="19"/>
        <v>1675.75</v>
      </c>
      <c r="S31" s="4867">
        <f t="shared" ref="S31:Z31" si="21">SUM(S32,S37,S42,S47,S52)</f>
        <v>1657</v>
      </c>
      <c r="T31" s="4867">
        <f t="shared" si="21"/>
        <v>1676</v>
      </c>
      <c r="U31" s="4867">
        <f t="shared" si="21"/>
        <v>1677</v>
      </c>
      <c r="V31" s="4867">
        <f t="shared" si="21"/>
        <v>1723</v>
      </c>
      <c r="W31" s="4867">
        <f t="shared" si="21"/>
        <v>1722</v>
      </c>
      <c r="X31" s="4867">
        <f t="shared" si="21"/>
        <v>1719</v>
      </c>
      <c r="Y31" s="4865">
        <f t="shared" si="21"/>
        <v>1724</v>
      </c>
      <c r="Z31" s="4865">
        <f t="shared" si="21"/>
        <v>1721</v>
      </c>
      <c r="AA31" s="4865">
        <f>SUM(AA32,AA37,AA42,AA47,AA52)</f>
        <v>1731</v>
      </c>
      <c r="AB31" s="4865">
        <f>SUM(AB32,AB37,AB42,AB47,AB52)</f>
        <v>1759</v>
      </c>
      <c r="AC31" s="4868">
        <v>1764</v>
      </c>
      <c r="AD31" s="4867">
        <v>1792</v>
      </c>
      <c r="AE31" s="1534"/>
      <c r="AF31" s="4869">
        <f t="shared" si="7"/>
        <v>1722.0833333333333</v>
      </c>
      <c r="AH31" s="4870">
        <v>1809</v>
      </c>
      <c r="AI31" s="4867">
        <v>1788</v>
      </c>
      <c r="AJ31" s="4865">
        <v>1801</v>
      </c>
      <c r="AK31" s="4867">
        <v>1782</v>
      </c>
      <c r="AL31" s="4865">
        <v>1755</v>
      </c>
      <c r="AM31" s="4865">
        <v>1744</v>
      </c>
      <c r="AN31" s="4865">
        <v>1715</v>
      </c>
      <c r="AO31" s="4865">
        <v>1695</v>
      </c>
      <c r="AP31" s="4865">
        <v>1686</v>
      </c>
      <c r="AQ31" s="4865">
        <v>1669</v>
      </c>
      <c r="AR31" s="4865">
        <v>1671</v>
      </c>
      <c r="AS31" s="4867">
        <f>AW32+AW37+AW42+AW52+AW47</f>
        <v>1676</v>
      </c>
      <c r="AT31" s="1534"/>
      <c r="AU31" s="4869">
        <f t="shared" si="8"/>
        <v>1732.5833333333333</v>
      </c>
      <c r="AW31" s="4870">
        <v>1676</v>
      </c>
      <c r="AX31" s="4867">
        <v>1675</v>
      </c>
      <c r="AY31" s="4865"/>
      <c r="AZ31" s="4867"/>
      <c r="BA31" s="4865"/>
      <c r="BB31" s="4865"/>
      <c r="BC31" s="4865"/>
      <c r="BD31" s="4865"/>
      <c r="BE31" s="4865"/>
      <c r="BF31" s="4865"/>
      <c r="BG31" s="4865"/>
      <c r="BH31" s="4867"/>
      <c r="BI31" s="1534"/>
      <c r="BJ31" s="4869">
        <f t="shared" si="17"/>
        <v>1675.5</v>
      </c>
      <c r="BL31" s="4871">
        <f>AW31/$AW$4</f>
        <v>0.75871435038478952</v>
      </c>
      <c r="BM31" s="4872">
        <v>609</v>
      </c>
      <c r="BN31" s="4873">
        <f t="shared" si="18"/>
        <v>0.36336515513126494</v>
      </c>
      <c r="BO31" s="4897">
        <v>35.136716417910449</v>
      </c>
      <c r="BP31" s="4875">
        <v>6.2778589245552947</v>
      </c>
    </row>
    <row r="32" spans="1:68" x14ac:dyDescent="0.55000000000000004">
      <c r="A32" s="7179"/>
      <c r="B32" s="1550"/>
      <c r="C32" s="1576" t="s">
        <v>188</v>
      </c>
      <c r="D32" s="4898">
        <f t="shared" ref="D32:N32" si="22">SUM(D33:D36)</f>
        <v>290</v>
      </c>
      <c r="E32" s="4898">
        <f t="shared" si="22"/>
        <v>299</v>
      </c>
      <c r="F32" s="4898">
        <f t="shared" si="22"/>
        <v>290</v>
      </c>
      <c r="G32" s="4898">
        <f t="shared" si="22"/>
        <v>291</v>
      </c>
      <c r="H32" s="4898">
        <f t="shared" si="22"/>
        <v>294</v>
      </c>
      <c r="I32" s="4898">
        <f t="shared" si="22"/>
        <v>293</v>
      </c>
      <c r="J32" s="4898">
        <f t="shared" si="22"/>
        <v>295</v>
      </c>
      <c r="K32" s="4898">
        <f t="shared" si="22"/>
        <v>296</v>
      </c>
      <c r="L32" s="4898">
        <f t="shared" si="22"/>
        <v>290</v>
      </c>
      <c r="M32" s="4898">
        <f t="shared" si="22"/>
        <v>238</v>
      </c>
      <c r="N32" s="4898">
        <f t="shared" si="22"/>
        <v>287</v>
      </c>
      <c r="O32" s="4898">
        <f>SUM(O33:O36)</f>
        <v>333</v>
      </c>
      <c r="P32" s="1576"/>
      <c r="Q32" s="4899">
        <f t="shared" si="19"/>
        <v>291.33333333333331</v>
      </c>
      <c r="S32" s="4900">
        <f t="shared" ref="S32:Z32" si="23">SUM(S33:S36)</f>
        <v>293</v>
      </c>
      <c r="T32" s="4900">
        <f t="shared" si="23"/>
        <v>305</v>
      </c>
      <c r="U32" s="4900">
        <f t="shared" si="23"/>
        <v>315</v>
      </c>
      <c r="V32" s="4900">
        <f t="shared" si="23"/>
        <v>333</v>
      </c>
      <c r="W32" s="4900">
        <f t="shared" si="23"/>
        <v>334</v>
      </c>
      <c r="X32" s="4900">
        <f t="shared" si="23"/>
        <v>332</v>
      </c>
      <c r="Y32" s="4898">
        <f t="shared" si="23"/>
        <v>332</v>
      </c>
      <c r="Z32" s="4898">
        <f t="shared" si="23"/>
        <v>330</v>
      </c>
      <c r="AA32" s="4898">
        <f>SUM(AA33:AA36)</f>
        <v>335</v>
      </c>
      <c r="AB32" s="4898">
        <f>SUM(AB33:AB36)</f>
        <v>341</v>
      </c>
      <c r="AC32" s="4901">
        <v>343</v>
      </c>
      <c r="AD32" s="4900">
        <v>350</v>
      </c>
      <c r="AE32" s="1576"/>
      <c r="AF32" s="2895">
        <f t="shared" si="7"/>
        <v>328.58333333333331</v>
      </c>
      <c r="AH32" s="4901">
        <v>351</v>
      </c>
      <c r="AI32" s="4900">
        <v>354</v>
      </c>
      <c r="AJ32" s="4898">
        <v>350</v>
      </c>
      <c r="AK32" s="4900">
        <v>346</v>
      </c>
      <c r="AL32" s="4898">
        <v>343</v>
      </c>
      <c r="AM32" s="4898">
        <v>342</v>
      </c>
      <c r="AN32" s="4898">
        <v>336</v>
      </c>
      <c r="AO32" s="4898">
        <v>328</v>
      </c>
      <c r="AP32" s="4898">
        <v>324</v>
      </c>
      <c r="AQ32" s="4898">
        <v>324</v>
      </c>
      <c r="AR32" s="4901">
        <v>324</v>
      </c>
      <c r="AS32" s="4900">
        <v>317</v>
      </c>
      <c r="AT32" s="1576"/>
      <c r="AU32" s="2895">
        <f t="shared" si="8"/>
        <v>336.58333333333331</v>
      </c>
      <c r="AW32" s="4901">
        <v>321</v>
      </c>
      <c r="AX32" s="4900">
        <v>319</v>
      </c>
      <c r="AY32" s="4898"/>
      <c r="AZ32" s="4900"/>
      <c r="BA32" s="4898"/>
      <c r="BB32" s="4898"/>
      <c r="BC32" s="4898"/>
      <c r="BD32" s="4898"/>
      <c r="BE32" s="4898"/>
      <c r="BF32" s="4898"/>
      <c r="BG32" s="4901"/>
      <c r="BH32" s="4900"/>
      <c r="BI32" s="1576"/>
      <c r="BJ32" s="2895">
        <f t="shared" si="17"/>
        <v>320</v>
      </c>
      <c r="BL32" s="4902">
        <f>AW32/$AW$4</f>
        <v>0.14531462200090539</v>
      </c>
      <c r="BM32" s="4903">
        <v>83</v>
      </c>
      <c r="BN32" s="4904">
        <f t="shared" si="18"/>
        <v>0.25856697819314639</v>
      </c>
      <c r="BO32" s="4905">
        <v>36.043887147335425</v>
      </c>
      <c r="BP32" s="4906">
        <v>6.3550307038261646</v>
      </c>
    </row>
    <row r="33" spans="1:68" x14ac:dyDescent="0.55000000000000004">
      <c r="A33" s="7179"/>
      <c r="B33" s="1550"/>
      <c r="C33" s="886" t="s">
        <v>204</v>
      </c>
      <c r="D33" s="559">
        <v>35</v>
      </c>
      <c r="E33" s="559">
        <v>36</v>
      </c>
      <c r="F33" s="559">
        <v>35</v>
      </c>
      <c r="G33" s="559">
        <v>35</v>
      </c>
      <c r="H33" s="559">
        <v>35</v>
      </c>
      <c r="I33" s="559">
        <v>35</v>
      </c>
      <c r="J33" s="559">
        <v>36</v>
      </c>
      <c r="K33" s="559">
        <v>35</v>
      </c>
      <c r="L33" s="559">
        <v>35</v>
      </c>
      <c r="M33" s="559">
        <v>35</v>
      </c>
      <c r="N33" s="559">
        <v>35</v>
      </c>
      <c r="O33" s="559">
        <v>36</v>
      </c>
      <c r="P33" s="886"/>
      <c r="Q33" s="4883">
        <f t="shared" si="19"/>
        <v>35.25</v>
      </c>
      <c r="S33" s="4884">
        <v>38</v>
      </c>
      <c r="T33" s="4884">
        <v>38</v>
      </c>
      <c r="U33" s="4884">
        <v>36</v>
      </c>
      <c r="V33" s="4884">
        <v>35</v>
      </c>
      <c r="W33" s="4884">
        <v>35</v>
      </c>
      <c r="X33" s="4884">
        <v>34</v>
      </c>
      <c r="Y33" s="4836">
        <v>37</v>
      </c>
      <c r="Z33" s="4836">
        <v>38</v>
      </c>
      <c r="AA33" s="4836">
        <v>38</v>
      </c>
      <c r="AB33" s="4836">
        <v>37</v>
      </c>
      <c r="AC33" s="4836">
        <v>37</v>
      </c>
      <c r="AD33" s="4884">
        <v>36</v>
      </c>
      <c r="AE33" s="886"/>
      <c r="AF33" s="1102">
        <f t="shared" si="7"/>
        <v>36.583333333333336</v>
      </c>
      <c r="AH33" s="4836">
        <v>38</v>
      </c>
      <c r="AI33" s="4884">
        <v>41</v>
      </c>
      <c r="AJ33" s="4836">
        <v>41</v>
      </c>
      <c r="AK33" s="4884">
        <v>42</v>
      </c>
      <c r="AL33" s="4836">
        <v>40</v>
      </c>
      <c r="AM33" s="4836">
        <v>41</v>
      </c>
      <c r="AN33" s="4836">
        <v>35</v>
      </c>
      <c r="AO33" s="4836">
        <v>35</v>
      </c>
      <c r="AP33" s="4836">
        <v>34</v>
      </c>
      <c r="AQ33" s="4836">
        <v>33</v>
      </c>
      <c r="AR33" s="4836">
        <v>33</v>
      </c>
      <c r="AS33" s="4884">
        <v>33</v>
      </c>
      <c r="AT33" s="886"/>
      <c r="AU33" s="1102">
        <f t="shared" si="8"/>
        <v>37.166666666666664</v>
      </c>
      <c r="AW33" s="4836">
        <v>34</v>
      </c>
      <c r="AX33" s="4884">
        <v>34</v>
      </c>
      <c r="AY33" s="4836"/>
      <c r="AZ33" s="4884"/>
      <c r="BA33" s="4836"/>
      <c r="BB33" s="4836"/>
      <c r="BC33" s="4836"/>
      <c r="BD33" s="4836"/>
      <c r="BE33" s="4836"/>
      <c r="BF33" s="4836"/>
      <c r="BG33" s="4836"/>
      <c r="BH33" s="4884"/>
      <c r="BI33" s="886"/>
      <c r="BJ33" s="1102">
        <f t="shared" si="17"/>
        <v>34</v>
      </c>
      <c r="BL33" s="4878">
        <f>AW33/$AW$32</f>
        <v>0.1059190031152648</v>
      </c>
      <c r="BM33" s="4879">
        <v>10</v>
      </c>
      <c r="BN33" s="4880">
        <f t="shared" si="18"/>
        <v>0.29411764705882354</v>
      </c>
      <c r="BO33" s="4881">
        <v>42.235294117647058</v>
      </c>
      <c r="BP33" s="4882">
        <v>13.490491539081384</v>
      </c>
    </row>
    <row r="34" spans="1:68" x14ac:dyDescent="0.55000000000000004">
      <c r="A34" s="7179"/>
      <c r="B34" s="1550"/>
      <c r="C34" s="886" t="s">
        <v>65</v>
      </c>
      <c r="D34" s="559">
        <v>16</v>
      </c>
      <c r="E34" s="559">
        <v>16</v>
      </c>
      <c r="F34" s="559">
        <v>13</v>
      </c>
      <c r="G34" s="559">
        <v>17</v>
      </c>
      <c r="H34" s="559">
        <v>18</v>
      </c>
      <c r="I34" s="559">
        <v>18</v>
      </c>
      <c r="J34" s="559">
        <v>19</v>
      </c>
      <c r="K34" s="559">
        <v>19</v>
      </c>
      <c r="L34" s="559">
        <v>19</v>
      </c>
      <c r="M34" s="559">
        <v>19</v>
      </c>
      <c r="N34" s="559">
        <v>19</v>
      </c>
      <c r="O34" s="559">
        <v>20</v>
      </c>
      <c r="P34" s="886"/>
      <c r="Q34" s="4883">
        <f t="shared" si="19"/>
        <v>17.75</v>
      </c>
      <c r="S34" s="4884">
        <v>17</v>
      </c>
      <c r="T34" s="4884">
        <v>16</v>
      </c>
      <c r="U34" s="4884">
        <v>19</v>
      </c>
      <c r="V34" s="4884">
        <v>19</v>
      </c>
      <c r="W34" s="4884">
        <v>19</v>
      </c>
      <c r="X34" s="4884">
        <v>20</v>
      </c>
      <c r="Y34" s="4836">
        <v>20</v>
      </c>
      <c r="Z34" s="4836">
        <v>19</v>
      </c>
      <c r="AA34" s="559">
        <v>19</v>
      </c>
      <c r="AB34" s="4836">
        <v>21</v>
      </c>
      <c r="AC34" s="4836">
        <v>22</v>
      </c>
      <c r="AD34" s="4884">
        <v>24</v>
      </c>
      <c r="AE34" s="886"/>
      <c r="AF34" s="1102">
        <f t="shared" si="7"/>
        <v>19.583333333333332</v>
      </c>
      <c r="AH34" s="4836">
        <v>22</v>
      </c>
      <c r="AI34" s="4884">
        <v>24</v>
      </c>
      <c r="AJ34" s="4836">
        <v>25</v>
      </c>
      <c r="AK34" s="4884">
        <v>25</v>
      </c>
      <c r="AL34" s="4836">
        <v>25</v>
      </c>
      <c r="AM34" s="4836">
        <v>25</v>
      </c>
      <c r="AN34" s="4836">
        <v>23</v>
      </c>
      <c r="AO34" s="4836">
        <v>23</v>
      </c>
      <c r="AP34" s="4836">
        <v>23</v>
      </c>
      <c r="AQ34" s="4836">
        <v>22</v>
      </c>
      <c r="AR34" s="4836">
        <v>22</v>
      </c>
      <c r="AS34" s="4884">
        <v>14</v>
      </c>
      <c r="AT34" s="886"/>
      <c r="AU34" s="1102">
        <f t="shared" si="8"/>
        <v>22.75</v>
      </c>
      <c r="AW34" s="4836">
        <v>14</v>
      </c>
      <c r="AX34" s="4884">
        <v>14</v>
      </c>
      <c r="AY34" s="4836"/>
      <c r="AZ34" s="4884"/>
      <c r="BA34" s="4836"/>
      <c r="BB34" s="4836"/>
      <c r="BC34" s="4836"/>
      <c r="BD34" s="4836"/>
      <c r="BE34" s="4836"/>
      <c r="BF34" s="4836"/>
      <c r="BG34" s="4836"/>
      <c r="BH34" s="4884"/>
      <c r="BI34" s="886"/>
      <c r="BJ34" s="1102">
        <f t="shared" si="17"/>
        <v>14</v>
      </c>
      <c r="BL34" s="4878">
        <f>AW34/$AW$32</f>
        <v>4.3613707165109032E-2</v>
      </c>
      <c r="BM34" s="4879">
        <v>0</v>
      </c>
      <c r="BN34" s="4880">
        <f t="shared" si="18"/>
        <v>0</v>
      </c>
      <c r="BO34" s="4881">
        <v>47.142857142857146</v>
      </c>
      <c r="BP34" s="4882">
        <v>8.5600782778864968</v>
      </c>
    </row>
    <row r="35" spans="1:68" x14ac:dyDescent="0.55000000000000004">
      <c r="A35" s="7179"/>
      <c r="B35" s="1550"/>
      <c r="C35" s="886" t="s">
        <v>19</v>
      </c>
      <c r="D35" s="559">
        <v>169</v>
      </c>
      <c r="E35" s="559">
        <v>174</v>
      </c>
      <c r="F35" s="559">
        <v>170</v>
      </c>
      <c r="G35" s="559">
        <v>167</v>
      </c>
      <c r="H35" s="559">
        <v>169</v>
      </c>
      <c r="I35" s="559">
        <v>169</v>
      </c>
      <c r="J35" s="559">
        <v>169</v>
      </c>
      <c r="K35" s="559">
        <v>171</v>
      </c>
      <c r="L35" s="559">
        <v>163</v>
      </c>
      <c r="M35" s="559">
        <v>167</v>
      </c>
      <c r="N35" s="559">
        <v>162</v>
      </c>
      <c r="O35" s="559">
        <v>208</v>
      </c>
      <c r="P35" s="886"/>
      <c r="Q35" s="4883">
        <f t="shared" si="19"/>
        <v>171.5</v>
      </c>
      <c r="S35" s="4884">
        <v>169</v>
      </c>
      <c r="T35" s="4884">
        <v>182</v>
      </c>
      <c r="U35" s="4884">
        <v>192</v>
      </c>
      <c r="V35" s="4884">
        <v>209</v>
      </c>
      <c r="W35" s="4884">
        <v>210</v>
      </c>
      <c r="X35" s="4884">
        <v>210</v>
      </c>
      <c r="Y35" s="4836">
        <v>206</v>
      </c>
      <c r="Z35" s="4836">
        <v>207</v>
      </c>
      <c r="AA35" s="559">
        <v>212</v>
      </c>
      <c r="AB35" s="4836">
        <v>216</v>
      </c>
      <c r="AC35" s="4836">
        <v>217</v>
      </c>
      <c r="AD35" s="4884">
        <v>219</v>
      </c>
      <c r="AE35" s="886"/>
      <c r="AF35" s="1102">
        <f t="shared" si="7"/>
        <v>204.08333333333334</v>
      </c>
      <c r="AH35" s="4836">
        <v>219</v>
      </c>
      <c r="AI35" s="4884">
        <v>217</v>
      </c>
      <c r="AJ35" s="4836">
        <v>211</v>
      </c>
      <c r="AK35" s="4884">
        <v>208</v>
      </c>
      <c r="AL35" s="4836">
        <v>208</v>
      </c>
      <c r="AM35" s="4836">
        <v>208</v>
      </c>
      <c r="AN35" s="4836">
        <v>208</v>
      </c>
      <c r="AO35" s="4836">
        <v>202</v>
      </c>
      <c r="AP35" s="4836">
        <v>202</v>
      </c>
      <c r="AQ35" s="4836">
        <v>204</v>
      </c>
      <c r="AR35" s="4836">
        <v>204</v>
      </c>
      <c r="AS35" s="4884">
        <v>208</v>
      </c>
      <c r="AT35" s="886"/>
      <c r="AU35" s="1102">
        <f t="shared" si="8"/>
        <v>208.25</v>
      </c>
      <c r="AW35" s="4836">
        <v>208</v>
      </c>
      <c r="AX35" s="4884">
        <v>205</v>
      </c>
      <c r="AY35" s="4836"/>
      <c r="AZ35" s="4884"/>
      <c r="BA35" s="4836"/>
      <c r="BB35" s="4836"/>
      <c r="BC35" s="4836"/>
      <c r="BD35" s="4836"/>
      <c r="BE35" s="4836"/>
      <c r="BF35" s="4836"/>
      <c r="BG35" s="4836"/>
      <c r="BH35" s="4884"/>
      <c r="BI35" s="886"/>
      <c r="BJ35" s="1102">
        <f t="shared" si="17"/>
        <v>206.5</v>
      </c>
      <c r="BL35" s="4878">
        <f>AW35/$AW$32</f>
        <v>0.6479750778816199</v>
      </c>
      <c r="BM35" s="4879">
        <v>46</v>
      </c>
      <c r="BN35" s="4880">
        <f t="shared" si="18"/>
        <v>0.22115384615384615</v>
      </c>
      <c r="BO35" s="4881">
        <v>34.15609756097561</v>
      </c>
      <c r="BP35" s="4882">
        <v>5.0861476779151387</v>
      </c>
    </row>
    <row r="36" spans="1:68" x14ac:dyDescent="0.55000000000000004">
      <c r="A36" s="7179"/>
      <c r="B36" s="1550"/>
      <c r="C36" s="886" t="s">
        <v>20</v>
      </c>
      <c r="D36" s="559">
        <v>70</v>
      </c>
      <c r="E36" s="559">
        <v>73</v>
      </c>
      <c r="F36" s="559">
        <v>72</v>
      </c>
      <c r="G36" s="559">
        <v>72</v>
      </c>
      <c r="H36" s="559">
        <v>72</v>
      </c>
      <c r="I36" s="559">
        <v>71</v>
      </c>
      <c r="J36" s="559">
        <v>71</v>
      </c>
      <c r="K36" s="559">
        <v>71</v>
      </c>
      <c r="L36" s="559">
        <v>73</v>
      </c>
      <c r="M36" s="559">
        <v>17</v>
      </c>
      <c r="N36" s="559">
        <v>71</v>
      </c>
      <c r="O36" s="559">
        <v>69</v>
      </c>
      <c r="P36" s="886"/>
      <c r="Q36" s="4883">
        <f t="shared" si="19"/>
        <v>66.833333333333329</v>
      </c>
      <c r="S36" s="4884">
        <v>69</v>
      </c>
      <c r="T36" s="4884">
        <v>69</v>
      </c>
      <c r="U36" s="4884">
        <v>68</v>
      </c>
      <c r="V36" s="4884">
        <v>70</v>
      </c>
      <c r="W36" s="4884">
        <v>70</v>
      </c>
      <c r="X36" s="4884">
        <v>68</v>
      </c>
      <c r="Y36" s="4836">
        <v>69</v>
      </c>
      <c r="Z36" s="4836">
        <v>66</v>
      </c>
      <c r="AA36" s="559">
        <v>66</v>
      </c>
      <c r="AB36" s="4836">
        <v>67</v>
      </c>
      <c r="AC36" s="4836">
        <v>67</v>
      </c>
      <c r="AD36" s="4884">
        <v>71</v>
      </c>
      <c r="AE36" s="886"/>
      <c r="AF36" s="1102">
        <f t="shared" si="7"/>
        <v>68.333333333333329</v>
      </c>
      <c r="AH36" s="4836">
        <v>72</v>
      </c>
      <c r="AI36" s="4884">
        <v>72</v>
      </c>
      <c r="AJ36" s="4836">
        <v>73</v>
      </c>
      <c r="AK36" s="4884">
        <v>71</v>
      </c>
      <c r="AL36" s="4836">
        <v>70</v>
      </c>
      <c r="AM36" s="4836">
        <v>68</v>
      </c>
      <c r="AN36" s="4836">
        <v>70</v>
      </c>
      <c r="AO36" s="4836">
        <v>68</v>
      </c>
      <c r="AP36" s="4836">
        <v>65</v>
      </c>
      <c r="AQ36" s="4836">
        <v>65</v>
      </c>
      <c r="AR36" s="4836">
        <v>65</v>
      </c>
      <c r="AS36" s="4884">
        <v>62</v>
      </c>
      <c r="AT36" s="886"/>
      <c r="AU36" s="1102">
        <f t="shared" si="8"/>
        <v>68.416666666666671</v>
      </c>
      <c r="AW36" s="4836">
        <v>65</v>
      </c>
      <c r="AX36" s="4884">
        <v>66</v>
      </c>
      <c r="AY36" s="4836"/>
      <c r="AZ36" s="4884"/>
      <c r="BA36" s="4836"/>
      <c r="BB36" s="4836"/>
      <c r="BC36" s="4836"/>
      <c r="BD36" s="4836"/>
      <c r="BE36" s="4836"/>
      <c r="BF36" s="4836"/>
      <c r="BG36" s="4836"/>
      <c r="BH36" s="4884"/>
      <c r="BI36" s="886"/>
      <c r="BJ36" s="1102">
        <f t="shared" si="17"/>
        <v>65.5</v>
      </c>
      <c r="BL36" s="4878">
        <f>AW36/$AW$32</f>
        <v>0.20249221183800623</v>
      </c>
      <c r="BM36" s="4879">
        <v>27</v>
      </c>
      <c r="BN36" s="4880">
        <f t="shared" si="18"/>
        <v>0.41538461538461541</v>
      </c>
      <c r="BO36" s="4881">
        <v>36.363636363636367</v>
      </c>
      <c r="BP36" s="4882">
        <v>6.1526774595267719</v>
      </c>
    </row>
    <row r="37" spans="1:68" x14ac:dyDescent="0.55000000000000004">
      <c r="A37" s="7179"/>
      <c r="B37" s="1550"/>
      <c r="C37" s="1576" t="s">
        <v>189</v>
      </c>
      <c r="D37" s="4898">
        <f t="shared" ref="D37:N37" si="24">SUM(D38:D41)</f>
        <v>594</v>
      </c>
      <c r="E37" s="4898">
        <f t="shared" si="24"/>
        <v>592</v>
      </c>
      <c r="F37" s="4898">
        <f t="shared" si="24"/>
        <v>592</v>
      </c>
      <c r="G37" s="4898">
        <f t="shared" si="24"/>
        <v>589</v>
      </c>
      <c r="H37" s="4898">
        <f t="shared" si="24"/>
        <v>592</v>
      </c>
      <c r="I37" s="4898">
        <f t="shared" si="24"/>
        <v>584</v>
      </c>
      <c r="J37" s="4898">
        <f t="shared" si="24"/>
        <v>583</v>
      </c>
      <c r="K37" s="4898">
        <f t="shared" si="24"/>
        <v>580</v>
      </c>
      <c r="L37" s="4898">
        <f t="shared" si="24"/>
        <v>578</v>
      </c>
      <c r="M37" s="4898">
        <f t="shared" si="24"/>
        <v>582</v>
      </c>
      <c r="N37" s="4898">
        <f t="shared" si="24"/>
        <v>590</v>
      </c>
      <c r="O37" s="4898">
        <f>SUM(O38:O41)</f>
        <v>277</v>
      </c>
      <c r="P37" s="1576"/>
      <c r="Q37" s="4899">
        <f t="shared" si="19"/>
        <v>561.08333333333337</v>
      </c>
      <c r="S37" s="4900">
        <f t="shared" ref="S37:Z37" si="25">SUM(S38:S41)</f>
        <v>268</v>
      </c>
      <c r="T37" s="4900">
        <f t="shared" si="25"/>
        <v>275</v>
      </c>
      <c r="U37" s="4900">
        <f t="shared" si="25"/>
        <v>269</v>
      </c>
      <c r="V37" s="4900">
        <f t="shared" si="25"/>
        <v>281</v>
      </c>
      <c r="W37" s="4900">
        <f t="shared" si="25"/>
        <v>282</v>
      </c>
      <c r="X37" s="4900">
        <f t="shared" si="25"/>
        <v>275</v>
      </c>
      <c r="Y37" s="4898">
        <f t="shared" si="25"/>
        <v>279</v>
      </c>
      <c r="Z37" s="4898">
        <f t="shared" si="25"/>
        <v>274</v>
      </c>
      <c r="AA37" s="4898">
        <f>SUM(AA38:AA41)</f>
        <v>278</v>
      </c>
      <c r="AB37" s="4898">
        <f>SUM(AB38:AB41)</f>
        <v>280</v>
      </c>
      <c r="AC37" s="4901">
        <v>278</v>
      </c>
      <c r="AD37" s="4900">
        <v>282</v>
      </c>
      <c r="AE37" s="1576"/>
      <c r="AF37" s="2895">
        <f t="shared" si="7"/>
        <v>276.75</v>
      </c>
      <c r="AH37" s="4901">
        <v>283</v>
      </c>
      <c r="AI37" s="4900">
        <v>280</v>
      </c>
      <c r="AJ37" s="4898">
        <v>286</v>
      </c>
      <c r="AK37" s="4900">
        <v>278</v>
      </c>
      <c r="AL37" s="4898">
        <v>274</v>
      </c>
      <c r="AM37" s="4898">
        <v>273</v>
      </c>
      <c r="AN37" s="4898">
        <v>266</v>
      </c>
      <c r="AO37" s="4898">
        <v>272</v>
      </c>
      <c r="AP37" s="4898">
        <v>266</v>
      </c>
      <c r="AQ37" s="4898">
        <v>269</v>
      </c>
      <c r="AR37" s="4901">
        <v>272</v>
      </c>
      <c r="AS37" s="4900">
        <v>270</v>
      </c>
      <c r="AT37" s="1576"/>
      <c r="AU37" s="2895">
        <f t="shared" si="8"/>
        <v>274.08333333333331</v>
      </c>
      <c r="AW37" s="4901">
        <v>269</v>
      </c>
      <c r="AX37" s="4900">
        <v>273</v>
      </c>
      <c r="AY37" s="4898"/>
      <c r="AZ37" s="4900"/>
      <c r="BA37" s="4898"/>
      <c r="BB37" s="4898"/>
      <c r="BC37" s="4898"/>
      <c r="BD37" s="4898"/>
      <c r="BE37" s="4898"/>
      <c r="BF37" s="4898"/>
      <c r="BG37" s="4901"/>
      <c r="BH37" s="4900"/>
      <c r="BI37" s="1576"/>
      <c r="BJ37" s="2895">
        <f t="shared" si="17"/>
        <v>271</v>
      </c>
      <c r="BL37" s="4902">
        <f>AW37/$AW$4</f>
        <v>0.12177455862381167</v>
      </c>
      <c r="BM37" s="4903">
        <v>90</v>
      </c>
      <c r="BN37" s="4904">
        <f t="shared" si="18"/>
        <v>0.33457249070631973</v>
      </c>
      <c r="BO37" s="4905">
        <v>37.227106227106226</v>
      </c>
      <c r="BP37" s="4906">
        <v>7.2008229213708637</v>
      </c>
    </row>
    <row r="38" spans="1:68" ht="20.8" customHeight="1" x14ac:dyDescent="0.55000000000000004">
      <c r="A38" s="7179"/>
      <c r="B38" s="1550"/>
      <c r="C38" s="886" t="s">
        <v>204</v>
      </c>
      <c r="D38" s="559">
        <v>63</v>
      </c>
      <c r="E38" s="559">
        <v>63</v>
      </c>
      <c r="F38" s="559">
        <v>63</v>
      </c>
      <c r="G38" s="559">
        <v>63</v>
      </c>
      <c r="H38" s="559">
        <v>63</v>
      </c>
      <c r="I38" s="559">
        <v>62</v>
      </c>
      <c r="J38" s="559">
        <v>63</v>
      </c>
      <c r="K38" s="559">
        <v>63</v>
      </c>
      <c r="L38" s="559">
        <v>63</v>
      </c>
      <c r="M38" s="559">
        <v>63</v>
      </c>
      <c r="N38" s="559">
        <v>63</v>
      </c>
      <c r="O38" s="559">
        <v>29</v>
      </c>
      <c r="P38" s="886"/>
      <c r="Q38" s="4883">
        <f t="shared" si="19"/>
        <v>60.083333333333336</v>
      </c>
      <c r="S38" s="4884">
        <v>32</v>
      </c>
      <c r="T38" s="4884">
        <v>33</v>
      </c>
      <c r="U38" s="4884">
        <v>30</v>
      </c>
      <c r="V38" s="4884">
        <v>31</v>
      </c>
      <c r="W38" s="4884">
        <v>31</v>
      </c>
      <c r="X38" s="4884">
        <v>31</v>
      </c>
      <c r="Y38" s="4836">
        <v>31</v>
      </c>
      <c r="Z38" s="4836">
        <v>31</v>
      </c>
      <c r="AA38" s="4836">
        <v>31</v>
      </c>
      <c r="AB38" s="4836">
        <v>32</v>
      </c>
      <c r="AC38" s="4836">
        <v>32</v>
      </c>
      <c r="AD38" s="4884">
        <v>35</v>
      </c>
      <c r="AE38" s="886"/>
      <c r="AF38" s="1102">
        <f t="shared" si="7"/>
        <v>31.666666666666668</v>
      </c>
      <c r="AH38" s="4836">
        <v>36</v>
      </c>
      <c r="AI38" s="4884">
        <v>38</v>
      </c>
      <c r="AJ38" s="4836">
        <v>37</v>
      </c>
      <c r="AK38" s="4884">
        <v>38</v>
      </c>
      <c r="AL38" s="4836">
        <v>38</v>
      </c>
      <c r="AM38" s="4836">
        <v>38</v>
      </c>
      <c r="AN38" s="4836">
        <v>34</v>
      </c>
      <c r="AO38" s="4836">
        <v>34</v>
      </c>
      <c r="AP38" s="4836">
        <v>33</v>
      </c>
      <c r="AQ38" s="4836">
        <v>34</v>
      </c>
      <c r="AR38" s="4836">
        <v>34</v>
      </c>
      <c r="AS38" s="4884">
        <v>33</v>
      </c>
      <c r="AT38" s="886"/>
      <c r="AU38" s="1102">
        <f t="shared" si="8"/>
        <v>35.583333333333336</v>
      </c>
      <c r="AW38" s="4836">
        <v>33</v>
      </c>
      <c r="AX38" s="4884">
        <v>33</v>
      </c>
      <c r="AY38" s="4836"/>
      <c r="AZ38" s="4884"/>
      <c r="BA38" s="4836"/>
      <c r="BB38" s="4836"/>
      <c r="BC38" s="4836"/>
      <c r="BD38" s="4836"/>
      <c r="BE38" s="4836"/>
      <c r="BF38" s="4836"/>
      <c r="BG38" s="4836"/>
      <c r="BH38" s="4884"/>
      <c r="BI38" s="886"/>
      <c r="BJ38" s="1102">
        <f t="shared" si="17"/>
        <v>33</v>
      </c>
      <c r="BL38" s="4878">
        <f>AW38/$AW$37</f>
        <v>0.12267657992565056</v>
      </c>
      <c r="BM38" s="4879">
        <v>10</v>
      </c>
      <c r="BN38" s="4880">
        <f t="shared" si="18"/>
        <v>0.30303030303030304</v>
      </c>
      <c r="BO38" s="4881">
        <v>42.878787878787875</v>
      </c>
      <c r="BP38" s="4882">
        <v>12.624159402241592</v>
      </c>
    </row>
    <row r="39" spans="1:68" x14ac:dyDescent="0.55000000000000004">
      <c r="A39" s="7179"/>
      <c r="B39" s="1550"/>
      <c r="C39" s="886" t="s">
        <v>65</v>
      </c>
      <c r="D39" s="559">
        <v>34</v>
      </c>
      <c r="E39" s="559">
        <v>34</v>
      </c>
      <c r="F39" s="559">
        <v>35</v>
      </c>
      <c r="G39" s="559">
        <v>35</v>
      </c>
      <c r="H39" s="559">
        <v>37</v>
      </c>
      <c r="I39" s="559">
        <v>37</v>
      </c>
      <c r="J39" s="559">
        <v>37</v>
      </c>
      <c r="K39" s="559">
        <v>37</v>
      </c>
      <c r="L39" s="559">
        <v>39</v>
      </c>
      <c r="M39" s="559">
        <v>39</v>
      </c>
      <c r="N39" s="559">
        <v>39</v>
      </c>
      <c r="O39" s="559">
        <v>16</v>
      </c>
      <c r="P39" s="886"/>
      <c r="Q39" s="4883">
        <f t="shared" si="19"/>
        <v>34.916666666666664</v>
      </c>
      <c r="S39" s="4884">
        <v>13</v>
      </c>
      <c r="T39" s="4884">
        <v>13</v>
      </c>
      <c r="U39" s="4884">
        <v>16</v>
      </c>
      <c r="V39" s="4884">
        <v>17</v>
      </c>
      <c r="W39" s="4884">
        <v>16</v>
      </c>
      <c r="X39" s="4884">
        <v>16</v>
      </c>
      <c r="Y39" s="4836">
        <v>16</v>
      </c>
      <c r="Z39" s="4836">
        <v>13</v>
      </c>
      <c r="AA39" s="559">
        <v>15</v>
      </c>
      <c r="AB39" s="4836">
        <v>15</v>
      </c>
      <c r="AC39" s="4836">
        <v>15</v>
      </c>
      <c r="AD39" s="4884">
        <v>15</v>
      </c>
      <c r="AE39" s="886"/>
      <c r="AF39" s="1102">
        <f t="shared" si="7"/>
        <v>15</v>
      </c>
      <c r="AH39" s="4836">
        <v>15</v>
      </c>
      <c r="AI39" s="4884">
        <v>12</v>
      </c>
      <c r="AJ39" s="4836">
        <v>13</v>
      </c>
      <c r="AK39" s="4884">
        <v>13</v>
      </c>
      <c r="AL39" s="4836">
        <v>12</v>
      </c>
      <c r="AM39" s="4836">
        <v>12</v>
      </c>
      <c r="AN39" s="4836">
        <v>14</v>
      </c>
      <c r="AO39" s="4836">
        <v>12</v>
      </c>
      <c r="AP39" s="4836">
        <v>12</v>
      </c>
      <c r="AQ39" s="4836">
        <v>12</v>
      </c>
      <c r="AR39" s="4836">
        <v>12</v>
      </c>
      <c r="AS39" s="4884">
        <v>8</v>
      </c>
      <c r="AT39" s="886"/>
      <c r="AU39" s="1102">
        <f t="shared" si="8"/>
        <v>12.25</v>
      </c>
      <c r="AW39" s="4836">
        <v>7</v>
      </c>
      <c r="AX39" s="4884">
        <v>7</v>
      </c>
      <c r="AY39" s="4836"/>
      <c r="AZ39" s="4884"/>
      <c r="BA39" s="4836"/>
      <c r="BB39" s="4836"/>
      <c r="BC39" s="4836"/>
      <c r="BD39" s="4836"/>
      <c r="BE39" s="4836"/>
      <c r="BF39" s="4836"/>
      <c r="BG39" s="4836"/>
      <c r="BH39" s="4884"/>
      <c r="BI39" s="886"/>
      <c r="BJ39" s="1102">
        <f t="shared" si="17"/>
        <v>7</v>
      </c>
      <c r="BL39" s="4878">
        <f>AW39/$AW$37</f>
        <v>2.6022304832713755E-2</v>
      </c>
      <c r="BM39" s="4879">
        <v>0</v>
      </c>
      <c r="BN39" s="4880">
        <f t="shared" si="18"/>
        <v>0</v>
      </c>
      <c r="BO39" s="4881">
        <v>47.428571428571431</v>
      </c>
      <c r="BP39" s="4882">
        <v>8.2904109589041095</v>
      </c>
    </row>
    <row r="40" spans="1:68" x14ac:dyDescent="0.55000000000000004">
      <c r="A40" s="7179"/>
      <c r="B40" s="1550"/>
      <c r="C40" s="886" t="s">
        <v>19</v>
      </c>
      <c r="D40" s="559">
        <v>401</v>
      </c>
      <c r="E40" s="559">
        <v>399</v>
      </c>
      <c r="F40" s="559">
        <v>401</v>
      </c>
      <c r="G40" s="559">
        <v>400</v>
      </c>
      <c r="H40" s="559">
        <v>402</v>
      </c>
      <c r="I40" s="559">
        <v>397</v>
      </c>
      <c r="J40" s="559">
        <v>388</v>
      </c>
      <c r="K40" s="559">
        <v>389</v>
      </c>
      <c r="L40" s="559">
        <v>389</v>
      </c>
      <c r="M40" s="559">
        <v>392</v>
      </c>
      <c r="N40" s="559">
        <v>396</v>
      </c>
      <c r="O40" s="559">
        <v>184</v>
      </c>
      <c r="P40" s="886"/>
      <c r="Q40" s="4883">
        <f t="shared" si="19"/>
        <v>378.16666666666669</v>
      </c>
      <c r="S40" s="4884">
        <v>180</v>
      </c>
      <c r="T40" s="4884">
        <v>184</v>
      </c>
      <c r="U40" s="4884">
        <v>179</v>
      </c>
      <c r="V40" s="4884">
        <v>184</v>
      </c>
      <c r="W40" s="4884">
        <v>187</v>
      </c>
      <c r="X40" s="4884">
        <v>183</v>
      </c>
      <c r="Y40" s="4836">
        <v>184</v>
      </c>
      <c r="Z40" s="4836">
        <v>183</v>
      </c>
      <c r="AA40" s="559">
        <v>186</v>
      </c>
      <c r="AB40" s="4836">
        <v>184</v>
      </c>
      <c r="AC40" s="4836">
        <v>185</v>
      </c>
      <c r="AD40" s="4884">
        <v>186</v>
      </c>
      <c r="AE40" s="886"/>
      <c r="AF40" s="1102">
        <f t="shared" si="7"/>
        <v>183.75</v>
      </c>
      <c r="AH40" s="4836">
        <v>184</v>
      </c>
      <c r="AI40" s="4884">
        <v>181</v>
      </c>
      <c r="AJ40" s="4836">
        <v>186</v>
      </c>
      <c r="AK40" s="4884">
        <v>181</v>
      </c>
      <c r="AL40" s="4836">
        <v>179</v>
      </c>
      <c r="AM40" s="4836">
        <v>178</v>
      </c>
      <c r="AN40" s="4836">
        <v>172</v>
      </c>
      <c r="AO40" s="4836">
        <v>178</v>
      </c>
      <c r="AP40" s="4836">
        <v>178</v>
      </c>
      <c r="AQ40" s="4836">
        <v>179</v>
      </c>
      <c r="AR40" s="4836">
        <v>181</v>
      </c>
      <c r="AS40" s="4884">
        <v>184</v>
      </c>
      <c r="AT40" s="886"/>
      <c r="AU40" s="1102">
        <f t="shared" si="8"/>
        <v>180.08333333333334</v>
      </c>
      <c r="AW40" s="4836">
        <v>183</v>
      </c>
      <c r="AX40" s="4884">
        <v>186</v>
      </c>
      <c r="AY40" s="4836"/>
      <c r="AZ40" s="4884"/>
      <c r="BA40" s="4836"/>
      <c r="BB40" s="4836"/>
      <c r="BC40" s="4836"/>
      <c r="BD40" s="4836"/>
      <c r="BE40" s="4836"/>
      <c r="BF40" s="4836"/>
      <c r="BG40" s="4836"/>
      <c r="BH40" s="4884"/>
      <c r="BI40" s="886"/>
      <c r="BJ40" s="1102">
        <f t="shared" si="17"/>
        <v>184.5</v>
      </c>
      <c r="BL40" s="4878">
        <f>AW40/$AW$37</f>
        <v>0.6802973977695167</v>
      </c>
      <c r="BM40" s="4879">
        <v>60</v>
      </c>
      <c r="BN40" s="4880">
        <f t="shared" si="18"/>
        <v>0.32786885245901637</v>
      </c>
      <c r="BO40" s="4881">
        <v>36.215053763440864</v>
      </c>
      <c r="BP40" s="4882">
        <v>6.4073648549123545</v>
      </c>
    </row>
    <row r="41" spans="1:68" x14ac:dyDescent="0.55000000000000004">
      <c r="A41" s="7179"/>
      <c r="B41" s="1550"/>
      <c r="C41" s="886" t="s">
        <v>20</v>
      </c>
      <c r="D41" s="559">
        <v>96</v>
      </c>
      <c r="E41" s="559">
        <v>96</v>
      </c>
      <c r="F41" s="559">
        <v>93</v>
      </c>
      <c r="G41" s="559">
        <v>91</v>
      </c>
      <c r="H41" s="559">
        <v>90</v>
      </c>
      <c r="I41" s="559">
        <v>88</v>
      </c>
      <c r="J41" s="559">
        <v>95</v>
      </c>
      <c r="K41" s="559">
        <v>91</v>
      </c>
      <c r="L41" s="559">
        <v>87</v>
      </c>
      <c r="M41" s="559">
        <v>88</v>
      </c>
      <c r="N41" s="559">
        <v>92</v>
      </c>
      <c r="O41" s="559">
        <v>48</v>
      </c>
      <c r="P41" s="886"/>
      <c r="Q41" s="4883">
        <f t="shared" si="19"/>
        <v>87.916666666666671</v>
      </c>
      <c r="S41" s="4884">
        <v>43</v>
      </c>
      <c r="T41" s="4884">
        <v>45</v>
      </c>
      <c r="U41" s="4884">
        <v>44</v>
      </c>
      <c r="V41" s="4884">
        <v>49</v>
      </c>
      <c r="W41" s="4884">
        <v>48</v>
      </c>
      <c r="X41" s="4884">
        <v>45</v>
      </c>
      <c r="Y41" s="4836">
        <v>48</v>
      </c>
      <c r="Z41" s="4836">
        <v>47</v>
      </c>
      <c r="AA41" s="559">
        <v>46</v>
      </c>
      <c r="AB41" s="4836">
        <v>49</v>
      </c>
      <c r="AC41" s="4836">
        <v>46</v>
      </c>
      <c r="AD41" s="4884">
        <v>46</v>
      </c>
      <c r="AE41" s="886"/>
      <c r="AF41" s="1102">
        <f t="shared" si="7"/>
        <v>46.333333333333336</v>
      </c>
      <c r="AH41" s="4836">
        <v>48</v>
      </c>
      <c r="AI41" s="4884">
        <v>49</v>
      </c>
      <c r="AJ41" s="4836">
        <v>50</v>
      </c>
      <c r="AK41" s="4884">
        <v>46</v>
      </c>
      <c r="AL41" s="4836">
        <v>45</v>
      </c>
      <c r="AM41" s="4836">
        <v>45</v>
      </c>
      <c r="AN41" s="4836">
        <v>46</v>
      </c>
      <c r="AO41" s="4836">
        <v>48</v>
      </c>
      <c r="AP41" s="4836">
        <v>43</v>
      </c>
      <c r="AQ41" s="4836">
        <v>44</v>
      </c>
      <c r="AR41" s="4836">
        <v>45</v>
      </c>
      <c r="AS41" s="4884">
        <v>45</v>
      </c>
      <c r="AT41" s="886"/>
      <c r="AU41" s="1102">
        <f t="shared" si="8"/>
        <v>46.166666666666664</v>
      </c>
      <c r="AW41" s="4836">
        <v>46</v>
      </c>
      <c r="AX41" s="4884">
        <v>47</v>
      </c>
      <c r="AY41" s="4836"/>
      <c r="AZ41" s="4884"/>
      <c r="BA41" s="4836"/>
      <c r="BB41" s="4836"/>
      <c r="BC41" s="4836"/>
      <c r="BD41" s="4836"/>
      <c r="BE41" s="4836"/>
      <c r="BF41" s="4836"/>
      <c r="BG41" s="4836"/>
      <c r="BH41" s="4884"/>
      <c r="BI41" s="886"/>
      <c r="BJ41" s="1102">
        <f t="shared" si="17"/>
        <v>46.5</v>
      </c>
      <c r="BL41" s="4878">
        <f>AW41/$AW$37</f>
        <v>0.17100371747211895</v>
      </c>
      <c r="BM41" s="4879">
        <v>20</v>
      </c>
      <c r="BN41" s="4880">
        <f t="shared" si="18"/>
        <v>0.43478260869565216</v>
      </c>
      <c r="BO41" s="4881">
        <v>35.744680851063826</v>
      </c>
      <c r="BP41" s="4882">
        <v>6.3707373943456718</v>
      </c>
    </row>
    <row r="42" spans="1:68" x14ac:dyDescent="0.55000000000000004">
      <c r="A42" s="7179"/>
      <c r="B42" s="1550"/>
      <c r="C42" s="1576" t="s">
        <v>190</v>
      </c>
      <c r="D42" s="4898">
        <f t="shared" ref="D42:N42" si="26">SUM(D43:D46)</f>
        <v>0</v>
      </c>
      <c r="E42" s="4898">
        <f t="shared" si="26"/>
        <v>0</v>
      </c>
      <c r="F42" s="4898">
        <f t="shared" si="26"/>
        <v>0</v>
      </c>
      <c r="G42" s="4898">
        <f t="shared" si="26"/>
        <v>0</v>
      </c>
      <c r="H42" s="4898">
        <f t="shared" si="26"/>
        <v>0</v>
      </c>
      <c r="I42" s="4898">
        <f>SUM(I43:I46)</f>
        <v>0</v>
      </c>
      <c r="J42" s="4898">
        <f t="shared" si="26"/>
        <v>0</v>
      </c>
      <c r="K42" s="4898">
        <f t="shared" si="26"/>
        <v>0</v>
      </c>
      <c r="L42" s="4898">
        <f t="shared" si="26"/>
        <v>0</v>
      </c>
      <c r="M42" s="4898">
        <f t="shared" si="26"/>
        <v>0</v>
      </c>
      <c r="N42" s="4898">
        <f t="shared" si="26"/>
        <v>0</v>
      </c>
      <c r="O42" s="4898">
        <f>SUM(O43:O46)</f>
        <v>342</v>
      </c>
      <c r="P42" s="1576"/>
      <c r="Q42" s="4899">
        <f t="shared" si="19"/>
        <v>28.5</v>
      </c>
      <c r="S42" s="4900">
        <f t="shared" ref="S42:AB42" si="27">SUM(S43:S46)</f>
        <v>324</v>
      </c>
      <c r="T42" s="4900">
        <f t="shared" si="27"/>
        <v>325</v>
      </c>
      <c r="U42" s="4900">
        <f t="shared" si="27"/>
        <v>326</v>
      </c>
      <c r="V42" s="4900">
        <f t="shared" si="27"/>
        <v>327</v>
      </c>
      <c r="W42" s="4900">
        <f t="shared" si="27"/>
        <v>327</v>
      </c>
      <c r="X42" s="4900">
        <f t="shared" si="27"/>
        <v>338</v>
      </c>
      <c r="Y42" s="4898">
        <f t="shared" si="27"/>
        <v>342</v>
      </c>
      <c r="Z42" s="4898">
        <f t="shared" si="27"/>
        <v>339</v>
      </c>
      <c r="AA42" s="4898">
        <f t="shared" si="27"/>
        <v>340</v>
      </c>
      <c r="AB42" s="4898">
        <f t="shared" si="27"/>
        <v>340</v>
      </c>
      <c r="AC42" s="4901">
        <v>346</v>
      </c>
      <c r="AD42" s="4900">
        <v>345</v>
      </c>
      <c r="AE42" s="1576"/>
      <c r="AF42" s="2895">
        <f t="shared" si="7"/>
        <v>334.91666666666669</v>
      </c>
      <c r="AH42" s="4901">
        <v>348</v>
      </c>
      <c r="AI42" s="4900">
        <v>343</v>
      </c>
      <c r="AJ42" s="4898">
        <v>342</v>
      </c>
      <c r="AK42" s="4900">
        <v>341</v>
      </c>
      <c r="AL42" s="4898">
        <v>338</v>
      </c>
      <c r="AM42" s="4898">
        <v>332</v>
      </c>
      <c r="AN42" s="4898">
        <v>333</v>
      </c>
      <c r="AO42" s="4898">
        <v>325</v>
      </c>
      <c r="AP42" s="4898">
        <v>325</v>
      </c>
      <c r="AQ42" s="4898">
        <v>319</v>
      </c>
      <c r="AR42" s="4901">
        <v>312</v>
      </c>
      <c r="AS42" s="4900">
        <v>316</v>
      </c>
      <c r="AT42" s="1576"/>
      <c r="AU42" s="2895">
        <f t="shared" si="8"/>
        <v>331.16666666666669</v>
      </c>
      <c r="AW42" s="4901">
        <v>320</v>
      </c>
      <c r="AX42" s="4900">
        <v>321</v>
      </c>
      <c r="AY42" s="4898"/>
      <c r="AZ42" s="4900"/>
      <c r="BA42" s="4898"/>
      <c r="BB42" s="4898"/>
      <c r="BC42" s="4898"/>
      <c r="BD42" s="4898"/>
      <c r="BE42" s="4898"/>
      <c r="BF42" s="4898"/>
      <c r="BG42" s="4901"/>
      <c r="BH42" s="4900"/>
      <c r="BI42" s="1576"/>
      <c r="BJ42" s="2895">
        <f t="shared" si="17"/>
        <v>320.5</v>
      </c>
      <c r="BL42" s="4902">
        <f>AW42/$AW$4</f>
        <v>0.14486192847442281</v>
      </c>
      <c r="BM42" s="4903">
        <v>109</v>
      </c>
      <c r="BN42" s="4904">
        <f t="shared" si="18"/>
        <v>0.34062500000000001</v>
      </c>
      <c r="BO42" s="4905">
        <v>34.610591900311526</v>
      </c>
      <c r="BP42" s="4906">
        <v>5.9740110101139443</v>
      </c>
    </row>
    <row r="43" spans="1:68" x14ac:dyDescent="0.55000000000000004">
      <c r="A43" s="7179"/>
      <c r="B43" s="1550"/>
      <c r="C43" s="886" t="s">
        <v>204</v>
      </c>
      <c r="O43" s="559">
        <v>32</v>
      </c>
      <c r="P43" s="886"/>
      <c r="Q43" s="4883">
        <f t="shared" si="19"/>
        <v>32</v>
      </c>
      <c r="S43" s="4884">
        <v>36</v>
      </c>
      <c r="T43" s="4884">
        <v>36</v>
      </c>
      <c r="U43" s="4884">
        <v>34</v>
      </c>
      <c r="V43" s="4884">
        <v>33</v>
      </c>
      <c r="W43" s="4884">
        <v>32</v>
      </c>
      <c r="X43" s="4884">
        <v>34</v>
      </c>
      <c r="Y43" s="4836">
        <v>34</v>
      </c>
      <c r="Z43" s="4836">
        <v>36</v>
      </c>
      <c r="AA43" s="4836">
        <v>37</v>
      </c>
      <c r="AB43" s="4836">
        <v>36</v>
      </c>
      <c r="AC43" s="4836">
        <v>36</v>
      </c>
      <c r="AD43" s="4884">
        <v>36</v>
      </c>
      <c r="AE43" s="886"/>
      <c r="AF43" s="1102">
        <f t="shared" si="7"/>
        <v>35</v>
      </c>
      <c r="AH43" s="4836">
        <v>38</v>
      </c>
      <c r="AI43" s="4884">
        <v>38</v>
      </c>
      <c r="AJ43" s="4836">
        <v>37</v>
      </c>
      <c r="AK43" s="4884">
        <v>38</v>
      </c>
      <c r="AL43" s="4836">
        <v>37</v>
      </c>
      <c r="AM43" s="4836">
        <v>37</v>
      </c>
      <c r="AN43" s="4836">
        <v>35</v>
      </c>
      <c r="AO43" s="4836">
        <v>35</v>
      </c>
      <c r="AP43" s="4836">
        <v>34</v>
      </c>
      <c r="AQ43" s="4836">
        <v>36</v>
      </c>
      <c r="AR43" s="4836">
        <v>35</v>
      </c>
      <c r="AS43" s="4884">
        <v>34</v>
      </c>
      <c r="AT43" s="886"/>
      <c r="AU43" s="1102">
        <f t="shared" si="8"/>
        <v>36.166666666666664</v>
      </c>
      <c r="AW43" s="4836">
        <v>34</v>
      </c>
      <c r="AX43" s="4884">
        <v>34</v>
      </c>
      <c r="AY43" s="4836"/>
      <c r="AZ43" s="4884"/>
      <c r="BA43" s="4836"/>
      <c r="BB43" s="4836"/>
      <c r="BC43" s="4836"/>
      <c r="BD43" s="4836"/>
      <c r="BE43" s="4836"/>
      <c r="BF43" s="4836"/>
      <c r="BG43" s="4836"/>
      <c r="BH43" s="4884"/>
      <c r="BI43" s="886"/>
      <c r="BJ43" s="1102">
        <f t="shared" si="17"/>
        <v>34</v>
      </c>
      <c r="BL43" s="4878">
        <f>AW43/$AW$42</f>
        <v>0.10625</v>
      </c>
      <c r="BM43" s="4879">
        <v>13</v>
      </c>
      <c r="BN43" s="4880">
        <f t="shared" si="18"/>
        <v>0.38235294117647056</v>
      </c>
      <c r="BO43" s="4881">
        <v>41.235294117647058</v>
      </c>
      <c r="BP43" s="4882">
        <v>13.115149073327965</v>
      </c>
    </row>
    <row r="44" spans="1:68" x14ac:dyDescent="0.55000000000000004">
      <c r="A44" s="7179"/>
      <c r="B44" s="1550"/>
      <c r="C44" s="886" t="s">
        <v>65</v>
      </c>
      <c r="O44" s="559">
        <v>23</v>
      </c>
      <c r="P44" s="886"/>
      <c r="Q44" s="4883">
        <f t="shared" si="19"/>
        <v>23</v>
      </c>
      <c r="S44" s="4884">
        <v>17</v>
      </c>
      <c r="T44" s="4884">
        <v>17</v>
      </c>
      <c r="U44" s="4884">
        <v>20</v>
      </c>
      <c r="V44" s="4884">
        <v>19</v>
      </c>
      <c r="W44" s="4884">
        <v>20</v>
      </c>
      <c r="X44" s="4884">
        <v>22</v>
      </c>
      <c r="Y44" s="4836">
        <v>23</v>
      </c>
      <c r="Z44" s="4836">
        <v>21</v>
      </c>
      <c r="AA44" s="559">
        <v>20</v>
      </c>
      <c r="AB44" s="4836">
        <v>20</v>
      </c>
      <c r="AC44" s="4836">
        <v>21</v>
      </c>
      <c r="AD44" s="4884">
        <v>21</v>
      </c>
      <c r="AE44" s="886"/>
      <c r="AF44" s="1102">
        <f t="shared" si="7"/>
        <v>20.083333333333332</v>
      </c>
      <c r="AH44" s="4836">
        <v>21</v>
      </c>
      <c r="AI44" s="4884">
        <v>21</v>
      </c>
      <c r="AJ44" s="4836">
        <v>20</v>
      </c>
      <c r="AK44" s="4884">
        <v>18</v>
      </c>
      <c r="AL44" s="4836">
        <v>18</v>
      </c>
      <c r="AM44" s="4836">
        <v>18</v>
      </c>
      <c r="AN44" s="4836">
        <v>19</v>
      </c>
      <c r="AO44" s="4836">
        <v>19</v>
      </c>
      <c r="AP44" s="4836">
        <v>17</v>
      </c>
      <c r="AQ44" s="4836">
        <v>16</v>
      </c>
      <c r="AR44" s="4836">
        <v>14</v>
      </c>
      <c r="AS44" s="4884">
        <v>9</v>
      </c>
      <c r="AT44" s="886"/>
      <c r="AU44" s="1102">
        <f t="shared" si="8"/>
        <v>17.5</v>
      </c>
      <c r="AW44" s="4836">
        <v>9</v>
      </c>
      <c r="AX44" s="4884">
        <v>9</v>
      </c>
      <c r="AY44" s="4836"/>
      <c r="AZ44" s="4884"/>
      <c r="BA44" s="4836"/>
      <c r="BB44" s="4836"/>
      <c r="BC44" s="4836"/>
      <c r="BD44" s="4836"/>
      <c r="BE44" s="4836"/>
      <c r="BF44" s="4836"/>
      <c r="BG44" s="4836"/>
      <c r="BH44" s="4884"/>
      <c r="BI44" s="886"/>
      <c r="BJ44" s="1102">
        <f t="shared" si="17"/>
        <v>9</v>
      </c>
      <c r="BL44" s="4878">
        <f>AW44/$AW$42</f>
        <v>2.8125000000000001E-2</v>
      </c>
      <c r="BM44" s="4879">
        <v>0</v>
      </c>
      <c r="BN44" s="4880">
        <f t="shared" si="18"/>
        <v>0</v>
      </c>
      <c r="BO44" s="4881">
        <v>38.111111111111114</v>
      </c>
      <c r="BP44" s="4882">
        <v>3.5954337899543378</v>
      </c>
    </row>
    <row r="45" spans="1:68" x14ac:dyDescent="0.55000000000000004">
      <c r="A45" s="7179"/>
      <c r="B45" s="1550"/>
      <c r="C45" s="886" t="s">
        <v>19</v>
      </c>
      <c r="O45" s="559">
        <v>246</v>
      </c>
      <c r="P45" s="886"/>
      <c r="Q45" s="4883">
        <f t="shared" si="19"/>
        <v>246</v>
      </c>
      <c r="S45" s="4884">
        <v>224</v>
      </c>
      <c r="T45" s="4884">
        <v>226</v>
      </c>
      <c r="U45" s="4884">
        <v>225</v>
      </c>
      <c r="V45" s="4884">
        <v>229</v>
      </c>
      <c r="W45" s="4884">
        <v>231</v>
      </c>
      <c r="X45" s="4884">
        <v>238</v>
      </c>
      <c r="Y45" s="4836">
        <v>245</v>
      </c>
      <c r="Z45" s="4836">
        <v>241</v>
      </c>
      <c r="AA45" s="559">
        <v>240</v>
      </c>
      <c r="AB45" s="4836">
        <v>242</v>
      </c>
      <c r="AC45" s="4836">
        <v>244</v>
      </c>
      <c r="AD45" s="4884">
        <v>244</v>
      </c>
      <c r="AE45" s="886"/>
      <c r="AF45" s="1102">
        <f t="shared" si="7"/>
        <v>235.75</v>
      </c>
      <c r="AH45" s="4836">
        <v>245</v>
      </c>
      <c r="AI45" s="4884">
        <v>242</v>
      </c>
      <c r="AJ45" s="4836">
        <v>241</v>
      </c>
      <c r="AK45" s="4884">
        <v>241</v>
      </c>
      <c r="AL45" s="4836">
        <v>241</v>
      </c>
      <c r="AM45" s="4836">
        <v>237</v>
      </c>
      <c r="AN45" s="4836">
        <v>236</v>
      </c>
      <c r="AO45" s="4836">
        <v>228</v>
      </c>
      <c r="AP45" s="4836">
        <v>229</v>
      </c>
      <c r="AQ45" s="4836">
        <v>224</v>
      </c>
      <c r="AR45" s="4836">
        <v>222</v>
      </c>
      <c r="AS45" s="4884">
        <v>231</v>
      </c>
      <c r="AT45" s="886"/>
      <c r="AU45" s="1102">
        <f t="shared" si="8"/>
        <v>234.75</v>
      </c>
      <c r="AW45" s="4836">
        <v>237</v>
      </c>
      <c r="AX45" s="4884">
        <v>236</v>
      </c>
      <c r="AY45" s="4836"/>
      <c r="AZ45" s="4884"/>
      <c r="BA45" s="4836"/>
      <c r="BB45" s="4836"/>
      <c r="BC45" s="4836"/>
      <c r="BD45" s="4836"/>
      <c r="BE45" s="4836"/>
      <c r="BF45" s="4836"/>
      <c r="BG45" s="4836"/>
      <c r="BH45" s="4884"/>
      <c r="BI45" s="886"/>
      <c r="BJ45" s="1102">
        <f t="shared" si="17"/>
        <v>236.5</v>
      </c>
      <c r="BL45" s="4878">
        <f>AW45/$AW$42</f>
        <v>0.74062499999999998</v>
      </c>
      <c r="BM45" s="4879">
        <v>79</v>
      </c>
      <c r="BN45" s="4880">
        <f t="shared" si="18"/>
        <v>0.33333333333333331</v>
      </c>
      <c r="BO45" s="4881">
        <v>33.699152542372879</v>
      </c>
      <c r="BP45" s="4882">
        <v>5.1548990016252638</v>
      </c>
    </row>
    <row r="46" spans="1:68" x14ac:dyDescent="0.55000000000000004">
      <c r="A46" s="7179"/>
      <c r="B46" s="1550"/>
      <c r="C46" s="886" t="s">
        <v>20</v>
      </c>
      <c r="O46" s="559">
        <v>41</v>
      </c>
      <c r="P46" s="886"/>
      <c r="Q46" s="4883">
        <f t="shared" si="19"/>
        <v>41</v>
      </c>
      <c r="S46" s="4884">
        <v>47</v>
      </c>
      <c r="T46" s="4884">
        <v>46</v>
      </c>
      <c r="U46" s="4884">
        <v>47</v>
      </c>
      <c r="V46" s="4884">
        <v>46</v>
      </c>
      <c r="W46" s="4884">
        <v>44</v>
      </c>
      <c r="X46" s="4884">
        <v>44</v>
      </c>
      <c r="Y46" s="4836">
        <v>40</v>
      </c>
      <c r="Z46" s="4836">
        <v>41</v>
      </c>
      <c r="AA46" s="559">
        <v>43</v>
      </c>
      <c r="AB46" s="4836">
        <v>42</v>
      </c>
      <c r="AC46" s="4836">
        <v>45</v>
      </c>
      <c r="AD46" s="4884">
        <v>44</v>
      </c>
      <c r="AE46" s="886"/>
      <c r="AF46" s="1102">
        <f t="shared" si="7"/>
        <v>44.083333333333336</v>
      </c>
      <c r="AH46" s="4836">
        <v>44</v>
      </c>
      <c r="AI46" s="4884">
        <v>42</v>
      </c>
      <c r="AJ46" s="4836">
        <v>44</v>
      </c>
      <c r="AK46" s="4884">
        <v>44</v>
      </c>
      <c r="AL46" s="4836">
        <v>42</v>
      </c>
      <c r="AM46" s="4836">
        <v>40</v>
      </c>
      <c r="AN46" s="4836">
        <v>43</v>
      </c>
      <c r="AO46" s="4836">
        <v>43</v>
      </c>
      <c r="AP46" s="4836">
        <v>45</v>
      </c>
      <c r="AQ46" s="4836">
        <v>43</v>
      </c>
      <c r="AR46" s="4836">
        <v>41</v>
      </c>
      <c r="AS46" s="4884">
        <v>42</v>
      </c>
      <c r="AT46" s="886"/>
      <c r="AU46" s="1102">
        <f t="shared" si="8"/>
        <v>42.75</v>
      </c>
      <c r="AW46" s="4836">
        <v>40</v>
      </c>
      <c r="AX46" s="4884">
        <v>42</v>
      </c>
      <c r="AY46" s="4836"/>
      <c r="AZ46" s="4884"/>
      <c r="BA46" s="4836"/>
      <c r="BB46" s="4836"/>
      <c r="BC46" s="4836"/>
      <c r="BD46" s="4836"/>
      <c r="BE46" s="4836"/>
      <c r="BF46" s="4836"/>
      <c r="BG46" s="4836"/>
      <c r="BH46" s="4884"/>
      <c r="BI46" s="886"/>
      <c r="BJ46" s="1102">
        <f t="shared" si="17"/>
        <v>41</v>
      </c>
      <c r="BL46" s="4878">
        <f>AW46/$AW$42</f>
        <v>0.125</v>
      </c>
      <c r="BM46" s="4879">
        <v>17</v>
      </c>
      <c r="BN46" s="4880">
        <f t="shared" si="18"/>
        <v>0.42499999999999999</v>
      </c>
      <c r="BO46" s="4881">
        <v>33.61904761904762</v>
      </c>
      <c r="BP46" s="4882">
        <v>5.3054142204827137</v>
      </c>
    </row>
    <row r="47" spans="1:68" x14ac:dyDescent="0.55000000000000004">
      <c r="A47" s="7179"/>
      <c r="B47" s="1550"/>
      <c r="C47" s="1576" t="s">
        <v>191</v>
      </c>
      <c r="D47" s="4898">
        <f t="shared" ref="D47:N47" si="28">SUM(D48:D51)</f>
        <v>433</v>
      </c>
      <c r="E47" s="4898">
        <f t="shared" si="28"/>
        <v>437</v>
      </c>
      <c r="F47" s="4898">
        <f t="shared" si="28"/>
        <v>437</v>
      </c>
      <c r="G47" s="4898">
        <f t="shared" si="28"/>
        <v>428</v>
      </c>
      <c r="H47" s="4898">
        <f t="shared" si="28"/>
        <v>432</v>
      </c>
      <c r="I47" s="4898">
        <f t="shared" si="28"/>
        <v>531</v>
      </c>
      <c r="J47" s="4898">
        <f t="shared" si="28"/>
        <v>427</v>
      </c>
      <c r="K47" s="4898">
        <f t="shared" si="28"/>
        <v>424</v>
      </c>
      <c r="L47" s="4898">
        <f t="shared" si="28"/>
        <v>415</v>
      </c>
      <c r="M47" s="4898">
        <f t="shared" si="28"/>
        <v>418</v>
      </c>
      <c r="N47" s="4898">
        <f t="shared" si="28"/>
        <v>415</v>
      </c>
      <c r="O47" s="4898">
        <f>SUM(O48:O51)</f>
        <v>403</v>
      </c>
      <c r="P47" s="1576"/>
      <c r="Q47" s="4899">
        <f t="shared" si="19"/>
        <v>433.33333333333331</v>
      </c>
      <c r="S47" s="4900">
        <f t="shared" ref="S47:AB47" si="29">SUM(S48:S51)</f>
        <v>409</v>
      </c>
      <c r="T47" s="4900">
        <f t="shared" si="29"/>
        <v>409</v>
      </c>
      <c r="U47" s="4900">
        <f t="shared" si="29"/>
        <v>409</v>
      </c>
      <c r="V47" s="4900">
        <f t="shared" si="29"/>
        <v>415</v>
      </c>
      <c r="W47" s="4900">
        <f t="shared" si="29"/>
        <v>416</v>
      </c>
      <c r="X47" s="4900">
        <f t="shared" si="29"/>
        <v>408</v>
      </c>
      <c r="Y47" s="4898">
        <f t="shared" si="29"/>
        <v>402</v>
      </c>
      <c r="Z47" s="4898">
        <f t="shared" si="29"/>
        <v>402</v>
      </c>
      <c r="AA47" s="4898">
        <f t="shared" si="29"/>
        <v>400</v>
      </c>
      <c r="AB47" s="4898">
        <f t="shared" si="29"/>
        <v>412</v>
      </c>
      <c r="AC47" s="4901">
        <v>420</v>
      </c>
      <c r="AD47" s="4900">
        <v>427</v>
      </c>
      <c r="AE47" s="1576"/>
      <c r="AF47" s="2895">
        <f t="shared" si="7"/>
        <v>410.75</v>
      </c>
      <c r="AH47" s="4901">
        <v>434</v>
      </c>
      <c r="AI47" s="4900">
        <v>426</v>
      </c>
      <c r="AJ47" s="4898">
        <v>423</v>
      </c>
      <c r="AK47" s="4900">
        <v>417</v>
      </c>
      <c r="AL47" s="4898">
        <v>414</v>
      </c>
      <c r="AM47" s="4898">
        <v>410</v>
      </c>
      <c r="AN47" s="4898">
        <v>406</v>
      </c>
      <c r="AO47" s="4898">
        <v>407</v>
      </c>
      <c r="AP47" s="4898">
        <v>410</v>
      </c>
      <c r="AQ47" s="4898">
        <v>396</v>
      </c>
      <c r="AR47" s="4901">
        <v>396</v>
      </c>
      <c r="AS47" s="4900">
        <v>398</v>
      </c>
      <c r="AT47" s="1576"/>
      <c r="AU47" s="2895">
        <f t="shared" si="8"/>
        <v>411.41666666666669</v>
      </c>
      <c r="AW47" s="4901">
        <v>405</v>
      </c>
      <c r="AX47" s="4900">
        <v>406</v>
      </c>
      <c r="AY47" s="4898"/>
      <c r="AZ47" s="4900"/>
      <c r="BA47" s="4898"/>
      <c r="BB47" s="4898"/>
      <c r="BC47" s="4898"/>
      <c r="BD47" s="4898"/>
      <c r="BE47" s="4898"/>
      <c r="BF47" s="4898"/>
      <c r="BG47" s="4901"/>
      <c r="BH47" s="4900"/>
      <c r="BI47" s="1576"/>
      <c r="BJ47" s="2895">
        <f t="shared" si="17"/>
        <v>405.5</v>
      </c>
      <c r="BL47" s="4902">
        <f>AW47/$AW$4</f>
        <v>0.18334087822544137</v>
      </c>
      <c r="BM47" s="4903">
        <v>175</v>
      </c>
      <c r="BN47" s="4904">
        <f t="shared" si="18"/>
        <v>0.43209876543209874</v>
      </c>
      <c r="BO47" s="4905">
        <v>34.596059113300491</v>
      </c>
      <c r="BP47" s="4906">
        <v>6.5609892705310759</v>
      </c>
    </row>
    <row r="48" spans="1:68" x14ac:dyDescent="0.55000000000000004">
      <c r="A48" s="7179"/>
      <c r="B48" s="1550"/>
      <c r="C48" s="886" t="s">
        <v>204</v>
      </c>
      <c r="D48" s="559">
        <v>46</v>
      </c>
      <c r="E48" s="559">
        <v>46</v>
      </c>
      <c r="F48" s="559">
        <v>46</v>
      </c>
      <c r="G48" s="559">
        <v>45</v>
      </c>
      <c r="H48" s="559">
        <v>45</v>
      </c>
      <c r="I48" s="559">
        <v>45</v>
      </c>
      <c r="J48" s="559">
        <v>45</v>
      </c>
      <c r="K48" s="559">
        <v>45</v>
      </c>
      <c r="L48" s="559">
        <v>45</v>
      </c>
      <c r="M48" s="559">
        <v>45</v>
      </c>
      <c r="N48" s="559">
        <v>45</v>
      </c>
      <c r="O48" s="559">
        <v>45</v>
      </c>
      <c r="P48" s="886"/>
      <c r="Q48" s="4883">
        <f t="shared" si="19"/>
        <v>45.25</v>
      </c>
      <c r="S48" s="4884">
        <v>45</v>
      </c>
      <c r="T48" s="4884">
        <v>45</v>
      </c>
      <c r="U48" s="4884">
        <v>45</v>
      </c>
      <c r="V48" s="4884">
        <v>45</v>
      </c>
      <c r="W48" s="4884">
        <v>47</v>
      </c>
      <c r="X48" s="4884">
        <v>47</v>
      </c>
      <c r="Y48" s="4836">
        <v>45</v>
      </c>
      <c r="Z48" s="4836">
        <v>47</v>
      </c>
      <c r="AA48" s="4836">
        <v>47</v>
      </c>
      <c r="AB48" s="4836">
        <v>45</v>
      </c>
      <c r="AC48" s="4836">
        <v>45</v>
      </c>
      <c r="AD48" s="4884">
        <v>46</v>
      </c>
      <c r="AE48" s="886"/>
      <c r="AF48" s="1102">
        <f t="shared" si="7"/>
        <v>45.75</v>
      </c>
      <c r="AH48" s="4836">
        <v>46</v>
      </c>
      <c r="AI48" s="4884">
        <v>48</v>
      </c>
      <c r="AJ48" s="4836">
        <v>49</v>
      </c>
      <c r="AK48" s="4884">
        <v>49</v>
      </c>
      <c r="AL48" s="4836">
        <v>48</v>
      </c>
      <c r="AM48" s="4836">
        <v>47</v>
      </c>
      <c r="AN48" s="4836">
        <v>44</v>
      </c>
      <c r="AO48" s="4836">
        <v>45</v>
      </c>
      <c r="AP48" s="4836">
        <v>46</v>
      </c>
      <c r="AQ48" s="4836">
        <v>46</v>
      </c>
      <c r="AR48" s="4836">
        <v>44</v>
      </c>
      <c r="AS48" s="4884">
        <v>44</v>
      </c>
      <c r="AT48" s="886"/>
      <c r="AU48" s="1102">
        <f t="shared" si="8"/>
        <v>46.333333333333336</v>
      </c>
      <c r="AW48" s="4836">
        <v>44</v>
      </c>
      <c r="AX48" s="4884">
        <v>44</v>
      </c>
      <c r="AY48" s="4836"/>
      <c r="AZ48" s="4884"/>
      <c r="BA48" s="4836"/>
      <c r="BB48" s="4836"/>
      <c r="BC48" s="4836"/>
      <c r="BD48" s="4836"/>
      <c r="BE48" s="4836"/>
      <c r="BF48" s="4836"/>
      <c r="BG48" s="4836"/>
      <c r="BH48" s="4884"/>
      <c r="BI48" s="886"/>
      <c r="BJ48" s="1102">
        <f t="shared" si="17"/>
        <v>44</v>
      </c>
      <c r="BL48" s="4878">
        <f>AW48/$AW$47</f>
        <v>0.10864197530864197</v>
      </c>
      <c r="BM48" s="4879">
        <v>16</v>
      </c>
      <c r="BN48" s="4880">
        <f t="shared" si="18"/>
        <v>0.36363636363636365</v>
      </c>
      <c r="BO48" s="4881">
        <v>42.25</v>
      </c>
      <c r="BP48" s="4882">
        <v>13.270236612702361</v>
      </c>
    </row>
    <row r="49" spans="1:68" x14ac:dyDescent="0.55000000000000004">
      <c r="A49" s="7179"/>
      <c r="B49" s="1550"/>
      <c r="C49" s="886" t="s">
        <v>65</v>
      </c>
      <c r="D49" s="559">
        <v>18</v>
      </c>
      <c r="E49" s="559">
        <v>20</v>
      </c>
      <c r="F49" s="559">
        <v>21</v>
      </c>
      <c r="G49" s="559">
        <v>23</v>
      </c>
      <c r="H49" s="559">
        <v>24</v>
      </c>
      <c r="I49" s="559">
        <v>25</v>
      </c>
      <c r="J49" s="559">
        <v>25</v>
      </c>
      <c r="K49" s="559">
        <v>26</v>
      </c>
      <c r="L49" s="559">
        <v>26</v>
      </c>
      <c r="M49" s="559">
        <v>26</v>
      </c>
      <c r="N49" s="559">
        <v>26</v>
      </c>
      <c r="O49" s="559">
        <v>27</v>
      </c>
      <c r="P49" s="886"/>
      <c r="Q49" s="4883">
        <f t="shared" si="19"/>
        <v>23.916666666666668</v>
      </c>
      <c r="S49" s="4884">
        <v>23</v>
      </c>
      <c r="T49" s="4884">
        <v>23</v>
      </c>
      <c r="U49" s="4884">
        <v>25</v>
      </c>
      <c r="V49" s="4884">
        <v>26</v>
      </c>
      <c r="W49" s="4884">
        <v>29</v>
      </c>
      <c r="X49" s="4884">
        <v>29</v>
      </c>
      <c r="Y49" s="4836">
        <v>28</v>
      </c>
      <c r="Z49" s="4836">
        <v>26</v>
      </c>
      <c r="AA49" s="559">
        <v>24</v>
      </c>
      <c r="AB49" s="4836">
        <v>27</v>
      </c>
      <c r="AC49" s="4836">
        <v>28</v>
      </c>
      <c r="AD49" s="4884">
        <v>29</v>
      </c>
      <c r="AE49" s="886"/>
      <c r="AF49" s="1102">
        <f t="shared" si="7"/>
        <v>26.416666666666668</v>
      </c>
      <c r="AH49" s="4836">
        <v>29</v>
      </c>
      <c r="AI49" s="4884">
        <v>27</v>
      </c>
      <c r="AJ49" s="4836">
        <v>28</v>
      </c>
      <c r="AK49" s="4884">
        <v>28</v>
      </c>
      <c r="AL49" s="4836">
        <v>27</v>
      </c>
      <c r="AM49" s="4836">
        <v>27</v>
      </c>
      <c r="AN49" s="4836">
        <v>27</v>
      </c>
      <c r="AO49" s="4836">
        <v>26</v>
      </c>
      <c r="AP49" s="4836">
        <v>26</v>
      </c>
      <c r="AQ49" s="4836">
        <v>25</v>
      </c>
      <c r="AR49" s="4836">
        <v>25</v>
      </c>
      <c r="AS49" s="4884">
        <v>15</v>
      </c>
      <c r="AT49" s="886"/>
      <c r="AU49" s="1102">
        <f t="shared" si="8"/>
        <v>25.833333333333332</v>
      </c>
      <c r="AW49" s="4836">
        <v>14</v>
      </c>
      <c r="AX49" s="4884">
        <v>14</v>
      </c>
      <c r="AY49" s="4836"/>
      <c r="AZ49" s="4884"/>
      <c r="BA49" s="4836"/>
      <c r="BB49" s="4836"/>
      <c r="BC49" s="4836"/>
      <c r="BD49" s="4836"/>
      <c r="BE49" s="4836"/>
      <c r="BF49" s="4836"/>
      <c r="BG49" s="4836"/>
      <c r="BH49" s="4884"/>
      <c r="BI49" s="886"/>
      <c r="BJ49" s="1102">
        <f t="shared" si="17"/>
        <v>14</v>
      </c>
      <c r="BL49" s="4878">
        <f>AW49/$AW$47</f>
        <v>3.4567901234567898E-2</v>
      </c>
      <c r="BM49" s="4879">
        <v>2</v>
      </c>
      <c r="BN49" s="4880">
        <f t="shared" si="18"/>
        <v>0.14285714285714285</v>
      </c>
      <c r="BO49" s="4881">
        <v>42.785714285714285</v>
      </c>
      <c r="BP49" s="4882">
        <v>6.2142857142857135</v>
      </c>
    </row>
    <row r="50" spans="1:68" x14ac:dyDescent="0.55000000000000004">
      <c r="A50" s="7179"/>
      <c r="B50" s="1550"/>
      <c r="C50" s="886" t="s">
        <v>19</v>
      </c>
      <c r="D50" s="559">
        <v>260</v>
      </c>
      <c r="E50" s="559">
        <v>262</v>
      </c>
      <c r="F50" s="559">
        <v>263</v>
      </c>
      <c r="G50" s="559">
        <v>255</v>
      </c>
      <c r="H50" s="559">
        <v>258</v>
      </c>
      <c r="I50" s="559">
        <v>356</v>
      </c>
      <c r="J50" s="559">
        <v>250</v>
      </c>
      <c r="K50" s="559">
        <v>250</v>
      </c>
      <c r="L50" s="559">
        <v>243</v>
      </c>
      <c r="M50" s="559">
        <v>245</v>
      </c>
      <c r="N50" s="559">
        <v>244</v>
      </c>
      <c r="O50" s="559">
        <v>238</v>
      </c>
      <c r="P50" s="886"/>
      <c r="Q50" s="4883">
        <f t="shared" si="19"/>
        <v>260.33333333333331</v>
      </c>
      <c r="S50" s="4884">
        <v>245</v>
      </c>
      <c r="T50" s="4884">
        <v>245</v>
      </c>
      <c r="U50" s="4884">
        <v>242</v>
      </c>
      <c r="V50" s="4884">
        <v>245</v>
      </c>
      <c r="W50" s="4884">
        <v>244</v>
      </c>
      <c r="X50" s="4884">
        <v>238</v>
      </c>
      <c r="Y50" s="4836">
        <v>236</v>
      </c>
      <c r="Z50" s="4836">
        <v>236</v>
      </c>
      <c r="AA50" s="559">
        <v>235</v>
      </c>
      <c r="AB50" s="4836">
        <v>243</v>
      </c>
      <c r="AC50" s="4836">
        <v>249</v>
      </c>
      <c r="AD50" s="4884">
        <v>252</v>
      </c>
      <c r="AE50" s="886"/>
      <c r="AF50" s="1102">
        <f t="shared" si="7"/>
        <v>242.5</v>
      </c>
      <c r="AH50" s="4836">
        <v>257</v>
      </c>
      <c r="AI50" s="4884">
        <v>248</v>
      </c>
      <c r="AJ50" s="4836">
        <v>246</v>
      </c>
      <c r="AK50" s="4884">
        <v>244</v>
      </c>
      <c r="AL50" s="4836">
        <v>242</v>
      </c>
      <c r="AM50" s="4836">
        <v>243</v>
      </c>
      <c r="AN50" s="4836">
        <v>239</v>
      </c>
      <c r="AO50" s="4836">
        <v>238</v>
      </c>
      <c r="AP50" s="4836">
        <v>236</v>
      </c>
      <c r="AQ50" s="4836">
        <v>227</v>
      </c>
      <c r="AR50" s="4836">
        <v>230</v>
      </c>
      <c r="AS50" s="4884">
        <v>240</v>
      </c>
      <c r="AT50" s="886"/>
      <c r="AU50" s="1102">
        <f t="shared" si="8"/>
        <v>240.83333333333334</v>
      </c>
      <c r="AW50" s="4836">
        <v>250</v>
      </c>
      <c r="AX50" s="4884">
        <v>252</v>
      </c>
      <c r="AY50" s="4836"/>
      <c r="AZ50" s="4884"/>
      <c r="BA50" s="4836"/>
      <c r="BB50" s="4836"/>
      <c r="BC50" s="4836"/>
      <c r="BD50" s="4836"/>
      <c r="BE50" s="4836"/>
      <c r="BF50" s="4836"/>
      <c r="BG50" s="4836"/>
      <c r="BH50" s="4884"/>
      <c r="BI50" s="886"/>
      <c r="BJ50" s="1102">
        <f t="shared" si="17"/>
        <v>251</v>
      </c>
      <c r="BL50" s="4878">
        <f>AW50/$AW$47</f>
        <v>0.61728395061728392</v>
      </c>
      <c r="BM50" s="4879">
        <v>112</v>
      </c>
      <c r="BN50" s="4880">
        <f t="shared" si="18"/>
        <v>0.44800000000000001</v>
      </c>
      <c r="BO50" s="4881">
        <v>32.400793650793652</v>
      </c>
      <c r="BP50" s="4882">
        <v>5.4616655794738005</v>
      </c>
    </row>
    <row r="51" spans="1:68" x14ac:dyDescent="0.55000000000000004">
      <c r="A51" s="7179"/>
      <c r="B51" s="1550"/>
      <c r="C51" s="886" t="s">
        <v>20</v>
      </c>
      <c r="D51" s="559">
        <v>109</v>
      </c>
      <c r="E51" s="559">
        <v>109</v>
      </c>
      <c r="F51" s="559">
        <v>107</v>
      </c>
      <c r="G51" s="559">
        <v>105</v>
      </c>
      <c r="H51" s="559">
        <v>105</v>
      </c>
      <c r="I51" s="559">
        <v>105</v>
      </c>
      <c r="J51" s="559">
        <v>107</v>
      </c>
      <c r="K51" s="559">
        <v>103</v>
      </c>
      <c r="L51" s="559">
        <v>101</v>
      </c>
      <c r="M51" s="559">
        <v>102</v>
      </c>
      <c r="N51" s="559">
        <v>100</v>
      </c>
      <c r="O51" s="559">
        <v>93</v>
      </c>
      <c r="P51" s="886"/>
      <c r="Q51" s="4883">
        <f t="shared" si="19"/>
        <v>103.83333333333333</v>
      </c>
      <c r="S51" s="4884">
        <v>96</v>
      </c>
      <c r="T51" s="4884">
        <v>96</v>
      </c>
      <c r="U51" s="4884">
        <v>97</v>
      </c>
      <c r="V51" s="4884">
        <v>99</v>
      </c>
      <c r="W51" s="4884">
        <v>96</v>
      </c>
      <c r="X51" s="4884">
        <v>94</v>
      </c>
      <c r="Y51" s="4836">
        <v>93</v>
      </c>
      <c r="Z51" s="4836">
        <v>93</v>
      </c>
      <c r="AA51" s="559">
        <v>94</v>
      </c>
      <c r="AB51" s="4836">
        <v>97</v>
      </c>
      <c r="AC51" s="4836">
        <v>98</v>
      </c>
      <c r="AD51" s="4884">
        <v>100</v>
      </c>
      <c r="AE51" s="886"/>
      <c r="AF51" s="1102">
        <f t="shared" si="7"/>
        <v>96.083333333333329</v>
      </c>
      <c r="AH51" s="4836">
        <v>102</v>
      </c>
      <c r="AI51" s="4884">
        <v>103</v>
      </c>
      <c r="AJ51" s="4836">
        <v>100</v>
      </c>
      <c r="AK51" s="4884">
        <v>96</v>
      </c>
      <c r="AL51" s="4836">
        <v>97</v>
      </c>
      <c r="AM51" s="4836">
        <v>93</v>
      </c>
      <c r="AN51" s="4836">
        <v>96</v>
      </c>
      <c r="AO51" s="4836">
        <v>98</v>
      </c>
      <c r="AP51" s="4836">
        <v>102</v>
      </c>
      <c r="AQ51" s="4836">
        <v>98</v>
      </c>
      <c r="AR51" s="4836">
        <v>97</v>
      </c>
      <c r="AS51" s="4884">
        <v>99</v>
      </c>
      <c r="AT51" s="886"/>
      <c r="AU51" s="1102">
        <f t="shared" si="8"/>
        <v>98.416666666666671</v>
      </c>
      <c r="AW51" s="4836">
        <v>97</v>
      </c>
      <c r="AX51" s="4884">
        <v>96</v>
      </c>
      <c r="AY51" s="4836"/>
      <c r="AZ51" s="4884"/>
      <c r="BA51" s="4836"/>
      <c r="BB51" s="4836"/>
      <c r="BC51" s="4836"/>
      <c r="BD51" s="4836"/>
      <c r="BE51" s="4836"/>
      <c r="BF51" s="4836"/>
      <c r="BG51" s="4836"/>
      <c r="BH51" s="4884"/>
      <c r="BI51" s="886"/>
      <c r="BJ51" s="1102">
        <f t="shared" si="17"/>
        <v>96.5</v>
      </c>
      <c r="BL51" s="4878">
        <f>AW51/$AW$47</f>
        <v>0.23950617283950618</v>
      </c>
      <c r="BM51" s="4879">
        <v>45</v>
      </c>
      <c r="BN51" s="4880">
        <f t="shared" si="18"/>
        <v>0.46391752577319589</v>
      </c>
      <c r="BO51" s="4881">
        <v>35.65625</v>
      </c>
      <c r="BP51" s="4882">
        <v>6.4222031963470299</v>
      </c>
    </row>
    <row r="52" spans="1:68" x14ac:dyDescent="0.55000000000000004">
      <c r="A52" s="7179"/>
      <c r="B52" s="1550"/>
      <c r="C52" s="1576" t="s">
        <v>192</v>
      </c>
      <c r="D52" s="4898">
        <f t="shared" ref="D52:N52" si="30">SUM(D53:D56)</f>
        <v>373</v>
      </c>
      <c r="E52" s="4898">
        <f t="shared" si="30"/>
        <v>359</v>
      </c>
      <c r="F52" s="4898">
        <f t="shared" si="30"/>
        <v>358</v>
      </c>
      <c r="G52" s="4898">
        <f t="shared" si="30"/>
        <v>362</v>
      </c>
      <c r="H52" s="4898">
        <f t="shared" si="30"/>
        <v>366</v>
      </c>
      <c r="I52" s="4898">
        <f t="shared" si="30"/>
        <v>364</v>
      </c>
      <c r="J52" s="4898">
        <f t="shared" si="30"/>
        <v>356</v>
      </c>
      <c r="K52" s="4898">
        <f t="shared" si="30"/>
        <v>357</v>
      </c>
      <c r="L52" s="4898">
        <f t="shared" si="30"/>
        <v>356</v>
      </c>
      <c r="M52" s="4898">
        <f t="shared" si="30"/>
        <v>354</v>
      </c>
      <c r="N52" s="4898">
        <f t="shared" si="30"/>
        <v>358</v>
      </c>
      <c r="O52" s="4898">
        <f>SUM(O53:O56)</f>
        <v>375</v>
      </c>
      <c r="P52" s="1576"/>
      <c r="Q52" s="4899">
        <f t="shared" si="19"/>
        <v>361.5</v>
      </c>
      <c r="S52" s="4900">
        <f t="shared" ref="S52:AB52" si="31">SUM(S53:S56)</f>
        <v>363</v>
      </c>
      <c r="T52" s="4900">
        <f t="shared" si="31"/>
        <v>362</v>
      </c>
      <c r="U52" s="4900">
        <f t="shared" si="31"/>
        <v>358</v>
      </c>
      <c r="V52" s="4900">
        <f t="shared" si="31"/>
        <v>367</v>
      </c>
      <c r="W52" s="4900">
        <f t="shared" si="31"/>
        <v>363</v>
      </c>
      <c r="X52" s="4900">
        <f t="shared" si="31"/>
        <v>366</v>
      </c>
      <c r="Y52" s="4898">
        <f t="shared" si="31"/>
        <v>369</v>
      </c>
      <c r="Z52" s="4898">
        <f t="shared" si="31"/>
        <v>376</v>
      </c>
      <c r="AA52" s="4898">
        <f t="shared" si="31"/>
        <v>378</v>
      </c>
      <c r="AB52" s="4898">
        <f t="shared" si="31"/>
        <v>386</v>
      </c>
      <c r="AC52" s="4901">
        <v>377</v>
      </c>
      <c r="AD52" s="4900">
        <v>388</v>
      </c>
      <c r="AE52" s="1576"/>
      <c r="AF52" s="2895">
        <f t="shared" si="7"/>
        <v>371.08333333333331</v>
      </c>
      <c r="AH52" s="4901">
        <v>393</v>
      </c>
      <c r="AI52" s="4900">
        <v>385</v>
      </c>
      <c r="AJ52" s="4898">
        <v>400</v>
      </c>
      <c r="AK52" s="4900">
        <v>400</v>
      </c>
      <c r="AL52" s="4898">
        <v>386</v>
      </c>
      <c r="AM52" s="4898">
        <v>387</v>
      </c>
      <c r="AN52" s="4898">
        <v>374</v>
      </c>
      <c r="AO52" s="4898">
        <v>363</v>
      </c>
      <c r="AP52" s="4898">
        <v>361</v>
      </c>
      <c r="AQ52" s="4898">
        <v>361</v>
      </c>
      <c r="AR52" s="4901">
        <v>367</v>
      </c>
      <c r="AS52" s="4900">
        <v>357</v>
      </c>
      <c r="AT52" s="1576"/>
      <c r="AU52" s="2895">
        <f t="shared" si="8"/>
        <v>377.83333333333331</v>
      </c>
      <c r="AW52" s="4901">
        <v>361</v>
      </c>
      <c r="AX52" s="4900">
        <v>356</v>
      </c>
      <c r="AY52" s="4898"/>
      <c r="AZ52" s="4900"/>
      <c r="BA52" s="4898"/>
      <c r="BB52" s="4898"/>
      <c r="BC52" s="4898"/>
      <c r="BD52" s="4898"/>
      <c r="BE52" s="4898"/>
      <c r="BF52" s="4898"/>
      <c r="BG52" s="4901"/>
      <c r="BH52" s="4900"/>
      <c r="BI52" s="1576"/>
      <c r="BJ52" s="2895">
        <f t="shared" si="17"/>
        <v>358.5</v>
      </c>
      <c r="BL52" s="4902">
        <f>AW52/$AW$4</f>
        <v>0.16342236306020824</v>
      </c>
      <c r="BM52" s="4903">
        <v>152</v>
      </c>
      <c r="BN52" s="4904">
        <f t="shared" si="18"/>
        <v>0.42105263157894735</v>
      </c>
      <c r="BO52" s="4905">
        <v>33.811797752808985</v>
      </c>
      <c r="BP52" s="4906">
        <v>5.4520086193627764</v>
      </c>
    </row>
    <row r="53" spans="1:68" x14ac:dyDescent="0.55000000000000004">
      <c r="A53" s="7179"/>
      <c r="B53" s="1550"/>
      <c r="C53" s="886" t="s">
        <v>204</v>
      </c>
      <c r="D53" s="559">
        <v>44</v>
      </c>
      <c r="E53" s="559">
        <v>43</v>
      </c>
      <c r="F53" s="559">
        <v>43</v>
      </c>
      <c r="G53" s="559">
        <v>43</v>
      </c>
      <c r="H53" s="559">
        <v>43</v>
      </c>
      <c r="I53" s="559">
        <v>42</v>
      </c>
      <c r="J53" s="559">
        <v>43</v>
      </c>
      <c r="K53" s="559">
        <v>43</v>
      </c>
      <c r="L53" s="559">
        <v>43</v>
      </c>
      <c r="M53" s="559">
        <v>43</v>
      </c>
      <c r="N53" s="559">
        <v>43</v>
      </c>
      <c r="O53" s="559">
        <v>43</v>
      </c>
      <c r="P53" s="886"/>
      <c r="Q53" s="4883">
        <f t="shared" si="19"/>
        <v>43</v>
      </c>
      <c r="S53" s="4884">
        <v>44</v>
      </c>
      <c r="T53" s="4884">
        <v>45</v>
      </c>
      <c r="U53" s="4884">
        <v>42</v>
      </c>
      <c r="V53" s="4884">
        <v>42</v>
      </c>
      <c r="W53" s="4884">
        <v>41</v>
      </c>
      <c r="X53" s="4884">
        <v>41</v>
      </c>
      <c r="Y53" s="4836">
        <v>42</v>
      </c>
      <c r="Z53" s="4836">
        <v>44</v>
      </c>
      <c r="AA53" s="4836">
        <v>43</v>
      </c>
      <c r="AB53" s="4836">
        <v>41</v>
      </c>
      <c r="AC53" s="4836">
        <v>40</v>
      </c>
      <c r="AD53" s="4884">
        <v>39</v>
      </c>
      <c r="AE53" s="886"/>
      <c r="AF53" s="1102">
        <f t="shared" si="7"/>
        <v>42</v>
      </c>
      <c r="AH53" s="4836">
        <v>42</v>
      </c>
      <c r="AI53" s="4884">
        <v>45</v>
      </c>
      <c r="AJ53" s="4836">
        <v>45</v>
      </c>
      <c r="AK53" s="4884">
        <v>45</v>
      </c>
      <c r="AL53" s="4836">
        <v>44</v>
      </c>
      <c r="AM53" s="4836">
        <v>45</v>
      </c>
      <c r="AN53" s="4836">
        <v>43</v>
      </c>
      <c r="AO53" s="4836">
        <v>43</v>
      </c>
      <c r="AP53" s="4836">
        <v>43</v>
      </c>
      <c r="AQ53" s="4836">
        <v>44</v>
      </c>
      <c r="AR53" s="4836">
        <v>45</v>
      </c>
      <c r="AS53" s="4884">
        <v>42</v>
      </c>
      <c r="AT53" s="886"/>
      <c r="AU53" s="1102">
        <f t="shared" si="8"/>
        <v>43.833333333333336</v>
      </c>
      <c r="AW53" s="4836">
        <v>42</v>
      </c>
      <c r="AX53" s="4884">
        <v>41</v>
      </c>
      <c r="AY53" s="4836"/>
      <c r="AZ53" s="4884"/>
      <c r="BA53" s="4836"/>
      <c r="BB53" s="4836"/>
      <c r="BC53" s="4836"/>
      <c r="BD53" s="4836"/>
      <c r="BE53" s="4836"/>
      <c r="BF53" s="4836"/>
      <c r="BG53" s="4836"/>
      <c r="BH53" s="4884"/>
      <c r="BI53" s="886"/>
      <c r="BJ53" s="1102">
        <f t="shared" si="17"/>
        <v>41.5</v>
      </c>
      <c r="BL53" s="4878">
        <f>AW53/$AW$52</f>
        <v>0.11634349030470914</v>
      </c>
      <c r="BM53" s="4879">
        <v>10</v>
      </c>
      <c r="BN53" s="4880">
        <f t="shared" si="18"/>
        <v>0.23809523809523808</v>
      </c>
      <c r="BO53" s="4881">
        <v>41.243902439024389</v>
      </c>
      <c r="BP53" s="4882">
        <v>12.698830604744405</v>
      </c>
    </row>
    <row r="54" spans="1:68" x14ac:dyDescent="0.55000000000000004">
      <c r="A54" s="7179"/>
      <c r="B54" s="1550"/>
      <c r="C54" s="886" t="s">
        <v>65</v>
      </c>
      <c r="D54" s="559">
        <v>22</v>
      </c>
      <c r="E54" s="559">
        <v>22</v>
      </c>
      <c r="F54" s="559">
        <v>23</v>
      </c>
      <c r="G54" s="559">
        <v>25</v>
      </c>
      <c r="H54" s="559">
        <v>26</v>
      </c>
      <c r="I54" s="559">
        <v>26</v>
      </c>
      <c r="J54" s="559">
        <v>27</v>
      </c>
      <c r="K54" s="559">
        <v>27</v>
      </c>
      <c r="L54" s="559">
        <v>27</v>
      </c>
      <c r="M54" s="559">
        <v>27</v>
      </c>
      <c r="N54" s="559">
        <v>28</v>
      </c>
      <c r="O54" s="559">
        <v>35</v>
      </c>
      <c r="P54" s="886"/>
      <c r="Q54" s="4883">
        <f t="shared" si="19"/>
        <v>26.25</v>
      </c>
      <c r="S54" s="4884">
        <v>23</v>
      </c>
      <c r="T54" s="4884">
        <v>23</v>
      </c>
      <c r="U54" s="4884">
        <v>25</v>
      </c>
      <c r="V54" s="4884">
        <v>33</v>
      </c>
      <c r="W54" s="4884">
        <v>34</v>
      </c>
      <c r="X54" s="4884">
        <v>35</v>
      </c>
      <c r="Y54" s="4836">
        <v>35</v>
      </c>
      <c r="Z54" s="4836">
        <v>34</v>
      </c>
      <c r="AA54" s="559">
        <v>36</v>
      </c>
      <c r="AB54" s="4836">
        <v>35</v>
      </c>
      <c r="AC54" s="4836">
        <v>34</v>
      </c>
      <c r="AD54" s="4884">
        <v>35</v>
      </c>
      <c r="AE54" s="886"/>
      <c r="AF54" s="1102">
        <f t="shared" si="7"/>
        <v>31.833333333333332</v>
      </c>
      <c r="AH54" s="4836">
        <v>39</v>
      </c>
      <c r="AI54" s="4884">
        <v>37</v>
      </c>
      <c r="AJ54" s="4836">
        <v>42</v>
      </c>
      <c r="AK54" s="4884">
        <v>41</v>
      </c>
      <c r="AL54" s="4836">
        <v>40</v>
      </c>
      <c r="AM54" s="4836">
        <v>38</v>
      </c>
      <c r="AN54" s="4836">
        <v>32</v>
      </c>
      <c r="AO54" s="4836">
        <v>31</v>
      </c>
      <c r="AP54" s="4836">
        <v>31</v>
      </c>
      <c r="AQ54" s="4836">
        <v>28</v>
      </c>
      <c r="AR54" s="4836">
        <v>26</v>
      </c>
      <c r="AS54" s="4884">
        <v>17</v>
      </c>
      <c r="AT54" s="886"/>
      <c r="AU54" s="1102">
        <f t="shared" si="8"/>
        <v>33.5</v>
      </c>
      <c r="AW54" s="4836">
        <v>16</v>
      </c>
      <c r="AX54" s="4884">
        <v>16</v>
      </c>
      <c r="AY54" s="4836"/>
      <c r="AZ54" s="4884"/>
      <c r="BA54" s="4836"/>
      <c r="BB54" s="4836"/>
      <c r="BC54" s="4836"/>
      <c r="BD54" s="4836"/>
      <c r="BE54" s="4836"/>
      <c r="BF54" s="4836"/>
      <c r="BG54" s="4836"/>
      <c r="BH54" s="4884"/>
      <c r="BI54" s="886"/>
      <c r="BJ54" s="1102">
        <f t="shared" si="17"/>
        <v>16</v>
      </c>
      <c r="BL54" s="4878">
        <f>AW54/$AW$52</f>
        <v>4.4321329639889197E-2</v>
      </c>
      <c r="BM54" s="4879">
        <v>4</v>
      </c>
      <c r="BN54" s="4880">
        <f t="shared" si="18"/>
        <v>0.25</v>
      </c>
      <c r="BO54" s="4881">
        <v>43.75</v>
      </c>
      <c r="BP54" s="4882">
        <v>3.7304794520547939</v>
      </c>
    </row>
    <row r="55" spans="1:68" x14ac:dyDescent="0.55000000000000004">
      <c r="A55" s="7179"/>
      <c r="B55" s="1550"/>
      <c r="C55" s="886" t="s">
        <v>19</v>
      </c>
      <c r="D55" s="559">
        <v>218</v>
      </c>
      <c r="E55" s="559">
        <v>206</v>
      </c>
      <c r="F55" s="559">
        <v>91</v>
      </c>
      <c r="G55" s="559">
        <v>205</v>
      </c>
      <c r="H55" s="559">
        <v>211</v>
      </c>
      <c r="I55" s="559">
        <v>208</v>
      </c>
      <c r="J55" s="559">
        <v>201</v>
      </c>
      <c r="K55" s="559">
        <v>205</v>
      </c>
      <c r="L55" s="559">
        <v>203</v>
      </c>
      <c r="M55" s="559">
        <v>200</v>
      </c>
      <c r="N55" s="559">
        <v>202</v>
      </c>
      <c r="O55" s="559">
        <v>220</v>
      </c>
      <c r="P55" s="886"/>
      <c r="Q55" s="4883">
        <f t="shared" si="19"/>
        <v>197.5</v>
      </c>
      <c r="S55" s="4884">
        <v>214</v>
      </c>
      <c r="T55" s="4884">
        <v>209</v>
      </c>
      <c r="U55" s="4884">
        <v>209</v>
      </c>
      <c r="V55" s="4884">
        <v>211</v>
      </c>
      <c r="W55" s="4884">
        <v>207</v>
      </c>
      <c r="X55" s="4884">
        <v>208</v>
      </c>
      <c r="Y55" s="4836">
        <v>216</v>
      </c>
      <c r="Z55" s="4836">
        <v>220</v>
      </c>
      <c r="AA55" s="559">
        <v>223</v>
      </c>
      <c r="AB55" s="4836">
        <v>232</v>
      </c>
      <c r="AC55" s="4836">
        <v>226</v>
      </c>
      <c r="AD55" s="4884">
        <v>235</v>
      </c>
      <c r="AE55" s="886"/>
      <c r="AF55" s="1102">
        <f t="shared" si="7"/>
        <v>217.5</v>
      </c>
      <c r="AH55" s="4836">
        <v>234</v>
      </c>
      <c r="AI55" s="4884">
        <v>228</v>
      </c>
      <c r="AJ55" s="4836">
        <v>235</v>
      </c>
      <c r="AK55" s="4884">
        <v>237</v>
      </c>
      <c r="AL55" s="4836">
        <v>228</v>
      </c>
      <c r="AM55" s="4836">
        <v>228</v>
      </c>
      <c r="AN55" s="4836">
        <v>229</v>
      </c>
      <c r="AO55" s="4836">
        <v>225</v>
      </c>
      <c r="AP55" s="4836">
        <v>226</v>
      </c>
      <c r="AQ55" s="4836">
        <v>224</v>
      </c>
      <c r="AR55" s="4836">
        <v>222</v>
      </c>
      <c r="AS55" s="4884">
        <v>222</v>
      </c>
      <c r="AT55" s="886"/>
      <c r="AU55" s="1102">
        <f t="shared" si="8"/>
        <v>228.16666666666666</v>
      </c>
      <c r="AW55" s="4836">
        <v>228</v>
      </c>
      <c r="AX55" s="4884">
        <v>230</v>
      </c>
      <c r="AY55" s="4836"/>
      <c r="AZ55" s="4884"/>
      <c r="BA55" s="4836"/>
      <c r="BB55" s="4836"/>
      <c r="BC55" s="4836"/>
      <c r="BD55" s="4836"/>
      <c r="BE55" s="4836"/>
      <c r="BF55" s="4836"/>
      <c r="BG55" s="4836"/>
      <c r="BH55" s="4884"/>
      <c r="BI55" s="886"/>
      <c r="BJ55" s="1102">
        <f t="shared" si="17"/>
        <v>229</v>
      </c>
      <c r="BL55" s="4878">
        <f>AW55/$AW$52</f>
        <v>0.63157894736842102</v>
      </c>
      <c r="BM55" s="4879">
        <v>110</v>
      </c>
      <c r="BN55" s="4880">
        <f t="shared" si="18"/>
        <v>0.48245614035087719</v>
      </c>
      <c r="BO55" s="4881">
        <v>31.417391304347827</v>
      </c>
      <c r="BP55" s="4882">
        <v>4.3711733174508636</v>
      </c>
    </row>
    <row r="56" spans="1:68" x14ac:dyDescent="0.55000000000000004">
      <c r="A56" s="7179"/>
      <c r="B56" s="1550"/>
      <c r="C56" s="886" t="s">
        <v>20</v>
      </c>
      <c r="D56" s="559">
        <v>89</v>
      </c>
      <c r="E56" s="559">
        <v>88</v>
      </c>
      <c r="F56" s="559">
        <v>201</v>
      </c>
      <c r="G56" s="559">
        <v>89</v>
      </c>
      <c r="H56" s="559">
        <v>86</v>
      </c>
      <c r="I56" s="559">
        <v>88</v>
      </c>
      <c r="J56" s="559">
        <v>85</v>
      </c>
      <c r="K56" s="559">
        <v>82</v>
      </c>
      <c r="L56" s="559">
        <v>83</v>
      </c>
      <c r="M56" s="559">
        <v>84</v>
      </c>
      <c r="N56" s="559">
        <v>85</v>
      </c>
      <c r="O56" s="559">
        <v>77</v>
      </c>
      <c r="P56" s="886"/>
      <c r="Q56" s="4883">
        <f t="shared" si="19"/>
        <v>94.75</v>
      </c>
      <c r="S56" s="4884">
        <v>82</v>
      </c>
      <c r="T56" s="4884">
        <v>85</v>
      </c>
      <c r="U56" s="4884">
        <v>82</v>
      </c>
      <c r="V56" s="4884">
        <v>81</v>
      </c>
      <c r="W56" s="4884">
        <v>81</v>
      </c>
      <c r="X56" s="4884">
        <v>82</v>
      </c>
      <c r="Y56" s="4836">
        <v>76</v>
      </c>
      <c r="Z56" s="4836">
        <v>78</v>
      </c>
      <c r="AA56" s="559">
        <v>76</v>
      </c>
      <c r="AB56" s="4836">
        <v>78</v>
      </c>
      <c r="AC56" s="4836">
        <v>77</v>
      </c>
      <c r="AD56" s="4884">
        <v>79</v>
      </c>
      <c r="AE56" s="886"/>
      <c r="AF56" s="1102">
        <f t="shared" si="7"/>
        <v>79.75</v>
      </c>
      <c r="AH56" s="4836">
        <v>78</v>
      </c>
      <c r="AI56" s="4884">
        <v>75</v>
      </c>
      <c r="AJ56" s="4836">
        <v>78</v>
      </c>
      <c r="AK56" s="4884">
        <v>77</v>
      </c>
      <c r="AL56" s="4836">
        <v>74</v>
      </c>
      <c r="AM56" s="4836">
        <v>76</v>
      </c>
      <c r="AN56" s="4836">
        <v>70</v>
      </c>
      <c r="AO56" s="4836">
        <v>64</v>
      </c>
      <c r="AP56" s="4836">
        <v>61</v>
      </c>
      <c r="AQ56" s="4836">
        <v>65</v>
      </c>
      <c r="AR56" s="4836">
        <v>74</v>
      </c>
      <c r="AS56" s="4884">
        <v>76</v>
      </c>
      <c r="AT56" s="886"/>
      <c r="AU56" s="1102">
        <f t="shared" si="8"/>
        <v>72.333333333333329</v>
      </c>
      <c r="AW56" s="4836">
        <v>75</v>
      </c>
      <c r="AX56" s="4884">
        <v>69</v>
      </c>
      <c r="AY56" s="4836"/>
      <c r="AZ56" s="4884"/>
      <c r="BA56" s="4836"/>
      <c r="BB56" s="4836"/>
      <c r="BC56" s="4836"/>
      <c r="BD56" s="4836"/>
      <c r="BE56" s="4836"/>
      <c r="BF56" s="4836"/>
      <c r="BG56" s="4836"/>
      <c r="BH56" s="4884"/>
      <c r="BI56" s="886"/>
      <c r="BJ56" s="1102">
        <f t="shared" si="17"/>
        <v>72</v>
      </c>
      <c r="BL56" s="4878">
        <f>AW56/$AW$52</f>
        <v>0.2077562326869806</v>
      </c>
      <c r="BM56" s="4879">
        <v>28</v>
      </c>
      <c r="BN56" s="4880">
        <f t="shared" si="18"/>
        <v>0.37333333333333335</v>
      </c>
      <c r="BO56" s="4881">
        <v>35.072463768115945</v>
      </c>
      <c r="BP56" s="4882">
        <v>5.1479054993051419</v>
      </c>
    </row>
    <row r="57" spans="1:68" x14ac:dyDescent="0.55000000000000004">
      <c r="A57" s="7179"/>
      <c r="B57" s="1533" t="s">
        <v>193</v>
      </c>
      <c r="C57" s="1534"/>
      <c r="D57" s="4886">
        <v>7</v>
      </c>
      <c r="E57" s="4886">
        <v>7</v>
      </c>
      <c r="F57" s="4886">
        <v>7</v>
      </c>
      <c r="G57" s="4886">
        <v>7</v>
      </c>
      <c r="H57" s="4886">
        <v>7</v>
      </c>
      <c r="I57" s="4886">
        <v>7</v>
      </c>
      <c r="J57" s="4886">
        <v>7</v>
      </c>
      <c r="K57" s="4886">
        <v>7</v>
      </c>
      <c r="L57" s="4886">
        <v>7</v>
      </c>
      <c r="M57" s="4886">
        <v>7</v>
      </c>
      <c r="N57" s="4886">
        <v>7</v>
      </c>
      <c r="O57" s="4886">
        <v>7</v>
      </c>
      <c r="P57" s="1534"/>
      <c r="Q57" s="4866">
        <f t="shared" si="19"/>
        <v>7</v>
      </c>
      <c r="S57" s="4867">
        <v>7</v>
      </c>
      <c r="T57" s="4867">
        <v>7</v>
      </c>
      <c r="U57" s="4867">
        <v>7</v>
      </c>
      <c r="V57" s="4867">
        <v>7</v>
      </c>
      <c r="W57" s="4867">
        <v>7</v>
      </c>
      <c r="X57" s="4867">
        <v>7</v>
      </c>
      <c r="Y57" s="4865">
        <v>7</v>
      </c>
      <c r="Z57" s="4865">
        <v>7</v>
      </c>
      <c r="AA57" s="4865">
        <v>7</v>
      </c>
      <c r="AB57" s="4865">
        <v>7</v>
      </c>
      <c r="AC57" s="4865">
        <v>7</v>
      </c>
      <c r="AD57" s="4867">
        <v>7</v>
      </c>
      <c r="AE57" s="1534"/>
      <c r="AF57" s="4869">
        <f t="shared" si="7"/>
        <v>7</v>
      </c>
      <c r="AH57" s="4870">
        <v>2</v>
      </c>
      <c r="AI57" s="4867">
        <v>2</v>
      </c>
      <c r="AJ57" s="4865">
        <v>2</v>
      </c>
      <c r="AK57" s="4867">
        <v>2</v>
      </c>
      <c r="AL57" s="4865">
        <v>2</v>
      </c>
      <c r="AM57" s="4865">
        <v>2</v>
      </c>
      <c r="AN57" s="4865">
        <v>2</v>
      </c>
      <c r="AO57" s="4865">
        <v>2</v>
      </c>
      <c r="AP57" s="4865">
        <v>2</v>
      </c>
      <c r="AQ57" s="4865">
        <v>2</v>
      </c>
      <c r="AR57" s="4865">
        <v>2</v>
      </c>
      <c r="AS57" s="4867">
        <v>2</v>
      </c>
      <c r="AT57" s="1534"/>
      <c r="AU57" s="4869">
        <f t="shared" si="8"/>
        <v>2</v>
      </c>
      <c r="AW57" s="4870">
        <v>2</v>
      </c>
      <c r="AX57" s="4867">
        <v>2</v>
      </c>
      <c r="AY57" s="4865"/>
      <c r="AZ57" s="4867"/>
      <c r="BA57" s="4865"/>
      <c r="BB57" s="4865"/>
      <c r="BC57" s="4865"/>
      <c r="BD57" s="4865"/>
      <c r="BE57" s="4865"/>
      <c r="BF57" s="4865"/>
      <c r="BG57" s="4865"/>
      <c r="BH57" s="4867"/>
      <c r="BI57" s="1534"/>
      <c r="BJ57" s="4869">
        <f t="shared" si="17"/>
        <v>2</v>
      </c>
      <c r="BL57" s="4871">
        <f>AW57/$AW$4</f>
        <v>9.0538705296514259E-4</v>
      </c>
      <c r="BM57" s="4872">
        <v>1</v>
      </c>
      <c r="BN57" s="4873">
        <f t="shared" si="18"/>
        <v>0.5</v>
      </c>
      <c r="BO57" s="4874">
        <v>47</v>
      </c>
      <c r="BP57" s="4875">
        <v>18.11643835616438</v>
      </c>
    </row>
    <row r="58" spans="1:68" x14ac:dyDescent="0.55000000000000004">
      <c r="A58" s="7179"/>
      <c r="B58" s="1617" t="s">
        <v>194</v>
      </c>
      <c r="C58" s="1534"/>
      <c r="D58" s="1534">
        <v>129</v>
      </c>
      <c r="E58" s="1534">
        <v>130</v>
      </c>
      <c r="F58" s="1534">
        <v>129</v>
      </c>
      <c r="G58" s="1534">
        <v>126</v>
      </c>
      <c r="H58" s="1534">
        <v>122</v>
      </c>
      <c r="I58" s="1534">
        <v>119</v>
      </c>
      <c r="J58" s="1534">
        <v>118</v>
      </c>
      <c r="K58" s="1534">
        <v>115</v>
      </c>
      <c r="L58" s="1534">
        <v>114</v>
      </c>
      <c r="M58" s="1534">
        <v>112</v>
      </c>
      <c r="N58" s="1534">
        <v>110</v>
      </c>
      <c r="O58" s="1534">
        <v>108</v>
      </c>
      <c r="P58" s="1534"/>
      <c r="Q58" s="4866">
        <f t="shared" ref="Q58" si="32">AVERAGE(D58:O58)</f>
        <v>119.33333333333333</v>
      </c>
      <c r="R58" s="594"/>
      <c r="S58" s="4867">
        <v>82</v>
      </c>
      <c r="T58" s="4867">
        <v>80</v>
      </c>
      <c r="U58" s="4867">
        <v>88</v>
      </c>
      <c r="V58" s="4867">
        <v>80</v>
      </c>
      <c r="W58" s="4867">
        <v>88</v>
      </c>
      <c r="X58" s="4867">
        <v>95</v>
      </c>
      <c r="Y58" s="4867">
        <v>93</v>
      </c>
      <c r="Z58" s="4867">
        <v>93</v>
      </c>
      <c r="AA58" s="4867">
        <v>83</v>
      </c>
      <c r="AB58" s="4867">
        <v>87</v>
      </c>
      <c r="AC58" s="4867">
        <v>87</v>
      </c>
      <c r="AD58" s="4867">
        <v>84</v>
      </c>
      <c r="AE58" s="1534"/>
      <c r="AF58" s="4869">
        <f t="shared" ref="AF58" si="33">AVERAGE(S58:AE58)</f>
        <v>86.666666666666671</v>
      </c>
      <c r="AG58" s="594"/>
      <c r="AH58" s="4907">
        <v>100</v>
      </c>
      <c r="AI58" s="4867">
        <v>105</v>
      </c>
      <c r="AJ58" s="4867">
        <v>100</v>
      </c>
      <c r="AK58" s="4867">
        <v>113</v>
      </c>
      <c r="AL58" s="4865">
        <v>124</v>
      </c>
      <c r="AM58" s="4865">
        <v>120</v>
      </c>
      <c r="AN58" s="4865">
        <v>124</v>
      </c>
      <c r="AO58" s="4865">
        <v>116</v>
      </c>
      <c r="AP58" s="4867">
        <v>118</v>
      </c>
      <c r="AQ58" s="4867">
        <v>117</v>
      </c>
      <c r="AR58" s="4867">
        <v>115</v>
      </c>
      <c r="AS58" s="4867">
        <v>118</v>
      </c>
      <c r="AT58" s="1534"/>
      <c r="AU58" s="4869">
        <f t="shared" si="8"/>
        <v>114.16666666666667</v>
      </c>
      <c r="AV58" s="594"/>
      <c r="AW58" s="4870">
        <v>103</v>
      </c>
      <c r="AX58" s="4867">
        <v>102</v>
      </c>
      <c r="AY58" s="4867"/>
      <c r="AZ58" s="4867"/>
      <c r="BA58" s="4865"/>
      <c r="BB58" s="4865"/>
      <c r="BC58" s="4865"/>
      <c r="BD58" s="4865"/>
      <c r="BE58" s="4867"/>
      <c r="BF58" s="4867"/>
      <c r="BG58" s="4867"/>
      <c r="BH58" s="4867"/>
      <c r="BI58" s="1534"/>
      <c r="BJ58" s="4869">
        <f t="shared" si="17"/>
        <v>102.5</v>
      </c>
      <c r="BK58" s="594"/>
      <c r="BL58" s="4908">
        <f>AW58/$AW$4</f>
        <v>4.6627433227704844E-2</v>
      </c>
      <c r="BM58" s="4872">
        <v>65</v>
      </c>
      <c r="BN58" s="4873">
        <f t="shared" si="18"/>
        <v>0.6310679611650486</v>
      </c>
      <c r="BO58" s="4874">
        <v>35.725490196078432</v>
      </c>
      <c r="BP58" s="4875">
        <v>7.8477840451248975</v>
      </c>
    </row>
    <row r="59" spans="1:68" x14ac:dyDescent="0.55000000000000004">
      <c r="A59" s="7179"/>
      <c r="B59" s="1617" t="s">
        <v>1056</v>
      </c>
      <c r="C59" s="1534"/>
      <c r="D59" s="1534"/>
      <c r="E59" s="1534"/>
      <c r="F59" s="1534"/>
      <c r="G59" s="1534"/>
      <c r="H59" s="1534"/>
      <c r="I59" s="1534"/>
      <c r="J59" s="1534"/>
      <c r="K59" s="1534"/>
      <c r="L59" s="1534"/>
      <c r="M59" s="1534"/>
      <c r="N59" s="1534"/>
      <c r="O59" s="1534"/>
      <c r="P59" s="1534"/>
      <c r="Q59" s="4866"/>
      <c r="R59" s="594"/>
      <c r="S59" s="4867"/>
      <c r="T59" s="4867"/>
      <c r="U59" s="4867"/>
      <c r="V59" s="4867"/>
      <c r="W59" s="4867"/>
      <c r="X59" s="4867"/>
      <c r="Y59" s="4867"/>
      <c r="Z59" s="4867"/>
      <c r="AA59" s="4867"/>
      <c r="AB59" s="4867"/>
      <c r="AC59" s="4867"/>
      <c r="AD59" s="4867"/>
      <c r="AE59" s="1534"/>
      <c r="AF59" s="4869"/>
      <c r="AG59" s="594"/>
      <c r="AH59" s="4907"/>
      <c r="AI59" s="4867"/>
      <c r="AJ59" s="4867"/>
      <c r="AK59" s="4867">
        <v>3</v>
      </c>
      <c r="AL59" s="4865">
        <v>2</v>
      </c>
      <c r="AM59" s="4865">
        <v>1</v>
      </c>
      <c r="AN59" s="4865">
        <v>1</v>
      </c>
      <c r="AO59" s="4865">
        <v>1</v>
      </c>
      <c r="AP59" s="4867">
        <v>1</v>
      </c>
      <c r="AQ59" s="4867">
        <v>2</v>
      </c>
      <c r="AR59" s="4867">
        <v>1</v>
      </c>
      <c r="AS59" s="4867">
        <v>7</v>
      </c>
      <c r="AT59" s="1534"/>
      <c r="AU59" s="4869">
        <f t="shared" si="8"/>
        <v>2.1111111111111112</v>
      </c>
      <c r="AV59" s="594"/>
      <c r="AW59" s="4870">
        <v>3</v>
      </c>
      <c r="AX59" s="4867">
        <v>3</v>
      </c>
      <c r="AY59" s="4867"/>
      <c r="AZ59" s="4867"/>
      <c r="BA59" s="4865"/>
      <c r="BB59" s="4865"/>
      <c r="BC59" s="4865"/>
      <c r="BD59" s="4865"/>
      <c r="BE59" s="4867"/>
      <c r="BF59" s="4867"/>
      <c r="BG59" s="4867"/>
      <c r="BH59" s="4867"/>
      <c r="BI59" s="1534"/>
      <c r="BJ59" s="4869">
        <f t="shared" si="17"/>
        <v>3</v>
      </c>
      <c r="BK59" s="594"/>
      <c r="BL59" s="4908">
        <f>AW59/$AW$4</f>
        <v>1.358080579447714E-3</v>
      </c>
      <c r="BM59" s="4872">
        <v>0</v>
      </c>
      <c r="BN59" s="4873">
        <f t="shared" si="18"/>
        <v>0</v>
      </c>
      <c r="BO59" s="4874">
        <v>33</v>
      </c>
      <c r="BP59" s="4875">
        <v>5.8885844748858451</v>
      </c>
    </row>
    <row r="60" spans="1:68" ht="15.45" thickBot="1" x14ac:dyDescent="0.6">
      <c r="A60" s="7436"/>
      <c r="B60" s="4909" t="s">
        <v>1057</v>
      </c>
      <c r="C60" s="1552"/>
      <c r="D60" s="1552"/>
      <c r="E60" s="1552"/>
      <c r="F60" s="1552"/>
      <c r="G60" s="1552"/>
      <c r="H60" s="1552"/>
      <c r="I60" s="1552"/>
      <c r="J60" s="1552"/>
      <c r="K60" s="1552"/>
      <c r="L60" s="1552"/>
      <c r="M60" s="1552"/>
      <c r="N60" s="1552"/>
      <c r="O60" s="1552"/>
      <c r="P60" s="1552"/>
      <c r="Q60" s="4887"/>
      <c r="R60" s="887"/>
      <c r="S60" s="4888"/>
      <c r="T60" s="4888"/>
      <c r="U60" s="4888"/>
      <c r="V60" s="4888"/>
      <c r="W60" s="4888"/>
      <c r="X60" s="4888"/>
      <c r="Y60" s="4888"/>
      <c r="Z60" s="4888"/>
      <c r="AA60" s="4888"/>
      <c r="AB60" s="4888"/>
      <c r="AC60" s="4888"/>
      <c r="AD60" s="4888"/>
      <c r="AE60" s="1552"/>
      <c r="AF60" s="4890"/>
      <c r="AG60" s="887"/>
      <c r="AH60" s="4910"/>
      <c r="AI60" s="4888"/>
      <c r="AJ60" s="4888"/>
      <c r="AK60" s="4888"/>
      <c r="AL60" s="4888"/>
      <c r="AM60" s="4888"/>
      <c r="AN60" s="4888"/>
      <c r="AO60" s="4888">
        <v>11</v>
      </c>
      <c r="AP60" s="4888">
        <v>11</v>
      </c>
      <c r="AQ60" s="4888"/>
      <c r="AR60" s="4888"/>
      <c r="AS60" s="4888"/>
      <c r="AT60" s="1552"/>
      <c r="AU60" s="4890">
        <f t="shared" si="8"/>
        <v>11</v>
      </c>
      <c r="AV60" s="887"/>
      <c r="AW60" s="4910">
        <v>0</v>
      </c>
      <c r="AX60" s="4888">
        <v>0</v>
      </c>
      <c r="AY60" s="4888"/>
      <c r="AZ60" s="4888"/>
      <c r="BA60" s="4888"/>
      <c r="BB60" s="4888"/>
      <c r="BC60" s="4888"/>
      <c r="BD60" s="4888"/>
      <c r="BE60" s="4888"/>
      <c r="BF60" s="4888"/>
      <c r="BG60" s="4888"/>
      <c r="BH60" s="4888"/>
      <c r="BI60" s="1552"/>
      <c r="BJ60" s="4890">
        <f t="shared" si="17"/>
        <v>0</v>
      </c>
      <c r="BL60" s="4911">
        <f>AK60/$AW$4</f>
        <v>0</v>
      </c>
      <c r="BM60" s="4912"/>
      <c r="BN60" s="4913"/>
      <c r="BO60" s="4914"/>
      <c r="BP60" s="4915"/>
    </row>
    <row r="61" spans="1:68" ht="15.45" thickBot="1" x14ac:dyDescent="0.6"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S61" s="567"/>
      <c r="T61" s="567"/>
      <c r="U61" s="567"/>
      <c r="V61" s="567"/>
      <c r="W61" s="567"/>
      <c r="X61" s="567"/>
      <c r="Y61" s="567"/>
      <c r="Z61" s="567"/>
      <c r="AA61" s="567"/>
      <c r="AB61" s="567"/>
      <c r="AC61" s="4916"/>
      <c r="AD61" s="567"/>
      <c r="AE61" s="567"/>
      <c r="AF61" s="4917"/>
      <c r="AH61" s="4918"/>
      <c r="AI61" s="4919">
        <f t="shared" ref="AI61:AR61" si="34">(AI6+AI12+AI20)-(AH6+AH12+AH20)</f>
        <v>-5</v>
      </c>
      <c r="AJ61" s="4920">
        <f t="shared" si="34"/>
        <v>12</v>
      </c>
      <c r="AK61" s="4920">
        <f t="shared" si="34"/>
        <v>7</v>
      </c>
      <c r="AL61" s="4920">
        <f t="shared" si="34"/>
        <v>-4</v>
      </c>
      <c r="AM61" s="4920">
        <f t="shared" si="34"/>
        <v>-14</v>
      </c>
      <c r="AN61" s="4920">
        <f t="shared" si="34"/>
        <v>-24</v>
      </c>
      <c r="AO61" s="4920">
        <f t="shared" si="34"/>
        <v>-15</v>
      </c>
      <c r="AP61" s="4920">
        <f t="shared" si="34"/>
        <v>-5</v>
      </c>
      <c r="AQ61" s="4920">
        <f t="shared" si="34"/>
        <v>-23</v>
      </c>
      <c r="AR61" s="4920">
        <f t="shared" si="34"/>
        <v>3</v>
      </c>
      <c r="AS61" s="4920">
        <f>(AW6+AW12+AW20)-(AR6+AR12+AR20)</f>
        <v>19</v>
      </c>
      <c r="AT61" s="567"/>
      <c r="AU61" s="4917"/>
      <c r="AZ61" s="4920"/>
      <c r="BA61" s="4920"/>
      <c r="BB61" s="4920"/>
      <c r="BC61" s="4920"/>
      <c r="BD61" s="4920"/>
      <c r="BE61" s="4920"/>
      <c r="BF61" s="4920"/>
      <c r="BG61" s="4920"/>
      <c r="BH61" s="4920"/>
      <c r="BI61" s="567"/>
      <c r="BJ61" s="4917"/>
      <c r="BM61" s="4921" t="s">
        <v>443</v>
      </c>
      <c r="BN61" s="4921" t="s">
        <v>1007</v>
      </c>
      <c r="BO61" s="4922" t="s">
        <v>1008</v>
      </c>
      <c r="BP61" s="4921" t="s">
        <v>722</v>
      </c>
    </row>
    <row r="62" spans="1:68" x14ac:dyDescent="0.55000000000000004">
      <c r="A62" s="7461" t="s">
        <v>1093</v>
      </c>
      <c r="B62" s="7464" t="s">
        <v>972</v>
      </c>
      <c r="C62" s="7465"/>
      <c r="D62" s="4923">
        <v>4</v>
      </c>
      <c r="E62" s="4924">
        <v>-16</v>
      </c>
      <c r="F62" s="4924">
        <v>-10</v>
      </c>
      <c r="G62" s="4924">
        <v>-4</v>
      </c>
      <c r="H62" s="4924">
        <v>1</v>
      </c>
      <c r="I62" s="4924">
        <v>-25</v>
      </c>
      <c r="J62" s="4924">
        <v>-7</v>
      </c>
      <c r="K62" s="4924">
        <v>-12</v>
      </c>
      <c r="L62" s="4924">
        <v>-12</v>
      </c>
      <c r="M62" s="4924">
        <v>-6</v>
      </c>
      <c r="N62" s="4924">
        <v>8</v>
      </c>
      <c r="O62" s="4924">
        <v>2</v>
      </c>
      <c r="P62" s="4924">
        <v>-77</v>
      </c>
      <c r="Q62" s="4925">
        <f>AVERAGE(D62:O62)</f>
        <v>-6.416666666666667</v>
      </c>
      <c r="S62" s="4926">
        <v>3</v>
      </c>
      <c r="T62" s="4924">
        <v>6</v>
      </c>
      <c r="U62" s="4924">
        <v>9</v>
      </c>
      <c r="V62" s="4924">
        <v>29</v>
      </c>
      <c r="W62" s="4924">
        <v>4</v>
      </c>
      <c r="X62" s="4924">
        <v>-15</v>
      </c>
      <c r="Y62" s="4924">
        <v>27</v>
      </c>
      <c r="Z62" s="4924">
        <v>-16</v>
      </c>
      <c r="AA62" s="4924">
        <v>28</v>
      </c>
      <c r="AB62" s="4924">
        <v>26</v>
      </c>
      <c r="AC62" s="4924">
        <v>15</v>
      </c>
      <c r="AD62" s="4924">
        <v>31</v>
      </c>
      <c r="AE62" s="4924">
        <v>147</v>
      </c>
      <c r="AF62" s="4927">
        <v>12.25</v>
      </c>
      <c r="AH62" s="4928">
        <v>31</v>
      </c>
      <c r="AI62" s="4924">
        <v>-4</v>
      </c>
      <c r="AJ62" s="4924">
        <v>12</v>
      </c>
      <c r="AK62" s="4924">
        <v>7</v>
      </c>
      <c r="AL62" s="4924">
        <v>-4</v>
      </c>
      <c r="AM62" s="4924">
        <v>-14</v>
      </c>
      <c r="AN62" s="4924">
        <v>-24</v>
      </c>
      <c r="AO62" s="4924">
        <v>-15</v>
      </c>
      <c r="AP62" s="4924">
        <v>-5</v>
      </c>
      <c r="AQ62" s="4924">
        <v>-23</v>
      </c>
      <c r="AR62" s="4924">
        <v>3</v>
      </c>
      <c r="AS62" s="4924">
        <v>9</v>
      </c>
      <c r="AT62" s="4924"/>
      <c r="AU62" s="4927">
        <f t="shared" si="8"/>
        <v>-2.25</v>
      </c>
      <c r="AW62" s="4928">
        <v>10</v>
      </c>
      <c r="AX62" s="4924">
        <v>-3</v>
      </c>
      <c r="AY62" s="4924"/>
      <c r="AZ62" s="4924"/>
      <c r="BA62" s="4924"/>
      <c r="BB62" s="4924"/>
      <c r="BC62" s="4924"/>
      <c r="BD62" s="4924"/>
      <c r="BE62" s="4924"/>
      <c r="BF62" s="4924"/>
      <c r="BG62" s="4924"/>
      <c r="BH62" s="4924"/>
      <c r="BI62" s="4924"/>
      <c r="BJ62" s="4927">
        <f>AVERAGE(AW62:BH62)</f>
        <v>3.5</v>
      </c>
      <c r="BL62" s="4929"/>
      <c r="BM62" s="4930">
        <f>IFERROR(_xlfn.XLOOKUP($A$1,$2:$2,62:62)-_xlfn.XLOOKUP(EDATE($A$1,-12),$2:$2,62:62),"")</f>
        <v>1</v>
      </c>
      <c r="BN62" s="4930">
        <f>BJ62-AU62</f>
        <v>5.75</v>
      </c>
      <c r="BO62" s="4931">
        <f>IFERROR(
  SUM(
    _xlfn.XLOOKUP(DATE(YEAR($A$1),1,1),$2:$2,62:62):
    _xlfn.XLOOKUP($A$1,$2:$2,62:62)
  )
 -SUM(
    _xlfn.XLOOKUP(DATE(YEAR($A$1)-1,1,1),$2:$2,62:62):
    _xlfn.XLOOKUP(EDATE($A$1,-12),$2:$2,62:62)
  ),"")</f>
        <v>-20</v>
      </c>
      <c r="BP62" s="4932">
        <f>IFERROR(
  _xlfn.XLOOKUP($A$1,$2:$2,62:62)
 -_xlfn.XLOOKUP(EDATE($A$1,-1),$2:$2,62:62),"")</f>
        <v>-13</v>
      </c>
    </row>
    <row r="63" spans="1:68" x14ac:dyDescent="0.55000000000000004">
      <c r="A63" s="7444"/>
      <c r="B63" s="7466" t="s">
        <v>973</v>
      </c>
      <c r="C63" s="7466"/>
      <c r="D63" s="4933">
        <v>0</v>
      </c>
      <c r="E63" s="4934">
        <v>-2</v>
      </c>
      <c r="F63" s="4934">
        <v>-1</v>
      </c>
      <c r="G63" s="4934">
        <v>1</v>
      </c>
      <c r="H63" s="4934">
        <v>0</v>
      </c>
      <c r="I63" s="4934">
        <v>-2</v>
      </c>
      <c r="J63" s="4934">
        <v>9</v>
      </c>
      <c r="K63" s="4934">
        <v>0</v>
      </c>
      <c r="L63" s="4934">
        <v>0</v>
      </c>
      <c r="M63" s="4934">
        <v>-1</v>
      </c>
      <c r="N63" s="4934">
        <v>-1</v>
      </c>
      <c r="O63" s="4934">
        <v>-3</v>
      </c>
      <c r="P63" s="4935">
        <v>0</v>
      </c>
      <c r="Q63" s="4936">
        <f>AVERAGE(D63:O63)</f>
        <v>0</v>
      </c>
      <c r="S63" s="4933">
        <v>0</v>
      </c>
      <c r="T63" s="4934">
        <v>-3</v>
      </c>
      <c r="U63" s="4934">
        <v>0</v>
      </c>
      <c r="V63" s="4934">
        <v>-2</v>
      </c>
      <c r="W63" s="4934">
        <v>0</v>
      </c>
      <c r="X63" s="4934">
        <v>13</v>
      </c>
      <c r="Y63" s="4934">
        <v>-1</v>
      </c>
      <c r="Z63" s="4934">
        <v>0</v>
      </c>
      <c r="AA63" s="4934">
        <v>0</v>
      </c>
      <c r="AB63" s="4934">
        <v>1</v>
      </c>
      <c r="AC63" s="4934">
        <v>-1</v>
      </c>
      <c r="AD63" s="4934">
        <v>-3</v>
      </c>
      <c r="AE63" s="4935">
        <v>4</v>
      </c>
      <c r="AF63" s="4937">
        <v>0.33333333333333331</v>
      </c>
      <c r="AH63" s="4938">
        <v>0</v>
      </c>
      <c r="AI63" s="4934">
        <v>3</v>
      </c>
      <c r="AJ63" s="4934">
        <v>-2</v>
      </c>
      <c r="AK63" s="4934">
        <v>0</v>
      </c>
      <c r="AL63" s="4934">
        <v>0</v>
      </c>
      <c r="AM63" s="4934">
        <v>0</v>
      </c>
      <c r="AN63" s="4934">
        <v>-1</v>
      </c>
      <c r="AO63" s="4934">
        <v>10</v>
      </c>
      <c r="AP63" s="4934">
        <v>-1</v>
      </c>
      <c r="AQ63" s="4934">
        <v>0</v>
      </c>
      <c r="AR63" s="4934">
        <v>0</v>
      </c>
      <c r="AS63" s="4934">
        <v>-5</v>
      </c>
      <c r="AT63" s="4935"/>
      <c r="AU63" s="4937">
        <f t="shared" si="8"/>
        <v>0.33333333333333331</v>
      </c>
      <c r="AW63" s="4938">
        <v>0</v>
      </c>
      <c r="AX63" s="4934">
        <v>-1</v>
      </c>
      <c r="AY63" s="4934"/>
      <c r="AZ63" s="4934"/>
      <c r="BA63" s="4934"/>
      <c r="BB63" s="4934"/>
      <c r="BC63" s="4934"/>
      <c r="BD63" s="4934"/>
      <c r="BE63" s="4934"/>
      <c r="BF63" s="4934"/>
      <c r="BG63" s="4934"/>
      <c r="BH63" s="4934"/>
      <c r="BI63" s="4935"/>
      <c r="BJ63" s="4937">
        <f t="shared" ref="BJ63:BJ101" si="35">AVERAGE(AW63:BH63)</f>
        <v>-0.5</v>
      </c>
      <c r="BL63" s="4939"/>
      <c r="BM63" s="4940">
        <f t="shared" ref="BM63:BM101" si="36">IFERROR(_xlfn.XLOOKUP($A$1,$2:$2,63:63)-_xlfn.XLOOKUP(EDATE($A$1,-12),$2:$2,63:63),"")</f>
        <v>-4</v>
      </c>
      <c r="BN63" s="4941">
        <f t="shared" ref="BN63:BN101" si="37">BJ63-AU63</f>
        <v>-0.83333333333333326</v>
      </c>
      <c r="BO63" s="4942">
        <f>IFERROR(
  SUM(
    _xlfn.XLOOKUP(DATE(YEAR($A$1),1,1),$2:$2,63:63):
    _xlfn.XLOOKUP($A$1,$2:$2,63:63)
  )
 -SUM(
    _xlfn.XLOOKUP(DATE(YEAR($A$1)-1,1,1),$2:$2,63:63):
    _xlfn.XLOOKUP(EDATE($A$1,-12),$2:$2,63:63)
  ),"")</f>
        <v>-4</v>
      </c>
      <c r="BP63" s="4943">
        <f t="shared" ref="BP63:BP101" si="38">IFERROR(
  _xlfn.XLOOKUP($A$1,$2:$2,63:63)
 -_xlfn.XLOOKUP(EDATE($A$1,-1),$2:$2,63:63),"")</f>
        <v>-1</v>
      </c>
    </row>
    <row r="64" spans="1:68" x14ac:dyDescent="0.55000000000000004">
      <c r="A64" s="7444"/>
      <c r="B64" s="7466" t="s">
        <v>974</v>
      </c>
      <c r="C64" s="7466"/>
      <c r="D64" s="4933">
        <v>4</v>
      </c>
      <c r="E64" s="4934">
        <v>-11</v>
      </c>
      <c r="F64" s="4934">
        <v>-8</v>
      </c>
      <c r="G64" s="4934">
        <v>-6</v>
      </c>
      <c r="H64" s="4934">
        <v>2</v>
      </c>
      <c r="I64" s="4934">
        <v>-23</v>
      </c>
      <c r="J64" s="4934">
        <v>-14</v>
      </c>
      <c r="K64" s="4934">
        <v>-8</v>
      </c>
      <c r="L64" s="4934">
        <v>-15</v>
      </c>
      <c r="M64" s="4934">
        <v>-4</v>
      </c>
      <c r="N64" s="4934">
        <v>9</v>
      </c>
      <c r="O64" s="4934">
        <v>3</v>
      </c>
      <c r="P64" s="4935">
        <v>-71</v>
      </c>
      <c r="Q64" s="4936">
        <f>AVERAGE(D64:O64)</f>
        <v>-5.916666666666667</v>
      </c>
      <c r="S64" s="4933">
        <v>-2</v>
      </c>
      <c r="T64" s="4934">
        <v>10</v>
      </c>
      <c r="U64" s="4934">
        <v>12</v>
      </c>
      <c r="V64" s="4934">
        <v>34</v>
      </c>
      <c r="W64" s="4934">
        <v>5</v>
      </c>
      <c r="X64" s="4934">
        <v>-11</v>
      </c>
      <c r="Y64" s="4934">
        <v>18</v>
      </c>
      <c r="Z64" s="4934">
        <v>-6</v>
      </c>
      <c r="AA64" s="4934">
        <v>24</v>
      </c>
      <c r="AB64" s="4934">
        <v>32</v>
      </c>
      <c r="AC64" s="4934">
        <v>5</v>
      </c>
      <c r="AD64" s="4934">
        <v>24</v>
      </c>
      <c r="AE64" s="4935">
        <v>145</v>
      </c>
      <c r="AF64" s="4937">
        <v>12.083333333333334</v>
      </c>
      <c r="AH64" s="4938">
        <v>25</v>
      </c>
      <c r="AI64" s="4934">
        <v>-11</v>
      </c>
      <c r="AJ64" s="4934">
        <v>7</v>
      </c>
      <c r="AK64" s="4934">
        <v>-3</v>
      </c>
      <c r="AL64" s="4934">
        <v>-7</v>
      </c>
      <c r="AM64" s="4934">
        <v>-15</v>
      </c>
      <c r="AN64" s="4934">
        <v>-26</v>
      </c>
      <c r="AO64" s="4934">
        <v>-24</v>
      </c>
      <c r="AP64" s="4934">
        <v>-3</v>
      </c>
      <c r="AQ64" s="4934">
        <v>-21</v>
      </c>
      <c r="AR64" s="4934">
        <v>3</v>
      </c>
      <c r="AS64" s="4934">
        <v>15</v>
      </c>
      <c r="AT64" s="4935"/>
      <c r="AU64" s="4937">
        <f t="shared" si="8"/>
        <v>-5</v>
      </c>
      <c r="AW64" s="4938">
        <v>2</v>
      </c>
      <c r="AX64" s="4934">
        <v>1</v>
      </c>
      <c r="AY64" s="4934"/>
      <c r="AZ64" s="4934"/>
      <c r="BA64" s="4934"/>
      <c r="BB64" s="4934"/>
      <c r="BC64" s="4934"/>
      <c r="BD64" s="4934"/>
      <c r="BE64" s="4934"/>
      <c r="BF64" s="4934"/>
      <c r="BG64" s="4934"/>
      <c r="BH64" s="4934"/>
      <c r="BI64" s="4935"/>
      <c r="BJ64" s="4937">
        <f t="shared" si="35"/>
        <v>1.5</v>
      </c>
      <c r="BL64" s="4939"/>
      <c r="BM64" s="4941">
        <f t="shared" si="36"/>
        <v>12</v>
      </c>
      <c r="BN64" s="4941">
        <f t="shared" si="37"/>
        <v>6.5</v>
      </c>
      <c r="BO64" s="4942">
        <f>IFERROR(
  SUM(
    _xlfn.XLOOKUP(DATE(YEAR($A$1),1,1),$2:$2,64:64):
    _xlfn.XLOOKUP($A$1,$2:$2,64:64)
  )
 -SUM(
    _xlfn.XLOOKUP(DATE(YEAR($A$1)-1,1,1),$2:$2,64:64):
    _xlfn.XLOOKUP(EDATE($A$1,-12),$2:$2,64:64)
  ),"")</f>
        <v>-11</v>
      </c>
      <c r="BP64" s="4943">
        <f t="shared" si="38"/>
        <v>-1</v>
      </c>
    </row>
    <row r="65" spans="1:68" x14ac:dyDescent="0.55000000000000004">
      <c r="A65" s="7444"/>
      <c r="B65" s="7467" t="s">
        <v>975</v>
      </c>
      <c r="C65" s="7467"/>
      <c r="D65" s="4933">
        <v>0</v>
      </c>
      <c r="E65" s="4934">
        <v>-3</v>
      </c>
      <c r="F65" s="4934">
        <v>-1</v>
      </c>
      <c r="G65" s="4934">
        <v>1</v>
      </c>
      <c r="H65" s="4934">
        <v>-1</v>
      </c>
      <c r="I65" s="4934">
        <v>0</v>
      </c>
      <c r="J65" s="4934">
        <v>-2</v>
      </c>
      <c r="K65" s="4934">
        <v>-4</v>
      </c>
      <c r="L65" s="4934">
        <v>3</v>
      </c>
      <c r="M65" s="4934">
        <v>-1</v>
      </c>
      <c r="N65" s="4934">
        <v>0</v>
      </c>
      <c r="O65" s="4934">
        <v>2</v>
      </c>
      <c r="P65" s="4935">
        <v>-6</v>
      </c>
      <c r="Q65" s="4936">
        <f>AVERAGE(D65:O65)</f>
        <v>-0.5</v>
      </c>
      <c r="S65" s="4933">
        <v>5</v>
      </c>
      <c r="T65" s="4934">
        <v>-1</v>
      </c>
      <c r="U65" s="4934">
        <v>-3</v>
      </c>
      <c r="V65" s="4934">
        <v>-3</v>
      </c>
      <c r="W65" s="4934">
        <v>-1</v>
      </c>
      <c r="X65" s="4934">
        <v>-17</v>
      </c>
      <c r="Y65" s="4934">
        <v>10</v>
      </c>
      <c r="Z65" s="4934">
        <v>-10</v>
      </c>
      <c r="AA65" s="4934">
        <v>4</v>
      </c>
      <c r="AB65" s="4934">
        <v>-7</v>
      </c>
      <c r="AC65" s="4934">
        <v>11</v>
      </c>
      <c r="AD65" s="4934">
        <v>10</v>
      </c>
      <c r="AE65" s="4935">
        <v>-2</v>
      </c>
      <c r="AF65" s="4937">
        <v>-0.16666666666666666</v>
      </c>
      <c r="AH65" s="4938">
        <v>6</v>
      </c>
      <c r="AI65" s="4934">
        <v>4</v>
      </c>
      <c r="AJ65" s="4934">
        <v>7</v>
      </c>
      <c r="AK65" s="4934">
        <v>10</v>
      </c>
      <c r="AL65" s="4934">
        <v>3</v>
      </c>
      <c r="AM65" s="4934">
        <v>1</v>
      </c>
      <c r="AN65" s="4934">
        <v>3</v>
      </c>
      <c r="AO65" s="4934">
        <v>-1</v>
      </c>
      <c r="AP65" s="4934">
        <v>-1</v>
      </c>
      <c r="AQ65" s="4934">
        <v>-2</v>
      </c>
      <c r="AR65" s="4934">
        <v>0</v>
      </c>
      <c r="AS65" s="4934">
        <v>-1</v>
      </c>
      <c r="AT65" s="4935"/>
      <c r="AU65" s="4937">
        <f t="shared" si="8"/>
        <v>2.4166666666666665</v>
      </c>
      <c r="AW65" s="4938">
        <v>8</v>
      </c>
      <c r="AX65" s="4934">
        <v>-3</v>
      </c>
      <c r="AY65" s="4934"/>
      <c r="AZ65" s="4934"/>
      <c r="BA65" s="4934"/>
      <c r="BB65" s="4934"/>
      <c r="BC65" s="4934"/>
      <c r="BD65" s="4934"/>
      <c r="BE65" s="4934"/>
      <c r="BF65" s="4934"/>
      <c r="BG65" s="4934"/>
      <c r="BH65" s="4934"/>
      <c r="BI65" s="4935"/>
      <c r="BJ65" s="4937">
        <f t="shared" si="35"/>
        <v>2.5</v>
      </c>
      <c r="BL65" s="4944"/>
      <c r="BM65" s="4945">
        <f t="shared" si="36"/>
        <v>-7</v>
      </c>
      <c r="BN65" s="4945">
        <f t="shared" si="37"/>
        <v>8.3333333333333481E-2</v>
      </c>
      <c r="BO65" s="4946">
        <f>IFERROR(
  SUM(
    _xlfn.XLOOKUP(DATE(YEAR($A$1),1,1),$2:$2,65:65):
    _xlfn.XLOOKUP($A$1,$2:$2,65:65)
  )
 -SUM(
    _xlfn.XLOOKUP(DATE(YEAR($A$1)-1,1,1),$2:$2,65:65):
    _xlfn.XLOOKUP(EDATE($A$1,-12),$2:$2,65:65)
  ),"")</f>
        <v>-5</v>
      </c>
      <c r="BP65" s="4947">
        <f t="shared" si="38"/>
        <v>-11</v>
      </c>
    </row>
    <row r="66" spans="1:68" ht="16.5" customHeight="1" x14ac:dyDescent="0.55000000000000004">
      <c r="A66" s="7449" t="s">
        <v>1094</v>
      </c>
      <c r="B66" s="7462" t="s">
        <v>985</v>
      </c>
      <c r="C66" s="7463"/>
      <c r="D66" s="4948">
        <v>50</v>
      </c>
      <c r="E66" s="4949">
        <v>53</v>
      </c>
      <c r="F66" s="4949">
        <v>54</v>
      </c>
      <c r="G66" s="4949">
        <v>58</v>
      </c>
      <c r="H66" s="4949">
        <v>50</v>
      </c>
      <c r="I66" s="4949">
        <v>42</v>
      </c>
      <c r="J66" s="4949">
        <v>53</v>
      </c>
      <c r="K66" s="4949">
        <v>40</v>
      </c>
      <c r="L66" s="4949">
        <v>34</v>
      </c>
      <c r="M66" s="4949">
        <v>54</v>
      </c>
      <c r="N66" s="4949">
        <v>46</v>
      </c>
      <c r="O66" s="4949">
        <v>40</v>
      </c>
      <c r="P66" s="4949">
        <f>SUM(D66:O66)</f>
        <v>574</v>
      </c>
      <c r="Q66" s="4949">
        <v>47.833333333333336</v>
      </c>
      <c r="S66" s="4948">
        <v>67</v>
      </c>
      <c r="T66" s="4949">
        <v>62</v>
      </c>
      <c r="U66" s="4949">
        <v>66</v>
      </c>
      <c r="V66" s="4949">
        <v>97</v>
      </c>
      <c r="W66" s="4949">
        <v>56</v>
      </c>
      <c r="X66" s="4949">
        <v>66</v>
      </c>
      <c r="Y66" s="4949">
        <v>92</v>
      </c>
      <c r="Z66" s="4949">
        <v>58</v>
      </c>
      <c r="AA66" s="4949">
        <v>93</v>
      </c>
      <c r="AB66" s="4949">
        <v>79</v>
      </c>
      <c r="AC66" s="4949">
        <v>82</v>
      </c>
      <c r="AD66" s="4949">
        <v>87</v>
      </c>
      <c r="AE66" s="4949">
        <v>905</v>
      </c>
      <c r="AF66" s="4949">
        <v>75.416666666666671</v>
      </c>
      <c r="AH66" s="4950">
        <v>65</v>
      </c>
      <c r="AI66" s="4949">
        <v>55</v>
      </c>
      <c r="AJ66" s="4949">
        <v>71</v>
      </c>
      <c r="AK66" s="4949">
        <v>49</v>
      </c>
      <c r="AL66" s="4949">
        <v>38</v>
      </c>
      <c r="AM66" s="4949">
        <v>30</v>
      </c>
      <c r="AN66" s="4949">
        <v>27</v>
      </c>
      <c r="AO66" s="4949">
        <v>45</v>
      </c>
      <c r="AP66" s="4949">
        <v>39</v>
      </c>
      <c r="AQ66" s="4949">
        <v>26</v>
      </c>
      <c r="AR66" s="4949">
        <v>44</v>
      </c>
      <c r="AS66" s="4949">
        <v>41</v>
      </c>
      <c r="AT66" s="4949"/>
      <c r="AU66" s="4949">
        <f t="shared" si="8"/>
        <v>44.166666666666664</v>
      </c>
      <c r="AW66" s="4950">
        <v>57</v>
      </c>
      <c r="AX66" s="4949">
        <v>53</v>
      </c>
      <c r="AY66" s="4949"/>
      <c r="AZ66" s="4949"/>
      <c r="BA66" s="4949"/>
      <c r="BB66" s="4949"/>
      <c r="BC66" s="4949"/>
      <c r="BD66" s="4949"/>
      <c r="BE66" s="4949"/>
      <c r="BF66" s="4949"/>
      <c r="BG66" s="4949"/>
      <c r="BH66" s="4949"/>
      <c r="BI66" s="4949"/>
      <c r="BJ66" s="4949">
        <f t="shared" si="35"/>
        <v>55</v>
      </c>
      <c r="BL66" s="4951"/>
      <c r="BM66" s="4952">
        <f t="shared" si="36"/>
        <v>-2</v>
      </c>
      <c r="BN66" s="4952">
        <f t="shared" si="37"/>
        <v>10.833333333333336</v>
      </c>
      <c r="BO66" s="4953">
        <f>IFERROR(
  SUM(
    _xlfn.XLOOKUP(DATE(YEAR($A$1),1,1),$2:$2,66:66):
    _xlfn.XLOOKUP($A$1,$2:$2,66:66)
  )
 -SUM(
    _xlfn.XLOOKUP(DATE(YEAR($A$1)-1,1,1),$2:$2,66:66):
    _xlfn.XLOOKUP(EDATE($A$1,-12),$2:$2,66:66)
  ),"")</f>
        <v>-10</v>
      </c>
      <c r="BP66" s="4954">
        <f t="shared" si="38"/>
        <v>-4</v>
      </c>
    </row>
    <row r="67" spans="1:68" ht="16.5" customHeight="1" x14ac:dyDescent="0.55000000000000004">
      <c r="A67" s="7444"/>
      <c r="B67" s="4955" t="s">
        <v>984</v>
      </c>
      <c r="C67" s="4956"/>
      <c r="D67" s="4957">
        <v>2.35626767200754E-2</v>
      </c>
      <c r="E67" s="1651">
        <v>2.5166191832858498E-2</v>
      </c>
      <c r="F67" s="1651">
        <v>2.5763358778625955E-2</v>
      </c>
      <c r="G67" s="1651">
        <v>2.7724665391969407E-2</v>
      </c>
      <c r="H67" s="1651">
        <v>2.3889154323936932E-2</v>
      </c>
      <c r="I67" s="1651">
        <v>2.0309477756286266E-2</v>
      </c>
      <c r="J67" s="1651">
        <v>2.5715672003881612E-2</v>
      </c>
      <c r="K67" s="1651">
        <v>1.9521717911176184E-2</v>
      </c>
      <c r="L67" s="1651">
        <v>1.6691212567501227E-2</v>
      </c>
      <c r="M67" s="1651">
        <v>2.6587887740029542E-2</v>
      </c>
      <c r="N67" s="1651">
        <v>2.2560078469838155E-2</v>
      </c>
      <c r="O67" s="1651">
        <v>1.9598236158745713E-2</v>
      </c>
      <c r="P67" s="1651"/>
      <c r="Q67" s="1651">
        <v>2.3090860804577076E-2</v>
      </c>
      <c r="S67" s="4957">
        <v>3.2810969637610189E-2</v>
      </c>
      <c r="T67" s="1651">
        <v>3.02734375E-2</v>
      </c>
      <c r="U67" s="1651">
        <v>3.2085561497326207E-2</v>
      </c>
      <c r="V67" s="1651">
        <v>4.6500479386385428E-2</v>
      </c>
      <c r="W67" s="1651">
        <v>2.6781444285031087E-2</v>
      </c>
      <c r="X67" s="1651">
        <v>3.1503579952267304E-2</v>
      </c>
      <c r="Y67" s="1651">
        <v>4.3767840152235969E-2</v>
      </c>
      <c r="Z67" s="1651">
        <v>2.7592768791627021E-2</v>
      </c>
      <c r="AA67" s="1651">
        <v>4.3992431409649951E-2</v>
      </c>
      <c r="AB67" s="1651">
        <v>3.6915887850467288E-2</v>
      </c>
      <c r="AC67" s="1651">
        <v>3.8051044083526685E-2</v>
      </c>
      <c r="AD67" s="1651">
        <v>3.9798719121683437E-2</v>
      </c>
      <c r="AE67" s="1651"/>
      <c r="AF67" s="1651">
        <v>3.5839513638984209E-2</v>
      </c>
      <c r="AH67" s="4958">
        <v>2.9318899413622011E-2</v>
      </c>
      <c r="AI67" s="1651">
        <v>2.4853140533212834E-2</v>
      </c>
      <c r="AJ67" s="1651">
        <v>3.191011235955056E-2</v>
      </c>
      <c r="AK67" s="1651">
        <v>2.1953405017921146E-2</v>
      </c>
      <c r="AL67" s="1651">
        <v>1.7055655296229804E-2</v>
      </c>
      <c r="AM67" s="1651">
        <v>1.3550135501355014E-2</v>
      </c>
      <c r="AN67" s="1651">
        <v>1.2328767123287671E-2</v>
      </c>
      <c r="AO67" s="1651">
        <v>2.0689655172413793E-2</v>
      </c>
      <c r="AP67" s="1651">
        <v>1.7972350230414748E-2</v>
      </c>
      <c r="AQ67" s="1651">
        <v>1.2109920819748486E-2</v>
      </c>
      <c r="AR67" s="1651">
        <v>2.0465116279069766E-2</v>
      </c>
      <c r="AS67" s="1651">
        <v>1.8990273274664196E-2</v>
      </c>
      <c r="AT67" s="1651"/>
      <c r="AU67" s="1651">
        <f t="shared" si="8"/>
        <v>2.0099785918457503E-2</v>
      </c>
      <c r="AW67" s="4958">
        <v>2.6279391424619641E-2</v>
      </c>
      <c r="AX67" s="1651">
        <v>2.4457775726811262E-2</v>
      </c>
      <c r="AY67" s="1651"/>
      <c r="AZ67" s="1651"/>
      <c r="BA67" s="1651"/>
      <c r="BB67" s="1651"/>
      <c r="BC67" s="1651"/>
      <c r="BD67" s="1651"/>
      <c r="BE67" s="1651"/>
      <c r="BF67" s="1651"/>
      <c r="BG67" s="1651"/>
      <c r="BH67" s="1651"/>
      <c r="BI67" s="1651"/>
      <c r="BJ67" s="1651">
        <f t="shared" si="35"/>
        <v>2.5368583575715451E-2</v>
      </c>
      <c r="BL67" s="4959"/>
      <c r="BM67" s="4960">
        <f t="shared" si="36"/>
        <v>-3.9536480640157273E-4</v>
      </c>
      <c r="BN67" s="4960">
        <f t="shared" si="37"/>
        <v>5.2687976572579481E-3</v>
      </c>
      <c r="BO67" s="4961">
        <f>IFERROR(
  SUM(
    _xlfn.XLOOKUP(DATE(YEAR($A$1),1,1),$2:$2,67:67):
    _xlfn.XLOOKUP($A$1,$2:$2,67:67)
  )
 -SUM(
    _xlfn.XLOOKUP(DATE(YEAR($A$1)-1,1,1),$2:$2,67:67):
    _xlfn.XLOOKUP(EDATE($A$1,-12),$2:$2,67:67)
  ),"")</f>
        <v>-3.4348727954039426E-3</v>
      </c>
      <c r="BP67" s="4962">
        <f t="shared" si="38"/>
        <v>-1.8216156978083792E-3</v>
      </c>
    </row>
    <row r="68" spans="1:68" x14ac:dyDescent="0.55000000000000004">
      <c r="A68" s="7444"/>
      <c r="B68" s="4963" t="s">
        <v>973</v>
      </c>
      <c r="C68" s="4964"/>
      <c r="D68" s="4965">
        <v>0</v>
      </c>
      <c r="E68" s="4966">
        <v>0</v>
      </c>
      <c r="F68" s="4966">
        <v>0</v>
      </c>
      <c r="G68" s="4966">
        <v>1</v>
      </c>
      <c r="H68" s="4966">
        <v>1</v>
      </c>
      <c r="I68" s="4966">
        <v>0</v>
      </c>
      <c r="J68" s="4966">
        <v>10</v>
      </c>
      <c r="K68" s="4966">
        <v>0</v>
      </c>
      <c r="L68" s="4966">
        <v>0</v>
      </c>
      <c r="M68" s="4966">
        <v>0</v>
      </c>
      <c r="N68" s="4966">
        <v>0</v>
      </c>
      <c r="O68" s="4966">
        <v>1</v>
      </c>
      <c r="P68" s="4967">
        <f>SUM(D68:O68)</f>
        <v>13</v>
      </c>
      <c r="Q68" s="4968">
        <v>1.0833333333333333</v>
      </c>
      <c r="S68" s="4965">
        <v>1</v>
      </c>
      <c r="T68" s="4966">
        <v>0</v>
      </c>
      <c r="U68" s="4966">
        <v>1</v>
      </c>
      <c r="V68" s="4966">
        <v>0</v>
      </c>
      <c r="W68" s="4966">
        <v>0</v>
      </c>
      <c r="X68" s="4966">
        <v>14</v>
      </c>
      <c r="Y68" s="4966">
        <v>0</v>
      </c>
      <c r="Z68" s="4966">
        <v>0</v>
      </c>
      <c r="AA68" s="4966">
        <v>0</v>
      </c>
      <c r="AB68" s="4966">
        <v>1</v>
      </c>
      <c r="AC68" s="4966">
        <v>0</v>
      </c>
      <c r="AD68" s="4966">
        <v>0</v>
      </c>
      <c r="AE68" s="4967">
        <v>17</v>
      </c>
      <c r="AF68" s="4968">
        <v>1.4166666666666667</v>
      </c>
      <c r="AH68" s="4969">
        <v>0</v>
      </c>
      <c r="AI68" s="4970">
        <v>3</v>
      </c>
      <c r="AJ68" s="4970">
        <v>0</v>
      </c>
      <c r="AK68" s="4970">
        <v>0</v>
      </c>
      <c r="AL68" s="4970">
        <v>0</v>
      </c>
      <c r="AM68" s="4970">
        <v>0</v>
      </c>
      <c r="AN68" s="4970">
        <v>0</v>
      </c>
      <c r="AO68" s="4970">
        <v>11</v>
      </c>
      <c r="AP68" s="4970">
        <v>0</v>
      </c>
      <c r="AQ68" s="4970">
        <v>0</v>
      </c>
      <c r="AR68" s="4970">
        <v>0</v>
      </c>
      <c r="AS68" s="4970">
        <v>1</v>
      </c>
      <c r="AT68" s="4967"/>
      <c r="AU68" s="4968">
        <f t="shared" si="8"/>
        <v>1.25</v>
      </c>
      <c r="AW68" s="4969">
        <v>0</v>
      </c>
      <c r="AX68" s="4970">
        <v>0</v>
      </c>
      <c r="AY68" s="4970"/>
      <c r="AZ68" s="4970"/>
      <c r="BA68" s="4970"/>
      <c r="BB68" s="4970"/>
      <c r="BC68" s="4970"/>
      <c r="BD68" s="4970"/>
      <c r="BE68" s="4970"/>
      <c r="BF68" s="4970"/>
      <c r="BG68" s="4970"/>
      <c r="BH68" s="4970"/>
      <c r="BI68" s="4967"/>
      <c r="BJ68" s="4968">
        <f t="shared" si="35"/>
        <v>0</v>
      </c>
      <c r="BL68" s="4971"/>
      <c r="BM68" s="4972">
        <f t="shared" si="36"/>
        <v>-3</v>
      </c>
      <c r="BN68" s="4972">
        <f t="shared" si="37"/>
        <v>-1.25</v>
      </c>
      <c r="BO68" s="4973">
        <f>IFERROR(
  SUM(
    _xlfn.XLOOKUP(DATE(YEAR($A$1),1,1),$2:$2,68:68):
    _xlfn.XLOOKUP($A$1,$2:$2,68:68)
  )
 -SUM(
    _xlfn.XLOOKUP(DATE(YEAR($A$1)-1,1,1),$2:$2,68:68):
    _xlfn.XLOOKUP(EDATE($A$1,-12),$2:$2,68:68)
  ),"")</f>
        <v>-3</v>
      </c>
      <c r="BP68" s="4974">
        <f t="shared" si="38"/>
        <v>0</v>
      </c>
    </row>
    <row r="69" spans="1:68" x14ac:dyDescent="0.55000000000000004">
      <c r="A69" s="7444"/>
      <c r="B69" s="4975" t="s">
        <v>984</v>
      </c>
      <c r="C69" s="4976"/>
      <c r="D69" s="4977">
        <v>0</v>
      </c>
      <c r="E69" s="1663">
        <v>0</v>
      </c>
      <c r="F69" s="1663">
        <v>0</v>
      </c>
      <c r="G69" s="1663">
        <v>5.7471264367816091E-3</v>
      </c>
      <c r="H69" s="1663">
        <v>5.7471264367816091E-3</v>
      </c>
      <c r="I69" s="1663">
        <v>0</v>
      </c>
      <c r="J69" s="1663">
        <v>5.5248618784530384E-2</v>
      </c>
      <c r="K69" s="1663">
        <v>0</v>
      </c>
      <c r="L69" s="1663">
        <v>0</v>
      </c>
      <c r="M69" s="1663">
        <v>0</v>
      </c>
      <c r="N69" s="1663">
        <v>0</v>
      </c>
      <c r="O69" s="1663">
        <v>5.681818181818182E-3</v>
      </c>
      <c r="P69" s="1663"/>
      <c r="Q69" s="1663">
        <v>6.0353908199926483E-3</v>
      </c>
      <c r="S69" s="4977">
        <v>5.681818181818182E-3</v>
      </c>
      <c r="T69" s="1663">
        <v>0</v>
      </c>
      <c r="U69" s="1663">
        <v>5.7803468208092483E-3</v>
      </c>
      <c r="V69" s="1663">
        <v>0</v>
      </c>
      <c r="W69" s="1663">
        <v>0</v>
      </c>
      <c r="X69" s="1663">
        <v>7.6086956521739135E-2</v>
      </c>
      <c r="Y69" s="1663">
        <v>0</v>
      </c>
      <c r="Z69" s="1663">
        <v>0</v>
      </c>
      <c r="AA69" s="1663">
        <v>0</v>
      </c>
      <c r="AB69" s="1663">
        <v>5.434782608695652E-3</v>
      </c>
      <c r="AC69" s="1663">
        <v>0</v>
      </c>
      <c r="AD69" s="1663">
        <v>0</v>
      </c>
      <c r="AE69" s="4978"/>
      <c r="AF69" s="1663">
        <v>7.7486586777551839E-3</v>
      </c>
      <c r="AH69" s="4979">
        <v>0</v>
      </c>
      <c r="AI69" s="1663">
        <v>1.6393442622950821E-2</v>
      </c>
      <c r="AJ69" s="1663">
        <v>0</v>
      </c>
      <c r="AK69" s="1663">
        <v>0</v>
      </c>
      <c r="AL69" s="1663">
        <v>0</v>
      </c>
      <c r="AM69" s="1663">
        <v>0</v>
      </c>
      <c r="AN69" s="1663">
        <v>0</v>
      </c>
      <c r="AO69" s="1663">
        <v>5.7894736842105263E-2</v>
      </c>
      <c r="AP69" s="1663">
        <v>0</v>
      </c>
      <c r="AQ69" s="1663">
        <v>0</v>
      </c>
      <c r="AR69" s="1663">
        <v>0</v>
      </c>
      <c r="AS69" s="1663">
        <v>5.434782608695652E-3</v>
      </c>
      <c r="AT69" s="4978"/>
      <c r="AU69" s="1663">
        <f t="shared" ref="AU69:AU101" si="39">AVERAGE(AH69:AS69)</f>
        <v>6.6435801728126449E-3</v>
      </c>
      <c r="AW69" s="4979">
        <v>0</v>
      </c>
      <c r="AX69" s="1663">
        <v>0</v>
      </c>
      <c r="AY69" s="1663"/>
      <c r="AZ69" s="1663"/>
      <c r="BA69" s="1663"/>
      <c r="BB69" s="1663"/>
      <c r="BC69" s="1663"/>
      <c r="BD69" s="1663"/>
      <c r="BE69" s="1663"/>
      <c r="BF69" s="1663"/>
      <c r="BG69" s="1663"/>
      <c r="BH69" s="1663"/>
      <c r="BI69" s="4978"/>
      <c r="BJ69" s="1663">
        <f t="shared" si="35"/>
        <v>0</v>
      </c>
      <c r="BL69" s="4980"/>
      <c r="BM69" s="4981">
        <f t="shared" si="36"/>
        <v>-1.6393442622950821E-2</v>
      </c>
      <c r="BN69" s="4981">
        <f t="shared" si="37"/>
        <v>-6.6435801728126449E-3</v>
      </c>
      <c r="BO69" s="4982">
        <f>IFERROR(
  SUM(
    _xlfn.XLOOKUP(DATE(YEAR($A$1),1,1),$2:$2,69:69):
    _xlfn.XLOOKUP($A$1,$2:$2,69:69)
  )
 -SUM(
    _xlfn.XLOOKUP(DATE(YEAR($A$1)-1,1,1),$2:$2,69:69):
    _xlfn.XLOOKUP(EDATE($A$1,-12),$2:$2,69:69)
  ),"")</f>
        <v>-1.6393442622950821E-2</v>
      </c>
      <c r="BP69" s="4983">
        <f t="shared" si="38"/>
        <v>0</v>
      </c>
    </row>
    <row r="70" spans="1:68" x14ac:dyDescent="0.55000000000000004">
      <c r="A70" s="7444"/>
      <c r="B70" s="4963" t="s">
        <v>974</v>
      </c>
      <c r="C70" s="4964"/>
      <c r="D70" s="4965">
        <v>49</v>
      </c>
      <c r="E70" s="4966">
        <v>53</v>
      </c>
      <c r="F70" s="4966">
        <v>51</v>
      </c>
      <c r="G70" s="4966">
        <v>54</v>
      </c>
      <c r="H70" s="4966">
        <v>49</v>
      </c>
      <c r="I70" s="4966">
        <v>40</v>
      </c>
      <c r="J70" s="4966">
        <v>42</v>
      </c>
      <c r="K70" s="4966">
        <v>40</v>
      </c>
      <c r="L70" s="4966">
        <v>31</v>
      </c>
      <c r="M70" s="4966">
        <v>53</v>
      </c>
      <c r="N70" s="4966">
        <v>44</v>
      </c>
      <c r="O70" s="4966">
        <v>36</v>
      </c>
      <c r="P70" s="4967">
        <f>SUM(D70:O70)</f>
        <v>542</v>
      </c>
      <c r="Q70" s="4984">
        <v>45.166666666666664</v>
      </c>
      <c r="S70" s="4965">
        <v>58</v>
      </c>
      <c r="T70" s="4966">
        <v>61</v>
      </c>
      <c r="U70" s="4966">
        <v>65</v>
      </c>
      <c r="V70" s="4966">
        <v>95</v>
      </c>
      <c r="W70" s="4966">
        <v>56</v>
      </c>
      <c r="X70" s="4966">
        <v>49</v>
      </c>
      <c r="Y70" s="4966">
        <v>80</v>
      </c>
      <c r="Z70" s="4966">
        <v>44</v>
      </c>
      <c r="AA70" s="4966">
        <v>85</v>
      </c>
      <c r="AB70" s="4966">
        <v>75</v>
      </c>
      <c r="AC70" s="4966">
        <v>66</v>
      </c>
      <c r="AD70" s="4966">
        <v>73</v>
      </c>
      <c r="AE70" s="4967">
        <v>807</v>
      </c>
      <c r="AF70" s="4984">
        <v>67.25</v>
      </c>
      <c r="AH70" s="4969">
        <v>57</v>
      </c>
      <c r="AI70" s="4970">
        <v>44</v>
      </c>
      <c r="AJ70" s="4970">
        <v>59</v>
      </c>
      <c r="AK70" s="4970">
        <v>36</v>
      </c>
      <c r="AL70" s="4970">
        <v>29</v>
      </c>
      <c r="AM70" s="4970">
        <v>25</v>
      </c>
      <c r="AN70" s="4970">
        <v>21</v>
      </c>
      <c r="AO70" s="4970">
        <v>28</v>
      </c>
      <c r="AP70" s="4970">
        <v>37</v>
      </c>
      <c r="AQ70" s="4970">
        <v>25</v>
      </c>
      <c r="AR70" s="4970">
        <v>42</v>
      </c>
      <c r="AS70" s="4970">
        <v>39</v>
      </c>
      <c r="AT70" s="4967"/>
      <c r="AU70" s="4984">
        <f t="shared" si="39"/>
        <v>36.833333333333336</v>
      </c>
      <c r="AW70" s="4969">
        <v>48</v>
      </c>
      <c r="AX70" s="4970">
        <v>50</v>
      </c>
      <c r="AY70" s="4970"/>
      <c r="AZ70" s="4970"/>
      <c r="BA70" s="4970"/>
      <c r="BB70" s="4970"/>
      <c r="BC70" s="4970"/>
      <c r="BD70" s="4970"/>
      <c r="BE70" s="4970"/>
      <c r="BF70" s="4970"/>
      <c r="BG70" s="4970"/>
      <c r="BH70" s="4970"/>
      <c r="BI70" s="4967"/>
      <c r="BJ70" s="4984">
        <f t="shared" si="35"/>
        <v>49</v>
      </c>
      <c r="BL70" s="4971"/>
      <c r="BM70" s="4972">
        <f t="shared" si="36"/>
        <v>6</v>
      </c>
      <c r="BN70" s="4972">
        <f t="shared" si="37"/>
        <v>12.166666666666664</v>
      </c>
      <c r="BO70" s="4973">
        <f>IFERROR(
  SUM(
    _xlfn.XLOOKUP(DATE(YEAR($A$1),1,1),$2:$2,70:70):
    _xlfn.XLOOKUP($A$1,$2:$2,70:70)
  )
 -SUM(
    _xlfn.XLOOKUP(DATE(YEAR($A$1)-1,1,1),$2:$2,70:70):
    _xlfn.XLOOKUP(EDATE($A$1,-12),$2:$2,70:70)
  ),"")</f>
        <v>-3</v>
      </c>
      <c r="BP70" s="4985">
        <f t="shared" si="38"/>
        <v>2</v>
      </c>
    </row>
    <row r="71" spans="1:68" x14ac:dyDescent="0.55000000000000004">
      <c r="A71" s="7444"/>
      <c r="B71" s="4975" t="s">
        <v>984</v>
      </c>
      <c r="C71" s="4976"/>
      <c r="D71" s="4977">
        <v>2.6893523600439079E-2</v>
      </c>
      <c r="E71" s="1663">
        <v>2.9265599116510214E-2</v>
      </c>
      <c r="F71" s="1663">
        <v>2.8286189683860232E-2</v>
      </c>
      <c r="G71" s="1663">
        <v>3.0050083472454091E-2</v>
      </c>
      <c r="H71" s="1663">
        <v>2.7237354085603113E-2</v>
      </c>
      <c r="I71" s="1663">
        <v>2.2522522522522521E-2</v>
      </c>
      <c r="J71" s="1663">
        <v>2.383654937570942E-2</v>
      </c>
      <c r="K71" s="1663">
        <v>2.2805017103762829E-2</v>
      </c>
      <c r="L71" s="1663">
        <v>1.7826336975273145E-2</v>
      </c>
      <c r="M71" s="1663">
        <v>3.0547550432276659E-2</v>
      </c>
      <c r="N71" s="1663">
        <v>2.5229357798165139E-2</v>
      </c>
      <c r="O71" s="1663">
        <v>2.0606754436176301E-2</v>
      </c>
      <c r="P71" s="1663"/>
      <c r="Q71" s="1663">
        <v>2.5425569883562732E-2</v>
      </c>
      <c r="S71" s="4977">
        <v>3.3275960986804361E-2</v>
      </c>
      <c r="T71" s="1663">
        <v>3.4797490017113519E-2</v>
      </c>
      <c r="U71" s="1663">
        <v>3.6827195467422094E-2</v>
      </c>
      <c r="V71" s="1663">
        <v>5.2807115063924402E-2</v>
      </c>
      <c r="W71" s="1663">
        <v>3.1042128603104215E-2</v>
      </c>
      <c r="X71" s="1663">
        <v>2.7328499721137756E-2</v>
      </c>
      <c r="Y71" s="1663">
        <v>4.417448923246825E-2</v>
      </c>
      <c r="Z71" s="1663">
        <v>2.4376731301939059E-2</v>
      </c>
      <c r="AA71" s="1663">
        <v>4.6473482777474026E-2</v>
      </c>
      <c r="AB71" s="1663">
        <v>4.0300913487372379E-2</v>
      </c>
      <c r="AC71" s="1663">
        <v>3.5369774919614148E-2</v>
      </c>
      <c r="AD71" s="1663">
        <v>3.8624338624338624E-2</v>
      </c>
      <c r="AE71" s="4978"/>
      <c r="AF71" s="1663">
        <v>3.7116510016892736E-2</v>
      </c>
      <c r="AH71" s="4979">
        <v>2.9765013054830286E-2</v>
      </c>
      <c r="AI71" s="1663">
        <v>2.3109243697478993E-2</v>
      </c>
      <c r="AJ71" s="1663">
        <v>3.0873888016745159E-2</v>
      </c>
      <c r="AK71" s="1663">
        <v>1.8867924528301886E-2</v>
      </c>
      <c r="AL71" s="1663">
        <v>1.5255128879537085E-2</v>
      </c>
      <c r="AM71" s="1663">
        <v>1.3255567338282079E-2</v>
      </c>
      <c r="AN71" s="1663">
        <v>1.1290322580645161E-2</v>
      </c>
      <c r="AO71" s="1663">
        <v>1.5250544662309368E-2</v>
      </c>
      <c r="AP71" s="1663">
        <v>2.0185488270594652E-2</v>
      </c>
      <c r="AQ71" s="1663">
        <v>1.379690949227373E-2</v>
      </c>
      <c r="AR71" s="1663">
        <v>2.3140495867768594E-2</v>
      </c>
      <c r="AS71" s="1663">
        <v>2.1311475409836064E-2</v>
      </c>
      <c r="AT71" s="4978"/>
      <c r="AU71" s="1663">
        <f t="shared" si="39"/>
        <v>1.9675166816550255E-2</v>
      </c>
      <c r="AW71" s="4979">
        <v>2.6200873362445413E-2</v>
      </c>
      <c r="AX71" s="1663">
        <v>2.7277686852154936E-2</v>
      </c>
      <c r="AY71" s="1663"/>
      <c r="AZ71" s="1663"/>
      <c r="BA71" s="1663"/>
      <c r="BB71" s="1663"/>
      <c r="BC71" s="1663"/>
      <c r="BD71" s="1663"/>
      <c r="BE71" s="1663"/>
      <c r="BF71" s="1663"/>
      <c r="BG71" s="1663"/>
      <c r="BH71" s="1663"/>
      <c r="BI71" s="4978"/>
      <c r="BJ71" s="1663">
        <f t="shared" si="35"/>
        <v>2.6739280107300173E-2</v>
      </c>
      <c r="BL71" s="4980"/>
      <c r="BM71" s="4981">
        <f t="shared" si="36"/>
        <v>4.168443154675943E-3</v>
      </c>
      <c r="BN71" s="4981">
        <f t="shared" si="37"/>
        <v>7.0641132907499175E-3</v>
      </c>
      <c r="BO71" s="4982">
        <f>IFERROR(
  SUM(
    _xlfn.XLOOKUP(DATE(YEAR($A$1),1,1),$2:$2,71:71):
    _xlfn.XLOOKUP($A$1,$2:$2,71:71)
  )
 -SUM(
    _xlfn.XLOOKUP(DATE(YEAR($A$1)-1,1,1),$2:$2,71:71):
    _xlfn.XLOOKUP(EDATE($A$1,-12),$2:$2,71:71)
  ),"")</f>
        <v>6.0430346229106702E-4</v>
      </c>
      <c r="BP71" s="4983">
        <f t="shared" si="38"/>
        <v>1.0768134897095223E-3</v>
      </c>
    </row>
    <row r="72" spans="1:68" x14ac:dyDescent="0.55000000000000004">
      <c r="A72" s="7444"/>
      <c r="B72" s="4963" t="s">
        <v>975</v>
      </c>
      <c r="C72" s="4964"/>
      <c r="D72" s="4965">
        <v>1</v>
      </c>
      <c r="E72" s="4966">
        <v>0</v>
      </c>
      <c r="F72" s="4966">
        <v>3</v>
      </c>
      <c r="G72" s="4966">
        <v>3</v>
      </c>
      <c r="H72" s="4966">
        <v>0</v>
      </c>
      <c r="I72" s="4966">
        <v>2</v>
      </c>
      <c r="J72" s="4966">
        <v>1</v>
      </c>
      <c r="K72" s="4966">
        <v>0</v>
      </c>
      <c r="L72" s="4966">
        <v>3</v>
      </c>
      <c r="M72" s="4966">
        <v>1</v>
      </c>
      <c r="N72" s="4966">
        <v>2</v>
      </c>
      <c r="O72" s="4966">
        <v>3</v>
      </c>
      <c r="P72" s="4967">
        <f>SUM(D72:O72)</f>
        <v>19</v>
      </c>
      <c r="Q72" s="4984">
        <v>1.5833333333333333</v>
      </c>
      <c r="S72" s="4965">
        <v>8</v>
      </c>
      <c r="T72" s="4966">
        <v>1</v>
      </c>
      <c r="U72" s="4966">
        <v>0</v>
      </c>
      <c r="V72" s="4966">
        <v>2</v>
      </c>
      <c r="W72" s="4966">
        <v>0</v>
      </c>
      <c r="X72" s="4966">
        <v>3</v>
      </c>
      <c r="Y72" s="4966">
        <v>12</v>
      </c>
      <c r="Z72" s="4966">
        <v>14</v>
      </c>
      <c r="AA72" s="4966">
        <v>8</v>
      </c>
      <c r="AB72" s="4966">
        <v>3</v>
      </c>
      <c r="AC72" s="4966">
        <v>16</v>
      </c>
      <c r="AD72" s="4966">
        <v>14</v>
      </c>
      <c r="AE72" s="4967">
        <v>81</v>
      </c>
      <c r="AF72" s="4984">
        <v>6.75</v>
      </c>
      <c r="AH72" s="4969">
        <v>8</v>
      </c>
      <c r="AI72" s="4970">
        <v>8</v>
      </c>
      <c r="AJ72" s="4970">
        <v>12</v>
      </c>
      <c r="AK72" s="4970">
        <v>13</v>
      </c>
      <c r="AL72" s="4970">
        <v>9</v>
      </c>
      <c r="AM72" s="4970">
        <v>5</v>
      </c>
      <c r="AN72" s="4970">
        <v>6</v>
      </c>
      <c r="AO72" s="4970">
        <v>6</v>
      </c>
      <c r="AP72" s="4970">
        <v>2</v>
      </c>
      <c r="AQ72" s="4970">
        <v>1</v>
      </c>
      <c r="AR72" s="4970">
        <v>2</v>
      </c>
      <c r="AS72" s="4970">
        <v>1</v>
      </c>
      <c r="AT72" s="4967"/>
      <c r="AU72" s="4984">
        <f t="shared" si="39"/>
        <v>6.083333333333333</v>
      </c>
      <c r="AW72" s="4969">
        <v>9</v>
      </c>
      <c r="AX72" s="4970">
        <v>3</v>
      </c>
      <c r="AY72" s="4970"/>
      <c r="AZ72" s="4970"/>
      <c r="BA72" s="4970"/>
      <c r="BB72" s="4970"/>
      <c r="BC72" s="4970"/>
      <c r="BD72" s="4970"/>
      <c r="BE72" s="4970"/>
      <c r="BF72" s="4970"/>
      <c r="BG72" s="4970"/>
      <c r="BH72" s="4970"/>
      <c r="BI72" s="4967"/>
      <c r="BJ72" s="4984">
        <f t="shared" si="35"/>
        <v>6</v>
      </c>
      <c r="BL72" s="4971"/>
      <c r="BM72" s="4972">
        <f t="shared" si="36"/>
        <v>-5</v>
      </c>
      <c r="BN72" s="4972">
        <f t="shared" si="37"/>
        <v>-8.3333333333333037E-2</v>
      </c>
      <c r="BO72" s="4973">
        <f>IFERROR(
  SUM(
    _xlfn.XLOOKUP(DATE(YEAR($A$1),1,1),$2:$2,72:72):
    _xlfn.XLOOKUP($A$1,$2:$2,72:72)
  )
 -SUM(
    _xlfn.XLOOKUP(DATE(YEAR($A$1)-1,1,1),$2:$2,72:72):
    _xlfn.XLOOKUP(EDATE($A$1,-12),$2:$2,72:72)
  ),"")</f>
        <v>-4</v>
      </c>
      <c r="BP72" s="4985">
        <f t="shared" si="38"/>
        <v>-6</v>
      </c>
    </row>
    <row r="73" spans="1:68" x14ac:dyDescent="0.55000000000000004">
      <c r="A73" s="7444"/>
      <c r="B73" s="4986" t="s">
        <v>983</v>
      </c>
      <c r="C73" s="4964"/>
      <c r="D73" s="4987">
        <v>8.0645161290322578E-3</v>
      </c>
      <c r="E73" s="4988">
        <v>0</v>
      </c>
      <c r="F73" s="4988">
        <v>2.5000000000000001E-2</v>
      </c>
      <c r="G73" s="4988">
        <v>2.4793388429752067E-2</v>
      </c>
      <c r="H73" s="4988">
        <v>0</v>
      </c>
      <c r="I73" s="4988">
        <v>1.6666666666666666E-2</v>
      </c>
      <c r="J73" s="4988">
        <v>8.4745762711864406E-3</v>
      </c>
      <c r="K73" s="4988">
        <v>0</v>
      </c>
      <c r="L73" s="4988">
        <v>2.564102564102564E-2</v>
      </c>
      <c r="M73" s="4988">
        <v>8.6206896551724137E-3</v>
      </c>
      <c r="N73" s="4988">
        <v>1.7241379310344827E-2</v>
      </c>
      <c r="O73" s="4988">
        <v>2.5423728813559324E-2</v>
      </c>
      <c r="P73" s="4988"/>
      <c r="Q73" s="4988">
        <v>1.3327164243061638E-2</v>
      </c>
      <c r="S73" s="4987">
        <v>6.5040650406504072E-2</v>
      </c>
      <c r="T73" s="4988">
        <v>8.1967213114754103E-3</v>
      </c>
      <c r="U73" s="4988">
        <v>0</v>
      </c>
      <c r="V73" s="4988">
        <v>1.7241379310344827E-2</v>
      </c>
      <c r="W73" s="4988">
        <v>0</v>
      </c>
      <c r="X73" s="4988">
        <v>2.5423728813559324E-2</v>
      </c>
      <c r="Y73" s="4988">
        <v>0.1111111111111111</v>
      </c>
      <c r="Z73" s="4988">
        <v>0.12280701754385964</v>
      </c>
      <c r="AA73" s="4988">
        <v>7.8431372549019607E-2</v>
      </c>
      <c r="AB73" s="4988">
        <v>3.1578947368421054E-2</v>
      </c>
      <c r="AC73" s="4988">
        <v>0.15094339622641509</v>
      </c>
      <c r="AD73" s="4988">
        <v>0.1206896551724138</v>
      </c>
      <c r="AE73" s="4988"/>
      <c r="AF73" s="4988">
        <v>6.095533165109366E-2</v>
      </c>
      <c r="AH73" s="4989">
        <v>6.5573770491803282E-2</v>
      </c>
      <c r="AI73" s="4988">
        <v>6.3492063492063489E-2</v>
      </c>
      <c r="AJ73" s="4988">
        <v>9.0225563909774431E-2</v>
      </c>
      <c r="AK73" s="4988">
        <v>9.0909090909090912E-2</v>
      </c>
      <c r="AL73" s="4988">
        <v>6.1643835616438353E-2</v>
      </c>
      <c r="AM73" s="4988">
        <v>3.4013605442176874E-2</v>
      </c>
      <c r="AN73" s="4988">
        <v>0.04</v>
      </c>
      <c r="AO73" s="4988">
        <v>4.0268456375838924E-2</v>
      </c>
      <c r="AP73" s="4988">
        <v>1.3513513513513514E-2</v>
      </c>
      <c r="AQ73" s="4988">
        <v>6.8493150684931503E-3</v>
      </c>
      <c r="AR73" s="4988">
        <v>1.3698630136986301E-2</v>
      </c>
      <c r="AS73" s="4988">
        <v>6.8965517241379309E-3</v>
      </c>
      <c r="AT73" s="4988"/>
      <c r="AU73" s="4988">
        <f t="shared" si="39"/>
        <v>4.3923699723359765E-2</v>
      </c>
      <c r="AW73" s="4989">
        <v>5.8823529411764705E-2</v>
      </c>
      <c r="AX73" s="4988">
        <v>0.02</v>
      </c>
      <c r="AY73" s="4988"/>
      <c r="AZ73" s="4988"/>
      <c r="BA73" s="4988"/>
      <c r="BB73" s="4988"/>
      <c r="BC73" s="4988"/>
      <c r="BD73" s="4988"/>
      <c r="BE73" s="4988"/>
      <c r="BF73" s="4988"/>
      <c r="BG73" s="4988"/>
      <c r="BH73" s="4988"/>
      <c r="BI73" s="4988"/>
      <c r="BJ73" s="4988">
        <f t="shared" si="35"/>
        <v>3.9411764705882354E-2</v>
      </c>
      <c r="BL73" s="4980"/>
      <c r="BM73" s="4981">
        <f t="shared" si="36"/>
        <v>-4.3492063492063485E-2</v>
      </c>
      <c r="BN73" s="4981">
        <f t="shared" si="37"/>
        <v>-4.51193501747741E-3</v>
      </c>
      <c r="BO73" s="4982">
        <f>IFERROR(
  SUM(
    _xlfn.XLOOKUP(DATE(YEAR($A$1),1,1),$2:$2,73:73):
    _xlfn.XLOOKUP($A$1,$2:$2,73:73)
  )
 -SUM(
    _xlfn.XLOOKUP(DATE(YEAR($A$1)-1,1,1),$2:$2,73:73):
    _xlfn.XLOOKUP(EDATE($A$1,-12),$2:$2,73:73)
  ),"")</f>
        <v>-5.0242304572102076E-2</v>
      </c>
      <c r="BP73" s="4983">
        <f t="shared" si="38"/>
        <v>-3.8823529411764701E-2</v>
      </c>
    </row>
    <row r="74" spans="1:68" ht="16.5" customHeight="1" x14ac:dyDescent="0.55000000000000004">
      <c r="A74" s="7449" t="s">
        <v>1095</v>
      </c>
      <c r="B74" s="7462" t="s">
        <v>986</v>
      </c>
      <c r="C74" s="7463"/>
      <c r="D74" s="4948">
        <v>46</v>
      </c>
      <c r="E74" s="4949">
        <v>69</v>
      </c>
      <c r="F74" s="4949">
        <v>64</v>
      </c>
      <c r="G74" s="4949">
        <v>62</v>
      </c>
      <c r="H74" s="4949">
        <v>49</v>
      </c>
      <c r="I74" s="4949">
        <v>67</v>
      </c>
      <c r="J74" s="4949">
        <v>60</v>
      </c>
      <c r="K74" s="4949">
        <v>52</v>
      </c>
      <c r="L74" s="4949">
        <v>46</v>
      </c>
      <c r="M74" s="4949">
        <v>60</v>
      </c>
      <c r="N74" s="4949">
        <v>38</v>
      </c>
      <c r="O74" s="4949">
        <v>38</v>
      </c>
      <c r="P74" s="4949">
        <f>SUM(D74:O74)</f>
        <v>651</v>
      </c>
      <c r="Q74" s="4949">
        <v>54.250000000000007</v>
      </c>
      <c r="S74" s="4948">
        <v>64</v>
      </c>
      <c r="T74" s="4949">
        <v>56</v>
      </c>
      <c r="U74" s="4949">
        <v>57</v>
      </c>
      <c r="V74" s="4949">
        <v>68</v>
      </c>
      <c r="W74" s="4949">
        <v>52</v>
      </c>
      <c r="X74" s="4949">
        <v>81</v>
      </c>
      <c r="Y74" s="4949">
        <v>65</v>
      </c>
      <c r="Z74" s="4949">
        <v>74</v>
      </c>
      <c r="AA74" s="4949">
        <v>65</v>
      </c>
      <c r="AB74" s="4949">
        <v>53</v>
      </c>
      <c r="AC74" s="4949">
        <v>67</v>
      </c>
      <c r="AD74" s="4949">
        <v>56</v>
      </c>
      <c r="AE74" s="4949">
        <v>758</v>
      </c>
      <c r="AF74" s="4949">
        <v>63.166666666666664</v>
      </c>
      <c r="AH74" s="4950">
        <v>34</v>
      </c>
      <c r="AI74" s="4949">
        <v>59</v>
      </c>
      <c r="AJ74" s="4949">
        <v>59</v>
      </c>
      <c r="AK74" s="4949">
        <v>42</v>
      </c>
      <c r="AL74" s="4949">
        <v>42</v>
      </c>
      <c r="AM74" s="4949">
        <v>44</v>
      </c>
      <c r="AN74" s="4949">
        <v>51</v>
      </c>
      <c r="AO74" s="4949">
        <v>60</v>
      </c>
      <c r="AP74" s="4949">
        <v>44</v>
      </c>
      <c r="AQ74" s="4949">
        <v>49</v>
      </c>
      <c r="AR74" s="4949">
        <v>41</v>
      </c>
      <c r="AS74" s="4949">
        <v>32</v>
      </c>
      <c r="AT74" s="4949"/>
      <c r="AU74" s="4949">
        <f t="shared" si="39"/>
        <v>46.416666666666664</v>
      </c>
      <c r="AW74" s="4950">
        <v>47</v>
      </c>
      <c r="AX74" s="4949">
        <v>56</v>
      </c>
      <c r="AY74" s="4949"/>
      <c r="AZ74" s="4949"/>
      <c r="BA74" s="4949"/>
      <c r="BB74" s="4949"/>
      <c r="BC74" s="4949"/>
      <c r="BD74" s="4949"/>
      <c r="BE74" s="4949"/>
      <c r="BF74" s="4949"/>
      <c r="BG74" s="4949"/>
      <c r="BH74" s="4949"/>
      <c r="BI74" s="4949"/>
      <c r="BJ74" s="4949">
        <f t="shared" si="35"/>
        <v>51.5</v>
      </c>
      <c r="BL74" s="4951"/>
      <c r="BM74" s="4952">
        <f t="shared" si="36"/>
        <v>-3</v>
      </c>
      <c r="BN74" s="4952">
        <f t="shared" si="37"/>
        <v>5.0833333333333357</v>
      </c>
      <c r="BO74" s="4953">
        <f>IFERROR(
  SUM(
    _xlfn.XLOOKUP(DATE(YEAR($A$1),1,1),$2:$2,74:74):
    _xlfn.XLOOKUP($A$1,$2:$2,74:74)
  )
 -SUM(
    _xlfn.XLOOKUP(DATE(YEAR($A$1)-1,1,1),$2:$2,74:74):
    _xlfn.XLOOKUP(EDATE($A$1,-12),$2:$2,74:74)
  ),"")</f>
        <v>10</v>
      </c>
      <c r="BP74" s="4954">
        <f t="shared" si="38"/>
        <v>9</v>
      </c>
    </row>
    <row r="75" spans="1:68" ht="16.5" customHeight="1" x14ac:dyDescent="0.55000000000000004">
      <c r="A75" s="7444"/>
      <c r="B75" s="4990" t="s">
        <v>987</v>
      </c>
      <c r="C75" s="4991"/>
      <c r="D75" s="4992">
        <v>2.1217712177121772E-2</v>
      </c>
      <c r="E75" s="4993">
        <v>3.1724137931034485E-2</v>
      </c>
      <c r="F75" s="4993">
        <v>2.9629629629629631E-2</v>
      </c>
      <c r="G75" s="4993">
        <v>2.8783658310120707E-2</v>
      </c>
      <c r="H75" s="4993">
        <v>2.2875816993464051E-2</v>
      </c>
      <c r="I75" s="4993">
        <v>3.1381733021077281E-2</v>
      </c>
      <c r="J75" s="4993">
        <v>2.8288543140028287E-2</v>
      </c>
      <c r="K75" s="4993">
        <v>2.4750118990956686E-2</v>
      </c>
      <c r="L75" s="4993">
        <v>2.2083533365338453E-2</v>
      </c>
      <c r="M75" s="4993">
        <v>2.8694404591104734E-2</v>
      </c>
      <c r="N75" s="4993">
        <v>1.8295618680789601E-2</v>
      </c>
      <c r="O75" s="4993">
        <v>1.8278018278018279E-2</v>
      </c>
      <c r="P75" s="4993"/>
      <c r="Q75" s="4993">
        <v>2.5500243759057E-2</v>
      </c>
      <c r="S75" s="4992">
        <v>3.0389363722697058E-2</v>
      </c>
      <c r="T75" s="4993">
        <v>2.6615969581749048E-2</v>
      </c>
      <c r="U75" s="4993">
        <v>2.696310312204352E-2</v>
      </c>
      <c r="V75" s="4993">
        <v>3.1569173630454965E-2</v>
      </c>
      <c r="W75" s="4993">
        <v>2.4265048996733551E-2</v>
      </c>
      <c r="X75" s="4993">
        <v>3.7224264705882353E-2</v>
      </c>
      <c r="Y75" s="4993">
        <v>2.9995385325334564E-2</v>
      </c>
      <c r="Z75" s="4993">
        <v>3.4007352941176468E-2</v>
      </c>
      <c r="AA75" s="4993">
        <v>2.9830197338228545E-2</v>
      </c>
      <c r="AB75" s="4993">
        <v>2.4167806657546739E-2</v>
      </c>
      <c r="AC75" s="4993">
        <v>3.0153015301530153E-2</v>
      </c>
      <c r="AD75" s="4993">
        <v>2.4977698483496878E-2</v>
      </c>
      <c r="AE75" s="4993"/>
      <c r="AF75" s="4993">
        <v>2.9179864983906154E-2</v>
      </c>
      <c r="AH75" s="4994">
        <v>1.5104398045313194E-2</v>
      </c>
      <c r="AI75" s="4995">
        <v>2.596830985915493E-2</v>
      </c>
      <c r="AJ75" s="4995">
        <v>2.583187390542907E-2</v>
      </c>
      <c r="AK75" s="4995">
        <v>1.8469656992084433E-2</v>
      </c>
      <c r="AL75" s="4995">
        <v>1.8502202643171806E-2</v>
      </c>
      <c r="AM75" s="4995">
        <v>1.9486271036315322E-2</v>
      </c>
      <c r="AN75" s="4995">
        <v>2.2757697456492636E-2</v>
      </c>
      <c r="AO75" s="4995">
        <v>2.6845637583892617E-2</v>
      </c>
      <c r="AP75" s="4995">
        <v>1.9873532068654019E-2</v>
      </c>
      <c r="AQ75" s="4995">
        <v>2.2313296903460837E-2</v>
      </c>
      <c r="AR75" s="4995">
        <v>1.8712916476494753E-2</v>
      </c>
      <c r="AS75" s="4995">
        <v>1.4605203103605659E-2</v>
      </c>
      <c r="AT75" s="4996"/>
      <c r="AU75" s="1651">
        <f t="shared" si="39"/>
        <v>2.0705916339505772E-2</v>
      </c>
      <c r="AW75" s="4994">
        <v>2.1209386281588447E-2</v>
      </c>
      <c r="AX75" s="4995">
        <v>2.5191183085919926E-2</v>
      </c>
      <c r="AY75" s="4995"/>
      <c r="AZ75" s="4995"/>
      <c r="BA75" s="4995"/>
      <c r="BB75" s="4995"/>
      <c r="BC75" s="4995"/>
      <c r="BD75" s="4995"/>
      <c r="BE75" s="4995"/>
      <c r="BF75" s="4995"/>
      <c r="BG75" s="4995"/>
      <c r="BH75" s="4995"/>
      <c r="BI75" s="4996"/>
      <c r="BJ75" s="1651">
        <f t="shared" si="35"/>
        <v>2.3200284683754187E-2</v>
      </c>
      <c r="BL75" s="4997"/>
      <c r="BM75" s="4960">
        <f t="shared" si="36"/>
        <v>-7.7712677323500332E-4</v>
      </c>
      <c r="BN75" s="4960">
        <f t="shared" si="37"/>
        <v>2.4943683442484148E-3</v>
      </c>
      <c r="BO75" s="4961">
        <f>IFERROR(
  SUM(
    _xlfn.XLOOKUP(DATE(YEAR($A$1),1,1),$2:$2,75:75):
    _xlfn.XLOOKUP($A$1,$2:$2,75:75)
  )
 -SUM(
    _xlfn.XLOOKUP(DATE(YEAR($A$1)-1,1,1),$2:$2,75:75):
    _xlfn.XLOOKUP(EDATE($A$1,-12),$2:$2,75:75)
  ),"")</f>
        <v>5.3278614630402482E-3</v>
      </c>
      <c r="BP75" s="4998">
        <f t="shared" si="38"/>
        <v>3.9817968043314791E-3</v>
      </c>
    </row>
    <row r="76" spans="1:68" ht="16.5" customHeight="1" x14ac:dyDescent="0.55000000000000004">
      <c r="A76" s="7444"/>
      <c r="B76" s="4999"/>
      <c r="C76" s="5000" t="s">
        <v>982</v>
      </c>
      <c r="D76" s="5001"/>
      <c r="E76" s="5002"/>
      <c r="F76" s="5002"/>
      <c r="G76" s="5002"/>
      <c r="H76" s="5002"/>
      <c r="I76" s="5002"/>
      <c r="J76" s="5002"/>
      <c r="K76" s="5002"/>
      <c r="L76" s="5002"/>
      <c r="M76" s="5002"/>
      <c r="N76" s="5002"/>
      <c r="O76" s="5002"/>
      <c r="P76" s="5002"/>
      <c r="Q76" s="5002"/>
      <c r="S76" s="5001">
        <v>35</v>
      </c>
      <c r="T76" s="5002">
        <v>20</v>
      </c>
      <c r="U76" s="5002">
        <v>17</v>
      </c>
      <c r="V76" s="5002">
        <v>23</v>
      </c>
      <c r="W76" s="5002">
        <v>19</v>
      </c>
      <c r="X76" s="5002">
        <v>18</v>
      </c>
      <c r="Y76" s="5002">
        <v>20</v>
      </c>
      <c r="Z76" s="5002">
        <v>22</v>
      </c>
      <c r="AA76" s="5002">
        <v>29</v>
      </c>
      <c r="AB76" s="5002">
        <v>25</v>
      </c>
      <c r="AC76" s="5002">
        <v>35</v>
      </c>
      <c r="AD76" s="5002">
        <v>24</v>
      </c>
      <c r="AE76" s="5002">
        <v>287</v>
      </c>
      <c r="AF76" s="5002">
        <v>23.916666666666668</v>
      </c>
      <c r="AH76" s="5003">
        <f>AH80+AH84+AH100</f>
        <v>17</v>
      </c>
      <c r="AI76" s="5004">
        <f t="shared" ref="AI76:AP76" si="40">AI84+AI80+AI100</f>
        <v>26</v>
      </c>
      <c r="AJ76" s="5004">
        <f t="shared" si="40"/>
        <v>16</v>
      </c>
      <c r="AK76" s="5004">
        <f t="shared" si="40"/>
        <v>9</v>
      </c>
      <c r="AL76" s="5004">
        <f t="shared" si="40"/>
        <v>15</v>
      </c>
      <c r="AM76" s="5004">
        <f t="shared" si="40"/>
        <v>9</v>
      </c>
      <c r="AN76" s="5004">
        <f t="shared" si="40"/>
        <v>11</v>
      </c>
      <c r="AO76" s="5004">
        <f t="shared" si="40"/>
        <v>16</v>
      </c>
      <c r="AP76" s="5004">
        <f t="shared" si="40"/>
        <v>10</v>
      </c>
      <c r="AQ76" s="5004">
        <v>9</v>
      </c>
      <c r="AR76" s="5004">
        <v>8</v>
      </c>
      <c r="AS76" s="5004">
        <v>11</v>
      </c>
      <c r="AT76" s="5002"/>
      <c r="AU76" s="5002">
        <f t="shared" si="39"/>
        <v>13.083333333333334</v>
      </c>
      <c r="AW76" s="5603">
        <v>13</v>
      </c>
      <c r="AX76" s="5002">
        <v>21</v>
      </c>
      <c r="AY76" s="5002"/>
      <c r="AZ76" s="5002"/>
      <c r="BA76" s="5002"/>
      <c r="BB76" s="5002"/>
      <c r="BC76" s="5002"/>
      <c r="BD76" s="5002"/>
      <c r="BE76" s="5002"/>
      <c r="BF76" s="5002"/>
      <c r="BG76" s="5002"/>
      <c r="BH76" s="5002"/>
      <c r="BI76" s="5002"/>
      <c r="BJ76" s="5002">
        <f t="shared" si="35"/>
        <v>17</v>
      </c>
      <c r="BL76" s="5005"/>
      <c r="BM76" s="5006">
        <f t="shared" si="36"/>
        <v>-5</v>
      </c>
      <c r="BN76" s="5006">
        <f t="shared" si="37"/>
        <v>3.9166666666666661</v>
      </c>
      <c r="BO76" s="5007">
        <f>IFERROR(
  SUM(
    _xlfn.XLOOKUP(DATE(YEAR($A$1),1,1),$2:$2,76:76):
    _xlfn.XLOOKUP($A$1,$2:$2,76:76)
  )
 -SUM(
    _xlfn.XLOOKUP(DATE(YEAR($A$1)-1,1,1),$2:$2,76:76):
    _xlfn.XLOOKUP(EDATE($A$1,-12),$2:$2,76:76)
  ),"")</f>
        <v>-9</v>
      </c>
      <c r="BP76" s="5008">
        <f t="shared" si="38"/>
        <v>8</v>
      </c>
    </row>
    <row r="77" spans="1:68" ht="16.5" customHeight="1" x14ac:dyDescent="0.55000000000000004">
      <c r="A77" s="7444"/>
      <c r="B77" s="5009"/>
      <c r="C77" s="5010" t="s">
        <v>990</v>
      </c>
      <c r="D77" s="5011"/>
      <c r="E77" s="1687"/>
      <c r="F77" s="1687"/>
      <c r="G77" s="1687"/>
      <c r="H77" s="1687"/>
      <c r="I77" s="1687"/>
      <c r="J77" s="1687"/>
      <c r="K77" s="1687"/>
      <c r="L77" s="1687"/>
      <c r="M77" s="1687"/>
      <c r="N77" s="1687"/>
      <c r="O77" s="1687"/>
      <c r="P77" s="1687"/>
      <c r="Q77" s="1687"/>
      <c r="S77" s="5011">
        <v>0.56451612903225812</v>
      </c>
      <c r="T77" s="1687">
        <v>0.37735849056603776</v>
      </c>
      <c r="U77" s="1687">
        <v>0.30909090909090908</v>
      </c>
      <c r="V77" s="1687">
        <v>0.35384615384615387</v>
      </c>
      <c r="W77" s="1687">
        <v>0.37254901960784315</v>
      </c>
      <c r="X77" s="1687">
        <v>0.29508196721311475</v>
      </c>
      <c r="Y77" s="1687">
        <v>0.3125</v>
      </c>
      <c r="Z77" s="1687">
        <v>0.37931034482758619</v>
      </c>
      <c r="AA77" s="1687">
        <v>0.44615384615384618</v>
      </c>
      <c r="AB77" s="1687">
        <v>0.48076923076923078</v>
      </c>
      <c r="AC77" s="1687">
        <v>0.53030303030303028</v>
      </c>
      <c r="AD77" s="1687">
        <v>0.47058823529411764</v>
      </c>
      <c r="AE77" s="1687"/>
      <c r="AF77" s="1687">
        <v>0.40799999999999997</v>
      </c>
      <c r="AH77" s="5012">
        <f>AH76/AH74</f>
        <v>0.5</v>
      </c>
      <c r="AI77" s="5013">
        <f>AI76/AI74</f>
        <v>0.44067796610169491</v>
      </c>
      <c r="AJ77" s="5013">
        <v>0.29090909090909089</v>
      </c>
      <c r="AK77" s="5013">
        <f>AK76/AK74</f>
        <v>0.21428571428571427</v>
      </c>
      <c r="AL77" s="5013">
        <f>AL76/AL74</f>
        <v>0.35714285714285715</v>
      </c>
      <c r="AM77" s="5013">
        <f>AM76/AM74</f>
        <v>0.20454545454545456</v>
      </c>
      <c r="AN77" s="5013">
        <v>0.23404255319148937</v>
      </c>
      <c r="AO77" s="5013">
        <v>0.2711864406779661</v>
      </c>
      <c r="AP77" s="5013">
        <v>0.23809523809523808</v>
      </c>
      <c r="AQ77" s="5013">
        <v>0.2</v>
      </c>
      <c r="AR77" s="5013">
        <v>0.2</v>
      </c>
      <c r="AS77" s="5013">
        <v>0.44</v>
      </c>
      <c r="AT77" s="1687"/>
      <c r="AU77" s="1687">
        <f t="shared" si="39"/>
        <v>0.29924044291245877</v>
      </c>
      <c r="AW77" s="5604">
        <v>0.28888888888888886</v>
      </c>
      <c r="AX77" s="1687">
        <v>0.38181818181818183</v>
      </c>
      <c r="AY77" s="1687"/>
      <c r="AZ77" s="1687"/>
      <c r="BA77" s="1687"/>
      <c r="BB77" s="1687"/>
      <c r="BC77" s="1687"/>
      <c r="BD77" s="1687"/>
      <c r="BE77" s="1687"/>
      <c r="BF77" s="1687"/>
      <c r="BG77" s="1687"/>
      <c r="BH77" s="1687"/>
      <c r="BI77" s="1687"/>
      <c r="BJ77" s="1687">
        <f t="shared" si="35"/>
        <v>0.33535353535353535</v>
      </c>
      <c r="BL77" s="5014"/>
      <c r="BM77" s="5015">
        <f t="shared" si="36"/>
        <v>-5.8859784283513072E-2</v>
      </c>
      <c r="BN77" s="5015">
        <f t="shared" si="37"/>
        <v>3.6113092441076577E-2</v>
      </c>
      <c r="BO77" s="5016">
        <f>IFERROR(
  SUM(
    _xlfn.XLOOKUP(DATE(YEAR($A$1),1,1),$2:$2,77:77):
    _xlfn.XLOOKUP($A$1,$2:$2,77:77)
  )
 -SUM(
    _xlfn.XLOOKUP(DATE(YEAR($A$1)-1,1,1),$2:$2,77:77):
    _xlfn.XLOOKUP(EDATE($A$1,-12),$2:$2,77:77)
  ),"")</f>
        <v>-0.26997089539462416</v>
      </c>
      <c r="BP77" s="5017">
        <f t="shared" si="38"/>
        <v>9.2929292929292973E-2</v>
      </c>
    </row>
    <row r="78" spans="1:68" x14ac:dyDescent="0.55000000000000004">
      <c r="A78" s="7444"/>
      <c r="B78" s="5018" t="s">
        <v>973</v>
      </c>
      <c r="C78" s="5019"/>
      <c r="D78" s="5020">
        <v>0</v>
      </c>
      <c r="E78" s="5021">
        <v>2</v>
      </c>
      <c r="F78" s="5021">
        <v>1</v>
      </c>
      <c r="G78" s="5021">
        <v>0</v>
      </c>
      <c r="H78" s="5021">
        <v>1</v>
      </c>
      <c r="I78" s="5021">
        <v>2</v>
      </c>
      <c r="J78" s="5021">
        <v>1</v>
      </c>
      <c r="K78" s="5021">
        <v>0</v>
      </c>
      <c r="L78" s="5021">
        <v>0</v>
      </c>
      <c r="M78" s="5021">
        <v>1</v>
      </c>
      <c r="N78" s="5021">
        <v>1</v>
      </c>
      <c r="O78" s="5021">
        <v>4</v>
      </c>
      <c r="P78" s="5022">
        <f>SUM(D78:O78)</f>
        <v>13</v>
      </c>
      <c r="Q78" s="5023">
        <v>1.0833333333333333</v>
      </c>
      <c r="S78" s="5020">
        <v>1</v>
      </c>
      <c r="T78" s="5021">
        <v>3</v>
      </c>
      <c r="U78" s="5021">
        <v>1</v>
      </c>
      <c r="V78" s="5021">
        <v>2</v>
      </c>
      <c r="W78" s="5021">
        <v>0</v>
      </c>
      <c r="X78" s="5021">
        <v>1</v>
      </c>
      <c r="Y78" s="5021">
        <v>1</v>
      </c>
      <c r="Z78" s="5021">
        <v>0</v>
      </c>
      <c r="AA78" s="5021">
        <v>0</v>
      </c>
      <c r="AB78" s="5021">
        <v>0</v>
      </c>
      <c r="AC78" s="5021">
        <v>1</v>
      </c>
      <c r="AD78" s="5021">
        <v>3</v>
      </c>
      <c r="AE78" s="5022">
        <v>13</v>
      </c>
      <c r="AF78" s="5023">
        <v>1.0833333333333333</v>
      </c>
      <c r="AH78" s="5024">
        <v>0</v>
      </c>
      <c r="AI78" s="5025">
        <v>0</v>
      </c>
      <c r="AJ78" s="5026">
        <v>2</v>
      </c>
      <c r="AK78" s="5025">
        <v>0</v>
      </c>
      <c r="AL78" s="5025">
        <v>0</v>
      </c>
      <c r="AM78" s="5025">
        <v>0</v>
      </c>
      <c r="AN78" s="5026">
        <v>1</v>
      </c>
      <c r="AO78" s="5026">
        <v>1</v>
      </c>
      <c r="AP78" s="5026">
        <v>1</v>
      </c>
      <c r="AQ78" s="5026">
        <v>0</v>
      </c>
      <c r="AR78" s="5021">
        <v>0</v>
      </c>
      <c r="AS78" s="5026">
        <v>6</v>
      </c>
      <c r="AT78" s="5022"/>
      <c r="AU78" s="5023">
        <f t="shared" si="39"/>
        <v>0.91666666666666663</v>
      </c>
      <c r="AW78" s="5024">
        <v>0</v>
      </c>
      <c r="AX78" s="5025">
        <v>1</v>
      </c>
      <c r="AY78" s="5026"/>
      <c r="AZ78" s="5025"/>
      <c r="BA78" s="5025"/>
      <c r="BB78" s="5025"/>
      <c r="BC78" s="5026"/>
      <c r="BD78" s="5026"/>
      <c r="BE78" s="5026"/>
      <c r="BF78" s="5026"/>
      <c r="BG78" s="5021"/>
      <c r="BH78" s="5026"/>
      <c r="BI78" s="5022"/>
      <c r="BJ78" s="5023">
        <f t="shared" si="35"/>
        <v>0.5</v>
      </c>
      <c r="BL78" s="5027"/>
      <c r="BM78" s="5028">
        <f t="shared" si="36"/>
        <v>1</v>
      </c>
      <c r="BN78" s="5028">
        <f t="shared" si="37"/>
        <v>-0.41666666666666663</v>
      </c>
      <c r="BO78" s="5029">
        <f>IFERROR(
  SUM(
    _xlfn.XLOOKUP(DATE(YEAR($A$1),1,1),$2:$2,78:78):
    _xlfn.XLOOKUP($A$1,$2:$2,78:78)
  )
 -SUM(
    _xlfn.XLOOKUP(DATE(YEAR($A$1)-1,1,1),$2:$2,78:78):
    _xlfn.XLOOKUP(EDATE($A$1,-12),$2:$2,78:78)
  ),"")</f>
        <v>1</v>
      </c>
      <c r="BP78" s="5030">
        <f t="shared" si="38"/>
        <v>1</v>
      </c>
    </row>
    <row r="79" spans="1:68" x14ac:dyDescent="0.55000000000000004">
      <c r="A79" s="7444"/>
      <c r="B79" s="5031" t="s">
        <v>988</v>
      </c>
      <c r="C79" s="5019"/>
      <c r="D79" s="5032">
        <v>0</v>
      </c>
      <c r="E79" s="5033">
        <v>1.1363636363636364E-2</v>
      </c>
      <c r="F79" s="5033">
        <v>5.7471264367816091E-3</v>
      </c>
      <c r="G79" s="5033">
        <v>0</v>
      </c>
      <c r="H79" s="5033">
        <v>5.7142857142857143E-3</v>
      </c>
      <c r="I79" s="5033">
        <v>1.1494252873563218E-2</v>
      </c>
      <c r="J79" s="5033">
        <v>5.4945054945054949E-3</v>
      </c>
      <c r="K79" s="5033">
        <v>0</v>
      </c>
      <c r="L79" s="5033">
        <v>0</v>
      </c>
      <c r="M79" s="5033">
        <v>5.5248618784530384E-3</v>
      </c>
      <c r="N79" s="5033">
        <v>5.5555555555555558E-3</v>
      </c>
      <c r="O79" s="5033">
        <v>2.2222222222222223E-2</v>
      </c>
      <c r="P79" s="5022"/>
      <c r="Q79" s="5033">
        <v>6.0930372115836013E-3</v>
      </c>
      <c r="S79" s="5032">
        <v>5.6497175141242938E-3</v>
      </c>
      <c r="T79" s="5033">
        <v>1.7045454545454544E-2</v>
      </c>
      <c r="U79" s="5033">
        <v>5.7471264367816091E-3</v>
      </c>
      <c r="V79" s="5033">
        <v>1.1560693641618497E-2</v>
      </c>
      <c r="W79" s="5033">
        <v>0</v>
      </c>
      <c r="X79" s="5033">
        <v>5.4054054054054057E-3</v>
      </c>
      <c r="Y79" s="5033">
        <v>5.434782608695652E-3</v>
      </c>
      <c r="Z79" s="5033">
        <v>0</v>
      </c>
      <c r="AA79" s="5033">
        <v>0</v>
      </c>
      <c r="AB79" s="5033">
        <v>0</v>
      </c>
      <c r="AC79" s="5033">
        <v>5.434782608695652E-3</v>
      </c>
      <c r="AD79" s="5033">
        <v>1.6393442622950821E-2</v>
      </c>
      <c r="AE79" s="5022"/>
      <c r="AF79" s="5033">
        <v>6.055950448643873E-3</v>
      </c>
      <c r="AH79" s="5034">
        <v>0</v>
      </c>
      <c r="AI79" s="5035">
        <v>0</v>
      </c>
      <c r="AJ79" s="5035">
        <v>1.092896174863388E-2</v>
      </c>
      <c r="AK79" s="5035">
        <v>0</v>
      </c>
      <c r="AL79" s="5035">
        <v>0</v>
      </c>
      <c r="AM79" s="5035">
        <v>0</v>
      </c>
      <c r="AN79" s="5035">
        <v>5.5248618784530384E-3</v>
      </c>
      <c r="AO79" s="5035">
        <v>5.235602094240838E-3</v>
      </c>
      <c r="AP79" s="5035">
        <v>5.263157894736842E-3</v>
      </c>
      <c r="AQ79" s="5035">
        <v>0</v>
      </c>
      <c r="AR79" s="5035">
        <v>0</v>
      </c>
      <c r="AS79" s="5035">
        <v>3.1578947368421054E-2</v>
      </c>
      <c r="AT79" s="5022"/>
      <c r="AU79" s="5023">
        <f t="shared" si="39"/>
        <v>4.8776275820404703E-3</v>
      </c>
      <c r="AW79" s="5034">
        <v>0</v>
      </c>
      <c r="AX79" s="5035">
        <v>5.4054054054054057E-3</v>
      </c>
      <c r="AY79" s="5035"/>
      <c r="AZ79" s="5035"/>
      <c r="BA79" s="5035"/>
      <c r="BB79" s="5035"/>
      <c r="BC79" s="5035"/>
      <c r="BD79" s="5035"/>
      <c r="BE79" s="5035"/>
      <c r="BF79" s="5035"/>
      <c r="BG79" s="5035"/>
      <c r="BH79" s="5035"/>
      <c r="BI79" s="5022"/>
      <c r="BJ79" s="5023">
        <f t="shared" si="35"/>
        <v>2.7027027027027029E-3</v>
      </c>
      <c r="BL79" s="5036"/>
      <c r="BM79" s="5037">
        <f t="shared" si="36"/>
        <v>5.4054054054054057E-3</v>
      </c>
      <c r="BN79" s="5037">
        <f t="shared" si="37"/>
        <v>-2.1749248793377675E-3</v>
      </c>
      <c r="BO79" s="5038">
        <f>IFERROR(
  SUM(
    _xlfn.XLOOKUP(DATE(YEAR($A$1),1,1),$2:$2,79:79):
    _xlfn.XLOOKUP($A$1,$2:$2,79:79)
  )
 -SUM(
    _xlfn.XLOOKUP(DATE(YEAR($A$1)-1,1,1),$2:$2,79:79):
    _xlfn.XLOOKUP(EDATE($A$1,-12),$2:$2,79:79)
  ),"")</f>
        <v>5.4054054054054057E-3</v>
      </c>
      <c r="BP79" s="5039">
        <f t="shared" si="38"/>
        <v>5.4054054054054057E-3</v>
      </c>
    </row>
    <row r="80" spans="1:68" x14ac:dyDescent="0.55000000000000004">
      <c r="A80" s="7444"/>
      <c r="B80" s="4963"/>
      <c r="C80" s="5040" t="s">
        <v>982</v>
      </c>
      <c r="D80" s="5041"/>
      <c r="E80" s="5042"/>
      <c r="F80" s="5042"/>
      <c r="G80" s="5042"/>
      <c r="H80" s="5042"/>
      <c r="I80" s="5042"/>
      <c r="J80" s="5042"/>
      <c r="K80" s="5042"/>
      <c r="L80" s="5042"/>
      <c r="M80" s="5042"/>
      <c r="N80" s="5042"/>
      <c r="O80" s="5042"/>
      <c r="P80" s="5043"/>
      <c r="Q80" s="5044"/>
      <c r="S80" s="5041"/>
      <c r="T80" s="5042"/>
      <c r="U80" s="5042"/>
      <c r="V80" s="5042"/>
      <c r="W80" s="5042"/>
      <c r="X80" s="5042"/>
      <c r="Y80" s="5042"/>
      <c r="Z80" s="5042"/>
      <c r="AA80" s="5042"/>
      <c r="AB80" s="5042"/>
      <c r="AC80" s="5042"/>
      <c r="AD80" s="5042"/>
      <c r="AE80" s="5043"/>
      <c r="AF80" s="5044"/>
      <c r="AH80" s="5045">
        <v>0</v>
      </c>
      <c r="AI80" s="5042">
        <v>0</v>
      </c>
      <c r="AJ80" s="5042"/>
      <c r="AK80" s="5042"/>
      <c r="AL80" s="5042"/>
      <c r="AM80" s="5042"/>
      <c r="AN80" s="5042"/>
      <c r="AO80" s="5042"/>
      <c r="AP80" s="5042"/>
      <c r="AQ80" s="5042"/>
      <c r="AR80" s="5042"/>
      <c r="AS80" s="5042"/>
      <c r="AT80" s="5043"/>
      <c r="AU80" s="5044">
        <f t="shared" si="39"/>
        <v>0</v>
      </c>
      <c r="AW80" s="6202">
        <v>0</v>
      </c>
      <c r="AX80" s="5042">
        <v>0</v>
      </c>
      <c r="AY80" s="5042"/>
      <c r="AZ80" s="5042"/>
      <c r="BA80" s="5042"/>
      <c r="BB80" s="5042"/>
      <c r="BC80" s="5042"/>
      <c r="BD80" s="5042"/>
      <c r="BE80" s="5042"/>
      <c r="BF80" s="5042"/>
      <c r="BG80" s="5042"/>
      <c r="BH80" s="5042"/>
      <c r="BI80" s="5043"/>
      <c r="BJ80" s="5044">
        <f t="shared" si="35"/>
        <v>0</v>
      </c>
      <c r="BL80" s="5046"/>
      <c r="BM80" s="5047">
        <f t="shared" si="36"/>
        <v>0</v>
      </c>
      <c r="BN80" s="5047">
        <f t="shared" si="37"/>
        <v>0</v>
      </c>
      <c r="BO80" s="5048">
        <f>IFERROR(
  SUM(
    _xlfn.XLOOKUP(DATE(YEAR($A$1),1,1),$2:$2,80:80):
    _xlfn.XLOOKUP($A$1,$2:$2,80:80)
  )
 -SUM(
    _xlfn.XLOOKUP(DATE(YEAR($A$1)-1,1,1),$2:$2,80:80):
    _xlfn.XLOOKUP(EDATE($A$1,-12),$2:$2,80:80)
  ),"")</f>
        <v>0</v>
      </c>
      <c r="BP80" s="5049">
        <f t="shared" si="38"/>
        <v>0</v>
      </c>
    </row>
    <row r="81" spans="1:68" x14ac:dyDescent="0.55000000000000004">
      <c r="A81" s="7444"/>
      <c r="B81" s="4975"/>
      <c r="C81" s="5010" t="s">
        <v>990</v>
      </c>
      <c r="D81" s="5011"/>
      <c r="E81" s="1687"/>
      <c r="F81" s="1687"/>
      <c r="G81" s="1687"/>
      <c r="H81" s="1687"/>
      <c r="I81" s="1687"/>
      <c r="J81" s="1687"/>
      <c r="K81" s="1687"/>
      <c r="L81" s="1687"/>
      <c r="M81" s="1687"/>
      <c r="N81" s="1687"/>
      <c r="O81" s="1687"/>
      <c r="P81" s="1687"/>
      <c r="Q81" s="1687"/>
      <c r="S81" s="5050">
        <v>0</v>
      </c>
      <c r="T81" s="1687">
        <v>0</v>
      </c>
      <c r="U81" s="1687">
        <v>0</v>
      </c>
      <c r="V81" s="1687">
        <v>0</v>
      </c>
      <c r="W81" s="1687">
        <v>0</v>
      </c>
      <c r="X81" s="1687">
        <v>0</v>
      </c>
      <c r="Y81" s="1687">
        <v>0</v>
      </c>
      <c r="Z81" s="1687">
        <v>0</v>
      </c>
      <c r="AA81" s="1687">
        <v>0</v>
      </c>
      <c r="AB81" s="1687">
        <v>0</v>
      </c>
      <c r="AC81" s="1687">
        <v>0</v>
      </c>
      <c r="AD81" s="1687">
        <v>0</v>
      </c>
      <c r="AE81" s="1687"/>
      <c r="AF81" s="1687">
        <v>0</v>
      </c>
      <c r="AH81" s="5050">
        <v>0</v>
      </c>
      <c r="AI81" s="1687">
        <v>0</v>
      </c>
      <c r="AJ81" s="1687">
        <v>0</v>
      </c>
      <c r="AK81" s="1687">
        <v>0</v>
      </c>
      <c r="AL81" s="1687">
        <v>0</v>
      </c>
      <c r="AM81" s="1687">
        <v>0</v>
      </c>
      <c r="AN81" s="1687"/>
      <c r="AO81" s="1687">
        <v>0</v>
      </c>
      <c r="AP81" s="1687"/>
      <c r="AQ81" s="1687">
        <v>0</v>
      </c>
      <c r="AR81" s="1687"/>
      <c r="AS81" s="1687">
        <v>0</v>
      </c>
      <c r="AT81" s="5051"/>
      <c r="AU81" s="1687">
        <f t="shared" si="39"/>
        <v>0</v>
      </c>
      <c r="AW81" s="6203">
        <v>0</v>
      </c>
      <c r="AX81" s="1687">
        <v>0</v>
      </c>
      <c r="AY81" s="1687"/>
      <c r="AZ81" s="1687"/>
      <c r="BA81" s="1687"/>
      <c r="BB81" s="1687"/>
      <c r="BC81" s="1687"/>
      <c r="BD81" s="1687"/>
      <c r="BE81" s="1687"/>
      <c r="BF81" s="1687"/>
      <c r="BG81" s="1687"/>
      <c r="BH81" s="1687"/>
      <c r="BI81" s="5051"/>
      <c r="BJ81" s="1687">
        <f t="shared" si="35"/>
        <v>0</v>
      </c>
      <c r="BL81" s="5014"/>
      <c r="BM81" s="5015">
        <f t="shared" si="36"/>
        <v>0</v>
      </c>
      <c r="BN81" s="5015">
        <f t="shared" si="37"/>
        <v>0</v>
      </c>
      <c r="BO81" s="5016">
        <f>IFERROR(
  SUM(
    _xlfn.XLOOKUP(DATE(YEAR($A$1),1,1),$2:$2,81:81):
    _xlfn.XLOOKUP($A$1,$2:$2,81:81)
  )
 -SUM(
    _xlfn.XLOOKUP(DATE(YEAR($A$1)-1,1,1),$2:$2,81:81):
    _xlfn.XLOOKUP(EDATE($A$1,-12),$2:$2,81:81)
  ),"")</f>
        <v>0</v>
      </c>
      <c r="BP81" s="5017">
        <f t="shared" si="38"/>
        <v>0</v>
      </c>
    </row>
    <row r="82" spans="1:68" x14ac:dyDescent="0.55000000000000004">
      <c r="A82" s="7444"/>
      <c r="B82" s="5018" t="s">
        <v>974</v>
      </c>
      <c r="C82" s="5019"/>
      <c r="D82" s="5052">
        <v>45</v>
      </c>
      <c r="E82" s="5026">
        <v>64</v>
      </c>
      <c r="F82" s="5026">
        <v>59</v>
      </c>
      <c r="G82" s="5026">
        <v>60</v>
      </c>
      <c r="H82" s="5026">
        <v>47</v>
      </c>
      <c r="I82" s="5026">
        <v>63</v>
      </c>
      <c r="J82" s="5026">
        <v>56</v>
      </c>
      <c r="K82" s="5026">
        <v>48</v>
      </c>
      <c r="L82" s="5026">
        <v>46</v>
      </c>
      <c r="M82" s="5026">
        <v>57</v>
      </c>
      <c r="N82" s="5026">
        <v>35</v>
      </c>
      <c r="O82" s="5026">
        <v>33</v>
      </c>
      <c r="P82" s="5022">
        <f>SUM(D82:O82)</f>
        <v>613</v>
      </c>
      <c r="Q82" s="5053">
        <v>51.083333333333336</v>
      </c>
      <c r="S82" s="5052">
        <v>60</v>
      </c>
      <c r="T82" s="5026">
        <v>51</v>
      </c>
      <c r="U82" s="5026">
        <v>53</v>
      </c>
      <c r="V82" s="5026">
        <v>61</v>
      </c>
      <c r="W82" s="5026">
        <v>51</v>
      </c>
      <c r="X82" s="5026">
        <v>60</v>
      </c>
      <c r="Y82" s="5026">
        <v>62</v>
      </c>
      <c r="Z82" s="5026">
        <v>50</v>
      </c>
      <c r="AA82" s="5026">
        <v>61</v>
      </c>
      <c r="AB82" s="5026">
        <v>43</v>
      </c>
      <c r="AC82" s="5026">
        <v>61</v>
      </c>
      <c r="AD82" s="5026">
        <v>49</v>
      </c>
      <c r="AE82" s="5022">
        <v>662</v>
      </c>
      <c r="AF82" s="5053">
        <v>55.166666666666664</v>
      </c>
      <c r="AG82" s="5054" t="s">
        <v>1108</v>
      </c>
      <c r="AH82" s="5055">
        <v>32</v>
      </c>
      <c r="AI82" s="5026">
        <v>55</v>
      </c>
      <c r="AJ82" s="5026">
        <v>52</v>
      </c>
      <c r="AK82" s="5026">
        <v>39</v>
      </c>
      <c r="AL82" s="5026">
        <v>36</v>
      </c>
      <c r="AM82" s="5026">
        <v>40</v>
      </c>
      <c r="AN82" s="5026">
        <v>47</v>
      </c>
      <c r="AO82" s="5026">
        <v>52</v>
      </c>
      <c r="AP82" s="5026">
        <v>40</v>
      </c>
      <c r="AQ82" s="5026">
        <v>46</v>
      </c>
      <c r="AR82" s="5026">
        <v>39</v>
      </c>
      <c r="AS82" s="5026">
        <v>24</v>
      </c>
      <c r="AT82" s="5022"/>
      <c r="AU82" s="5053">
        <f t="shared" si="39"/>
        <v>41.833333333333336</v>
      </c>
      <c r="AV82" s="5054" t="s">
        <v>1108</v>
      </c>
      <c r="AW82" s="5055">
        <v>46</v>
      </c>
      <c r="AX82" s="5026">
        <v>49</v>
      </c>
      <c r="AY82" s="5026"/>
      <c r="AZ82" s="5026"/>
      <c r="BA82" s="5026"/>
      <c r="BB82" s="5026"/>
      <c r="BC82" s="5026"/>
      <c r="BD82" s="5026"/>
      <c r="BE82" s="5026"/>
      <c r="BF82" s="5026"/>
      <c r="BG82" s="5026"/>
      <c r="BH82" s="5026"/>
      <c r="BI82" s="5022"/>
      <c r="BJ82" s="5053">
        <f t="shared" si="35"/>
        <v>47.5</v>
      </c>
      <c r="BL82" s="5027"/>
      <c r="BM82" s="5028">
        <f t="shared" si="36"/>
        <v>-6</v>
      </c>
      <c r="BN82" s="5028">
        <f t="shared" si="37"/>
        <v>5.6666666666666643</v>
      </c>
      <c r="BO82" s="5029">
        <f>IFERROR(
  SUM(
    _xlfn.XLOOKUP(DATE(YEAR($A$1),1,1),$2:$2,82:82):
    _xlfn.XLOOKUP($A$1,$2:$2,82:82)
  )
 -SUM(
    _xlfn.XLOOKUP(DATE(YEAR($A$1)-1,1,1),$2:$2,82:82):
    _xlfn.XLOOKUP(EDATE($A$1,-12),$2:$2,82:82)
  ),"")</f>
        <v>8</v>
      </c>
      <c r="BP82" s="5056">
        <f t="shared" si="38"/>
        <v>3</v>
      </c>
    </row>
    <row r="83" spans="1:68" x14ac:dyDescent="0.55000000000000004">
      <c r="A83" s="7444"/>
      <c r="B83" s="5031" t="s">
        <v>988</v>
      </c>
      <c r="C83" s="5019"/>
      <c r="D83" s="5032">
        <v>2.4102838778789503E-2</v>
      </c>
      <c r="E83" s="5033">
        <v>3.4133333333333335E-2</v>
      </c>
      <c r="F83" s="5033">
        <v>3.1686358754027928E-2</v>
      </c>
      <c r="G83" s="5033">
        <v>3.2310177705977383E-2</v>
      </c>
      <c r="H83" s="5033">
        <v>2.5460455037919827E-2</v>
      </c>
      <c r="I83" s="5033">
        <v>3.4257748776508973E-2</v>
      </c>
      <c r="J83" s="5033">
        <v>3.0803080308030802E-2</v>
      </c>
      <c r="K83" s="5033">
        <v>2.6637069922308545E-2</v>
      </c>
      <c r="L83" s="5033">
        <v>2.5770308123249298E-2</v>
      </c>
      <c r="M83" s="5033">
        <v>3.1808035714285712E-2</v>
      </c>
      <c r="N83" s="5033">
        <v>1.9673974142776839E-2</v>
      </c>
      <c r="O83" s="5033">
        <v>1.853932584269663E-2</v>
      </c>
      <c r="P83" s="5022"/>
      <c r="Q83" s="5033">
        <v>2.7931892203325398E-2</v>
      </c>
      <c r="S83" s="5032">
        <v>3.3277870216306155E-2</v>
      </c>
      <c r="T83" s="5033">
        <v>2.8270509977827051E-2</v>
      </c>
      <c r="U83" s="5033">
        <v>2.9152915291529153E-2</v>
      </c>
      <c r="V83" s="5033">
        <v>3.2795698924731186E-2</v>
      </c>
      <c r="W83" s="5033">
        <v>2.7493261455525605E-2</v>
      </c>
      <c r="X83" s="5033">
        <v>3.2379924446842956E-2</v>
      </c>
      <c r="Y83" s="5033">
        <v>3.3101975440469833E-2</v>
      </c>
      <c r="Z83" s="5033">
        <v>2.6954177897574125E-2</v>
      </c>
      <c r="AA83" s="5033">
        <v>3.2275132275132276E-2</v>
      </c>
      <c r="AB83" s="5033">
        <v>2.2584033613445378E-2</v>
      </c>
      <c r="AC83" s="5033">
        <v>3.1655422937208098E-2</v>
      </c>
      <c r="AD83" s="5033">
        <v>2.5270758122743681E-2</v>
      </c>
      <c r="AE83" s="5022"/>
      <c r="AF83" s="5033">
        <v>2.9600973383277957E-2</v>
      </c>
      <c r="AH83" s="5034">
        <v>1.6435541859270673E-2</v>
      </c>
      <c r="AI83" s="5035">
        <v>2.8075548749361919E-2</v>
      </c>
      <c r="AJ83" s="5035">
        <v>2.6490066225165563E-2</v>
      </c>
      <c r="AK83" s="5035">
        <v>2.0030816640986132E-2</v>
      </c>
      <c r="AL83" s="5035">
        <v>1.8585441404233349E-2</v>
      </c>
      <c r="AM83" s="5035">
        <v>2.0768431983385256E-2</v>
      </c>
      <c r="AN83" s="5035">
        <v>2.4646040901940221E-2</v>
      </c>
      <c r="AO83" s="5035">
        <v>2.7542372881355932E-2</v>
      </c>
      <c r="AP83" s="5035">
        <v>2.1356113187399894E-2</v>
      </c>
      <c r="AQ83" s="5035">
        <v>2.4757804090419805E-2</v>
      </c>
      <c r="AR83" s="5035">
        <v>2.1035598705501618E-2</v>
      </c>
      <c r="AS83" s="5035">
        <v>1.2944983818770227E-2</v>
      </c>
      <c r="AT83" s="5035"/>
      <c r="AU83" s="5053">
        <f t="shared" si="39"/>
        <v>2.1889063370649216E-2</v>
      </c>
      <c r="AW83" s="5034">
        <v>2.4494142705005325E-2</v>
      </c>
      <c r="AX83" s="5035">
        <v>2.6036131774707757E-2</v>
      </c>
      <c r="AY83" s="5035"/>
      <c r="AZ83" s="5035"/>
      <c r="BA83" s="5035"/>
      <c r="BB83" s="5035"/>
      <c r="BC83" s="5035"/>
      <c r="BD83" s="5035"/>
      <c r="BE83" s="5035"/>
      <c r="BF83" s="5035"/>
      <c r="BG83" s="5035"/>
      <c r="BH83" s="5035"/>
      <c r="BI83" s="5035"/>
      <c r="BJ83" s="5053">
        <f t="shared" si="35"/>
        <v>2.5265137239856541E-2</v>
      </c>
      <c r="BL83" s="5036"/>
      <c r="BM83" s="5037">
        <f t="shared" si="36"/>
        <v>-2.0394169746541617E-3</v>
      </c>
      <c r="BN83" s="5037">
        <f t="shared" si="37"/>
        <v>3.3760738692073244E-3</v>
      </c>
      <c r="BO83" s="5038">
        <f>IFERROR(
  SUM(
    _xlfn.XLOOKUP(DATE(YEAR($A$1),1,1),$2:$2,83:83):
    _xlfn.XLOOKUP($A$1,$2:$2,83:83)
  )
 -SUM(
    _xlfn.XLOOKUP(DATE(YEAR($A$1)-1,1,1),$2:$2,83:83):
    _xlfn.XLOOKUP(EDATE($A$1,-12),$2:$2,83:83)
  ),"")</f>
        <v>6.0191838710804899E-3</v>
      </c>
      <c r="BP83" s="5057">
        <f t="shared" si="38"/>
        <v>1.5419890697024319E-3</v>
      </c>
    </row>
    <row r="84" spans="1:68" x14ac:dyDescent="0.55000000000000004">
      <c r="A84" s="7444"/>
      <c r="B84" s="4986"/>
      <c r="C84" s="5040" t="s">
        <v>982</v>
      </c>
      <c r="D84" s="5041"/>
      <c r="E84" s="5042"/>
      <c r="F84" s="5042"/>
      <c r="G84" s="5042"/>
      <c r="H84" s="5042"/>
      <c r="I84" s="5042"/>
      <c r="J84" s="5042"/>
      <c r="K84" s="5042"/>
      <c r="L84" s="5042"/>
      <c r="M84" s="5042"/>
      <c r="N84" s="5042"/>
      <c r="O84" s="5042"/>
      <c r="P84" s="5043"/>
      <c r="Q84" s="5044"/>
      <c r="S84" s="5041">
        <v>32</v>
      </c>
      <c r="T84" s="5042">
        <v>18</v>
      </c>
      <c r="U84" s="5042">
        <v>17</v>
      </c>
      <c r="V84" s="5042">
        <v>22</v>
      </c>
      <c r="W84" s="5042">
        <v>19</v>
      </c>
      <c r="X84" s="5042">
        <v>18</v>
      </c>
      <c r="Y84" s="5042">
        <v>18</v>
      </c>
      <c r="Z84" s="5042">
        <v>14</v>
      </c>
      <c r="AA84" s="5042">
        <v>26</v>
      </c>
      <c r="AB84" s="5042">
        <v>19</v>
      </c>
      <c r="AC84" s="5042">
        <v>31</v>
      </c>
      <c r="AD84" s="5042">
        <v>22</v>
      </c>
      <c r="AE84" s="5043">
        <v>256</v>
      </c>
      <c r="AF84" s="5044">
        <v>21.333333333333332</v>
      </c>
      <c r="AH84" s="5058">
        <v>15</v>
      </c>
      <c r="AI84" s="5059">
        <v>23</v>
      </c>
      <c r="AJ84" s="5059">
        <v>13</v>
      </c>
      <c r="AK84" s="5059">
        <v>8</v>
      </c>
      <c r="AL84" s="5059">
        <v>9</v>
      </c>
      <c r="AM84" s="5059">
        <v>6</v>
      </c>
      <c r="AN84" s="5059">
        <v>10</v>
      </c>
      <c r="AO84" s="5059">
        <v>11</v>
      </c>
      <c r="AP84" s="5059">
        <v>9</v>
      </c>
      <c r="AQ84" s="5059">
        <v>7</v>
      </c>
      <c r="AR84" s="5059">
        <v>7</v>
      </c>
      <c r="AS84" s="5059">
        <v>11</v>
      </c>
      <c r="AT84" s="5043"/>
      <c r="AU84" s="5044">
        <f t="shared" si="39"/>
        <v>10.75</v>
      </c>
      <c r="AW84" s="5605">
        <v>12</v>
      </c>
      <c r="AX84" s="5042">
        <v>20</v>
      </c>
      <c r="AY84" s="5042"/>
      <c r="AZ84" s="5042"/>
      <c r="BA84" s="5042"/>
      <c r="BB84" s="5042"/>
      <c r="BC84" s="5042"/>
      <c r="BD84" s="5042"/>
      <c r="BE84" s="5042"/>
      <c r="BF84" s="5042"/>
      <c r="BG84" s="5042"/>
      <c r="BH84" s="5042"/>
      <c r="BI84" s="5043"/>
      <c r="BJ84" s="5044">
        <f t="shared" si="35"/>
        <v>16</v>
      </c>
      <c r="BL84" s="5046"/>
      <c r="BM84" s="5047">
        <f t="shared" si="36"/>
        <v>-3</v>
      </c>
      <c r="BN84" s="5047">
        <f t="shared" si="37"/>
        <v>5.25</v>
      </c>
      <c r="BO84" s="5060">
        <f>IFERROR(
  SUM(
    _xlfn.XLOOKUP(DATE(YEAR($A$1),1,1),$2:$2,84:84):
    _xlfn.XLOOKUP($A$1,$2:$2,84:84)
  )
 -SUM(
    _xlfn.XLOOKUP(DATE(YEAR($A$1)-1,1,1),$2:$2,84:84):
    _xlfn.XLOOKUP(EDATE($A$1,-12),$2:$2,84:84)
  ),"")</f>
        <v>-6</v>
      </c>
      <c r="BP84" s="5049">
        <f t="shared" si="38"/>
        <v>8</v>
      </c>
    </row>
    <row r="85" spans="1:68" x14ac:dyDescent="0.55000000000000004">
      <c r="A85" s="7444"/>
      <c r="B85" s="4986"/>
      <c r="C85" s="5061" t="s">
        <v>990</v>
      </c>
      <c r="D85" s="5062"/>
      <c r="E85" s="5063"/>
      <c r="F85" s="5063"/>
      <c r="G85" s="5063"/>
      <c r="H85" s="5063"/>
      <c r="I85" s="5063"/>
      <c r="J85" s="5063"/>
      <c r="K85" s="5063"/>
      <c r="L85" s="5063"/>
      <c r="M85" s="5063"/>
      <c r="N85" s="5063"/>
      <c r="O85" s="5063"/>
      <c r="P85" s="5063"/>
      <c r="Q85" s="5063"/>
      <c r="S85" s="5062">
        <v>0.5423728813559322</v>
      </c>
      <c r="T85" s="5063">
        <v>0.35294117647058826</v>
      </c>
      <c r="U85" s="5063">
        <v>0.32075471698113206</v>
      </c>
      <c r="V85" s="5063">
        <v>0.36065573770491804</v>
      </c>
      <c r="W85" s="5063">
        <v>0.37254901960784315</v>
      </c>
      <c r="X85" s="5063">
        <v>0.30508474576271188</v>
      </c>
      <c r="Y85" s="5063">
        <v>0.29032258064516131</v>
      </c>
      <c r="Z85" s="5063">
        <v>0.28000000000000003</v>
      </c>
      <c r="AA85" s="5063">
        <v>0.42622950819672129</v>
      </c>
      <c r="AB85" s="5063">
        <v>0.45238095238095238</v>
      </c>
      <c r="AC85" s="5063">
        <v>0.50819672131147542</v>
      </c>
      <c r="AD85" s="5063">
        <v>0.46808510638297873</v>
      </c>
      <c r="AE85" s="5064"/>
      <c r="AF85" s="5063">
        <v>0.39</v>
      </c>
      <c r="AH85" s="5065">
        <v>0.46875</v>
      </c>
      <c r="AI85" s="5066">
        <v>0.44230769230769229</v>
      </c>
      <c r="AJ85" s="5066">
        <v>0.26</v>
      </c>
      <c r="AK85" s="5066">
        <v>0.21052631578947367</v>
      </c>
      <c r="AL85" s="5066">
        <v>0.25714285714285712</v>
      </c>
      <c r="AM85" s="5066">
        <v>0.15</v>
      </c>
      <c r="AN85" s="5066">
        <v>0.22222222222222221</v>
      </c>
      <c r="AO85" s="5066">
        <v>0.21153846153846154</v>
      </c>
      <c r="AP85" s="5066">
        <v>0.23076923076923078</v>
      </c>
      <c r="AQ85" s="5066">
        <v>0.16666666666666666</v>
      </c>
      <c r="AR85" s="5066">
        <v>0.18421052631578946</v>
      </c>
      <c r="AS85" s="5066">
        <v>0.47826086956521741</v>
      </c>
      <c r="AT85" s="5064"/>
      <c r="AU85" s="5063">
        <f t="shared" si="39"/>
        <v>0.27353290352646759</v>
      </c>
      <c r="AW85" s="5606">
        <v>0.27272727272727271</v>
      </c>
      <c r="AX85" s="5063">
        <v>0.40816326530612246</v>
      </c>
      <c r="AY85" s="5063"/>
      <c r="AZ85" s="5063"/>
      <c r="BA85" s="5063"/>
      <c r="BB85" s="5063"/>
      <c r="BC85" s="5063"/>
      <c r="BD85" s="5063"/>
      <c r="BE85" s="5063"/>
      <c r="BF85" s="5063"/>
      <c r="BG85" s="5063"/>
      <c r="BH85" s="5063"/>
      <c r="BI85" s="5064"/>
      <c r="BJ85" s="5063">
        <f t="shared" si="35"/>
        <v>0.34044526901669758</v>
      </c>
      <c r="BL85" s="5067"/>
      <c r="BM85" s="5068">
        <f t="shared" si="36"/>
        <v>-3.4144427001569833E-2</v>
      </c>
      <c r="BN85" s="5068">
        <f t="shared" si="37"/>
        <v>6.6912365490229997E-2</v>
      </c>
      <c r="BO85" s="5069">
        <f>IFERROR(
  SUM(
    _xlfn.XLOOKUP(DATE(YEAR($A$1),1,1),$2:$2,85:85):
    _xlfn.XLOOKUP($A$1,$2:$2,85:85)
  )
 -SUM(
    _xlfn.XLOOKUP(DATE(YEAR($A$1)-1,1,1),$2:$2,85:85):
    _xlfn.XLOOKUP(EDATE($A$1,-12),$2:$2,85:85)
  ),"")</f>
        <v>-0.23016715427429713</v>
      </c>
      <c r="BP85" s="5070">
        <f t="shared" si="38"/>
        <v>0.13543599257884975</v>
      </c>
    </row>
    <row r="86" spans="1:68" x14ac:dyDescent="0.55000000000000004">
      <c r="A86" s="7444"/>
      <c r="B86" s="4986"/>
      <c r="C86" s="5071" t="s">
        <v>978</v>
      </c>
      <c r="D86" s="5072"/>
      <c r="E86" s="5073"/>
      <c r="F86" s="5073"/>
      <c r="G86" s="5073"/>
      <c r="H86" s="5073"/>
      <c r="I86" s="5073"/>
      <c r="J86" s="5073"/>
      <c r="K86" s="5073"/>
      <c r="L86" s="5073"/>
      <c r="M86" s="5073"/>
      <c r="N86" s="5073"/>
      <c r="O86" s="5073"/>
      <c r="P86" s="5074"/>
      <c r="Q86" s="5075"/>
      <c r="S86" s="5072">
        <v>48</v>
      </c>
      <c r="T86" s="5073">
        <v>39</v>
      </c>
      <c r="U86" s="5073">
        <v>39</v>
      </c>
      <c r="V86" s="5073">
        <v>36</v>
      </c>
      <c r="W86" s="5073">
        <v>39</v>
      </c>
      <c r="X86" s="5073">
        <v>41</v>
      </c>
      <c r="Y86" s="5073">
        <v>42</v>
      </c>
      <c r="Z86" s="5073">
        <v>33</v>
      </c>
      <c r="AA86" s="5073">
        <v>39</v>
      </c>
      <c r="AB86" s="5073">
        <v>32</v>
      </c>
      <c r="AC86" s="5073">
        <v>40</v>
      </c>
      <c r="AD86" s="5073">
        <v>36</v>
      </c>
      <c r="AE86" s="5074">
        <v>464</v>
      </c>
      <c r="AF86" s="5075">
        <v>38.666666666666664</v>
      </c>
      <c r="AH86" s="5076">
        <v>23</v>
      </c>
      <c r="AI86" s="5077">
        <v>36</v>
      </c>
      <c r="AJ86" s="5077">
        <v>33</v>
      </c>
      <c r="AK86" s="5077">
        <v>23</v>
      </c>
      <c r="AL86" s="5077">
        <v>25</v>
      </c>
      <c r="AM86" s="5077">
        <v>21</v>
      </c>
      <c r="AN86" s="5077">
        <v>32</v>
      </c>
      <c r="AO86" s="5077">
        <v>35</v>
      </c>
      <c r="AP86" s="5077">
        <v>17</v>
      </c>
      <c r="AQ86" s="5077">
        <v>22</v>
      </c>
      <c r="AR86" s="5077">
        <v>19</v>
      </c>
      <c r="AS86" s="5077">
        <v>16</v>
      </c>
      <c r="AT86" s="5074"/>
      <c r="AU86" s="5075">
        <f t="shared" si="39"/>
        <v>25.166666666666668</v>
      </c>
      <c r="AW86" s="5607">
        <v>27</v>
      </c>
      <c r="AX86" s="5608">
        <v>34</v>
      </c>
      <c r="AY86" s="5608"/>
      <c r="AZ86" s="5608"/>
      <c r="BA86" s="5608"/>
      <c r="BB86" s="5608"/>
      <c r="BC86" s="5608"/>
      <c r="BD86" s="5608"/>
      <c r="BE86" s="5608"/>
      <c r="BF86" s="5608"/>
      <c r="BG86" s="5608"/>
      <c r="BH86" s="5608"/>
      <c r="BI86" s="5074"/>
      <c r="BJ86" s="5075">
        <f t="shared" si="35"/>
        <v>30.5</v>
      </c>
      <c r="BL86" s="5078"/>
      <c r="BM86" s="5079">
        <f t="shared" si="36"/>
        <v>-2</v>
      </c>
      <c r="BN86" s="5079">
        <f t="shared" si="37"/>
        <v>5.3333333333333321</v>
      </c>
      <c r="BO86" s="5080">
        <f>IFERROR(
  SUM(
    _xlfn.XLOOKUP(DATE(YEAR($A$1),1,1),$2:$2,86:86):
    _xlfn.XLOOKUP($A$1,$2:$2,86:86)
  )
 -SUM(
    _xlfn.XLOOKUP(DATE(YEAR($A$1)-1,1,1),$2:$2,86:86):
    _xlfn.XLOOKUP(EDATE($A$1,-12),$2:$2,86:86)
  ),"")</f>
        <v>2</v>
      </c>
      <c r="BP86" s="5081">
        <f t="shared" si="38"/>
        <v>7</v>
      </c>
    </row>
    <row r="87" spans="1:68" x14ac:dyDescent="0.55000000000000004">
      <c r="A87" s="7444"/>
      <c r="B87" s="5082"/>
      <c r="C87" s="5083" t="s">
        <v>982</v>
      </c>
      <c r="D87" s="5084"/>
      <c r="E87" s="4970"/>
      <c r="F87" s="4970"/>
      <c r="G87" s="4970"/>
      <c r="H87" s="4970"/>
      <c r="I87" s="4970"/>
      <c r="J87" s="4970"/>
      <c r="K87" s="4970"/>
      <c r="L87" s="4970"/>
      <c r="M87" s="4970"/>
      <c r="N87" s="4970"/>
      <c r="O87" s="4970"/>
      <c r="P87" s="4967"/>
      <c r="Q87" s="4984"/>
      <c r="S87" s="5041">
        <v>28</v>
      </c>
      <c r="T87" s="5042">
        <v>15</v>
      </c>
      <c r="U87" s="5042">
        <v>16</v>
      </c>
      <c r="V87" s="5042">
        <v>17</v>
      </c>
      <c r="W87" s="5042">
        <v>16</v>
      </c>
      <c r="X87" s="5042">
        <v>14</v>
      </c>
      <c r="Y87" s="5042">
        <v>15</v>
      </c>
      <c r="Z87" s="5042">
        <v>10</v>
      </c>
      <c r="AA87" s="5042">
        <v>21</v>
      </c>
      <c r="AB87" s="5042">
        <v>15</v>
      </c>
      <c r="AC87" s="5042">
        <v>18</v>
      </c>
      <c r="AD87" s="5042">
        <v>18</v>
      </c>
      <c r="AE87" s="4967">
        <v>203</v>
      </c>
      <c r="AF87" s="4984">
        <v>16.916666666666668</v>
      </c>
      <c r="AH87" s="5085">
        <v>9</v>
      </c>
      <c r="AI87" s="5059">
        <v>15</v>
      </c>
      <c r="AJ87" s="5059">
        <v>9</v>
      </c>
      <c r="AK87" s="5059">
        <v>6</v>
      </c>
      <c r="AL87" s="5059">
        <v>3</v>
      </c>
      <c r="AM87" s="5059">
        <v>3</v>
      </c>
      <c r="AN87" s="5059">
        <v>6</v>
      </c>
      <c r="AO87" s="5059">
        <v>6</v>
      </c>
      <c r="AP87" s="5059">
        <v>4</v>
      </c>
      <c r="AQ87" s="5059">
        <v>3</v>
      </c>
      <c r="AR87" s="5059">
        <v>4</v>
      </c>
      <c r="AS87" s="5059">
        <v>8</v>
      </c>
      <c r="AT87" s="4967"/>
      <c r="AU87" s="4984">
        <f t="shared" si="39"/>
        <v>6.333333333333333</v>
      </c>
      <c r="AW87" s="5609">
        <v>7</v>
      </c>
      <c r="AX87" s="5042">
        <v>15</v>
      </c>
      <c r="AY87" s="5042"/>
      <c r="AZ87" s="5042"/>
      <c r="BA87" s="5042"/>
      <c r="BB87" s="5042"/>
      <c r="BC87" s="5042"/>
      <c r="BD87" s="5042"/>
      <c r="BE87" s="5042"/>
      <c r="BF87" s="5042"/>
      <c r="BG87" s="5042"/>
      <c r="BH87" s="5042"/>
      <c r="BI87" s="4967"/>
      <c r="BJ87" s="4984">
        <f t="shared" si="35"/>
        <v>11</v>
      </c>
      <c r="BL87" s="5086"/>
      <c r="BM87" s="5087">
        <f t="shared" si="36"/>
        <v>0</v>
      </c>
      <c r="BN87" s="5087">
        <f t="shared" si="37"/>
        <v>4.666666666666667</v>
      </c>
      <c r="BO87" s="5088">
        <f>IFERROR(
  SUM(
    _xlfn.XLOOKUP(DATE(YEAR($A$1),1,1),$2:$2,87:87):
    _xlfn.XLOOKUP($A$1,$2:$2,87:87)
  )
 -SUM(
    _xlfn.XLOOKUP(DATE(YEAR($A$1)-1,1,1),$2:$2,87:87):
    _xlfn.XLOOKUP(EDATE($A$1,-12),$2:$2,87:87)
  ),"")</f>
        <v>-2</v>
      </c>
      <c r="BP87" s="5089">
        <f t="shared" si="38"/>
        <v>8</v>
      </c>
    </row>
    <row r="88" spans="1:68" x14ac:dyDescent="0.55000000000000004">
      <c r="A88" s="7444"/>
      <c r="B88" s="5082"/>
      <c r="C88" s="5090" t="s">
        <v>989</v>
      </c>
      <c r="D88" s="5091"/>
      <c r="E88" s="5092"/>
      <c r="F88" s="5092"/>
      <c r="G88" s="5092"/>
      <c r="H88" s="5092"/>
      <c r="I88" s="5092"/>
      <c r="J88" s="5092"/>
      <c r="K88" s="5092"/>
      <c r="L88" s="5092"/>
      <c r="M88" s="5092"/>
      <c r="N88" s="5092"/>
      <c r="O88" s="5092"/>
      <c r="P88" s="5093"/>
      <c r="Q88" s="5094"/>
      <c r="S88" s="5062">
        <v>0.58333333333333337</v>
      </c>
      <c r="T88" s="5063">
        <v>0.38461538461538464</v>
      </c>
      <c r="U88" s="5063">
        <v>0.41025641025641024</v>
      </c>
      <c r="V88" s="5063">
        <v>0.47222222222222221</v>
      </c>
      <c r="W88" s="5063">
        <v>0.41025641025641024</v>
      </c>
      <c r="X88" s="5063">
        <v>0.34146341463414637</v>
      </c>
      <c r="Y88" s="5063">
        <v>0.35714285714285715</v>
      </c>
      <c r="Z88" s="5063">
        <v>0.30303030303030304</v>
      </c>
      <c r="AA88" s="5063">
        <v>0.53846153846153844</v>
      </c>
      <c r="AB88" s="5063">
        <v>0.46875</v>
      </c>
      <c r="AC88" s="5063">
        <v>0.45</v>
      </c>
      <c r="AD88" s="5063">
        <v>0.5</v>
      </c>
      <c r="AE88" s="5093"/>
      <c r="AF88" s="5095">
        <v>0.435</v>
      </c>
      <c r="AH88" s="5096">
        <v>0.39130434782608697</v>
      </c>
      <c r="AI88" s="5097">
        <v>0.41666666666666669</v>
      </c>
      <c r="AJ88" s="5097">
        <v>0.27272727272727271</v>
      </c>
      <c r="AK88" s="5097">
        <v>0.2608695652173913</v>
      </c>
      <c r="AL88" s="5097">
        <v>0.12</v>
      </c>
      <c r="AM88" s="5097">
        <v>0.14285714285714285</v>
      </c>
      <c r="AN88" s="5097">
        <v>0.1875</v>
      </c>
      <c r="AO88" s="5097">
        <v>0.17142857142857143</v>
      </c>
      <c r="AP88" s="5097">
        <v>0.23529411764705882</v>
      </c>
      <c r="AQ88" s="5098">
        <v>0.13636363636363635</v>
      </c>
      <c r="AR88" s="5099">
        <v>0.21052631578947367</v>
      </c>
      <c r="AS88" s="5099">
        <v>0.5</v>
      </c>
      <c r="AT88" s="5093"/>
      <c r="AU88" s="5063">
        <f t="shared" si="39"/>
        <v>0.25379480304360835</v>
      </c>
      <c r="AW88" s="5610">
        <v>0.25925925925925924</v>
      </c>
      <c r="AX88" s="5611">
        <v>0.44117647058823528</v>
      </c>
      <c r="AY88" s="5611"/>
      <c r="AZ88" s="5611"/>
      <c r="BA88" s="5611"/>
      <c r="BB88" s="5611"/>
      <c r="BC88" s="5611"/>
      <c r="BD88" s="5611"/>
      <c r="BE88" s="5611"/>
      <c r="BF88" s="5612"/>
      <c r="BG88" s="5613"/>
      <c r="BH88" s="5613"/>
      <c r="BI88" s="5093"/>
      <c r="BJ88" s="5063">
        <f t="shared" si="35"/>
        <v>0.35021786492374729</v>
      </c>
      <c r="BL88" s="5100"/>
      <c r="BM88" s="5101">
        <f t="shared" si="36"/>
        <v>2.4509803921568596E-2</v>
      </c>
      <c r="BN88" s="5101">
        <f t="shared" si="37"/>
        <v>9.6423061880138938E-2</v>
      </c>
      <c r="BO88" s="5069">
        <f>IFERROR(
  SUM(
    _xlfn.XLOOKUP(DATE(YEAR($A$1),1,1),$2:$2,88:88):
    _xlfn.XLOOKUP($A$1,$2:$2,88:88)
  )
 -SUM(
    _xlfn.XLOOKUP(DATE(YEAR($A$1)-1,1,1),$2:$2,88:88):
    _xlfn.XLOOKUP(EDATE($A$1,-12),$2:$2,88:88)
  ),"")</f>
        <v>-0.10753528464525908</v>
      </c>
      <c r="BP88" s="5017">
        <f t="shared" si="38"/>
        <v>0.18191721132897604</v>
      </c>
    </row>
    <row r="89" spans="1:68" x14ac:dyDescent="0.55000000000000004">
      <c r="A89" s="7444"/>
      <c r="B89" s="5082"/>
      <c r="C89" s="5102" t="s">
        <v>1019</v>
      </c>
      <c r="D89" s="5052"/>
      <c r="E89" s="5026"/>
      <c r="F89" s="5026"/>
      <c r="G89" s="5026"/>
      <c r="H89" s="5026"/>
      <c r="I89" s="5026"/>
      <c r="J89" s="5026"/>
      <c r="K89" s="5026"/>
      <c r="L89" s="5026"/>
      <c r="M89" s="5026"/>
      <c r="N89" s="5026"/>
      <c r="O89" s="5026"/>
      <c r="P89" s="5022"/>
      <c r="Q89" s="5053"/>
      <c r="S89" s="5103">
        <v>0</v>
      </c>
      <c r="T89" s="5104">
        <v>1</v>
      </c>
      <c r="U89" s="5104">
        <v>2</v>
      </c>
      <c r="V89" s="5104">
        <v>3</v>
      </c>
      <c r="W89" s="5104">
        <v>0</v>
      </c>
      <c r="X89" s="5104">
        <v>1</v>
      </c>
      <c r="Y89" s="5104">
        <v>1</v>
      </c>
      <c r="Z89" s="5104">
        <v>2</v>
      </c>
      <c r="AA89" s="5104">
        <v>2</v>
      </c>
      <c r="AB89" s="5104">
        <v>0</v>
      </c>
      <c r="AC89" s="5104">
        <v>2</v>
      </c>
      <c r="AD89" s="5104">
        <v>2</v>
      </c>
      <c r="AE89" s="5022">
        <v>16</v>
      </c>
      <c r="AF89" s="5105">
        <v>1.3333333333333333</v>
      </c>
      <c r="AH89" s="5058">
        <v>3</v>
      </c>
      <c r="AI89" s="5059">
        <v>2</v>
      </c>
      <c r="AJ89" s="5059">
        <v>4</v>
      </c>
      <c r="AK89" s="5059">
        <v>2</v>
      </c>
      <c r="AL89" s="5059">
        <v>1</v>
      </c>
      <c r="AM89" s="5059">
        <v>3</v>
      </c>
      <c r="AN89" s="5059">
        <v>2</v>
      </c>
      <c r="AO89" s="5059">
        <v>3</v>
      </c>
      <c r="AP89" s="5059">
        <v>4</v>
      </c>
      <c r="AQ89" s="5059">
        <v>3</v>
      </c>
      <c r="AR89" s="5059">
        <v>2</v>
      </c>
      <c r="AS89" s="5059"/>
      <c r="AT89" s="5022"/>
      <c r="AU89" s="5075">
        <f t="shared" si="39"/>
        <v>2.6363636363636362</v>
      </c>
      <c r="AW89" s="5605">
        <v>1</v>
      </c>
      <c r="AX89" s="5042">
        <v>1</v>
      </c>
      <c r="AY89" s="5042"/>
      <c r="AZ89" s="5042"/>
      <c r="BA89" s="5042"/>
      <c r="BB89" s="5042"/>
      <c r="BC89" s="5042"/>
      <c r="BD89" s="5042"/>
      <c r="BE89" s="5042"/>
      <c r="BF89" s="5042"/>
      <c r="BG89" s="5042"/>
      <c r="BH89" s="5042"/>
      <c r="BI89" s="5022"/>
      <c r="BJ89" s="5075">
        <f t="shared" si="35"/>
        <v>1</v>
      </c>
      <c r="BL89" s="5036"/>
      <c r="BM89" s="5037">
        <f t="shared" si="36"/>
        <v>-1</v>
      </c>
      <c r="BN89" s="5037">
        <f t="shared" si="37"/>
        <v>-1.6363636363636362</v>
      </c>
      <c r="BO89" s="5038">
        <f>IFERROR(
  SUM(
    _xlfn.XLOOKUP(DATE(YEAR($A$1),1,1),$2:$2,89:89):
    _xlfn.XLOOKUP($A$1,$2:$2,89:89)
  )
 -SUM(
    _xlfn.XLOOKUP(DATE(YEAR($A$1)-1,1,1),$2:$2,89:89):
    _xlfn.XLOOKUP(EDATE($A$1,-12),$2:$2,89:89)
  ),"")</f>
        <v>-3</v>
      </c>
      <c r="BP89" s="5057">
        <f t="shared" si="38"/>
        <v>0</v>
      </c>
    </row>
    <row r="90" spans="1:68" x14ac:dyDescent="0.55000000000000004">
      <c r="A90" s="7444"/>
      <c r="B90" s="5082"/>
      <c r="C90" s="5083" t="s">
        <v>981</v>
      </c>
      <c r="D90" s="5084"/>
      <c r="E90" s="4970"/>
      <c r="F90" s="4970"/>
      <c r="G90" s="4970"/>
      <c r="H90" s="4970"/>
      <c r="I90" s="4970"/>
      <c r="J90" s="4970"/>
      <c r="K90" s="4970"/>
      <c r="L90" s="4970"/>
      <c r="M90" s="4970"/>
      <c r="N90" s="4970"/>
      <c r="O90" s="4970"/>
      <c r="P90" s="4967"/>
      <c r="Q90" s="4984"/>
      <c r="S90" s="5084">
        <v>0</v>
      </c>
      <c r="T90" s="4970">
        <v>0</v>
      </c>
      <c r="U90" s="4970">
        <v>0</v>
      </c>
      <c r="V90" s="4970">
        <v>0</v>
      </c>
      <c r="W90" s="4970">
        <v>0</v>
      </c>
      <c r="X90" s="4970">
        <v>1</v>
      </c>
      <c r="Y90" s="4970">
        <v>0</v>
      </c>
      <c r="Z90" s="4970">
        <v>0</v>
      </c>
      <c r="AA90" s="4970">
        <v>0</v>
      </c>
      <c r="AB90" s="4970">
        <v>0</v>
      </c>
      <c r="AC90" s="4970">
        <v>1</v>
      </c>
      <c r="AD90" s="4970">
        <v>0</v>
      </c>
      <c r="AE90" s="4967">
        <v>2</v>
      </c>
      <c r="AF90" s="4968">
        <v>0.16666666666666699</v>
      </c>
      <c r="AH90" s="5085">
        <v>2</v>
      </c>
      <c r="AI90" s="5059">
        <v>2</v>
      </c>
      <c r="AJ90" s="5059">
        <v>1</v>
      </c>
      <c r="AK90" s="5059">
        <v>1</v>
      </c>
      <c r="AL90" s="5059">
        <v>1</v>
      </c>
      <c r="AM90" s="5059">
        <v>0</v>
      </c>
      <c r="AN90" s="5059"/>
      <c r="AO90" s="5059"/>
      <c r="AP90" s="5059">
        <v>2</v>
      </c>
      <c r="AQ90" s="5059"/>
      <c r="AR90" s="5059"/>
      <c r="AS90" s="5059"/>
      <c r="AT90" s="4967"/>
      <c r="AU90" s="4984">
        <f t="shared" si="39"/>
        <v>1.2857142857142858</v>
      </c>
      <c r="AW90" s="4969">
        <v>0</v>
      </c>
      <c r="AX90" s="5042">
        <v>0</v>
      </c>
      <c r="AY90" s="5042"/>
      <c r="AZ90" s="5042"/>
      <c r="BA90" s="5042"/>
      <c r="BB90" s="5042"/>
      <c r="BC90" s="5042"/>
      <c r="BD90" s="5042"/>
      <c r="BE90" s="5042"/>
      <c r="BF90" s="5042"/>
      <c r="BG90" s="5042"/>
      <c r="BH90" s="5042"/>
      <c r="BI90" s="4967"/>
      <c r="BJ90" s="4984">
        <f t="shared" si="35"/>
        <v>0</v>
      </c>
      <c r="BL90" s="5086"/>
      <c r="BM90" s="5087">
        <f t="shared" si="36"/>
        <v>-2</v>
      </c>
      <c r="BN90" s="5087">
        <f t="shared" si="37"/>
        <v>-1.2857142857142858</v>
      </c>
      <c r="BO90" s="5088">
        <f>IFERROR(
  SUM(
    _xlfn.XLOOKUP(DATE(YEAR($A$1),1,1),$2:$2,90:90):
    _xlfn.XLOOKUP($A$1,$2:$2,90:90)
  )
 -SUM(
    _xlfn.XLOOKUP(DATE(YEAR($A$1)-1,1,1),$2:$2,90:90):
    _xlfn.XLOOKUP(EDATE($A$1,-12),$2:$2,90:90)
  ),"")</f>
        <v>-4</v>
      </c>
      <c r="BP90" s="5089">
        <f t="shared" si="38"/>
        <v>0</v>
      </c>
    </row>
    <row r="91" spans="1:68" x14ac:dyDescent="0.55000000000000004">
      <c r="A91" s="7444"/>
      <c r="B91" s="5082"/>
      <c r="C91" s="5090" t="s">
        <v>989</v>
      </c>
      <c r="D91" s="5091"/>
      <c r="E91" s="5092"/>
      <c r="F91" s="5092"/>
      <c r="G91" s="5092"/>
      <c r="H91" s="5092"/>
      <c r="I91" s="5092"/>
      <c r="J91" s="5092"/>
      <c r="K91" s="5092"/>
      <c r="L91" s="5092"/>
      <c r="M91" s="5092"/>
      <c r="N91" s="5092"/>
      <c r="O91" s="5092"/>
      <c r="P91" s="5093"/>
      <c r="Q91" s="5094"/>
      <c r="S91" s="5062">
        <v>0</v>
      </c>
      <c r="T91" s="5063">
        <v>0</v>
      </c>
      <c r="U91" s="5063">
        <v>0</v>
      </c>
      <c r="V91" s="5063">
        <v>0</v>
      </c>
      <c r="W91" s="5063">
        <v>0</v>
      </c>
      <c r="X91" s="5063">
        <v>1</v>
      </c>
      <c r="Y91" s="5063">
        <v>0</v>
      </c>
      <c r="Z91" s="5063">
        <v>0</v>
      </c>
      <c r="AA91" s="5063">
        <v>0</v>
      </c>
      <c r="AB91" s="5063">
        <v>0</v>
      </c>
      <c r="AC91" s="5063">
        <v>0.5</v>
      </c>
      <c r="AD91" s="5063">
        <v>0</v>
      </c>
      <c r="AE91" s="5093"/>
      <c r="AF91" s="5095">
        <v>0.12500000000000025</v>
      </c>
      <c r="AH91" s="5096">
        <v>0.66666666666666663</v>
      </c>
      <c r="AI91" s="5097">
        <v>1</v>
      </c>
      <c r="AJ91" s="5097">
        <v>0.25</v>
      </c>
      <c r="AK91" s="5097">
        <v>0.5</v>
      </c>
      <c r="AL91" s="5097">
        <v>1</v>
      </c>
      <c r="AM91" s="5097">
        <v>0</v>
      </c>
      <c r="AN91" s="5097"/>
      <c r="AO91" s="5097"/>
      <c r="AP91" s="5097">
        <v>0.5</v>
      </c>
      <c r="AQ91" s="5098"/>
      <c r="AR91" s="5099"/>
      <c r="AS91" s="5099"/>
      <c r="AT91" s="5093"/>
      <c r="AU91" s="5063">
        <f t="shared" si="39"/>
        <v>0.55952380952380953</v>
      </c>
      <c r="AW91" s="4979">
        <v>0</v>
      </c>
      <c r="AX91" s="5611">
        <v>0</v>
      </c>
      <c r="AY91" s="5611"/>
      <c r="AZ91" s="5611"/>
      <c r="BA91" s="5611"/>
      <c r="BB91" s="5611"/>
      <c r="BC91" s="5611"/>
      <c r="BD91" s="5611"/>
      <c r="BE91" s="5611"/>
      <c r="BF91" s="5612"/>
      <c r="BG91" s="5613"/>
      <c r="BH91" s="5613"/>
      <c r="BI91" s="5093"/>
      <c r="BJ91" s="5063">
        <f t="shared" si="35"/>
        <v>0</v>
      </c>
      <c r="BL91" s="5100"/>
      <c r="BM91" s="5069">
        <f t="shared" si="36"/>
        <v>-1</v>
      </c>
      <c r="BN91" s="5069">
        <f t="shared" si="37"/>
        <v>-0.55952380952380953</v>
      </c>
      <c r="BO91" s="5069">
        <f>IFERROR(
  SUM(
    _xlfn.XLOOKUP(DATE(YEAR($A$1),1,1),$2:$2,91:91):
    _xlfn.XLOOKUP($A$1,$2:$2,91:91)
  )
 -SUM(
    _xlfn.XLOOKUP(DATE(YEAR($A$1)-1,1,1),$2:$2,91:91):
    _xlfn.XLOOKUP(EDATE($A$1,-12),$2:$2,91:91)
  ),"")</f>
        <v>-1.6666666666666665</v>
      </c>
      <c r="BP91" s="5017">
        <f t="shared" si="38"/>
        <v>0</v>
      </c>
    </row>
    <row r="92" spans="1:68" x14ac:dyDescent="0.55000000000000004">
      <c r="A92" s="7444"/>
      <c r="B92" s="5082"/>
      <c r="C92" s="5102" t="s">
        <v>979</v>
      </c>
      <c r="D92" s="5052"/>
      <c r="E92" s="5026"/>
      <c r="F92" s="5026"/>
      <c r="G92" s="5026"/>
      <c r="H92" s="5026"/>
      <c r="I92" s="5026"/>
      <c r="J92" s="5026"/>
      <c r="K92" s="5026"/>
      <c r="L92" s="5026"/>
      <c r="M92" s="5026"/>
      <c r="N92" s="5026"/>
      <c r="O92" s="5026"/>
      <c r="P92" s="5022"/>
      <c r="Q92" s="5053"/>
      <c r="S92" s="5052">
        <v>10</v>
      </c>
      <c r="T92" s="5026">
        <v>8</v>
      </c>
      <c r="U92" s="5026">
        <v>11</v>
      </c>
      <c r="V92" s="5026">
        <v>17</v>
      </c>
      <c r="W92" s="5106">
        <v>8</v>
      </c>
      <c r="X92" s="5106">
        <v>13</v>
      </c>
      <c r="Y92" s="5106">
        <v>12</v>
      </c>
      <c r="Z92" s="5106">
        <v>12</v>
      </c>
      <c r="AA92" s="5106">
        <v>19</v>
      </c>
      <c r="AB92" s="5106">
        <v>9</v>
      </c>
      <c r="AC92" s="5106">
        <v>17</v>
      </c>
      <c r="AD92" s="5106">
        <v>6</v>
      </c>
      <c r="AE92" s="5022">
        <v>142</v>
      </c>
      <c r="AF92" s="5105">
        <v>11.833333333333334</v>
      </c>
      <c r="AH92" s="5058">
        <v>6</v>
      </c>
      <c r="AI92" s="5059">
        <v>10</v>
      </c>
      <c r="AJ92" s="5059">
        <v>8</v>
      </c>
      <c r="AK92" s="5059">
        <v>10</v>
      </c>
      <c r="AL92" s="5059">
        <v>7</v>
      </c>
      <c r="AM92" s="5059">
        <v>11</v>
      </c>
      <c r="AN92" s="5059">
        <v>8</v>
      </c>
      <c r="AO92" s="5059">
        <v>11</v>
      </c>
      <c r="AP92" s="5059">
        <v>15</v>
      </c>
      <c r="AQ92" s="5059">
        <v>17</v>
      </c>
      <c r="AR92" s="5059">
        <v>15</v>
      </c>
      <c r="AS92" s="5059">
        <v>6</v>
      </c>
      <c r="AT92" s="5022"/>
      <c r="AU92" s="5075">
        <f t="shared" si="39"/>
        <v>10.333333333333334</v>
      </c>
      <c r="AW92" s="5605">
        <v>13</v>
      </c>
      <c r="AX92" s="5042">
        <v>14</v>
      </c>
      <c r="AY92" s="5042"/>
      <c r="AZ92" s="5042"/>
      <c r="BA92" s="5042"/>
      <c r="BB92" s="5042"/>
      <c r="BC92" s="5042"/>
      <c r="BD92" s="5042"/>
      <c r="BE92" s="5042"/>
      <c r="BF92" s="5042"/>
      <c r="BG92" s="5042"/>
      <c r="BH92" s="5042"/>
      <c r="BI92" s="5022"/>
      <c r="BJ92" s="5075">
        <f t="shared" si="35"/>
        <v>13.5</v>
      </c>
      <c r="BL92" s="5036"/>
      <c r="BM92" s="5037">
        <f t="shared" si="36"/>
        <v>4</v>
      </c>
      <c r="BN92" s="5037">
        <f t="shared" si="37"/>
        <v>3.1666666666666661</v>
      </c>
      <c r="BO92" s="5038">
        <f>IFERROR(
  SUM(
    _xlfn.XLOOKUP(DATE(YEAR($A$1),1,1),$2:$2,92:92):
    _xlfn.XLOOKUP($A$1,$2:$2,92:92)
  )
 -SUM(
    _xlfn.XLOOKUP(DATE(YEAR($A$1)-1,1,1),$2:$2,92:92):
    _xlfn.XLOOKUP(EDATE($A$1,-12),$2:$2,92:92)
  ),"")</f>
        <v>11</v>
      </c>
      <c r="BP92" s="5057">
        <f t="shared" si="38"/>
        <v>1</v>
      </c>
    </row>
    <row r="93" spans="1:68" x14ac:dyDescent="0.55000000000000004">
      <c r="A93" s="7444"/>
      <c r="B93" s="5082"/>
      <c r="C93" s="5083" t="s">
        <v>981</v>
      </c>
      <c r="D93" s="5084"/>
      <c r="E93" s="4970"/>
      <c r="F93" s="4970"/>
      <c r="G93" s="4970"/>
      <c r="H93" s="4970"/>
      <c r="I93" s="4970"/>
      <c r="J93" s="4970"/>
      <c r="K93" s="4970"/>
      <c r="L93" s="4970"/>
      <c r="M93" s="4970"/>
      <c r="N93" s="4970"/>
      <c r="O93" s="4970"/>
      <c r="P93" s="4967"/>
      <c r="Q93" s="4984"/>
      <c r="S93" s="5084">
        <v>4</v>
      </c>
      <c r="T93" s="4970">
        <v>3</v>
      </c>
      <c r="U93" s="4970">
        <v>1</v>
      </c>
      <c r="V93" s="4970">
        <v>5</v>
      </c>
      <c r="W93" s="4970">
        <v>2</v>
      </c>
      <c r="X93" s="4970">
        <v>3</v>
      </c>
      <c r="Y93" s="4970">
        <v>3</v>
      </c>
      <c r="Z93" s="4970">
        <v>4</v>
      </c>
      <c r="AA93" s="4970">
        <v>5</v>
      </c>
      <c r="AB93" s="4970">
        <v>4</v>
      </c>
      <c r="AC93" s="4970">
        <v>12</v>
      </c>
      <c r="AD93" s="4970">
        <v>4</v>
      </c>
      <c r="AE93" s="4967">
        <v>50</v>
      </c>
      <c r="AF93" s="4984">
        <v>4.166666666666667</v>
      </c>
      <c r="AH93" s="5085">
        <v>4</v>
      </c>
      <c r="AI93" s="5059">
        <v>5</v>
      </c>
      <c r="AJ93" s="5059">
        <v>3</v>
      </c>
      <c r="AK93" s="5059">
        <v>1</v>
      </c>
      <c r="AL93" s="5059">
        <v>5</v>
      </c>
      <c r="AM93" s="5059">
        <v>2</v>
      </c>
      <c r="AN93" s="5059">
        <v>3</v>
      </c>
      <c r="AO93" s="5059">
        <v>5</v>
      </c>
      <c r="AP93" s="5059">
        <v>3</v>
      </c>
      <c r="AQ93" s="5059">
        <v>4</v>
      </c>
      <c r="AR93" s="5059">
        <v>3</v>
      </c>
      <c r="AS93" s="5059">
        <v>3</v>
      </c>
      <c r="AT93" s="4967"/>
      <c r="AU93" s="4984">
        <f t="shared" si="39"/>
        <v>3.4166666666666665</v>
      </c>
      <c r="AW93" s="5609">
        <v>5</v>
      </c>
      <c r="AX93" s="5042">
        <v>5</v>
      </c>
      <c r="AY93" s="5042"/>
      <c r="AZ93" s="5042"/>
      <c r="BA93" s="5042"/>
      <c r="BB93" s="5042"/>
      <c r="BC93" s="5042"/>
      <c r="BD93" s="5042"/>
      <c r="BE93" s="5042"/>
      <c r="BF93" s="5042"/>
      <c r="BG93" s="5042"/>
      <c r="BH93" s="5042"/>
      <c r="BI93" s="4967"/>
      <c r="BJ93" s="4984">
        <f t="shared" si="35"/>
        <v>5</v>
      </c>
      <c r="BL93" s="5086"/>
      <c r="BM93" s="5087">
        <f t="shared" si="36"/>
        <v>0</v>
      </c>
      <c r="BN93" s="5087">
        <f t="shared" si="37"/>
        <v>1.5833333333333335</v>
      </c>
      <c r="BO93" s="5088">
        <f>IFERROR(
  SUM(
    _xlfn.XLOOKUP(DATE(YEAR($A$1),1,1),$2:$2,93:93):
    _xlfn.XLOOKUP($A$1,$2:$2,93:93)
  )
 -SUM(
    _xlfn.XLOOKUP(DATE(YEAR($A$1)-1,1,1),$2:$2,93:93):
    _xlfn.XLOOKUP(EDATE($A$1,-12),$2:$2,93:93)
  ),"")</f>
        <v>1</v>
      </c>
      <c r="BP93" s="5089">
        <f t="shared" si="38"/>
        <v>0</v>
      </c>
    </row>
    <row r="94" spans="1:68" x14ac:dyDescent="0.55000000000000004">
      <c r="A94" s="7444"/>
      <c r="B94" s="5082"/>
      <c r="C94" s="5090" t="s">
        <v>989</v>
      </c>
      <c r="D94" s="5091"/>
      <c r="E94" s="5092"/>
      <c r="F94" s="5092"/>
      <c r="G94" s="5092"/>
      <c r="H94" s="5092"/>
      <c r="I94" s="5092"/>
      <c r="J94" s="5092"/>
      <c r="K94" s="5092"/>
      <c r="L94" s="5092"/>
      <c r="M94" s="5092"/>
      <c r="N94" s="5092"/>
      <c r="O94" s="5092"/>
      <c r="P94" s="5093"/>
      <c r="Q94" s="5094"/>
      <c r="S94" s="5062">
        <v>0.4</v>
      </c>
      <c r="T94" s="5063">
        <v>0.375</v>
      </c>
      <c r="U94" s="5063">
        <v>9.0909090909090912E-2</v>
      </c>
      <c r="V94" s="5063">
        <v>0.29411764705882354</v>
      </c>
      <c r="W94" s="5063">
        <v>0.25</v>
      </c>
      <c r="X94" s="5063">
        <v>0.23076923076923078</v>
      </c>
      <c r="Y94" s="5063">
        <v>0.25</v>
      </c>
      <c r="Z94" s="5063">
        <v>0.33333333333333331</v>
      </c>
      <c r="AA94" s="5063">
        <v>0.26315789473684209</v>
      </c>
      <c r="AB94" s="5063">
        <v>0.44444444444444442</v>
      </c>
      <c r="AC94" s="5063">
        <v>0.70588235294117652</v>
      </c>
      <c r="AD94" s="5063">
        <v>0.66666666666666663</v>
      </c>
      <c r="AE94" s="4967"/>
      <c r="AF94" s="5063">
        <f>AF93/AF92</f>
        <v>0.35211267605633806</v>
      </c>
      <c r="AH94" s="5096">
        <v>0.66666666666666663</v>
      </c>
      <c r="AI94" s="5097">
        <v>0.5</v>
      </c>
      <c r="AJ94" s="5097">
        <v>0.375</v>
      </c>
      <c r="AK94" s="5097">
        <v>0.1</v>
      </c>
      <c r="AL94" s="5097">
        <v>0.7142857142857143</v>
      </c>
      <c r="AM94" s="5097">
        <v>0.18181818181818182</v>
      </c>
      <c r="AN94" s="5097">
        <v>0.375</v>
      </c>
      <c r="AO94" s="5097">
        <v>0.45454545454545453</v>
      </c>
      <c r="AP94" s="5097">
        <v>0.2</v>
      </c>
      <c r="AQ94" s="5097">
        <v>0.23529411764705882</v>
      </c>
      <c r="AR94" s="5097">
        <v>0.2</v>
      </c>
      <c r="AS94" s="5097">
        <v>0.5</v>
      </c>
      <c r="AT94" s="5093"/>
      <c r="AU94" s="5063">
        <f t="shared" si="39"/>
        <v>0.37521751124692299</v>
      </c>
      <c r="AW94" s="5610">
        <v>0.38461538461538464</v>
      </c>
      <c r="AX94" s="5611">
        <v>0.35714285714285715</v>
      </c>
      <c r="AY94" s="5611"/>
      <c r="AZ94" s="5611"/>
      <c r="BA94" s="5611"/>
      <c r="BB94" s="5611"/>
      <c r="BC94" s="5611"/>
      <c r="BD94" s="5611"/>
      <c r="BE94" s="5611"/>
      <c r="BF94" s="5611"/>
      <c r="BG94" s="5611"/>
      <c r="BH94" s="5611"/>
      <c r="BI94" s="5093"/>
      <c r="BJ94" s="5063">
        <f t="shared" si="35"/>
        <v>0.37087912087912089</v>
      </c>
      <c r="BL94" s="5100"/>
      <c r="BM94" s="5101">
        <f t="shared" si="36"/>
        <v>-0.14285714285714285</v>
      </c>
      <c r="BN94" s="5101">
        <f t="shared" si="37"/>
        <v>-4.3383903678020919E-3</v>
      </c>
      <c r="BO94" s="5107">
        <f>IFERROR(
  SUM(
    _xlfn.XLOOKUP(DATE(YEAR($A$1),1,1),$2:$2,94:94):
    _xlfn.XLOOKUP($A$1,$2:$2,94:94)
  )
 -SUM(
    _xlfn.XLOOKUP(DATE(YEAR($A$1)-1,1,1),$2:$2,94:94):
    _xlfn.XLOOKUP(EDATE($A$1,-12),$2:$2,94:94)
  ),"")</f>
        <v>-0.42490842490842473</v>
      </c>
      <c r="BP94" s="5017">
        <f t="shared" si="38"/>
        <v>-2.7472527472527486E-2</v>
      </c>
    </row>
    <row r="95" spans="1:68" x14ac:dyDescent="0.55000000000000004">
      <c r="A95" s="7444"/>
      <c r="B95" s="5082"/>
      <c r="C95" s="5102" t="s">
        <v>980</v>
      </c>
      <c r="D95" s="5052"/>
      <c r="E95" s="5026"/>
      <c r="F95" s="5026"/>
      <c r="G95" s="5026"/>
      <c r="H95" s="5026"/>
      <c r="I95" s="5026"/>
      <c r="J95" s="5026"/>
      <c r="K95" s="5026"/>
      <c r="L95" s="5026"/>
      <c r="M95" s="5026"/>
      <c r="N95" s="5026"/>
      <c r="O95" s="5026"/>
      <c r="P95" s="5022"/>
      <c r="Q95" s="5053"/>
      <c r="S95" s="5103">
        <v>1</v>
      </c>
      <c r="T95" s="5104">
        <v>3</v>
      </c>
      <c r="U95" s="5104">
        <v>1</v>
      </c>
      <c r="V95" s="5104">
        <v>5</v>
      </c>
      <c r="W95" s="5104">
        <v>4</v>
      </c>
      <c r="X95" s="5104">
        <v>4</v>
      </c>
      <c r="Y95" s="5104">
        <v>7</v>
      </c>
      <c r="Z95" s="5104">
        <v>3</v>
      </c>
      <c r="AA95" s="5104">
        <v>1</v>
      </c>
      <c r="AB95" s="5104">
        <v>1</v>
      </c>
      <c r="AC95" s="5104">
        <v>2</v>
      </c>
      <c r="AD95" s="5104">
        <v>3</v>
      </c>
      <c r="AE95" s="5108">
        <v>35</v>
      </c>
      <c r="AF95" s="5109">
        <v>2.9166666666666665</v>
      </c>
      <c r="AH95" s="5058">
        <v>0</v>
      </c>
      <c r="AI95" s="5059">
        <v>4</v>
      </c>
      <c r="AJ95" s="5059">
        <v>7</v>
      </c>
      <c r="AK95" s="5059">
        <v>3</v>
      </c>
      <c r="AL95" s="5059">
        <v>2</v>
      </c>
      <c r="AM95" s="5059">
        <v>5</v>
      </c>
      <c r="AN95" s="5059">
        <v>3</v>
      </c>
      <c r="AO95" s="5059">
        <v>3</v>
      </c>
      <c r="AP95" s="5059">
        <v>3</v>
      </c>
      <c r="AQ95" s="5059">
        <v>1</v>
      </c>
      <c r="AR95" s="5059">
        <v>2</v>
      </c>
      <c r="AS95" s="5059">
        <v>1</v>
      </c>
      <c r="AT95" s="5022"/>
      <c r="AU95" s="5075">
        <f t="shared" si="39"/>
        <v>2.8333333333333335</v>
      </c>
      <c r="AW95" s="5605">
        <v>3</v>
      </c>
      <c r="AX95" s="5042">
        <v>0</v>
      </c>
      <c r="AY95" s="5042"/>
      <c r="AZ95" s="5042"/>
      <c r="BA95" s="5042"/>
      <c r="BB95" s="5042"/>
      <c r="BC95" s="5042"/>
      <c r="BD95" s="5042"/>
      <c r="BE95" s="5042"/>
      <c r="BF95" s="5042"/>
      <c r="BG95" s="5042"/>
      <c r="BH95" s="5042"/>
      <c r="BI95" s="5022"/>
      <c r="BJ95" s="5075">
        <f t="shared" si="35"/>
        <v>1.5</v>
      </c>
      <c r="BL95" s="5036"/>
      <c r="BM95" s="5037">
        <f t="shared" si="36"/>
        <v>-4</v>
      </c>
      <c r="BN95" s="5037">
        <f t="shared" si="37"/>
        <v>-1.3333333333333335</v>
      </c>
      <c r="BO95" s="5038">
        <f>IFERROR(
  SUM(
    _xlfn.XLOOKUP(DATE(YEAR($A$1),1,1),$2:$2,95:95):
    _xlfn.XLOOKUP($A$1,$2:$2,95:95)
  )
 -SUM(
    _xlfn.XLOOKUP(DATE(YEAR($A$1)-1,1,1),$2:$2,95:95):
    _xlfn.XLOOKUP(EDATE($A$1,-12),$2:$2,95:95)
  ),"")</f>
        <v>-1</v>
      </c>
      <c r="BP95" s="5057">
        <f t="shared" si="38"/>
        <v>-3</v>
      </c>
    </row>
    <row r="96" spans="1:68" x14ac:dyDescent="0.55000000000000004">
      <c r="A96" s="7444"/>
      <c r="B96" s="5082"/>
      <c r="C96" s="5083" t="s">
        <v>981</v>
      </c>
      <c r="D96" s="5084"/>
      <c r="E96" s="4970"/>
      <c r="F96" s="4970"/>
      <c r="G96" s="4970"/>
      <c r="H96" s="4970"/>
      <c r="I96" s="4970"/>
      <c r="J96" s="4970"/>
      <c r="K96" s="4970"/>
      <c r="L96" s="4970"/>
      <c r="M96" s="4970"/>
      <c r="N96" s="4970"/>
      <c r="O96" s="4970"/>
      <c r="P96" s="4967"/>
      <c r="Q96" s="4984"/>
      <c r="S96" s="5084">
        <v>0</v>
      </c>
      <c r="T96" s="4970">
        <v>0</v>
      </c>
      <c r="U96" s="4970">
        <v>0</v>
      </c>
      <c r="V96" s="4970">
        <v>0</v>
      </c>
      <c r="W96" s="4970">
        <v>0</v>
      </c>
      <c r="X96" s="4970">
        <v>0</v>
      </c>
      <c r="Y96" s="4970">
        <v>0</v>
      </c>
      <c r="Z96" s="4970">
        <v>0</v>
      </c>
      <c r="AA96" s="4970">
        <v>0</v>
      </c>
      <c r="AB96" s="4970">
        <v>0</v>
      </c>
      <c r="AC96" s="4970">
        <v>0</v>
      </c>
      <c r="AD96" s="4970">
        <v>0</v>
      </c>
      <c r="AE96" s="4967">
        <v>0</v>
      </c>
      <c r="AF96" s="4984">
        <v>0</v>
      </c>
      <c r="AH96" s="5085">
        <v>0</v>
      </c>
      <c r="AI96" s="5059">
        <v>1</v>
      </c>
      <c r="AJ96" s="5059"/>
      <c r="AK96" s="5059"/>
      <c r="AL96" s="5059"/>
      <c r="AM96" s="5059"/>
      <c r="AN96" s="5059"/>
      <c r="AO96" s="5059"/>
      <c r="AP96" s="5059"/>
      <c r="AQ96" s="5059"/>
      <c r="AR96" s="5059"/>
      <c r="AS96" s="5059"/>
      <c r="AT96" s="4967"/>
      <c r="AU96" s="4984">
        <f t="shared" si="39"/>
        <v>0.5</v>
      </c>
      <c r="AW96" s="5609">
        <v>0</v>
      </c>
      <c r="AX96" s="5042">
        <v>0</v>
      </c>
      <c r="AY96" s="5042"/>
      <c r="AZ96" s="5042"/>
      <c r="BA96" s="5042"/>
      <c r="BB96" s="5042"/>
      <c r="BC96" s="5042"/>
      <c r="BD96" s="5042"/>
      <c r="BE96" s="5042"/>
      <c r="BF96" s="5042"/>
      <c r="BG96" s="5042"/>
      <c r="BH96" s="5042"/>
      <c r="BI96" s="4967"/>
      <c r="BJ96" s="4984">
        <f t="shared" si="35"/>
        <v>0</v>
      </c>
      <c r="BL96" s="5086"/>
      <c r="BM96" s="5087">
        <f t="shared" si="36"/>
        <v>-1</v>
      </c>
      <c r="BN96" s="5087">
        <f t="shared" si="37"/>
        <v>-0.5</v>
      </c>
      <c r="BO96" s="5088">
        <f>IFERROR(
  SUM(
    _xlfn.XLOOKUP(DATE(YEAR($A$1),1,1),$2:$2,96:96):
    _xlfn.XLOOKUP($A$1,$2:$2,96:96)
  )
 -SUM(
    _xlfn.XLOOKUP(DATE(YEAR($A$1)-1,1,1),$2:$2,96:96):
    _xlfn.XLOOKUP(EDATE($A$1,-12),$2:$2,96:96)
  ),"")</f>
        <v>-1</v>
      </c>
      <c r="BP96" s="5089">
        <f t="shared" si="38"/>
        <v>0</v>
      </c>
    </row>
    <row r="97" spans="1:68" x14ac:dyDescent="0.55000000000000004">
      <c r="A97" s="7444"/>
      <c r="B97" s="5082"/>
      <c r="C97" s="5110" t="s">
        <v>989</v>
      </c>
      <c r="D97" s="5084"/>
      <c r="E97" s="4970"/>
      <c r="F97" s="4970"/>
      <c r="G97" s="4970"/>
      <c r="H97" s="4970"/>
      <c r="I97" s="4970"/>
      <c r="J97" s="4970"/>
      <c r="K97" s="4970"/>
      <c r="L97" s="4970"/>
      <c r="M97" s="4970"/>
      <c r="N97" s="4970"/>
      <c r="O97" s="4970"/>
      <c r="P97" s="4967"/>
      <c r="Q97" s="4984"/>
      <c r="S97" s="5084">
        <v>0</v>
      </c>
      <c r="T97" s="4970">
        <v>0</v>
      </c>
      <c r="U97" s="4970">
        <v>0</v>
      </c>
      <c r="V97" s="4970">
        <v>0</v>
      </c>
      <c r="W97" s="4970">
        <v>0</v>
      </c>
      <c r="X97" s="4970">
        <v>0</v>
      </c>
      <c r="Y97" s="4970">
        <v>0</v>
      </c>
      <c r="Z97" s="4970">
        <v>0</v>
      </c>
      <c r="AA97" s="4970">
        <v>0</v>
      </c>
      <c r="AB97" s="4970">
        <v>0</v>
      </c>
      <c r="AC97" s="4970">
        <v>0</v>
      </c>
      <c r="AD97" s="4970">
        <v>0</v>
      </c>
      <c r="AE97" s="4967">
        <v>0</v>
      </c>
      <c r="AF97" s="4984">
        <v>0</v>
      </c>
      <c r="AH97" s="5111">
        <v>0</v>
      </c>
      <c r="AI97" s="5097">
        <v>0.25</v>
      </c>
      <c r="AJ97" s="5097">
        <v>0</v>
      </c>
      <c r="AK97" s="5097">
        <v>0</v>
      </c>
      <c r="AL97" s="5097">
        <v>0</v>
      </c>
      <c r="AM97" s="5097">
        <v>0</v>
      </c>
      <c r="AN97" s="5097"/>
      <c r="AO97" s="5097"/>
      <c r="AP97" s="5097"/>
      <c r="AQ97" s="5097"/>
      <c r="AR97" s="5097"/>
      <c r="AS97" s="5097"/>
      <c r="AT97" s="4967"/>
      <c r="AU97" s="5063">
        <f t="shared" si="39"/>
        <v>4.1666666666666664E-2</v>
      </c>
      <c r="AW97" s="5614">
        <v>0</v>
      </c>
      <c r="AX97" s="5611">
        <v>0</v>
      </c>
      <c r="AY97" s="5611"/>
      <c r="AZ97" s="5611"/>
      <c r="BA97" s="5611"/>
      <c r="BB97" s="5611"/>
      <c r="BC97" s="5611"/>
      <c r="BD97" s="5611"/>
      <c r="BE97" s="5611"/>
      <c r="BF97" s="5611"/>
      <c r="BG97" s="5611"/>
      <c r="BH97" s="5611"/>
      <c r="BI97" s="4967"/>
      <c r="BJ97" s="5063">
        <f t="shared" si="35"/>
        <v>0</v>
      </c>
      <c r="BL97" s="5086"/>
      <c r="BM97" s="5087">
        <f t="shared" si="36"/>
        <v>-0.25</v>
      </c>
      <c r="BN97" s="5087">
        <f t="shared" si="37"/>
        <v>-4.1666666666666664E-2</v>
      </c>
      <c r="BO97" s="5088">
        <f>IFERROR(
  SUM(
    _xlfn.XLOOKUP(DATE(YEAR($A$1),1,1),$2:$2,97:97):
    _xlfn.XLOOKUP($A$1,$2:$2,97:97)
  )
 -SUM(
    _xlfn.XLOOKUP(DATE(YEAR($A$1)-1,1,1),$2:$2,97:97):
    _xlfn.XLOOKUP(EDATE($A$1,-12),$2:$2,97:97)
  ),"")</f>
        <v>-0.25</v>
      </c>
      <c r="BP97" s="5017">
        <f t="shared" si="38"/>
        <v>0</v>
      </c>
    </row>
    <row r="98" spans="1:68" x14ac:dyDescent="0.55000000000000004">
      <c r="A98" s="7444"/>
      <c r="B98" s="5112" t="s">
        <v>975</v>
      </c>
      <c r="C98" s="5113"/>
      <c r="D98" s="5114">
        <v>1</v>
      </c>
      <c r="E98" s="5115">
        <v>3</v>
      </c>
      <c r="F98" s="5115">
        <v>4</v>
      </c>
      <c r="G98" s="5115">
        <v>2</v>
      </c>
      <c r="H98" s="5115">
        <v>1</v>
      </c>
      <c r="I98" s="5115">
        <v>2</v>
      </c>
      <c r="J98" s="5115">
        <v>3</v>
      </c>
      <c r="K98" s="5115">
        <v>4</v>
      </c>
      <c r="L98" s="5115">
        <v>0</v>
      </c>
      <c r="M98" s="5115">
        <v>2</v>
      </c>
      <c r="N98" s="5115">
        <v>2</v>
      </c>
      <c r="O98" s="5115">
        <v>1</v>
      </c>
      <c r="P98" s="5116">
        <f>SUM(D98:O98)</f>
        <v>25</v>
      </c>
      <c r="Q98" s="5117">
        <v>2.0833333333333335</v>
      </c>
      <c r="S98" s="5114">
        <v>3</v>
      </c>
      <c r="T98" s="5115">
        <v>2</v>
      </c>
      <c r="U98" s="5115">
        <v>3</v>
      </c>
      <c r="V98" s="5115">
        <v>5</v>
      </c>
      <c r="W98" s="5115">
        <v>1</v>
      </c>
      <c r="X98" s="5115">
        <v>20</v>
      </c>
      <c r="Y98" s="5115">
        <v>2</v>
      </c>
      <c r="Z98" s="5115">
        <v>24</v>
      </c>
      <c r="AA98" s="5115">
        <v>4</v>
      </c>
      <c r="AB98" s="5115">
        <v>10</v>
      </c>
      <c r="AC98" s="5115">
        <v>5</v>
      </c>
      <c r="AD98" s="5115">
        <v>4</v>
      </c>
      <c r="AE98" s="5116">
        <v>83</v>
      </c>
      <c r="AF98" s="5117">
        <v>6.916666666666667</v>
      </c>
      <c r="AH98" s="5118">
        <v>2</v>
      </c>
      <c r="AI98" s="5115">
        <v>4</v>
      </c>
      <c r="AJ98" s="5115">
        <v>5</v>
      </c>
      <c r="AK98" s="5115">
        <v>3</v>
      </c>
      <c r="AL98" s="5115">
        <v>6</v>
      </c>
      <c r="AM98" s="5115">
        <v>4</v>
      </c>
      <c r="AN98" s="5115">
        <v>3</v>
      </c>
      <c r="AO98" s="5115">
        <v>7</v>
      </c>
      <c r="AP98" s="5115">
        <v>3</v>
      </c>
      <c r="AQ98" s="5115">
        <v>3</v>
      </c>
      <c r="AR98" s="5115">
        <v>2</v>
      </c>
      <c r="AS98" s="5115">
        <v>2</v>
      </c>
      <c r="AT98" s="5116"/>
      <c r="AU98" s="5117">
        <f t="shared" si="39"/>
        <v>3.6666666666666665</v>
      </c>
      <c r="AW98" s="5118">
        <v>1</v>
      </c>
      <c r="AX98" s="5115">
        <v>6</v>
      </c>
      <c r="AY98" s="5115"/>
      <c r="AZ98" s="5115"/>
      <c r="BA98" s="5115"/>
      <c r="BB98" s="5115"/>
      <c r="BC98" s="5115"/>
      <c r="BD98" s="5115"/>
      <c r="BE98" s="5115"/>
      <c r="BF98" s="5115"/>
      <c r="BG98" s="5115"/>
      <c r="BH98" s="5115"/>
      <c r="BI98" s="5116"/>
      <c r="BJ98" s="5117">
        <f t="shared" si="35"/>
        <v>3.5</v>
      </c>
      <c r="BL98" s="5119"/>
      <c r="BM98" s="5120">
        <f t="shared" si="36"/>
        <v>2</v>
      </c>
      <c r="BN98" s="5120">
        <f t="shared" si="37"/>
        <v>-0.16666666666666652</v>
      </c>
      <c r="BO98" s="5121">
        <f>IFERROR(
  SUM(
    _xlfn.XLOOKUP(DATE(YEAR($A$1),1,1),$2:$2,98:98):
    _xlfn.XLOOKUP($A$1,$2:$2,98:98)
  )
 -SUM(
    _xlfn.XLOOKUP(DATE(YEAR($A$1)-1,1,1),$2:$2,98:98):
    _xlfn.XLOOKUP(EDATE($A$1,-12),$2:$2,98:98)
  ),"")</f>
        <v>1</v>
      </c>
      <c r="BP98" s="5122">
        <f t="shared" si="38"/>
        <v>5</v>
      </c>
    </row>
    <row r="99" spans="1:68" x14ac:dyDescent="0.55000000000000004">
      <c r="A99" s="7444"/>
      <c r="B99" s="5031" t="s">
        <v>988</v>
      </c>
      <c r="C99" s="5019"/>
      <c r="D99" s="5032">
        <v>8.0000000000000002E-3</v>
      </c>
      <c r="E99" s="5033">
        <v>2.4193548387096774E-2</v>
      </c>
      <c r="F99" s="5033">
        <v>3.2258064516129031E-2</v>
      </c>
      <c r="G99" s="5033">
        <v>1.6260162601626018E-2</v>
      </c>
      <c r="H99" s="5033">
        <v>8.2644628099173556E-3</v>
      </c>
      <c r="I99" s="5033">
        <v>1.6393442622950821E-2</v>
      </c>
      <c r="J99" s="5033">
        <v>2.4793388429752067E-2</v>
      </c>
      <c r="K99" s="5033">
        <v>3.3898305084745763E-2</v>
      </c>
      <c r="L99" s="5033">
        <v>0</v>
      </c>
      <c r="M99" s="5033">
        <v>1.6949152542372881E-2</v>
      </c>
      <c r="N99" s="5033">
        <v>1.6949152542372881E-2</v>
      </c>
      <c r="O99" s="5033">
        <v>8.4033613445378148E-3</v>
      </c>
      <c r="P99" s="5022"/>
      <c r="Q99" s="5033">
        <v>1.7196920073458452E-2</v>
      </c>
      <c r="S99" s="5032">
        <v>2.3809523809523808E-2</v>
      </c>
      <c r="T99" s="5033">
        <v>1.6129032258064516E-2</v>
      </c>
      <c r="U99" s="5033">
        <v>2.4590163934426229E-2</v>
      </c>
      <c r="V99" s="5033">
        <v>4.1322314049586778E-2</v>
      </c>
      <c r="W99" s="5033">
        <v>8.5470085470085479E-3</v>
      </c>
      <c r="X99" s="5033">
        <v>0.14492753623188406</v>
      </c>
      <c r="Y99" s="5033">
        <v>1.8181818181818181E-2</v>
      </c>
      <c r="Z99" s="5033">
        <v>0.17391304347826086</v>
      </c>
      <c r="AA99" s="5033">
        <v>3.7735849056603772E-2</v>
      </c>
      <c r="AB99" s="5033">
        <v>9.5238095238095233E-2</v>
      </c>
      <c r="AC99" s="5033">
        <v>4.5045045045045043E-2</v>
      </c>
      <c r="AD99" s="5033">
        <v>3.3333333333333333E-2</v>
      </c>
      <c r="AE99" s="5022"/>
      <c r="AF99" s="5033">
        <v>5.5231063596970859E-2</v>
      </c>
      <c r="AH99" s="5034">
        <v>1.6129032258064516E-2</v>
      </c>
      <c r="AI99" s="5035">
        <v>3.0769230769230771E-2</v>
      </c>
      <c r="AJ99" s="5035">
        <v>3.6231884057971016E-2</v>
      </c>
      <c r="AK99" s="5035">
        <v>2.0547945205479451E-2</v>
      </c>
      <c r="AL99" s="5035">
        <v>3.9473684210526314E-2</v>
      </c>
      <c r="AM99" s="5035">
        <v>2.6490066225165563E-2</v>
      </c>
      <c r="AN99" s="5035">
        <v>1.9607843137254902E-2</v>
      </c>
      <c r="AO99" s="5035">
        <v>4.4871794871794872E-2</v>
      </c>
      <c r="AP99" s="5035">
        <v>1.9867549668874173E-2</v>
      </c>
      <c r="AQ99" s="5035">
        <v>2.0134228187919462E-2</v>
      </c>
      <c r="AR99" s="5035">
        <v>1.3513513513513514E-2</v>
      </c>
      <c r="AS99" s="5035">
        <v>1.3605442176870748E-2</v>
      </c>
      <c r="AT99" s="5022"/>
      <c r="AU99" s="5023">
        <f t="shared" si="39"/>
        <v>2.5103517856888774E-2</v>
      </c>
      <c r="AW99" s="5034">
        <v>6.4935064935064939E-3</v>
      </c>
      <c r="AX99" s="5035">
        <v>3.8461538461538464E-2</v>
      </c>
      <c r="AY99" s="5035"/>
      <c r="AZ99" s="5035"/>
      <c r="BA99" s="5035"/>
      <c r="BB99" s="5035"/>
      <c r="BC99" s="5035"/>
      <c r="BD99" s="5035"/>
      <c r="BE99" s="5035"/>
      <c r="BF99" s="5035"/>
      <c r="BG99" s="5035"/>
      <c r="BH99" s="5035"/>
      <c r="BI99" s="5022"/>
      <c r="BJ99" s="5023">
        <f t="shared" si="35"/>
        <v>2.247752247752248E-2</v>
      </c>
      <c r="BL99" s="5036"/>
      <c r="BM99" s="5037">
        <f t="shared" si="36"/>
        <v>7.6923076923076927E-3</v>
      </c>
      <c r="BN99" s="5037">
        <f t="shared" si="37"/>
        <v>-2.6259953793662943E-3</v>
      </c>
      <c r="BO99" s="5038">
        <f>IFERROR(
  SUM(
    _xlfn.XLOOKUP(DATE(YEAR($A$1),1,1),$2:$2,99:99):
    _xlfn.XLOOKUP($A$1,$2:$2,99:99)
  )
 -SUM(
    _xlfn.XLOOKUP(DATE(YEAR($A$1)-1,1,1),$2:$2,99:99):
    _xlfn.XLOOKUP(EDATE($A$1,-12),$2:$2,99:99)
  ),"")</f>
        <v>-1.9432180722503273E-3</v>
      </c>
      <c r="BP99" s="5039">
        <f t="shared" si="38"/>
        <v>3.1968031968031968E-2</v>
      </c>
    </row>
    <row r="100" spans="1:68" x14ac:dyDescent="0.55000000000000004">
      <c r="A100" s="7444"/>
      <c r="B100" s="4963"/>
      <c r="C100" s="5040" t="s">
        <v>982</v>
      </c>
      <c r="D100" s="5041"/>
      <c r="E100" s="5042"/>
      <c r="F100" s="5042"/>
      <c r="G100" s="5042"/>
      <c r="H100" s="5042"/>
      <c r="I100" s="5042"/>
      <c r="J100" s="5042"/>
      <c r="K100" s="5042"/>
      <c r="L100" s="5042"/>
      <c r="M100" s="5042"/>
      <c r="N100" s="5042"/>
      <c r="O100" s="5042"/>
      <c r="P100" s="5043"/>
      <c r="Q100" s="5044"/>
      <c r="S100" s="5041">
        <v>3</v>
      </c>
      <c r="T100" s="5042">
        <v>2</v>
      </c>
      <c r="U100" s="5042" t="s">
        <v>777</v>
      </c>
      <c r="V100" s="5042">
        <v>1</v>
      </c>
      <c r="W100" s="5042">
        <v>0</v>
      </c>
      <c r="X100" s="5042">
        <v>0</v>
      </c>
      <c r="Y100" s="5042">
        <v>2</v>
      </c>
      <c r="Z100" s="5042">
        <v>8</v>
      </c>
      <c r="AA100" s="5042">
        <v>3</v>
      </c>
      <c r="AB100" s="5042">
        <v>6</v>
      </c>
      <c r="AC100" s="5042">
        <v>4</v>
      </c>
      <c r="AD100" s="5042">
        <v>2</v>
      </c>
      <c r="AE100" s="5043">
        <v>31</v>
      </c>
      <c r="AF100" s="5044">
        <v>2.5833333333333335</v>
      </c>
      <c r="AH100" s="5058">
        <v>2</v>
      </c>
      <c r="AI100" s="5059">
        <v>3</v>
      </c>
      <c r="AJ100" s="5059">
        <v>3</v>
      </c>
      <c r="AK100" s="5059">
        <v>1</v>
      </c>
      <c r="AL100" s="5059">
        <v>6</v>
      </c>
      <c r="AM100" s="5059">
        <v>3</v>
      </c>
      <c r="AN100" s="5059">
        <v>1</v>
      </c>
      <c r="AO100" s="5059">
        <v>5</v>
      </c>
      <c r="AP100" s="5059">
        <v>1</v>
      </c>
      <c r="AQ100" s="5059">
        <v>2</v>
      </c>
      <c r="AR100" s="5059">
        <v>1</v>
      </c>
      <c r="AS100" s="5059"/>
      <c r="AT100" s="5043"/>
      <c r="AU100" s="5044">
        <f t="shared" si="39"/>
        <v>2.5454545454545454</v>
      </c>
      <c r="AW100" s="5605">
        <v>1</v>
      </c>
      <c r="AX100" s="5042">
        <v>1</v>
      </c>
      <c r="AY100" s="5042"/>
      <c r="AZ100" s="5042"/>
      <c r="BA100" s="5042"/>
      <c r="BB100" s="5042"/>
      <c r="BC100" s="5042"/>
      <c r="BD100" s="5042"/>
      <c r="BE100" s="5042"/>
      <c r="BF100" s="5042"/>
      <c r="BG100" s="5042"/>
      <c r="BH100" s="5042"/>
      <c r="BI100" s="5043"/>
      <c r="BJ100" s="5044">
        <f t="shared" si="35"/>
        <v>1</v>
      </c>
      <c r="BL100" s="5046"/>
      <c r="BM100" s="5087">
        <f t="shared" si="36"/>
        <v>-2</v>
      </c>
      <c r="BN100" s="5047">
        <f t="shared" si="37"/>
        <v>-1.5454545454545454</v>
      </c>
      <c r="BO100" s="5060">
        <f>IFERROR(
  SUM(
    _xlfn.XLOOKUP(DATE(YEAR($A$1),1,1),$2:$2,100:100):
    _xlfn.XLOOKUP($A$1,$2:$2,100:100)
  )
 -SUM(
    _xlfn.XLOOKUP(DATE(YEAR($A$1)-1,1,1),$2:$2,100:100):
    _xlfn.XLOOKUP(EDATE($A$1,-12),$2:$2,100:100)
  ),"")</f>
        <v>-3</v>
      </c>
      <c r="BP100" s="5049">
        <f t="shared" si="38"/>
        <v>0</v>
      </c>
    </row>
    <row r="101" spans="1:68" ht="15.45" thickBot="1" x14ac:dyDescent="0.6">
      <c r="A101" s="7454"/>
      <c r="B101" s="5123"/>
      <c r="C101" s="5124" t="s">
        <v>990</v>
      </c>
      <c r="D101" s="5125"/>
      <c r="E101" s="1736"/>
      <c r="F101" s="1736"/>
      <c r="G101" s="1736"/>
      <c r="H101" s="1736"/>
      <c r="I101" s="1736"/>
      <c r="J101" s="1736"/>
      <c r="K101" s="1736"/>
      <c r="L101" s="1736"/>
      <c r="M101" s="1736"/>
      <c r="N101" s="1736"/>
      <c r="O101" s="1736"/>
      <c r="P101" s="1736"/>
      <c r="Q101" s="1736"/>
      <c r="S101" s="5125">
        <v>1</v>
      </c>
      <c r="T101" s="1736">
        <v>1</v>
      </c>
      <c r="U101" s="1736"/>
      <c r="V101" s="1736">
        <v>0.2</v>
      </c>
      <c r="W101" s="1736"/>
      <c r="X101" s="1736"/>
      <c r="Y101" s="1736">
        <v>1</v>
      </c>
      <c r="Z101" s="1736">
        <v>0.33333333333333331</v>
      </c>
      <c r="AA101" s="1736">
        <v>0.75</v>
      </c>
      <c r="AB101" s="1736">
        <v>0.6</v>
      </c>
      <c r="AC101" s="1736">
        <v>0.8</v>
      </c>
      <c r="AD101" s="1736">
        <v>0.5</v>
      </c>
      <c r="AE101" s="5126"/>
      <c r="AF101" s="1736">
        <v>0.37349397590361444</v>
      </c>
      <c r="AH101" s="5127">
        <v>1</v>
      </c>
      <c r="AI101" s="5128">
        <v>0.75</v>
      </c>
      <c r="AJ101" s="5128">
        <v>0.6</v>
      </c>
      <c r="AK101" s="5128">
        <v>0.33333333333333331</v>
      </c>
      <c r="AL101" s="5128">
        <v>1</v>
      </c>
      <c r="AM101" s="5128">
        <v>0.75</v>
      </c>
      <c r="AN101" s="5128">
        <v>0.5</v>
      </c>
      <c r="AO101" s="5128">
        <v>0.7142857142857143</v>
      </c>
      <c r="AP101" s="5128">
        <v>0.33333333333333331</v>
      </c>
      <c r="AQ101" s="5128">
        <v>0.66666666666666663</v>
      </c>
      <c r="AR101" s="5128">
        <v>0.5</v>
      </c>
      <c r="AS101" s="5128">
        <v>0</v>
      </c>
      <c r="AT101" s="5126"/>
      <c r="AU101" s="1736">
        <f t="shared" si="39"/>
        <v>0.59563492063492063</v>
      </c>
      <c r="AW101" s="5615">
        <v>1</v>
      </c>
      <c r="AX101" s="1736">
        <v>0.16666666666666666</v>
      </c>
      <c r="AY101" s="1736"/>
      <c r="AZ101" s="1736"/>
      <c r="BA101" s="1736"/>
      <c r="BB101" s="1736"/>
      <c r="BC101" s="1736"/>
      <c r="BD101" s="1736"/>
      <c r="BE101" s="1736"/>
      <c r="BF101" s="1736"/>
      <c r="BG101" s="1736"/>
      <c r="BH101" s="1736"/>
      <c r="BI101" s="5126"/>
      <c r="BJ101" s="1736">
        <f t="shared" si="35"/>
        <v>0.58333333333333337</v>
      </c>
      <c r="BL101" s="5014"/>
      <c r="BM101" s="5015">
        <f t="shared" si="36"/>
        <v>-0.58333333333333337</v>
      </c>
      <c r="BN101" s="5015">
        <f t="shared" si="37"/>
        <v>-1.2301587301587258E-2</v>
      </c>
      <c r="BO101" s="5016">
        <f>IFERROR(
  SUM(
    _xlfn.XLOOKUP(DATE(YEAR($A$1),1,1),$2:$2,101:101):
    _xlfn.XLOOKUP($A$1,$2:$2,101:101)
  )
 -SUM(
    _xlfn.XLOOKUP(DATE(YEAR($A$1)-1,1,1),$2:$2,101:101):
    _xlfn.XLOOKUP(EDATE($A$1,-12),$2:$2,101:101)
  ),"")</f>
        <v>-0.58333333333333326</v>
      </c>
      <c r="BP101" s="5017">
        <f t="shared" si="38"/>
        <v>-0.83333333333333337</v>
      </c>
    </row>
    <row r="102" spans="1:68" ht="16.75" thickBot="1" x14ac:dyDescent="0.6"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94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4916"/>
      <c r="AD102" s="567"/>
      <c r="AE102" s="567"/>
      <c r="AF102" s="4917"/>
      <c r="AG102" s="594"/>
      <c r="AH102" s="4916"/>
      <c r="AI102" s="567"/>
      <c r="AJ102" s="567"/>
      <c r="AK102" s="5129"/>
      <c r="AL102" s="567"/>
      <c r="AM102" s="567"/>
      <c r="AN102" s="567"/>
      <c r="AO102" s="567"/>
      <c r="AP102" s="567"/>
      <c r="AQ102" s="567"/>
      <c r="AR102" s="4916"/>
      <c r="AS102" s="567"/>
      <c r="AT102" s="567"/>
      <c r="AU102" s="4917"/>
      <c r="AV102" s="594"/>
      <c r="AW102" s="4916"/>
      <c r="AX102" s="567"/>
      <c r="AY102" s="567"/>
      <c r="AZ102" s="5129"/>
      <c r="BA102" s="567"/>
      <c r="BB102" s="567"/>
      <c r="BC102" s="567"/>
      <c r="BD102" s="567"/>
      <c r="BE102" s="567"/>
      <c r="BF102" s="567"/>
      <c r="BG102" s="4916"/>
      <c r="BH102" s="567"/>
      <c r="BI102" s="567"/>
      <c r="BJ102" s="4917"/>
      <c r="BL102" s="5130" t="s">
        <v>221</v>
      </c>
      <c r="BM102" s="4845" t="s">
        <v>1013</v>
      </c>
      <c r="BN102" s="4845" t="s">
        <v>223</v>
      </c>
      <c r="BO102" s="4845" t="s">
        <v>233</v>
      </c>
      <c r="BP102" s="4846" t="s">
        <v>224</v>
      </c>
    </row>
    <row r="103" spans="1:68" x14ac:dyDescent="0.55000000000000004">
      <c r="A103" s="7459" t="s">
        <v>205</v>
      </c>
      <c r="B103" s="5131" t="s">
        <v>239</v>
      </c>
      <c r="C103" s="5132"/>
      <c r="D103" s="5133">
        <f t="shared" ref="D103:N103" si="41">SUM(D104:D108)</f>
        <v>1146</v>
      </c>
      <c r="E103" s="5133">
        <f t="shared" si="41"/>
        <v>1138</v>
      </c>
      <c r="F103" s="5133">
        <f t="shared" si="41"/>
        <v>1132</v>
      </c>
      <c r="G103" s="5133">
        <f t="shared" si="41"/>
        <v>1123</v>
      </c>
      <c r="H103" s="5133">
        <f t="shared" si="41"/>
        <v>1136</v>
      </c>
      <c r="I103" s="5133">
        <f t="shared" si="41"/>
        <v>1125</v>
      </c>
      <c r="J103" s="5133">
        <f t="shared" si="41"/>
        <v>1106</v>
      </c>
      <c r="K103" s="5133">
        <f>SUM(K104:K108)</f>
        <v>1112</v>
      </c>
      <c r="L103" s="5133">
        <f t="shared" si="41"/>
        <v>1095</v>
      </c>
      <c r="M103" s="5133">
        <f t="shared" si="41"/>
        <v>1101</v>
      </c>
      <c r="N103" s="5133">
        <f t="shared" si="41"/>
        <v>1103</v>
      </c>
      <c r="O103" s="5133">
        <f>SUM(O104:O108)</f>
        <v>1191</v>
      </c>
      <c r="P103" s="5132"/>
      <c r="Q103" s="5134">
        <f t="shared" ref="Q103:Q118" si="42">AVERAGE(D103:O103)</f>
        <v>1125.6666666666667</v>
      </c>
      <c r="S103" s="5133">
        <f t="shared" ref="S103:Z103" si="43">SUM(S104:S108)</f>
        <v>1032</v>
      </c>
      <c r="T103" s="5133">
        <f t="shared" si="43"/>
        <v>1044</v>
      </c>
      <c r="U103" s="5133">
        <f t="shared" si="43"/>
        <v>1048</v>
      </c>
      <c r="V103" s="5133">
        <f t="shared" si="43"/>
        <v>1072</v>
      </c>
      <c r="W103" s="5133">
        <f t="shared" si="43"/>
        <v>1091</v>
      </c>
      <c r="X103" s="5135">
        <f t="shared" si="43"/>
        <v>1076</v>
      </c>
      <c r="Y103" s="5135">
        <f t="shared" si="43"/>
        <v>1086</v>
      </c>
      <c r="Z103" s="5135">
        <f t="shared" si="43"/>
        <v>1080</v>
      </c>
      <c r="AA103" s="5135">
        <f>SUM(AA104:AA108)</f>
        <v>1103</v>
      </c>
      <c r="AB103" s="5135">
        <f>SUM(AB104:AB108)</f>
        <v>1117</v>
      </c>
      <c r="AC103" s="5136">
        <v>1121</v>
      </c>
      <c r="AD103" s="5133">
        <v>1132</v>
      </c>
      <c r="AE103" s="5132"/>
      <c r="AF103" s="3680">
        <f t="shared" ref="AF103:AF118" si="44">AVERAGE(S103:AE103)</f>
        <v>1083.5</v>
      </c>
      <c r="AG103" s="594"/>
      <c r="AH103" s="5137">
        <v>1139</v>
      </c>
      <c r="AI103" s="5133">
        <v>1117</v>
      </c>
      <c r="AJ103" s="5133">
        <v>1119</v>
      </c>
      <c r="AK103" s="5133">
        <v>1112</v>
      </c>
      <c r="AL103" s="5133">
        <v>1098</v>
      </c>
      <c r="AM103" s="5135">
        <v>1094</v>
      </c>
      <c r="AN103" s="5135">
        <v>1084</v>
      </c>
      <c r="AO103" s="5135">
        <v>1070</v>
      </c>
      <c r="AP103" s="5135">
        <v>1071</v>
      </c>
      <c r="AQ103" s="5135">
        <v>1058</v>
      </c>
      <c r="AR103" s="5136">
        <v>1059</v>
      </c>
      <c r="AS103" s="5133">
        <v>1085</v>
      </c>
      <c r="AT103" s="5132"/>
      <c r="AU103" s="3680">
        <f t="shared" ref="AU103:AU138" si="45">AVERAGE(AH103:AS103)</f>
        <v>1092.1666666666667</v>
      </c>
      <c r="AV103" s="594"/>
      <c r="AW103" s="5137">
        <v>1106</v>
      </c>
      <c r="AX103" s="5133">
        <v>1109</v>
      </c>
      <c r="AY103" s="5133"/>
      <c r="AZ103" s="5133"/>
      <c r="BA103" s="5133"/>
      <c r="BB103" s="5135"/>
      <c r="BC103" s="5135"/>
      <c r="BD103" s="5135"/>
      <c r="BE103" s="5135"/>
      <c r="BF103" s="5135"/>
      <c r="BG103" s="5136"/>
      <c r="BH103" s="5133"/>
      <c r="BI103" s="5132"/>
      <c r="BJ103" s="3680">
        <f t="shared" ref="BJ103:BJ138" si="46">AVERAGE(AW103:BI103)</f>
        <v>1107.5</v>
      </c>
      <c r="BL103" s="5138">
        <v>1066</v>
      </c>
      <c r="BM103" s="5139">
        <f>BL103-_xlfn.XLOOKUP($A$1,$2:$2,103:103)</f>
        <v>-43</v>
      </c>
      <c r="BN103" s="5140">
        <f t="shared" ref="BN103:BN124" si="47">AW103/BL103</f>
        <v>1.0375234521575984</v>
      </c>
      <c r="BO103" s="5141">
        <f>SUM(BO104:BO108)</f>
        <v>252</v>
      </c>
      <c r="BP103" s="5142">
        <f t="shared" ref="BP103:BP125" si="48">AW103/BO103</f>
        <v>4.3888888888888893</v>
      </c>
    </row>
    <row r="104" spans="1:68" x14ac:dyDescent="0.55000000000000004">
      <c r="A104" s="7439"/>
      <c r="B104" s="5143" t="s">
        <v>206</v>
      </c>
      <c r="C104" s="1799"/>
      <c r="D104" s="5144">
        <f t="shared" ref="D104:M104" si="49">D109+D110</f>
        <v>185</v>
      </c>
      <c r="E104" s="5144">
        <f t="shared" si="49"/>
        <v>190</v>
      </c>
      <c r="F104" s="5144">
        <f t="shared" si="49"/>
        <v>186</v>
      </c>
      <c r="G104" s="5144">
        <f t="shared" si="49"/>
        <v>183</v>
      </c>
      <c r="H104" s="5144">
        <f t="shared" si="49"/>
        <v>185</v>
      </c>
      <c r="I104" s="5144">
        <f t="shared" si="49"/>
        <v>185</v>
      </c>
      <c r="J104" s="5144">
        <f t="shared" si="49"/>
        <v>186</v>
      </c>
      <c r="K104" s="5144">
        <f t="shared" si="49"/>
        <v>187</v>
      </c>
      <c r="L104" s="5144">
        <f t="shared" si="49"/>
        <v>179</v>
      </c>
      <c r="M104" s="5144">
        <f t="shared" si="49"/>
        <v>183</v>
      </c>
      <c r="N104" s="5144">
        <f>N109+N110</f>
        <v>182</v>
      </c>
      <c r="O104" s="5144">
        <f>O109+O110</f>
        <v>225</v>
      </c>
      <c r="P104" s="1799"/>
      <c r="Q104" s="5145">
        <f t="shared" si="42"/>
        <v>188</v>
      </c>
      <c r="S104" s="5144">
        <v>169</v>
      </c>
      <c r="T104" s="5144">
        <v>183</v>
      </c>
      <c r="U104" s="5144">
        <v>192</v>
      </c>
      <c r="V104" s="5144">
        <v>205</v>
      </c>
      <c r="W104" s="5144">
        <v>207</v>
      </c>
      <c r="X104" s="4900">
        <f>SUM(X109:X110)</f>
        <v>211</v>
      </c>
      <c r="Y104" s="4898">
        <f>SUM(Y109:Y110)</f>
        <v>206</v>
      </c>
      <c r="Z104" s="4898">
        <f>SUM(Z109:Z110)</f>
        <v>204</v>
      </c>
      <c r="AA104" s="4898">
        <v>217</v>
      </c>
      <c r="AB104" s="4898">
        <v>216</v>
      </c>
      <c r="AC104" s="4901">
        <v>217</v>
      </c>
      <c r="AD104" s="5144">
        <v>220</v>
      </c>
      <c r="AE104" s="1799"/>
      <c r="AF104" s="5146">
        <f t="shared" si="44"/>
        <v>203.91666666666666</v>
      </c>
      <c r="AG104" s="594"/>
      <c r="AH104" s="5147">
        <v>219</v>
      </c>
      <c r="AI104" s="5144">
        <v>217</v>
      </c>
      <c r="AJ104" s="5144">
        <v>211</v>
      </c>
      <c r="AK104" s="5144">
        <v>208</v>
      </c>
      <c r="AL104" s="5144">
        <v>208</v>
      </c>
      <c r="AM104" s="4898">
        <v>208</v>
      </c>
      <c r="AN104" s="4898">
        <v>208</v>
      </c>
      <c r="AO104" s="4898">
        <v>202</v>
      </c>
      <c r="AP104" s="4898">
        <v>202</v>
      </c>
      <c r="AQ104" s="4898">
        <v>204</v>
      </c>
      <c r="AR104" s="4901">
        <v>204</v>
      </c>
      <c r="AS104" s="5144">
        <v>208</v>
      </c>
      <c r="AT104" s="1799"/>
      <c r="AU104" s="5146">
        <f t="shared" si="45"/>
        <v>208.25</v>
      </c>
      <c r="AV104" s="594"/>
      <c r="AW104" s="5147">
        <v>208</v>
      </c>
      <c r="AX104" s="5144">
        <v>205</v>
      </c>
      <c r="AY104" s="5144"/>
      <c r="AZ104" s="5144"/>
      <c r="BA104" s="5144"/>
      <c r="BB104" s="4898"/>
      <c r="BC104" s="4898"/>
      <c r="BD104" s="4898"/>
      <c r="BE104" s="4898"/>
      <c r="BF104" s="4898"/>
      <c r="BG104" s="4901"/>
      <c r="BH104" s="5144"/>
      <c r="BI104" s="1799"/>
      <c r="BJ104" s="5146">
        <f t="shared" si="46"/>
        <v>206.5</v>
      </c>
      <c r="BL104" s="5148">
        <v>204</v>
      </c>
      <c r="BM104" s="5149">
        <f t="shared" ref="BM104:BM138" si="50">BL104-_xlfn.XLOOKUP($A$1,$2:$2,104:104)</f>
        <v>-1</v>
      </c>
      <c r="BN104" s="5150">
        <f t="shared" si="47"/>
        <v>1.0196078431372548</v>
      </c>
      <c r="BO104" s="5151">
        <f>'※ 팀별 작성_인프라_인력'!BL8</f>
        <v>49</v>
      </c>
      <c r="BP104" s="5152">
        <f t="shared" si="48"/>
        <v>4.2448979591836737</v>
      </c>
    </row>
    <row r="105" spans="1:68" x14ac:dyDescent="0.55000000000000004">
      <c r="A105" s="7439"/>
      <c r="B105" s="5153" t="s">
        <v>207</v>
      </c>
      <c r="C105" s="1576"/>
      <c r="D105" s="4898">
        <f t="shared" ref="D105:M105" si="51">D111+D112+D113+D114</f>
        <v>437</v>
      </c>
      <c r="E105" s="4898">
        <f t="shared" si="51"/>
        <v>435</v>
      </c>
      <c r="F105" s="4898">
        <f t="shared" si="51"/>
        <v>437</v>
      </c>
      <c r="G105" s="4898">
        <f t="shared" si="51"/>
        <v>436</v>
      </c>
      <c r="H105" s="4898">
        <f t="shared" si="51"/>
        <v>438</v>
      </c>
      <c r="I105" s="4898">
        <f t="shared" si="51"/>
        <v>433</v>
      </c>
      <c r="J105" s="4898">
        <f t="shared" si="51"/>
        <v>425</v>
      </c>
      <c r="K105" s="4898">
        <f t="shared" si="51"/>
        <v>426</v>
      </c>
      <c r="L105" s="4898">
        <f t="shared" si="51"/>
        <v>426</v>
      </c>
      <c r="M105" s="4898">
        <f t="shared" si="51"/>
        <v>429</v>
      </c>
      <c r="N105" s="4898">
        <f>N111+N112+N113+N114</f>
        <v>434</v>
      </c>
      <c r="O105" s="4898">
        <f>O111+O112</f>
        <v>200</v>
      </c>
      <c r="P105" s="1576"/>
      <c r="Q105" s="5154">
        <f t="shared" si="42"/>
        <v>413</v>
      </c>
      <c r="S105" s="4900">
        <v>180</v>
      </c>
      <c r="T105" s="4898">
        <v>183</v>
      </c>
      <c r="U105" s="4898">
        <v>179</v>
      </c>
      <c r="V105" s="4898">
        <v>184</v>
      </c>
      <c r="W105" s="4900">
        <v>190</v>
      </c>
      <c r="X105" s="4900">
        <f>SUM(X111:X112)</f>
        <v>183</v>
      </c>
      <c r="Y105" s="4898">
        <f>SUM(Y111:Y112)</f>
        <v>184</v>
      </c>
      <c r="Z105" s="4898">
        <f>SUM(Z111:Z112)</f>
        <v>182</v>
      </c>
      <c r="AA105" s="4898">
        <v>186</v>
      </c>
      <c r="AB105" s="4898">
        <v>184</v>
      </c>
      <c r="AC105" s="4901">
        <v>185</v>
      </c>
      <c r="AD105" s="4900">
        <v>185</v>
      </c>
      <c r="AE105" s="1576"/>
      <c r="AF105" s="2895">
        <f t="shared" si="44"/>
        <v>183.75</v>
      </c>
      <c r="AH105" s="4901">
        <v>184</v>
      </c>
      <c r="AI105" s="4898">
        <v>181</v>
      </c>
      <c r="AJ105" s="4898">
        <v>186</v>
      </c>
      <c r="AK105" s="4898">
        <v>181</v>
      </c>
      <c r="AL105" s="4898">
        <v>179</v>
      </c>
      <c r="AM105" s="4898">
        <v>178</v>
      </c>
      <c r="AN105" s="4898">
        <v>172</v>
      </c>
      <c r="AO105" s="4898">
        <v>178</v>
      </c>
      <c r="AP105" s="4898">
        <v>178</v>
      </c>
      <c r="AQ105" s="4898">
        <v>179</v>
      </c>
      <c r="AR105" s="4901">
        <v>181</v>
      </c>
      <c r="AS105" s="4900">
        <v>184</v>
      </c>
      <c r="AT105" s="1576"/>
      <c r="AU105" s="2895">
        <f t="shared" si="45"/>
        <v>180.08333333333334</v>
      </c>
      <c r="AW105" s="4901">
        <v>183</v>
      </c>
      <c r="AX105" s="4898">
        <v>186</v>
      </c>
      <c r="AY105" s="4898"/>
      <c r="AZ105" s="4898"/>
      <c r="BA105" s="4898"/>
      <c r="BB105" s="4898"/>
      <c r="BC105" s="4898"/>
      <c r="BD105" s="4898"/>
      <c r="BE105" s="4898"/>
      <c r="BF105" s="4898"/>
      <c r="BG105" s="4901"/>
      <c r="BH105" s="4900"/>
      <c r="BI105" s="1576"/>
      <c r="BJ105" s="2895">
        <f t="shared" si="46"/>
        <v>184.5</v>
      </c>
      <c r="BL105" s="5155">
        <v>177</v>
      </c>
      <c r="BM105" s="5156">
        <f t="shared" si="50"/>
        <v>-9</v>
      </c>
      <c r="BN105" s="5157">
        <f t="shared" si="47"/>
        <v>1.0338983050847457</v>
      </c>
      <c r="BO105" s="5158">
        <f>'※ 팀별 작성_인프라_인력'!BL9</f>
        <v>42</v>
      </c>
      <c r="BP105" s="5159">
        <f t="shared" si="48"/>
        <v>4.3571428571428568</v>
      </c>
    </row>
    <row r="106" spans="1:68" x14ac:dyDescent="0.55000000000000004">
      <c r="A106" s="7439"/>
      <c r="B106" s="5153" t="s">
        <v>208</v>
      </c>
      <c r="C106" s="1576"/>
      <c r="D106" s="2893"/>
      <c r="E106" s="2893"/>
      <c r="F106" s="2893"/>
      <c r="G106" s="2893"/>
      <c r="H106" s="2893"/>
      <c r="I106" s="2893"/>
      <c r="J106" s="2893"/>
      <c r="K106" s="2893"/>
      <c r="L106" s="2893"/>
      <c r="M106" s="2893"/>
      <c r="N106" s="2893"/>
      <c r="O106" s="4898">
        <f>O113+O114</f>
        <v>266</v>
      </c>
      <c r="P106" s="1576"/>
      <c r="Q106" s="5154">
        <f t="shared" si="42"/>
        <v>266</v>
      </c>
      <c r="S106" s="4900">
        <v>224</v>
      </c>
      <c r="T106" s="4898">
        <v>226</v>
      </c>
      <c r="U106" s="4898">
        <v>226</v>
      </c>
      <c r="V106" s="4898">
        <v>229</v>
      </c>
      <c r="W106" s="4900">
        <v>233</v>
      </c>
      <c r="X106" s="4900">
        <f>SUM(X113:X114)</f>
        <v>232</v>
      </c>
      <c r="Y106" s="4898">
        <f>SUM(Y113:Y114)</f>
        <v>245</v>
      </c>
      <c r="Z106" s="4898">
        <f>SUM(Z113:Z114)</f>
        <v>240</v>
      </c>
      <c r="AA106" s="4898">
        <v>241</v>
      </c>
      <c r="AB106" s="4898">
        <v>242</v>
      </c>
      <c r="AC106" s="4901">
        <v>244</v>
      </c>
      <c r="AD106" s="4900">
        <v>241</v>
      </c>
      <c r="AE106" s="1576"/>
      <c r="AF106" s="2895">
        <f t="shared" si="44"/>
        <v>235.25</v>
      </c>
      <c r="AH106" s="4901">
        <v>245</v>
      </c>
      <c r="AI106" s="4898">
        <v>242</v>
      </c>
      <c r="AJ106" s="4898">
        <v>241</v>
      </c>
      <c r="AK106" s="4898">
        <v>241</v>
      </c>
      <c r="AL106" s="4898">
        <v>241</v>
      </c>
      <c r="AM106" s="4898">
        <v>237</v>
      </c>
      <c r="AN106" s="4898">
        <v>236</v>
      </c>
      <c r="AO106" s="4898">
        <v>227</v>
      </c>
      <c r="AP106" s="4898">
        <v>229</v>
      </c>
      <c r="AQ106" s="4898">
        <v>224</v>
      </c>
      <c r="AR106" s="4901">
        <v>222</v>
      </c>
      <c r="AS106" s="4900">
        <v>231</v>
      </c>
      <c r="AT106" s="1576"/>
      <c r="AU106" s="2895">
        <f t="shared" si="45"/>
        <v>234.66666666666666</v>
      </c>
      <c r="AW106" s="4901">
        <v>237</v>
      </c>
      <c r="AX106" s="4898">
        <v>236</v>
      </c>
      <c r="AY106" s="4898"/>
      <c r="AZ106" s="4898"/>
      <c r="BA106" s="4898"/>
      <c r="BB106" s="4898"/>
      <c r="BC106" s="4898"/>
      <c r="BD106" s="4898"/>
      <c r="BE106" s="4898"/>
      <c r="BF106" s="4898"/>
      <c r="BG106" s="4901"/>
      <c r="BH106" s="4900"/>
      <c r="BI106" s="1576"/>
      <c r="BJ106" s="2895">
        <f t="shared" si="46"/>
        <v>236.5</v>
      </c>
      <c r="BL106" s="5155">
        <v>221</v>
      </c>
      <c r="BM106" s="5156">
        <f t="shared" si="50"/>
        <v>-15</v>
      </c>
      <c r="BN106" s="5157">
        <f t="shared" si="47"/>
        <v>1.0723981900452488</v>
      </c>
      <c r="BO106" s="5158">
        <f>'※ 팀별 작성_인프라_인력'!BL10</f>
        <v>50</v>
      </c>
      <c r="BP106" s="5159">
        <f t="shared" si="48"/>
        <v>4.74</v>
      </c>
    </row>
    <row r="107" spans="1:68" x14ac:dyDescent="0.55000000000000004">
      <c r="A107" s="7439"/>
      <c r="B107" s="5153" t="s">
        <v>209</v>
      </c>
      <c r="C107" s="1576"/>
      <c r="D107" s="4898">
        <f t="shared" ref="D107:N107" si="52">D115+D116</f>
        <v>284</v>
      </c>
      <c r="E107" s="4898">
        <f t="shared" si="52"/>
        <v>286</v>
      </c>
      <c r="F107" s="4898">
        <f t="shared" si="52"/>
        <v>287</v>
      </c>
      <c r="G107" s="4898">
        <f t="shared" si="52"/>
        <v>278</v>
      </c>
      <c r="H107" s="4898">
        <f t="shared" si="52"/>
        <v>281</v>
      </c>
      <c r="I107" s="4898">
        <f t="shared" si="52"/>
        <v>279</v>
      </c>
      <c r="J107" s="4898">
        <f t="shared" si="52"/>
        <v>273</v>
      </c>
      <c r="K107" s="4898">
        <f t="shared" si="52"/>
        <v>273</v>
      </c>
      <c r="L107" s="4898">
        <f t="shared" si="52"/>
        <v>266</v>
      </c>
      <c r="M107" s="4898">
        <f t="shared" si="52"/>
        <v>268</v>
      </c>
      <c r="N107" s="4898">
        <f t="shared" si="52"/>
        <v>266</v>
      </c>
      <c r="O107" s="4898">
        <f>O115+O116</f>
        <v>260</v>
      </c>
      <c r="P107" s="1576"/>
      <c r="Q107" s="5154">
        <f t="shared" si="42"/>
        <v>275.08333333333331</v>
      </c>
      <c r="S107" s="4900">
        <v>245</v>
      </c>
      <c r="T107" s="4898">
        <v>244</v>
      </c>
      <c r="U107" s="4898">
        <v>242</v>
      </c>
      <c r="V107" s="4898">
        <v>243</v>
      </c>
      <c r="W107" s="4900">
        <v>250</v>
      </c>
      <c r="X107" s="4900">
        <f>SUM(X115:X116)</f>
        <v>241</v>
      </c>
      <c r="Y107" s="4898">
        <f>SUM(Y115:Y116)</f>
        <v>235</v>
      </c>
      <c r="Z107" s="4898">
        <f>SUM(Z115:Z116)</f>
        <v>235</v>
      </c>
      <c r="AA107" s="4898">
        <v>236</v>
      </c>
      <c r="AB107" s="4898">
        <v>243</v>
      </c>
      <c r="AC107" s="4901">
        <v>249</v>
      </c>
      <c r="AD107" s="4900">
        <v>254</v>
      </c>
      <c r="AE107" s="1576"/>
      <c r="AF107" s="2895">
        <f t="shared" si="44"/>
        <v>243.08333333333334</v>
      </c>
      <c r="AH107" s="4901">
        <v>257</v>
      </c>
      <c r="AI107" s="4898">
        <v>249</v>
      </c>
      <c r="AJ107" s="4898">
        <v>246</v>
      </c>
      <c r="AK107" s="4898">
        <v>244</v>
      </c>
      <c r="AL107" s="4898">
        <v>242</v>
      </c>
      <c r="AM107" s="4898">
        <v>243</v>
      </c>
      <c r="AN107" s="4898">
        <v>239</v>
      </c>
      <c r="AO107" s="4898">
        <v>238</v>
      </c>
      <c r="AP107" s="4898">
        <v>236</v>
      </c>
      <c r="AQ107" s="4898">
        <v>227</v>
      </c>
      <c r="AR107" s="4901">
        <v>230</v>
      </c>
      <c r="AS107" s="4900">
        <v>240</v>
      </c>
      <c r="AT107" s="1576"/>
      <c r="AU107" s="2895">
        <f t="shared" si="45"/>
        <v>240.91666666666666</v>
      </c>
      <c r="AW107" s="4901">
        <v>250</v>
      </c>
      <c r="AX107" s="4898">
        <v>252</v>
      </c>
      <c r="AY107" s="4898"/>
      <c r="AZ107" s="4898"/>
      <c r="BA107" s="4898"/>
      <c r="BB107" s="4898"/>
      <c r="BC107" s="4898"/>
      <c r="BD107" s="4898"/>
      <c r="BE107" s="4898"/>
      <c r="BF107" s="4898"/>
      <c r="BG107" s="4901"/>
      <c r="BH107" s="4900"/>
      <c r="BI107" s="1576"/>
      <c r="BJ107" s="2895">
        <f t="shared" si="46"/>
        <v>251</v>
      </c>
      <c r="BL107" s="5155">
        <v>248</v>
      </c>
      <c r="BM107" s="5156">
        <f t="shared" si="50"/>
        <v>-4</v>
      </c>
      <c r="BN107" s="5157">
        <f t="shared" si="47"/>
        <v>1.0080645161290323</v>
      </c>
      <c r="BO107" s="5158">
        <f>'※ 팀별 작성_인프라_인력'!BL11</f>
        <v>57</v>
      </c>
      <c r="BP107" s="5159">
        <f t="shared" si="48"/>
        <v>4.3859649122807021</v>
      </c>
    </row>
    <row r="108" spans="1:68" x14ac:dyDescent="0.55000000000000004">
      <c r="A108" s="7439"/>
      <c r="B108" s="5160" t="s">
        <v>210</v>
      </c>
      <c r="C108" s="1813"/>
      <c r="D108" s="5161">
        <f t="shared" ref="D108:N108" si="53">D117+D118</f>
        <v>240</v>
      </c>
      <c r="E108" s="5161">
        <f t="shared" si="53"/>
        <v>227</v>
      </c>
      <c r="F108" s="5161">
        <f t="shared" si="53"/>
        <v>222</v>
      </c>
      <c r="G108" s="5161">
        <f t="shared" si="53"/>
        <v>226</v>
      </c>
      <c r="H108" s="5161">
        <f t="shared" si="53"/>
        <v>232</v>
      </c>
      <c r="I108" s="5161">
        <f t="shared" si="53"/>
        <v>228</v>
      </c>
      <c r="J108" s="5161">
        <f t="shared" si="53"/>
        <v>222</v>
      </c>
      <c r="K108" s="5161">
        <f t="shared" si="53"/>
        <v>226</v>
      </c>
      <c r="L108" s="5161">
        <f t="shared" si="53"/>
        <v>224</v>
      </c>
      <c r="M108" s="5161">
        <f t="shared" si="53"/>
        <v>221</v>
      </c>
      <c r="N108" s="5161">
        <f t="shared" si="53"/>
        <v>221</v>
      </c>
      <c r="O108" s="5161">
        <f>O117+O118</f>
        <v>240</v>
      </c>
      <c r="P108" s="1813"/>
      <c r="Q108" s="5162">
        <f t="shared" si="42"/>
        <v>227.41666666666666</v>
      </c>
      <c r="S108" s="5161">
        <v>214</v>
      </c>
      <c r="T108" s="5161">
        <v>208</v>
      </c>
      <c r="U108" s="5161">
        <v>209</v>
      </c>
      <c r="V108" s="5161">
        <v>211</v>
      </c>
      <c r="W108" s="5161">
        <v>211</v>
      </c>
      <c r="X108" s="5161">
        <f>SUM(X117:X118)</f>
        <v>209</v>
      </c>
      <c r="Y108" s="5161">
        <f>SUM(Y117:Y118)</f>
        <v>216</v>
      </c>
      <c r="Z108" s="5161">
        <f>SUM(Z117:Z118)</f>
        <v>219</v>
      </c>
      <c r="AA108" s="5161">
        <v>223</v>
      </c>
      <c r="AB108" s="5161">
        <v>232</v>
      </c>
      <c r="AC108" s="5163">
        <v>226</v>
      </c>
      <c r="AD108" s="5161">
        <v>232</v>
      </c>
      <c r="AE108" s="1813"/>
      <c r="AF108" s="5164">
        <f t="shared" si="44"/>
        <v>217.5</v>
      </c>
      <c r="AH108" s="5163">
        <v>234</v>
      </c>
      <c r="AI108" s="5161">
        <v>228</v>
      </c>
      <c r="AJ108" s="5161">
        <v>235</v>
      </c>
      <c r="AK108" s="5161">
        <v>238</v>
      </c>
      <c r="AL108" s="5161">
        <v>228</v>
      </c>
      <c r="AM108" s="5161">
        <v>228</v>
      </c>
      <c r="AN108" s="5161">
        <v>229</v>
      </c>
      <c r="AO108" s="5161">
        <v>225</v>
      </c>
      <c r="AP108" s="5161">
        <v>226</v>
      </c>
      <c r="AQ108" s="5161">
        <v>224</v>
      </c>
      <c r="AR108" s="5163">
        <v>222</v>
      </c>
      <c r="AS108" s="5161">
        <v>222</v>
      </c>
      <c r="AT108" s="1813"/>
      <c r="AU108" s="5164">
        <f t="shared" si="45"/>
        <v>228.25</v>
      </c>
      <c r="AW108" s="5163">
        <v>228</v>
      </c>
      <c r="AX108" s="5161">
        <v>230</v>
      </c>
      <c r="AY108" s="5161"/>
      <c r="AZ108" s="5161"/>
      <c r="BA108" s="5161"/>
      <c r="BB108" s="5161"/>
      <c r="BC108" s="5161"/>
      <c r="BD108" s="5161"/>
      <c r="BE108" s="5161"/>
      <c r="BF108" s="5161"/>
      <c r="BG108" s="5163"/>
      <c r="BH108" s="5161"/>
      <c r="BI108" s="1813"/>
      <c r="BJ108" s="5164">
        <f t="shared" si="46"/>
        <v>229</v>
      </c>
      <c r="BL108" s="5165">
        <v>216</v>
      </c>
      <c r="BM108" s="5166">
        <f t="shared" si="50"/>
        <v>-14</v>
      </c>
      <c r="BN108" s="5167">
        <f t="shared" si="47"/>
        <v>1.0555555555555556</v>
      </c>
      <c r="BO108" s="5168">
        <f>'※ 팀별 작성_인프라_인력'!BL12</f>
        <v>54</v>
      </c>
      <c r="BP108" s="5169">
        <f t="shared" si="48"/>
        <v>4.2222222222222223</v>
      </c>
    </row>
    <row r="109" spans="1:68" x14ac:dyDescent="0.55000000000000004">
      <c r="A109" s="7439"/>
      <c r="B109" s="1777"/>
      <c r="C109" s="5170" t="s">
        <v>211</v>
      </c>
      <c r="D109" s="559">
        <v>95</v>
      </c>
      <c r="E109" s="559">
        <v>99</v>
      </c>
      <c r="F109" s="559">
        <v>96</v>
      </c>
      <c r="G109" s="559">
        <v>94</v>
      </c>
      <c r="H109" s="559">
        <v>93</v>
      </c>
      <c r="I109" s="559">
        <v>92</v>
      </c>
      <c r="J109" s="559">
        <v>92</v>
      </c>
      <c r="K109" s="559">
        <v>92</v>
      </c>
      <c r="L109" s="559">
        <v>90</v>
      </c>
      <c r="M109" s="559">
        <v>89</v>
      </c>
      <c r="N109" s="559">
        <v>91</v>
      </c>
      <c r="O109" s="559">
        <v>113</v>
      </c>
      <c r="P109" s="886"/>
      <c r="Q109" s="4883">
        <f t="shared" si="42"/>
        <v>94.666666666666671</v>
      </c>
      <c r="S109" s="4877">
        <v>86</v>
      </c>
      <c r="T109" s="4836">
        <v>93</v>
      </c>
      <c r="U109" s="4836">
        <v>96</v>
      </c>
      <c r="V109" s="4836">
        <v>97</v>
      </c>
      <c r="W109" s="4877">
        <v>99</v>
      </c>
      <c r="X109" s="4877">
        <v>102</v>
      </c>
      <c r="Y109" s="4836">
        <v>102</v>
      </c>
      <c r="Z109" s="4836">
        <v>101</v>
      </c>
      <c r="AA109" s="4836">
        <v>111</v>
      </c>
      <c r="AB109" s="4836">
        <v>104</v>
      </c>
      <c r="AC109" s="4836">
        <v>107</v>
      </c>
      <c r="AD109" s="4884">
        <v>110</v>
      </c>
      <c r="AE109" s="886"/>
      <c r="AF109" s="1102">
        <f t="shared" si="44"/>
        <v>100.66666666666667</v>
      </c>
      <c r="AG109" s="4836">
        <f>SUM(S109:AD109)</f>
        <v>1208</v>
      </c>
      <c r="AH109" s="4836">
        <v>110</v>
      </c>
      <c r="AI109" s="4836">
        <v>110</v>
      </c>
      <c r="AJ109" s="4836">
        <v>106</v>
      </c>
      <c r="AK109" s="4836">
        <v>103</v>
      </c>
      <c r="AL109" s="4836">
        <v>103</v>
      </c>
      <c r="AM109" s="4836">
        <v>102</v>
      </c>
      <c r="AN109" s="4836">
        <v>104</v>
      </c>
      <c r="AO109" s="4836">
        <v>100</v>
      </c>
      <c r="AP109" s="4836">
        <v>99</v>
      </c>
      <c r="AQ109" s="4836">
        <v>98</v>
      </c>
      <c r="AR109" s="4836">
        <v>99</v>
      </c>
      <c r="AS109" s="4884">
        <v>99</v>
      </c>
      <c r="AT109" s="886"/>
      <c r="AU109" s="1102">
        <f t="shared" si="45"/>
        <v>102.75</v>
      </c>
      <c r="AV109" s="4836"/>
      <c r="AW109" s="4836">
        <v>99</v>
      </c>
      <c r="AX109" s="4836">
        <v>95</v>
      </c>
      <c r="AY109" s="4836"/>
      <c r="AZ109" s="4836"/>
      <c r="BA109" s="4836"/>
      <c r="BB109" s="4836"/>
      <c r="BC109" s="4836"/>
      <c r="BD109" s="4836"/>
      <c r="BE109" s="4836"/>
      <c r="BF109" s="4836"/>
      <c r="BG109" s="4836"/>
      <c r="BH109" s="4884"/>
      <c r="BI109" s="886"/>
      <c r="BJ109" s="1102">
        <f t="shared" si="46"/>
        <v>97</v>
      </c>
      <c r="BK109" s="4836">
        <f t="shared" ref="BK109:BK118" si="54">SUM(AH109:AW109)</f>
        <v>1434.75</v>
      </c>
      <c r="BL109" s="5171">
        <v>96</v>
      </c>
      <c r="BM109" s="5172">
        <f t="shared" si="50"/>
        <v>1</v>
      </c>
      <c r="BN109" s="5173">
        <f t="shared" si="47"/>
        <v>1.03125</v>
      </c>
      <c r="BO109" s="5174">
        <f>'※ 팀별 작성_인프라_인력'!BL13</f>
        <v>23</v>
      </c>
      <c r="BP109" s="5175">
        <f t="shared" si="48"/>
        <v>4.3043478260869561</v>
      </c>
    </row>
    <row r="110" spans="1:68" x14ac:dyDescent="0.55000000000000004">
      <c r="A110" s="7439"/>
      <c r="B110" s="1777"/>
      <c r="C110" s="5170" t="s">
        <v>212</v>
      </c>
      <c r="D110" s="559">
        <v>90</v>
      </c>
      <c r="E110" s="559">
        <v>91</v>
      </c>
      <c r="F110" s="559">
        <v>90</v>
      </c>
      <c r="G110" s="559">
        <v>89</v>
      </c>
      <c r="H110" s="559">
        <v>92</v>
      </c>
      <c r="I110" s="559">
        <v>93</v>
      </c>
      <c r="J110" s="559">
        <v>94</v>
      </c>
      <c r="K110" s="559">
        <v>95</v>
      </c>
      <c r="L110" s="559">
        <v>89</v>
      </c>
      <c r="M110" s="559">
        <v>94</v>
      </c>
      <c r="N110" s="559">
        <v>91</v>
      </c>
      <c r="O110" s="559">
        <v>112</v>
      </c>
      <c r="P110" s="886"/>
      <c r="Q110" s="4883">
        <f t="shared" si="42"/>
        <v>93.333333333333329</v>
      </c>
      <c r="S110" s="4877">
        <v>83</v>
      </c>
      <c r="T110" s="4836">
        <v>90</v>
      </c>
      <c r="U110" s="4836">
        <v>96</v>
      </c>
      <c r="V110" s="4836">
        <v>108</v>
      </c>
      <c r="W110" s="4877">
        <v>108</v>
      </c>
      <c r="X110" s="4877">
        <v>109</v>
      </c>
      <c r="Y110" s="4836">
        <v>104</v>
      </c>
      <c r="Z110" s="4836">
        <v>103</v>
      </c>
      <c r="AA110" s="4836">
        <v>106</v>
      </c>
      <c r="AB110" s="4836">
        <v>112</v>
      </c>
      <c r="AC110" s="4836">
        <v>110</v>
      </c>
      <c r="AD110" s="4884">
        <v>110</v>
      </c>
      <c r="AE110" s="886"/>
      <c r="AF110" s="1102">
        <f t="shared" si="44"/>
        <v>103.25</v>
      </c>
      <c r="AG110" s="4836">
        <f t="shared" ref="AG110:AG118" si="55">SUM(S110:AD110)</f>
        <v>1239</v>
      </c>
      <c r="AH110" s="4836">
        <v>109</v>
      </c>
      <c r="AI110" s="4836">
        <v>107</v>
      </c>
      <c r="AJ110" s="4836">
        <v>105</v>
      </c>
      <c r="AK110" s="4836">
        <v>105</v>
      </c>
      <c r="AL110" s="4836">
        <v>105</v>
      </c>
      <c r="AM110" s="4836">
        <v>106</v>
      </c>
      <c r="AN110" s="4836">
        <v>104</v>
      </c>
      <c r="AO110" s="4836">
        <v>102</v>
      </c>
      <c r="AP110" s="4836">
        <v>103</v>
      </c>
      <c r="AQ110" s="4836">
        <v>106</v>
      </c>
      <c r="AR110" s="4836">
        <v>105</v>
      </c>
      <c r="AS110" s="4884">
        <v>109</v>
      </c>
      <c r="AT110" s="886"/>
      <c r="AU110" s="1102">
        <f t="shared" si="45"/>
        <v>105.5</v>
      </c>
      <c r="AV110" s="4836"/>
      <c r="AW110" s="4836">
        <v>109</v>
      </c>
      <c r="AX110" s="4836">
        <v>110</v>
      </c>
      <c r="AY110" s="4836"/>
      <c r="AZ110" s="4836"/>
      <c r="BA110" s="4836"/>
      <c r="BB110" s="4836"/>
      <c r="BC110" s="4836"/>
      <c r="BD110" s="4836"/>
      <c r="BE110" s="4836"/>
      <c r="BF110" s="4836"/>
      <c r="BG110" s="4836"/>
      <c r="BH110" s="4884"/>
      <c r="BI110" s="886"/>
      <c r="BJ110" s="1102">
        <f t="shared" si="46"/>
        <v>109.5</v>
      </c>
      <c r="BK110" s="4836">
        <f t="shared" si="54"/>
        <v>1480.5</v>
      </c>
      <c r="BL110" s="5171">
        <v>108</v>
      </c>
      <c r="BM110" s="5172">
        <f t="shared" si="50"/>
        <v>-2</v>
      </c>
      <c r="BN110" s="5173">
        <f t="shared" si="47"/>
        <v>1.0092592592592593</v>
      </c>
      <c r="BO110" s="5174">
        <f>'※ 팀별 작성_인프라_인력'!BL14</f>
        <v>26</v>
      </c>
      <c r="BP110" s="5175">
        <f t="shared" si="48"/>
        <v>4.1923076923076925</v>
      </c>
    </row>
    <row r="111" spans="1:68" x14ac:dyDescent="0.55000000000000004">
      <c r="A111" s="7439"/>
      <c r="B111" s="1777"/>
      <c r="C111" s="5170" t="s">
        <v>213</v>
      </c>
      <c r="D111" s="559">
        <v>76</v>
      </c>
      <c r="E111" s="559">
        <v>76</v>
      </c>
      <c r="F111" s="559">
        <v>78</v>
      </c>
      <c r="G111" s="559">
        <v>77</v>
      </c>
      <c r="H111" s="559">
        <v>75</v>
      </c>
      <c r="I111" s="559">
        <v>74</v>
      </c>
      <c r="J111" s="559">
        <v>74</v>
      </c>
      <c r="K111" s="559">
        <v>74</v>
      </c>
      <c r="L111" s="559">
        <v>73</v>
      </c>
      <c r="M111" s="559">
        <v>78</v>
      </c>
      <c r="N111" s="559">
        <v>78</v>
      </c>
      <c r="O111" s="559">
        <v>85</v>
      </c>
      <c r="P111" s="886"/>
      <c r="Q111" s="4883">
        <f t="shared" si="42"/>
        <v>76.5</v>
      </c>
      <c r="S111" s="4877">
        <v>73</v>
      </c>
      <c r="T111" s="4836">
        <v>74</v>
      </c>
      <c r="U111" s="4836">
        <v>77</v>
      </c>
      <c r="V111" s="4836">
        <v>79</v>
      </c>
      <c r="W111" s="4877">
        <v>80</v>
      </c>
      <c r="X111" s="4877">
        <v>79</v>
      </c>
      <c r="Y111" s="4836">
        <v>78</v>
      </c>
      <c r="Z111" s="4836">
        <v>78</v>
      </c>
      <c r="AA111" s="4836">
        <v>80</v>
      </c>
      <c r="AB111" s="4836">
        <v>79</v>
      </c>
      <c r="AC111" s="4836">
        <v>80</v>
      </c>
      <c r="AD111" s="4884">
        <v>78</v>
      </c>
      <c r="AE111" s="886"/>
      <c r="AF111" s="1102">
        <f t="shared" si="44"/>
        <v>77.916666666666671</v>
      </c>
      <c r="AG111" s="4836">
        <f t="shared" si="55"/>
        <v>935</v>
      </c>
      <c r="AH111" s="4836">
        <v>77</v>
      </c>
      <c r="AI111" s="4836">
        <v>75</v>
      </c>
      <c r="AJ111" s="4836">
        <v>77</v>
      </c>
      <c r="AK111" s="4836">
        <v>77</v>
      </c>
      <c r="AL111" s="4836">
        <v>76</v>
      </c>
      <c r="AM111" s="4836">
        <v>75</v>
      </c>
      <c r="AN111" s="4836">
        <v>72</v>
      </c>
      <c r="AO111" s="4836">
        <v>75</v>
      </c>
      <c r="AP111" s="4836">
        <v>75</v>
      </c>
      <c r="AQ111" s="4836">
        <v>75</v>
      </c>
      <c r="AR111" s="4836">
        <v>75</v>
      </c>
      <c r="AS111" s="4884">
        <v>77</v>
      </c>
      <c r="AT111" s="886"/>
      <c r="AU111" s="1102">
        <f t="shared" si="45"/>
        <v>75.5</v>
      </c>
      <c r="AV111" s="4836"/>
      <c r="AW111" s="4836">
        <v>76</v>
      </c>
      <c r="AX111" s="4836">
        <v>79</v>
      </c>
      <c r="AY111" s="4836"/>
      <c r="AZ111" s="4836"/>
      <c r="BA111" s="4836"/>
      <c r="BB111" s="4836"/>
      <c r="BC111" s="4836"/>
      <c r="BD111" s="4836"/>
      <c r="BE111" s="4836"/>
      <c r="BF111" s="4836"/>
      <c r="BG111" s="4836"/>
      <c r="BH111" s="4884"/>
      <c r="BI111" s="886"/>
      <c r="BJ111" s="1102">
        <f t="shared" si="46"/>
        <v>77.5</v>
      </c>
      <c r="BK111" s="4836">
        <f t="shared" si="54"/>
        <v>1057.5</v>
      </c>
      <c r="BL111" s="5171">
        <v>75</v>
      </c>
      <c r="BM111" s="5172">
        <f t="shared" si="50"/>
        <v>-4</v>
      </c>
      <c r="BN111" s="5173">
        <f t="shared" si="47"/>
        <v>1.0133333333333334</v>
      </c>
      <c r="BO111" s="5174">
        <f>'※ 팀별 작성_인프라_인력'!BL15</f>
        <v>17</v>
      </c>
      <c r="BP111" s="5175">
        <f t="shared" si="48"/>
        <v>4.4705882352941178</v>
      </c>
    </row>
    <row r="112" spans="1:68" x14ac:dyDescent="0.55000000000000004">
      <c r="A112" s="7439"/>
      <c r="B112" s="1777"/>
      <c r="C112" s="5170" t="s">
        <v>214</v>
      </c>
      <c r="D112" s="559">
        <v>115</v>
      </c>
      <c r="E112" s="559">
        <v>115</v>
      </c>
      <c r="F112" s="559">
        <v>115</v>
      </c>
      <c r="G112" s="559">
        <v>116</v>
      </c>
      <c r="H112" s="559">
        <v>118</v>
      </c>
      <c r="I112" s="559">
        <v>117</v>
      </c>
      <c r="J112" s="559">
        <v>116</v>
      </c>
      <c r="K112" s="559">
        <v>116</v>
      </c>
      <c r="L112" s="559">
        <v>113</v>
      </c>
      <c r="M112" s="559">
        <v>113</v>
      </c>
      <c r="N112" s="559">
        <v>115</v>
      </c>
      <c r="O112" s="559">
        <v>115</v>
      </c>
      <c r="P112" s="886"/>
      <c r="Q112" s="4883">
        <f t="shared" si="42"/>
        <v>115.33333333333333</v>
      </c>
      <c r="S112" s="4877">
        <v>107</v>
      </c>
      <c r="T112" s="4836">
        <v>109</v>
      </c>
      <c r="U112" s="4836">
        <v>102</v>
      </c>
      <c r="V112" s="4836">
        <v>105</v>
      </c>
      <c r="W112" s="4877">
        <v>110</v>
      </c>
      <c r="X112" s="4877">
        <v>104</v>
      </c>
      <c r="Y112" s="4836">
        <v>106</v>
      </c>
      <c r="Z112" s="4836">
        <v>104</v>
      </c>
      <c r="AA112" s="4836">
        <v>106</v>
      </c>
      <c r="AB112" s="4836">
        <v>105</v>
      </c>
      <c r="AC112" s="4836">
        <v>105</v>
      </c>
      <c r="AD112" s="4884">
        <v>107</v>
      </c>
      <c r="AE112" s="886"/>
      <c r="AF112" s="1102">
        <f t="shared" si="44"/>
        <v>105.83333333333333</v>
      </c>
      <c r="AG112" s="4836">
        <f t="shared" si="55"/>
        <v>1270</v>
      </c>
      <c r="AH112" s="4836">
        <v>107</v>
      </c>
      <c r="AI112" s="4836">
        <v>106</v>
      </c>
      <c r="AJ112" s="4836">
        <v>109</v>
      </c>
      <c r="AK112" s="4836">
        <v>104</v>
      </c>
      <c r="AL112" s="4836">
        <v>103</v>
      </c>
      <c r="AM112" s="4836">
        <v>103</v>
      </c>
      <c r="AN112" s="4836">
        <v>100</v>
      </c>
      <c r="AO112" s="4836">
        <v>103</v>
      </c>
      <c r="AP112" s="4836">
        <v>103</v>
      </c>
      <c r="AQ112" s="4836">
        <v>104</v>
      </c>
      <c r="AR112" s="4836">
        <v>106</v>
      </c>
      <c r="AS112" s="4884">
        <v>107</v>
      </c>
      <c r="AT112" s="886"/>
      <c r="AU112" s="1102">
        <f t="shared" si="45"/>
        <v>104.58333333333333</v>
      </c>
      <c r="AV112" s="4836"/>
      <c r="AW112" s="4836">
        <v>107</v>
      </c>
      <c r="AX112" s="4836">
        <v>107</v>
      </c>
      <c r="AY112" s="4836"/>
      <c r="AZ112" s="4836"/>
      <c r="BA112" s="4836"/>
      <c r="BB112" s="4836"/>
      <c r="BC112" s="4836"/>
      <c r="BD112" s="4836"/>
      <c r="BE112" s="4836"/>
      <c r="BF112" s="4836"/>
      <c r="BG112" s="4836"/>
      <c r="BH112" s="4884"/>
      <c r="BI112" s="886"/>
      <c r="BJ112" s="1102">
        <f t="shared" si="46"/>
        <v>107</v>
      </c>
      <c r="BK112" s="4836">
        <f t="shared" si="54"/>
        <v>1466.5833333333333</v>
      </c>
      <c r="BL112" s="5171">
        <v>102</v>
      </c>
      <c r="BM112" s="5172">
        <f t="shared" si="50"/>
        <v>-5</v>
      </c>
      <c r="BN112" s="5173">
        <f t="shared" si="47"/>
        <v>1.0490196078431373</v>
      </c>
      <c r="BO112" s="5174">
        <f>'※ 팀별 작성_인프라_인력'!BL16</f>
        <v>25</v>
      </c>
      <c r="BP112" s="5175">
        <f t="shared" si="48"/>
        <v>4.28</v>
      </c>
    </row>
    <row r="113" spans="1:68" x14ac:dyDescent="0.55000000000000004">
      <c r="A113" s="7439"/>
      <c r="B113" s="1777"/>
      <c r="C113" s="5170" t="s">
        <v>215</v>
      </c>
      <c r="D113" s="559">
        <v>146</v>
      </c>
      <c r="E113" s="559">
        <v>141</v>
      </c>
      <c r="F113" s="559">
        <v>144</v>
      </c>
      <c r="G113" s="559">
        <v>143</v>
      </c>
      <c r="H113" s="559">
        <v>143</v>
      </c>
      <c r="I113" s="559">
        <v>141</v>
      </c>
      <c r="J113" s="559">
        <v>138</v>
      </c>
      <c r="K113" s="559">
        <v>137</v>
      </c>
      <c r="L113" s="559">
        <v>141</v>
      </c>
      <c r="M113" s="559">
        <v>142</v>
      </c>
      <c r="N113" s="559">
        <v>145</v>
      </c>
      <c r="O113" s="559">
        <v>164</v>
      </c>
      <c r="P113" s="886"/>
      <c r="Q113" s="4883">
        <f t="shared" si="42"/>
        <v>143.75</v>
      </c>
      <c r="S113" s="4877">
        <v>134</v>
      </c>
      <c r="T113" s="4836">
        <v>137</v>
      </c>
      <c r="U113" s="4836">
        <v>140</v>
      </c>
      <c r="V113" s="4836">
        <v>141</v>
      </c>
      <c r="W113" s="4877">
        <v>146</v>
      </c>
      <c r="X113" s="4877">
        <v>144</v>
      </c>
      <c r="Y113" s="4836">
        <v>154</v>
      </c>
      <c r="Z113" s="4836">
        <v>150</v>
      </c>
      <c r="AA113" s="4836">
        <v>151</v>
      </c>
      <c r="AB113" s="4836">
        <v>146</v>
      </c>
      <c r="AC113" s="4836">
        <v>148</v>
      </c>
      <c r="AD113" s="4884">
        <v>146</v>
      </c>
      <c r="AE113" s="886"/>
      <c r="AF113" s="1102">
        <f t="shared" si="44"/>
        <v>144.75</v>
      </c>
      <c r="AG113" s="4836">
        <f t="shared" si="55"/>
        <v>1737</v>
      </c>
      <c r="AH113" s="4836">
        <v>148</v>
      </c>
      <c r="AI113" s="4836">
        <v>146</v>
      </c>
      <c r="AJ113" s="4836">
        <v>142</v>
      </c>
      <c r="AK113" s="4836">
        <v>143</v>
      </c>
      <c r="AL113" s="4836">
        <v>141</v>
      </c>
      <c r="AM113" s="4836">
        <v>140</v>
      </c>
      <c r="AN113" s="4836">
        <v>143</v>
      </c>
      <c r="AO113" s="4836">
        <v>141</v>
      </c>
      <c r="AP113" s="4836">
        <v>141</v>
      </c>
      <c r="AQ113" s="4836">
        <v>137</v>
      </c>
      <c r="AR113" s="4836">
        <v>137</v>
      </c>
      <c r="AS113" s="4884">
        <v>140</v>
      </c>
      <c r="AT113" s="886"/>
      <c r="AU113" s="1102">
        <f t="shared" si="45"/>
        <v>141.58333333333334</v>
      </c>
      <c r="AV113" s="4836"/>
      <c r="AW113" s="4836">
        <v>146</v>
      </c>
      <c r="AX113" s="4836">
        <v>146</v>
      </c>
      <c r="AY113" s="4836"/>
      <c r="AZ113" s="4836"/>
      <c r="BA113" s="4836"/>
      <c r="BB113" s="4836"/>
      <c r="BC113" s="4836"/>
      <c r="BD113" s="4836"/>
      <c r="BE113" s="4836"/>
      <c r="BF113" s="4836"/>
      <c r="BG113" s="4836"/>
      <c r="BH113" s="4884"/>
      <c r="BI113" s="886"/>
      <c r="BJ113" s="1102">
        <f t="shared" si="46"/>
        <v>146</v>
      </c>
      <c r="BK113" s="4836">
        <f t="shared" si="54"/>
        <v>1986.5833333333333</v>
      </c>
      <c r="BL113" s="5171">
        <v>135</v>
      </c>
      <c r="BM113" s="5172">
        <f>BL113-_xlfn.XLOOKUP($A$1,$2:$2,113:113)</f>
        <v>-11</v>
      </c>
      <c r="BN113" s="5173">
        <f t="shared" si="47"/>
        <v>1.0814814814814815</v>
      </c>
      <c r="BO113" s="5174">
        <f>'※ 팀별 작성_인프라_인력'!BL17</f>
        <v>30</v>
      </c>
      <c r="BP113" s="5175">
        <f t="shared" si="48"/>
        <v>4.8666666666666663</v>
      </c>
    </row>
    <row r="114" spans="1:68" x14ac:dyDescent="0.55000000000000004">
      <c r="A114" s="7439"/>
      <c r="B114" s="1777"/>
      <c r="C114" s="5170" t="s">
        <v>216</v>
      </c>
      <c r="D114" s="559">
        <v>100</v>
      </c>
      <c r="E114" s="559">
        <v>103</v>
      </c>
      <c r="F114" s="559">
        <v>100</v>
      </c>
      <c r="G114" s="559">
        <v>100</v>
      </c>
      <c r="H114" s="559">
        <v>102</v>
      </c>
      <c r="I114" s="559">
        <v>101</v>
      </c>
      <c r="J114" s="559">
        <v>97</v>
      </c>
      <c r="K114" s="559">
        <v>99</v>
      </c>
      <c r="L114" s="559">
        <v>99</v>
      </c>
      <c r="M114" s="559">
        <v>96</v>
      </c>
      <c r="N114" s="559">
        <v>96</v>
      </c>
      <c r="O114" s="559">
        <v>102</v>
      </c>
      <c r="P114" s="886"/>
      <c r="Q114" s="4883">
        <f t="shared" si="42"/>
        <v>99.583333333333329</v>
      </c>
      <c r="S114" s="4877">
        <v>90</v>
      </c>
      <c r="T114" s="4836">
        <v>89</v>
      </c>
      <c r="U114" s="4836">
        <v>86</v>
      </c>
      <c r="V114" s="4836">
        <v>88</v>
      </c>
      <c r="W114" s="4877">
        <v>87</v>
      </c>
      <c r="X114" s="4877">
        <v>88</v>
      </c>
      <c r="Y114" s="4836">
        <v>91</v>
      </c>
      <c r="Z114" s="4836">
        <v>90</v>
      </c>
      <c r="AA114" s="4836">
        <v>90</v>
      </c>
      <c r="AB114" s="4836">
        <v>96</v>
      </c>
      <c r="AC114" s="4836">
        <v>96</v>
      </c>
      <c r="AD114" s="4884">
        <v>95</v>
      </c>
      <c r="AE114" s="886"/>
      <c r="AF114" s="1102">
        <f t="shared" si="44"/>
        <v>90.5</v>
      </c>
      <c r="AG114" s="4836">
        <f t="shared" si="55"/>
        <v>1086</v>
      </c>
      <c r="AH114" s="4836">
        <v>97</v>
      </c>
      <c r="AI114" s="4836">
        <v>96</v>
      </c>
      <c r="AJ114" s="4836">
        <v>99</v>
      </c>
      <c r="AK114" s="4836">
        <v>98</v>
      </c>
      <c r="AL114" s="4836">
        <v>100</v>
      </c>
      <c r="AM114" s="4836">
        <v>97</v>
      </c>
      <c r="AN114" s="4836">
        <v>93</v>
      </c>
      <c r="AO114" s="4836">
        <v>86</v>
      </c>
      <c r="AP114" s="4836">
        <v>88</v>
      </c>
      <c r="AQ114" s="4836">
        <v>87</v>
      </c>
      <c r="AR114" s="4836">
        <v>85</v>
      </c>
      <c r="AS114" s="4884">
        <v>91</v>
      </c>
      <c r="AT114" s="886"/>
      <c r="AU114" s="1102">
        <f t="shared" si="45"/>
        <v>93.083333333333329</v>
      </c>
      <c r="AV114" s="4836"/>
      <c r="AW114" s="4836">
        <v>91</v>
      </c>
      <c r="AX114" s="4836">
        <v>90</v>
      </c>
      <c r="AY114" s="4836"/>
      <c r="AZ114" s="4836"/>
      <c r="BA114" s="4836"/>
      <c r="BB114" s="4836"/>
      <c r="BC114" s="4836"/>
      <c r="BD114" s="4836"/>
      <c r="BE114" s="4836"/>
      <c r="BF114" s="4836"/>
      <c r="BG114" s="4836"/>
      <c r="BH114" s="4884"/>
      <c r="BI114" s="886"/>
      <c r="BJ114" s="1102">
        <f t="shared" si="46"/>
        <v>90.5</v>
      </c>
      <c r="BK114" s="4836">
        <f t="shared" si="54"/>
        <v>1301.0833333333333</v>
      </c>
      <c r="BL114" s="5171">
        <v>86</v>
      </c>
      <c r="BM114" s="5172">
        <f t="shared" si="50"/>
        <v>-4</v>
      </c>
      <c r="BN114" s="5173">
        <f t="shared" si="47"/>
        <v>1.058139534883721</v>
      </c>
      <c r="BO114" s="5174">
        <f>'※ 팀별 작성_인프라_인력'!BL18</f>
        <v>20</v>
      </c>
      <c r="BP114" s="5175">
        <f t="shared" si="48"/>
        <v>4.55</v>
      </c>
    </row>
    <row r="115" spans="1:68" x14ac:dyDescent="0.55000000000000004">
      <c r="A115" s="7439"/>
      <c r="B115" s="1777"/>
      <c r="C115" s="5170" t="s">
        <v>217</v>
      </c>
      <c r="D115" s="559">
        <v>140</v>
      </c>
      <c r="E115" s="559">
        <v>147</v>
      </c>
      <c r="F115" s="559">
        <v>147</v>
      </c>
      <c r="G115" s="559">
        <v>141</v>
      </c>
      <c r="H115" s="559">
        <v>143</v>
      </c>
      <c r="I115" s="559">
        <v>140</v>
      </c>
      <c r="J115" s="559">
        <v>135</v>
      </c>
      <c r="K115" s="559">
        <v>134</v>
      </c>
      <c r="L115" s="559">
        <v>132</v>
      </c>
      <c r="M115" s="559">
        <v>133</v>
      </c>
      <c r="N115" s="559">
        <v>132</v>
      </c>
      <c r="O115" s="559">
        <v>132</v>
      </c>
      <c r="P115" s="886"/>
      <c r="Q115" s="4883">
        <f t="shared" si="42"/>
        <v>138</v>
      </c>
      <c r="S115" s="4877">
        <v>120</v>
      </c>
      <c r="T115" s="4836">
        <v>120</v>
      </c>
      <c r="U115" s="4836">
        <v>121</v>
      </c>
      <c r="V115" s="4836">
        <v>121</v>
      </c>
      <c r="W115" s="4877">
        <v>123</v>
      </c>
      <c r="X115" s="4877">
        <v>120</v>
      </c>
      <c r="Y115" s="4836">
        <v>116</v>
      </c>
      <c r="Z115" s="4836">
        <v>118</v>
      </c>
      <c r="AA115" s="4836">
        <v>118</v>
      </c>
      <c r="AB115" s="4836">
        <v>122</v>
      </c>
      <c r="AC115" s="4836">
        <v>126</v>
      </c>
      <c r="AD115" s="4884">
        <v>128</v>
      </c>
      <c r="AE115" s="886"/>
      <c r="AF115" s="1102">
        <f t="shared" si="44"/>
        <v>121.08333333333333</v>
      </c>
      <c r="AG115" s="4836">
        <f t="shared" si="55"/>
        <v>1453</v>
      </c>
      <c r="AH115" s="4836">
        <v>134</v>
      </c>
      <c r="AI115" s="4836">
        <v>125</v>
      </c>
      <c r="AJ115" s="4836">
        <v>125</v>
      </c>
      <c r="AK115" s="4836">
        <v>123</v>
      </c>
      <c r="AL115" s="4836">
        <v>120</v>
      </c>
      <c r="AM115" s="4836">
        <v>118</v>
      </c>
      <c r="AN115" s="4836">
        <v>114</v>
      </c>
      <c r="AO115" s="4836">
        <v>114</v>
      </c>
      <c r="AP115" s="4836">
        <v>117</v>
      </c>
      <c r="AQ115" s="4836">
        <v>110</v>
      </c>
      <c r="AR115" s="4836">
        <v>112</v>
      </c>
      <c r="AS115" s="4884">
        <v>119</v>
      </c>
      <c r="AT115" s="886"/>
      <c r="AU115" s="1102">
        <f t="shared" si="45"/>
        <v>119.25</v>
      </c>
      <c r="AV115" s="4836"/>
      <c r="AW115" s="4836">
        <v>124</v>
      </c>
      <c r="AX115" s="4836">
        <v>128</v>
      </c>
      <c r="AY115" s="4836"/>
      <c r="AZ115" s="4836"/>
      <c r="BA115" s="4836"/>
      <c r="BB115" s="4836"/>
      <c r="BC115" s="4836"/>
      <c r="BD115" s="4836"/>
      <c r="BE115" s="4836"/>
      <c r="BF115" s="4836"/>
      <c r="BG115" s="4836"/>
      <c r="BH115" s="4884"/>
      <c r="BI115" s="886"/>
      <c r="BJ115" s="1102">
        <f t="shared" si="46"/>
        <v>126</v>
      </c>
      <c r="BK115" s="4836">
        <f t="shared" si="54"/>
        <v>1674.25</v>
      </c>
      <c r="BL115" s="5171">
        <v>128</v>
      </c>
      <c r="BM115" s="5172">
        <f t="shared" si="50"/>
        <v>0</v>
      </c>
      <c r="BN115" s="5173">
        <f t="shared" si="47"/>
        <v>0.96875</v>
      </c>
      <c r="BO115" s="5174">
        <f>'※ 팀별 작성_인프라_인력'!BL19</f>
        <v>28</v>
      </c>
      <c r="BP115" s="5175">
        <f t="shared" si="48"/>
        <v>4.4285714285714288</v>
      </c>
    </row>
    <row r="116" spans="1:68" x14ac:dyDescent="0.55000000000000004">
      <c r="A116" s="7439"/>
      <c r="B116" s="1777"/>
      <c r="C116" s="5170" t="s">
        <v>218</v>
      </c>
      <c r="D116" s="559">
        <v>144</v>
      </c>
      <c r="E116" s="559">
        <v>139</v>
      </c>
      <c r="F116" s="559">
        <v>140</v>
      </c>
      <c r="G116" s="559">
        <v>137</v>
      </c>
      <c r="H116" s="559">
        <v>138</v>
      </c>
      <c r="I116" s="559">
        <v>139</v>
      </c>
      <c r="J116" s="559">
        <v>138</v>
      </c>
      <c r="K116" s="559">
        <v>139</v>
      </c>
      <c r="L116" s="559">
        <v>134</v>
      </c>
      <c r="M116" s="559">
        <v>135</v>
      </c>
      <c r="N116" s="559">
        <v>134</v>
      </c>
      <c r="O116" s="559">
        <v>128</v>
      </c>
      <c r="P116" s="886"/>
      <c r="Q116" s="4883">
        <f t="shared" si="42"/>
        <v>137.08333333333334</v>
      </c>
      <c r="S116" s="4877">
        <v>125</v>
      </c>
      <c r="T116" s="4836">
        <v>124</v>
      </c>
      <c r="U116" s="4836">
        <v>121</v>
      </c>
      <c r="V116" s="4836">
        <v>122</v>
      </c>
      <c r="W116" s="4877">
        <v>127</v>
      </c>
      <c r="X116" s="4877">
        <v>121</v>
      </c>
      <c r="Y116" s="4836">
        <v>119</v>
      </c>
      <c r="Z116" s="4836">
        <v>117</v>
      </c>
      <c r="AA116" s="4836">
        <v>118</v>
      </c>
      <c r="AB116" s="4836">
        <v>121</v>
      </c>
      <c r="AC116" s="4836">
        <v>123</v>
      </c>
      <c r="AD116" s="4884">
        <v>126</v>
      </c>
      <c r="AE116" s="886"/>
      <c r="AF116" s="1102">
        <f t="shared" si="44"/>
        <v>122</v>
      </c>
      <c r="AG116" s="4836">
        <f t="shared" si="55"/>
        <v>1464</v>
      </c>
      <c r="AH116" s="4836">
        <v>123</v>
      </c>
      <c r="AI116" s="4836">
        <v>124</v>
      </c>
      <c r="AJ116" s="4836">
        <v>121</v>
      </c>
      <c r="AK116" s="4836">
        <v>121</v>
      </c>
      <c r="AL116" s="4836">
        <v>122</v>
      </c>
      <c r="AM116" s="4836">
        <v>125</v>
      </c>
      <c r="AN116" s="4836">
        <v>125</v>
      </c>
      <c r="AO116" s="4836">
        <v>124</v>
      </c>
      <c r="AP116" s="4836">
        <v>119</v>
      </c>
      <c r="AQ116" s="4836">
        <v>117</v>
      </c>
      <c r="AR116" s="4836">
        <v>118</v>
      </c>
      <c r="AS116" s="4884">
        <v>121</v>
      </c>
      <c r="AT116" s="886"/>
      <c r="AU116" s="1102">
        <f t="shared" si="45"/>
        <v>121.66666666666667</v>
      </c>
      <c r="AV116" s="4836"/>
      <c r="AW116" s="4836">
        <v>126</v>
      </c>
      <c r="AX116" s="4836">
        <v>124</v>
      </c>
      <c r="AY116" s="4836"/>
      <c r="AZ116" s="4836"/>
      <c r="BA116" s="4836"/>
      <c r="BB116" s="4836"/>
      <c r="BC116" s="4836"/>
      <c r="BD116" s="4836"/>
      <c r="BE116" s="4836"/>
      <c r="BF116" s="4836"/>
      <c r="BG116" s="4836"/>
      <c r="BH116" s="4884"/>
      <c r="BI116" s="886"/>
      <c r="BJ116" s="1102">
        <f t="shared" si="46"/>
        <v>125</v>
      </c>
      <c r="BK116" s="4836">
        <f t="shared" si="54"/>
        <v>1707.6666666666667</v>
      </c>
      <c r="BL116" s="5171">
        <v>120</v>
      </c>
      <c r="BM116" s="5172">
        <f t="shared" si="50"/>
        <v>-4</v>
      </c>
      <c r="BN116" s="5173">
        <f t="shared" si="47"/>
        <v>1.05</v>
      </c>
      <c r="BO116" s="5174">
        <f>'※ 팀별 작성_인프라_인력'!BL20</f>
        <v>29</v>
      </c>
      <c r="BP116" s="5175">
        <f t="shared" si="48"/>
        <v>4.3448275862068968</v>
      </c>
    </row>
    <row r="117" spans="1:68" x14ac:dyDescent="0.55000000000000004">
      <c r="A117" s="7439"/>
      <c r="B117" s="1777"/>
      <c r="C117" s="5170" t="s">
        <v>219</v>
      </c>
      <c r="D117" s="559">
        <v>118</v>
      </c>
      <c r="E117" s="559">
        <v>108</v>
      </c>
      <c r="F117" s="559">
        <v>107</v>
      </c>
      <c r="G117" s="559">
        <v>111</v>
      </c>
      <c r="H117" s="559">
        <v>118</v>
      </c>
      <c r="I117" s="559">
        <v>114</v>
      </c>
      <c r="J117" s="559">
        <v>109</v>
      </c>
      <c r="K117" s="559">
        <v>112</v>
      </c>
      <c r="L117" s="559">
        <v>110</v>
      </c>
      <c r="M117" s="559">
        <v>108</v>
      </c>
      <c r="N117" s="559">
        <v>109</v>
      </c>
      <c r="O117" s="559">
        <v>116</v>
      </c>
      <c r="P117" s="886"/>
      <c r="Q117" s="4883">
        <f t="shared" si="42"/>
        <v>111.66666666666667</v>
      </c>
      <c r="S117" s="4877">
        <v>107</v>
      </c>
      <c r="T117" s="4836">
        <v>105</v>
      </c>
      <c r="U117" s="4836">
        <v>104</v>
      </c>
      <c r="V117" s="4836">
        <v>107</v>
      </c>
      <c r="W117" s="4877">
        <v>106</v>
      </c>
      <c r="X117" s="4877">
        <v>104</v>
      </c>
      <c r="Y117" s="4836">
        <v>104</v>
      </c>
      <c r="Z117" s="4836">
        <v>103</v>
      </c>
      <c r="AA117" s="4836">
        <v>107</v>
      </c>
      <c r="AB117" s="4836">
        <v>115</v>
      </c>
      <c r="AC117" s="4836">
        <v>111</v>
      </c>
      <c r="AD117" s="4884">
        <v>118</v>
      </c>
      <c r="AE117" s="886"/>
      <c r="AF117" s="1102">
        <f t="shared" si="44"/>
        <v>107.58333333333333</v>
      </c>
      <c r="AG117" s="4836">
        <f t="shared" si="55"/>
        <v>1291</v>
      </c>
      <c r="AH117" s="4836">
        <v>124</v>
      </c>
      <c r="AI117" s="4836">
        <v>119</v>
      </c>
      <c r="AJ117" s="4836">
        <v>120</v>
      </c>
      <c r="AK117" s="4836">
        <v>123</v>
      </c>
      <c r="AL117" s="4836">
        <v>117</v>
      </c>
      <c r="AM117" s="4836">
        <v>118</v>
      </c>
      <c r="AN117" s="4836">
        <v>118</v>
      </c>
      <c r="AO117" s="4836">
        <v>116</v>
      </c>
      <c r="AP117" s="4836">
        <v>116</v>
      </c>
      <c r="AQ117" s="4836">
        <v>113</v>
      </c>
      <c r="AR117" s="4836">
        <v>111</v>
      </c>
      <c r="AS117" s="4884">
        <v>109</v>
      </c>
      <c r="AT117" s="886"/>
      <c r="AU117" s="1102">
        <f t="shared" si="45"/>
        <v>117</v>
      </c>
      <c r="AV117" s="4836"/>
      <c r="AW117" s="4836">
        <v>115</v>
      </c>
      <c r="AX117" s="4836">
        <v>117</v>
      </c>
      <c r="AY117" s="4836"/>
      <c r="AZ117" s="4836"/>
      <c r="BA117" s="4836"/>
      <c r="BB117" s="4836"/>
      <c r="BC117" s="4836"/>
      <c r="BD117" s="4836"/>
      <c r="BE117" s="4836"/>
      <c r="BF117" s="4836"/>
      <c r="BG117" s="4836"/>
      <c r="BH117" s="4884"/>
      <c r="BI117" s="886"/>
      <c r="BJ117" s="1102">
        <f t="shared" si="46"/>
        <v>116</v>
      </c>
      <c r="BK117" s="4836">
        <f t="shared" si="54"/>
        <v>1636</v>
      </c>
      <c r="BL117" s="5171">
        <v>108</v>
      </c>
      <c r="BM117" s="5172">
        <f t="shared" si="50"/>
        <v>-9</v>
      </c>
      <c r="BN117" s="5173">
        <f t="shared" si="47"/>
        <v>1.0648148148148149</v>
      </c>
      <c r="BO117" s="5174">
        <f>'※ 팀별 작성_인프라_인력'!BL21</f>
        <v>27</v>
      </c>
      <c r="BP117" s="5175">
        <f t="shared" si="48"/>
        <v>4.2592592592592595</v>
      </c>
    </row>
    <row r="118" spans="1:68" ht="15.45" thickBot="1" x14ac:dyDescent="0.6">
      <c r="A118" s="7460"/>
      <c r="B118" s="5176"/>
      <c r="C118" s="5177" t="s">
        <v>220</v>
      </c>
      <c r="D118" s="1045">
        <v>122</v>
      </c>
      <c r="E118" s="1045">
        <v>119</v>
      </c>
      <c r="F118" s="1045">
        <v>115</v>
      </c>
      <c r="G118" s="1045">
        <v>115</v>
      </c>
      <c r="H118" s="1045">
        <v>114</v>
      </c>
      <c r="I118" s="1045">
        <v>114</v>
      </c>
      <c r="J118" s="1045">
        <v>113</v>
      </c>
      <c r="K118" s="1045">
        <v>114</v>
      </c>
      <c r="L118" s="1045">
        <v>114</v>
      </c>
      <c r="M118" s="1045">
        <v>113</v>
      </c>
      <c r="N118" s="1045">
        <v>112</v>
      </c>
      <c r="O118" s="1045">
        <v>124</v>
      </c>
      <c r="P118" s="5178"/>
      <c r="Q118" s="5179">
        <f t="shared" si="42"/>
        <v>115.75</v>
      </c>
      <c r="S118" s="5180">
        <v>107</v>
      </c>
      <c r="T118" s="5180">
        <v>103</v>
      </c>
      <c r="U118" s="5180">
        <v>105</v>
      </c>
      <c r="V118" s="5180">
        <v>104</v>
      </c>
      <c r="W118" s="5180">
        <v>105</v>
      </c>
      <c r="X118" s="4877">
        <v>105</v>
      </c>
      <c r="Y118" s="4836">
        <v>112</v>
      </c>
      <c r="Z118" s="4836">
        <v>116</v>
      </c>
      <c r="AA118" s="4836">
        <v>116</v>
      </c>
      <c r="AB118" s="4836">
        <v>117</v>
      </c>
      <c r="AC118" s="4836">
        <v>115</v>
      </c>
      <c r="AD118" s="5181">
        <v>114</v>
      </c>
      <c r="AE118" s="5178"/>
      <c r="AF118" s="5182">
        <f t="shared" si="44"/>
        <v>109.91666666666667</v>
      </c>
      <c r="AG118" s="4836">
        <f t="shared" si="55"/>
        <v>1319</v>
      </c>
      <c r="AH118" s="5183">
        <v>110</v>
      </c>
      <c r="AI118" s="5180">
        <v>109</v>
      </c>
      <c r="AJ118" s="5180">
        <v>115</v>
      </c>
      <c r="AK118" s="5180">
        <v>115</v>
      </c>
      <c r="AL118" s="5180">
        <v>111</v>
      </c>
      <c r="AM118" s="4836">
        <v>110</v>
      </c>
      <c r="AN118" s="4836">
        <v>111</v>
      </c>
      <c r="AO118" s="4836">
        <v>109</v>
      </c>
      <c r="AP118" s="4836">
        <v>110</v>
      </c>
      <c r="AQ118" s="4836">
        <v>111</v>
      </c>
      <c r="AR118" s="4836">
        <v>111</v>
      </c>
      <c r="AS118" s="5181">
        <v>113</v>
      </c>
      <c r="AT118" s="5178"/>
      <c r="AU118" s="5182">
        <f t="shared" si="45"/>
        <v>111.25</v>
      </c>
      <c r="AV118" s="4836"/>
      <c r="AW118" s="5183">
        <v>113</v>
      </c>
      <c r="AX118" s="5180">
        <v>113</v>
      </c>
      <c r="AY118" s="5180"/>
      <c r="AZ118" s="5180"/>
      <c r="BA118" s="5180"/>
      <c r="BB118" s="4836"/>
      <c r="BC118" s="4836"/>
      <c r="BD118" s="4836"/>
      <c r="BE118" s="4836"/>
      <c r="BF118" s="4836"/>
      <c r="BG118" s="4836"/>
      <c r="BH118" s="5181"/>
      <c r="BI118" s="5178"/>
      <c r="BJ118" s="5182">
        <f t="shared" si="46"/>
        <v>113</v>
      </c>
      <c r="BK118" s="4836">
        <f t="shared" si="54"/>
        <v>1559.25</v>
      </c>
      <c r="BL118" s="5184">
        <v>108</v>
      </c>
      <c r="BM118" s="5172">
        <f t="shared" si="50"/>
        <v>-5</v>
      </c>
      <c r="BN118" s="5173">
        <f t="shared" si="47"/>
        <v>1.0462962962962963</v>
      </c>
      <c r="BO118" s="5185">
        <f>'※ 팀별 작성_인프라_인력'!BL22</f>
        <v>27</v>
      </c>
      <c r="BP118" s="5186">
        <f t="shared" si="48"/>
        <v>4.1851851851851851</v>
      </c>
    </row>
    <row r="119" spans="1:68" x14ac:dyDescent="0.55000000000000004">
      <c r="A119" s="7459" t="s">
        <v>225</v>
      </c>
      <c r="B119" s="5131" t="s">
        <v>240</v>
      </c>
      <c r="C119" s="5132"/>
      <c r="D119" s="5132">
        <v>420</v>
      </c>
      <c r="E119" s="5132">
        <v>423</v>
      </c>
      <c r="F119" s="5132">
        <v>420</v>
      </c>
      <c r="G119" s="5132">
        <v>414</v>
      </c>
      <c r="H119" s="5132">
        <v>410</v>
      </c>
      <c r="I119" s="5132">
        <v>409</v>
      </c>
      <c r="J119" s="5132">
        <v>415</v>
      </c>
      <c r="K119" s="5132">
        <v>404</v>
      </c>
      <c r="L119" s="5132">
        <v>401</v>
      </c>
      <c r="M119" s="5132">
        <v>401</v>
      </c>
      <c r="N119" s="5132">
        <v>402</v>
      </c>
      <c r="O119" s="5132">
        <v>387</v>
      </c>
      <c r="P119" s="5132"/>
      <c r="Q119" s="5187">
        <v>408.83333333333331</v>
      </c>
      <c r="S119" s="5133">
        <v>337</v>
      </c>
      <c r="T119" s="5133">
        <v>341</v>
      </c>
      <c r="U119" s="5133">
        <v>338</v>
      </c>
      <c r="V119" s="5133">
        <v>345</v>
      </c>
      <c r="W119" s="5133">
        <v>340</v>
      </c>
      <c r="X119" s="5135">
        <v>336</v>
      </c>
      <c r="Y119" s="5135">
        <v>325</v>
      </c>
      <c r="Z119" s="5135">
        <v>325</v>
      </c>
      <c r="AA119" s="5135">
        <v>325</v>
      </c>
      <c r="AB119" s="5135">
        <v>333</v>
      </c>
      <c r="AC119" s="5136">
        <v>333</v>
      </c>
      <c r="AD119" s="5133">
        <v>341</v>
      </c>
      <c r="AE119" s="5132"/>
      <c r="AF119" s="3680">
        <v>334.91666666666669</v>
      </c>
      <c r="AH119" s="5137">
        <v>344</v>
      </c>
      <c r="AI119" s="5133">
        <v>341</v>
      </c>
      <c r="AJ119" s="5133">
        <v>345</v>
      </c>
      <c r="AK119" s="5133">
        <v>336</v>
      </c>
      <c r="AL119" s="5133">
        <v>328</v>
      </c>
      <c r="AM119" s="5135">
        <v>322</v>
      </c>
      <c r="AN119" s="5135">
        <v>325</v>
      </c>
      <c r="AO119" s="5135">
        <v>321</v>
      </c>
      <c r="AP119" s="5135">
        <v>316</v>
      </c>
      <c r="AQ119" s="5135">
        <v>315</v>
      </c>
      <c r="AR119" s="5136">
        <v>322</v>
      </c>
      <c r="AS119" s="5133">
        <v>324</v>
      </c>
      <c r="AT119" s="5132"/>
      <c r="AU119" s="3680">
        <f t="shared" si="45"/>
        <v>328.25</v>
      </c>
      <c r="AW119" s="5137">
        <v>323</v>
      </c>
      <c r="AX119" s="5133">
        <v>320</v>
      </c>
      <c r="AY119" s="5133"/>
      <c r="AZ119" s="5133"/>
      <c r="BA119" s="5133"/>
      <c r="BB119" s="5135"/>
      <c r="BC119" s="5135"/>
      <c r="BD119" s="5135"/>
      <c r="BE119" s="5135"/>
      <c r="BF119" s="5135"/>
      <c r="BG119" s="5136"/>
      <c r="BH119" s="5133"/>
      <c r="BI119" s="5132"/>
      <c r="BJ119" s="3680">
        <f t="shared" si="46"/>
        <v>321.5</v>
      </c>
      <c r="BL119" s="5188">
        <v>331</v>
      </c>
      <c r="BM119" s="5139">
        <f t="shared" si="50"/>
        <v>11</v>
      </c>
      <c r="BN119" s="5140">
        <f t="shared" si="47"/>
        <v>0.97583081570996977</v>
      </c>
      <c r="BO119" s="5189">
        <f>SUM(BO120:BO124)</f>
        <v>50</v>
      </c>
      <c r="BP119" s="5142">
        <f t="shared" si="48"/>
        <v>6.46</v>
      </c>
    </row>
    <row r="120" spans="1:68" x14ac:dyDescent="0.55000000000000004">
      <c r="A120" s="7439"/>
      <c r="B120" s="1751" t="s">
        <v>206</v>
      </c>
      <c r="C120" s="1799"/>
      <c r="D120" s="1799">
        <v>83</v>
      </c>
      <c r="E120" s="1799">
        <v>86</v>
      </c>
      <c r="F120" s="1799">
        <v>85</v>
      </c>
      <c r="G120" s="1799">
        <v>85</v>
      </c>
      <c r="H120" s="1799">
        <v>85</v>
      </c>
      <c r="I120" s="1799">
        <v>84</v>
      </c>
      <c r="J120" s="1799">
        <v>84</v>
      </c>
      <c r="K120" s="1799">
        <v>84</v>
      </c>
      <c r="L120" s="1799">
        <v>86</v>
      </c>
      <c r="M120" s="1799">
        <v>83</v>
      </c>
      <c r="N120" s="1799">
        <v>85</v>
      </c>
      <c r="O120" s="1799">
        <v>82</v>
      </c>
      <c r="P120" s="1799"/>
      <c r="Q120" s="5190">
        <v>84.333333333333329</v>
      </c>
      <c r="S120" s="5144">
        <v>69</v>
      </c>
      <c r="T120" s="5144">
        <v>69</v>
      </c>
      <c r="U120" s="5144">
        <v>68</v>
      </c>
      <c r="V120" s="5144">
        <v>70</v>
      </c>
      <c r="W120" s="5144">
        <v>70</v>
      </c>
      <c r="X120" s="4900">
        <v>69</v>
      </c>
      <c r="Y120" s="4898">
        <v>69</v>
      </c>
      <c r="Z120" s="4898">
        <v>66</v>
      </c>
      <c r="AA120" s="4898">
        <v>66</v>
      </c>
      <c r="AB120" s="4898">
        <v>67</v>
      </c>
      <c r="AC120" s="4901">
        <v>67</v>
      </c>
      <c r="AD120" s="5144">
        <v>71</v>
      </c>
      <c r="AE120" s="1799"/>
      <c r="AF120" s="5146">
        <v>68.416666666666671</v>
      </c>
      <c r="AH120" s="5147">
        <v>72</v>
      </c>
      <c r="AI120" s="5144">
        <v>72</v>
      </c>
      <c r="AJ120" s="5144">
        <v>73</v>
      </c>
      <c r="AK120" s="5144">
        <v>71</v>
      </c>
      <c r="AL120" s="5144">
        <v>70</v>
      </c>
      <c r="AM120" s="4898">
        <v>68</v>
      </c>
      <c r="AN120" s="4898">
        <v>70</v>
      </c>
      <c r="AO120" s="4898">
        <v>68</v>
      </c>
      <c r="AP120" s="4898">
        <v>65</v>
      </c>
      <c r="AQ120" s="4898">
        <v>65</v>
      </c>
      <c r="AR120" s="4901">
        <v>65</v>
      </c>
      <c r="AS120" s="5144">
        <v>62</v>
      </c>
      <c r="AT120" s="1799"/>
      <c r="AU120" s="5146">
        <f t="shared" si="45"/>
        <v>68.416666666666671</v>
      </c>
      <c r="AW120" s="5147">
        <v>65</v>
      </c>
      <c r="AX120" s="5144">
        <v>66</v>
      </c>
      <c r="AY120" s="5144"/>
      <c r="AZ120" s="5144"/>
      <c r="BA120" s="5144"/>
      <c r="BB120" s="4898"/>
      <c r="BC120" s="4898"/>
      <c r="BD120" s="4898"/>
      <c r="BE120" s="4898"/>
      <c r="BF120" s="4898"/>
      <c r="BG120" s="4901"/>
      <c r="BH120" s="5144"/>
      <c r="BI120" s="1799"/>
      <c r="BJ120" s="5146">
        <f t="shared" si="46"/>
        <v>65.5</v>
      </c>
      <c r="BL120" s="5191">
        <v>61</v>
      </c>
      <c r="BM120" s="5149">
        <f t="shared" si="50"/>
        <v>-5</v>
      </c>
      <c r="BN120" s="5150">
        <f t="shared" si="47"/>
        <v>1.0655737704918034</v>
      </c>
      <c r="BO120" s="5192">
        <v>10</v>
      </c>
      <c r="BP120" s="5152">
        <f t="shared" si="48"/>
        <v>6.5</v>
      </c>
    </row>
    <row r="121" spans="1:68" x14ac:dyDescent="0.55000000000000004">
      <c r="A121" s="7439"/>
      <c r="B121" s="1761" t="s">
        <v>207</v>
      </c>
      <c r="C121" s="1576"/>
      <c r="D121" s="2893">
        <v>109</v>
      </c>
      <c r="E121" s="2893">
        <v>110</v>
      </c>
      <c r="F121" s="2893">
        <v>107</v>
      </c>
      <c r="G121" s="2893">
        <v>105</v>
      </c>
      <c r="H121" s="2893">
        <v>104</v>
      </c>
      <c r="I121" s="2893">
        <v>102</v>
      </c>
      <c r="J121" s="2893">
        <v>109</v>
      </c>
      <c r="K121" s="2893">
        <v>105</v>
      </c>
      <c r="L121" s="2893">
        <v>101</v>
      </c>
      <c r="M121" s="2893">
        <v>102</v>
      </c>
      <c r="N121" s="2893">
        <v>105</v>
      </c>
      <c r="O121" s="2893">
        <v>55</v>
      </c>
      <c r="P121" s="1576"/>
      <c r="Q121" s="4899">
        <v>101.16666666666667</v>
      </c>
      <c r="S121" s="4900">
        <v>43</v>
      </c>
      <c r="T121" s="4898">
        <v>45</v>
      </c>
      <c r="U121" s="4898">
        <v>44</v>
      </c>
      <c r="V121" s="4898">
        <v>49</v>
      </c>
      <c r="W121" s="4900">
        <v>50</v>
      </c>
      <c r="X121" s="4900">
        <v>47</v>
      </c>
      <c r="Y121" s="4898">
        <v>47</v>
      </c>
      <c r="Z121" s="4898">
        <v>47</v>
      </c>
      <c r="AA121" s="4898">
        <v>46</v>
      </c>
      <c r="AB121" s="4898">
        <v>49</v>
      </c>
      <c r="AC121" s="4901">
        <v>46</v>
      </c>
      <c r="AD121" s="4900">
        <v>46</v>
      </c>
      <c r="AE121" s="1576"/>
      <c r="AF121" s="2895">
        <v>46.583333333333336</v>
      </c>
      <c r="AH121" s="4901">
        <v>48</v>
      </c>
      <c r="AI121" s="4898">
        <v>49</v>
      </c>
      <c r="AJ121" s="4898">
        <v>50</v>
      </c>
      <c r="AK121" s="4898">
        <v>47</v>
      </c>
      <c r="AL121" s="4898">
        <v>45</v>
      </c>
      <c r="AM121" s="4898">
        <v>45</v>
      </c>
      <c r="AN121" s="4898">
        <v>46</v>
      </c>
      <c r="AO121" s="4898">
        <v>48</v>
      </c>
      <c r="AP121" s="4898">
        <v>43</v>
      </c>
      <c r="AQ121" s="4898">
        <v>44</v>
      </c>
      <c r="AR121" s="4901">
        <v>45</v>
      </c>
      <c r="AS121" s="4900">
        <v>45</v>
      </c>
      <c r="AT121" s="1576"/>
      <c r="AU121" s="2895">
        <f t="shared" si="45"/>
        <v>46.25</v>
      </c>
      <c r="AW121" s="4901">
        <v>46</v>
      </c>
      <c r="AX121" s="4898">
        <v>47</v>
      </c>
      <c r="AY121" s="4898"/>
      <c r="AZ121" s="4898"/>
      <c r="BA121" s="4898"/>
      <c r="BB121" s="4898"/>
      <c r="BC121" s="4898"/>
      <c r="BD121" s="4898"/>
      <c r="BE121" s="4898"/>
      <c r="BF121" s="4898"/>
      <c r="BG121" s="4901"/>
      <c r="BH121" s="4900"/>
      <c r="BI121" s="1576"/>
      <c r="BJ121" s="2895">
        <f t="shared" si="46"/>
        <v>46.5</v>
      </c>
      <c r="BL121" s="5193">
        <v>48</v>
      </c>
      <c r="BM121" s="5156">
        <f t="shared" si="50"/>
        <v>1</v>
      </c>
      <c r="BN121" s="5157">
        <f t="shared" si="47"/>
        <v>0.95833333333333337</v>
      </c>
      <c r="BO121" s="5194">
        <v>7</v>
      </c>
      <c r="BP121" s="5159">
        <f t="shared" si="48"/>
        <v>6.5714285714285712</v>
      </c>
    </row>
    <row r="122" spans="1:68" x14ac:dyDescent="0.55000000000000004">
      <c r="A122" s="7439"/>
      <c r="B122" s="1761" t="s">
        <v>208</v>
      </c>
      <c r="C122" s="1576"/>
      <c r="D122" s="2893"/>
      <c r="E122" s="2893"/>
      <c r="F122" s="2893"/>
      <c r="G122" s="2893"/>
      <c r="H122" s="2893"/>
      <c r="I122" s="2893"/>
      <c r="J122" s="2893"/>
      <c r="K122" s="2893"/>
      <c r="L122" s="2893"/>
      <c r="M122" s="2893"/>
      <c r="N122" s="2893"/>
      <c r="O122" s="2893">
        <v>49</v>
      </c>
      <c r="P122" s="1576"/>
      <c r="Q122" s="4899">
        <v>49</v>
      </c>
      <c r="S122" s="4900">
        <v>47</v>
      </c>
      <c r="T122" s="4898">
        <v>46</v>
      </c>
      <c r="U122" s="4898">
        <v>47</v>
      </c>
      <c r="V122" s="4898">
        <v>46</v>
      </c>
      <c r="W122" s="4900">
        <v>44</v>
      </c>
      <c r="X122" s="4900">
        <v>44</v>
      </c>
      <c r="Y122" s="4898">
        <v>41</v>
      </c>
      <c r="Z122" s="4898">
        <v>41</v>
      </c>
      <c r="AA122" s="4898">
        <v>43</v>
      </c>
      <c r="AB122" s="4898">
        <v>42</v>
      </c>
      <c r="AC122" s="4901">
        <v>45</v>
      </c>
      <c r="AD122" s="4900">
        <v>45</v>
      </c>
      <c r="AE122" s="1576"/>
      <c r="AF122" s="2895">
        <v>44.25</v>
      </c>
      <c r="AH122" s="4901">
        <v>44</v>
      </c>
      <c r="AI122" s="4898">
        <v>42</v>
      </c>
      <c r="AJ122" s="4898">
        <v>44</v>
      </c>
      <c r="AK122" s="4898">
        <v>44</v>
      </c>
      <c r="AL122" s="4898">
        <v>42</v>
      </c>
      <c r="AM122" s="4898">
        <v>40</v>
      </c>
      <c r="AN122" s="4898">
        <v>43</v>
      </c>
      <c r="AO122" s="4898">
        <v>43</v>
      </c>
      <c r="AP122" s="4898">
        <v>45</v>
      </c>
      <c r="AQ122" s="4898">
        <v>43</v>
      </c>
      <c r="AR122" s="4901">
        <v>41</v>
      </c>
      <c r="AS122" s="4900">
        <v>42</v>
      </c>
      <c r="AT122" s="1576"/>
      <c r="AU122" s="2895">
        <f t="shared" si="45"/>
        <v>42.75</v>
      </c>
      <c r="AW122" s="4901">
        <v>40</v>
      </c>
      <c r="AX122" s="4898">
        <v>42</v>
      </c>
      <c r="AY122" s="4898"/>
      <c r="AZ122" s="4898"/>
      <c r="BA122" s="4898"/>
      <c r="BB122" s="4898"/>
      <c r="BC122" s="4898"/>
      <c r="BD122" s="4898"/>
      <c r="BE122" s="4898"/>
      <c r="BF122" s="4898"/>
      <c r="BG122" s="4901"/>
      <c r="BH122" s="4900"/>
      <c r="BI122" s="1576"/>
      <c r="BJ122" s="2895">
        <f t="shared" si="46"/>
        <v>41</v>
      </c>
      <c r="BL122" s="5193">
        <v>46</v>
      </c>
      <c r="BM122" s="5156">
        <f t="shared" si="50"/>
        <v>4</v>
      </c>
      <c r="BN122" s="5157">
        <f t="shared" si="47"/>
        <v>0.86956521739130432</v>
      </c>
      <c r="BO122" s="5194">
        <v>7</v>
      </c>
      <c r="BP122" s="5159">
        <f t="shared" si="48"/>
        <v>5.7142857142857144</v>
      </c>
    </row>
    <row r="123" spans="1:68" x14ac:dyDescent="0.55000000000000004">
      <c r="A123" s="7439"/>
      <c r="B123" s="1761" t="s">
        <v>209</v>
      </c>
      <c r="C123" s="1576"/>
      <c r="D123" s="2893">
        <v>124</v>
      </c>
      <c r="E123" s="2893">
        <v>124</v>
      </c>
      <c r="F123" s="2893">
        <v>122</v>
      </c>
      <c r="G123" s="2893">
        <v>120</v>
      </c>
      <c r="H123" s="2893">
        <v>120</v>
      </c>
      <c r="I123" s="2893">
        <v>120</v>
      </c>
      <c r="J123" s="2893">
        <v>122</v>
      </c>
      <c r="K123" s="2893">
        <v>118</v>
      </c>
      <c r="L123" s="2893">
        <v>116</v>
      </c>
      <c r="M123" s="2893">
        <v>117</v>
      </c>
      <c r="N123" s="2893">
        <v>113</v>
      </c>
      <c r="O123" s="2893">
        <v>109</v>
      </c>
      <c r="P123" s="1576"/>
      <c r="Q123" s="4899">
        <v>118.75</v>
      </c>
      <c r="S123" s="4900">
        <v>96</v>
      </c>
      <c r="T123" s="4898">
        <v>96</v>
      </c>
      <c r="U123" s="4898">
        <v>97</v>
      </c>
      <c r="V123" s="4898">
        <v>99</v>
      </c>
      <c r="W123" s="4900">
        <v>96</v>
      </c>
      <c r="X123" s="4900">
        <v>94</v>
      </c>
      <c r="Y123" s="4898">
        <v>92</v>
      </c>
      <c r="Z123" s="4898">
        <v>93</v>
      </c>
      <c r="AA123" s="4898">
        <v>94</v>
      </c>
      <c r="AB123" s="4898">
        <v>97</v>
      </c>
      <c r="AC123" s="4901">
        <v>98</v>
      </c>
      <c r="AD123" s="4900">
        <v>100</v>
      </c>
      <c r="AE123" s="1576"/>
      <c r="AF123" s="2895">
        <v>96</v>
      </c>
      <c r="AH123" s="4901">
        <v>102</v>
      </c>
      <c r="AI123" s="4898">
        <v>103</v>
      </c>
      <c r="AJ123" s="4898">
        <v>100</v>
      </c>
      <c r="AK123" s="4898">
        <v>96</v>
      </c>
      <c r="AL123" s="4898">
        <v>97</v>
      </c>
      <c r="AM123" s="4898">
        <v>93</v>
      </c>
      <c r="AN123" s="4898">
        <v>96</v>
      </c>
      <c r="AO123" s="4898">
        <v>98</v>
      </c>
      <c r="AP123" s="4898">
        <v>102</v>
      </c>
      <c r="AQ123" s="4898">
        <v>98</v>
      </c>
      <c r="AR123" s="4901">
        <v>97</v>
      </c>
      <c r="AS123" s="4900">
        <v>99</v>
      </c>
      <c r="AT123" s="1576"/>
      <c r="AU123" s="2895">
        <f t="shared" si="45"/>
        <v>98.416666666666671</v>
      </c>
      <c r="AW123" s="4901">
        <v>97</v>
      </c>
      <c r="AX123" s="4898">
        <v>96</v>
      </c>
      <c r="AY123" s="4898"/>
      <c r="AZ123" s="4898"/>
      <c r="BA123" s="4898"/>
      <c r="BB123" s="4898"/>
      <c r="BC123" s="4898"/>
      <c r="BD123" s="4898"/>
      <c r="BE123" s="4898"/>
      <c r="BF123" s="4898"/>
      <c r="BG123" s="4901"/>
      <c r="BH123" s="4900"/>
      <c r="BI123" s="1576"/>
      <c r="BJ123" s="2895">
        <f t="shared" si="46"/>
        <v>96.5</v>
      </c>
      <c r="BL123" s="5193">
        <v>98</v>
      </c>
      <c r="BM123" s="5156">
        <f t="shared" si="50"/>
        <v>2</v>
      </c>
      <c r="BN123" s="5157">
        <f t="shared" si="47"/>
        <v>0.98979591836734693</v>
      </c>
      <c r="BO123" s="5194">
        <v>14</v>
      </c>
      <c r="BP123" s="5159">
        <f t="shared" si="48"/>
        <v>6.9285714285714288</v>
      </c>
    </row>
    <row r="124" spans="1:68" x14ac:dyDescent="0.55000000000000004">
      <c r="A124" s="7439"/>
      <c r="B124" s="1767" t="s">
        <v>210</v>
      </c>
      <c r="C124" s="1813"/>
      <c r="D124" s="1813">
        <v>104</v>
      </c>
      <c r="E124" s="1813">
        <v>103</v>
      </c>
      <c r="F124" s="1813">
        <v>106</v>
      </c>
      <c r="G124" s="1813">
        <v>104</v>
      </c>
      <c r="H124" s="1813">
        <v>101</v>
      </c>
      <c r="I124" s="1813">
        <v>103</v>
      </c>
      <c r="J124" s="1813">
        <v>100</v>
      </c>
      <c r="K124" s="1813">
        <v>97</v>
      </c>
      <c r="L124" s="1813">
        <v>98</v>
      </c>
      <c r="M124" s="1813">
        <v>99</v>
      </c>
      <c r="N124" s="1813">
        <v>99</v>
      </c>
      <c r="O124" s="1813">
        <v>92</v>
      </c>
      <c r="P124" s="1813"/>
      <c r="Q124" s="5195">
        <v>100.5</v>
      </c>
      <c r="S124" s="5161">
        <v>82</v>
      </c>
      <c r="T124" s="5161">
        <v>85</v>
      </c>
      <c r="U124" s="5161">
        <v>82</v>
      </c>
      <c r="V124" s="5161">
        <v>81</v>
      </c>
      <c r="W124" s="5161">
        <v>80</v>
      </c>
      <c r="X124" s="5161">
        <v>82</v>
      </c>
      <c r="Y124" s="5161">
        <v>76</v>
      </c>
      <c r="Z124" s="5161">
        <v>78</v>
      </c>
      <c r="AA124" s="5161">
        <v>76</v>
      </c>
      <c r="AB124" s="5161">
        <v>78</v>
      </c>
      <c r="AC124" s="5163">
        <v>77</v>
      </c>
      <c r="AD124" s="5161">
        <v>79</v>
      </c>
      <c r="AE124" s="1813"/>
      <c r="AF124" s="5164">
        <v>79.666666666666671</v>
      </c>
      <c r="AH124" s="5163">
        <v>78</v>
      </c>
      <c r="AI124" s="5161">
        <v>75</v>
      </c>
      <c r="AJ124" s="5161">
        <v>78</v>
      </c>
      <c r="AK124" s="5161">
        <v>78</v>
      </c>
      <c r="AL124" s="5161">
        <v>74</v>
      </c>
      <c r="AM124" s="5161">
        <v>76</v>
      </c>
      <c r="AN124" s="5161">
        <v>70</v>
      </c>
      <c r="AO124" s="5161">
        <v>64</v>
      </c>
      <c r="AP124" s="5161">
        <v>61</v>
      </c>
      <c r="AQ124" s="5161">
        <v>65</v>
      </c>
      <c r="AR124" s="5163">
        <v>74</v>
      </c>
      <c r="AS124" s="5161">
        <v>76</v>
      </c>
      <c r="AT124" s="1813"/>
      <c r="AU124" s="5164">
        <f t="shared" si="45"/>
        <v>72.416666666666671</v>
      </c>
      <c r="AW124" s="5163">
        <v>75</v>
      </c>
      <c r="AX124" s="5161">
        <v>69</v>
      </c>
      <c r="AY124" s="5161"/>
      <c r="AZ124" s="5161"/>
      <c r="BA124" s="5161"/>
      <c r="BB124" s="5161"/>
      <c r="BC124" s="5161"/>
      <c r="BD124" s="5161"/>
      <c r="BE124" s="5161"/>
      <c r="BF124" s="5161"/>
      <c r="BG124" s="5163"/>
      <c r="BH124" s="5161"/>
      <c r="BI124" s="1813"/>
      <c r="BJ124" s="5164">
        <f t="shared" si="46"/>
        <v>72</v>
      </c>
      <c r="BL124" s="5196">
        <v>78</v>
      </c>
      <c r="BM124" s="5166">
        <f t="shared" si="50"/>
        <v>9</v>
      </c>
      <c r="BN124" s="5167">
        <f t="shared" si="47"/>
        <v>0.96153846153846156</v>
      </c>
      <c r="BO124" s="5197">
        <v>12</v>
      </c>
      <c r="BP124" s="5169">
        <f t="shared" si="48"/>
        <v>6.25</v>
      </c>
    </row>
    <row r="125" spans="1:68" x14ac:dyDescent="0.55000000000000004">
      <c r="A125" s="7439"/>
      <c r="B125" s="1822"/>
      <c r="C125" s="5597" t="s">
        <v>226</v>
      </c>
      <c r="D125" s="5598">
        <v>56</v>
      </c>
      <c r="E125" s="5598">
        <v>57</v>
      </c>
      <c r="F125" s="5598">
        <v>56</v>
      </c>
      <c r="G125" s="5598">
        <v>56</v>
      </c>
      <c r="H125" s="5598">
        <v>55</v>
      </c>
      <c r="I125" s="5598">
        <v>55</v>
      </c>
      <c r="J125" s="5598">
        <v>55</v>
      </c>
      <c r="K125" s="5598">
        <v>55</v>
      </c>
      <c r="L125" s="5598">
        <v>56</v>
      </c>
      <c r="M125" s="5598">
        <v>56</v>
      </c>
      <c r="N125" s="5598">
        <v>57</v>
      </c>
      <c r="O125" s="5598">
        <v>53</v>
      </c>
      <c r="P125" s="5599"/>
      <c r="Q125" s="5600">
        <v>55.583333333333336</v>
      </c>
      <c r="S125" s="4877">
        <v>47</v>
      </c>
      <c r="T125" s="4836">
        <v>47</v>
      </c>
      <c r="U125" s="4836">
        <v>46</v>
      </c>
      <c r="V125" s="4836">
        <v>47</v>
      </c>
      <c r="W125" s="4877">
        <v>42</v>
      </c>
      <c r="X125" s="4877">
        <v>45</v>
      </c>
      <c r="Y125" s="4836">
        <v>45</v>
      </c>
      <c r="Z125" s="4836">
        <v>45</v>
      </c>
      <c r="AA125" s="4836">
        <v>45</v>
      </c>
      <c r="AB125" s="4837">
        <v>46</v>
      </c>
      <c r="AC125" s="5198">
        <v>46</v>
      </c>
      <c r="AD125" s="4884">
        <v>48</v>
      </c>
      <c r="AE125" s="5599"/>
      <c r="AF125" s="5601">
        <v>45.75</v>
      </c>
      <c r="AH125" s="5213">
        <v>49</v>
      </c>
      <c r="AI125" s="5213">
        <v>49</v>
      </c>
      <c r="AJ125" s="5213">
        <v>49</v>
      </c>
      <c r="AK125" s="5213">
        <v>48</v>
      </c>
      <c r="AL125" s="5213">
        <v>49</v>
      </c>
      <c r="AM125" s="5213">
        <v>47</v>
      </c>
      <c r="AN125" s="5213">
        <v>70</v>
      </c>
      <c r="AO125" s="5213">
        <v>68</v>
      </c>
      <c r="AP125" s="5213">
        <v>65</v>
      </c>
      <c r="AQ125" s="5213">
        <v>65</v>
      </c>
      <c r="AR125" s="5602">
        <v>65</v>
      </c>
      <c r="AS125" s="5212">
        <v>62</v>
      </c>
      <c r="AT125" s="5599"/>
      <c r="AU125" s="5601">
        <f t="shared" si="45"/>
        <v>57.166666666666664</v>
      </c>
      <c r="AW125" s="5213">
        <v>65</v>
      </c>
      <c r="AX125" s="5213">
        <v>66</v>
      </c>
      <c r="AY125" s="5213"/>
      <c r="AZ125" s="5213"/>
      <c r="BA125" s="5213"/>
      <c r="BB125" s="5213"/>
      <c r="BC125" s="5213"/>
      <c r="BD125" s="5213"/>
      <c r="BE125" s="5213"/>
      <c r="BF125" s="5213"/>
      <c r="BG125" s="5602"/>
      <c r="BH125" s="5212"/>
      <c r="BI125" s="5599"/>
      <c r="BJ125" s="5601">
        <f t="shared" si="46"/>
        <v>65.5</v>
      </c>
      <c r="BL125" s="5199">
        <v>61</v>
      </c>
      <c r="BM125" s="5172">
        <f t="shared" si="50"/>
        <v>-5</v>
      </c>
      <c r="BN125" s="5173"/>
      <c r="BO125" s="5200">
        <v>10</v>
      </c>
      <c r="BP125" s="5175">
        <f t="shared" si="48"/>
        <v>6.5</v>
      </c>
    </row>
    <row r="126" spans="1:68" x14ac:dyDescent="0.55000000000000004">
      <c r="A126" s="7439"/>
      <c r="B126" s="1822"/>
      <c r="C126" s="1836" t="s">
        <v>237</v>
      </c>
      <c r="D126" s="5209">
        <v>21</v>
      </c>
      <c r="E126" s="5209">
        <v>21</v>
      </c>
      <c r="F126" s="5209">
        <v>21</v>
      </c>
      <c r="G126" s="5209">
        <v>21</v>
      </c>
      <c r="H126" s="5209">
        <v>21</v>
      </c>
      <c r="I126" s="5209">
        <v>21</v>
      </c>
      <c r="J126" s="5209">
        <v>21</v>
      </c>
      <c r="K126" s="5209">
        <v>21</v>
      </c>
      <c r="L126" s="5209">
        <v>21</v>
      </c>
      <c r="M126" s="5209">
        <v>21</v>
      </c>
      <c r="N126" s="5209">
        <v>21</v>
      </c>
      <c r="O126" s="5209">
        <v>19</v>
      </c>
      <c r="P126" s="5210"/>
      <c r="Q126" s="5211">
        <v>20.833333333333332</v>
      </c>
      <c r="S126" s="4877">
        <v>18</v>
      </c>
      <c r="T126" s="4836">
        <v>18</v>
      </c>
      <c r="U126" s="4836">
        <v>18</v>
      </c>
      <c r="V126" s="4836">
        <v>18</v>
      </c>
      <c r="W126" s="4877">
        <v>18</v>
      </c>
      <c r="X126" s="4877">
        <v>18</v>
      </c>
      <c r="Y126" s="4836">
        <v>18</v>
      </c>
      <c r="Z126" s="4836">
        <v>18</v>
      </c>
      <c r="AA126" s="4836">
        <v>17</v>
      </c>
      <c r="AB126" s="4836">
        <v>17</v>
      </c>
      <c r="AC126" s="4836">
        <v>16</v>
      </c>
      <c r="AD126" s="5203">
        <v>18</v>
      </c>
      <c r="AE126" s="5210"/>
      <c r="AF126" s="5216">
        <v>17.666666666666668</v>
      </c>
      <c r="AH126" s="5213">
        <v>18</v>
      </c>
      <c r="AI126" s="5213">
        <v>18</v>
      </c>
      <c r="AJ126" s="5213">
        <v>20</v>
      </c>
      <c r="AK126" s="5213">
        <v>19</v>
      </c>
      <c r="AL126" s="5213">
        <v>20</v>
      </c>
      <c r="AM126" s="5213">
        <v>19</v>
      </c>
      <c r="AN126" s="5213">
        <v>27</v>
      </c>
      <c r="AO126" s="5213">
        <v>18</v>
      </c>
      <c r="AP126" s="5213">
        <v>17</v>
      </c>
      <c r="AQ126" s="5213">
        <v>20</v>
      </c>
      <c r="AR126" s="5213">
        <v>20</v>
      </c>
      <c r="AS126" s="5215">
        <v>20</v>
      </c>
      <c r="AT126" s="5210"/>
      <c r="AU126" s="5216">
        <f t="shared" si="45"/>
        <v>19.666666666666668</v>
      </c>
      <c r="AW126" s="5213">
        <v>20</v>
      </c>
      <c r="AX126" s="5213">
        <v>20</v>
      </c>
      <c r="AY126" s="5213"/>
      <c r="AZ126" s="5213"/>
      <c r="BA126" s="5213"/>
      <c r="BB126" s="5213"/>
      <c r="BC126" s="5213"/>
      <c r="BD126" s="5213"/>
      <c r="BE126" s="5213"/>
      <c r="BF126" s="5213"/>
      <c r="BG126" s="5213"/>
      <c r="BH126" s="5215"/>
      <c r="BI126" s="5210"/>
      <c r="BJ126" s="5216">
        <f t="shared" si="46"/>
        <v>20</v>
      </c>
      <c r="BL126" s="5199">
        <v>16</v>
      </c>
      <c r="BM126" s="5204">
        <f t="shared" si="50"/>
        <v>-4</v>
      </c>
      <c r="BN126" s="5205"/>
      <c r="BO126" s="5206"/>
      <c r="BP126" s="5207"/>
    </row>
    <row r="127" spans="1:68" x14ac:dyDescent="0.55000000000000004">
      <c r="A127" s="7439"/>
      <c r="B127" s="1822"/>
      <c r="C127" s="5218" t="s">
        <v>227</v>
      </c>
      <c r="D127" s="615">
        <v>51</v>
      </c>
      <c r="E127" s="615">
        <v>51</v>
      </c>
      <c r="F127" s="615">
        <v>50</v>
      </c>
      <c r="G127" s="615">
        <v>50</v>
      </c>
      <c r="H127" s="615">
        <v>49</v>
      </c>
      <c r="I127" s="615">
        <v>46</v>
      </c>
      <c r="J127" s="615">
        <v>49</v>
      </c>
      <c r="K127" s="615">
        <v>49</v>
      </c>
      <c r="L127" s="615">
        <v>44</v>
      </c>
      <c r="M127" s="615">
        <v>45</v>
      </c>
      <c r="N127" s="615">
        <v>47</v>
      </c>
      <c r="O127" s="615">
        <v>55</v>
      </c>
      <c r="P127" s="5201"/>
      <c r="Q127" s="5202">
        <v>48.833333333333336</v>
      </c>
      <c r="S127" s="4877">
        <v>43</v>
      </c>
      <c r="T127" s="4836">
        <v>45</v>
      </c>
      <c r="U127" s="4836">
        <v>44</v>
      </c>
      <c r="V127" s="4836">
        <v>49</v>
      </c>
      <c r="W127" s="4877">
        <v>50</v>
      </c>
      <c r="X127" s="4877">
        <v>47</v>
      </c>
      <c r="Y127" s="4836">
        <v>47</v>
      </c>
      <c r="Z127" s="4836">
        <v>47</v>
      </c>
      <c r="AA127" s="4836">
        <v>46</v>
      </c>
      <c r="AB127" s="4836">
        <v>49</v>
      </c>
      <c r="AC127" s="4836">
        <v>46</v>
      </c>
      <c r="AD127" s="5203">
        <v>46</v>
      </c>
      <c r="AE127" s="5201"/>
      <c r="AF127" s="3376">
        <v>46.583333333333336</v>
      </c>
      <c r="AH127" s="4836">
        <v>48</v>
      </c>
      <c r="AI127" s="4836">
        <v>49</v>
      </c>
      <c r="AJ127" s="4836">
        <v>50</v>
      </c>
      <c r="AK127" s="4836">
        <v>47</v>
      </c>
      <c r="AL127" s="4836">
        <v>45</v>
      </c>
      <c r="AM127" s="4836">
        <v>45</v>
      </c>
      <c r="AN127" s="4836">
        <v>46</v>
      </c>
      <c r="AO127" s="4836">
        <v>48</v>
      </c>
      <c r="AP127" s="4836">
        <v>43</v>
      </c>
      <c r="AQ127" s="4836">
        <v>44</v>
      </c>
      <c r="AR127" s="4836">
        <v>45</v>
      </c>
      <c r="AS127" s="5203">
        <v>45</v>
      </c>
      <c r="AT127" s="5201"/>
      <c r="AU127" s="3376">
        <f t="shared" si="45"/>
        <v>46.25</v>
      </c>
      <c r="AW127" s="4836">
        <v>46</v>
      </c>
      <c r="AX127" s="4836">
        <v>47</v>
      </c>
      <c r="AY127" s="4836"/>
      <c r="AZ127" s="4836"/>
      <c r="BA127" s="4836"/>
      <c r="BB127" s="4836"/>
      <c r="BC127" s="4836"/>
      <c r="BD127" s="4836"/>
      <c r="BE127" s="4836"/>
      <c r="BF127" s="4836"/>
      <c r="BG127" s="4836"/>
      <c r="BH127" s="5203"/>
      <c r="BI127" s="5201"/>
      <c r="BJ127" s="3376">
        <f t="shared" si="46"/>
        <v>46.5</v>
      </c>
      <c r="BL127" s="5199">
        <v>48</v>
      </c>
      <c r="BM127" s="5172">
        <f t="shared" si="50"/>
        <v>1</v>
      </c>
      <c r="BN127" s="5173"/>
      <c r="BO127" s="5200">
        <v>7</v>
      </c>
      <c r="BP127" s="5175">
        <f>AW127/BO127</f>
        <v>6.5714285714285712</v>
      </c>
    </row>
    <row r="128" spans="1:68" x14ac:dyDescent="0.55000000000000004">
      <c r="A128" s="7439"/>
      <c r="B128" s="1822"/>
      <c r="C128" s="5219" t="s">
        <v>633</v>
      </c>
      <c r="D128" s="615">
        <v>17</v>
      </c>
      <c r="E128" s="615">
        <v>16</v>
      </c>
      <c r="F128" s="615">
        <v>16</v>
      </c>
      <c r="G128" s="615">
        <v>16</v>
      </c>
      <c r="H128" s="615">
        <v>16</v>
      </c>
      <c r="I128" s="615">
        <v>16</v>
      </c>
      <c r="J128" s="615">
        <v>16</v>
      </c>
      <c r="K128" s="615">
        <v>15</v>
      </c>
      <c r="L128" s="615">
        <v>13</v>
      </c>
      <c r="M128" s="615">
        <v>14</v>
      </c>
      <c r="N128" s="615">
        <v>14</v>
      </c>
      <c r="O128" s="615">
        <v>22</v>
      </c>
      <c r="P128" s="5201"/>
      <c r="Q128" s="5202">
        <v>15.916666666666666</v>
      </c>
      <c r="S128" s="4877">
        <v>16</v>
      </c>
      <c r="T128" s="4836">
        <v>16</v>
      </c>
      <c r="U128" s="4836">
        <v>17</v>
      </c>
      <c r="V128" s="4836">
        <v>21</v>
      </c>
      <c r="W128" s="4877">
        <v>21</v>
      </c>
      <c r="X128" s="4877">
        <v>21</v>
      </c>
      <c r="Y128" s="4836">
        <v>22</v>
      </c>
      <c r="Z128" s="4836">
        <v>23</v>
      </c>
      <c r="AA128" s="4836">
        <v>22</v>
      </c>
      <c r="AB128" s="4836">
        <v>20</v>
      </c>
      <c r="AC128" s="4836">
        <v>19</v>
      </c>
      <c r="AD128" s="5203">
        <v>19</v>
      </c>
      <c r="AE128" s="5201"/>
      <c r="AF128" s="3376">
        <v>19.75</v>
      </c>
      <c r="AH128" s="4836">
        <v>19</v>
      </c>
      <c r="AI128" s="4836">
        <v>19</v>
      </c>
      <c r="AJ128" s="4836">
        <v>20</v>
      </c>
      <c r="AK128" s="4836">
        <v>20</v>
      </c>
      <c r="AL128" s="4836">
        <v>18</v>
      </c>
      <c r="AM128" s="4836">
        <v>18</v>
      </c>
      <c r="AN128" s="4836">
        <v>18</v>
      </c>
      <c r="AO128" s="4836">
        <v>20</v>
      </c>
      <c r="AP128" s="4836">
        <v>17</v>
      </c>
      <c r="AQ128" s="4836">
        <v>19</v>
      </c>
      <c r="AR128" s="4836">
        <v>19</v>
      </c>
      <c r="AS128" s="5203">
        <v>20</v>
      </c>
      <c r="AT128" s="5201"/>
      <c r="AU128" s="3376">
        <f t="shared" si="45"/>
        <v>18.916666666666668</v>
      </c>
      <c r="AW128" s="4836">
        <v>18</v>
      </c>
      <c r="AX128" s="4836">
        <v>19</v>
      </c>
      <c r="AY128" s="4836"/>
      <c r="AZ128" s="4836"/>
      <c r="BA128" s="4836"/>
      <c r="BB128" s="4836"/>
      <c r="BC128" s="4836"/>
      <c r="BD128" s="4836"/>
      <c r="BE128" s="4836"/>
      <c r="BF128" s="4836"/>
      <c r="BG128" s="4836"/>
      <c r="BH128" s="5203"/>
      <c r="BI128" s="5201"/>
      <c r="BJ128" s="3376">
        <f t="shared" si="46"/>
        <v>18.5</v>
      </c>
      <c r="BL128" s="5199">
        <v>17</v>
      </c>
      <c r="BM128" s="5204">
        <f t="shared" si="50"/>
        <v>-2</v>
      </c>
      <c r="BN128" s="5205"/>
      <c r="BO128" s="5206"/>
      <c r="BP128" s="5207"/>
    </row>
    <row r="129" spans="1:68" x14ac:dyDescent="0.55000000000000004">
      <c r="A129" s="7439"/>
      <c r="B129" s="1822"/>
      <c r="C129" s="5208" t="s">
        <v>228</v>
      </c>
      <c r="D129" s="5209">
        <v>58</v>
      </c>
      <c r="E129" s="5209">
        <v>59</v>
      </c>
      <c r="F129" s="5209">
        <v>57</v>
      </c>
      <c r="G129" s="5209">
        <v>55</v>
      </c>
      <c r="H129" s="5209">
        <v>55</v>
      </c>
      <c r="I129" s="5209">
        <v>56</v>
      </c>
      <c r="J129" s="5209">
        <v>60</v>
      </c>
      <c r="K129" s="5209">
        <v>56</v>
      </c>
      <c r="L129" s="5209">
        <v>57</v>
      </c>
      <c r="M129" s="5209">
        <v>57</v>
      </c>
      <c r="N129" s="5209">
        <v>58</v>
      </c>
      <c r="O129" s="5209">
        <v>49</v>
      </c>
      <c r="P129" s="5210"/>
      <c r="Q129" s="5211">
        <v>56.416666666666664</v>
      </c>
      <c r="S129" s="5212">
        <v>47</v>
      </c>
      <c r="T129" s="5213">
        <v>46</v>
      </c>
      <c r="U129" s="5213">
        <v>47</v>
      </c>
      <c r="V129" s="5213">
        <v>46</v>
      </c>
      <c r="W129" s="5212">
        <v>44</v>
      </c>
      <c r="X129" s="5212">
        <v>44</v>
      </c>
      <c r="Y129" s="5213">
        <v>41</v>
      </c>
      <c r="Z129" s="5213">
        <v>41</v>
      </c>
      <c r="AA129" s="5213">
        <v>43</v>
      </c>
      <c r="AB129" s="5213">
        <v>42</v>
      </c>
      <c r="AC129" s="5214">
        <v>45</v>
      </c>
      <c r="AD129" s="5215">
        <v>45</v>
      </c>
      <c r="AE129" s="5210"/>
      <c r="AF129" s="5216">
        <v>44.25</v>
      </c>
      <c r="AH129" s="5214">
        <v>44</v>
      </c>
      <c r="AI129" s="5213">
        <v>42</v>
      </c>
      <c r="AJ129" s="5213">
        <v>44</v>
      </c>
      <c r="AK129" s="5213">
        <v>44</v>
      </c>
      <c r="AL129" s="5213">
        <v>42</v>
      </c>
      <c r="AM129" s="5213">
        <v>40</v>
      </c>
      <c r="AN129" s="5213">
        <v>43</v>
      </c>
      <c r="AO129" s="5213">
        <v>43</v>
      </c>
      <c r="AP129" s="5213">
        <v>45</v>
      </c>
      <c r="AQ129" s="5213">
        <v>43</v>
      </c>
      <c r="AR129" s="5214">
        <v>41</v>
      </c>
      <c r="AS129" s="5215">
        <v>42</v>
      </c>
      <c r="AT129" s="5210"/>
      <c r="AU129" s="5216">
        <f t="shared" si="45"/>
        <v>42.75</v>
      </c>
      <c r="AW129" s="5214">
        <v>40</v>
      </c>
      <c r="AX129" s="5213">
        <v>42</v>
      </c>
      <c r="AY129" s="5213"/>
      <c r="AZ129" s="5213"/>
      <c r="BA129" s="5213"/>
      <c r="BB129" s="5213"/>
      <c r="BC129" s="5213"/>
      <c r="BD129" s="5213"/>
      <c r="BE129" s="5213"/>
      <c r="BF129" s="5213"/>
      <c r="BG129" s="5214"/>
      <c r="BH129" s="5215"/>
      <c r="BI129" s="5210"/>
      <c r="BJ129" s="5216">
        <f t="shared" si="46"/>
        <v>41</v>
      </c>
      <c r="BL129" s="5220">
        <v>46</v>
      </c>
      <c r="BM129" s="5172">
        <f t="shared" si="50"/>
        <v>4</v>
      </c>
      <c r="BN129" s="5173"/>
      <c r="BO129" s="5221">
        <v>7</v>
      </c>
      <c r="BP129" s="5175">
        <f>AW129/BO129</f>
        <v>5.7142857142857144</v>
      </c>
    </row>
    <row r="130" spans="1:68" x14ac:dyDescent="0.55000000000000004">
      <c r="A130" s="7439"/>
      <c r="B130" s="1822"/>
      <c r="C130" s="5217" t="s">
        <v>633</v>
      </c>
      <c r="D130" s="5209">
        <v>21</v>
      </c>
      <c r="E130" s="5209">
        <v>22</v>
      </c>
      <c r="F130" s="5209">
        <v>21</v>
      </c>
      <c r="G130" s="5209">
        <v>21</v>
      </c>
      <c r="H130" s="5209">
        <v>21</v>
      </c>
      <c r="I130" s="5209">
        <v>21</v>
      </c>
      <c r="J130" s="5209">
        <v>24</v>
      </c>
      <c r="K130" s="5209">
        <v>22</v>
      </c>
      <c r="L130" s="5209">
        <v>22</v>
      </c>
      <c r="M130" s="5209">
        <v>22</v>
      </c>
      <c r="N130" s="5209">
        <v>21</v>
      </c>
      <c r="O130" s="5209">
        <v>20</v>
      </c>
      <c r="P130" s="5210"/>
      <c r="Q130" s="5211">
        <v>21.5</v>
      </c>
      <c r="S130" s="5212">
        <v>21</v>
      </c>
      <c r="T130" s="5213">
        <v>20</v>
      </c>
      <c r="U130" s="5213">
        <v>20</v>
      </c>
      <c r="V130" s="5213">
        <v>20</v>
      </c>
      <c r="W130" s="5212">
        <v>19</v>
      </c>
      <c r="X130" s="5212">
        <v>20</v>
      </c>
      <c r="Y130" s="5213">
        <v>19</v>
      </c>
      <c r="Z130" s="5213">
        <v>19</v>
      </c>
      <c r="AA130" s="5213">
        <v>17</v>
      </c>
      <c r="AB130" s="5213">
        <v>16</v>
      </c>
      <c r="AC130" s="5214">
        <v>17</v>
      </c>
      <c r="AD130" s="5215">
        <v>16</v>
      </c>
      <c r="AE130" s="5210"/>
      <c r="AF130" s="5216">
        <v>18.666666666666668</v>
      </c>
      <c r="AH130" s="5214">
        <v>16</v>
      </c>
      <c r="AI130" s="5213">
        <v>16</v>
      </c>
      <c r="AJ130" s="5213">
        <v>17</v>
      </c>
      <c r="AK130" s="5213">
        <v>17</v>
      </c>
      <c r="AL130" s="5213">
        <v>17</v>
      </c>
      <c r="AM130" s="5213">
        <v>17</v>
      </c>
      <c r="AN130" s="5213">
        <v>17</v>
      </c>
      <c r="AO130" s="5213">
        <v>17</v>
      </c>
      <c r="AP130" s="5213">
        <v>19</v>
      </c>
      <c r="AQ130" s="5213">
        <v>17</v>
      </c>
      <c r="AR130" s="5214">
        <v>15</v>
      </c>
      <c r="AS130" s="5215">
        <v>15</v>
      </c>
      <c r="AT130" s="5210"/>
      <c r="AU130" s="5216">
        <f t="shared" si="45"/>
        <v>16.666666666666668</v>
      </c>
      <c r="AW130" s="5214">
        <v>13</v>
      </c>
      <c r="AX130" s="5213">
        <v>14</v>
      </c>
      <c r="AY130" s="5213"/>
      <c r="AZ130" s="5213"/>
      <c r="BA130" s="5213"/>
      <c r="BB130" s="5213"/>
      <c r="BC130" s="5213"/>
      <c r="BD130" s="5213"/>
      <c r="BE130" s="5213"/>
      <c r="BF130" s="5213"/>
      <c r="BG130" s="5214"/>
      <c r="BH130" s="5215"/>
      <c r="BI130" s="5210"/>
      <c r="BJ130" s="5216">
        <f t="shared" si="46"/>
        <v>13.5</v>
      </c>
      <c r="BL130" s="5220">
        <v>15</v>
      </c>
      <c r="BM130" s="5204">
        <f t="shared" si="50"/>
        <v>1</v>
      </c>
      <c r="BN130" s="5205"/>
      <c r="BO130" s="5206"/>
      <c r="BP130" s="5207"/>
    </row>
    <row r="131" spans="1:68" x14ac:dyDescent="0.55000000000000004">
      <c r="A131" s="7439"/>
      <c r="B131" s="1822"/>
      <c r="C131" s="5218" t="s">
        <v>229</v>
      </c>
      <c r="D131" s="615">
        <v>71</v>
      </c>
      <c r="E131" s="615">
        <v>71</v>
      </c>
      <c r="F131" s="615">
        <v>71</v>
      </c>
      <c r="G131" s="615">
        <v>68</v>
      </c>
      <c r="H131" s="615">
        <v>68</v>
      </c>
      <c r="I131" s="615">
        <v>69</v>
      </c>
      <c r="J131" s="615">
        <v>71</v>
      </c>
      <c r="K131" s="615">
        <v>68</v>
      </c>
      <c r="L131" s="615">
        <v>66</v>
      </c>
      <c r="M131" s="615">
        <v>65</v>
      </c>
      <c r="N131" s="615">
        <v>63</v>
      </c>
      <c r="O131" s="615">
        <v>61</v>
      </c>
      <c r="P131" s="5201"/>
      <c r="Q131" s="5202">
        <v>67.666666666666671</v>
      </c>
      <c r="S131" s="4877">
        <v>53</v>
      </c>
      <c r="T131" s="4836">
        <v>53</v>
      </c>
      <c r="U131" s="4836">
        <v>52</v>
      </c>
      <c r="V131" s="4836">
        <v>54</v>
      </c>
      <c r="W131" s="4877">
        <v>54</v>
      </c>
      <c r="X131" s="4877">
        <v>53</v>
      </c>
      <c r="Y131" s="4836">
        <v>52</v>
      </c>
      <c r="Z131" s="4836">
        <v>52</v>
      </c>
      <c r="AA131" s="4836">
        <v>53</v>
      </c>
      <c r="AB131" s="4836">
        <v>55</v>
      </c>
      <c r="AC131" s="4836">
        <v>57</v>
      </c>
      <c r="AD131" s="5203">
        <v>58</v>
      </c>
      <c r="AE131" s="5201"/>
      <c r="AF131" s="3376">
        <v>53.833333333333336</v>
      </c>
      <c r="AH131" s="4836">
        <v>60</v>
      </c>
      <c r="AI131" s="4836">
        <v>60</v>
      </c>
      <c r="AJ131" s="4836">
        <v>58</v>
      </c>
      <c r="AK131" s="4836">
        <v>55</v>
      </c>
      <c r="AL131" s="4836">
        <v>56</v>
      </c>
      <c r="AM131" s="4836">
        <v>54</v>
      </c>
      <c r="AN131" s="4836">
        <v>57</v>
      </c>
      <c r="AO131" s="4836">
        <v>58</v>
      </c>
      <c r="AP131" s="4836">
        <v>59</v>
      </c>
      <c r="AQ131" s="4836">
        <v>56</v>
      </c>
      <c r="AR131" s="4836">
        <v>56</v>
      </c>
      <c r="AS131" s="5203">
        <v>58</v>
      </c>
      <c r="AT131" s="5201"/>
      <c r="AU131" s="3376">
        <f t="shared" si="45"/>
        <v>57.25</v>
      </c>
      <c r="AW131" s="4836">
        <v>56</v>
      </c>
      <c r="AX131" s="4836">
        <v>55</v>
      </c>
      <c r="AY131" s="4836"/>
      <c r="AZ131" s="4836"/>
      <c r="BA131" s="4836"/>
      <c r="BB131" s="4836"/>
      <c r="BC131" s="4836"/>
      <c r="BD131" s="4836"/>
      <c r="BE131" s="4836"/>
      <c r="BF131" s="4836"/>
      <c r="BG131" s="4836"/>
      <c r="BH131" s="5203"/>
      <c r="BI131" s="5201"/>
      <c r="BJ131" s="3376">
        <f t="shared" si="46"/>
        <v>55.5</v>
      </c>
      <c r="BL131" s="5199">
        <v>56</v>
      </c>
      <c r="BM131" s="5172">
        <f t="shared" si="50"/>
        <v>1</v>
      </c>
      <c r="BN131" s="5173"/>
      <c r="BO131" s="5200">
        <v>8</v>
      </c>
      <c r="BP131" s="5175">
        <f>AW131/BO131</f>
        <v>7</v>
      </c>
    </row>
    <row r="132" spans="1:68" x14ac:dyDescent="0.55000000000000004">
      <c r="A132" s="7439"/>
      <c r="B132" s="1822"/>
      <c r="C132" s="5219" t="s">
        <v>633</v>
      </c>
      <c r="D132" s="615">
        <v>30</v>
      </c>
      <c r="E132" s="615">
        <v>29</v>
      </c>
      <c r="F132" s="615">
        <v>29</v>
      </c>
      <c r="G132" s="615">
        <v>27</v>
      </c>
      <c r="H132" s="615">
        <v>27</v>
      </c>
      <c r="I132" s="615">
        <v>27</v>
      </c>
      <c r="J132" s="615">
        <v>27</v>
      </c>
      <c r="K132" s="615">
        <v>25</v>
      </c>
      <c r="L132" s="615">
        <v>25</v>
      </c>
      <c r="M132" s="615">
        <v>25</v>
      </c>
      <c r="N132" s="615">
        <v>24</v>
      </c>
      <c r="O132" s="615">
        <v>24</v>
      </c>
      <c r="P132" s="5201"/>
      <c r="Q132" s="5202">
        <v>26.583333333333332</v>
      </c>
      <c r="S132" s="4877">
        <v>22</v>
      </c>
      <c r="T132" s="4836">
        <v>22</v>
      </c>
      <c r="U132" s="4836">
        <v>22</v>
      </c>
      <c r="V132" s="4836">
        <v>23</v>
      </c>
      <c r="W132" s="4877">
        <v>23</v>
      </c>
      <c r="X132" s="4877">
        <v>23</v>
      </c>
      <c r="Y132" s="4836">
        <v>23</v>
      </c>
      <c r="Z132" s="4836">
        <v>24</v>
      </c>
      <c r="AA132" s="4836">
        <v>24</v>
      </c>
      <c r="AB132" s="4836">
        <v>25</v>
      </c>
      <c r="AC132" s="4836">
        <v>24</v>
      </c>
      <c r="AD132" s="5203">
        <v>25</v>
      </c>
      <c r="AE132" s="5201"/>
      <c r="AF132" s="3376">
        <v>23.333333333333332</v>
      </c>
      <c r="AH132" s="4836">
        <v>26</v>
      </c>
      <c r="AI132" s="4836">
        <v>26</v>
      </c>
      <c r="AJ132" s="4836">
        <v>27</v>
      </c>
      <c r="AK132" s="4836">
        <v>27</v>
      </c>
      <c r="AL132" s="4836">
        <v>27</v>
      </c>
      <c r="AM132" s="4836">
        <v>25</v>
      </c>
      <c r="AN132" s="4836">
        <v>27</v>
      </c>
      <c r="AO132" s="4836">
        <v>28</v>
      </c>
      <c r="AP132" s="4836">
        <v>29</v>
      </c>
      <c r="AQ132" s="4836">
        <v>28</v>
      </c>
      <c r="AR132" s="4836">
        <v>21</v>
      </c>
      <c r="AS132" s="5203">
        <v>24</v>
      </c>
      <c r="AT132" s="5201"/>
      <c r="AU132" s="3376">
        <f t="shared" si="45"/>
        <v>26.25</v>
      </c>
      <c r="AW132" s="4836">
        <v>23</v>
      </c>
      <c r="AX132" s="4836">
        <v>23</v>
      </c>
      <c r="AY132" s="4836"/>
      <c r="AZ132" s="4836"/>
      <c r="BA132" s="4836"/>
      <c r="BB132" s="4836"/>
      <c r="BC132" s="4836"/>
      <c r="BD132" s="4836"/>
      <c r="BE132" s="4836"/>
      <c r="BF132" s="4836"/>
      <c r="BG132" s="4836"/>
      <c r="BH132" s="5203"/>
      <c r="BI132" s="5201"/>
      <c r="BJ132" s="3376">
        <f t="shared" si="46"/>
        <v>23</v>
      </c>
      <c r="BL132" s="5199">
        <v>54</v>
      </c>
      <c r="BM132" s="5204">
        <f t="shared" si="50"/>
        <v>31</v>
      </c>
      <c r="BN132" s="5205"/>
      <c r="BO132" s="5206"/>
      <c r="BP132" s="5207"/>
    </row>
    <row r="133" spans="1:68" x14ac:dyDescent="0.55000000000000004">
      <c r="A133" s="7439"/>
      <c r="B133" s="1822"/>
      <c r="C133" s="5208" t="s">
        <v>230</v>
      </c>
      <c r="D133" s="5209">
        <v>53</v>
      </c>
      <c r="E133" s="5209">
        <v>53</v>
      </c>
      <c r="F133" s="5209">
        <v>51</v>
      </c>
      <c r="G133" s="5209">
        <v>52</v>
      </c>
      <c r="H133" s="5209">
        <v>52</v>
      </c>
      <c r="I133" s="5209">
        <v>51</v>
      </c>
      <c r="J133" s="5209">
        <v>51</v>
      </c>
      <c r="K133" s="5209">
        <v>50</v>
      </c>
      <c r="L133" s="5209">
        <v>50</v>
      </c>
      <c r="M133" s="5209">
        <v>52</v>
      </c>
      <c r="N133" s="5209">
        <v>50</v>
      </c>
      <c r="O133" s="5209">
        <v>48</v>
      </c>
      <c r="P133" s="5210"/>
      <c r="Q133" s="5211">
        <v>51.083333333333336</v>
      </c>
      <c r="S133" s="5212">
        <v>43</v>
      </c>
      <c r="T133" s="5213">
        <v>43</v>
      </c>
      <c r="U133" s="5213">
        <v>45</v>
      </c>
      <c r="V133" s="5213">
        <v>45</v>
      </c>
      <c r="W133" s="5212">
        <v>42</v>
      </c>
      <c r="X133" s="5212">
        <v>41</v>
      </c>
      <c r="Y133" s="5213">
        <v>40</v>
      </c>
      <c r="Z133" s="5213">
        <v>41</v>
      </c>
      <c r="AA133" s="5213">
        <v>41</v>
      </c>
      <c r="AB133" s="5213">
        <v>42</v>
      </c>
      <c r="AC133" s="5214">
        <v>41</v>
      </c>
      <c r="AD133" s="5215">
        <v>42</v>
      </c>
      <c r="AE133" s="5210"/>
      <c r="AF133" s="5216">
        <v>42.166666666666664</v>
      </c>
      <c r="AH133" s="5214">
        <v>42</v>
      </c>
      <c r="AI133" s="5213">
        <v>43</v>
      </c>
      <c r="AJ133" s="5213">
        <v>42</v>
      </c>
      <c r="AK133" s="5213">
        <v>41</v>
      </c>
      <c r="AL133" s="5213">
        <v>41</v>
      </c>
      <c r="AM133" s="5213">
        <v>39</v>
      </c>
      <c r="AN133" s="5213">
        <v>39</v>
      </c>
      <c r="AO133" s="5213">
        <v>40</v>
      </c>
      <c r="AP133" s="5213">
        <v>43</v>
      </c>
      <c r="AQ133" s="5213">
        <v>42</v>
      </c>
      <c r="AR133" s="5214">
        <v>41</v>
      </c>
      <c r="AS133" s="5215">
        <v>41</v>
      </c>
      <c r="AT133" s="5210"/>
      <c r="AU133" s="5216">
        <f t="shared" si="45"/>
        <v>41.166666666666664</v>
      </c>
      <c r="AW133" s="5214">
        <v>41</v>
      </c>
      <c r="AX133" s="5213">
        <v>51</v>
      </c>
      <c r="AY133" s="5213"/>
      <c r="AZ133" s="5213"/>
      <c r="BA133" s="5213"/>
      <c r="BB133" s="5213"/>
      <c r="BC133" s="5213"/>
      <c r="BD133" s="5213"/>
      <c r="BE133" s="5213"/>
      <c r="BF133" s="5213"/>
      <c r="BG133" s="5214"/>
      <c r="BH133" s="5215"/>
      <c r="BI133" s="5210"/>
      <c r="BJ133" s="5216">
        <f t="shared" si="46"/>
        <v>46</v>
      </c>
      <c r="BL133" s="5220">
        <v>42</v>
      </c>
      <c r="BM133" s="5172">
        <f t="shared" si="50"/>
        <v>-9</v>
      </c>
      <c r="BN133" s="5173"/>
      <c r="BO133" s="5221">
        <v>6</v>
      </c>
      <c r="BP133" s="5175">
        <f>AW133/BO133</f>
        <v>6.833333333333333</v>
      </c>
    </row>
    <row r="134" spans="1:68" x14ac:dyDescent="0.55000000000000004">
      <c r="A134" s="7439"/>
      <c r="B134" s="1822"/>
      <c r="C134" s="5217" t="s">
        <v>633</v>
      </c>
      <c r="D134" s="5209">
        <v>21</v>
      </c>
      <c r="E134" s="5209">
        <v>21</v>
      </c>
      <c r="F134" s="5209">
        <v>20</v>
      </c>
      <c r="G134" s="5209">
        <v>20</v>
      </c>
      <c r="H134" s="5209">
        <v>20</v>
      </c>
      <c r="I134" s="5209">
        <v>20</v>
      </c>
      <c r="J134" s="5209">
        <v>20</v>
      </c>
      <c r="K134" s="5209">
        <v>19</v>
      </c>
      <c r="L134" s="5209">
        <v>19</v>
      </c>
      <c r="M134" s="5209">
        <v>19</v>
      </c>
      <c r="N134" s="5209">
        <v>18</v>
      </c>
      <c r="O134" s="5209">
        <v>17</v>
      </c>
      <c r="P134" s="5210"/>
      <c r="Q134" s="5211">
        <v>19.5</v>
      </c>
      <c r="S134" s="5212">
        <v>19</v>
      </c>
      <c r="T134" s="5213">
        <v>19</v>
      </c>
      <c r="U134" s="5213">
        <v>18</v>
      </c>
      <c r="V134" s="5213">
        <v>19</v>
      </c>
      <c r="W134" s="5212">
        <v>17</v>
      </c>
      <c r="X134" s="5212">
        <v>17</v>
      </c>
      <c r="Y134" s="5213">
        <v>17</v>
      </c>
      <c r="Z134" s="5213">
        <v>18</v>
      </c>
      <c r="AA134" s="5213">
        <v>18</v>
      </c>
      <c r="AB134" s="5213">
        <v>18</v>
      </c>
      <c r="AC134" s="5214">
        <v>18</v>
      </c>
      <c r="AD134" s="5215">
        <v>18</v>
      </c>
      <c r="AE134" s="5210"/>
      <c r="AF134" s="5216">
        <v>18</v>
      </c>
      <c r="AH134" s="5214">
        <v>18</v>
      </c>
      <c r="AI134" s="5213">
        <v>19</v>
      </c>
      <c r="AJ134" s="5213">
        <v>19</v>
      </c>
      <c r="AK134" s="5213">
        <v>18</v>
      </c>
      <c r="AL134" s="5213">
        <v>19</v>
      </c>
      <c r="AM134" s="5213">
        <v>17</v>
      </c>
      <c r="AN134" s="5213">
        <v>17</v>
      </c>
      <c r="AO134" s="5213">
        <v>17</v>
      </c>
      <c r="AP134" s="5213">
        <v>22</v>
      </c>
      <c r="AQ134" s="5213">
        <v>21</v>
      </c>
      <c r="AR134" s="5214">
        <v>16</v>
      </c>
      <c r="AS134" s="5215">
        <v>17</v>
      </c>
      <c r="AT134" s="5210"/>
      <c r="AU134" s="5216">
        <f t="shared" si="45"/>
        <v>18.333333333333332</v>
      </c>
      <c r="AW134" s="5214">
        <v>15</v>
      </c>
      <c r="AX134" s="5213">
        <v>15</v>
      </c>
      <c r="AY134" s="5213"/>
      <c r="AZ134" s="5213"/>
      <c r="BA134" s="5213"/>
      <c r="BB134" s="5213"/>
      <c r="BC134" s="5213"/>
      <c r="BD134" s="5213"/>
      <c r="BE134" s="5213"/>
      <c r="BF134" s="5213"/>
      <c r="BG134" s="5214"/>
      <c r="BH134" s="5215"/>
      <c r="BI134" s="5210"/>
      <c r="BJ134" s="5216">
        <f t="shared" si="46"/>
        <v>15</v>
      </c>
      <c r="BL134" s="5220">
        <v>16</v>
      </c>
      <c r="BM134" s="5204">
        <f t="shared" si="50"/>
        <v>1</v>
      </c>
      <c r="BN134" s="5205"/>
      <c r="BO134" s="5206"/>
      <c r="BP134" s="5207"/>
    </row>
    <row r="135" spans="1:68" x14ac:dyDescent="0.55000000000000004">
      <c r="A135" s="7439"/>
      <c r="B135" s="1822"/>
      <c r="C135" s="5218" t="s">
        <v>231</v>
      </c>
      <c r="D135" s="615">
        <v>56</v>
      </c>
      <c r="E135" s="615">
        <v>55</v>
      </c>
      <c r="F135" s="615">
        <v>56</v>
      </c>
      <c r="G135" s="615">
        <v>53</v>
      </c>
      <c r="H135" s="615">
        <v>50</v>
      </c>
      <c r="I135" s="615">
        <v>51</v>
      </c>
      <c r="J135" s="615">
        <v>51</v>
      </c>
      <c r="K135" s="615">
        <v>49</v>
      </c>
      <c r="L135" s="615">
        <v>51</v>
      </c>
      <c r="M135" s="615">
        <v>52</v>
      </c>
      <c r="N135" s="615">
        <v>52</v>
      </c>
      <c r="O135" s="615">
        <v>51</v>
      </c>
      <c r="P135" s="5201"/>
      <c r="Q135" s="5202">
        <v>52.25</v>
      </c>
      <c r="S135" s="4877">
        <v>42</v>
      </c>
      <c r="T135" s="4836">
        <v>45</v>
      </c>
      <c r="U135" s="4836">
        <v>44</v>
      </c>
      <c r="V135" s="4836">
        <v>44</v>
      </c>
      <c r="W135" s="4877">
        <v>44</v>
      </c>
      <c r="X135" s="4877">
        <v>46</v>
      </c>
      <c r="Y135" s="4836">
        <v>43</v>
      </c>
      <c r="Z135" s="4836">
        <v>44</v>
      </c>
      <c r="AA135" s="4836">
        <v>41</v>
      </c>
      <c r="AB135" s="4836">
        <v>43</v>
      </c>
      <c r="AC135" s="4836">
        <v>44</v>
      </c>
      <c r="AD135" s="5203">
        <v>45</v>
      </c>
      <c r="AE135" s="5201"/>
      <c r="AF135" s="3376">
        <v>43.75</v>
      </c>
      <c r="AH135" s="4836">
        <v>45</v>
      </c>
      <c r="AI135" s="4836">
        <v>42</v>
      </c>
      <c r="AJ135" s="4836">
        <v>45</v>
      </c>
      <c r="AK135" s="4836">
        <v>45</v>
      </c>
      <c r="AL135" s="4836">
        <v>42</v>
      </c>
      <c r="AM135" s="4836">
        <v>45</v>
      </c>
      <c r="AN135" s="4836">
        <v>40</v>
      </c>
      <c r="AO135" s="4836">
        <v>36</v>
      </c>
      <c r="AP135" s="4836">
        <v>31</v>
      </c>
      <c r="AQ135" s="4836">
        <v>32</v>
      </c>
      <c r="AR135" s="4836">
        <v>38</v>
      </c>
      <c r="AS135" s="5203">
        <v>42</v>
      </c>
      <c r="AT135" s="5201"/>
      <c r="AU135" s="3376">
        <f t="shared" si="45"/>
        <v>40.25</v>
      </c>
      <c r="AW135" s="4836">
        <v>41</v>
      </c>
      <c r="AX135" s="4836">
        <v>38</v>
      </c>
      <c r="AY135" s="4836"/>
      <c r="AZ135" s="4836"/>
      <c r="BA135" s="4836"/>
      <c r="BB135" s="4836"/>
      <c r="BC135" s="4836"/>
      <c r="BD135" s="4836"/>
      <c r="BE135" s="4836"/>
      <c r="BF135" s="4836"/>
      <c r="BG135" s="4836"/>
      <c r="BH135" s="5203"/>
      <c r="BI135" s="5201"/>
      <c r="BJ135" s="3376">
        <f t="shared" si="46"/>
        <v>39.5</v>
      </c>
      <c r="BL135" s="5199">
        <v>39</v>
      </c>
      <c r="BM135" s="5172">
        <f t="shared" si="50"/>
        <v>1</v>
      </c>
      <c r="BN135" s="5173"/>
      <c r="BO135" s="5200">
        <v>6</v>
      </c>
      <c r="BP135" s="5175">
        <f>AW135/BO135</f>
        <v>6.833333333333333</v>
      </c>
    </row>
    <row r="136" spans="1:68" x14ac:dyDescent="0.55000000000000004">
      <c r="A136" s="7439"/>
      <c r="B136" s="1822"/>
      <c r="C136" s="5219" t="s">
        <v>633</v>
      </c>
      <c r="D136" s="615">
        <v>24</v>
      </c>
      <c r="E136" s="615">
        <v>24</v>
      </c>
      <c r="F136" s="615">
        <v>24</v>
      </c>
      <c r="G136" s="615">
        <v>23</v>
      </c>
      <c r="H136" s="615">
        <v>21</v>
      </c>
      <c r="I136" s="615">
        <v>21</v>
      </c>
      <c r="J136" s="615">
        <v>21</v>
      </c>
      <c r="K136" s="615">
        <v>18</v>
      </c>
      <c r="L136" s="615">
        <v>19</v>
      </c>
      <c r="M136" s="615">
        <v>21</v>
      </c>
      <c r="N136" s="615">
        <v>24</v>
      </c>
      <c r="O136" s="615">
        <v>19</v>
      </c>
      <c r="P136" s="5201"/>
      <c r="Q136" s="5202">
        <v>21.583333333333332</v>
      </c>
      <c r="S136" s="4877">
        <v>22</v>
      </c>
      <c r="T136" s="4836">
        <v>24</v>
      </c>
      <c r="U136" s="4836">
        <v>21</v>
      </c>
      <c r="V136" s="4836">
        <v>22</v>
      </c>
      <c r="W136" s="4877">
        <v>21</v>
      </c>
      <c r="X136" s="4877">
        <v>21</v>
      </c>
      <c r="Y136" s="4836">
        <v>19</v>
      </c>
      <c r="Z136" s="4836">
        <v>21</v>
      </c>
      <c r="AA136" s="4836">
        <v>19</v>
      </c>
      <c r="AB136" s="4836">
        <v>18</v>
      </c>
      <c r="AC136" s="4836">
        <v>20</v>
      </c>
      <c r="AD136" s="5203">
        <v>20</v>
      </c>
      <c r="AE136" s="5201"/>
      <c r="AF136" s="3376">
        <v>20.666666666666668</v>
      </c>
      <c r="AH136" s="4836">
        <v>20</v>
      </c>
      <c r="AI136" s="4836">
        <v>20</v>
      </c>
      <c r="AJ136" s="4836">
        <v>22</v>
      </c>
      <c r="AK136" s="4836">
        <v>23</v>
      </c>
      <c r="AL136" s="4836">
        <v>20</v>
      </c>
      <c r="AM136" s="4836">
        <v>22</v>
      </c>
      <c r="AN136" s="4836">
        <v>18</v>
      </c>
      <c r="AO136" s="4836">
        <v>16</v>
      </c>
      <c r="AP136" s="4836">
        <v>11</v>
      </c>
      <c r="AQ136" s="4836">
        <v>11</v>
      </c>
      <c r="AR136" s="4836">
        <v>13</v>
      </c>
      <c r="AS136" s="5203">
        <v>15</v>
      </c>
      <c r="AT136" s="5201"/>
      <c r="AU136" s="3376">
        <f t="shared" si="45"/>
        <v>17.583333333333332</v>
      </c>
      <c r="AW136" s="4836">
        <v>14</v>
      </c>
      <c r="AX136" s="4836">
        <v>13</v>
      </c>
      <c r="AY136" s="4836"/>
      <c r="AZ136" s="4836"/>
      <c r="BA136" s="4836"/>
      <c r="BB136" s="4836"/>
      <c r="BC136" s="4836"/>
      <c r="BD136" s="4836"/>
      <c r="BE136" s="4836"/>
      <c r="BF136" s="4836"/>
      <c r="BG136" s="4836"/>
      <c r="BH136" s="5203"/>
      <c r="BI136" s="5201"/>
      <c r="BJ136" s="3376">
        <f t="shared" si="46"/>
        <v>13.5</v>
      </c>
      <c r="BL136" s="5199">
        <v>10</v>
      </c>
      <c r="BM136" s="5204">
        <f t="shared" si="50"/>
        <v>-3</v>
      </c>
      <c r="BN136" s="5205"/>
      <c r="BO136" s="5206"/>
      <c r="BP136" s="5207"/>
    </row>
    <row r="137" spans="1:68" x14ac:dyDescent="0.55000000000000004">
      <c r="A137" s="7439"/>
      <c r="B137" s="1822"/>
      <c r="C137" s="5208" t="s">
        <v>232</v>
      </c>
      <c r="D137" s="5209">
        <v>48</v>
      </c>
      <c r="E137" s="5209">
        <v>48</v>
      </c>
      <c r="F137" s="5209">
        <v>50</v>
      </c>
      <c r="G137" s="5209">
        <v>51</v>
      </c>
      <c r="H137" s="5209">
        <v>51</v>
      </c>
      <c r="I137" s="5209">
        <v>52</v>
      </c>
      <c r="J137" s="5209">
        <v>49</v>
      </c>
      <c r="K137" s="5209">
        <v>48</v>
      </c>
      <c r="L137" s="5209">
        <v>47</v>
      </c>
      <c r="M137" s="5209">
        <v>47</v>
      </c>
      <c r="N137" s="5209">
        <v>47</v>
      </c>
      <c r="O137" s="5209">
        <v>41</v>
      </c>
      <c r="P137" s="5210"/>
      <c r="Q137" s="5211">
        <v>48.25</v>
      </c>
      <c r="S137" s="5212">
        <v>40</v>
      </c>
      <c r="T137" s="5213">
        <v>40</v>
      </c>
      <c r="U137" s="5213">
        <v>38</v>
      </c>
      <c r="V137" s="5213">
        <v>37</v>
      </c>
      <c r="W137" s="5212">
        <v>36</v>
      </c>
      <c r="X137" s="5212">
        <v>36</v>
      </c>
      <c r="Y137" s="5213">
        <v>33</v>
      </c>
      <c r="Z137" s="5213">
        <v>34</v>
      </c>
      <c r="AA137" s="5213">
        <v>35</v>
      </c>
      <c r="AB137" s="5213">
        <v>35</v>
      </c>
      <c r="AC137" s="5214">
        <v>33</v>
      </c>
      <c r="AD137" s="5215">
        <v>34</v>
      </c>
      <c r="AE137" s="5210"/>
      <c r="AF137" s="5216">
        <v>35.916666666666664</v>
      </c>
      <c r="AH137" s="5214">
        <v>33</v>
      </c>
      <c r="AI137" s="5213">
        <v>33</v>
      </c>
      <c r="AJ137" s="5213">
        <v>33</v>
      </c>
      <c r="AK137" s="5213">
        <v>33</v>
      </c>
      <c r="AL137" s="5213">
        <v>32</v>
      </c>
      <c r="AM137" s="5213">
        <v>31</v>
      </c>
      <c r="AN137" s="5213">
        <v>30</v>
      </c>
      <c r="AO137" s="5213">
        <v>28</v>
      </c>
      <c r="AP137" s="5213">
        <v>30</v>
      </c>
      <c r="AQ137" s="5213">
        <v>33</v>
      </c>
      <c r="AR137" s="5214">
        <v>36</v>
      </c>
      <c r="AS137" s="5215">
        <v>34</v>
      </c>
      <c r="AT137" s="5210"/>
      <c r="AU137" s="5216">
        <f t="shared" si="45"/>
        <v>32.166666666666664</v>
      </c>
      <c r="AW137" s="5214">
        <v>34</v>
      </c>
      <c r="AX137" s="5213">
        <v>31</v>
      </c>
      <c r="AY137" s="5213"/>
      <c r="AZ137" s="5213"/>
      <c r="BA137" s="5213"/>
      <c r="BB137" s="5213"/>
      <c r="BC137" s="5213"/>
      <c r="BD137" s="5213"/>
      <c r="BE137" s="5213"/>
      <c r="BF137" s="5213"/>
      <c r="BG137" s="5214"/>
      <c r="BH137" s="5215"/>
      <c r="BI137" s="5210"/>
      <c r="BJ137" s="5216">
        <f t="shared" si="46"/>
        <v>32.5</v>
      </c>
      <c r="BL137" s="5220">
        <v>39</v>
      </c>
      <c r="BM137" s="5172">
        <f t="shared" si="50"/>
        <v>8</v>
      </c>
      <c r="BN137" s="5173"/>
      <c r="BO137" s="5222">
        <v>6</v>
      </c>
      <c r="BP137" s="5175">
        <f>AW137/BO137</f>
        <v>5.666666666666667</v>
      </c>
    </row>
    <row r="138" spans="1:68" ht="15.45" thickBot="1" x14ac:dyDescent="0.6">
      <c r="A138" s="4692"/>
      <c r="B138" s="5223"/>
      <c r="C138" s="5224" t="s">
        <v>633</v>
      </c>
      <c r="D138" s="5225">
        <v>17</v>
      </c>
      <c r="E138" s="5225">
        <v>17</v>
      </c>
      <c r="F138" s="5225">
        <v>18</v>
      </c>
      <c r="G138" s="5225">
        <v>19</v>
      </c>
      <c r="H138" s="5225">
        <v>19</v>
      </c>
      <c r="I138" s="5225">
        <v>21</v>
      </c>
      <c r="J138" s="5225">
        <v>20</v>
      </c>
      <c r="K138" s="5225">
        <v>18</v>
      </c>
      <c r="L138" s="5225">
        <v>16</v>
      </c>
      <c r="M138" s="5225">
        <v>17</v>
      </c>
      <c r="N138" s="5225">
        <v>17</v>
      </c>
      <c r="O138" s="5225">
        <v>13</v>
      </c>
      <c r="P138" s="5225"/>
      <c r="Q138" s="5226">
        <v>17.666666666666668</v>
      </c>
      <c r="S138" s="5227">
        <v>19</v>
      </c>
      <c r="T138" s="5227">
        <v>19</v>
      </c>
      <c r="U138" s="5227">
        <v>17</v>
      </c>
      <c r="V138" s="5227">
        <v>17</v>
      </c>
      <c r="W138" s="5227">
        <v>17</v>
      </c>
      <c r="X138" s="5227">
        <v>15</v>
      </c>
      <c r="Y138" s="5227">
        <v>13</v>
      </c>
      <c r="Z138" s="5227">
        <v>13</v>
      </c>
      <c r="AA138" s="5227">
        <v>13</v>
      </c>
      <c r="AB138" s="5227">
        <v>13</v>
      </c>
      <c r="AC138" s="5228">
        <v>12</v>
      </c>
      <c r="AD138" s="5229">
        <v>12</v>
      </c>
      <c r="AE138" s="5225"/>
      <c r="AF138" s="5230">
        <v>15</v>
      </c>
      <c r="AH138" s="5228">
        <v>11</v>
      </c>
      <c r="AI138" s="5227">
        <v>11</v>
      </c>
      <c r="AJ138" s="5227">
        <v>11</v>
      </c>
      <c r="AK138" s="5227">
        <v>13</v>
      </c>
      <c r="AL138" s="5227">
        <v>13</v>
      </c>
      <c r="AM138" s="5227">
        <v>12</v>
      </c>
      <c r="AN138" s="5227">
        <v>10</v>
      </c>
      <c r="AO138" s="5227">
        <v>8</v>
      </c>
      <c r="AP138" s="5227">
        <v>10</v>
      </c>
      <c r="AQ138" s="5227">
        <v>9</v>
      </c>
      <c r="AR138" s="5228">
        <v>11</v>
      </c>
      <c r="AS138" s="5229">
        <v>11</v>
      </c>
      <c r="AT138" s="5225"/>
      <c r="AU138" s="5230">
        <f t="shared" si="45"/>
        <v>10.833333333333334</v>
      </c>
      <c r="AW138" s="5228">
        <v>10</v>
      </c>
      <c r="AX138" s="5227">
        <v>9</v>
      </c>
      <c r="AY138" s="5227"/>
      <c r="AZ138" s="5227"/>
      <c r="BA138" s="5227"/>
      <c r="BB138" s="5227"/>
      <c r="BC138" s="5227"/>
      <c r="BD138" s="5227"/>
      <c r="BE138" s="5227"/>
      <c r="BF138" s="5227"/>
      <c r="BG138" s="5228"/>
      <c r="BH138" s="5229"/>
      <c r="BI138" s="5225"/>
      <c r="BJ138" s="5230">
        <f t="shared" si="46"/>
        <v>9.5</v>
      </c>
      <c r="BL138" s="5231">
        <v>15</v>
      </c>
      <c r="BM138" s="5232">
        <f t="shared" si="50"/>
        <v>6</v>
      </c>
      <c r="BN138" s="5233"/>
      <c r="BO138" s="5234"/>
      <c r="BP138" s="5235"/>
    </row>
    <row r="139" spans="1:68" x14ac:dyDescent="0.55000000000000004">
      <c r="AK139" s="4836"/>
      <c r="AZ139" s="4836"/>
    </row>
  </sheetData>
  <mergeCells count="14">
    <mergeCell ref="A119:A137"/>
    <mergeCell ref="A4:C4"/>
    <mergeCell ref="A5:A21"/>
    <mergeCell ref="A22:A60"/>
    <mergeCell ref="A103:A118"/>
    <mergeCell ref="A62:A65"/>
    <mergeCell ref="A66:A73"/>
    <mergeCell ref="A74:A101"/>
    <mergeCell ref="B66:C66"/>
    <mergeCell ref="B74:C74"/>
    <mergeCell ref="B62:C62"/>
    <mergeCell ref="B63:C63"/>
    <mergeCell ref="B64:C64"/>
    <mergeCell ref="B65:C65"/>
  </mergeCells>
  <phoneticPr fontId="8" type="noConversion"/>
  <pageMargins left="0.25" right="0.25" top="0.75" bottom="0.75" header="0.3" footer="0.3"/>
  <pageSetup paperSize="9" scale="45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1:BE115"/>
  <sheetViews>
    <sheetView showGridLines="0" view="pageBreakPreview" zoomScale="55" zoomScaleNormal="100" zoomScaleSheetLayoutView="55" workbookViewId="0">
      <pane xSplit="3" ySplit="6" topLeftCell="D7" activePane="bottomRight" state="frozen"/>
      <selection activeCell="AG13" sqref="AG13"/>
      <selection pane="topRight" activeCell="AG13" sqref="AG13"/>
      <selection pane="bottomLeft" activeCell="AG13" sqref="AG13"/>
      <selection pane="bottomRight" activeCell="N1" sqref="N1:S1"/>
    </sheetView>
  </sheetViews>
  <sheetFormatPr defaultColWidth="9.140625" defaultRowHeight="15" outlineLevelCol="1" x14ac:dyDescent="0.55000000000000004"/>
  <cols>
    <col min="1" max="1" width="18.35546875" style="559" customWidth="1"/>
    <col min="2" max="2" width="15" style="559" customWidth="1"/>
    <col min="3" max="3" width="15.5703125" style="559" customWidth="1"/>
    <col min="4" max="4" width="12" style="559" customWidth="1"/>
    <col min="5" max="5" width="11.5" style="559" customWidth="1"/>
    <col min="6" max="8" width="11.5" style="559" customWidth="1" outlineLevel="1"/>
    <col min="9" max="10" width="11.92578125" style="559" customWidth="1" outlineLevel="1"/>
    <col min="11" max="11" width="12" style="559" customWidth="1"/>
    <col min="12" max="13" width="11.92578125" style="559" customWidth="1" outlineLevel="1"/>
    <col min="14" max="19" width="12.92578125" style="559" customWidth="1"/>
    <col min="20" max="20" width="8.640625" style="559" customWidth="1"/>
    <col min="21" max="23" width="19" style="581" customWidth="1"/>
    <col min="24" max="29" width="8.640625" style="1150" customWidth="1"/>
    <col min="30" max="16384" width="9.140625" style="559"/>
  </cols>
  <sheetData>
    <row r="1" spans="1:57" x14ac:dyDescent="0.55000000000000004">
      <c r="C1" s="840"/>
      <c r="D1" s="840" t="s">
        <v>1207</v>
      </c>
      <c r="E1" s="840" t="s">
        <v>440</v>
      </c>
      <c r="F1" s="840" t="s">
        <v>439</v>
      </c>
      <c r="G1" s="840" t="s">
        <v>441</v>
      </c>
      <c r="H1" s="840" t="s">
        <v>620</v>
      </c>
      <c r="I1" s="840" t="s">
        <v>601</v>
      </c>
      <c r="J1" s="840" t="s">
        <v>605</v>
      </c>
      <c r="K1" s="840" t="s">
        <v>813</v>
      </c>
      <c r="L1" s="840" t="s">
        <v>685</v>
      </c>
      <c r="M1" s="840" t="s">
        <v>446</v>
      </c>
      <c r="N1" s="840" t="str">
        <f>'※ 영업품질 세부데이터'!BO1</f>
        <v>BO</v>
      </c>
      <c r="O1" s="840" t="str">
        <f>'※ 영업품질 세부데이터'!BL1</f>
        <v>BL</v>
      </c>
      <c r="P1" s="840" t="str">
        <f>'※ 영업품질 세부데이터'!BI1</f>
        <v>BI</v>
      </c>
      <c r="Q1" s="840" t="str">
        <f>'※ 영업품질 세부데이터'!BN1</f>
        <v>BN</v>
      </c>
      <c r="R1" s="840" t="str">
        <f>'※ 영업품질 세부데이터'!BJ1</f>
        <v>BJ</v>
      </c>
      <c r="S1" s="840" t="str">
        <f>'※ 영업품질 세부데이터'!BM1</f>
        <v>BM</v>
      </c>
      <c r="T1" s="844" t="s">
        <v>453</v>
      </c>
    </row>
    <row r="2" spans="1:57" ht="15.45" thickBot="1" x14ac:dyDescent="0.6">
      <c r="C2" s="840"/>
      <c r="D2" s="840"/>
      <c r="E2" s="840" t="s">
        <v>440</v>
      </c>
      <c r="F2" s="840" t="s">
        <v>439</v>
      </c>
      <c r="G2" s="840" t="s">
        <v>441</v>
      </c>
      <c r="H2" s="840" t="s">
        <v>620</v>
      </c>
      <c r="I2" s="840" t="s">
        <v>601</v>
      </c>
      <c r="J2" s="840" t="s">
        <v>605</v>
      </c>
      <c r="K2" s="840"/>
      <c r="L2" s="840" t="s">
        <v>685</v>
      </c>
      <c r="M2" s="840" t="s">
        <v>446</v>
      </c>
      <c r="N2" s="840" t="s">
        <v>448</v>
      </c>
    </row>
    <row r="3" spans="1:57" ht="60" customHeight="1" thickTop="1" thickBot="1" x14ac:dyDescent="0.6">
      <c r="A3" s="7061" t="s">
        <v>842</v>
      </c>
      <c r="B3" s="7061"/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4365"/>
    </row>
    <row r="4" spans="1:57" s="561" customFormat="1" ht="15.55" customHeight="1" thickTop="1" thickBot="1" x14ac:dyDescent="0.6">
      <c r="A4" s="564"/>
      <c r="B4" s="845"/>
      <c r="C4" s="845"/>
      <c r="D4" s="845"/>
      <c r="E4" s="1151"/>
      <c r="F4" s="1151"/>
      <c r="G4" s="1151"/>
      <c r="H4" s="1151"/>
      <c r="I4" s="1151"/>
      <c r="J4" s="1151"/>
      <c r="K4" s="845"/>
      <c r="L4" s="1151"/>
      <c r="M4" s="1151"/>
      <c r="N4" s="1151"/>
      <c r="O4" s="1151"/>
      <c r="P4" s="564"/>
      <c r="Q4" s="564"/>
      <c r="R4" s="564"/>
      <c r="S4" s="564"/>
      <c r="T4" s="564"/>
      <c r="U4" s="564"/>
      <c r="V4" s="564"/>
      <c r="W4" s="564"/>
      <c r="X4" s="564"/>
      <c r="AB4" s="562"/>
      <c r="AD4" s="562"/>
      <c r="AE4" s="562"/>
      <c r="AF4" s="563"/>
      <c r="AH4" s="562"/>
      <c r="AI4" s="563"/>
      <c r="BA4" s="566"/>
      <c r="BB4" s="566"/>
      <c r="BC4" s="566"/>
      <c r="BD4" s="566"/>
      <c r="BE4" s="566"/>
    </row>
    <row r="5" spans="1:57" ht="21.55" customHeight="1" thickBot="1" x14ac:dyDescent="0.6">
      <c r="B5" s="567"/>
      <c r="C5" s="567"/>
      <c r="D5" s="1152"/>
      <c r="E5" s="7062" t="s">
        <v>1050</v>
      </c>
      <c r="F5" s="7063"/>
      <c r="G5" s="7063"/>
      <c r="H5" s="7063"/>
      <c r="I5" s="7063"/>
      <c r="J5" s="7419"/>
      <c r="K5" s="1152"/>
      <c r="L5" s="7400"/>
      <c r="M5" s="7063"/>
      <c r="N5" s="7063"/>
      <c r="O5" s="7065"/>
      <c r="P5" s="7071" t="str">
        <f>"연간누적실적(~"&amp;MONTH('※ 영업품질 세부데이터'!A1)&amp;"월)"</f>
        <v>연간누적실적(~2월)</v>
      </c>
      <c r="Q5" s="7072"/>
      <c r="R5" s="7072"/>
      <c r="S5" s="7073"/>
    </row>
    <row r="6" spans="1:57" ht="21.55" customHeight="1" thickBot="1" x14ac:dyDescent="0.6">
      <c r="A6" s="7487" t="s">
        <v>124</v>
      </c>
      <c r="B6" s="7323"/>
      <c r="C6" s="7323"/>
      <c r="D6" s="1153" t="s">
        <v>1123</v>
      </c>
      <c r="E6" s="1154" t="str" cm="1">
        <f t="array" aca="1" ref="E6" ca="1">INDIRECT("'※ 영업품질 세부데이터'!"&amp;E$1&amp;$T6, TRUE)</f>
        <v>'25.1월</v>
      </c>
      <c r="F6" s="1155" t="str" cm="1">
        <f t="array" aca="1" ref="F6" ca="1">INDIRECT("'※ 영업품질 세부데이터'!"&amp;F$1&amp;$T6, TRUE)</f>
        <v>'25.2월</v>
      </c>
      <c r="G6" s="1155" t="str" cm="1">
        <f t="array" aca="1" ref="G6" ca="1">INDIRECT("'※ 영업품질 세부데이터'!"&amp;G$1&amp;$T6, TRUE)</f>
        <v>'25.3월</v>
      </c>
      <c r="H6" s="1155" t="str" cm="1">
        <f t="array" aca="1" ref="H6" ca="1">INDIRECT("'※ 영업품질 세부데이터'!"&amp;H$1&amp;$T6, TRUE)</f>
        <v>'25.4월</v>
      </c>
      <c r="I6" s="1155" t="str" cm="1">
        <f t="array" aca="1" ref="I6" ca="1">INDIRECT("'※ 영업품질 세부데이터'!"&amp;I$1&amp;$T6, TRUE)</f>
        <v>'25.5월</v>
      </c>
      <c r="J6" s="6257" t="str" cm="1">
        <f t="array" aca="1" ref="J6" ca="1">INDIRECT("'※ 영업품질 세부데이터'!"&amp;J$1&amp;$T6, TRUE)</f>
        <v>'25.6월</v>
      </c>
      <c r="K6" s="6258" t="s">
        <v>1206</v>
      </c>
      <c r="L6" s="1155" t="str" cm="1">
        <f t="array" aca="1" ref="L6" ca="1">INDIRECT("'※ 영업품질 세부데이터'!"&amp;L$1&amp;$T6, TRUE)</f>
        <v>'26.1월</v>
      </c>
      <c r="M6" s="1155" t="str" cm="1">
        <f t="array" aca="1" ref="M6" ca="1">INDIRECT("'※ 영업품질 세부데이터'!"&amp;M$1&amp;$T6, TRUE)</f>
        <v>'26.2월</v>
      </c>
      <c r="N6" s="1156" t="s">
        <v>130</v>
      </c>
      <c r="O6" s="851" t="s">
        <v>443</v>
      </c>
      <c r="P6" s="852" t="s">
        <v>44</v>
      </c>
      <c r="Q6" s="1157" t="s">
        <v>569</v>
      </c>
      <c r="R6" s="1158" t="s">
        <v>45</v>
      </c>
      <c r="S6" s="1159" t="s">
        <v>11</v>
      </c>
      <c r="T6" s="855">
        <f>ROW('※ 영업품질 세부데이터'!A3)</f>
        <v>3</v>
      </c>
    </row>
    <row r="7" spans="1:57" ht="16" customHeight="1" x14ac:dyDescent="0.55000000000000004">
      <c r="A7" s="7178" t="s">
        <v>132</v>
      </c>
      <c r="B7" s="857" t="s">
        <v>519</v>
      </c>
      <c r="C7" s="857" t="s">
        <v>520</v>
      </c>
      <c r="D7" s="1160" cm="1">
        <f t="array" aca="1" ref="D7" ca="1">INDIRECT("'※ 영업품질 세부데이터'!"&amp;D$1&amp;$T7, TRUE)</f>
        <v>4210</v>
      </c>
      <c r="E7" s="1161" cm="1">
        <f t="array" aca="1" ref="E7" ca="1">INDIRECT("'※ 영업품질 세부데이터'!"&amp;E$1&amp;$T7, TRUE)</f>
        <v>380</v>
      </c>
      <c r="F7" s="1162" cm="1">
        <f t="array" aca="1" ref="F7" ca="1">INDIRECT("'※ 영업품질 세부데이터'!"&amp;F$1&amp;$T7, TRUE)</f>
        <v>426</v>
      </c>
      <c r="G7" s="1162" cm="1">
        <f t="array" aca="1" ref="G7" ca="1">INDIRECT("'※ 영업품질 세부데이터'!"&amp;G$1&amp;$T7, TRUE)</f>
        <v>345</v>
      </c>
      <c r="H7" s="1162" cm="1">
        <f t="array" aca="1" ref="H7" ca="1">INDIRECT("'※ 영업품질 세부데이터'!"&amp;H$1&amp;$T7, TRUE)</f>
        <v>354</v>
      </c>
      <c r="I7" s="1162" cm="1">
        <f t="array" aca="1" ref="I7" ca="1">INDIRECT("'※ 영업품질 세부데이터'!"&amp;I$1&amp;$T7, TRUE)</f>
        <v>350</v>
      </c>
      <c r="J7" s="1162" cm="1">
        <f t="array" aca="1" ref="J7" ca="1">INDIRECT("'※ 영업품질 세부데이터'!"&amp;J$1&amp;$T7, TRUE)</f>
        <v>328</v>
      </c>
      <c r="K7" s="6259" cm="1">
        <f t="array" aca="1" ref="K7" ca="1">INDIRECT("'※ 영업품질 세부데이터'!"&amp;K$1&amp;$T7, TRUE)</f>
        <v>574</v>
      </c>
      <c r="L7" s="1162" cm="1">
        <f t="array" aca="1" ref="L7" ca="1">INDIRECT("'※ 영업품질 세부데이터'!"&amp;L$1&amp;$T7, TRUE)</f>
        <v>287</v>
      </c>
      <c r="M7" s="1162" cm="1">
        <f t="array" aca="1" ref="M7" ca="1">INDIRECT("'※ 영업품질 세부데이터'!"&amp;M$1&amp;$T7, TRUE)</f>
        <v>287</v>
      </c>
      <c r="N7" s="1162" cm="1">
        <f t="array" aca="1" ref="N7" ca="1">INDIRECT("'※ 영업품질 세부데이터'!"&amp;N$1&amp;$T7, TRUE)</f>
        <v>0</v>
      </c>
      <c r="O7" s="1163" cm="1">
        <f t="array" aca="1" ref="O7" ca="1">INDIRECT("'※ 영업품질 세부데이터'!"&amp;O$1&amp;$T7, TRUE)</f>
        <v>-139</v>
      </c>
      <c r="P7" s="1164" cm="1">
        <f t="array" aca="1" ref="P7" ca="1">INDIRECT("'※ 영업품질 세부데이터'!"&amp;P$1&amp;$T7, TRUE)</f>
        <v>574</v>
      </c>
      <c r="Q7" s="1162" cm="1">
        <f t="array" aca="1" ref="Q7" ca="1">INDIRECT("'※ 영업품질 세부데이터'!"&amp;Q$1&amp;$T7, TRUE)</f>
        <v>-232</v>
      </c>
      <c r="R7" s="1165" cm="1">
        <f t="array" aca="1" ref="R7" ca="1">INDIRECT("'※ 영업품질 세부데이터'!"&amp;R$1&amp;$T7, TRUE)</f>
        <v>287</v>
      </c>
      <c r="S7" s="1166" cm="1">
        <f t="array" aca="1" ref="S7" ca="1">INDIRECT("'※ 영업품질 세부데이터'!"&amp;S$1&amp;$T7, TRUE)</f>
        <v>-63.833333333333314</v>
      </c>
      <c r="T7" s="855">
        <f>ROW('※ 영업품질 세부데이터'!A4)</f>
        <v>4</v>
      </c>
      <c r="U7" s="1167"/>
      <c r="V7" s="1167"/>
      <c r="W7" s="1167"/>
    </row>
    <row r="8" spans="1:57" ht="16" customHeight="1" x14ac:dyDescent="0.55000000000000004">
      <c r="A8" s="7471"/>
      <c r="B8" s="1168"/>
      <c r="C8" s="1168" t="s">
        <v>521</v>
      </c>
      <c r="D8" s="1169" cm="1">
        <f t="array" aca="1" ref="D8" ca="1">INDIRECT("'※ 영업품질 세부데이터'!"&amp;D$1&amp;$T8, TRUE)</f>
        <v>733380</v>
      </c>
      <c r="E8" s="1170" cm="1">
        <f t="array" aca="1" ref="E8" ca="1">INDIRECT("'※ 영업품질 세부데이터'!"&amp;E$1&amp;$T8, TRUE)</f>
        <v>51825</v>
      </c>
      <c r="F8" s="1171" cm="1">
        <f t="array" aca="1" ref="F8" ca="1">INDIRECT("'※ 영업품질 세부데이터'!"&amp;F$1&amp;$T8, TRUE)</f>
        <v>48544</v>
      </c>
      <c r="G8" s="1171" cm="1">
        <f t="array" aca="1" ref="G8" ca="1">INDIRECT("'※ 영업품질 세부데이터'!"&amp;G$1&amp;$T8, TRUE)</f>
        <v>51938</v>
      </c>
      <c r="H8" s="1171" cm="1">
        <f t="array" aca="1" ref="H8" ca="1">INDIRECT("'※ 영업품질 세부데이터'!"&amp;H$1&amp;$T8, TRUE)</f>
        <v>51613</v>
      </c>
      <c r="I8" s="1171" cm="1">
        <f t="array" aca="1" ref="I8" ca="1">INDIRECT("'※ 영업품질 세부데이터'!"&amp;I$1&amp;$T8, TRUE)</f>
        <v>53679</v>
      </c>
      <c r="J8" s="1171" cm="1">
        <f t="array" aca="1" ref="J8" ca="1">INDIRECT("'※ 영업품질 세부데이터'!"&amp;J$1&amp;$T8, TRUE)</f>
        <v>60623</v>
      </c>
      <c r="K8" s="6260" cm="1">
        <f t="array" aca="1" ref="K8" ca="1">INDIRECT("'※ 영업품질 세부데이터'!"&amp;K$1&amp;$T8, TRUE)</f>
        <v>121747</v>
      </c>
      <c r="L8" s="1171" cm="1">
        <f t="array" aca="1" ref="L8" ca="1">INDIRECT("'※ 영업품질 세부데이터'!"&amp;L$1&amp;$T8, TRUE)</f>
        <v>61920</v>
      </c>
      <c r="M8" s="1171" cm="1">
        <f t="array" aca="1" ref="M8" ca="1">INDIRECT("'※ 영업품질 세부데이터'!"&amp;M$1&amp;$T8, TRUE)</f>
        <v>59827</v>
      </c>
      <c r="N8" s="1171" cm="1">
        <f t="array" aca="1" ref="N8" ca="1">INDIRECT("'※ 영업품질 세부데이터'!"&amp;N$1&amp;$T8, TRUE)</f>
        <v>-2093</v>
      </c>
      <c r="O8" s="1172" cm="1">
        <f t="array" aca="1" ref="O8" ca="1">INDIRECT("'※ 영업품질 세부데이터'!"&amp;O$1&amp;$T8, TRUE)</f>
        <v>11283</v>
      </c>
      <c r="P8" s="1173" cm="1">
        <f t="array" aca="1" ref="P8" ca="1">INDIRECT("'※ 영업품질 세부데이터'!"&amp;P$1&amp;$T8, TRUE)</f>
        <v>121747</v>
      </c>
      <c r="Q8" s="1171" cm="1">
        <f t="array" aca="1" ref="Q8" ca="1">INDIRECT("'※ 영업품질 세부데이터'!"&amp;Q$1&amp;$T8, TRUE)</f>
        <v>21378</v>
      </c>
      <c r="R8" s="1174" cm="1">
        <f t="array" aca="1" ref="R8" ca="1">INDIRECT("'※ 영업품질 세부데이터'!"&amp;R$1&amp;$T8, TRUE)</f>
        <v>60873.5</v>
      </c>
      <c r="S8" s="1175" cm="1">
        <f t="array" aca="1" ref="S8" ca="1">INDIRECT("'※ 영업품질 세부데이터'!"&amp;S$1&amp;$T8, TRUE)</f>
        <v>-241.5</v>
      </c>
      <c r="T8" s="855">
        <f>ROW('※ 영업품질 세부데이터'!A5)</f>
        <v>5</v>
      </c>
      <c r="U8" s="1167"/>
      <c r="V8" s="1167"/>
      <c r="W8" s="1167"/>
    </row>
    <row r="9" spans="1:57" ht="16" customHeight="1" x14ac:dyDescent="0.55000000000000004">
      <c r="A9" s="7471"/>
      <c r="B9" s="1168"/>
      <c r="C9" s="1176" t="s">
        <v>525</v>
      </c>
      <c r="D9" s="1177" cm="1">
        <f t="array" aca="1" ref="D9" ca="1">INDIRECT("'※ 영업품질 세부데이터'!"&amp;D$1&amp;$T9, TRUE)</f>
        <v>5.7405437835774085E-3</v>
      </c>
      <c r="E9" s="1178" cm="1">
        <f t="array" aca="1" ref="E9" ca="1">INDIRECT("'※ 영업품질 세부데이터'!"&amp;E$1&amp;$T9, TRUE)</f>
        <v>7.3323685479980702E-3</v>
      </c>
      <c r="F9" s="1179" cm="1">
        <f t="array" aca="1" ref="F9" ca="1">INDIRECT("'※ 영업품질 세부데이터'!"&amp;F$1&amp;$T9, TRUE)</f>
        <v>8.775543836519446E-3</v>
      </c>
      <c r="G9" s="1179" cm="1">
        <f t="array" aca="1" ref="G9" ca="1">INDIRECT("'※ 영업품질 세부데이터'!"&amp;G$1&amp;$T9, TRUE)</f>
        <v>6.6425353305864685E-3</v>
      </c>
      <c r="H9" s="1179" cm="1">
        <f t="array" aca="1" ref="H9" ca="1">INDIRECT("'※ 영업품질 세부데이터'!"&amp;H$1&amp;$T9, TRUE)</f>
        <v>6.8587371398678631E-3</v>
      </c>
      <c r="I9" s="1179" cm="1">
        <f t="array" aca="1" ref="I9" ca="1">INDIRECT("'※ 영업품질 세부데이터'!"&amp;I$1&amp;$T9, TRUE)</f>
        <v>6.5202406900277572E-3</v>
      </c>
      <c r="J9" s="1179" cm="1">
        <f t="array" aca="1" ref="J9" ca="1">INDIRECT("'※ 영업품질 세부데이터'!"&amp;J$1&amp;$T9, TRUE)</f>
        <v>5.4104877686686568E-3</v>
      </c>
      <c r="K9" s="6261" cm="1">
        <f t="array" aca="1" ref="K9" ca="1">INDIRECT("'※ 영업품질 세부데이터'!"&amp;K$1&amp;$T9, TRUE)</f>
        <v>4.7146952286298638E-3</v>
      </c>
      <c r="L9" s="1179" cm="1">
        <f t="array" aca="1" ref="L9" ca="1">INDIRECT("'※ 영업품질 세부데이터'!"&amp;L$1&amp;$T9, TRUE)</f>
        <v>4.6350129198966406E-3</v>
      </c>
      <c r="M9" s="1179" cm="1">
        <f t="array" aca="1" ref="M9" ca="1">INDIRECT("'※ 영업품질 세부데이터'!"&amp;M$1&amp;$T9, TRUE)</f>
        <v>4.7971651595433498E-3</v>
      </c>
      <c r="N9" s="1180" cm="1">
        <f t="array" aca="1" ref="N9" ca="1">INDIRECT("'※ 영업품질 세부데이터'!"&amp;N$1&amp;$T9, TRUE)</f>
        <v>1.621522396467092E-4</v>
      </c>
      <c r="O9" s="1181" cm="1">
        <f t="array" aca="1" ref="O9" ca="1">INDIRECT("'※ 영업품질 세부데이터'!"&amp;O$1&amp;$T9, TRUE)</f>
        <v>-3.9783786769760961E-3</v>
      </c>
      <c r="P9" s="1182" cm="1">
        <f t="array" aca="1" ref="P9" ca="1">INDIRECT("'※ 영업품질 세부데이터'!"&amp;P$1&amp;$T9, TRUE)</f>
        <v>4.7146952286298638E-3</v>
      </c>
      <c r="Q9" s="1183" cm="1">
        <f t="array" aca="1" ref="Q9" ca="1">INDIRECT("'※ 영업품질 세부데이터'!"&amp;Q$1&amp;$T9, TRUE)</f>
        <v>-1.0258485549475447E-3</v>
      </c>
      <c r="R9" s="1184" cm="1">
        <f t="array" aca="1" ref="R9" ca="1">INDIRECT("'※ 영업품질 세부데이터'!"&amp;R$1&amp;$T9, TRUE)</f>
        <v>4.7146952286298638E-3</v>
      </c>
      <c r="S9" s="1185" cm="1">
        <f t="array" aca="1" ref="S9" ca="1">INDIRECT("'※ 영업품질 세부데이터'!"&amp;S$1&amp;$T9, TRUE)</f>
        <v>-1.0258485549475447E-3</v>
      </c>
      <c r="T9" s="855">
        <f>ROW('※ 영업품질 세부데이터'!A6)</f>
        <v>6</v>
      </c>
      <c r="U9" s="1186"/>
      <c r="V9" s="1186"/>
      <c r="W9" s="1186"/>
    </row>
    <row r="10" spans="1:57" ht="16" customHeight="1" x14ac:dyDescent="0.55000000000000004">
      <c r="A10" s="7471"/>
      <c r="B10" s="1187" t="s">
        <v>126</v>
      </c>
      <c r="C10" s="1188"/>
      <c r="D10" s="1189" cm="1">
        <f t="array" aca="1" ref="D10" ca="1">INDIRECT("'※ 영업품질 세부데이터'!"&amp;D$1&amp;$T10, TRUE)</f>
        <v>6.1438334663486693E-3</v>
      </c>
      <c r="E10" s="1190" cm="1">
        <f t="array" aca="1" ref="E10" ca="1">INDIRECT("'※ 영업품질 세부데이터'!"&amp;E$1&amp;$T10, TRUE)</f>
        <v>7.3791954296596046E-3</v>
      </c>
      <c r="F10" s="1191" cm="1">
        <f t="array" aca="1" ref="F10" ca="1">INDIRECT("'※ 영업품질 세부데이터'!"&amp;F$1&amp;$T10, TRUE)</f>
        <v>9.4273743016759781E-3</v>
      </c>
      <c r="G10" s="1191" cm="1">
        <f t="array" aca="1" ref="G10" ca="1">INDIRECT("'※ 영업품질 세부데이터'!"&amp;G$1&amp;$T10, TRUE)</f>
        <v>6.7452944502786978E-3</v>
      </c>
      <c r="H10" s="1191" cm="1">
        <f t="array" aca="1" ref="H10" ca="1">INDIRECT("'※ 영업품질 세부데이터'!"&amp;H$1&amp;$T10, TRUE)</f>
        <v>7.7004133906136011E-3</v>
      </c>
      <c r="I10" s="1191" cm="1">
        <f t="array" aca="1" ref="I10" ca="1">INDIRECT("'※ 영업품질 세부데이터'!"&amp;I$1&amp;$T10, TRUE)</f>
        <v>7.6154758715701659E-3</v>
      </c>
      <c r="J10" s="1191" cm="1">
        <f t="array" aca="1" ref="J10" ca="1">INDIRECT("'※ 영업품질 세부데이터'!"&amp;J$1&amp;$T10, TRUE)</f>
        <v>4.8543689320388345E-3</v>
      </c>
      <c r="K10" s="6262" cm="1">
        <f t="array" aca="1" ref="K10" ca="1">INDIRECT("'※ 영업품질 세부데이터'!"&amp;K$1&amp;$T10, TRUE)</f>
        <v>4.5774127200980761E-3</v>
      </c>
      <c r="L10" s="1191" cm="1">
        <f t="array" aca="1" ref="L10" ca="1">INDIRECT("'※ 영업품질 세부데이터'!"&amp;L$1&amp;$T10, TRUE)</f>
        <v>4.65358569196041E-3</v>
      </c>
      <c r="M10" s="1191" cm="1">
        <f t="array" aca="1" ref="M10" ca="1">INDIRECT("'※ 영업품질 세부데이터'!"&amp;M$1&amp;$T10, TRUE)</f>
        <v>4.5012397482357431E-3</v>
      </c>
      <c r="N10" s="1192" cm="1">
        <f t="array" aca="1" ref="N10" ca="1">INDIRECT("'※ 영업품질 세부데이터'!"&amp;N$1&amp;$T10, TRUE)</f>
        <v>-1.523459437246669E-4</v>
      </c>
      <c r="O10" s="1193" cm="1">
        <f t="array" aca="1" ref="O10" ca="1">INDIRECT("'※ 영업품질 세부데이터'!"&amp;O$1&amp;$T10, TRUE)</f>
        <v>-4.926134553440235E-3</v>
      </c>
      <c r="P10" s="1194" cm="1">
        <f t="array" aca="1" ref="P10" ca="1">INDIRECT("'※ 영업품질 세부데이터'!"&amp;P$1&amp;$T10, TRUE)</f>
        <v>4.5774127200980761E-3</v>
      </c>
      <c r="Q10" s="1192" cm="1">
        <f t="array" aca="1" ref="Q10" ca="1">INDIRECT("'※ 영업품질 세부데이터'!"&amp;Q$1&amp;$T10, TRUE)</f>
        <v>-1.5664207462505932E-3</v>
      </c>
      <c r="R10" s="1195" cm="1">
        <f t="array" aca="1" ref="R10" ca="1">INDIRECT("'※ 영업품질 세부데이터'!"&amp;R$1&amp;$T10, TRUE)</f>
        <v>4.5774127200980761E-3</v>
      </c>
      <c r="S10" s="1196" cm="1">
        <f t="array" aca="1" ref="S10" ca="1">INDIRECT("'※ 영업품질 세부데이터'!"&amp;S$1&amp;$T10, TRUE)</f>
        <v>-1.5664207462505932E-3</v>
      </c>
      <c r="T10" s="855">
        <f>ROW('※ 영업품질 세부데이터'!A7)</f>
        <v>7</v>
      </c>
      <c r="U10" s="1186"/>
      <c r="V10" s="1186"/>
      <c r="W10" s="1186"/>
    </row>
    <row r="11" spans="1:57" ht="15" customHeight="1" x14ac:dyDescent="0.55000000000000004">
      <c r="A11" s="7471"/>
      <c r="B11" s="1197"/>
      <c r="C11" s="594" t="s">
        <v>140</v>
      </c>
      <c r="D11" s="1198" cm="1">
        <f t="array" aca="1" ref="D11" ca="1">INDIRECT("'※ 영업품질 세부데이터'!"&amp;D$1&amp;$T11, TRUE)</f>
        <v>7.9247191316170508E-3</v>
      </c>
      <c r="E11" s="1199" cm="1">
        <f t="array" aca="1" ref="E11" ca="1">INDIRECT("'※ 영업품질 세부데이터'!"&amp;E$1&amp;$T11, TRUE)</f>
        <v>1.1822660098522168E-2</v>
      </c>
      <c r="F11" s="600" cm="1">
        <f t="array" aca="1" ref="F11" ca="1">INDIRECT("'※ 영업품질 세부데이터'!"&amp;F$1&amp;$T11, TRUE)</f>
        <v>1.2472885032537961E-2</v>
      </c>
      <c r="G11" s="600" cm="1">
        <f t="array" aca="1" ref="G11" ca="1">INDIRECT("'※ 영업품질 세부데이터'!"&amp;G$1&amp;$T11, TRUE)</f>
        <v>9.4810379241516973E-3</v>
      </c>
      <c r="H11" s="600" cm="1">
        <f t="array" aca="1" ref="H11" ca="1">INDIRECT("'※ 영업품질 세부데이터'!"&amp;H$1&amp;$T11, TRUE)</f>
        <v>1.1247443762781187E-2</v>
      </c>
      <c r="I11" s="600" cm="1">
        <f t="array" aca="1" ref="I11" ca="1">INDIRECT("'※ 영업품질 세부데이터'!"&amp;I$1&amp;$T11, TRUE)</f>
        <v>7.525870178739417E-3</v>
      </c>
      <c r="J11" s="600" cm="1">
        <f t="array" aca="1" ref="J11" ca="1">INDIRECT("'※ 영업품질 세부데이터'!"&amp;J$1&amp;$T11, TRUE)</f>
        <v>6.0144346431435444E-3</v>
      </c>
      <c r="K11" s="6263" cm="1">
        <f t="array" aca="1" ref="K11" ca="1">INDIRECT("'※ 영업품질 세부데이터'!"&amp;K$1&amp;$T11, TRUE)</f>
        <v>9.472174411933449E-3</v>
      </c>
      <c r="L11" s="600" cm="1">
        <f t="array" aca="1" ref="L11" ca="1">INDIRECT("'※ 영업품질 세부데이터'!"&amp;L$1&amp;$T11, TRUE)</f>
        <v>9.8967297762478489E-3</v>
      </c>
      <c r="M11" s="600" cm="1">
        <f t="array" aca="1" ref="M11" ca="1">INDIRECT("'※ 영업품질 세부데이터'!"&amp;M$1&amp;$T11, TRUE)</f>
        <v>9.0476190476190474E-3</v>
      </c>
      <c r="N11" s="1200" cm="1">
        <f t="array" aca="1" ref="N11" ca="1">INDIRECT("'※ 영업품질 세부데이터'!"&amp;N$1&amp;$T11, TRUE)</f>
        <v>-8.4911072862880153E-4</v>
      </c>
      <c r="O11" s="1201" cm="1">
        <f t="array" aca="1" ref="O11" ca="1">INDIRECT("'※ 영업품질 세부데이터'!"&amp;O$1&amp;$T11, TRUE)</f>
        <v>-3.425265984918914E-3</v>
      </c>
      <c r="P11" s="1202" cm="1">
        <f t="array" aca="1" ref="P11" ca="1">INDIRECT("'※ 영업품질 세부데이터'!"&amp;P$1&amp;$T11, TRUE)</f>
        <v>9.472174411933449E-3</v>
      </c>
      <c r="Q11" s="1203" cm="1">
        <f t="array" aca="1" ref="Q11" ca="1">INDIRECT("'※ 영업품질 세부데이터'!"&amp;Q$1&amp;$T11, TRUE)</f>
        <v>1.5474552803163982E-3</v>
      </c>
      <c r="R11" s="1204" cm="1">
        <f t="array" aca="1" ref="R11" ca="1">INDIRECT("'※ 영업품질 세부데이터'!"&amp;R$1&amp;$T11, TRUE)</f>
        <v>9.472174411933449E-3</v>
      </c>
      <c r="S11" s="1205" cm="1">
        <f t="array" aca="1" ref="S11" ca="1">INDIRECT("'※ 영업품질 세부데이터'!"&amp;S$1&amp;$T11, TRUE)</f>
        <v>1.5474552803163982E-3</v>
      </c>
      <c r="T11" s="855">
        <f>ROW('※ 영업품질 세부데이터'!A8)</f>
        <v>8</v>
      </c>
      <c r="U11" s="1186"/>
      <c r="V11" s="1186"/>
      <c r="W11" s="1186"/>
    </row>
    <row r="12" spans="1:57" ht="15" customHeight="1" x14ac:dyDescent="0.55000000000000004">
      <c r="A12" s="7471"/>
      <c r="B12" s="1197"/>
      <c r="C12" s="594" t="s">
        <v>141</v>
      </c>
      <c r="D12" s="1198" cm="1">
        <f t="array" aca="1" ref="D12" ca="1">INDIRECT("'※ 영업품질 세부데이터'!"&amp;D$1&amp;$T12, TRUE)</f>
        <v>4.9419489902205694E-3</v>
      </c>
      <c r="E12" s="1199" cm="1">
        <f t="array" aca="1" ref="E12" ca="1">INDIRECT("'※ 영업품질 세부데이터'!"&amp;E$1&amp;$T12, TRUE)</f>
        <v>4.8266783677051337E-3</v>
      </c>
      <c r="F12" s="600" cm="1">
        <f t="array" aca="1" ref="F12" ca="1">INDIRECT("'※ 영업품질 세부데이터'!"&amp;F$1&amp;$T12, TRUE)</f>
        <v>5.7999033349444172E-3</v>
      </c>
      <c r="G12" s="600" cm="1">
        <f t="array" aca="1" ref="G12" ca="1">INDIRECT("'※ 영업품질 세부데이터'!"&amp;G$1&amp;$T12, TRUE)</f>
        <v>6.7010309278350512E-3</v>
      </c>
      <c r="H12" s="600" cm="1">
        <f t="array" aca="1" ref="H12" ca="1">INDIRECT("'※ 영업품질 세부데이터'!"&amp;H$1&amp;$T12, TRUE)</f>
        <v>6.0018467220683287E-3</v>
      </c>
      <c r="I12" s="600" cm="1">
        <f t="array" aca="1" ref="I12" ca="1">INDIRECT("'※ 영업품질 세부데이터'!"&amp;I$1&amp;$T12, TRUE)</f>
        <v>8.7221979938944608E-3</v>
      </c>
      <c r="J12" s="600" cm="1">
        <f t="array" aca="1" ref="J12" ca="1">INDIRECT("'※ 영업품질 세부데이터'!"&amp;J$1&amp;$T12, TRUE)</f>
        <v>5.3292729349067374E-3</v>
      </c>
      <c r="K12" s="6263" cm="1">
        <f t="array" aca="1" ref="K12" ca="1">INDIRECT("'※ 영업품질 세부데이터'!"&amp;K$1&amp;$T12, TRUE)</f>
        <v>4.4689261337306878E-3</v>
      </c>
      <c r="L12" s="600" cm="1">
        <f t="array" aca="1" ref="L12" ca="1">INDIRECT("'※ 영업품질 세부데이터'!"&amp;L$1&amp;$T12, TRUE)</f>
        <v>6.1107117181883538E-3</v>
      </c>
      <c r="M12" s="600" cm="1">
        <f t="array" aca="1" ref="M12" ca="1">INDIRECT("'※ 영업품질 세부데이터'!"&amp;M$1&amp;$T12, TRUE)</f>
        <v>2.8271405492730209E-3</v>
      </c>
      <c r="N12" s="1200" cm="1">
        <f t="array" aca="1" ref="N12" ca="1">INDIRECT("'※ 영업품질 세부데이터'!"&amp;N$1&amp;$T12, TRUE)</f>
        <v>-3.283571168915333E-3</v>
      </c>
      <c r="O12" s="1201" cm="1">
        <f t="array" aca="1" ref="O12" ca="1">INDIRECT("'※ 영업품질 세부데이터'!"&amp;O$1&amp;$T12, TRUE)</f>
        <v>-2.9727627856713963E-3</v>
      </c>
      <c r="P12" s="1202" cm="1">
        <f t="array" aca="1" ref="P12" ca="1">INDIRECT("'※ 영업품질 세부데이터'!"&amp;P$1&amp;$T12, TRUE)</f>
        <v>4.4689261337306878E-3</v>
      </c>
      <c r="Q12" s="1203" cm="1">
        <f t="array" aca="1" ref="Q12" ca="1">INDIRECT("'※ 영업품질 세부데이터'!"&amp;Q$1&amp;$T12, TRUE)</f>
        <v>-4.7302285648988165E-4</v>
      </c>
      <c r="R12" s="1204" cm="1">
        <f t="array" aca="1" ref="R12" ca="1">INDIRECT("'※ 영업품질 세부데이터'!"&amp;R$1&amp;$T12, TRUE)</f>
        <v>4.4689261337306878E-3</v>
      </c>
      <c r="S12" s="1205" cm="1">
        <f t="array" aca="1" ref="S12" ca="1">INDIRECT("'※ 영업품질 세부데이터'!"&amp;S$1&amp;$T12, TRUE)</f>
        <v>-4.7302285648988165E-4</v>
      </c>
      <c r="T12" s="855">
        <f>ROW('※ 영업품질 세부데이터'!A9)</f>
        <v>9</v>
      </c>
      <c r="U12" s="1186"/>
      <c r="V12" s="1186"/>
      <c r="W12" s="1186"/>
    </row>
    <row r="13" spans="1:57" ht="15" customHeight="1" x14ac:dyDescent="0.55000000000000004">
      <c r="A13" s="7471"/>
      <c r="B13" s="1197"/>
      <c r="C13" s="594" t="s">
        <v>142</v>
      </c>
      <c r="D13" s="1198" cm="1">
        <f t="array" aca="1" ref="D13" ca="1">INDIRECT("'※ 영업품질 세부데이터'!"&amp;D$1&amp;$T13, TRUE)</f>
        <v>8.0223263366439972E-3</v>
      </c>
      <c r="E13" s="1199" cm="1">
        <f t="array" aca="1" ref="E13" ca="1">INDIRECT("'※ 영업품질 세부데이터'!"&amp;E$1&amp;$T13, TRUE)</f>
        <v>9.154550350026925E-3</v>
      </c>
      <c r="F13" s="600" cm="1">
        <f t="array" aca="1" ref="F13" ca="1">INDIRECT("'※ 영업품질 세부데이터'!"&amp;F$1&amp;$T13, TRUE)</f>
        <v>1.2956419316843345E-2</v>
      </c>
      <c r="G13" s="600" cm="1">
        <f t="array" aca="1" ref="G13" ca="1">INDIRECT("'※ 영업품질 세부데이터'!"&amp;G$1&amp;$T13, TRUE)</f>
        <v>1.037117903930131E-2</v>
      </c>
      <c r="H13" s="600" cm="1">
        <f t="array" aca="1" ref="H13" ca="1">INDIRECT("'※ 영업품질 세부데이터'!"&amp;H$1&amp;$T13, TRUE)</f>
        <v>1.1705685618729096E-2</v>
      </c>
      <c r="I13" s="600" cm="1">
        <f t="array" aca="1" ref="I13" ca="1">INDIRECT("'※ 영업품질 세부데이터'!"&amp;I$1&amp;$T13, TRUE)</f>
        <v>1.0730710270822688E-2</v>
      </c>
      <c r="J13" s="600" cm="1">
        <f t="array" aca="1" ref="J13" ca="1">INDIRECT("'※ 영업품질 세부데이터'!"&amp;J$1&amp;$T13, TRUE)</f>
        <v>4.3516100957354219E-3</v>
      </c>
      <c r="K13" s="6263" cm="1">
        <f t="array" aca="1" ref="K13" ca="1">INDIRECT("'※ 영업품질 세부데이터'!"&amp;K$1&amp;$T13, TRUE)</f>
        <v>6.5960949999223353E-3</v>
      </c>
      <c r="L13" s="600" cm="1">
        <f t="array" aca="1" ref="L13" ca="1">INDIRECT("'※ 영업품질 세부데이터'!"&amp;L$1&amp;$T13, TRUE)</f>
        <v>6.7226890756302525E-3</v>
      </c>
      <c r="M13" s="600" cm="1">
        <f t="array" aca="1" ref="M13" ca="1">INDIRECT("'※ 영업품질 세부데이터'!"&amp;M$1&amp;$T13, TRUE)</f>
        <v>6.4695009242144181E-3</v>
      </c>
      <c r="N13" s="1200" cm="1">
        <f t="array" aca="1" ref="N13" ca="1">INDIRECT("'※ 영업품질 세부데이터'!"&amp;N$1&amp;$T13, TRUE)</f>
        <v>-2.5318815141583441E-4</v>
      </c>
      <c r="O13" s="1201" cm="1">
        <f t="array" aca="1" ref="O13" ca="1">INDIRECT("'※ 영업품질 세부데이터'!"&amp;O$1&amp;$T13, TRUE)</f>
        <v>-6.4869183926289271E-3</v>
      </c>
      <c r="P13" s="1202" cm="1">
        <f t="array" aca="1" ref="P13" ca="1">INDIRECT("'※ 영업품질 세부데이터'!"&amp;P$1&amp;$T13, TRUE)</f>
        <v>6.5960949999223353E-3</v>
      </c>
      <c r="Q13" s="1203" cm="1">
        <f t="array" aca="1" ref="Q13" ca="1">INDIRECT("'※ 영업품질 세부데이터'!"&amp;Q$1&amp;$T13, TRUE)</f>
        <v>-1.4262313367216619E-3</v>
      </c>
      <c r="R13" s="1204" cm="1">
        <f t="array" aca="1" ref="R13" ca="1">INDIRECT("'※ 영업품질 세부데이터'!"&amp;R$1&amp;$T13, TRUE)</f>
        <v>6.5960949999223353E-3</v>
      </c>
      <c r="S13" s="1205" cm="1">
        <f t="array" aca="1" ref="S13" ca="1">INDIRECT("'※ 영업품질 세부데이터'!"&amp;S$1&amp;$T13, TRUE)</f>
        <v>-1.4262313367216619E-3</v>
      </c>
      <c r="T13" s="855">
        <f>ROW('※ 영업품질 세부데이터'!A10)</f>
        <v>10</v>
      </c>
      <c r="U13" s="1186"/>
      <c r="V13" s="1186"/>
      <c r="W13" s="1186"/>
    </row>
    <row r="14" spans="1:57" ht="15" customHeight="1" x14ac:dyDescent="0.55000000000000004">
      <c r="A14" s="7471"/>
      <c r="B14" s="1197"/>
      <c r="C14" s="886" t="s">
        <v>143</v>
      </c>
      <c r="D14" s="1198" cm="1">
        <f t="array" aca="1" ref="D14" ca="1">INDIRECT("'※ 영업품질 세부데이터'!"&amp;D$1&amp;$T14, TRUE)</f>
        <v>5.342333812076115E-3</v>
      </c>
      <c r="E14" s="1199" cm="1">
        <f t="array" aca="1" ref="E14" ca="1">INDIRECT("'※ 영업품질 세부데이터'!"&amp;E$1&amp;$T14, TRUE)</f>
        <v>5.3380782918149468E-3</v>
      </c>
      <c r="F14" s="600" cm="1">
        <f t="array" aca="1" ref="F14" ca="1">INDIRECT("'※ 영업품질 세부데이터'!"&amp;F$1&amp;$T14, TRUE)</f>
        <v>9.1566265060240969E-3</v>
      </c>
      <c r="G14" s="600" cm="1">
        <f t="array" aca="1" ref="G14" ca="1">INDIRECT("'※ 영업품질 세부데이터'!"&amp;G$1&amp;$T14, TRUE)</f>
        <v>3.5118525021949078E-3</v>
      </c>
      <c r="H14" s="600" cm="1">
        <f t="array" aca="1" ref="H14" ca="1">INDIRECT("'※ 영업품질 세부데이터'!"&amp;H$1&amp;$T14, TRUE)</f>
        <v>6.7024128686327079E-3</v>
      </c>
      <c r="I14" s="600" cm="1">
        <f t="array" aca="1" ref="I14" ca="1">INDIRECT("'※ 영업품질 세부데이터'!"&amp;I$1&amp;$T14, TRUE)</f>
        <v>5.9096665259603205E-3</v>
      </c>
      <c r="J14" s="600" cm="1">
        <f t="array" aca="1" ref="J14" ca="1">INDIRECT("'※ 영업품질 세부데이터'!"&amp;J$1&amp;$T14, TRUE)</f>
        <v>6.2776957163958643E-3</v>
      </c>
      <c r="K14" s="6263" cm="1">
        <f t="array" aca="1" ref="K14" ca="1">INDIRECT("'※ 영업품질 세부데이터'!"&amp;K$1&amp;$T14, TRUE)</f>
        <v>3.590299999212732E-3</v>
      </c>
      <c r="L14" s="600" cm="1">
        <f t="array" aca="1" ref="L14" ca="1">INDIRECT("'※ 영업품질 세부데이터'!"&amp;L$1&amp;$T14, TRUE)</f>
        <v>3.6779730281977932E-3</v>
      </c>
      <c r="M14" s="600" cm="1">
        <f t="array" aca="1" ref="M14" ca="1">INDIRECT("'※ 영업품질 세부데이터'!"&amp;M$1&amp;$T14, TRUE)</f>
        <v>3.5026269702276708E-3</v>
      </c>
      <c r="N14" s="1200" cm="1">
        <f t="array" aca="1" ref="N14" ca="1">INDIRECT("'※ 영업품질 세부데이터'!"&amp;N$1&amp;$T14, TRUE)</f>
        <v>-1.7534605797012246E-4</v>
      </c>
      <c r="O14" s="1201" cm="1">
        <f t="array" aca="1" ref="O14" ca="1">INDIRECT("'※ 영업품질 세부데이터'!"&amp;O$1&amp;$T14, TRUE)</f>
        <v>-5.6539995357964262E-3</v>
      </c>
      <c r="P14" s="1202" cm="1">
        <f t="array" aca="1" ref="P14" ca="1">INDIRECT("'※ 영업품질 세부데이터'!"&amp;P$1&amp;$T14, TRUE)</f>
        <v>3.590299999212732E-3</v>
      </c>
      <c r="Q14" s="1203" cm="1">
        <f t="array" aca="1" ref="Q14" ca="1">INDIRECT("'※ 영업품질 세부데이터'!"&amp;Q$1&amp;$T14, TRUE)</f>
        <v>-1.752033812863383E-3</v>
      </c>
      <c r="R14" s="1204" cm="1">
        <f t="array" aca="1" ref="R14" ca="1">INDIRECT("'※ 영업품질 세부데이터'!"&amp;R$1&amp;$T14, TRUE)</f>
        <v>3.590299999212732E-3</v>
      </c>
      <c r="S14" s="1205" cm="1">
        <f t="array" aca="1" ref="S14" ca="1">INDIRECT("'※ 영업품질 세부데이터'!"&amp;S$1&amp;$T14, TRUE)</f>
        <v>-1.752033812863383E-3</v>
      </c>
      <c r="T14" s="855">
        <f>ROW('※ 영업품질 세부데이터'!A11)</f>
        <v>11</v>
      </c>
      <c r="U14" s="1186"/>
      <c r="V14" s="1186"/>
      <c r="W14" s="1186"/>
    </row>
    <row r="15" spans="1:57" ht="15" customHeight="1" x14ac:dyDescent="0.55000000000000004">
      <c r="A15" s="7471"/>
      <c r="B15" s="1197"/>
      <c r="C15" s="886" t="s">
        <v>144</v>
      </c>
      <c r="D15" s="1198" cm="1">
        <f t="array" aca="1" ref="D15" ca="1">INDIRECT("'※ 영업품질 세부데이터'!"&amp;D$1&amp;$T15, TRUE)</f>
        <v>6.5623176150045341E-3</v>
      </c>
      <c r="E15" s="1199" cm="1">
        <f t="array" aca="1" ref="E15" ca="1">INDIRECT("'※ 영업품질 세부데이터'!"&amp;E$1&amp;$T15, TRUE)</f>
        <v>7.5734625870948194E-3</v>
      </c>
      <c r="F15" s="600" cm="1">
        <f t="array" aca="1" ref="F15" ca="1">INDIRECT("'※ 영업품질 세부데이터'!"&amp;F$1&amp;$T15, TRUE)</f>
        <v>6.2295081967213119E-3</v>
      </c>
      <c r="G15" s="600" cm="1">
        <f t="array" aca="1" ref="G15" ca="1">INDIRECT("'※ 영업품질 세부데이터'!"&amp;G$1&amp;$T15, TRUE)</f>
        <v>8.0693365212193661E-3</v>
      </c>
      <c r="H15" s="600" cm="1">
        <f t="array" aca="1" ref="H15" ca="1">INDIRECT("'※ 영업품질 세부데이터'!"&amp;H$1&amp;$T15, TRUE)</f>
        <v>8.8875268158136681E-3</v>
      </c>
      <c r="I15" s="600" cm="1">
        <f t="array" aca="1" ref="I15" ca="1">INDIRECT("'※ 영업품질 세부데이터'!"&amp;I$1&amp;$T15, TRUE)</f>
        <v>8.3061406110946298E-3</v>
      </c>
      <c r="J15" s="600" cm="1">
        <f t="array" aca="1" ref="J15" ca="1">INDIRECT("'※ 영업품질 세부데이터'!"&amp;J$1&amp;$T15, TRUE)</f>
        <v>4.1786367197701752E-3</v>
      </c>
      <c r="K15" s="6263" cm="1">
        <f t="array" aca="1" ref="K15" ca="1">INDIRECT("'※ 영업품질 세부데이터'!"&amp;K$1&amp;$T15, TRUE)</f>
        <v>3.2635115424677753E-3</v>
      </c>
      <c r="L15" s="600" cm="1">
        <f t="array" aca="1" ref="L15" ca="1">INDIRECT("'※ 영업품질 세부데이터'!"&amp;L$1&amp;$T15, TRUE)</f>
        <v>1.6652789342214821E-3</v>
      </c>
      <c r="M15" s="600" cm="1">
        <f t="array" aca="1" ref="M15" ca="1">INDIRECT("'※ 영업품질 세부데이터'!"&amp;M$1&amp;$T15, TRUE)</f>
        <v>4.8617441507140683E-3</v>
      </c>
      <c r="N15" s="1200" cm="1">
        <f t="array" aca="1" ref="N15" ca="1">INDIRECT("'※ 영업품질 세부데이터'!"&amp;N$1&amp;$T15, TRUE)</f>
        <v>3.1964652164925859E-3</v>
      </c>
      <c r="O15" s="1201" cm="1">
        <f t="array" aca="1" ref="O15" ca="1">INDIRECT("'※ 영업품질 세부데이터'!"&amp;O$1&amp;$T15, TRUE)</f>
        <v>-1.3677640460072436E-3</v>
      </c>
      <c r="P15" s="1202" cm="1">
        <f t="array" aca="1" ref="P15" ca="1">INDIRECT("'※ 영업품질 세부데이터'!"&amp;P$1&amp;$T15, TRUE)</f>
        <v>3.2635115424677753E-3</v>
      </c>
      <c r="Q15" s="1203" cm="1">
        <f t="array" aca="1" ref="Q15" ca="1">INDIRECT("'※ 영업품질 세부데이터'!"&amp;Q$1&amp;$T15, TRUE)</f>
        <v>-3.2988060725367588E-3</v>
      </c>
      <c r="R15" s="1204" cm="1">
        <f t="array" aca="1" ref="R15" ca="1">INDIRECT("'※ 영업품질 세부데이터'!"&amp;R$1&amp;$T15, TRUE)</f>
        <v>3.2635115424677753E-3</v>
      </c>
      <c r="S15" s="1205" cm="1">
        <f t="array" aca="1" ref="S15" ca="1">INDIRECT("'※ 영업품질 세부데이터'!"&amp;S$1&amp;$T15, TRUE)</f>
        <v>-3.2988060725367588E-3</v>
      </c>
      <c r="T15" s="855">
        <f>ROW('※ 영업품질 세부데이터'!A12)</f>
        <v>12</v>
      </c>
      <c r="U15" s="1186"/>
      <c r="V15" s="1186"/>
      <c r="W15" s="1186"/>
    </row>
    <row r="16" spans="1:57" ht="15" customHeight="1" x14ac:dyDescent="0.55000000000000004">
      <c r="A16" s="7471"/>
      <c r="B16" s="1197"/>
      <c r="C16" s="886" t="s">
        <v>145</v>
      </c>
      <c r="D16" s="1198" cm="1">
        <f t="array" aca="1" ref="D16" ca="1">INDIRECT("'※ 영업품질 세부데이터'!"&amp;D$1&amp;$T16, TRUE)</f>
        <v>5.4744869857231608E-3</v>
      </c>
      <c r="E16" s="1199" cm="1">
        <f t="array" aca="1" ref="E16" ca="1">INDIRECT("'※ 영업품질 세부데이터'!"&amp;E$1&amp;$T16, TRUE)</f>
        <v>4.6707146193367584E-3</v>
      </c>
      <c r="F16" s="600" cm="1">
        <f t="array" aca="1" ref="F16" ca="1">INDIRECT("'※ 영업품질 세부데이터'!"&amp;F$1&amp;$T16, TRUE)</f>
        <v>1.1167512690355329E-2</v>
      </c>
      <c r="G16" s="600" cm="1">
        <f t="array" aca="1" ref="G16" ca="1">INDIRECT("'※ 영업품질 세부데이터'!"&amp;G$1&amp;$T16, TRUE)</f>
        <v>5.171603196991067E-3</v>
      </c>
      <c r="H16" s="600" cm="1">
        <f t="array" aca="1" ref="H16" ca="1">INDIRECT("'※ 영업품질 세부데이터'!"&amp;H$1&amp;$T16, TRUE)</f>
        <v>8.591885441527447E-3</v>
      </c>
      <c r="I16" s="600" cm="1">
        <f t="array" aca="1" ref="I16" ca="1">INDIRECT("'※ 영업품질 세부데이터'!"&amp;I$1&amp;$T16, TRUE)</f>
        <v>5.0973123262279887E-3</v>
      </c>
      <c r="J16" s="600" cm="1">
        <f t="array" aca="1" ref="J16" ca="1">INDIRECT("'※ 영업품질 세부데이터'!"&amp;J$1&amp;$T16, TRUE)</f>
        <v>3.7128712871287127E-3</v>
      </c>
      <c r="K16" s="6263" cm="1">
        <f t="array" aca="1" ref="K16" ca="1">INDIRECT("'※ 영업품질 세부데이터'!"&amp;K$1&amp;$T16, TRUE)</f>
        <v>4.1212350355970071E-3</v>
      </c>
      <c r="L16" s="600" cm="1">
        <f t="array" aca="1" ref="L16" ca="1">INDIRECT("'※ 영업품질 세부데이터'!"&amp;L$1&amp;$T16, TRUE)</f>
        <v>3.4873583260680036E-3</v>
      </c>
      <c r="M16" s="600" cm="1">
        <f t="array" aca="1" ref="M16" ca="1">INDIRECT("'※ 영업품질 세부데이터'!"&amp;M$1&amp;$T16, TRUE)</f>
        <v>4.7551117451260106E-3</v>
      </c>
      <c r="N16" s="1200" cm="1">
        <f t="array" aca="1" ref="N16" ca="1">INDIRECT("'※ 영업품질 세부데이터'!"&amp;N$1&amp;$T16, TRUE)</f>
        <v>1.267753419058007E-3</v>
      </c>
      <c r="O16" s="1201" cm="1">
        <f t="array" aca="1" ref="O16" ca="1">INDIRECT("'※ 영업품질 세부데이터'!"&amp;O$1&amp;$T16, TRUE)</f>
        <v>-6.4124009452293188E-3</v>
      </c>
      <c r="P16" s="1202" cm="1">
        <f t="array" aca="1" ref="P16" ca="1">INDIRECT("'※ 영업품질 세부데이터'!"&amp;P$1&amp;$T16, TRUE)</f>
        <v>4.1212350355970071E-3</v>
      </c>
      <c r="Q16" s="1203" cm="1">
        <f t="array" aca="1" ref="Q16" ca="1">INDIRECT("'※ 영업품질 세부데이터'!"&amp;Q$1&amp;$T16, TRUE)</f>
        <v>-1.3532519501261537E-3</v>
      </c>
      <c r="R16" s="1204" cm="1">
        <f t="array" aca="1" ref="R16" ca="1">INDIRECT("'※ 영업품질 세부데이터'!"&amp;R$1&amp;$T16, TRUE)</f>
        <v>4.1212350355970071E-3</v>
      </c>
      <c r="S16" s="1205" cm="1">
        <f t="array" aca="1" ref="S16" ca="1">INDIRECT("'※ 영업품질 세부데이터'!"&amp;S$1&amp;$T16, TRUE)</f>
        <v>-1.3532519501261537E-3</v>
      </c>
      <c r="T16" s="855">
        <f>ROW('※ 영업품질 세부데이터'!A13)</f>
        <v>13</v>
      </c>
      <c r="U16" s="1186"/>
      <c r="V16" s="1186"/>
      <c r="W16" s="1186"/>
    </row>
    <row r="17" spans="1:23" ht="15" customHeight="1" x14ac:dyDescent="0.55000000000000004">
      <c r="A17" s="7471"/>
      <c r="B17" s="1197"/>
      <c r="C17" s="886" t="s">
        <v>146</v>
      </c>
      <c r="D17" s="1198" cm="1">
        <f t="array" aca="1" ref="D17" ca="1">INDIRECT("'※ 영업품질 세부데이터'!"&amp;D$1&amp;$T17, TRUE)</f>
        <v>6.2275677673730365E-3</v>
      </c>
      <c r="E17" s="1199" cm="1">
        <f t="array" aca="1" ref="E17" ca="1">INDIRECT("'※ 영업품질 세부데이터'!"&amp;E$1&amp;$T17, TRUE)</f>
        <v>8.2857142857142851E-3</v>
      </c>
      <c r="F17" s="600" cm="1">
        <f t="array" aca="1" ref="F17" ca="1">INDIRECT("'※ 영업품질 세부데이터'!"&amp;F$1&amp;$T17, TRUE)</f>
        <v>1.0433648516465601E-2</v>
      </c>
      <c r="G17" s="600" cm="1">
        <f t="array" aca="1" ref="G17" ca="1">INDIRECT("'※ 영업품질 세부데이터'!"&amp;G$1&amp;$T17, TRUE)</f>
        <v>4.7832585949177881E-3</v>
      </c>
      <c r="H17" s="600" cm="1">
        <f t="array" aca="1" ref="H17" ca="1">INDIRECT("'※ 영업품질 세부데이터'!"&amp;H$1&amp;$T17, TRUE)</f>
        <v>5.3571428571428572E-3</v>
      </c>
      <c r="I17" s="600" cm="1">
        <f t="array" aca="1" ref="I17" ca="1">INDIRECT("'※ 영업품질 세부데이터'!"&amp;I$1&amp;$T17, TRUE)</f>
        <v>8.5299971566676139E-3</v>
      </c>
      <c r="J17" s="600" cm="1">
        <f t="array" aca="1" ref="J17" ca="1">INDIRECT("'※ 영업품질 세부데이터'!"&amp;J$1&amp;$T17, TRUE)</f>
        <v>5.0697084917617234E-3</v>
      </c>
      <c r="K17" s="6263" cm="1">
        <f t="array" aca="1" ref="K17" ca="1">INDIRECT("'※ 영업품질 세부데이터'!"&amp;K$1&amp;$T17, TRUE)</f>
        <v>3.4210711290619854E-3</v>
      </c>
      <c r="L17" s="600" cm="1">
        <f t="array" aca="1" ref="L17" ca="1">INDIRECT("'※ 영업품질 세부데이터'!"&amp;L$1&amp;$T17, TRUE)</f>
        <v>3.2145727297080095E-3</v>
      </c>
      <c r="M17" s="600" cm="1">
        <f t="array" aca="1" ref="M17" ca="1">INDIRECT("'※ 영업품질 세부데이터'!"&amp;M$1&amp;$T17, TRUE)</f>
        <v>3.6275695284159614E-3</v>
      </c>
      <c r="N17" s="1200" cm="1">
        <f t="array" aca="1" ref="N17" ca="1">INDIRECT("'※ 영업품질 세부데이터'!"&amp;N$1&amp;$T17, TRUE)</f>
        <v>4.1299679870795188E-4</v>
      </c>
      <c r="O17" s="1201" cm="1">
        <f t="array" aca="1" ref="O17" ca="1">INDIRECT("'※ 영업품질 세부데이터'!"&amp;O$1&amp;$T17, TRUE)</f>
        <v>-6.8060789880496405E-3</v>
      </c>
      <c r="P17" s="1202" cm="1">
        <f t="array" aca="1" ref="P17" ca="1">INDIRECT("'※ 영업품질 세부데이터'!"&amp;P$1&amp;$T17, TRUE)</f>
        <v>3.4210711290619854E-3</v>
      </c>
      <c r="Q17" s="1203" cm="1">
        <f t="array" aca="1" ref="Q17" ca="1">INDIRECT("'※ 영업품질 세부데이터'!"&amp;Q$1&amp;$T17, TRUE)</f>
        <v>-2.8064966383110511E-3</v>
      </c>
      <c r="R17" s="1204" cm="1">
        <f t="array" aca="1" ref="R17" ca="1">INDIRECT("'※ 영업품질 세부데이터'!"&amp;R$1&amp;$T17, TRUE)</f>
        <v>3.4210711290619854E-3</v>
      </c>
      <c r="S17" s="1205" cm="1">
        <f t="array" aca="1" ref="S17" ca="1">INDIRECT("'※ 영업품질 세부데이터'!"&amp;S$1&amp;$T17, TRUE)</f>
        <v>-2.8064966383110511E-3</v>
      </c>
      <c r="T17" s="855">
        <f>ROW('※ 영업품질 세부데이터'!A14)</f>
        <v>14</v>
      </c>
      <c r="U17" s="1186"/>
      <c r="V17" s="1186"/>
      <c r="W17" s="1186"/>
    </row>
    <row r="18" spans="1:23" ht="15" customHeight="1" x14ac:dyDescent="0.55000000000000004">
      <c r="A18" s="7471"/>
      <c r="B18" s="1197"/>
      <c r="C18" s="886" t="s">
        <v>147</v>
      </c>
      <c r="D18" s="1198" cm="1">
        <f t="array" aca="1" ref="D18" ca="1">INDIRECT("'※ 영업품질 세부데이터'!"&amp;D$1&amp;$T18, TRUE)</f>
        <v>6.7847519080331794E-3</v>
      </c>
      <c r="E18" s="1199" cm="1">
        <f t="array" aca="1" ref="E18" ca="1">INDIRECT("'※ 영업품질 세부데이터'!"&amp;E$1&amp;$T18, TRUE)</f>
        <v>8.44475721323012E-3</v>
      </c>
      <c r="F18" s="600" cm="1">
        <f t="array" aca="1" ref="F18" ca="1">INDIRECT("'※ 영업품질 세부데이터'!"&amp;F$1&amp;$T18, TRUE)</f>
        <v>1.0518114530580444E-2</v>
      </c>
      <c r="G18" s="600" cm="1">
        <f t="array" aca="1" ref="G18" ca="1">INDIRECT("'※ 영업품질 세부데이터'!"&amp;G$1&amp;$T18, TRUE)</f>
        <v>8.5409252669039152E-3</v>
      </c>
      <c r="H18" s="600" cm="1">
        <f t="array" aca="1" ref="H18" ca="1">INDIRECT("'※ 영업품질 세부데이터'!"&amp;H$1&amp;$T18, TRUE)</f>
        <v>7.6059398768562117E-3</v>
      </c>
      <c r="I18" s="600" cm="1">
        <f t="array" aca="1" ref="I18" ca="1">INDIRECT("'※ 영업품질 세부데이터'!"&amp;I$1&amp;$T18, TRUE)</f>
        <v>1.0030090270812437E-2</v>
      </c>
      <c r="J18" s="600" cm="1">
        <f t="array" aca="1" ref="J18" ca="1">INDIRECT("'※ 영업품질 세부데이터'!"&amp;J$1&amp;$T18, TRUE)</f>
        <v>4.8396854204476713E-3</v>
      </c>
      <c r="K18" s="6263" cm="1">
        <f t="array" aca="1" ref="K18" ca="1">INDIRECT("'※ 영업품질 세부데이터'!"&amp;K$1&amp;$T18, TRUE)</f>
        <v>4.3295875855215386E-3</v>
      </c>
      <c r="L18" s="600" cm="1">
        <f t="array" aca="1" ref="L18" ca="1">INDIRECT("'※ 영업품질 세부데이터'!"&amp;L$1&amp;$T18, TRUE)</f>
        <v>5.5727554179566567E-3</v>
      </c>
      <c r="M18" s="600" cm="1">
        <f t="array" aca="1" ref="M18" ca="1">INDIRECT("'※ 영업품질 세부데이터'!"&amp;M$1&amp;$T18, TRUE)</f>
        <v>3.0864197530864196E-3</v>
      </c>
      <c r="N18" s="1200" cm="1">
        <f t="array" aca="1" ref="N18" ca="1">INDIRECT("'※ 영업품질 세부데이터'!"&amp;N$1&amp;$T18, TRUE)</f>
        <v>-2.4863356648702371E-3</v>
      </c>
      <c r="O18" s="1201" cm="1">
        <f t="array" aca="1" ref="O18" ca="1">INDIRECT("'※ 영업품질 세부데이터'!"&amp;O$1&amp;$T18, TRUE)</f>
        <v>-7.4316947774940249E-3</v>
      </c>
      <c r="P18" s="1202" cm="1">
        <f t="array" aca="1" ref="P18" ca="1">INDIRECT("'※ 영업품질 세부데이터'!"&amp;P$1&amp;$T18, TRUE)</f>
        <v>4.3295875855215386E-3</v>
      </c>
      <c r="Q18" s="1203" cm="1">
        <f t="array" aca="1" ref="Q18" ca="1">INDIRECT("'※ 영업품질 세부데이터'!"&amp;Q$1&amp;$T18, TRUE)</f>
        <v>-2.4551643225116408E-3</v>
      </c>
      <c r="R18" s="1204" cm="1">
        <f t="array" aca="1" ref="R18" ca="1">INDIRECT("'※ 영업품질 세부데이터'!"&amp;R$1&amp;$T18, TRUE)</f>
        <v>4.3295875855215386E-3</v>
      </c>
      <c r="S18" s="1205" cm="1">
        <f t="array" aca="1" ref="S18" ca="1">INDIRECT("'※ 영업품질 세부데이터'!"&amp;S$1&amp;$T18, TRUE)</f>
        <v>-2.4551643225116408E-3</v>
      </c>
      <c r="T18" s="855">
        <f>ROW('※ 영업품질 세부데이터'!A15)</f>
        <v>15</v>
      </c>
      <c r="U18" s="1186"/>
      <c r="V18" s="1186"/>
      <c r="W18" s="1186"/>
    </row>
    <row r="19" spans="1:23" ht="15" customHeight="1" x14ac:dyDescent="0.55000000000000004">
      <c r="A19" s="7471"/>
      <c r="B19" s="1197"/>
      <c r="C19" s="886" t="s">
        <v>148</v>
      </c>
      <c r="D19" s="1198" cm="1">
        <f t="array" aca="1" ref="D19" ca="1">INDIRECT("'※ 영업품질 세부데이터'!"&amp;D$1&amp;$T19, TRUE)</f>
        <v>4.5954711063682782E-3</v>
      </c>
      <c r="E19" s="1199" cm="1">
        <f t="array" aca="1" ref="E19" ca="1">INDIRECT("'※ 영업품질 세부데이터'!"&amp;E$1&amp;$T19, TRUE)</f>
        <v>6.2292358803986711E-3</v>
      </c>
      <c r="F19" s="600" cm="1">
        <f t="array" aca="1" ref="F19" ca="1">INDIRECT("'※ 영업품질 세부데이터'!"&amp;F$1&amp;$T19, TRUE)</f>
        <v>4.9751243781094526E-3</v>
      </c>
      <c r="G19" s="600" cm="1">
        <f t="array" aca="1" ref="G19" ca="1">INDIRECT("'※ 영업품질 세부데이터'!"&amp;G$1&amp;$T19, TRUE)</f>
        <v>5.9571088165210487E-3</v>
      </c>
      <c r="H19" s="600" cm="1">
        <f t="array" aca="1" ref="H19" ca="1">INDIRECT("'※ 영업품질 세부데이터'!"&amp;H$1&amp;$T19, TRUE)</f>
        <v>7.91765637371338E-3</v>
      </c>
      <c r="I19" s="600" cm="1">
        <f t="array" aca="1" ref="I19" ca="1">INDIRECT("'※ 영업품질 세부데이터'!"&amp;I$1&amp;$T19, TRUE)</f>
        <v>5.8522311631309439E-3</v>
      </c>
      <c r="J19" s="600" cm="1">
        <f t="array" aca="1" ref="J19" ca="1">INDIRECT("'※ 영업품질 세부데이터'!"&amp;J$1&amp;$T19, TRUE)</f>
        <v>3.5506778566817302E-3</v>
      </c>
      <c r="K19" s="6263" cm="1">
        <f t="array" aca="1" ref="K19" ca="1">INDIRECT("'※ 영업품질 세부데이터'!"&amp;K$1&amp;$T19, TRUE)</f>
        <v>3.7739861990736369E-3</v>
      </c>
      <c r="L19" s="600" cm="1">
        <f t="array" aca="1" ref="L19" ca="1">INDIRECT("'※ 영업품질 세부데이터'!"&amp;L$1&amp;$T19, TRUE)</f>
        <v>4.0268456375838931E-3</v>
      </c>
      <c r="M19" s="600" cm="1">
        <f t="array" aca="1" ref="M19" ca="1">INDIRECT("'※ 영업품질 세부데이터'!"&amp;M$1&amp;$T19, TRUE)</f>
        <v>3.5211267605633804E-3</v>
      </c>
      <c r="N19" s="1200" cm="1">
        <f t="array" aca="1" ref="N19" ca="1">INDIRECT("'※ 영업품질 세부데이터'!"&amp;N$1&amp;$T19, TRUE)</f>
        <v>-5.0571887702051269E-4</v>
      </c>
      <c r="O19" s="1201" cm="1">
        <f t="array" aca="1" ref="O19" ca="1">INDIRECT("'※ 영업품질 세부데이터'!"&amp;O$1&amp;$T19, TRUE)</f>
        <v>-1.4539976175460723E-3</v>
      </c>
      <c r="P19" s="1202" cm="1">
        <f t="array" aca="1" ref="P19" ca="1">INDIRECT("'※ 영업품질 세부데이터'!"&amp;P$1&amp;$T19, TRUE)</f>
        <v>3.7739861990736369E-3</v>
      </c>
      <c r="Q19" s="1203" cm="1">
        <f t="array" aca="1" ref="Q19" ca="1">INDIRECT("'※ 영업품질 세부데이터'!"&amp;Q$1&amp;$T19, TRUE)</f>
        <v>-8.2148490729464126E-4</v>
      </c>
      <c r="R19" s="1204" cm="1">
        <f t="array" aca="1" ref="R19" ca="1">INDIRECT("'※ 영업품질 세부데이터'!"&amp;R$1&amp;$T19, TRUE)</f>
        <v>3.7739861990736369E-3</v>
      </c>
      <c r="S19" s="1205" cm="1">
        <f t="array" aca="1" ref="S19" ca="1">INDIRECT("'※ 영업품질 세부데이터'!"&amp;S$1&amp;$T19, TRUE)</f>
        <v>-8.2148490729464126E-4</v>
      </c>
      <c r="T19" s="855">
        <f>ROW('※ 영업품질 세부데이터'!A16)</f>
        <v>16</v>
      </c>
      <c r="U19" s="1186"/>
      <c r="V19" s="1186"/>
      <c r="W19" s="1186"/>
    </row>
    <row r="20" spans="1:23" ht="15" customHeight="1" x14ac:dyDescent="0.55000000000000004">
      <c r="A20" s="7471"/>
      <c r="B20" s="1206"/>
      <c r="C20" s="1207" t="s">
        <v>149</v>
      </c>
      <c r="D20" s="1208" cm="1">
        <f t="array" aca="1" ref="D20" ca="1">INDIRECT("'※ 영업품질 세부데이터'!"&amp;D$1&amp;$T20, TRUE)</f>
        <v>5.8363270434533534E-3</v>
      </c>
      <c r="E20" s="1209" cm="1">
        <f t="array" aca="1" ref="E20" ca="1">INDIRECT("'※ 영업품질 세부데이터'!"&amp;E$1&amp;$T20, TRUE)</f>
        <v>7.3076923076923076E-3</v>
      </c>
      <c r="F20" s="1210" cm="1">
        <f t="array" aca="1" ref="F20" ca="1">INDIRECT("'※ 영업품질 세부데이터'!"&amp;F$1&amp;$T20, TRUE)</f>
        <v>1.228293096145701E-2</v>
      </c>
      <c r="G20" s="1210" cm="1">
        <f t="array" aca="1" ref="G20" ca="1">INDIRECT("'※ 영업품질 세부데이터'!"&amp;G$1&amp;$T20, TRUE)</f>
        <v>5.8639562157935888E-3</v>
      </c>
      <c r="H20" s="1210" cm="1">
        <f t="array" aca="1" ref="H20" ca="1">INDIRECT("'※ 영업품질 세부데이터'!"&amp;H$1&amp;$T20, TRUE)</f>
        <v>5.1689860834990059E-3</v>
      </c>
      <c r="I20" s="1210" cm="1">
        <f t="array" aca="1" ref="I20" ca="1">INDIRECT("'※ 영업품질 세부데이터'!"&amp;I$1&amp;$T20, TRUE)</f>
        <v>4.9713193116634798E-3</v>
      </c>
      <c r="J20" s="1210" cm="1">
        <f t="array" aca="1" ref="J20" ca="1">INDIRECT("'※ 영업품질 세부데이터'!"&amp;J$1&amp;$T20, TRUE)</f>
        <v>5.45144804088586E-3</v>
      </c>
      <c r="K20" s="6264" cm="1">
        <f t="array" aca="1" ref="K20" ca="1">INDIRECT("'※ 영업품질 세부데이터'!"&amp;K$1&amp;$T20, TRUE)</f>
        <v>4.5292322698551879E-3</v>
      </c>
      <c r="L20" s="1210" cm="1">
        <f t="array" aca="1" ref="L20" ca="1">INDIRECT("'※ 영업품질 세부데이터'!"&amp;L$1&amp;$T20, TRUE)</f>
        <v>4.3017868960953014E-3</v>
      </c>
      <c r="M20" s="1210" cm="1">
        <f t="array" aca="1" ref="M20" ca="1">INDIRECT("'※ 영업품질 세부데이터'!"&amp;M$1&amp;$T20, TRUE)</f>
        <v>4.7566776436150753E-3</v>
      </c>
      <c r="N20" s="1211" cm="1">
        <f t="array" aca="1" ref="N20" ca="1">INDIRECT("'※ 영업품질 세부데이터'!"&amp;N$1&amp;$T20, TRUE)</f>
        <v>4.5489074751977384E-4</v>
      </c>
      <c r="O20" s="1212" cm="1">
        <f t="array" aca="1" ref="O20" ca="1">INDIRECT("'※ 영업품질 세부데이터'!"&amp;O$1&amp;$T20, TRUE)</f>
        <v>-7.5262533178419352E-3</v>
      </c>
      <c r="P20" s="1213" cm="1">
        <f t="array" aca="1" ref="P20" ca="1">INDIRECT("'※ 영업품질 세부데이터'!"&amp;P$1&amp;$T20, TRUE)</f>
        <v>4.5292322698551879E-3</v>
      </c>
      <c r="Q20" s="1214" cm="1">
        <f t="array" aca="1" ref="Q20" ca="1">INDIRECT("'※ 영업품질 세부데이터'!"&amp;Q$1&amp;$T20, TRUE)</f>
        <v>-1.3070947735981655E-3</v>
      </c>
      <c r="R20" s="1215" cm="1">
        <f t="array" aca="1" ref="R20" ca="1">INDIRECT("'※ 영업품질 세부데이터'!"&amp;R$1&amp;$T20, TRUE)</f>
        <v>4.5292322698551879E-3</v>
      </c>
      <c r="S20" s="1216" cm="1">
        <f t="array" aca="1" ref="S20" ca="1">INDIRECT("'※ 영업품질 세부데이터'!"&amp;S$1&amp;$T20, TRUE)</f>
        <v>-1.3070947735981655E-3</v>
      </c>
      <c r="T20" s="855">
        <f>ROW('※ 영업품질 세부데이터'!A17)</f>
        <v>17</v>
      </c>
      <c r="U20" s="1186"/>
      <c r="V20" s="1186"/>
      <c r="W20" s="1186"/>
    </row>
    <row r="21" spans="1:23" ht="16" customHeight="1" x14ac:dyDescent="0.55000000000000004">
      <c r="A21" s="7471"/>
      <c r="B21" s="1217" t="s">
        <v>129</v>
      </c>
      <c r="C21" s="786"/>
      <c r="D21" s="1218" cm="1">
        <f t="array" aca="1" ref="D21" ca="1">INDIRECT("'※ 영업품질 세부데이터'!"&amp;D$1&amp;$T21, TRUE)</f>
        <v>5.7089227212812855E-3</v>
      </c>
      <c r="E21" s="1219" cm="1">
        <f t="array" aca="1" ref="E21" ca="1">INDIRECT("'※ 영업품질 세부데이터'!"&amp;E$1&amp;$T21, TRUE)</f>
        <v>7.2880273488861343E-3</v>
      </c>
      <c r="F21" s="1220" cm="1">
        <f t="array" aca="1" ref="F21" ca="1">INDIRECT("'※ 영업품질 세부데이터'!"&amp;F$1&amp;$T21, TRUE)</f>
        <v>8.1928838951310853E-3</v>
      </c>
      <c r="G21" s="1220" cm="1">
        <f t="array" aca="1" ref="G21" ca="1">INDIRECT("'※ 영업품질 세부데이터'!"&amp;G$1&amp;$T21, TRUE)</f>
        <v>6.5489330389992646E-3</v>
      </c>
      <c r="H21" s="1220" cm="1">
        <f t="array" aca="1" ref="H21" ca="1">INDIRECT("'※ 영업품질 세부데이터'!"&amp;H$1&amp;$T21, TRUE)</f>
        <v>6.0878280559783218E-3</v>
      </c>
      <c r="I21" s="1220" cm="1">
        <f t="array" aca="1" ref="I21" ca="1">INDIRECT("'※ 영업품질 세부데이터'!"&amp;I$1&amp;$T21, TRUE)</f>
        <v>5.4813416581966021E-3</v>
      </c>
      <c r="J21" s="1220" cm="1">
        <f t="array" aca="1" ref="J21" ca="1">INDIRECT("'※ 영업품질 세부데이터'!"&amp;J$1&amp;$T21, TRUE)</f>
        <v>5.9433444232694851E-3</v>
      </c>
      <c r="K21" s="6265" cm="1">
        <f t="array" aca="1" ref="K21" ca="1">INDIRECT("'※ 영업품질 세부데이터'!"&amp;K$1&amp;$T21, TRUE)</f>
        <v>4.8234170635375051E-3</v>
      </c>
      <c r="L21" s="1220" cm="1">
        <f t="array" aca="1" ref="L21" ca="1">INDIRECT("'※ 영업품질 세부데이터'!"&amp;L$1&amp;$T21, TRUE)</f>
        <v>4.6188679245283016E-3</v>
      </c>
      <c r="M21" s="1220" cm="1">
        <f t="array" aca="1" ref="M21" ca="1">INDIRECT("'※ 영업품질 세부데이터'!"&amp;M$1&amp;$T21, TRUE)</f>
        <v>5.0279662025467095E-3</v>
      </c>
      <c r="N21" s="1221" cm="1">
        <f t="array" aca="1" ref="N21" ca="1">INDIRECT("'※ 영업품질 세부데이터'!"&amp;N$1&amp;$T21, TRUE)</f>
        <v>4.0909827801840788E-4</v>
      </c>
      <c r="O21" s="1222" cm="1">
        <f t="array" aca="1" ref="O21" ca="1">INDIRECT("'※ 영업품질 세부데이터'!"&amp;O$1&amp;$T21, TRUE)</f>
        <v>-3.1649176925843759E-3</v>
      </c>
      <c r="P21" s="1223" cm="1">
        <f t="array" aca="1" ref="P21" ca="1">INDIRECT("'※ 영업품질 세부데이터'!"&amp;P$1&amp;$T21, TRUE)</f>
        <v>4.8234170635375051E-3</v>
      </c>
      <c r="Q21" s="1224" cm="1">
        <f t="array" aca="1" ref="Q21" ca="1">INDIRECT("'※ 영업품질 세부데이터'!"&amp;Q$1&amp;$T21, TRUE)</f>
        <v>-8.8550565774378042E-4</v>
      </c>
      <c r="R21" s="1225" cm="1">
        <f t="array" aca="1" ref="R21" ca="1">INDIRECT("'※ 영업품질 세부데이터'!"&amp;R$1&amp;$T21, TRUE)</f>
        <v>4.8234170635375051E-3</v>
      </c>
      <c r="S21" s="1226" cm="1">
        <f t="array" aca="1" ref="S21" ca="1">INDIRECT("'※ 영업품질 세부데이터'!"&amp;S$1&amp;$T21, TRUE)</f>
        <v>-8.8550565774378042E-4</v>
      </c>
      <c r="T21" s="855">
        <f>ROW('※ 영업품질 세부데이터'!A18)</f>
        <v>18</v>
      </c>
      <c r="U21" s="1186"/>
      <c r="V21" s="1186"/>
      <c r="W21" s="1186"/>
    </row>
    <row r="22" spans="1:23" ht="15" customHeight="1" x14ac:dyDescent="0.55000000000000004">
      <c r="A22" s="7471"/>
      <c r="B22" s="594"/>
      <c r="C22" s="886" t="s">
        <v>140</v>
      </c>
      <c r="D22" s="1198" cm="1">
        <f t="array" aca="1" ref="D22" ca="1">INDIRECT("'※ 영업품질 세부데이터'!"&amp;D$1&amp;$T22, TRUE)</f>
        <v>7.0951939892949052E-3</v>
      </c>
      <c r="E22" s="1199" cm="1">
        <f t="array" aca="1" ref="E22" ca="1">INDIRECT("'※ 영업품질 세부데이터'!"&amp;E$1&amp;$T22, TRUE)</f>
        <v>7.4806305102858668E-3</v>
      </c>
      <c r="F22" s="600" cm="1">
        <f t="array" aca="1" ref="F22" ca="1">INDIRECT("'※ 영업품질 세부데이터'!"&amp;F$1&amp;$T22, TRUE)</f>
        <v>1.117798796216681E-2</v>
      </c>
      <c r="G22" s="600" cm="1">
        <f t="array" aca="1" ref="G22" ca="1">INDIRECT("'※ 영업품질 세부데이터'!"&amp;G$1&amp;$T22, TRUE)</f>
        <v>7.5715086932136846E-3</v>
      </c>
      <c r="H22" s="600" cm="1">
        <f t="array" aca="1" ref="H22" ca="1">INDIRECT("'※ 영업품질 세부데이터'!"&amp;H$1&amp;$T22, TRUE)</f>
        <v>9.8607888631090483E-3</v>
      </c>
      <c r="I22" s="600" cm="1">
        <f t="array" aca="1" ref="I22" ca="1">INDIRECT("'※ 영업품질 세부데이터'!"&amp;I$1&amp;$T22, TRUE)</f>
        <v>5.2023121387283237E-3</v>
      </c>
      <c r="J22" s="600" cm="1">
        <f t="array" aca="1" ref="J22" ca="1">INDIRECT("'※ 영업품질 세부데이터'!"&amp;J$1&amp;$T22, TRUE)</f>
        <v>6.8113017154389508E-3</v>
      </c>
      <c r="K22" s="6263" cm="1">
        <f t="array" aca="1" ref="K22" ca="1">INDIRECT("'※ 영업품질 세부데이터'!"&amp;K$1&amp;$T22, TRUE)</f>
        <v>5.1780703743980333E-3</v>
      </c>
      <c r="L22" s="600" cm="1">
        <f t="array" aca="1" ref="L22" ca="1">INDIRECT("'※ 영업품질 세부데이터'!"&amp;L$1&amp;$T22, TRUE)</f>
        <v>5.5220017256255392E-3</v>
      </c>
      <c r="M22" s="600" cm="1">
        <f t="array" aca="1" ref="M22" ca="1">INDIRECT("'※ 영업품질 세부데이터'!"&amp;M$1&amp;$T22, TRUE)</f>
        <v>4.8341390231705283E-3</v>
      </c>
      <c r="N22" s="1200" cm="1">
        <f t="array" aca="1" ref="N22" ca="1">INDIRECT("'※ 영업품질 세부데이터'!"&amp;N$1&amp;$T22, TRUE)</f>
        <v>-6.8786270245501085E-4</v>
      </c>
      <c r="O22" s="1201" cm="1">
        <f t="array" aca="1" ref="O22" ca="1">INDIRECT("'※ 영업품질 세부데이터'!"&amp;O$1&amp;$T22, TRUE)</f>
        <v>-6.3438489389962818E-3</v>
      </c>
      <c r="P22" s="1202" cm="1">
        <f t="array" aca="1" ref="P22" ca="1">INDIRECT("'※ 영업품질 세부데이터'!"&amp;P$1&amp;$T22, TRUE)</f>
        <v>5.1780703743980333E-3</v>
      </c>
      <c r="Q22" s="1203" cm="1">
        <f t="array" aca="1" ref="Q22" ca="1">INDIRECT("'※ 영업품질 세부데이터'!"&amp;Q$1&amp;$T22, TRUE)</f>
        <v>-1.9171236148968719E-3</v>
      </c>
      <c r="R22" s="1204" cm="1">
        <f t="array" aca="1" ref="R22" ca="1">INDIRECT("'※ 영업품질 세부데이터'!"&amp;R$1&amp;$T22, TRUE)</f>
        <v>5.1780703743980333E-3</v>
      </c>
      <c r="S22" s="1205" cm="1">
        <f t="array" aca="1" ref="S22" ca="1">INDIRECT("'※ 영업품질 세부데이터'!"&amp;S$1&amp;$T22, TRUE)</f>
        <v>-1.9171236148968719E-3</v>
      </c>
      <c r="T22" s="855">
        <f>ROW('※ 영업품질 세부데이터'!A19)</f>
        <v>19</v>
      </c>
      <c r="U22" s="1186"/>
      <c r="V22" s="1186"/>
      <c r="W22" s="1186"/>
    </row>
    <row r="23" spans="1:23" ht="15" customHeight="1" x14ac:dyDescent="0.55000000000000004">
      <c r="A23" s="7471"/>
      <c r="B23" s="594"/>
      <c r="C23" s="886" t="s">
        <v>142</v>
      </c>
      <c r="D23" s="1198" cm="1">
        <f t="array" aca="1" ref="D23" ca="1">INDIRECT("'※ 영업품질 세부데이터'!"&amp;D$1&amp;$T23, TRUE)</f>
        <v>6.8895736583123139E-3</v>
      </c>
      <c r="E23" s="1199" cm="1">
        <f t="array" aca="1" ref="E23" ca="1">INDIRECT("'※ 영업품질 세부데이터'!"&amp;E$1&amp;$T23, TRUE)</f>
        <v>6.2176165803108805E-3</v>
      </c>
      <c r="F23" s="600" cm="1">
        <f t="array" aca="1" ref="F23" ca="1">INDIRECT("'※ 영업품질 세부데이터'!"&amp;F$1&amp;$T23, TRUE)</f>
        <v>1.1332227750138198E-2</v>
      </c>
      <c r="G23" s="600" cm="1">
        <f t="array" aca="1" ref="G23" ca="1">INDIRECT("'※ 영업품질 세부데이터'!"&amp;G$1&amp;$T23, TRUE)</f>
        <v>8.1146875845279961E-3</v>
      </c>
      <c r="H23" s="600" cm="1">
        <f t="array" aca="1" ref="H23" ca="1">INDIRECT("'※ 영업품질 세부데이터'!"&amp;H$1&amp;$T23, TRUE)</f>
        <v>4.8364153627311526E-3</v>
      </c>
      <c r="I23" s="600" cm="1">
        <f t="array" aca="1" ref="I23" ca="1">INDIRECT("'※ 영업품질 세부데이터'!"&amp;I$1&amp;$T23, TRUE)</f>
        <v>7.2971395213076475E-3</v>
      </c>
      <c r="J23" s="600" cm="1">
        <f t="array" aca="1" ref="J23" ca="1">INDIRECT("'※ 영업품질 세부데이터'!"&amp;J$1&amp;$T23, TRUE)</f>
        <v>6.809848088004191E-3</v>
      </c>
      <c r="K23" s="6263" cm="1">
        <f t="array" aca="1" ref="K23" ca="1">INDIRECT("'※ 영업품질 세부데이터'!"&amp;K$1&amp;$T23, TRUE)</f>
        <v>5.9608071403703094E-3</v>
      </c>
      <c r="L23" s="600" cm="1">
        <f t="array" aca="1" ref="L23" ca="1">INDIRECT("'※ 영업품질 세부데이터'!"&amp;L$1&amp;$T23, TRUE)</f>
        <v>6.3187456119822138E-3</v>
      </c>
      <c r="M23" s="600" cm="1">
        <f t="array" aca="1" ref="M23" ca="1">INDIRECT("'※ 영업품질 세부데이터'!"&amp;M$1&amp;$T23, TRUE)</f>
        <v>5.6028686687584041E-3</v>
      </c>
      <c r="N23" s="1200" cm="1">
        <f t="array" aca="1" ref="N23" ca="1">INDIRECT("'※ 영업품질 세부데이터'!"&amp;N$1&amp;$T23, TRUE)</f>
        <v>-7.1587694322380966E-4</v>
      </c>
      <c r="O23" s="1201" cm="1">
        <f t="array" aca="1" ref="O23" ca="1">INDIRECT("'※ 영업품질 세부데이터'!"&amp;O$1&amp;$T23, TRUE)</f>
        <v>-5.7293590813797942E-3</v>
      </c>
      <c r="P23" s="1202" cm="1">
        <f t="array" aca="1" ref="P23" ca="1">INDIRECT("'※ 영업품질 세부데이터'!"&amp;P$1&amp;$T23, TRUE)</f>
        <v>5.9608071403703094E-3</v>
      </c>
      <c r="Q23" s="1203" cm="1">
        <f t="array" aca="1" ref="Q23" ca="1">INDIRECT("'※ 영업품질 세부데이터'!"&amp;Q$1&amp;$T23, TRUE)</f>
        <v>-9.2876651794200453E-4</v>
      </c>
      <c r="R23" s="1204" cm="1">
        <f t="array" aca="1" ref="R23" ca="1">INDIRECT("'※ 영업품질 세부데이터'!"&amp;R$1&amp;$T23, TRUE)</f>
        <v>5.9608071403703094E-3</v>
      </c>
      <c r="S23" s="1205" cm="1">
        <f t="array" aca="1" ref="S23" ca="1">INDIRECT("'※ 영업품질 세부데이터'!"&amp;S$1&amp;$T23, TRUE)</f>
        <v>-9.2876651794200453E-4</v>
      </c>
      <c r="T23" s="855">
        <f>ROW('※ 영업품질 세부데이터'!A20)</f>
        <v>20</v>
      </c>
      <c r="U23" s="1186"/>
      <c r="V23" s="1186"/>
      <c r="W23" s="1186"/>
    </row>
    <row r="24" spans="1:23" ht="15" customHeight="1" x14ac:dyDescent="0.55000000000000004">
      <c r="A24" s="7471"/>
      <c r="B24" s="594"/>
      <c r="C24" s="886" t="s">
        <v>150</v>
      </c>
      <c r="D24" s="1198" cm="1">
        <f t="array" aca="1" ref="D24" ca="1">INDIRECT("'※ 영업품질 세부데이터'!"&amp;D$1&amp;$T24, TRUE)</f>
        <v>6.0827276748456069E-3</v>
      </c>
      <c r="E24" s="1199" cm="1">
        <f t="array" aca="1" ref="E24" ca="1">INDIRECT("'※ 영업품질 세부데이터'!"&amp;E$1&amp;$T24, TRUE)</f>
        <v>5.5432372505543242E-3</v>
      </c>
      <c r="F24" s="600" cm="1">
        <f t="array" aca="1" ref="F24" ca="1">INDIRECT("'※ 영업품질 세부데이터'!"&amp;F$1&amp;$T24, TRUE)</f>
        <v>1.016260162601626E-2</v>
      </c>
      <c r="G24" s="600" cm="1">
        <f t="array" aca="1" ref="G24" ca="1">INDIRECT("'※ 영업품질 세부데이터'!"&amp;G$1&amp;$T24, TRUE)</f>
        <v>5.8906030855539974E-3</v>
      </c>
      <c r="H24" s="600" cm="1">
        <f t="array" aca="1" ref="H24" ca="1">INDIRECT("'※ 영업품질 세부데이터'!"&amp;H$1&amp;$T24, TRUE)</f>
        <v>6.4084703259960994E-3</v>
      </c>
      <c r="I24" s="600" cm="1">
        <f t="array" aca="1" ref="I24" ca="1">INDIRECT("'※ 영업품질 세부데이터'!"&amp;I$1&amp;$T24, TRUE)</f>
        <v>7.3591848287574303E-3</v>
      </c>
      <c r="J24" s="600" cm="1">
        <f t="array" aca="1" ref="J24" ca="1">INDIRECT("'※ 영업품질 세부데이터'!"&amp;J$1&amp;$T24, TRUE)</f>
        <v>6.422924901185771E-3</v>
      </c>
      <c r="K24" s="6263" cm="1">
        <f t="array" aca="1" ref="K24" ca="1">INDIRECT("'※ 영업품질 세부데이터'!"&amp;K$1&amp;$T24, TRUE)</f>
        <v>6.0126292272772051E-3</v>
      </c>
      <c r="L24" s="600" cm="1">
        <f t="array" aca="1" ref="L24" ca="1">INDIRECT("'※ 영업품질 세부데이터'!"&amp;L$1&amp;$T24, TRUE)</f>
        <v>5.4907343857240904E-3</v>
      </c>
      <c r="M24" s="600" cm="1">
        <f t="array" aca="1" ref="M24" ca="1">INDIRECT("'※ 영업품질 세부데이터'!"&amp;M$1&amp;$T24, TRUE)</f>
        <v>6.5345240688303198E-3</v>
      </c>
      <c r="N24" s="1200" cm="1">
        <f t="array" aca="1" ref="N24" ca="1">INDIRECT("'※ 영업품질 세부데이터'!"&amp;N$1&amp;$T24, TRUE)</f>
        <v>1.0437896831062294E-3</v>
      </c>
      <c r="O24" s="1201" cm="1">
        <f t="array" aca="1" ref="O24" ca="1">INDIRECT("'※ 영업품질 세부데이터'!"&amp;O$1&amp;$T24, TRUE)</f>
        <v>-3.6280775571859401E-3</v>
      </c>
      <c r="P24" s="1202" cm="1">
        <f t="array" aca="1" ref="P24" ca="1">INDIRECT("'※ 영업품질 세부데이터'!"&amp;P$1&amp;$T24, TRUE)</f>
        <v>6.0126292272772051E-3</v>
      </c>
      <c r="Q24" s="1203" cm="1">
        <f t="array" aca="1" ref="Q24" ca="1">INDIRECT("'※ 영업품질 세부데이터'!"&amp;Q$1&amp;$T24, TRUE)</f>
        <v>-7.009844756840182E-5</v>
      </c>
      <c r="R24" s="1204" cm="1">
        <f t="array" aca="1" ref="R24" ca="1">INDIRECT("'※ 영업품질 세부데이터'!"&amp;R$1&amp;$T24, TRUE)</f>
        <v>6.0126292272772051E-3</v>
      </c>
      <c r="S24" s="1205" cm="1">
        <f t="array" aca="1" ref="S24" ca="1">INDIRECT("'※ 영업품질 세부데이터'!"&amp;S$1&amp;$T24, TRUE)</f>
        <v>-7.009844756840182E-5</v>
      </c>
      <c r="T24" s="855">
        <f>ROW('※ 영업품질 세부데이터'!A21)</f>
        <v>21</v>
      </c>
      <c r="U24" s="1186"/>
      <c r="V24" s="1186"/>
      <c r="W24" s="1186"/>
    </row>
    <row r="25" spans="1:23" ht="15" customHeight="1" x14ac:dyDescent="0.55000000000000004">
      <c r="A25" s="7471"/>
      <c r="B25" s="594"/>
      <c r="C25" s="886" t="s">
        <v>146</v>
      </c>
      <c r="D25" s="1198" cm="1">
        <f t="array" aca="1" ref="D25" ca="1">INDIRECT("'※ 영업품질 세부데이터'!"&amp;D$1&amp;$T25, TRUE)</f>
        <v>5.331827377720969E-3</v>
      </c>
      <c r="E25" s="1199" cm="1">
        <f t="array" aca="1" ref="E25" ca="1">INDIRECT("'※ 영업품질 세부데이터'!"&amp;E$1&amp;$T25, TRUE)</f>
        <v>9.2246870195475516E-3</v>
      </c>
      <c r="F25" s="600" cm="1">
        <f t="array" aca="1" ref="F25" ca="1">INDIRECT("'※ 영업품질 세부데이터'!"&amp;F$1&amp;$T25, TRUE)</f>
        <v>6.3222149553084804E-3</v>
      </c>
      <c r="G25" s="600" cm="1">
        <f t="array" aca="1" ref="G25" ca="1">INDIRECT("'※ 영업품질 세부데이터'!"&amp;G$1&amp;$T25, TRUE)</f>
        <v>5.6996855345911946E-3</v>
      </c>
      <c r="H25" s="600" cm="1">
        <f t="array" aca="1" ref="H25" ca="1">INDIRECT("'※ 영업품질 세부데이터'!"&amp;H$1&amp;$T25, TRUE)</f>
        <v>7.7534405892614846E-3</v>
      </c>
      <c r="I25" s="600" cm="1">
        <f t="array" aca="1" ref="I25" ca="1">INDIRECT("'※ 영업품질 세부데이터'!"&amp;I$1&amp;$T25, TRUE)</f>
        <v>6.4923354373309285E-3</v>
      </c>
      <c r="J25" s="600" cm="1">
        <f t="array" aca="1" ref="J25" ca="1">INDIRECT("'※ 영업품질 세부데이터'!"&amp;J$1&amp;$T25, TRUE)</f>
        <v>4.7296232066845337E-3</v>
      </c>
      <c r="K25" s="6263" cm="1">
        <f t="array" aca="1" ref="K25" ca="1">INDIRECT("'※ 영업품질 세부데이터'!"&amp;K$1&amp;$T25, TRUE)</f>
        <v>4.622022350985423E-3</v>
      </c>
      <c r="L25" s="600" cm="1">
        <f t="array" aca="1" ref="L25" ca="1">INDIRECT("'※ 영업품질 세부데이터'!"&amp;L$1&amp;$T25, TRUE)</f>
        <v>3.5842293906810036E-3</v>
      </c>
      <c r="M25" s="600" cm="1">
        <f t="array" aca="1" ref="M25" ca="1">INDIRECT("'※ 영업품질 세부데이터'!"&amp;M$1&amp;$T25, TRUE)</f>
        <v>5.6598153112898423E-3</v>
      </c>
      <c r="N25" s="1200" cm="1">
        <f t="array" aca="1" ref="N25" ca="1">INDIRECT("'※ 영업품질 세부데이터'!"&amp;N$1&amp;$T25, TRUE)</f>
        <v>2.0755859206088387E-3</v>
      </c>
      <c r="O25" s="1201" cm="1">
        <f t="array" aca="1" ref="O25" ca="1">INDIRECT("'※ 영업품질 세부데이터'!"&amp;O$1&amp;$T25, TRUE)</f>
        <v>-6.6239964401863805E-4</v>
      </c>
      <c r="P25" s="1202" cm="1">
        <f t="array" aca="1" ref="P25" ca="1">INDIRECT("'※ 영업품질 세부데이터'!"&amp;P$1&amp;$T25, TRUE)</f>
        <v>4.622022350985423E-3</v>
      </c>
      <c r="Q25" s="1203" cm="1">
        <f t="array" aca="1" ref="Q25" ca="1">INDIRECT("'※ 영업품질 세부데이터'!"&amp;Q$1&amp;$T25, TRUE)</f>
        <v>-7.0980502673554605E-4</v>
      </c>
      <c r="R25" s="1204" cm="1">
        <f t="array" aca="1" ref="R25" ca="1">INDIRECT("'※ 영업품질 세부데이터'!"&amp;R$1&amp;$T25, TRUE)</f>
        <v>4.622022350985423E-3</v>
      </c>
      <c r="S25" s="1205" cm="1">
        <f t="array" aca="1" ref="S25" ca="1">INDIRECT("'※ 영업품질 세부데이터'!"&amp;S$1&amp;$T25, TRUE)</f>
        <v>-7.0980502673554605E-4</v>
      </c>
      <c r="T25" s="855">
        <f>ROW('※ 영업품질 세부데이터'!A22)</f>
        <v>22</v>
      </c>
      <c r="U25" s="1186"/>
      <c r="V25" s="1186"/>
      <c r="W25" s="1186"/>
    </row>
    <row r="26" spans="1:23" ht="15" customHeight="1" x14ac:dyDescent="0.55000000000000004">
      <c r="A26" s="7471"/>
      <c r="B26" s="594"/>
      <c r="C26" s="886" t="s">
        <v>151</v>
      </c>
      <c r="D26" s="1198" cm="1">
        <f t="array" aca="1" ref="D26" ca="1">INDIRECT("'※ 영업품질 세부데이터'!"&amp;D$1&amp;$T26, TRUE)</f>
        <v>4.522804129706689E-3</v>
      </c>
      <c r="E26" s="1199" cm="1">
        <f t="array" aca="1" ref="E26" ca="1">INDIRECT("'※ 영업품질 세부데이터'!"&amp;E$1&amp;$T26, TRUE)</f>
        <v>8.152173913043478E-3</v>
      </c>
      <c r="F26" s="600" cm="1">
        <f t="array" aca="1" ref="F26" ca="1">INDIRECT("'※ 영업품질 세부데이터'!"&amp;F$1&amp;$T26, TRUE)</f>
        <v>4.7188360204482895E-3</v>
      </c>
      <c r="G26" s="600" cm="1">
        <f t="array" aca="1" ref="G26" ca="1">INDIRECT("'※ 영업품질 세부데이터'!"&amp;G$1&amp;$T26, TRUE)</f>
        <v>3.246753246753247E-3</v>
      </c>
      <c r="H26" s="600" cm="1">
        <f t="array" aca="1" ref="H26" ca="1">INDIRECT("'※ 영업품질 세부데이터'!"&amp;H$1&amp;$T26, TRUE)</f>
        <v>4.6594982078853051E-3</v>
      </c>
      <c r="I26" s="600" cm="1">
        <f t="array" aca="1" ref="I26" ca="1">INDIRECT("'※ 영업품질 세부데이터'!"&amp;I$1&amp;$T26, TRUE)</f>
        <v>4.372687521022536E-3</v>
      </c>
      <c r="J26" s="600" cm="1">
        <f t="array" aca="1" ref="J26" ca="1">INDIRECT("'※ 영업품질 세부데이터'!"&amp;J$1&amp;$T26, TRUE)</f>
        <v>7.6001169248757676E-3</v>
      </c>
      <c r="K26" s="6263" cm="1">
        <f t="array" aca="1" ref="K26" ca="1">INDIRECT("'※ 영업품질 세부데이터'!"&amp;K$1&amp;$T26, TRUE)</f>
        <v>3.5644358942251873E-3</v>
      </c>
      <c r="L26" s="600" cm="1">
        <f t="array" aca="1" ref="L26" ca="1">INDIRECT("'※ 영업품질 세부데이터'!"&amp;L$1&amp;$T26, TRUE)</f>
        <v>2.92326431181486E-3</v>
      </c>
      <c r="M26" s="600" cm="1">
        <f t="array" aca="1" ref="M26" ca="1">INDIRECT("'※ 영업품질 세부데이터'!"&amp;M$1&amp;$T26, TRUE)</f>
        <v>4.2056074766355141E-3</v>
      </c>
      <c r="N26" s="1200" cm="1">
        <f t="array" aca="1" ref="N26" ca="1">INDIRECT("'※ 영업품질 세부데이터'!"&amp;N$1&amp;$T26, TRUE)</f>
        <v>1.2823431648206541E-3</v>
      </c>
      <c r="O26" s="1201" cm="1">
        <f t="array" aca="1" ref="O26" ca="1">INDIRECT("'※ 영업품질 세부데이터'!"&amp;O$1&amp;$T26, TRUE)</f>
        <v>-5.1322854381277531E-4</v>
      </c>
      <c r="P26" s="1202" cm="1">
        <f t="array" aca="1" ref="P26" ca="1">INDIRECT("'※ 영업품질 세부데이터'!"&amp;P$1&amp;$T26, TRUE)</f>
        <v>3.5644358942251873E-3</v>
      </c>
      <c r="Q26" s="1203" cm="1">
        <f t="array" aca="1" ref="Q26" ca="1">INDIRECT("'※ 영업품질 세부데이터'!"&amp;Q$1&amp;$T26, TRUE)</f>
        <v>-9.5836823548150173E-4</v>
      </c>
      <c r="R26" s="1204" cm="1">
        <f t="array" aca="1" ref="R26" ca="1">INDIRECT("'※ 영업품질 세부데이터'!"&amp;R$1&amp;$T26, TRUE)</f>
        <v>3.5644358942251873E-3</v>
      </c>
      <c r="S26" s="1205" cm="1">
        <f t="array" aca="1" ref="S26" ca="1">INDIRECT("'※ 영업품질 세부데이터'!"&amp;S$1&amp;$T26, TRUE)</f>
        <v>-9.5836823548150173E-4</v>
      </c>
      <c r="T26" s="855">
        <f>ROW('※ 영업품질 세부데이터'!A23)</f>
        <v>23</v>
      </c>
      <c r="U26" s="1186"/>
      <c r="V26" s="1186"/>
      <c r="W26" s="1186"/>
    </row>
    <row r="27" spans="1:23" ht="15" customHeight="1" x14ac:dyDescent="0.55000000000000004">
      <c r="A27" s="7471"/>
      <c r="B27" s="594"/>
      <c r="C27" s="886" t="s">
        <v>148</v>
      </c>
      <c r="D27" s="1198" cm="1">
        <f t="array" aca="1" ref="D27" ca="1">INDIRECT("'※ 영업품질 세부데이터'!"&amp;D$1&amp;$T27, TRUE)</f>
        <v>5.3839502687793731E-3</v>
      </c>
      <c r="E27" s="1199" cm="1">
        <f t="array" aca="1" ref="E27" ca="1">INDIRECT("'※ 영업품질 세부데이터'!"&amp;E$1&amp;$T27, TRUE)</f>
        <v>8.4978755311172199E-3</v>
      </c>
      <c r="F27" s="600" cm="1">
        <f t="array" aca="1" ref="F27" ca="1">INDIRECT("'※ 영업품질 세부데이터'!"&amp;F$1&amp;$T27, TRUE)</f>
        <v>7.205352547606794E-3</v>
      </c>
      <c r="G27" s="600" cm="1">
        <f t="array" aca="1" ref="G27" ca="1">INDIRECT("'※ 영업품질 세부데이터'!"&amp;G$1&amp;$T27, TRUE)</f>
        <v>7.8273244781783685E-3</v>
      </c>
      <c r="H27" s="600" cm="1">
        <f t="array" aca="1" ref="H27" ca="1">INDIRECT("'※ 영업품질 세부데이터'!"&amp;H$1&amp;$T27, TRUE)</f>
        <v>4.048582995951417E-3</v>
      </c>
      <c r="I27" s="600" cm="1">
        <f t="array" aca="1" ref="I27" ca="1">INDIRECT("'※ 영업품질 세부데이터'!"&amp;I$1&amp;$T27, TRUE)</f>
        <v>4.1879944160074451E-3</v>
      </c>
      <c r="J27" s="600" cm="1">
        <f t="array" aca="1" ref="J27" ca="1">INDIRECT("'※ 영업품질 세부데이터'!"&amp;J$1&amp;$T27, TRUE)</f>
        <v>5.5248618784530384E-3</v>
      </c>
      <c r="K27" s="6263" cm="1">
        <f t="array" aca="1" ref="K27" ca="1">INDIRECT("'※ 영업품질 세부데이터'!"&amp;K$1&amp;$T27, TRUE)</f>
        <v>3.9088433922225448E-3</v>
      </c>
      <c r="L27" s="600" cm="1">
        <f t="array" aca="1" ref="L27" ca="1">INDIRECT("'※ 영업품질 세부데이터'!"&amp;L$1&amp;$T27, TRUE)</f>
        <v>4.3196544276457886E-3</v>
      </c>
      <c r="M27" s="600" cm="1">
        <f t="array" aca="1" ref="M27" ca="1">INDIRECT("'※ 영업품질 세부데이터'!"&amp;M$1&amp;$T27, TRUE)</f>
        <v>3.4980323567993005E-3</v>
      </c>
      <c r="N27" s="1200" cm="1">
        <f t="array" aca="1" ref="N27" ca="1">INDIRECT("'※ 영업품질 세부데이터'!"&amp;N$1&amp;$T27, TRUE)</f>
        <v>-8.2162207084648812E-4</v>
      </c>
      <c r="O27" s="1201" cm="1">
        <f t="array" aca="1" ref="O27" ca="1">INDIRECT("'※ 영업품질 세부데이터'!"&amp;O$1&amp;$T27, TRUE)</f>
        <v>-3.7073201908074936E-3</v>
      </c>
      <c r="P27" s="1202" cm="1">
        <f t="array" aca="1" ref="P27" ca="1">INDIRECT("'※ 영업품질 세부데이터'!"&amp;P$1&amp;$T27, TRUE)</f>
        <v>3.9088433922225448E-3</v>
      </c>
      <c r="Q27" s="1203" cm="1">
        <f t="array" aca="1" ref="Q27" ca="1">INDIRECT("'※ 영업품질 세부데이터'!"&amp;Q$1&amp;$T27, TRUE)</f>
        <v>-1.4751068765568283E-3</v>
      </c>
      <c r="R27" s="1204" cm="1">
        <f t="array" aca="1" ref="R27" ca="1">INDIRECT("'※ 영업품질 세부데이터'!"&amp;R$1&amp;$T27, TRUE)</f>
        <v>3.9088433922225448E-3</v>
      </c>
      <c r="S27" s="1205" cm="1">
        <f t="array" aca="1" ref="S27" ca="1">INDIRECT("'※ 영업품질 세부데이터'!"&amp;S$1&amp;$T27, TRUE)</f>
        <v>-1.4751068765568283E-3</v>
      </c>
      <c r="T27" s="855">
        <f>ROW('※ 영업품질 세부데이터'!A24)</f>
        <v>24</v>
      </c>
      <c r="U27" s="1186"/>
      <c r="V27" s="1186"/>
      <c r="W27" s="1186"/>
    </row>
    <row r="28" spans="1:23" ht="15" customHeight="1" x14ac:dyDescent="0.55000000000000004">
      <c r="A28" s="7471"/>
      <c r="B28" s="594"/>
      <c r="C28" s="886" t="s">
        <v>149</v>
      </c>
      <c r="D28" s="1198" cm="1">
        <f t="array" aca="1" ref="D28" ca="1">INDIRECT("'※ 영업품질 세부데이터'!"&amp;D$1&amp;$T28, TRUE)</f>
        <v>3.8860852509733815E-3</v>
      </c>
      <c r="E28" s="1199" cm="1">
        <f t="array" aca="1" ref="E28" ca="1">INDIRECT("'※ 영업품질 세부데이터'!"&amp;E$1&amp;$T28, TRUE)</f>
        <v>4.0605389442598741E-3</v>
      </c>
      <c r="F28" s="600" cm="1">
        <f t="array" aca="1" ref="F28" ca="1">INDIRECT("'※ 영업품질 세부데이터'!"&amp;F$1&amp;$T28, TRUE)</f>
        <v>3.0326004548900682E-3</v>
      </c>
      <c r="G28" s="600" cm="1">
        <f t="array" aca="1" ref="G28" ca="1">INDIRECT("'※ 영업품질 세부데이터'!"&amp;G$1&amp;$T28, TRUE)</f>
        <v>6.7591604411241547E-3</v>
      </c>
      <c r="H28" s="600" cm="1">
        <f t="array" aca="1" ref="H28" ca="1">INDIRECT("'※ 영업품질 세부데이터'!"&amp;H$1&amp;$T28, TRUE)</f>
        <v>3.2108455226542991E-3</v>
      </c>
      <c r="I28" s="600" cm="1">
        <f t="array" aca="1" ref="I28" ca="1">INDIRECT("'※ 영업품질 세부데이터'!"&amp;I$1&amp;$T28, TRUE)</f>
        <v>2.4407252440725243E-3</v>
      </c>
      <c r="J28" s="600" cm="1">
        <f t="array" aca="1" ref="J28" ca="1">INDIRECT("'※ 영업품질 세부데이터'!"&amp;J$1&amp;$T28, TRUE)</f>
        <v>4.6589018302828616E-3</v>
      </c>
      <c r="K28" s="6263" cm="1">
        <f t="array" aca="1" ref="K28" ca="1">INDIRECT("'※ 영업품질 세부데이터'!"&amp;K$1&amp;$T28, TRUE)</f>
        <v>4.3565996779943647E-3</v>
      </c>
      <c r="L28" s="600" cm="1">
        <f t="array" aca="1" ref="L28" ca="1">INDIRECT("'※ 영업품질 세부데이터'!"&amp;L$1&amp;$T28, TRUE)</f>
        <v>4.3682795698924727E-3</v>
      </c>
      <c r="M28" s="600" cm="1">
        <f t="array" aca="1" ref="M28" ca="1">INDIRECT("'※ 영업품질 세부데이터'!"&amp;M$1&amp;$T28, TRUE)</f>
        <v>4.3449197860962567E-3</v>
      </c>
      <c r="N28" s="1200" cm="1">
        <f t="array" aca="1" ref="N28" ca="1">INDIRECT("'※ 영업품질 세부데이터'!"&amp;N$1&amp;$T28, TRUE)</f>
        <v>-2.3359783796216005E-5</v>
      </c>
      <c r="O28" s="1201" cm="1">
        <f t="array" aca="1" ref="O28" ca="1">INDIRECT("'※ 영업품질 세부데이터'!"&amp;O$1&amp;$T28, TRUE)</f>
        <v>1.3123193312061885E-3</v>
      </c>
      <c r="P28" s="1202" cm="1">
        <f t="array" aca="1" ref="P28" ca="1">INDIRECT("'※ 영업품질 세부데이터'!"&amp;P$1&amp;$T28, TRUE)</f>
        <v>4.3565996779943647E-3</v>
      </c>
      <c r="Q28" s="1203" cm="1">
        <f t="array" aca="1" ref="Q28" ca="1">INDIRECT("'※ 영업품질 세부데이터'!"&amp;Q$1&amp;$T28, TRUE)</f>
        <v>4.7051442702098325E-4</v>
      </c>
      <c r="R28" s="1204" cm="1">
        <f t="array" aca="1" ref="R28" ca="1">INDIRECT("'※ 영업품질 세부데이터'!"&amp;R$1&amp;$T28, TRUE)</f>
        <v>4.3565996779943647E-3</v>
      </c>
      <c r="S28" s="1205" cm="1">
        <f t="array" aca="1" ref="S28" ca="1">INDIRECT("'※ 영업품질 세부데이터'!"&amp;S$1&amp;$T28, TRUE)</f>
        <v>4.7051442702098325E-4</v>
      </c>
      <c r="T28" s="855">
        <f>ROW('※ 영업품질 세부데이터'!A25)</f>
        <v>25</v>
      </c>
      <c r="U28" s="1186"/>
      <c r="V28" s="1186"/>
      <c r="W28" s="1186"/>
    </row>
    <row r="29" spans="1:23" ht="16" customHeight="1" x14ac:dyDescent="0.55000000000000004">
      <c r="A29" s="7471"/>
      <c r="B29" s="7483" t="s">
        <v>542</v>
      </c>
      <c r="C29" s="7484"/>
      <c r="D29" s="1227" cm="1">
        <f t="array" aca="1" ref="D29" ca="1">INDIRECT("'※ 영업품질 세부데이터'!"&amp;D$1&amp;$T29, TRUE)</f>
        <v>7.477726242100525E-3</v>
      </c>
      <c r="E29" s="1228" cm="1">
        <f t="array" aca="1" ref="E29" ca="1">INDIRECT("'※ 영업품질 세부데이터'!"&amp;E$1&amp;$T29, TRUE)</f>
        <v>7.9640498312836833E-3</v>
      </c>
      <c r="F29" s="1229" cm="1">
        <f t="array" aca="1" ref="F29" ca="1">INDIRECT("'※ 영업품질 세부데이터'!"&amp;F$1&amp;$T29, TRUE)</f>
        <v>9.4940588158211776E-3</v>
      </c>
      <c r="G29" s="1229" cm="1">
        <f t="array" aca="1" ref="G29" ca="1">INDIRECT("'※ 영업품질 세부데이터'!"&amp;G$1&amp;$T29, TRUE)</f>
        <v>8.4626803059150019E-3</v>
      </c>
      <c r="H29" s="1229" cm="1">
        <f t="array" aca="1" ref="H29" ca="1">INDIRECT("'※ 영업품질 세부데이터'!"&amp;H$1&amp;$T29, TRUE)</f>
        <v>7.9761003458083523E-3</v>
      </c>
      <c r="I29" s="1229" cm="1">
        <f t="array" aca="1" ref="I29" ca="1">INDIRECT("'※ 영업품질 세부데이터'!"&amp;I$1&amp;$T29, TRUE)</f>
        <v>8.0181391335754568E-3</v>
      </c>
      <c r="J29" s="1229" cm="1">
        <f t="array" aca="1" ref="J29" ca="1">INDIRECT("'※ 영업품질 세부데이터'!"&amp;J$1&amp;$T29, TRUE)</f>
        <v>7.7413413006903751E-3</v>
      </c>
      <c r="K29" s="6266" cm="1">
        <f t="array" aca="1" ref="K29" ca="1">INDIRECT("'※ 영업품질 세부데이터'!"&amp;K$1&amp;$T29, TRUE)</f>
        <v>6.700469991865677E-3</v>
      </c>
      <c r="L29" s="1229" cm="1">
        <f t="array" aca="1" ref="L29" ca="1">INDIRECT("'※ 영업품질 세부데이터'!"&amp;L$1&amp;$T29, TRUE)</f>
        <v>7.3180433387273203E-3</v>
      </c>
      <c r="M29" s="1229" cm="1">
        <f t="array" aca="1" ref="M29" ca="1">INDIRECT("'※ 영업품질 세부데이터'!"&amp;M$1&amp;$T29, TRUE)</f>
        <v>6.0828966450040328E-3</v>
      </c>
      <c r="N29" s="1230" cm="1">
        <f t="array" aca="1" ref="N29" ca="1">INDIRECT("'※ 영업품질 세부데이터'!"&amp;N$1&amp;$T29, TRUE)</f>
        <v>-1.2351466937232875E-3</v>
      </c>
      <c r="O29" s="1231" cm="1">
        <f t="array" aca="1" ref="O29" ca="1">INDIRECT("'※ 영업품질 세부데이터'!"&amp;O$1&amp;$T29, TRUE)</f>
        <v>-3.4111621708171449E-3</v>
      </c>
      <c r="P29" s="1232" cm="1">
        <f t="array" aca="1" ref="P29" ca="1">INDIRECT("'※ 영업품질 세부데이터'!"&amp;P$1&amp;$T29, TRUE)</f>
        <v>6.700469991865677E-3</v>
      </c>
      <c r="Q29" s="1230" cm="1">
        <f t="array" aca="1" ref="Q29" ca="1">INDIRECT("'※ 영업품질 세부데이터'!"&amp;Q$1&amp;$T29, TRUE)</f>
        <v>-7.7725625023484807E-4</v>
      </c>
      <c r="R29" s="1233" cm="1">
        <f t="array" aca="1" ref="R29" ca="1">INDIRECT("'※ 영업품질 세부데이터'!"&amp;R$1&amp;$T29, TRUE)</f>
        <v>6.700469991865677E-3</v>
      </c>
      <c r="S29" s="1234" cm="1">
        <f t="array" aca="1" ref="S29" ca="1">INDIRECT("'※ 영업품질 세부데이터'!"&amp;S$1&amp;$T29, TRUE)</f>
        <v>-7.7725625023484807E-4</v>
      </c>
      <c r="T29" s="855">
        <f>ROW('※ 영업품질 세부데이터'!A30)</f>
        <v>30</v>
      </c>
      <c r="U29" s="1186"/>
      <c r="V29" s="1186"/>
      <c r="W29" s="1186"/>
    </row>
    <row r="30" spans="1:23" ht="16" customHeight="1" thickBot="1" x14ac:dyDescent="0.6">
      <c r="A30" s="7472"/>
      <c r="B30" s="7485" t="s">
        <v>541</v>
      </c>
      <c r="C30" s="7486"/>
      <c r="D30" s="1235" cm="1">
        <f t="array" aca="1" ref="D30" ca="1">INDIRECT("'※ 영업품질 세부데이터'!"&amp;D$1&amp;$T30, TRUE)</f>
        <v>-1.6355634133369597E-3</v>
      </c>
      <c r="E30" s="1236" cm="1">
        <f t="array" aca="1" ref="E30" ca="1">INDIRECT("'※ 영업품질 세부데이터'!"&amp;E$1&amp;$T30, TRUE)</f>
        <v>-6.3168128328561311E-4</v>
      </c>
      <c r="F30" s="1237" cm="1">
        <f t="array" aca="1" ref="F30" ca="1">INDIRECT("'※ 영업품질 세부데이터'!"&amp;F$1&amp;$T30, TRUE)</f>
        <v>-7.1851497930173168E-4</v>
      </c>
      <c r="G30" s="1237" cm="1">
        <f t="array" aca="1" ref="G30" ca="1">INDIRECT("'※ 영업품질 세부데이터'!"&amp;G$1&amp;$T30, TRUE)</f>
        <v>-1.8201449753285333E-3</v>
      </c>
      <c r="H30" s="1237" cm="1">
        <f t="array" aca="1" ref="H30" ca="1">INDIRECT("'※ 영업품질 세부데이터'!"&amp;H$1&amp;$T30, TRUE)</f>
        <v>-1.1173632059404892E-3</v>
      </c>
      <c r="I30" s="1237" cm="1">
        <f t="array" aca="1" ref="I30" ca="1">INDIRECT("'※ 영업품질 세부데이터'!"&amp;I$1&amp;$T30, TRUE)</f>
        <v>-1.4978984435476995E-3</v>
      </c>
      <c r="J30" s="1237" cm="1">
        <f t="array" aca="1" ref="J30" ca="1">INDIRECT("'※ 영업품질 세부데이터'!"&amp;J$1&amp;$T30, TRUE)</f>
        <v>-2.3308535320217183E-3</v>
      </c>
      <c r="K30" s="6267" cm="1">
        <f t="array" aca="1" ref="K30" ca="1">INDIRECT("'※ 영업품질 세부데이터'!"&amp;K$1&amp;$T30, TRUE)</f>
        <v>-1.9843809521456813E-3</v>
      </c>
      <c r="L30" s="1237" cm="1">
        <f t="array" aca="1" ref="L30" ca="1">INDIRECT("'※ 영업품질 세부데이터'!"&amp;L$1&amp;$T30, TRUE)</f>
        <v>-2.6830304188306797E-3</v>
      </c>
      <c r="M30" s="1237" cm="1">
        <f t="array" aca="1" ref="M30" ca="1">INDIRECT("'※ 영업품질 세부데이터'!"&amp;M$1&amp;$T30, TRUE)</f>
        <v>-1.285731485460683E-3</v>
      </c>
      <c r="N30" s="1238" cm="1">
        <f t="array" aca="1" ref="N30" ca="1">INDIRECT("'※ 영업품질 세부데이터'!"&amp;N$1&amp;$T30, TRUE)</f>
        <v>1.3972989333699967E-3</v>
      </c>
      <c r="O30" s="1239" cm="1">
        <f t="array" aca="1" ref="O30" ca="1">INDIRECT("'※ 영업품질 세부데이터'!"&amp;O$1&amp;$T30, TRUE)</f>
        <v>-5.6721650615895128E-4</v>
      </c>
      <c r="P30" s="1240" cm="1">
        <f t="array" aca="1" ref="P30" ca="1">INDIRECT("'※ 영업품질 세부데이터'!"&amp;P$1&amp;$T30, TRUE)</f>
        <v>-1.9843809521456813E-3</v>
      </c>
      <c r="Q30" s="1238" cm="1">
        <f t="array" aca="1" ref="Q30" ca="1">INDIRECT("'※ 영업품질 세부데이터'!"&amp;Q$1&amp;$T30, TRUE)</f>
        <v>-3.4881753880872156E-4</v>
      </c>
      <c r="R30" s="1241" cm="1">
        <f t="array" aca="1" ref="R30" ca="1">INDIRECT("'※ 영업품질 세부데이터'!"&amp;R$1&amp;$T30, TRUE)</f>
        <v>-1.9843809521456813E-3</v>
      </c>
      <c r="S30" s="1242" cm="1">
        <f t="array" aca="1" ref="S30" ca="1">INDIRECT("'※ 영업품질 세부데이터'!"&amp;S$1&amp;$T30, TRUE)</f>
        <v>-3.4881753880872156E-4</v>
      </c>
      <c r="T30" s="855">
        <f>ROW('※ 영업품질 세부데이터'!A31)</f>
        <v>31</v>
      </c>
      <c r="U30" s="1243"/>
      <c r="V30" s="1243"/>
      <c r="W30" s="1243"/>
    </row>
    <row r="31" spans="1:23" ht="12" customHeight="1" thickBot="1" x14ac:dyDescent="0.6">
      <c r="B31" s="1244"/>
      <c r="C31" s="1244"/>
      <c r="D31" s="1244"/>
      <c r="E31" s="1244"/>
      <c r="F31" s="1244"/>
      <c r="G31" s="1244"/>
      <c r="H31" s="1244"/>
      <c r="I31" s="1244"/>
      <c r="J31" s="1244"/>
      <c r="K31" s="6268"/>
      <c r="L31" s="1244"/>
      <c r="M31" s="1244"/>
      <c r="N31" s="1244"/>
      <c r="O31" s="1244"/>
      <c r="P31" s="1244"/>
      <c r="Q31" s="1244"/>
      <c r="R31" s="1244"/>
      <c r="S31" s="1244"/>
      <c r="T31" s="855">
        <f>ROW('※ 영업품질 세부데이터'!A32)</f>
        <v>32</v>
      </c>
    </row>
    <row r="32" spans="1:23" ht="16" customHeight="1" x14ac:dyDescent="0.55000000000000004">
      <c r="A32" s="7468" t="s">
        <v>133</v>
      </c>
      <c r="B32" s="1245"/>
      <c r="C32" s="1246" t="s">
        <v>522</v>
      </c>
      <c r="D32" s="1247" cm="1">
        <f t="array" aca="1" ref="D32" ca="1">INDIRECT("'※ 영업품질 세부데이터'!"&amp;D$1&amp;$T32, TRUE)</f>
        <v>192</v>
      </c>
      <c r="E32" s="1248" cm="1">
        <f t="array" aca="1" ref="E32" ca="1">INDIRECT("'※ 영업품질 세부데이터'!"&amp;E$1&amp;$T32, TRUE)</f>
        <v>20</v>
      </c>
      <c r="F32" s="1249" cm="1">
        <f t="array" aca="1" ref="F32" ca="1">INDIRECT("'※ 영업품질 세부데이터'!"&amp;F$1&amp;$T32, TRUE)</f>
        <v>13</v>
      </c>
      <c r="G32" s="1249" cm="1">
        <f t="array" aca="1" ref="G32" ca="1">INDIRECT("'※ 영업품질 세부데이터'!"&amp;G$1&amp;$T32, TRUE)</f>
        <v>18</v>
      </c>
      <c r="H32" s="1249" cm="1">
        <f t="array" aca="1" ref="H32" ca="1">INDIRECT("'※ 영업품질 세부데이터'!"&amp;H$1&amp;$T32, TRUE)</f>
        <v>15</v>
      </c>
      <c r="I32" s="1249" cm="1">
        <f t="array" aca="1" ref="I32" ca="1">INDIRECT("'※ 영업품질 세부데이터'!"&amp;I$1&amp;$T32, TRUE)</f>
        <v>17</v>
      </c>
      <c r="J32" s="1249" cm="1">
        <f t="array" aca="1" ref="J32" ca="1">INDIRECT("'※ 영업품질 세부데이터'!"&amp;J$1&amp;$T32, TRUE)</f>
        <v>19</v>
      </c>
      <c r="K32" s="6269" cm="1">
        <f t="array" aca="1" ref="K32" ca="1">INDIRECT("'※ 영업품질 세부데이터'!"&amp;K$1&amp;$T32, TRUE)</f>
        <v>29</v>
      </c>
      <c r="L32" s="1249" cm="1">
        <f t="array" aca="1" ref="L32" ca="1">INDIRECT("'※ 영업품질 세부데이터'!"&amp;L$1&amp;$T32, TRUE)</f>
        <v>20</v>
      </c>
      <c r="M32" s="1249" cm="1">
        <f t="array" aca="1" ref="M32" ca="1">INDIRECT("'※ 영업품질 세부데이터'!"&amp;M$1&amp;$T32, TRUE)</f>
        <v>9</v>
      </c>
      <c r="N32" s="1249" cm="1">
        <f t="array" aca="1" ref="N32" ca="1">INDIRECT("'※ 영업품질 세부데이터'!"&amp;N$1&amp;$T32, TRUE)</f>
        <v>-11</v>
      </c>
      <c r="O32" s="1250" cm="1">
        <f t="array" aca="1" ref="O32" ca="1">INDIRECT("'※ 영업품질 세부데이터'!"&amp;O$1&amp;$T32, TRUE)</f>
        <v>-4</v>
      </c>
      <c r="P32" s="1251" cm="1">
        <f t="array" aca="1" ref="P32" ca="1">INDIRECT("'※ 영업품질 세부데이터'!"&amp;P$1&amp;$T32, TRUE)</f>
        <v>29</v>
      </c>
      <c r="Q32" s="1252" cm="1">
        <f t="array" aca="1" ref="Q32" ca="1">INDIRECT("'※ 영업품질 세부데이터'!"&amp;Q$1&amp;$T32, TRUE)</f>
        <v>-4</v>
      </c>
      <c r="R32" s="1253" cm="1">
        <f t="array" aca="1" ref="R32" ca="1">INDIRECT("'※ 영업품질 세부데이터'!"&amp;R$1&amp;$T32, TRUE)</f>
        <v>14.5</v>
      </c>
      <c r="S32" s="1254" cm="1">
        <f t="array" aca="1" ref="S32" ca="1">INDIRECT("'※ 영업품질 세부데이터'!"&amp;S$1&amp;$T32, TRUE)</f>
        <v>-1.5</v>
      </c>
      <c r="T32" s="855">
        <f>ROW('※ 영업품질 세부데이터'!A33)</f>
        <v>33</v>
      </c>
      <c r="W32" s="1255"/>
    </row>
    <row r="33" spans="1:23" ht="16" customHeight="1" x14ac:dyDescent="0.55000000000000004">
      <c r="A33" s="7469"/>
      <c r="B33" s="1256"/>
      <c r="C33" s="1257" t="s">
        <v>523</v>
      </c>
      <c r="D33" s="1258" cm="1">
        <f t="array" aca="1" ref="D33" ca="1">INDIRECT("'※ 영업품질 세부데이터'!"&amp;D$1&amp;$T33, TRUE)</f>
        <v>39</v>
      </c>
      <c r="E33" s="1259" cm="1">
        <f t="array" aca="1" ref="E33" ca="1">INDIRECT("'※ 영업품질 세부데이터'!"&amp;E$1&amp;$T33, TRUE)</f>
        <v>4</v>
      </c>
      <c r="F33" s="1260" cm="1">
        <f t="array" aca="1" ref="F33" ca="1">INDIRECT("'※ 영업품질 세부데이터'!"&amp;F$1&amp;$T33, TRUE)</f>
        <v>5</v>
      </c>
      <c r="G33" s="1260" cm="1">
        <f t="array" aca="1" ref="G33" ca="1">INDIRECT("'※ 영업품질 세부데이터'!"&amp;G$1&amp;$T33, TRUE)</f>
        <v>2</v>
      </c>
      <c r="H33" s="1260" cm="1">
        <f t="array" aca="1" ref="H33" ca="1">INDIRECT("'※ 영업품질 세부데이터'!"&amp;H$1&amp;$T33, TRUE)</f>
        <v>4</v>
      </c>
      <c r="I33" s="1260" cm="1">
        <f t="array" aca="1" ref="I33" ca="1">INDIRECT("'※ 영업품질 세부데이터'!"&amp;I$1&amp;$T33, TRUE)</f>
        <v>2</v>
      </c>
      <c r="J33" s="1260" cm="1">
        <f t="array" aca="1" ref="J33" ca="1">INDIRECT("'※ 영업품질 세부데이터'!"&amp;J$1&amp;$T33, TRUE)</f>
        <v>7</v>
      </c>
      <c r="K33" s="6270" cm="1">
        <f t="array" aca="1" ref="K33" ca="1">INDIRECT("'※ 영업품질 세부데이터'!"&amp;K$1&amp;$T33, TRUE)</f>
        <v>8</v>
      </c>
      <c r="L33" s="1261" cm="1">
        <f t="array" aca="1" ref="L33" ca="1">INDIRECT("'※ 영업품질 세부데이터'!"&amp;L$1&amp;$T33, TRUE)</f>
        <v>8</v>
      </c>
      <c r="M33" s="7488" t="s">
        <v>1087</v>
      </c>
      <c r="N33" s="1260" cm="1">
        <f t="array" aca="1" ref="N33" ca="1">INDIRECT("'※ 영업품질 세부데이터'!"&amp;N$1&amp;$T33, TRUE)</f>
        <v>-8</v>
      </c>
      <c r="O33" s="1262" cm="1">
        <f t="array" aca="1" ref="O33" ca="1">INDIRECT("'※ 영업품질 세부데이터'!"&amp;O$1&amp;$T33, TRUE)</f>
        <v>-5</v>
      </c>
      <c r="P33" s="1263" cm="1">
        <f t="array" aca="1" ref="P33" ca="1">INDIRECT("'※ 영업품질 세부데이터'!"&amp;P$1&amp;$T33, TRUE)</f>
        <v>8</v>
      </c>
      <c r="Q33" s="1261" cm="1">
        <f t="array" aca="1" ref="Q33" ca="1">INDIRECT("'※ 영업품질 세부데이터'!"&amp;Q$1&amp;$T33, TRUE)</f>
        <v>-1</v>
      </c>
      <c r="R33" s="1264" cm="1">
        <f t="array" aca="1" ref="R33" ca="1">INDIRECT("'※ 영업품질 세부데이터'!"&amp;R$1&amp;$T33, TRUE)</f>
        <v>8</v>
      </c>
      <c r="S33" s="1265" cm="1">
        <f t="array" aca="1" ref="S33" ca="1">INDIRECT("'※ 영업품질 세부데이터'!"&amp;S$1&amp;$T33, TRUE)</f>
        <v>4.75</v>
      </c>
      <c r="T33" s="855">
        <f>ROW('※ 영업품질 세부데이터'!A34)</f>
        <v>34</v>
      </c>
      <c r="W33" s="1255"/>
    </row>
    <row r="34" spans="1:23" ht="16" customHeight="1" x14ac:dyDescent="0.55000000000000004">
      <c r="A34" s="7469"/>
      <c r="B34" s="1266"/>
      <c r="C34" s="1267" t="s">
        <v>524</v>
      </c>
      <c r="D34" s="1268" cm="1">
        <f t="array" aca="1" ref="D34" ca="1">INDIRECT("'※ 영업품질 세부데이터'!"&amp;D$1&amp;$T34, TRUE)</f>
        <v>0.203125</v>
      </c>
      <c r="E34" s="1269" cm="1">
        <f t="array" aca="1" ref="E34" ca="1">INDIRECT("'※ 영업품질 세부데이터'!"&amp;E$1&amp;$T34, TRUE)</f>
        <v>0.2</v>
      </c>
      <c r="F34" s="688" cm="1">
        <f t="array" aca="1" ref="F34" ca="1">INDIRECT("'※ 영업품질 세부데이터'!"&amp;F$1&amp;$T34, TRUE)</f>
        <v>0.38461538461538464</v>
      </c>
      <c r="G34" s="688" cm="1">
        <f t="array" aca="1" ref="G34" ca="1">INDIRECT("'※ 영업품질 세부데이터'!"&amp;G$1&amp;$T34, TRUE)</f>
        <v>0.1111111111111111</v>
      </c>
      <c r="H34" s="688" cm="1">
        <f t="array" aca="1" ref="H34" ca="1">INDIRECT("'※ 영업품질 세부데이터'!"&amp;H$1&amp;$T34, TRUE)</f>
        <v>0.26666666666666666</v>
      </c>
      <c r="I34" s="688" cm="1">
        <f t="array" aca="1" ref="I34" ca="1">INDIRECT("'※ 영업품질 세부데이터'!"&amp;I$1&amp;$T34, TRUE)</f>
        <v>0.11764705882352941</v>
      </c>
      <c r="J34" s="688" cm="1">
        <f t="array" aca="1" ref="J34" ca="1">INDIRECT("'※ 영업품질 세부데이터'!"&amp;J$1&amp;$T34, TRUE)</f>
        <v>0.36842105263157893</v>
      </c>
      <c r="K34" s="6271" cm="1">
        <f t="array" aca="1" ref="K34" ca="1">INDIRECT("'※ 영업품질 세부데이터'!"&amp;K$1&amp;$T34, TRUE)</f>
        <v>0.27586206896551724</v>
      </c>
      <c r="L34" s="688" cm="1">
        <f t="array" aca="1" ref="L34" ca="1">INDIRECT("'※ 영업품질 세부데이터'!"&amp;L$1&amp;$T34, TRUE)</f>
        <v>0.4</v>
      </c>
      <c r="M34" s="7489"/>
      <c r="N34" s="688" cm="1">
        <f t="array" aca="1" ref="N34" ca="1">INDIRECT("'※ 영업품질 세부데이터'!"&amp;N$1&amp;$T34, TRUE)</f>
        <v>-0.4</v>
      </c>
      <c r="O34" s="1270" cm="1">
        <f t="array" aca="1" ref="O34" ca="1">INDIRECT("'※ 영업품질 세부데이터'!"&amp;O$1&amp;$T34, TRUE)</f>
        <v>-0.38461538461538464</v>
      </c>
      <c r="P34" s="1271" cm="1">
        <f t="array" aca="1" ref="P34" ca="1">INDIRECT("'※ 영업품질 세부데이터'!"&amp;P$1&amp;$T34, TRUE)</f>
        <v>0.27586206896551724</v>
      </c>
      <c r="Q34" s="1272" cm="1">
        <f t="array" aca="1" ref="Q34" ca="1">INDIRECT("'※ 영업품질 세부데이터'!"&amp;Q$1&amp;$T34, TRUE)</f>
        <v>0.34859913793103448</v>
      </c>
      <c r="R34" s="1273" cm="1">
        <f t="array" aca="1" ref="R34" ca="1">INDIRECT("'※ 영업품질 세부데이터'!"&amp;R$1&amp;$T34, TRUE)</f>
        <v>0.55172413793103448</v>
      </c>
      <c r="S34" s="1274" cm="1">
        <f t="array" aca="1" ref="S34" ca="1">INDIRECT("'※ 영업품질 세부데이터'!"&amp;S$1&amp;$T34, TRUE)</f>
        <v>0.34859913793103448</v>
      </c>
      <c r="T34" s="855">
        <f>ROW('※ 영업품질 세부데이터'!A35)</f>
        <v>35</v>
      </c>
      <c r="U34" s="1186"/>
      <c r="V34" s="1186"/>
      <c r="W34" s="1186"/>
    </row>
    <row r="35" spans="1:23" ht="16" customHeight="1" x14ac:dyDescent="0.55000000000000004">
      <c r="A35" s="7469"/>
      <c r="B35" s="1275" t="s">
        <v>126</v>
      </c>
      <c r="C35" s="1276"/>
      <c r="D35" s="1277" cm="1">
        <f t="array" aca="1" ref="D35" ca="1">INDIRECT("'※ 영업품질 세부데이터'!"&amp;D$1&amp;$T35, TRUE)</f>
        <v>65</v>
      </c>
      <c r="E35" s="1278" cm="1">
        <f t="array" aca="1" ref="E35" ca="1">INDIRECT("'※ 영업품질 세부데이터'!"&amp;E$1&amp;$T35, TRUE)</f>
        <v>7</v>
      </c>
      <c r="F35" s="1279" cm="1">
        <f t="array" aca="1" ref="F35" ca="1">INDIRECT("'※ 영업품질 세부데이터'!"&amp;F$1&amp;$T35, TRUE)</f>
        <v>4</v>
      </c>
      <c r="G35" s="1279" cm="1">
        <f t="array" aca="1" ref="G35" ca="1">INDIRECT("'※ 영업품질 세부데이터'!"&amp;G$1&amp;$T35, TRUE)</f>
        <v>6</v>
      </c>
      <c r="H35" s="1279" cm="1">
        <f t="array" aca="1" ref="H35" ca="1">INDIRECT("'※ 영업품질 세부데이터'!"&amp;H$1&amp;$T35, TRUE)</f>
        <v>5</v>
      </c>
      <c r="I35" s="1279" cm="1">
        <f t="array" aca="1" ref="I35" ca="1">INDIRECT("'※ 영업품질 세부데이터'!"&amp;I$1&amp;$T35, TRUE)</f>
        <v>6</v>
      </c>
      <c r="J35" s="1279" cm="1">
        <f t="array" aca="1" ref="J35" ca="1">INDIRECT("'※ 영업품질 세부데이터'!"&amp;J$1&amp;$T35, TRUE)</f>
        <v>4</v>
      </c>
      <c r="K35" s="6272" cm="1">
        <f t="array" aca="1" ref="K35" ca="1">INDIRECT("'※ 영업품질 세부데이터'!"&amp;K$1&amp;$T35, TRUE)</f>
        <v>10</v>
      </c>
      <c r="L35" s="1279" cm="1">
        <f t="array" aca="1" ref="L35" ca="1">INDIRECT("'※ 영업품질 세부데이터'!"&amp;L$1&amp;$T35, TRUE)</f>
        <v>7</v>
      </c>
      <c r="M35" s="1279" cm="1">
        <f t="array" aca="1" ref="M35" ca="1">INDIRECT("'※ 영업품질 세부데이터'!"&amp;M$1&amp;$T35, TRUE)</f>
        <v>3</v>
      </c>
      <c r="N35" s="1279" cm="1">
        <f t="array" aca="1" ref="N35" ca="1">INDIRECT("'※ 영업품질 세부데이터'!"&amp;N$1&amp;$T35, TRUE)</f>
        <v>-4</v>
      </c>
      <c r="O35" s="1280" cm="1">
        <f t="array" aca="1" ref="O35" ca="1">INDIRECT("'※ 영업품질 세부데이터'!"&amp;O$1&amp;$T35, TRUE)</f>
        <v>-1</v>
      </c>
      <c r="P35" s="1281" cm="1">
        <f t="array" aca="1" ref="P35" ca="1">INDIRECT("'※ 영업품질 세부데이터'!"&amp;P$1&amp;$T35, TRUE)</f>
        <v>10</v>
      </c>
      <c r="Q35" s="1279" cm="1">
        <f t="array" aca="1" ref="Q35" ca="1">INDIRECT("'※ 영업품질 세부데이터'!"&amp;Q$1&amp;$T35, TRUE)</f>
        <v>-1</v>
      </c>
      <c r="R35" s="1282" cm="1">
        <f t="array" aca="1" ref="R35" ca="1">INDIRECT("'※ 영업품질 세부데이터'!"&amp;R$1&amp;$T35, TRUE)</f>
        <v>5</v>
      </c>
      <c r="S35" s="1283" cm="1">
        <f t="array" aca="1" ref="S35" ca="1">INDIRECT("'※ 영업품질 세부데이터'!"&amp;S$1&amp;$T35, TRUE)</f>
        <v>-0.41666666666666696</v>
      </c>
      <c r="T35" s="855">
        <f>ROW('※ 영업품질 세부데이터'!A36)</f>
        <v>36</v>
      </c>
      <c r="W35" s="1255"/>
    </row>
    <row r="36" spans="1:23" ht="15" customHeight="1" x14ac:dyDescent="0.55000000000000004">
      <c r="A36" s="7469"/>
      <c r="B36" s="1284"/>
      <c r="C36" s="594" t="s">
        <v>140</v>
      </c>
      <c r="D36" s="1285" cm="1">
        <f t="array" aca="1" ref="D36" ca="1">INDIRECT("'※ 영업품질 세부데이터'!"&amp;D$1&amp;$T36, TRUE)</f>
        <v>4</v>
      </c>
      <c r="E36" s="1286" cm="1">
        <f t="array" aca="1" ref="E36" ca="1">INDIRECT("'※ 영업품질 세부데이터'!"&amp;E$1&amp;$T36, TRUE)</f>
        <v>0</v>
      </c>
      <c r="F36" s="1287" cm="1">
        <f t="array" aca="1" ref="F36" ca="1">INDIRECT("'※ 영업품질 세부데이터'!"&amp;F$1&amp;$T36, TRUE)</f>
        <v>1</v>
      </c>
      <c r="G36" s="1287" cm="1">
        <f t="array" aca="1" ref="G36" ca="1">INDIRECT("'※ 영업품질 세부데이터'!"&amp;G$1&amp;$T36, TRUE)</f>
        <v>0</v>
      </c>
      <c r="H36" s="1287" cm="1">
        <f t="array" aca="1" ref="H36" ca="1">INDIRECT("'※ 영업품질 세부데이터'!"&amp;H$1&amp;$T36, TRUE)</f>
        <v>1</v>
      </c>
      <c r="I36" s="1287" cm="1">
        <f t="array" aca="1" ref="I36" ca="1">INDIRECT("'※ 영업품질 세부데이터'!"&amp;I$1&amp;$T36, TRUE)</f>
        <v>0</v>
      </c>
      <c r="J36" s="1287" cm="1">
        <f t="array" aca="1" ref="J36" ca="1">INDIRECT("'※ 영업품질 세부데이터'!"&amp;J$1&amp;$T36, TRUE)</f>
        <v>0</v>
      </c>
      <c r="K36" s="6273" cm="1">
        <f t="array" aca="1" ref="K36" ca="1">INDIRECT("'※ 영업품질 세부데이터'!"&amp;K$1&amp;$T36, TRUE)</f>
        <v>1</v>
      </c>
      <c r="L36" s="1287" cm="1">
        <f t="array" aca="1" ref="L36" ca="1">INDIRECT("'※ 영업품질 세부데이터'!"&amp;L$1&amp;$T36, TRUE)</f>
        <v>1</v>
      </c>
      <c r="M36" s="1287" cm="1">
        <f t="array" aca="1" ref="M36" ca="1">INDIRECT("'※ 영업품질 세부데이터'!"&amp;M$1&amp;$T36, TRUE)</f>
        <v>0</v>
      </c>
      <c r="N36" s="1287" cm="1">
        <f t="array" aca="1" ref="N36" ca="1">INDIRECT("'※ 영업품질 세부데이터'!"&amp;N$1&amp;$T36, TRUE)</f>
        <v>-1</v>
      </c>
      <c r="O36" s="1288" cm="1">
        <f t="array" aca="1" ref="O36" ca="1">INDIRECT("'※ 영업품질 세부데이터'!"&amp;O$1&amp;$T36, TRUE)</f>
        <v>-1</v>
      </c>
      <c r="P36" s="1289" cm="1">
        <f t="array" aca="1" ref="P36" ca="1">INDIRECT("'※ 영업품질 세부데이터'!"&amp;P$1&amp;$T36, TRUE)</f>
        <v>1</v>
      </c>
      <c r="Q36" s="1287" cm="1">
        <f t="array" aca="1" ref="Q36" ca="1">INDIRECT("'※ 영업품질 세부데이터'!"&amp;Q$1&amp;$T36, TRUE)</f>
        <v>0</v>
      </c>
      <c r="R36" s="1290" cm="1">
        <f t="array" aca="1" ref="R36" ca="1">INDIRECT("'※ 영업품질 세부데이터'!"&amp;R$1&amp;$T36, TRUE)</f>
        <v>0.5</v>
      </c>
      <c r="S36" s="1291" cm="1">
        <f t="array" aca="1" ref="S36" ca="1">INDIRECT("'※ 영업품질 세부데이터'!"&amp;S$1&amp;$T36, TRUE)</f>
        <v>0.16666666666666669</v>
      </c>
      <c r="T36" s="855">
        <f>ROW('※ 영업품질 세부데이터'!A37)</f>
        <v>37</v>
      </c>
      <c r="W36" s="1255"/>
    </row>
    <row r="37" spans="1:23" ht="15" customHeight="1" x14ac:dyDescent="0.55000000000000004">
      <c r="A37" s="7469"/>
      <c r="B37" s="1284"/>
      <c r="C37" s="594" t="s">
        <v>141</v>
      </c>
      <c r="D37" s="1285" cm="1">
        <f t="array" aca="1" ref="D37" ca="1">INDIRECT("'※ 영업품질 세부데이터'!"&amp;D$1&amp;$T37, TRUE)</f>
        <v>4</v>
      </c>
      <c r="E37" s="1286" cm="1">
        <f t="array" aca="1" ref="E37" ca="1">INDIRECT("'※ 영업품질 세부데이터'!"&amp;E$1&amp;$T37, TRUE)</f>
        <v>0</v>
      </c>
      <c r="F37" s="1287" cm="1">
        <f t="array" aca="1" ref="F37" ca="1">INDIRECT("'※ 영업품질 세부데이터'!"&amp;F$1&amp;$T37, TRUE)</f>
        <v>0</v>
      </c>
      <c r="G37" s="1287" cm="1">
        <f t="array" aca="1" ref="G37" ca="1">INDIRECT("'※ 영업품질 세부데이터'!"&amp;G$1&amp;$T37, TRUE)</f>
        <v>1</v>
      </c>
      <c r="H37" s="1287" cm="1">
        <f t="array" aca="1" ref="H37" ca="1">INDIRECT("'※ 영업품질 세부데이터'!"&amp;H$1&amp;$T37, TRUE)</f>
        <v>1</v>
      </c>
      <c r="I37" s="1287" cm="1">
        <f t="array" aca="1" ref="I37" ca="1">INDIRECT("'※ 영업품질 세부데이터'!"&amp;I$1&amp;$T37, TRUE)</f>
        <v>1</v>
      </c>
      <c r="J37" s="1287" cm="1">
        <f t="array" aca="1" ref="J37" ca="1">INDIRECT("'※ 영업품질 세부데이터'!"&amp;J$1&amp;$T37, TRUE)</f>
        <v>0</v>
      </c>
      <c r="K37" s="6273" cm="1">
        <f t="array" aca="1" ref="K37" ca="1">INDIRECT("'※ 영업품질 세부데이터'!"&amp;K$1&amp;$T37, TRUE)</f>
        <v>0</v>
      </c>
      <c r="L37" s="1287" cm="1">
        <f t="array" aca="1" ref="L37" ca="1">INDIRECT("'※ 영업품질 세부데이터'!"&amp;L$1&amp;$T37, TRUE)</f>
        <v>0</v>
      </c>
      <c r="M37" s="1287" cm="1">
        <f t="array" aca="1" ref="M37" ca="1">INDIRECT("'※ 영업품질 세부데이터'!"&amp;M$1&amp;$T37, TRUE)</f>
        <v>0</v>
      </c>
      <c r="N37" s="1287" cm="1">
        <f t="array" aca="1" ref="N37" ca="1">INDIRECT("'※ 영업품질 세부데이터'!"&amp;N$1&amp;$T37, TRUE)</f>
        <v>0</v>
      </c>
      <c r="O37" s="1288" cm="1">
        <f t="array" aca="1" ref="O37" ca="1">INDIRECT("'※ 영업품질 세부데이터'!"&amp;O$1&amp;$T37, TRUE)</f>
        <v>0</v>
      </c>
      <c r="P37" s="1289" cm="1">
        <f t="array" aca="1" ref="P37" ca="1">INDIRECT("'※ 영업품질 세부데이터'!"&amp;P$1&amp;$T37, TRUE)</f>
        <v>0</v>
      </c>
      <c r="Q37" s="1287" cm="1">
        <f t="array" aca="1" ref="Q37" ca="1">INDIRECT("'※ 영업품질 세부데이터'!"&amp;Q$1&amp;$T37, TRUE)</f>
        <v>0</v>
      </c>
      <c r="R37" s="1290" cm="1">
        <f t="array" aca="1" ref="R37" ca="1">INDIRECT("'※ 영업품질 세부데이터'!"&amp;R$1&amp;$T37, TRUE)</f>
        <v>0</v>
      </c>
      <c r="S37" s="1291" cm="1">
        <f t="array" aca="1" ref="S37" ca="1">INDIRECT("'※ 영업품질 세부데이터'!"&amp;S$1&amp;$T37, TRUE)</f>
        <v>-0.33333333333333331</v>
      </c>
      <c r="T37" s="855">
        <f>ROW('※ 영업품질 세부데이터'!A38)</f>
        <v>38</v>
      </c>
      <c r="W37" s="1255"/>
    </row>
    <row r="38" spans="1:23" ht="15" customHeight="1" x14ac:dyDescent="0.55000000000000004">
      <c r="A38" s="7469"/>
      <c r="B38" s="1284"/>
      <c r="C38" s="594" t="s">
        <v>142</v>
      </c>
      <c r="D38" s="1285" cm="1">
        <f t="array" aca="1" ref="D38" ca="1">INDIRECT("'※ 영업품질 세부데이터'!"&amp;D$1&amp;$T38, TRUE)</f>
        <v>4</v>
      </c>
      <c r="E38" s="1286" cm="1">
        <f t="array" aca="1" ref="E38" ca="1">INDIRECT("'※ 영업품질 세부데이터'!"&amp;E$1&amp;$T38, TRUE)</f>
        <v>0</v>
      </c>
      <c r="F38" s="1287" cm="1">
        <f t="array" aca="1" ref="F38" ca="1">INDIRECT("'※ 영업품질 세부데이터'!"&amp;F$1&amp;$T38, TRUE)</f>
        <v>1</v>
      </c>
      <c r="G38" s="1287" cm="1">
        <f t="array" aca="1" ref="G38" ca="1">INDIRECT("'※ 영업품질 세부데이터'!"&amp;G$1&amp;$T38, TRUE)</f>
        <v>0</v>
      </c>
      <c r="H38" s="1287" cm="1">
        <f t="array" aca="1" ref="H38" ca="1">INDIRECT("'※ 영업품질 세부데이터'!"&amp;H$1&amp;$T38, TRUE)</f>
        <v>0</v>
      </c>
      <c r="I38" s="1287" cm="1">
        <f t="array" aca="1" ref="I38" ca="1">INDIRECT("'※ 영업품질 세부데이터'!"&amp;I$1&amp;$T38, TRUE)</f>
        <v>2</v>
      </c>
      <c r="J38" s="1287" cm="1">
        <f t="array" aca="1" ref="J38" ca="1">INDIRECT("'※ 영업품질 세부데이터'!"&amp;J$1&amp;$T38, TRUE)</f>
        <v>0</v>
      </c>
      <c r="K38" s="6273" cm="1">
        <f t="array" aca="1" ref="K38" ca="1">INDIRECT("'※ 영업품질 세부데이터'!"&amp;K$1&amp;$T38, TRUE)</f>
        <v>3</v>
      </c>
      <c r="L38" s="1287" cm="1">
        <f t="array" aca="1" ref="L38" ca="1">INDIRECT("'※ 영업품질 세부데이터'!"&amp;L$1&amp;$T38, TRUE)</f>
        <v>3</v>
      </c>
      <c r="M38" s="1287" cm="1">
        <f t="array" aca="1" ref="M38" ca="1">INDIRECT("'※ 영업품질 세부데이터'!"&amp;M$1&amp;$T38, TRUE)</f>
        <v>0</v>
      </c>
      <c r="N38" s="1287" cm="1">
        <f t="array" aca="1" ref="N38" ca="1">INDIRECT("'※ 영업품질 세부데이터'!"&amp;N$1&amp;$T38, TRUE)</f>
        <v>-3</v>
      </c>
      <c r="O38" s="1288" cm="1">
        <f t="array" aca="1" ref="O38" ca="1">INDIRECT("'※ 영업품질 세부데이터'!"&amp;O$1&amp;$T38, TRUE)</f>
        <v>-1</v>
      </c>
      <c r="P38" s="1289" cm="1">
        <f t="array" aca="1" ref="P38" ca="1">INDIRECT("'※ 영업품질 세부데이터'!"&amp;P$1&amp;$T38, TRUE)</f>
        <v>3</v>
      </c>
      <c r="Q38" s="1287" cm="1">
        <f t="array" aca="1" ref="Q38" ca="1">INDIRECT("'※ 영업품질 세부데이터'!"&amp;Q$1&amp;$T38, TRUE)</f>
        <v>2</v>
      </c>
      <c r="R38" s="1290" cm="1">
        <f t="array" aca="1" ref="R38" ca="1">INDIRECT("'※ 영업품질 세부데이터'!"&amp;R$1&amp;$T38, TRUE)</f>
        <v>1.5</v>
      </c>
      <c r="S38" s="1291" cm="1">
        <f t="array" aca="1" ref="S38" ca="1">INDIRECT("'※ 영업품질 세부데이터'!"&amp;S$1&amp;$T38, TRUE)</f>
        <v>1.1666666666666667</v>
      </c>
      <c r="T38" s="855">
        <f>ROW('※ 영업품질 세부데이터'!A39)</f>
        <v>39</v>
      </c>
      <c r="W38" s="1255"/>
    </row>
    <row r="39" spans="1:23" ht="15" customHeight="1" x14ac:dyDescent="0.55000000000000004">
      <c r="A39" s="7469"/>
      <c r="B39" s="1284"/>
      <c r="C39" s="886" t="s">
        <v>143</v>
      </c>
      <c r="D39" s="1285" cm="1">
        <f t="array" aca="1" ref="D39" ca="1">INDIRECT("'※ 영업품질 세부데이터'!"&amp;D$1&amp;$T39, TRUE)</f>
        <v>2</v>
      </c>
      <c r="E39" s="1286" cm="1">
        <f t="array" aca="1" ref="E39" ca="1">INDIRECT("'※ 영업품질 세부데이터'!"&amp;E$1&amp;$T39, TRUE)</f>
        <v>0</v>
      </c>
      <c r="F39" s="1287" cm="1">
        <f t="array" aca="1" ref="F39" ca="1">INDIRECT("'※ 영업품질 세부데이터'!"&amp;F$1&amp;$T39, TRUE)</f>
        <v>0</v>
      </c>
      <c r="G39" s="1287" cm="1">
        <f t="array" aca="1" ref="G39" ca="1">INDIRECT("'※ 영업품질 세부데이터'!"&amp;G$1&amp;$T39, TRUE)</f>
        <v>0</v>
      </c>
      <c r="H39" s="1287" cm="1">
        <f t="array" aca="1" ref="H39" ca="1">INDIRECT("'※ 영업품질 세부데이터'!"&amp;H$1&amp;$T39, TRUE)</f>
        <v>1</v>
      </c>
      <c r="I39" s="1287" cm="1">
        <f t="array" aca="1" ref="I39" ca="1">INDIRECT("'※ 영업품질 세부데이터'!"&amp;I$1&amp;$T39, TRUE)</f>
        <v>0</v>
      </c>
      <c r="J39" s="1287" cm="1">
        <f t="array" aca="1" ref="J39" ca="1">INDIRECT("'※ 영업품질 세부데이터'!"&amp;J$1&amp;$T39, TRUE)</f>
        <v>0</v>
      </c>
      <c r="K39" s="6273" cm="1">
        <f t="array" aca="1" ref="K39" ca="1">INDIRECT("'※ 영업품질 세부데이터'!"&amp;K$1&amp;$T39, TRUE)</f>
        <v>0</v>
      </c>
      <c r="L39" s="1287" cm="1">
        <f t="array" aca="1" ref="L39" ca="1">INDIRECT("'※ 영업품질 세부데이터'!"&amp;L$1&amp;$T39, TRUE)</f>
        <v>0</v>
      </c>
      <c r="M39" s="1287" cm="1">
        <f t="array" aca="1" ref="M39" ca="1">INDIRECT("'※ 영업품질 세부데이터'!"&amp;M$1&amp;$T39, TRUE)</f>
        <v>0</v>
      </c>
      <c r="N39" s="1287" cm="1">
        <f t="array" aca="1" ref="N39" ca="1">INDIRECT("'※ 영업품질 세부데이터'!"&amp;N$1&amp;$T39, TRUE)</f>
        <v>0</v>
      </c>
      <c r="O39" s="1288" cm="1">
        <f t="array" aca="1" ref="O39" ca="1">INDIRECT("'※ 영업품질 세부데이터'!"&amp;O$1&amp;$T39, TRUE)</f>
        <v>0</v>
      </c>
      <c r="P39" s="1289" cm="1">
        <f t="array" aca="1" ref="P39" ca="1">INDIRECT("'※ 영업품질 세부데이터'!"&amp;P$1&amp;$T39, TRUE)</f>
        <v>0</v>
      </c>
      <c r="Q39" s="1287" cm="1">
        <f t="array" aca="1" ref="Q39" ca="1">INDIRECT("'※ 영업품질 세부데이터'!"&amp;Q$1&amp;$T39, TRUE)</f>
        <v>0</v>
      </c>
      <c r="R39" s="1290" cm="1">
        <f t="array" aca="1" ref="R39" ca="1">INDIRECT("'※ 영업품질 세부데이터'!"&amp;R$1&amp;$T39, TRUE)</f>
        <v>0</v>
      </c>
      <c r="S39" s="1291" cm="1">
        <f t="array" aca="1" ref="S39" ca="1">INDIRECT("'※ 영업품질 세부데이터'!"&amp;S$1&amp;$T39, TRUE)</f>
        <v>-0.16666666666666666</v>
      </c>
      <c r="T39" s="855">
        <f>ROW('※ 영업품질 세부데이터'!A40)</f>
        <v>40</v>
      </c>
      <c r="W39" s="1255"/>
    </row>
    <row r="40" spans="1:23" ht="15" customHeight="1" x14ac:dyDescent="0.55000000000000004">
      <c r="A40" s="7469"/>
      <c r="B40" s="1284"/>
      <c r="C40" s="886" t="s">
        <v>144</v>
      </c>
      <c r="D40" s="1285" cm="1">
        <f t="array" aca="1" ref="D40" ca="1">INDIRECT("'※ 영업품질 세부데이터'!"&amp;D$1&amp;$T40, TRUE)</f>
        <v>13</v>
      </c>
      <c r="E40" s="1286" cm="1">
        <f t="array" aca="1" ref="E40" ca="1">INDIRECT("'※ 영업품질 세부데이터'!"&amp;E$1&amp;$T40, TRUE)</f>
        <v>4</v>
      </c>
      <c r="F40" s="1287" cm="1">
        <f t="array" aca="1" ref="F40" ca="1">INDIRECT("'※ 영업품질 세부데이터'!"&amp;F$1&amp;$T40, TRUE)</f>
        <v>0</v>
      </c>
      <c r="G40" s="1287" cm="1">
        <f t="array" aca="1" ref="G40" ca="1">INDIRECT("'※ 영업품질 세부데이터'!"&amp;G$1&amp;$T40, TRUE)</f>
        <v>2</v>
      </c>
      <c r="H40" s="1287" cm="1">
        <f t="array" aca="1" ref="H40" ca="1">INDIRECT("'※ 영업품질 세부데이터'!"&amp;H$1&amp;$T40, TRUE)</f>
        <v>0</v>
      </c>
      <c r="I40" s="1287" cm="1">
        <f t="array" aca="1" ref="I40" ca="1">INDIRECT("'※ 영업품질 세부데이터'!"&amp;I$1&amp;$T40, TRUE)</f>
        <v>1</v>
      </c>
      <c r="J40" s="1287" cm="1">
        <f t="array" aca="1" ref="J40" ca="1">INDIRECT("'※ 영업품질 세부데이터'!"&amp;J$1&amp;$T40, TRUE)</f>
        <v>0</v>
      </c>
      <c r="K40" s="6273" cm="1">
        <f t="array" aca="1" ref="K40" ca="1">INDIRECT("'※ 영업품질 세부데이터'!"&amp;K$1&amp;$T40, TRUE)</f>
        <v>1</v>
      </c>
      <c r="L40" s="1287" cm="1">
        <f t="array" aca="1" ref="L40" ca="1">INDIRECT("'※ 영업품질 세부데이터'!"&amp;L$1&amp;$T40, TRUE)</f>
        <v>0</v>
      </c>
      <c r="M40" s="1287" cm="1">
        <f t="array" aca="1" ref="M40" ca="1">INDIRECT("'※ 영업품질 세부데이터'!"&amp;M$1&amp;$T40, TRUE)</f>
        <v>1</v>
      </c>
      <c r="N40" s="1287" cm="1">
        <f t="array" aca="1" ref="N40" ca="1">INDIRECT("'※ 영업품질 세부데이터'!"&amp;N$1&amp;$T40, TRUE)</f>
        <v>1</v>
      </c>
      <c r="O40" s="1288" cm="1">
        <f t="array" aca="1" ref="O40" ca="1">INDIRECT("'※ 영업품질 세부데이터'!"&amp;O$1&amp;$T40, TRUE)</f>
        <v>1</v>
      </c>
      <c r="P40" s="1289" cm="1">
        <f t="array" aca="1" ref="P40" ca="1">INDIRECT("'※ 영업품질 세부데이터'!"&amp;P$1&amp;$T40, TRUE)</f>
        <v>1</v>
      </c>
      <c r="Q40" s="1287" cm="1">
        <f t="array" aca="1" ref="Q40" ca="1">INDIRECT("'※ 영업품질 세부데이터'!"&amp;Q$1&amp;$T40, TRUE)</f>
        <v>-3</v>
      </c>
      <c r="R40" s="1290" cm="1">
        <f t="array" aca="1" ref="R40" ca="1">INDIRECT("'※ 영업품질 세부데이터'!"&amp;R$1&amp;$T40, TRUE)</f>
        <v>0.5</v>
      </c>
      <c r="S40" s="1291" cm="1">
        <f t="array" aca="1" ref="S40" ca="1">INDIRECT("'※ 영업품질 세부데이터'!"&amp;S$1&amp;$T40, TRUE)</f>
        <v>-0.58333333333333326</v>
      </c>
      <c r="T40" s="855">
        <f>ROW('※ 영업품질 세부데이터'!A41)</f>
        <v>41</v>
      </c>
      <c r="W40" s="1255"/>
    </row>
    <row r="41" spans="1:23" ht="15" customHeight="1" x14ac:dyDescent="0.55000000000000004">
      <c r="A41" s="7469"/>
      <c r="B41" s="1284"/>
      <c r="C41" s="886" t="s">
        <v>145</v>
      </c>
      <c r="D41" s="1285" cm="1">
        <f t="array" aca="1" ref="D41" ca="1">INDIRECT("'※ 영업품질 세부데이터'!"&amp;D$1&amp;$T41, TRUE)</f>
        <v>4</v>
      </c>
      <c r="E41" s="1286" cm="1">
        <f t="array" aca="1" ref="E41" ca="1">INDIRECT("'※ 영업품질 세부데이터'!"&amp;E$1&amp;$T41, TRUE)</f>
        <v>0</v>
      </c>
      <c r="F41" s="1287" cm="1">
        <f t="array" aca="1" ref="F41" ca="1">INDIRECT("'※ 영업품질 세부데이터'!"&amp;F$1&amp;$T41, TRUE)</f>
        <v>1</v>
      </c>
      <c r="G41" s="1287" cm="1">
        <f t="array" aca="1" ref="G41" ca="1">INDIRECT("'※ 영업품질 세부데이터'!"&amp;G$1&amp;$T41, TRUE)</f>
        <v>0</v>
      </c>
      <c r="H41" s="1287" cm="1">
        <f t="array" aca="1" ref="H41" ca="1">INDIRECT("'※ 영업품질 세부데이터'!"&amp;H$1&amp;$T41, TRUE)</f>
        <v>1</v>
      </c>
      <c r="I41" s="1287" cm="1">
        <f t="array" aca="1" ref="I41" ca="1">INDIRECT("'※ 영업품질 세부데이터'!"&amp;I$1&amp;$T41, TRUE)</f>
        <v>0</v>
      </c>
      <c r="J41" s="1287" cm="1">
        <f t="array" aca="1" ref="J41" ca="1">INDIRECT("'※ 영업품질 세부데이터'!"&amp;J$1&amp;$T41, TRUE)</f>
        <v>0</v>
      </c>
      <c r="K41" s="6273" cm="1">
        <f t="array" aca="1" ref="K41" ca="1">INDIRECT("'※ 영업품질 세부데이터'!"&amp;K$1&amp;$T41, TRUE)</f>
        <v>1</v>
      </c>
      <c r="L41" s="1287" cm="1">
        <f t="array" aca="1" ref="L41" ca="1">INDIRECT("'※ 영업품질 세부데이터'!"&amp;L$1&amp;$T41, TRUE)</f>
        <v>0</v>
      </c>
      <c r="M41" s="1287" cm="1">
        <f t="array" aca="1" ref="M41" ca="1">INDIRECT("'※ 영업품질 세부데이터'!"&amp;M$1&amp;$T41, TRUE)</f>
        <v>1</v>
      </c>
      <c r="N41" s="1287" cm="1">
        <f t="array" aca="1" ref="N41" ca="1">INDIRECT("'※ 영업품질 세부데이터'!"&amp;N$1&amp;$T41, TRUE)</f>
        <v>1</v>
      </c>
      <c r="O41" s="1288" cm="1">
        <f t="array" aca="1" ref="O41" ca="1">INDIRECT("'※ 영업품질 세부데이터'!"&amp;O$1&amp;$T41, TRUE)</f>
        <v>0</v>
      </c>
      <c r="P41" s="1289" cm="1">
        <f t="array" aca="1" ref="P41" ca="1">INDIRECT("'※ 영업품질 세부데이터'!"&amp;P$1&amp;$T41, TRUE)</f>
        <v>1</v>
      </c>
      <c r="Q41" s="1287" cm="1">
        <f t="array" aca="1" ref="Q41" ca="1">INDIRECT("'※ 영업품질 세부데이터'!"&amp;Q$1&amp;$T41, TRUE)</f>
        <v>0</v>
      </c>
      <c r="R41" s="1290" cm="1">
        <f t="array" aca="1" ref="R41" ca="1">INDIRECT("'※ 영업품질 세부데이터'!"&amp;R$1&amp;$T41, TRUE)</f>
        <v>0.5</v>
      </c>
      <c r="S41" s="1291" cm="1">
        <f t="array" aca="1" ref="S41" ca="1">INDIRECT("'※ 영업품질 세부데이터'!"&amp;S$1&amp;$T41, TRUE)</f>
        <v>0.16666666666666669</v>
      </c>
      <c r="T41" s="855">
        <f>ROW('※ 영업품질 세부데이터'!A42)</f>
        <v>42</v>
      </c>
      <c r="W41" s="1255"/>
    </row>
    <row r="42" spans="1:23" ht="15" customHeight="1" x14ac:dyDescent="0.55000000000000004">
      <c r="A42" s="7469"/>
      <c r="B42" s="1284"/>
      <c r="C42" s="886" t="s">
        <v>146</v>
      </c>
      <c r="D42" s="1285" cm="1">
        <f t="array" aca="1" ref="D42" ca="1">INDIRECT("'※ 영업품질 세부데이터'!"&amp;D$1&amp;$T42, TRUE)</f>
        <v>12</v>
      </c>
      <c r="E42" s="1286" cm="1">
        <f t="array" aca="1" ref="E42" ca="1">INDIRECT("'※ 영업품질 세부데이터'!"&amp;E$1&amp;$T42, TRUE)</f>
        <v>2</v>
      </c>
      <c r="F42" s="1287" cm="1">
        <f t="array" aca="1" ref="F42" ca="1">INDIRECT("'※ 영업품질 세부데이터'!"&amp;F$1&amp;$T42, TRUE)</f>
        <v>0</v>
      </c>
      <c r="G42" s="1287" cm="1">
        <f t="array" aca="1" ref="G42" ca="1">INDIRECT("'※ 영업품질 세부데이터'!"&amp;G$1&amp;$T42, TRUE)</f>
        <v>0</v>
      </c>
      <c r="H42" s="1287" cm="1">
        <f t="array" aca="1" ref="H42" ca="1">INDIRECT("'※ 영업품질 세부데이터'!"&amp;H$1&amp;$T42, TRUE)</f>
        <v>0</v>
      </c>
      <c r="I42" s="1287" cm="1">
        <f t="array" aca="1" ref="I42" ca="1">INDIRECT("'※ 영업품질 세부데이터'!"&amp;I$1&amp;$T42, TRUE)</f>
        <v>1</v>
      </c>
      <c r="J42" s="1287" cm="1">
        <f t="array" aca="1" ref="J42" ca="1">INDIRECT("'※ 영업품질 세부데이터'!"&amp;J$1&amp;$T42, TRUE)</f>
        <v>1</v>
      </c>
      <c r="K42" s="6273" cm="1">
        <f t="array" aca="1" ref="K42" ca="1">INDIRECT("'※ 영업품질 세부데이터'!"&amp;K$1&amp;$T42, TRUE)</f>
        <v>1</v>
      </c>
      <c r="L42" s="1287" cm="1">
        <f t="array" aca="1" ref="L42" ca="1">INDIRECT("'※ 영업품질 세부데이터'!"&amp;L$1&amp;$T42, TRUE)</f>
        <v>1</v>
      </c>
      <c r="M42" s="1287" cm="1">
        <f t="array" aca="1" ref="M42" ca="1">INDIRECT("'※ 영업품질 세부데이터'!"&amp;M$1&amp;$T42, TRUE)</f>
        <v>0</v>
      </c>
      <c r="N42" s="1287" cm="1">
        <f t="array" aca="1" ref="N42" ca="1">INDIRECT("'※ 영업품질 세부데이터'!"&amp;N$1&amp;$T42, TRUE)</f>
        <v>-1</v>
      </c>
      <c r="O42" s="1288" cm="1">
        <f t="array" aca="1" ref="O42" ca="1">INDIRECT("'※ 영업품질 세부데이터'!"&amp;O$1&amp;$T42, TRUE)</f>
        <v>0</v>
      </c>
      <c r="P42" s="1289" cm="1">
        <f t="array" aca="1" ref="P42" ca="1">INDIRECT("'※ 영업품질 세부데이터'!"&amp;P$1&amp;$T42, TRUE)</f>
        <v>1</v>
      </c>
      <c r="Q42" s="1287" cm="1">
        <f t="array" aca="1" ref="Q42" ca="1">INDIRECT("'※ 영업품질 세부데이터'!"&amp;Q$1&amp;$T42, TRUE)</f>
        <v>-1</v>
      </c>
      <c r="R42" s="1290" cm="1">
        <f t="array" aca="1" ref="R42" ca="1">INDIRECT("'※ 영업품질 세부데이터'!"&amp;R$1&amp;$T42, TRUE)</f>
        <v>0.5</v>
      </c>
      <c r="S42" s="1291" cm="1">
        <f t="array" aca="1" ref="S42" ca="1">INDIRECT("'※ 영업품질 세부데이터'!"&amp;S$1&amp;$T42, TRUE)</f>
        <v>-0.5</v>
      </c>
      <c r="T42" s="855">
        <f>ROW('※ 영업품질 세부데이터'!A43)</f>
        <v>43</v>
      </c>
      <c r="W42" s="1255"/>
    </row>
    <row r="43" spans="1:23" ht="15" customHeight="1" x14ac:dyDescent="0.55000000000000004">
      <c r="A43" s="7469"/>
      <c r="B43" s="1284"/>
      <c r="C43" s="886" t="s">
        <v>147</v>
      </c>
      <c r="D43" s="1285" cm="1">
        <f t="array" aca="1" ref="D43" ca="1">INDIRECT("'※ 영업품질 세부데이터'!"&amp;D$1&amp;$T43, TRUE)</f>
        <v>7</v>
      </c>
      <c r="E43" s="1286" cm="1">
        <f t="array" aca="1" ref="E43" ca="1">INDIRECT("'※ 영업품질 세부데이터'!"&amp;E$1&amp;$T43, TRUE)</f>
        <v>0</v>
      </c>
      <c r="F43" s="1287" cm="1">
        <f t="array" aca="1" ref="F43" ca="1">INDIRECT("'※ 영업품질 세부데이터'!"&amp;F$1&amp;$T43, TRUE)</f>
        <v>0</v>
      </c>
      <c r="G43" s="1287" cm="1">
        <f t="array" aca="1" ref="G43" ca="1">INDIRECT("'※ 영업품질 세부데이터'!"&amp;G$1&amp;$T43, TRUE)</f>
        <v>1</v>
      </c>
      <c r="H43" s="1287" cm="1">
        <f t="array" aca="1" ref="H43" ca="1">INDIRECT("'※ 영업품질 세부데이터'!"&amp;H$1&amp;$T43, TRUE)</f>
        <v>0</v>
      </c>
      <c r="I43" s="1287" cm="1">
        <f t="array" aca="1" ref="I43" ca="1">INDIRECT("'※ 영업품질 세부데이터'!"&amp;I$1&amp;$T43, TRUE)</f>
        <v>0</v>
      </c>
      <c r="J43" s="1287" cm="1">
        <f t="array" aca="1" ref="J43" ca="1">INDIRECT("'※ 영업품질 세부데이터'!"&amp;J$1&amp;$T43, TRUE)</f>
        <v>1</v>
      </c>
      <c r="K43" s="6273" cm="1">
        <f t="array" aca="1" ref="K43" ca="1">INDIRECT("'※ 영업품질 세부데이터'!"&amp;K$1&amp;$T43, TRUE)</f>
        <v>2</v>
      </c>
      <c r="L43" s="1287" cm="1">
        <f t="array" aca="1" ref="L43" ca="1">INDIRECT("'※ 영업품질 세부데이터'!"&amp;L$1&amp;$T43, TRUE)</f>
        <v>2</v>
      </c>
      <c r="M43" s="1287" cm="1">
        <f t="array" aca="1" ref="M43" ca="1">INDIRECT("'※ 영업품질 세부데이터'!"&amp;M$1&amp;$T43, TRUE)</f>
        <v>0</v>
      </c>
      <c r="N43" s="1287" cm="1">
        <f t="array" aca="1" ref="N43" ca="1">INDIRECT("'※ 영업품질 세부데이터'!"&amp;N$1&amp;$T43, TRUE)</f>
        <v>-2</v>
      </c>
      <c r="O43" s="1288" cm="1">
        <f t="array" aca="1" ref="O43" ca="1">INDIRECT("'※ 영업품질 세부데이터'!"&amp;O$1&amp;$T43, TRUE)</f>
        <v>0</v>
      </c>
      <c r="P43" s="1289" cm="1">
        <f t="array" aca="1" ref="P43" ca="1">INDIRECT("'※ 영업품질 세부데이터'!"&amp;P$1&amp;$T43, TRUE)</f>
        <v>2</v>
      </c>
      <c r="Q43" s="1287" cm="1">
        <f t="array" aca="1" ref="Q43" ca="1">INDIRECT("'※ 영업품질 세부데이터'!"&amp;Q$1&amp;$T43, TRUE)</f>
        <v>2</v>
      </c>
      <c r="R43" s="1290" cm="1">
        <f t="array" aca="1" ref="R43" ca="1">INDIRECT("'※ 영업품질 세부데이터'!"&amp;R$1&amp;$T43, TRUE)</f>
        <v>1</v>
      </c>
      <c r="S43" s="1291" cm="1">
        <f t="array" aca="1" ref="S43" ca="1">INDIRECT("'※ 영업품질 세부데이터'!"&amp;S$1&amp;$T43, TRUE)</f>
        <v>0.41666666666666663</v>
      </c>
      <c r="T43" s="855">
        <f>ROW('※ 영업품질 세부데이터'!A44)</f>
        <v>44</v>
      </c>
      <c r="W43" s="1255"/>
    </row>
    <row r="44" spans="1:23" ht="15" customHeight="1" x14ac:dyDescent="0.55000000000000004">
      <c r="A44" s="7469"/>
      <c r="B44" s="1292"/>
      <c r="C44" s="673" t="s">
        <v>148</v>
      </c>
      <c r="D44" s="1293" cm="1">
        <f t="array" aca="1" ref="D44" ca="1">INDIRECT("'※ 영업품질 세부데이터'!"&amp;D$1&amp;$T44, TRUE)</f>
        <v>6</v>
      </c>
      <c r="E44" s="1294" cm="1">
        <f t="array" aca="1" ref="E44" ca="1">INDIRECT("'※ 영업품질 세부데이터'!"&amp;E$1&amp;$T44, TRUE)</f>
        <v>1</v>
      </c>
      <c r="F44" s="1295" cm="1">
        <f t="array" aca="1" ref="F44" ca="1">INDIRECT("'※ 영업품질 세부데이터'!"&amp;F$1&amp;$T44, TRUE)</f>
        <v>0</v>
      </c>
      <c r="G44" s="1295" cm="1">
        <f t="array" aca="1" ref="G44" ca="1">INDIRECT("'※ 영업품질 세부데이터'!"&amp;G$1&amp;$T44, TRUE)</f>
        <v>1</v>
      </c>
      <c r="H44" s="1295" cm="1">
        <f t="array" aca="1" ref="H44" ca="1">INDIRECT("'※ 영업품질 세부데이터'!"&amp;H$1&amp;$T44, TRUE)</f>
        <v>0</v>
      </c>
      <c r="I44" s="1295" cm="1">
        <f t="array" aca="1" ref="I44" ca="1">INDIRECT("'※ 영업품질 세부데이터'!"&amp;I$1&amp;$T44, TRUE)</f>
        <v>1</v>
      </c>
      <c r="J44" s="1295" cm="1">
        <f t="array" aca="1" ref="J44" ca="1">INDIRECT("'※ 영업품질 세부데이터'!"&amp;J$1&amp;$T44, TRUE)</f>
        <v>1</v>
      </c>
      <c r="K44" s="6274" cm="1">
        <f t="array" aca="1" ref="K44" ca="1">INDIRECT("'※ 영업품질 세부데이터'!"&amp;K$1&amp;$T44, TRUE)</f>
        <v>0</v>
      </c>
      <c r="L44" s="1295" cm="1">
        <f t="array" aca="1" ref="L44" ca="1">INDIRECT("'※ 영업품질 세부데이터'!"&amp;L$1&amp;$T44, TRUE)</f>
        <v>0</v>
      </c>
      <c r="M44" s="1295" cm="1">
        <f t="array" aca="1" ref="M44" ca="1">INDIRECT("'※ 영업품질 세부데이터'!"&amp;M$1&amp;$T44, TRUE)</f>
        <v>0</v>
      </c>
      <c r="N44" s="1295" cm="1">
        <f t="array" aca="1" ref="N44" ca="1">INDIRECT("'※ 영업품질 세부데이터'!"&amp;N$1&amp;$T44, TRUE)</f>
        <v>0</v>
      </c>
      <c r="O44" s="1296" cm="1">
        <f t="array" aca="1" ref="O44" ca="1">INDIRECT("'※ 영업품질 세부데이터'!"&amp;O$1&amp;$T44, TRUE)</f>
        <v>0</v>
      </c>
      <c r="P44" s="1297" cm="1">
        <f t="array" aca="1" ref="P44" ca="1">INDIRECT("'※ 영업품질 세부데이터'!"&amp;P$1&amp;$T44, TRUE)</f>
        <v>0</v>
      </c>
      <c r="Q44" s="1295" cm="1">
        <f t="array" aca="1" ref="Q44" ca="1">INDIRECT("'※ 영업품질 세부데이터'!"&amp;Q$1&amp;$T44, TRUE)</f>
        <v>-1</v>
      </c>
      <c r="R44" s="1298" cm="1">
        <f t="array" aca="1" ref="R44" ca="1">INDIRECT("'※ 영업품질 세부데이터'!"&amp;R$1&amp;$T44, TRUE)</f>
        <v>0</v>
      </c>
      <c r="S44" s="1299" cm="1">
        <f t="array" aca="1" ref="S44" ca="1">INDIRECT("'※ 영업품질 세부데이터'!"&amp;S$1&amp;$T44, TRUE)</f>
        <v>-0.5</v>
      </c>
      <c r="T44" s="978">
        <f>ROW('※ 영업품질 세부데이터'!A45)</f>
        <v>45</v>
      </c>
      <c r="U44" s="1300"/>
      <c r="V44" s="1300"/>
      <c r="W44" s="1255"/>
    </row>
    <row r="45" spans="1:23" ht="15" customHeight="1" x14ac:dyDescent="0.55000000000000004">
      <c r="A45" s="7469"/>
      <c r="B45" s="1301"/>
      <c r="C45" s="1302" t="s">
        <v>149</v>
      </c>
      <c r="D45" s="1303" cm="1">
        <f t="array" aca="1" ref="D45" ca="1">INDIRECT("'※ 영업품질 세부데이터'!"&amp;D$1&amp;$T45, TRUE)</f>
        <v>9</v>
      </c>
      <c r="E45" s="1304" cm="1">
        <f t="array" aca="1" ref="E45" ca="1">INDIRECT("'※ 영업품질 세부데이터'!"&amp;E$1&amp;$T45, TRUE)</f>
        <v>0</v>
      </c>
      <c r="F45" s="1305" cm="1">
        <f t="array" aca="1" ref="F45" ca="1">INDIRECT("'※ 영업품질 세부데이터'!"&amp;F$1&amp;$T45, TRUE)</f>
        <v>1</v>
      </c>
      <c r="G45" s="1305" cm="1">
        <f t="array" aca="1" ref="G45" ca="1">INDIRECT("'※ 영업품질 세부데이터'!"&amp;G$1&amp;$T45, TRUE)</f>
        <v>1</v>
      </c>
      <c r="H45" s="1305" cm="1">
        <f t="array" aca="1" ref="H45" ca="1">INDIRECT("'※ 영업품질 세부데이터'!"&amp;H$1&amp;$T45, TRUE)</f>
        <v>1</v>
      </c>
      <c r="I45" s="1305" cm="1">
        <f t="array" aca="1" ref="I45" ca="1">INDIRECT("'※ 영업품질 세부데이터'!"&amp;I$1&amp;$T45, TRUE)</f>
        <v>0</v>
      </c>
      <c r="J45" s="1305" cm="1">
        <f t="array" aca="1" ref="J45" ca="1">INDIRECT("'※ 영업품질 세부데이터'!"&amp;J$1&amp;$T45, TRUE)</f>
        <v>1</v>
      </c>
      <c r="K45" s="6275" cm="1">
        <f t="array" aca="1" ref="K45" ca="1">INDIRECT("'※ 영업품질 세부데이터'!"&amp;K$1&amp;$T45, TRUE)</f>
        <v>1</v>
      </c>
      <c r="L45" s="1305" cm="1">
        <f t="array" aca="1" ref="L45" ca="1">INDIRECT("'※ 영업품질 세부데이터'!"&amp;L$1&amp;$T45, TRUE)</f>
        <v>0</v>
      </c>
      <c r="M45" s="1305" cm="1">
        <f t="array" aca="1" ref="M45" ca="1">INDIRECT("'※ 영업품질 세부데이터'!"&amp;M$1&amp;$T45, TRUE)</f>
        <v>1</v>
      </c>
      <c r="N45" s="1305" cm="1">
        <f t="array" aca="1" ref="N45" ca="1">INDIRECT("'※ 영업품질 세부데이터'!"&amp;N$1&amp;$T45, TRUE)</f>
        <v>1</v>
      </c>
      <c r="O45" s="1306" cm="1">
        <f t="array" aca="1" ref="O45" ca="1">INDIRECT("'※ 영업품질 세부데이터'!"&amp;O$1&amp;$T45, TRUE)</f>
        <v>0</v>
      </c>
      <c r="P45" s="1307" cm="1">
        <f t="array" aca="1" ref="P45" ca="1">INDIRECT("'※ 영업품질 세부데이터'!"&amp;P$1&amp;$T45, TRUE)</f>
        <v>1</v>
      </c>
      <c r="Q45" s="1305" cm="1">
        <f t="array" aca="1" ref="Q45" ca="1">INDIRECT("'※ 영업품질 세부데이터'!"&amp;Q$1&amp;$T45, TRUE)</f>
        <v>0</v>
      </c>
      <c r="R45" s="1308" cm="1">
        <f t="array" aca="1" ref="R45" ca="1">INDIRECT("'※ 영업품질 세부데이터'!"&amp;R$1&amp;$T45, TRUE)</f>
        <v>0.5</v>
      </c>
      <c r="S45" s="1309" cm="1">
        <f t="array" aca="1" ref="S45" ca="1">INDIRECT("'※ 영업품질 세부데이터'!"&amp;S$1&amp;$T45, TRUE)</f>
        <v>-0.25</v>
      </c>
      <c r="T45" s="978">
        <f>ROW('※ 영업품질 세부데이터'!A46)</f>
        <v>46</v>
      </c>
      <c r="U45" s="1300"/>
      <c r="V45" s="1300"/>
      <c r="W45" s="1255"/>
    </row>
    <row r="46" spans="1:23" ht="16" customHeight="1" x14ac:dyDescent="0.55000000000000004">
      <c r="A46" s="7469"/>
      <c r="B46" s="1310" t="s">
        <v>134</v>
      </c>
      <c r="C46" s="988"/>
      <c r="D46" s="1311" cm="1">
        <f t="array" aca="1" ref="D46" ca="1">INDIRECT("'※ 영업품질 세부데이터'!"&amp;D$1&amp;$T46, TRUE)</f>
        <v>98</v>
      </c>
      <c r="E46" s="1312" cm="1">
        <f t="array" aca="1" ref="E46" ca="1">INDIRECT("'※ 영업품질 세부데이터'!"&amp;E$1&amp;$T46, TRUE)</f>
        <v>8</v>
      </c>
      <c r="F46" s="1313" cm="1">
        <f t="array" aca="1" ref="F46" ca="1">INDIRECT("'※ 영업품질 세부데이터'!"&amp;F$1&amp;$T46, TRUE)</f>
        <v>8</v>
      </c>
      <c r="G46" s="1313" cm="1">
        <f t="array" aca="1" ref="G46" ca="1">INDIRECT("'※ 영업품질 세부데이터'!"&amp;G$1&amp;$T46, TRUE)</f>
        <v>10</v>
      </c>
      <c r="H46" s="1313" cm="1">
        <f t="array" aca="1" ref="H46" ca="1">INDIRECT("'※ 영업품질 세부데이터'!"&amp;H$1&amp;$T46, TRUE)</f>
        <v>7</v>
      </c>
      <c r="I46" s="1313" cm="1">
        <f t="array" aca="1" ref="I46" ca="1">INDIRECT("'※ 영업품질 세부데이터'!"&amp;I$1&amp;$T46, TRUE)</f>
        <v>9</v>
      </c>
      <c r="J46" s="1313" cm="1">
        <f t="array" aca="1" ref="J46" ca="1">INDIRECT("'※ 영업품질 세부데이터'!"&amp;J$1&amp;$T46, TRUE)</f>
        <v>13</v>
      </c>
      <c r="K46" s="6276" cm="1">
        <f t="array" aca="1" ref="K46" ca="1">INDIRECT("'※ 영업품질 세부데이터'!"&amp;K$1&amp;$T46, TRUE)</f>
        <v>10</v>
      </c>
      <c r="L46" s="1313" cm="1">
        <f t="array" aca="1" ref="L46" ca="1">INDIRECT("'※ 영업품질 세부데이터'!"&amp;L$1&amp;$T46, TRUE)</f>
        <v>7</v>
      </c>
      <c r="M46" s="1313" cm="1">
        <f t="array" aca="1" ref="M46" ca="1">INDIRECT("'※ 영업품질 세부데이터'!"&amp;M$1&amp;$T46, TRUE)</f>
        <v>3</v>
      </c>
      <c r="N46" s="1313" cm="1">
        <f t="array" aca="1" ref="N46" ca="1">INDIRECT("'※ 영업품질 세부데이터'!"&amp;N$1&amp;$T46, TRUE)</f>
        <v>-4</v>
      </c>
      <c r="O46" s="1314" cm="1">
        <f t="array" aca="1" ref="O46" ca="1">INDIRECT("'※ 영업품질 세부데이터'!"&amp;O$1&amp;$T46, TRUE)</f>
        <v>-5</v>
      </c>
      <c r="P46" s="1315" cm="1">
        <f t="array" aca="1" ref="P46" ca="1">INDIRECT("'※ 영업품질 세부데이터'!"&amp;P$1&amp;$T46, TRUE)</f>
        <v>10</v>
      </c>
      <c r="Q46" s="1313" cm="1">
        <f t="array" aca="1" ref="Q46" ca="1">INDIRECT("'※ 영업품질 세부데이터'!"&amp;Q$1&amp;$T46, TRUE)</f>
        <v>-6</v>
      </c>
      <c r="R46" s="1316" cm="1">
        <f t="array" aca="1" ref="R46" ca="1">INDIRECT("'※ 영업품질 세부데이터'!"&amp;R$1&amp;$T46, TRUE)</f>
        <v>5</v>
      </c>
      <c r="S46" s="1317" cm="1">
        <f t="array" aca="1" ref="S46" ca="1">INDIRECT("'※ 영업품질 세부데이터'!"&amp;S$1&amp;$T46, TRUE)</f>
        <v>-3.1666666666666661</v>
      </c>
      <c r="T46" s="978">
        <f>ROW('※ 영업품질 세부데이터'!A47)</f>
        <v>47</v>
      </c>
      <c r="U46" s="1300"/>
      <c r="V46" s="1300"/>
      <c r="W46" s="1255"/>
    </row>
    <row r="47" spans="1:23" ht="15" customHeight="1" x14ac:dyDescent="0.55000000000000004">
      <c r="A47" s="7469"/>
      <c r="B47" s="1318"/>
      <c r="C47" s="673" t="s">
        <v>140</v>
      </c>
      <c r="D47" s="1293" cm="1">
        <f t="array" aca="1" ref="D47" ca="1">INDIRECT("'※ 영업품질 세부데이터'!"&amp;D$1&amp;$T47, TRUE)</f>
        <v>26</v>
      </c>
      <c r="E47" s="1294" cm="1">
        <f t="array" aca="1" ref="E47" ca="1">INDIRECT("'※ 영업품질 세부데이터'!"&amp;E$1&amp;$T47, TRUE)</f>
        <v>4</v>
      </c>
      <c r="F47" s="1295" cm="1">
        <f t="array" aca="1" ref="F47" ca="1">INDIRECT("'※ 영업품질 세부데이터'!"&amp;F$1&amp;$T47, TRUE)</f>
        <v>4</v>
      </c>
      <c r="G47" s="1295" cm="1">
        <f t="array" aca="1" ref="G47" ca="1">INDIRECT("'※ 영업품질 세부데이터'!"&amp;G$1&amp;$T47, TRUE)</f>
        <v>3</v>
      </c>
      <c r="H47" s="1295" cm="1">
        <f t="array" aca="1" ref="H47" ca="1">INDIRECT("'※ 영업품질 세부데이터'!"&amp;H$1&amp;$T47, TRUE)</f>
        <v>3</v>
      </c>
      <c r="I47" s="1295" cm="1">
        <f t="array" aca="1" ref="I47" ca="1">INDIRECT("'※ 영업품질 세부데이터'!"&amp;I$1&amp;$T47, TRUE)</f>
        <v>2</v>
      </c>
      <c r="J47" s="1295" cm="1">
        <f t="array" aca="1" ref="J47" ca="1">INDIRECT("'※ 영업품질 세부데이터'!"&amp;J$1&amp;$T47, TRUE)</f>
        <v>3</v>
      </c>
      <c r="K47" s="6274" cm="1">
        <f t="array" aca="1" ref="K47" ca="1">INDIRECT("'※ 영업품질 세부데이터'!"&amp;K$1&amp;$T47, TRUE)</f>
        <v>3</v>
      </c>
      <c r="L47" s="1295" cm="1">
        <f t="array" aca="1" ref="L47" ca="1">INDIRECT("'※ 영업품질 세부데이터'!"&amp;L$1&amp;$T47, TRUE)</f>
        <v>3</v>
      </c>
      <c r="M47" s="1295" cm="1">
        <f t="array" aca="1" ref="M47" ca="1">INDIRECT("'※ 영업품질 세부데이터'!"&amp;M$1&amp;$T47, TRUE)</f>
        <v>0</v>
      </c>
      <c r="N47" s="1295" cm="1">
        <f t="array" aca="1" ref="N47" ca="1">INDIRECT("'※ 영업품질 세부데이터'!"&amp;N$1&amp;$T47, TRUE)</f>
        <v>-3</v>
      </c>
      <c r="O47" s="1296" cm="1">
        <f t="array" aca="1" ref="O47" ca="1">INDIRECT("'※ 영업품질 세부데이터'!"&amp;O$1&amp;$T47, TRUE)</f>
        <v>-4</v>
      </c>
      <c r="P47" s="1297" cm="1">
        <f t="array" aca="1" ref="P47" ca="1">INDIRECT("'※ 영업품질 세부데이터'!"&amp;P$1&amp;$T47, TRUE)</f>
        <v>3</v>
      </c>
      <c r="Q47" s="1295" cm="1">
        <f t="array" aca="1" ref="Q47" ca="1">INDIRECT("'※ 영업품질 세부데이터'!"&amp;Q$1&amp;$T47, TRUE)</f>
        <v>-5</v>
      </c>
      <c r="R47" s="1298" cm="1">
        <f t="array" aca="1" ref="R47" ca="1">INDIRECT("'※ 영업품질 세부데이터'!"&amp;R$1&amp;$T47, TRUE)</f>
        <v>1.5</v>
      </c>
      <c r="S47" s="1299" cm="1">
        <f t="array" aca="1" ref="S47" ca="1">INDIRECT("'※ 영업품질 세부데이터'!"&amp;S$1&amp;$T47, TRUE)</f>
        <v>-0.66666666666666652</v>
      </c>
      <c r="T47" s="978">
        <f>ROW('※ 영업품질 세부데이터'!A48)</f>
        <v>48</v>
      </c>
      <c r="U47" s="1300"/>
      <c r="V47" s="1300"/>
      <c r="W47" s="1255"/>
    </row>
    <row r="48" spans="1:23" ht="15" customHeight="1" x14ac:dyDescent="0.55000000000000004">
      <c r="A48" s="7469"/>
      <c r="B48" s="1318"/>
      <c r="C48" s="673" t="s">
        <v>142</v>
      </c>
      <c r="D48" s="1293" cm="1">
        <f t="array" aca="1" ref="D48" ca="1">INDIRECT("'※ 영업품질 세부데이터'!"&amp;D$1&amp;$T48, TRUE)</f>
        <v>13</v>
      </c>
      <c r="E48" s="1294" cm="1">
        <f t="array" aca="1" ref="E48" ca="1">INDIRECT("'※ 영업품질 세부데이터'!"&amp;E$1&amp;$T48, TRUE)</f>
        <v>0</v>
      </c>
      <c r="F48" s="1295" cm="1">
        <f t="array" aca="1" ref="F48" ca="1">INDIRECT("'※ 영업품질 세부데이터'!"&amp;F$1&amp;$T48, TRUE)</f>
        <v>2</v>
      </c>
      <c r="G48" s="1295" cm="1">
        <f t="array" aca="1" ref="G48" ca="1">INDIRECT("'※ 영업품질 세부데이터'!"&amp;G$1&amp;$T48, TRUE)</f>
        <v>2</v>
      </c>
      <c r="H48" s="1295" cm="1">
        <f t="array" aca="1" ref="H48" ca="1">INDIRECT("'※ 영업품질 세부데이터'!"&amp;H$1&amp;$T48, TRUE)</f>
        <v>0</v>
      </c>
      <c r="I48" s="1295" cm="1">
        <f t="array" aca="1" ref="I48" ca="1">INDIRECT("'※ 영업품질 세부데이터'!"&amp;I$1&amp;$T48, TRUE)</f>
        <v>0</v>
      </c>
      <c r="J48" s="1295" cm="1">
        <f t="array" aca="1" ref="J48" ca="1">INDIRECT("'※ 영업품질 세부데이터'!"&amp;J$1&amp;$T48, TRUE)</f>
        <v>1</v>
      </c>
      <c r="K48" s="6274" cm="1">
        <f t="array" aca="1" ref="K48" ca="1">INDIRECT("'※ 영업품질 세부데이터'!"&amp;K$1&amp;$T48, TRUE)</f>
        <v>0</v>
      </c>
      <c r="L48" s="1295" cm="1">
        <f t="array" aca="1" ref="L48" ca="1">INDIRECT("'※ 영업품질 세부데이터'!"&amp;L$1&amp;$T48, TRUE)</f>
        <v>0</v>
      </c>
      <c r="M48" s="1295" cm="1">
        <f t="array" aca="1" ref="M48" ca="1">INDIRECT("'※ 영업품질 세부데이터'!"&amp;M$1&amp;$T48, TRUE)</f>
        <v>0</v>
      </c>
      <c r="N48" s="1295" cm="1">
        <f t="array" aca="1" ref="N48" ca="1">INDIRECT("'※ 영업품질 세부데이터'!"&amp;N$1&amp;$T48, TRUE)</f>
        <v>0</v>
      </c>
      <c r="O48" s="1296" cm="1">
        <f t="array" aca="1" ref="O48" ca="1">INDIRECT("'※ 영업품질 세부데이터'!"&amp;O$1&amp;$T48, TRUE)</f>
        <v>-2</v>
      </c>
      <c r="P48" s="1297" cm="1">
        <f t="array" aca="1" ref="P48" ca="1">INDIRECT("'※ 영업품질 세부데이터'!"&amp;P$1&amp;$T48, TRUE)</f>
        <v>0</v>
      </c>
      <c r="Q48" s="1295" cm="1">
        <f t="array" aca="1" ref="Q48" ca="1">INDIRECT("'※ 영업품질 세부데이터'!"&amp;Q$1&amp;$T48, TRUE)</f>
        <v>-2</v>
      </c>
      <c r="R48" s="1298" cm="1">
        <f t="array" aca="1" ref="R48" ca="1">INDIRECT("'※ 영업품질 세부데이터'!"&amp;R$1&amp;$T48, TRUE)</f>
        <v>0</v>
      </c>
      <c r="S48" s="1299" cm="1">
        <f t="array" aca="1" ref="S48" ca="1">INDIRECT("'※ 영업품질 세부데이터'!"&amp;S$1&amp;$T48, TRUE)</f>
        <v>-1.0833333333333333</v>
      </c>
      <c r="T48" s="978">
        <f>ROW('※ 영업품질 세부데이터'!A49)</f>
        <v>49</v>
      </c>
      <c r="U48" s="1300"/>
      <c r="V48" s="1300"/>
      <c r="W48" s="1255"/>
    </row>
    <row r="49" spans="1:23" ht="15" customHeight="1" x14ac:dyDescent="0.55000000000000004">
      <c r="A49" s="7469"/>
      <c r="B49" s="1318"/>
      <c r="C49" s="673" t="s">
        <v>150</v>
      </c>
      <c r="D49" s="1293" cm="1">
        <f t="array" aca="1" ref="D49" ca="1">INDIRECT("'※ 영업품질 세부데이터'!"&amp;D$1&amp;$T49, TRUE)</f>
        <v>20</v>
      </c>
      <c r="E49" s="1294" cm="1">
        <f t="array" aca="1" ref="E49" ca="1">INDIRECT("'※ 영업품질 세부데이터'!"&amp;E$1&amp;$T49, TRUE)</f>
        <v>1</v>
      </c>
      <c r="F49" s="1295" cm="1">
        <f t="array" aca="1" ref="F49" ca="1">INDIRECT("'※ 영업품질 세부데이터'!"&amp;F$1&amp;$T49, TRUE)</f>
        <v>1</v>
      </c>
      <c r="G49" s="1295" cm="1">
        <f t="array" aca="1" ref="G49" ca="1">INDIRECT("'※ 영업품질 세부데이터'!"&amp;G$1&amp;$T49, TRUE)</f>
        <v>1</v>
      </c>
      <c r="H49" s="1295" cm="1">
        <f t="array" aca="1" ref="H49" ca="1">INDIRECT("'※ 영업품질 세부데이터'!"&amp;H$1&amp;$T49, TRUE)</f>
        <v>2</v>
      </c>
      <c r="I49" s="1295" cm="1">
        <f t="array" aca="1" ref="I49" ca="1">INDIRECT("'※ 영업품질 세부데이터'!"&amp;I$1&amp;$T49, TRUE)</f>
        <v>4</v>
      </c>
      <c r="J49" s="1295" cm="1">
        <f t="array" aca="1" ref="J49" ca="1">INDIRECT("'※ 영업품질 세부데이터'!"&amp;J$1&amp;$T49, TRUE)</f>
        <v>4</v>
      </c>
      <c r="K49" s="6274" cm="1">
        <f t="array" aca="1" ref="K49" ca="1">INDIRECT("'※ 영업품질 세부데이터'!"&amp;K$1&amp;$T49, TRUE)</f>
        <v>3</v>
      </c>
      <c r="L49" s="1295" cm="1">
        <f t="array" aca="1" ref="L49" ca="1">INDIRECT("'※ 영업품질 세부데이터'!"&amp;L$1&amp;$T49, TRUE)</f>
        <v>1</v>
      </c>
      <c r="M49" s="1295" cm="1">
        <f t="array" aca="1" ref="M49" ca="1">INDIRECT("'※ 영업품질 세부데이터'!"&amp;M$1&amp;$T49, TRUE)</f>
        <v>2</v>
      </c>
      <c r="N49" s="1295" cm="1">
        <f t="array" aca="1" ref="N49" ca="1">INDIRECT("'※ 영업품질 세부데이터'!"&amp;N$1&amp;$T49, TRUE)</f>
        <v>1</v>
      </c>
      <c r="O49" s="1296" cm="1">
        <f t="array" aca="1" ref="O49" ca="1">INDIRECT("'※ 영업품질 세부데이터'!"&amp;O$1&amp;$T49, TRUE)</f>
        <v>1</v>
      </c>
      <c r="P49" s="1297" cm="1">
        <f t="array" aca="1" ref="P49" ca="1">INDIRECT("'※ 영업품질 세부데이터'!"&amp;P$1&amp;$T49, TRUE)</f>
        <v>3</v>
      </c>
      <c r="Q49" s="1295" cm="1">
        <f t="array" aca="1" ref="Q49" ca="1">INDIRECT("'※ 영업품질 세부데이터'!"&amp;Q$1&amp;$T49, TRUE)</f>
        <v>1</v>
      </c>
      <c r="R49" s="1298" cm="1">
        <f t="array" aca="1" ref="R49" ca="1">INDIRECT("'※ 영업품질 세부데이터'!"&amp;R$1&amp;$T49, TRUE)</f>
        <v>1.5</v>
      </c>
      <c r="S49" s="1299" cm="1">
        <f t="array" aca="1" ref="S49" ca="1">INDIRECT("'※ 영업품질 세부데이터'!"&amp;S$1&amp;$T49, TRUE)</f>
        <v>-0.16666666666666674</v>
      </c>
      <c r="T49" s="978">
        <f>ROW('※ 영업품질 세부데이터'!A50)</f>
        <v>50</v>
      </c>
      <c r="U49" s="1300"/>
      <c r="V49" s="1300"/>
      <c r="W49" s="1255"/>
    </row>
    <row r="50" spans="1:23" ht="15" customHeight="1" x14ac:dyDescent="0.55000000000000004">
      <c r="A50" s="7469"/>
      <c r="B50" s="1318"/>
      <c r="C50" s="673" t="s">
        <v>146</v>
      </c>
      <c r="D50" s="1293" cm="1">
        <f t="array" aca="1" ref="D50" ca="1">INDIRECT("'※ 영업품질 세부데이터'!"&amp;D$1&amp;$T50, TRUE)</f>
        <v>16</v>
      </c>
      <c r="E50" s="1294" cm="1">
        <f t="array" aca="1" ref="E50" ca="1">INDIRECT("'※ 영업품질 세부데이터'!"&amp;E$1&amp;$T50, TRUE)</f>
        <v>1</v>
      </c>
      <c r="F50" s="1295" cm="1">
        <f t="array" aca="1" ref="F50" ca="1">INDIRECT("'※ 영업품질 세부데이터'!"&amp;F$1&amp;$T50, TRUE)</f>
        <v>1</v>
      </c>
      <c r="G50" s="1295" cm="1">
        <f t="array" aca="1" ref="G50" ca="1">INDIRECT("'※ 영업품질 세부데이터'!"&amp;G$1&amp;$T50, TRUE)</f>
        <v>1</v>
      </c>
      <c r="H50" s="1295" cm="1">
        <f t="array" aca="1" ref="H50" ca="1">INDIRECT("'※ 영업품질 세부데이터'!"&amp;H$1&amp;$T50, TRUE)</f>
        <v>0</v>
      </c>
      <c r="I50" s="1295" cm="1">
        <f t="array" aca="1" ref="I50" ca="1">INDIRECT("'※ 영업품질 세부데이터'!"&amp;I$1&amp;$T50, TRUE)</f>
        <v>3</v>
      </c>
      <c r="J50" s="1295" cm="1">
        <f t="array" aca="1" ref="J50" ca="1">INDIRECT("'※ 영업품질 세부데이터'!"&amp;J$1&amp;$T50, TRUE)</f>
        <v>1</v>
      </c>
      <c r="K50" s="6274" cm="1">
        <f t="array" aca="1" ref="K50" ca="1">INDIRECT("'※ 영업품질 세부데이터'!"&amp;K$1&amp;$T50, TRUE)</f>
        <v>1</v>
      </c>
      <c r="L50" s="1295" cm="1">
        <f t="array" aca="1" ref="L50" ca="1">INDIRECT("'※ 영업품질 세부데이터'!"&amp;L$1&amp;$T50, TRUE)</f>
        <v>1</v>
      </c>
      <c r="M50" s="1295" cm="1">
        <f t="array" aca="1" ref="M50" ca="1">INDIRECT("'※ 영업품질 세부데이터'!"&amp;M$1&amp;$T50, TRUE)</f>
        <v>0</v>
      </c>
      <c r="N50" s="1295" cm="1">
        <f t="array" aca="1" ref="N50" ca="1">INDIRECT("'※ 영업품질 세부데이터'!"&amp;N$1&amp;$T50, TRUE)</f>
        <v>-1</v>
      </c>
      <c r="O50" s="1296" cm="1">
        <f t="array" aca="1" ref="O50" ca="1">INDIRECT("'※ 영업품질 세부데이터'!"&amp;O$1&amp;$T50, TRUE)</f>
        <v>-1</v>
      </c>
      <c r="P50" s="1297" cm="1">
        <f t="array" aca="1" ref="P50" ca="1">INDIRECT("'※ 영업품질 세부데이터'!"&amp;P$1&amp;$T50, TRUE)</f>
        <v>1</v>
      </c>
      <c r="Q50" s="1295" cm="1">
        <f t="array" aca="1" ref="Q50" ca="1">INDIRECT("'※ 영업품질 세부데이터'!"&amp;Q$1&amp;$T50, TRUE)</f>
        <v>-1</v>
      </c>
      <c r="R50" s="1298" cm="1">
        <f t="array" aca="1" ref="R50" ca="1">INDIRECT("'※ 영업품질 세부데이터'!"&amp;R$1&amp;$T50, TRUE)</f>
        <v>0.5</v>
      </c>
      <c r="S50" s="1299" cm="1">
        <f t="array" aca="1" ref="S50" ca="1">INDIRECT("'※ 영업품질 세부데이터'!"&amp;S$1&amp;$T50, TRUE)</f>
        <v>-0.83333333333333326</v>
      </c>
      <c r="T50" s="978">
        <f>ROW('※ 영업품질 세부데이터'!A51)</f>
        <v>51</v>
      </c>
      <c r="U50" s="1300"/>
      <c r="V50" s="1300"/>
      <c r="W50" s="1255"/>
    </row>
    <row r="51" spans="1:23" ht="15" customHeight="1" x14ac:dyDescent="0.55000000000000004">
      <c r="A51" s="7469"/>
      <c r="B51" s="1318"/>
      <c r="C51" s="673" t="s">
        <v>151</v>
      </c>
      <c r="D51" s="1293" cm="1">
        <f t="array" aca="1" ref="D51" ca="1">INDIRECT("'※ 영업품질 세부데이터'!"&amp;D$1&amp;$T51, TRUE)</f>
        <v>5</v>
      </c>
      <c r="E51" s="1294" cm="1">
        <f t="array" aca="1" ref="E51" ca="1">INDIRECT("'※ 영업품질 세부데이터'!"&amp;E$1&amp;$T51, TRUE)</f>
        <v>1</v>
      </c>
      <c r="F51" s="1295" cm="1">
        <f t="array" aca="1" ref="F51" ca="1">INDIRECT("'※ 영업품질 세부데이터'!"&amp;F$1&amp;$T51, TRUE)</f>
        <v>0</v>
      </c>
      <c r="G51" s="1295" cm="1">
        <f t="array" aca="1" ref="G51" ca="1">INDIRECT("'※ 영업품질 세부데이터'!"&amp;G$1&amp;$T51, TRUE)</f>
        <v>1</v>
      </c>
      <c r="H51" s="1295" cm="1">
        <f t="array" aca="1" ref="H51" ca="1">INDIRECT("'※ 영업품질 세부데이터'!"&amp;H$1&amp;$T51, TRUE)</f>
        <v>0</v>
      </c>
      <c r="I51" s="1295" cm="1">
        <f t="array" aca="1" ref="I51" ca="1">INDIRECT("'※ 영업품질 세부데이터'!"&amp;I$1&amp;$T51, TRUE)</f>
        <v>0</v>
      </c>
      <c r="J51" s="1295" cm="1">
        <f t="array" aca="1" ref="J51" ca="1">INDIRECT("'※ 영업품질 세부데이터'!"&amp;J$1&amp;$T51, TRUE)</f>
        <v>1</v>
      </c>
      <c r="K51" s="6274" cm="1">
        <f t="array" aca="1" ref="K51" ca="1">INDIRECT("'※ 영업품질 세부데이터'!"&amp;K$1&amp;$T51, TRUE)</f>
        <v>0</v>
      </c>
      <c r="L51" s="1295" cm="1">
        <f t="array" aca="1" ref="L51" ca="1">INDIRECT("'※ 영업품질 세부데이터'!"&amp;L$1&amp;$T51, TRUE)</f>
        <v>0</v>
      </c>
      <c r="M51" s="1295" cm="1">
        <f t="array" aca="1" ref="M51" ca="1">INDIRECT("'※ 영업품질 세부데이터'!"&amp;M$1&amp;$T51, TRUE)</f>
        <v>0</v>
      </c>
      <c r="N51" s="1295" cm="1">
        <f t="array" aca="1" ref="N51" ca="1">INDIRECT("'※ 영업품질 세부데이터'!"&amp;N$1&amp;$T51, TRUE)</f>
        <v>0</v>
      </c>
      <c r="O51" s="1296" cm="1">
        <f t="array" aca="1" ref="O51" ca="1">INDIRECT("'※ 영업품질 세부데이터'!"&amp;O$1&amp;$T51, TRUE)</f>
        <v>0</v>
      </c>
      <c r="P51" s="1297" cm="1">
        <f t="array" aca="1" ref="P51" ca="1">INDIRECT("'※ 영업품질 세부데이터'!"&amp;P$1&amp;$T51, TRUE)</f>
        <v>0</v>
      </c>
      <c r="Q51" s="1295" cm="1">
        <f t="array" aca="1" ref="Q51" ca="1">INDIRECT("'※ 영업품질 세부데이터'!"&amp;Q$1&amp;$T51, TRUE)</f>
        <v>-1</v>
      </c>
      <c r="R51" s="1298" cm="1">
        <f t="array" aca="1" ref="R51" ca="1">INDIRECT("'※ 영업품질 세부데이터'!"&amp;R$1&amp;$T51, TRUE)</f>
        <v>0</v>
      </c>
      <c r="S51" s="1299" cm="1">
        <f t="array" aca="1" ref="S51" ca="1">INDIRECT("'※ 영업품질 세부데이터'!"&amp;S$1&amp;$T51, TRUE)</f>
        <v>-0.41666666666666669</v>
      </c>
      <c r="T51" s="978">
        <f>ROW('※ 영업품질 세부데이터'!A52)</f>
        <v>52</v>
      </c>
      <c r="U51" s="1300"/>
      <c r="V51" s="1300"/>
      <c r="W51" s="1255"/>
    </row>
    <row r="52" spans="1:23" ht="15" customHeight="1" x14ac:dyDescent="0.55000000000000004">
      <c r="A52" s="7469"/>
      <c r="B52" s="1318"/>
      <c r="C52" s="673" t="s">
        <v>148</v>
      </c>
      <c r="D52" s="1293" cm="1">
        <f t="array" aca="1" ref="D52" ca="1">INDIRECT("'※ 영업품질 세부데이터'!"&amp;D$1&amp;$T52, TRUE)</f>
        <v>11</v>
      </c>
      <c r="E52" s="1294" cm="1">
        <f t="array" aca="1" ref="E52" ca="1">INDIRECT("'※ 영업품질 세부데이터'!"&amp;E$1&amp;$T52, TRUE)</f>
        <v>1</v>
      </c>
      <c r="F52" s="1295" cm="1">
        <f t="array" aca="1" ref="F52" ca="1">INDIRECT("'※ 영업품질 세부데이터'!"&amp;F$1&amp;$T52, TRUE)</f>
        <v>0</v>
      </c>
      <c r="G52" s="1295" cm="1">
        <f t="array" aca="1" ref="G52" ca="1">INDIRECT("'※ 영업품질 세부데이터'!"&amp;G$1&amp;$T52, TRUE)</f>
        <v>1</v>
      </c>
      <c r="H52" s="1295" cm="1">
        <f t="array" aca="1" ref="H52" ca="1">INDIRECT("'※ 영업품질 세부데이터'!"&amp;H$1&amp;$T52, TRUE)</f>
        <v>0</v>
      </c>
      <c r="I52" s="1295" cm="1">
        <f t="array" aca="1" ref="I52" ca="1">INDIRECT("'※ 영업품질 세부데이터'!"&amp;I$1&amp;$T52, TRUE)</f>
        <v>0</v>
      </c>
      <c r="J52" s="1295" cm="1">
        <f t="array" aca="1" ref="J52" ca="1">INDIRECT("'※ 영업품질 세부데이터'!"&amp;J$1&amp;$T52, TRUE)</f>
        <v>0</v>
      </c>
      <c r="K52" s="6274" cm="1">
        <f t="array" aca="1" ref="K52" ca="1">INDIRECT("'※ 영업품질 세부데이터'!"&amp;K$1&amp;$T52, TRUE)</f>
        <v>2</v>
      </c>
      <c r="L52" s="1295" cm="1">
        <f t="array" aca="1" ref="L52" ca="1">INDIRECT("'※ 영업품질 세부데이터'!"&amp;L$1&amp;$T52, TRUE)</f>
        <v>1</v>
      </c>
      <c r="M52" s="1295" cm="1">
        <f t="array" aca="1" ref="M52" ca="1">INDIRECT("'※ 영업품질 세부데이터'!"&amp;M$1&amp;$T52, TRUE)</f>
        <v>1</v>
      </c>
      <c r="N52" s="1295" cm="1">
        <f t="array" aca="1" ref="N52" ca="1">INDIRECT("'※ 영업품질 세부데이터'!"&amp;N$1&amp;$T52, TRUE)</f>
        <v>0</v>
      </c>
      <c r="O52" s="1296" cm="1">
        <f t="array" aca="1" ref="O52" ca="1">INDIRECT("'※ 영업품질 세부데이터'!"&amp;O$1&amp;$T52, TRUE)</f>
        <v>1</v>
      </c>
      <c r="P52" s="1297" cm="1">
        <f t="array" aca="1" ref="P52" ca="1">INDIRECT("'※ 영업품질 세부데이터'!"&amp;P$1&amp;$T52, TRUE)</f>
        <v>2</v>
      </c>
      <c r="Q52" s="1295" cm="1">
        <f t="array" aca="1" ref="Q52" ca="1">INDIRECT("'※ 영업품질 세부데이터'!"&amp;Q$1&amp;$T52, TRUE)</f>
        <v>1</v>
      </c>
      <c r="R52" s="1298" cm="1">
        <f t="array" aca="1" ref="R52" ca="1">INDIRECT("'※ 영업품질 세부데이터'!"&amp;R$1&amp;$T52, TRUE)</f>
        <v>1</v>
      </c>
      <c r="S52" s="1299" cm="1">
        <f t="array" aca="1" ref="S52" ca="1">INDIRECT("'※ 영업품질 세부데이터'!"&amp;S$1&amp;$T52, TRUE)</f>
        <v>8.333333333333337E-2</v>
      </c>
      <c r="T52" s="978">
        <f>ROW('※ 영업품질 세부데이터'!A53)</f>
        <v>53</v>
      </c>
      <c r="U52" s="1300"/>
      <c r="V52" s="1300"/>
      <c r="W52" s="1255"/>
    </row>
    <row r="53" spans="1:23" ht="15" customHeight="1" x14ac:dyDescent="0.55000000000000004">
      <c r="A53" s="7469"/>
      <c r="B53" s="1319"/>
      <c r="C53" s="1302" t="s">
        <v>149</v>
      </c>
      <c r="D53" s="1303" cm="1">
        <f t="array" aca="1" ref="D53" ca="1">INDIRECT("'※ 영업품질 세부데이터'!"&amp;D$1&amp;$T53, TRUE)</f>
        <v>5</v>
      </c>
      <c r="E53" s="1304" cm="1">
        <f t="array" aca="1" ref="E53" ca="1">INDIRECT("'※ 영업품질 세부데이터'!"&amp;E$1&amp;$T53, TRUE)</f>
        <v>0</v>
      </c>
      <c r="F53" s="1305" cm="1">
        <f t="array" aca="1" ref="F53" ca="1">INDIRECT("'※ 영업품질 세부데이터'!"&amp;F$1&amp;$T53, TRUE)</f>
        <v>0</v>
      </c>
      <c r="G53" s="1305" cm="1">
        <f t="array" aca="1" ref="G53" ca="1">INDIRECT("'※ 영업품질 세부데이터'!"&amp;G$1&amp;$T53, TRUE)</f>
        <v>0</v>
      </c>
      <c r="H53" s="1305" cm="1">
        <f t="array" aca="1" ref="H53" ca="1">INDIRECT("'※ 영업품질 세부데이터'!"&amp;H$1&amp;$T53, TRUE)</f>
        <v>0</v>
      </c>
      <c r="I53" s="1305" cm="1">
        <f t="array" aca="1" ref="I53" ca="1">INDIRECT("'※ 영업품질 세부데이터'!"&amp;I$1&amp;$T53, TRUE)</f>
        <v>0</v>
      </c>
      <c r="J53" s="1305" cm="1">
        <f t="array" aca="1" ref="J53" ca="1">INDIRECT("'※ 영업품질 세부데이터'!"&amp;J$1&amp;$T53, TRUE)</f>
        <v>2</v>
      </c>
      <c r="K53" s="6275" cm="1">
        <f t="array" aca="1" ref="K53" ca="1">INDIRECT("'※ 영업품질 세부데이터'!"&amp;K$1&amp;$T53, TRUE)</f>
        <v>1</v>
      </c>
      <c r="L53" s="1305" cm="1">
        <f t="array" aca="1" ref="L53" ca="1">INDIRECT("'※ 영업품질 세부데이터'!"&amp;L$1&amp;$T53, TRUE)</f>
        <v>1</v>
      </c>
      <c r="M53" s="1305" cm="1">
        <f t="array" aca="1" ref="M53" ca="1">INDIRECT("'※ 영업품질 세부데이터'!"&amp;M$1&amp;$T53, TRUE)</f>
        <v>0</v>
      </c>
      <c r="N53" s="1305" cm="1">
        <f t="array" aca="1" ref="N53" ca="1">INDIRECT("'※ 영업품질 세부데이터'!"&amp;N$1&amp;$T53, TRUE)</f>
        <v>-1</v>
      </c>
      <c r="O53" s="1306" cm="1">
        <f t="array" aca="1" ref="O53" ca="1">INDIRECT("'※ 영업품질 세부데이터'!"&amp;O$1&amp;$T53, TRUE)</f>
        <v>0</v>
      </c>
      <c r="P53" s="1307" cm="1">
        <f t="array" aca="1" ref="P53" ca="1">INDIRECT("'※ 영업품질 세부데이터'!"&amp;P$1&amp;$T53, TRUE)</f>
        <v>1</v>
      </c>
      <c r="Q53" s="1305" cm="1">
        <f t="array" aca="1" ref="Q53" ca="1">INDIRECT("'※ 영업품질 세부데이터'!"&amp;Q$1&amp;$T53, TRUE)</f>
        <v>1</v>
      </c>
      <c r="R53" s="1308" cm="1">
        <f t="array" aca="1" ref="R53" ca="1">INDIRECT("'※ 영업품질 세부데이터'!"&amp;R$1&amp;$T53, TRUE)</f>
        <v>0.5</v>
      </c>
      <c r="S53" s="1309" cm="1">
        <f t="array" aca="1" ref="S53" ca="1">INDIRECT("'※ 영업품질 세부데이터'!"&amp;S$1&amp;$T53, TRUE)</f>
        <v>8.3333333333333315E-2</v>
      </c>
      <c r="T53" s="978">
        <f>ROW('※ 영업품질 세부데이터'!A54)</f>
        <v>54</v>
      </c>
      <c r="U53" s="1300"/>
      <c r="V53" s="1300"/>
      <c r="W53" s="1255"/>
    </row>
    <row r="54" spans="1:23" ht="16" customHeight="1" x14ac:dyDescent="0.55000000000000004">
      <c r="A54" s="7469"/>
      <c r="B54" s="7476" t="s">
        <v>534</v>
      </c>
      <c r="C54" s="1320"/>
      <c r="D54" s="1311" cm="1">
        <f t="array" aca="1" ref="D54" ca="1">INDIRECT("'※ 영업품질 세부데이터'!"&amp;D$1&amp;$T54, TRUE)</f>
        <v>27</v>
      </c>
      <c r="E54" s="1312" cm="1">
        <f t="array" aca="1" ref="E54" ca="1">INDIRECT("'※ 영업품질 세부데이터'!"&amp;E$1&amp;$T54, TRUE)</f>
        <v>5</v>
      </c>
      <c r="F54" s="1313" cm="1">
        <f t="array" aca="1" ref="F54" ca="1">INDIRECT("'※ 영업품질 세부데이터'!"&amp;F$1&amp;$T54, TRUE)</f>
        <v>1</v>
      </c>
      <c r="G54" s="1313" cm="1">
        <f t="array" aca="1" ref="G54" ca="1">INDIRECT("'※ 영업품질 세부데이터'!"&amp;G$1&amp;$T54, TRUE)</f>
        <v>2</v>
      </c>
      <c r="H54" s="1313" cm="1">
        <f t="array" aca="1" ref="H54" ca="1">INDIRECT("'※ 영업품질 세부데이터'!"&amp;H$1&amp;$T54, TRUE)</f>
        <v>3</v>
      </c>
      <c r="I54" s="1313" cm="1">
        <f t="array" aca="1" ref="I54" ca="1">INDIRECT("'※ 영업품질 세부데이터'!"&amp;I$1&amp;$T54, TRUE)</f>
        <v>2</v>
      </c>
      <c r="J54" s="1313" cm="1">
        <f t="array" aca="1" ref="J54" ca="1">INDIRECT("'※ 영업품질 세부데이터'!"&amp;J$1&amp;$T54, TRUE)</f>
        <v>1</v>
      </c>
      <c r="K54" s="6276" cm="1">
        <f t="array" aca="1" ref="K54" ca="1">INDIRECT("'※ 영업품질 세부데이터'!"&amp;K$1&amp;$T54, TRUE)</f>
        <v>9</v>
      </c>
      <c r="L54" s="1313" cm="1">
        <f t="array" aca="1" ref="L54" ca="1">INDIRECT("'※ 영업품질 세부데이터'!"&amp;L$1&amp;$T54, TRUE)</f>
        <v>6</v>
      </c>
      <c r="M54" s="1313" cm="1">
        <f t="array" aca="1" ref="M54" ca="1">INDIRECT("'※ 영업품질 세부데이터'!"&amp;M$1&amp;$T54, TRUE)</f>
        <v>3</v>
      </c>
      <c r="N54" s="1313" cm="1">
        <f t="array" aca="1" ref="N54" ca="1">INDIRECT("'※ 영업품질 세부데이터'!"&amp;N$1&amp;$T54, TRUE)</f>
        <v>-3</v>
      </c>
      <c r="O54" s="1314" cm="1">
        <f t="array" aca="1" ref="O54" ca="1">INDIRECT("'※ 영업품질 세부데이터'!"&amp;O$1&amp;$T54, TRUE)</f>
        <v>2</v>
      </c>
      <c r="P54" s="1315" cm="1">
        <f t="array" aca="1" ref="P54" ca="1">INDIRECT("'※ 영업품질 세부데이터'!"&amp;P$1&amp;$T54, TRUE)</f>
        <v>9</v>
      </c>
      <c r="Q54" s="1313" cm="1">
        <f t="array" aca="1" ref="Q54" ca="1">INDIRECT("'※ 영업품질 세부데이터'!"&amp;Q$1&amp;$T54, TRUE)</f>
        <v>3</v>
      </c>
      <c r="R54" s="1316" cm="1">
        <f t="array" aca="1" ref="R54" ca="1">INDIRECT("'※ 영업품질 세부데이터'!"&amp;R$1&amp;$T54, TRUE)</f>
        <v>4.5</v>
      </c>
      <c r="S54" s="1317" cm="1">
        <f t="array" aca="1" ref="S54" ca="1">INDIRECT("'※ 영업품질 세부데이터'!"&amp;S$1&amp;$T54, TRUE)</f>
        <v>2.25</v>
      </c>
      <c r="T54" s="978">
        <f>ROW('※ 영업품질 세부데이터'!A55)</f>
        <v>55</v>
      </c>
      <c r="U54" s="1300"/>
      <c r="V54" s="1300"/>
      <c r="W54" s="1255"/>
    </row>
    <row r="55" spans="1:23" ht="16" customHeight="1" x14ac:dyDescent="0.55000000000000004">
      <c r="A55" s="7469"/>
      <c r="B55" s="7477"/>
      <c r="C55" s="1321" t="s">
        <v>869</v>
      </c>
      <c r="D55" s="1293" cm="1">
        <f t="array" aca="1" ref="D55" ca="1">INDIRECT("'※ 영업품질 세부데이터'!"&amp;D$1&amp;$T55, TRUE)</f>
        <v>25</v>
      </c>
      <c r="E55" s="1294" cm="1">
        <f t="array" aca="1" ref="E55" ca="1">INDIRECT("'※ 영업품질 세부데이터'!"&amp;E$1&amp;$T55, TRUE)</f>
        <v>5</v>
      </c>
      <c r="F55" s="1295" cm="1">
        <f t="array" aca="1" ref="F55" ca="1">INDIRECT("'※ 영업품질 세부데이터'!"&amp;F$1&amp;$T55, TRUE)</f>
        <v>1</v>
      </c>
      <c r="G55" s="1295" cm="1">
        <f t="array" aca="1" ref="G55" ca="1">INDIRECT("'※ 영업품질 세부데이터'!"&amp;G$1&amp;$T55, TRUE)</f>
        <v>1</v>
      </c>
      <c r="H55" s="1295" cm="1">
        <f t="array" aca="1" ref="H55" ca="1">INDIRECT("'※ 영업품질 세부데이터'!"&amp;H$1&amp;$T55, TRUE)</f>
        <v>3</v>
      </c>
      <c r="I55" s="1295" cm="1">
        <f t="array" aca="1" ref="I55" ca="1">INDIRECT("'※ 영업품질 세부데이터'!"&amp;I$1&amp;$T55, TRUE)</f>
        <v>2</v>
      </c>
      <c r="J55" s="1295" cm="1">
        <f t="array" aca="1" ref="J55" ca="1">INDIRECT("'※ 영업품질 세부데이터'!"&amp;J$1&amp;$T55, TRUE)</f>
        <v>1</v>
      </c>
      <c r="K55" s="6274" cm="1">
        <f t="array" aca="1" ref="K55" ca="1">INDIRECT("'※ 영업품질 세부데이터'!"&amp;K$1&amp;$T55, TRUE)</f>
        <v>8</v>
      </c>
      <c r="L55" s="1295" cm="1">
        <f t="array" aca="1" ref="L55" ca="1">INDIRECT("'※ 영업품질 세부데이터'!"&amp;L$1&amp;$T55, TRUE)</f>
        <v>5</v>
      </c>
      <c r="M55" s="1295" cm="1">
        <f t="array" aca="1" ref="M55" ca="1">INDIRECT("'※ 영업품질 세부데이터'!"&amp;M$1&amp;$T55, TRUE)</f>
        <v>3</v>
      </c>
      <c r="N55" s="1295" cm="1">
        <f t="array" aca="1" ref="N55" ca="1">INDIRECT("'※ 영업품질 세부데이터'!"&amp;N$1&amp;$T55, TRUE)</f>
        <v>-2</v>
      </c>
      <c r="O55" s="1296" cm="1">
        <f t="array" aca="1" ref="O55" ca="1">INDIRECT("'※ 영업품질 세부데이터'!"&amp;O$1&amp;$T55, TRUE)</f>
        <v>2</v>
      </c>
      <c r="P55" s="1297" cm="1">
        <f t="array" aca="1" ref="P55" ca="1">INDIRECT("'※ 영업품질 세부데이터'!"&amp;P$1&amp;$T55, TRUE)</f>
        <v>8</v>
      </c>
      <c r="Q55" s="1295" cm="1">
        <f t="array" aca="1" ref="Q55" ca="1">INDIRECT("'※ 영업품질 세부데이터'!"&amp;Q$1&amp;$T55, TRUE)</f>
        <v>2</v>
      </c>
      <c r="R55" s="1298" cm="1">
        <f t="array" aca="1" ref="R55" ca="1">INDIRECT("'※ 영업품질 세부데이터'!"&amp;R$1&amp;$T55, TRUE)</f>
        <v>4</v>
      </c>
      <c r="S55" s="1299" cm="1">
        <f t="array" aca="1" ref="S55" ca="1">INDIRECT("'※ 영업품질 세부데이터'!"&amp;S$1&amp;$T55, TRUE)</f>
        <v>1.9166666666666665</v>
      </c>
      <c r="T55" s="978">
        <f>ROW('※ 영업품질 세부데이터'!A56)</f>
        <v>56</v>
      </c>
      <c r="U55" s="1300"/>
      <c r="V55" s="1300"/>
      <c r="W55" s="1255"/>
    </row>
    <row r="56" spans="1:23" ht="16" customHeight="1" thickBot="1" x14ac:dyDescent="0.6">
      <c r="A56" s="7470"/>
      <c r="B56" s="7478"/>
      <c r="C56" s="1322" t="s">
        <v>22</v>
      </c>
      <c r="D56" s="1323" cm="1">
        <f t="array" aca="1" ref="D56" ca="1">INDIRECT("'※ 영업품질 세부데이터'!"&amp;D$1&amp;$T56, TRUE)</f>
        <v>2</v>
      </c>
      <c r="E56" s="1324" cm="1">
        <f t="array" aca="1" ref="E56" ca="1">INDIRECT("'※ 영업품질 세부데이터'!"&amp;E$1&amp;$T56, TRUE)</f>
        <v>0</v>
      </c>
      <c r="F56" s="1325" cm="1">
        <f t="array" aca="1" ref="F56" ca="1">INDIRECT("'※ 영업품질 세부데이터'!"&amp;F$1&amp;$T56, TRUE)</f>
        <v>0</v>
      </c>
      <c r="G56" s="1325" cm="1">
        <f t="array" aca="1" ref="G56" ca="1">INDIRECT("'※ 영업품질 세부데이터'!"&amp;G$1&amp;$T56, TRUE)</f>
        <v>1</v>
      </c>
      <c r="H56" s="1325" cm="1">
        <f t="array" aca="1" ref="H56" ca="1">INDIRECT("'※ 영업품질 세부데이터'!"&amp;H$1&amp;$T56, TRUE)</f>
        <v>0</v>
      </c>
      <c r="I56" s="1325" cm="1">
        <f t="array" aca="1" ref="I56" ca="1">INDIRECT("'※ 영업품질 세부데이터'!"&amp;I$1&amp;$T56, TRUE)</f>
        <v>0</v>
      </c>
      <c r="J56" s="1325" cm="1">
        <f t="array" aca="1" ref="J56" ca="1">INDIRECT("'※ 영업품질 세부데이터'!"&amp;J$1&amp;$T56, TRUE)</f>
        <v>0</v>
      </c>
      <c r="K56" s="6277" cm="1">
        <f t="array" aca="1" ref="K56" ca="1">INDIRECT("'※ 영업품질 세부데이터'!"&amp;K$1&amp;$T56, TRUE)</f>
        <v>1</v>
      </c>
      <c r="L56" s="1325" cm="1">
        <f t="array" aca="1" ref="L56" ca="1">INDIRECT("'※ 영업품질 세부데이터'!"&amp;L$1&amp;$T56, TRUE)</f>
        <v>1</v>
      </c>
      <c r="M56" s="1325" cm="1">
        <f t="array" aca="1" ref="M56" ca="1">INDIRECT("'※ 영업품질 세부데이터'!"&amp;M$1&amp;$T56, TRUE)</f>
        <v>0</v>
      </c>
      <c r="N56" s="1325" cm="1">
        <f t="array" aca="1" ref="N56" ca="1">INDIRECT("'※ 영업품질 세부데이터'!"&amp;N$1&amp;$T56, TRUE)</f>
        <v>-1</v>
      </c>
      <c r="O56" s="1326" cm="1">
        <f t="array" aca="1" ref="O56" ca="1">INDIRECT("'※ 영업품질 세부데이터'!"&amp;O$1&amp;$T56, TRUE)</f>
        <v>0</v>
      </c>
      <c r="P56" s="1327" cm="1">
        <f t="array" aca="1" ref="P56" ca="1">INDIRECT("'※ 영업품질 세부데이터'!"&amp;P$1&amp;$T56, TRUE)</f>
        <v>1</v>
      </c>
      <c r="Q56" s="1325" cm="1">
        <f t="array" aca="1" ref="Q56" ca="1">INDIRECT("'※ 영업품질 세부데이터'!"&amp;Q$1&amp;$T56, TRUE)</f>
        <v>1</v>
      </c>
      <c r="R56" s="1328" cm="1">
        <f t="array" aca="1" ref="R56" ca="1">INDIRECT("'※ 영업품질 세부데이터'!"&amp;R$1&amp;$T56, TRUE)</f>
        <v>0.5</v>
      </c>
      <c r="S56" s="1329" cm="1">
        <f t="array" aca="1" ref="S56" ca="1">INDIRECT("'※ 영업품질 세부데이터'!"&amp;S$1&amp;$T56, TRUE)</f>
        <v>0.33333333333333337</v>
      </c>
      <c r="T56" s="978">
        <f>ROW('※ 영업품질 세부데이터'!A57)</f>
        <v>57</v>
      </c>
      <c r="U56" s="1300"/>
      <c r="V56" s="1300"/>
      <c r="W56" s="1255"/>
    </row>
    <row r="57" spans="1:23" ht="5.4" customHeight="1" thickBot="1" x14ac:dyDescent="0.6">
      <c r="B57" s="698"/>
      <c r="C57" s="698"/>
      <c r="D57" s="1300"/>
      <c r="E57" s="972"/>
      <c r="F57" s="972"/>
      <c r="G57" s="972"/>
      <c r="H57" s="972"/>
      <c r="I57" s="972"/>
      <c r="J57" s="972"/>
      <c r="K57" s="6278"/>
      <c r="L57" s="972"/>
      <c r="M57" s="972"/>
      <c r="N57" s="1300"/>
      <c r="O57" s="1300"/>
      <c r="P57" s="1300"/>
      <c r="Q57" s="1300"/>
      <c r="R57" s="1300"/>
      <c r="S57" s="1300"/>
      <c r="T57" s="978">
        <f>ROW('※ 영업품질 세부데이터'!A58)</f>
        <v>58</v>
      </c>
      <c r="U57" s="1300"/>
      <c r="V57" s="1300"/>
    </row>
    <row r="58" spans="1:23" ht="14.8" customHeight="1" x14ac:dyDescent="0.55000000000000004">
      <c r="A58" s="7473" t="s">
        <v>135</v>
      </c>
      <c r="B58" s="1330" t="s">
        <v>519</v>
      </c>
      <c r="C58" s="1331" t="s">
        <v>526</v>
      </c>
      <c r="D58" s="1332" cm="1">
        <f t="array" aca="1" ref="D58" ca="1">INDIRECT("'※ 영업품질 세부데이터'!"&amp;D$1&amp;$T58, TRUE)</f>
        <v>13434</v>
      </c>
      <c r="E58" s="1333" cm="1">
        <f t="array" aca="1" ref="E58" ca="1">INDIRECT("'※ 영업품질 세부데이터'!"&amp;E$1&amp;$T58, TRUE)</f>
        <v>918</v>
      </c>
      <c r="F58" s="1333" cm="1">
        <f t="array" aca="1" ref="F58" ca="1">INDIRECT("'※ 영업품질 세부데이터'!"&amp;F$1&amp;$T58, TRUE)</f>
        <v>1169</v>
      </c>
      <c r="G58" s="1333" cm="1">
        <f t="array" aca="1" ref="G58" ca="1">INDIRECT("'※ 영업품질 세부데이터'!"&amp;G$1&amp;$T58, TRUE)</f>
        <v>1065</v>
      </c>
      <c r="H58" s="1333" cm="1">
        <f t="array" aca="1" ref="H58" ca="1">INDIRECT("'※ 영업품질 세부데이터'!"&amp;H$1&amp;$T58, TRUE)</f>
        <v>1220</v>
      </c>
      <c r="I58" s="1333" cm="1">
        <f t="array" aca="1" ref="I58" ca="1">INDIRECT("'※ 영업품질 세부데이터'!"&amp;I$1&amp;$T58, TRUE)</f>
        <v>1429</v>
      </c>
      <c r="J58" s="1333" cm="1">
        <f t="array" aca="1" ref="J58" ca="1">INDIRECT("'※ 영업품질 세부데이터'!"&amp;J$1&amp;$T58, TRUE)</f>
        <v>1211</v>
      </c>
      <c r="K58" s="6279" cm="1">
        <f t="array" aca="1" ref="K58" ca="1">INDIRECT("'※ 영업품질 세부데이터'!"&amp;K$1&amp;$T58, TRUE)</f>
        <v>1200</v>
      </c>
      <c r="L58" s="1333" cm="1">
        <f t="array" aca="1" ref="L58" ca="1">INDIRECT("'※ 영업품질 세부데이터'!"&amp;L$1&amp;$T58, TRUE)</f>
        <v>1200</v>
      </c>
      <c r="M58" s="1333"/>
      <c r="N58" s="1333">
        <f t="shared" ref="N58:N65" ca="1" si="0">G58-F58</f>
        <v>-104</v>
      </c>
      <c r="O58" s="1334" cm="1">
        <f t="array" aca="1" ref="O58" ca="1">INDIRECT("'※ 영업품질 세부데이터'!"&amp;O$1&amp;$T58, TRUE)</f>
        <v>-1169</v>
      </c>
      <c r="P58" s="1335" cm="1">
        <f t="array" aca="1" ref="P58" ca="1">INDIRECT("'※ 영업품질 세부데이터'!"&amp;P$1&amp;$T58, TRUE)</f>
        <v>1200</v>
      </c>
      <c r="Q58" s="1333" cm="1">
        <f t="array" aca="1" ref="Q58" ca="1">INDIRECT("'※ 영업품질 세부데이터'!"&amp;Q$1&amp;$T58, TRUE)</f>
        <v>-887</v>
      </c>
      <c r="R58" s="1336" cm="1">
        <f t="array" aca="1" ref="R58" ca="1">INDIRECT("'※ 영업품질 세부데이터'!"&amp;R$1&amp;$T58, TRUE)</f>
        <v>1200</v>
      </c>
      <c r="S58" s="1337" cm="1">
        <f t="array" aca="1" ref="S58" ca="1">INDIRECT("'※ 영업품질 세부데이터'!"&amp;S$1&amp;$T58, TRUE)</f>
        <v>80.5</v>
      </c>
      <c r="T58" s="978">
        <f>ROW('※ 영업품질 세부데이터'!A59)</f>
        <v>59</v>
      </c>
      <c r="U58" s="1300"/>
      <c r="V58" s="1300"/>
    </row>
    <row r="59" spans="1:23" ht="14.8" customHeight="1" x14ac:dyDescent="0.55000000000000004">
      <c r="A59" s="7474"/>
      <c r="B59" s="1338"/>
      <c r="C59" s="1339" t="s">
        <v>527</v>
      </c>
      <c r="D59" s="1340" cm="1">
        <f t="array" aca="1" ref="D59" ca="1">INDIRECT("'※ 영업품질 세부데이터'!"&amp;D$1&amp;$T59, TRUE)</f>
        <v>545879</v>
      </c>
      <c r="E59" s="1341" cm="1">
        <f t="array" aca="1" ref="E59" ca="1">INDIRECT("'※ 영업품질 세부데이터'!"&amp;E$1&amp;$T59, TRUE)</f>
        <v>29169</v>
      </c>
      <c r="F59" s="1341" cm="1">
        <f t="array" aca="1" ref="F59" ca="1">INDIRECT("'※ 영업품질 세부데이터'!"&amp;F$1&amp;$T59, TRUE)</f>
        <v>50490</v>
      </c>
      <c r="G59" s="1341" cm="1">
        <f t="array" aca="1" ref="G59" ca="1">INDIRECT("'※ 영업품질 세부데이터'!"&amp;G$1&amp;$T59, TRUE)</f>
        <v>36930</v>
      </c>
      <c r="H59" s="1341" cm="1">
        <f t="array" aca="1" ref="H59" ca="1">INDIRECT("'※ 영업품질 세부데이터'!"&amp;H$1&amp;$T59, TRUE)</f>
        <v>47164</v>
      </c>
      <c r="I59" s="1341" cm="1">
        <f t="array" aca="1" ref="I59" ca="1">INDIRECT("'※ 영업품질 세부데이터'!"&amp;I$1&amp;$T59, TRUE)</f>
        <v>65652</v>
      </c>
      <c r="J59" s="1341" cm="1">
        <f t="array" aca="1" ref="J59" ca="1">INDIRECT("'※ 영업품질 세부데이터'!"&amp;J$1&amp;$T59, TRUE)</f>
        <v>46406</v>
      </c>
      <c r="K59" s="6280" cm="1">
        <f t="array" aca="1" ref="K59" ca="1">INDIRECT("'※ 영업품질 세부데이터'!"&amp;K$1&amp;$T59, TRUE)</f>
        <v>57365</v>
      </c>
      <c r="L59" s="1341" cm="1">
        <f t="array" aca="1" ref="L59" ca="1">INDIRECT("'※ 영업품질 세부데이터'!"&amp;L$1&amp;$T59, TRUE)</f>
        <v>57365</v>
      </c>
      <c r="M59" s="1341"/>
      <c r="N59" s="1341">
        <f t="shared" ca="1" si="0"/>
        <v>-13560</v>
      </c>
      <c r="O59" s="1342" cm="1">
        <f t="array" aca="1" ref="O59" ca="1">INDIRECT("'※ 영업품질 세부데이터'!"&amp;O$1&amp;$T59, TRUE)</f>
        <v>-50490</v>
      </c>
      <c r="P59" s="1343" cm="1">
        <f t="array" aca="1" ref="P59" ca="1">INDIRECT("'※ 영업품질 세부데이터'!"&amp;P$1&amp;$T59, TRUE)</f>
        <v>57365</v>
      </c>
      <c r="Q59" s="1341" cm="1">
        <f t="array" aca="1" ref="Q59" ca="1">INDIRECT("'※ 영업품질 세부데이터'!"&amp;Q$1&amp;$T59, TRUE)</f>
        <v>-22294</v>
      </c>
      <c r="R59" s="1344" cm="1">
        <f t="array" aca="1" ref="R59" ca="1">INDIRECT("'※ 영업품질 세부데이터'!"&amp;R$1&amp;$T59, TRUE)</f>
        <v>57365</v>
      </c>
      <c r="S59" s="1345" cm="1">
        <f t="array" aca="1" ref="S59" ca="1">INDIRECT("'※ 영업품질 세부데이터'!"&amp;S$1&amp;$T59, TRUE)</f>
        <v>11875.083333333336</v>
      </c>
      <c r="T59" s="855">
        <f>ROW('※ 영업품질 세부데이터'!A60)</f>
        <v>60</v>
      </c>
    </row>
    <row r="60" spans="1:23" ht="14.8" customHeight="1" x14ac:dyDescent="0.55000000000000004">
      <c r="A60" s="7474"/>
      <c r="B60" s="1346"/>
      <c r="C60" s="1347" t="s">
        <v>528</v>
      </c>
      <c r="D60" s="1348" cm="1">
        <f t="array" aca="1" ref="D60" ca="1">INDIRECT("'※ 영업품질 세부데이터'!"&amp;D$1&amp;$T60, TRUE)</f>
        <v>2.460984943549761E-2</v>
      </c>
      <c r="E60" s="1349" cm="1">
        <f t="array" aca="1" ref="E60" ca="1">INDIRECT("'※ 영업품질 세부데이터'!"&amp;E$1&amp;$T60, TRUE)</f>
        <v>3.1471767972847883E-2</v>
      </c>
      <c r="F60" s="1349" cm="1">
        <f t="array" aca="1" ref="F60" ca="1">INDIRECT("'※ 영업품질 세부데이터'!"&amp;F$1&amp;$T60, TRUE)</f>
        <v>2.3153099623687858E-2</v>
      </c>
      <c r="G60" s="1349" cm="1">
        <f t="array" aca="1" ref="G60" ca="1">INDIRECT("'※ 영업품질 세부데이터'!"&amp;G$1&amp;$T60, TRUE)</f>
        <v>2.8838342810722988E-2</v>
      </c>
      <c r="H60" s="1349" cm="1">
        <f t="array" aca="1" ref="H60" ca="1">INDIRECT("'※ 영업품질 세부데이터'!"&amp;H$1&amp;$T60, TRUE)</f>
        <v>2.5867186837418371E-2</v>
      </c>
      <c r="I60" s="1349" cm="1">
        <f t="array" aca="1" ref="I60" ca="1">INDIRECT("'※ 영업품질 세부데이터'!"&amp;I$1&amp;$T60, TRUE)</f>
        <v>2.1766282824590266E-2</v>
      </c>
      <c r="J60" s="1349" cm="1">
        <f t="array" aca="1" ref="J60" ca="1">INDIRECT("'※ 영업품질 세부데이터'!"&amp;J$1&amp;$T60, TRUE)</f>
        <v>2.6095763478860494E-2</v>
      </c>
      <c r="K60" s="6281" cm="1">
        <f t="array" aca="1" ref="K60" ca="1">INDIRECT("'※ 영업품질 세부데이터'!"&amp;K$1&amp;$T60, TRUE)</f>
        <v>2.0918678636799443E-2</v>
      </c>
      <c r="L60" s="1349" cm="1">
        <f t="array" aca="1" ref="L60" ca="1">INDIRECT("'※ 영업품질 세부데이터'!"&amp;L$1&amp;$T60, TRUE)</f>
        <v>2.0918678636799443E-2</v>
      </c>
      <c r="M60" s="1349"/>
      <c r="N60" s="1350">
        <f t="shared" ca="1" si="0"/>
        <v>5.68524318703513E-3</v>
      </c>
      <c r="O60" s="1351" cm="1">
        <f t="array" aca="1" ref="O60" ca="1">INDIRECT("'※ 영업품질 세부데이터'!"&amp;O$1&amp;$T60, TRUE)</f>
        <v>-2.3153099623687858E-2</v>
      </c>
      <c r="P60" s="1352" cm="1">
        <f t="array" aca="1" ref="P60" ca="1">INDIRECT("'※ 영업품질 세부데이터'!"&amp;P$1&amp;$T60, TRUE)</f>
        <v>2.0918678636799443E-2</v>
      </c>
      <c r="Q60" s="1350" cm="1">
        <f t="array" aca="1" ref="Q60" ca="1">INDIRECT("'※ 영업품질 세부데이터'!"&amp;Q$1&amp;$T60, TRUE)</f>
        <v>-3.6911707986981672E-3</v>
      </c>
      <c r="R60" s="1353" cm="1">
        <f t="array" aca="1" ref="R60" ca="1">INDIRECT("'※ 영업품질 세부데이터'!"&amp;R$1&amp;$T60, TRUE)</f>
        <v>2.0918678636799443E-2</v>
      </c>
      <c r="S60" s="1354" cm="1">
        <f t="array" aca="1" ref="S60" ca="1">INDIRECT("'※ 영업품질 세부데이터'!"&amp;S$1&amp;$T60, TRUE)</f>
        <v>-3.6911707986981672E-3</v>
      </c>
      <c r="T60" s="978">
        <f>ROW('※ 영업품질 세부데이터'!A61)</f>
        <v>61</v>
      </c>
      <c r="U60" s="1300"/>
      <c r="V60" s="1300"/>
    </row>
    <row r="61" spans="1:23" ht="14.8" customHeight="1" x14ac:dyDescent="0.55000000000000004">
      <c r="A61" s="7474"/>
      <c r="B61" s="1346"/>
      <c r="C61" s="1355" t="s">
        <v>530</v>
      </c>
      <c r="D61" s="1356" cm="1">
        <f t="array" aca="1" ref="D61" ca="1">INDIRECT("'※ 영업품질 세부데이터'!"&amp;D$1&amp;$T61, TRUE)</f>
        <v>7511</v>
      </c>
      <c r="E61" s="1357" cm="1">
        <f t="array" aca="1" ref="E61" ca="1">INDIRECT("'※ 영업품질 세부데이터'!"&amp;E$1&amp;$T61, TRUE)</f>
        <v>535</v>
      </c>
      <c r="F61" s="1357" cm="1">
        <f t="array" aca="1" ref="F61" ca="1">INDIRECT("'※ 영업품질 세부데이터'!"&amp;F$1&amp;$T61, TRUE)</f>
        <v>621</v>
      </c>
      <c r="G61" s="1357" cm="1">
        <f t="array" aca="1" ref="G61" ca="1">INDIRECT("'※ 영업품질 세부데이터'!"&amp;G$1&amp;$T61, TRUE)</f>
        <v>597</v>
      </c>
      <c r="H61" s="1357" cm="1">
        <f t="array" aca="1" ref="H61" ca="1">INDIRECT("'※ 영업품질 세부데이터'!"&amp;H$1&amp;$T61, TRUE)</f>
        <v>736</v>
      </c>
      <c r="I61" s="1357" cm="1">
        <f t="array" aca="1" ref="I61" ca="1">INDIRECT("'※ 영업품질 세부데이터'!"&amp;I$1&amp;$T61, TRUE)</f>
        <v>890</v>
      </c>
      <c r="J61" s="1357" cm="1">
        <f t="array" aca="1" ref="J61" ca="1">INDIRECT("'※ 영업품질 세부데이터'!"&amp;J$1&amp;$T61, TRUE)</f>
        <v>740</v>
      </c>
      <c r="K61" s="6282" cm="1">
        <f t="array" aca="1" ref="K61" ca="1">INDIRECT("'※ 영업품질 세부데이터'!"&amp;K$1&amp;$T61, TRUE)</f>
        <v>835</v>
      </c>
      <c r="L61" s="1357" cm="1">
        <f t="array" aca="1" ref="L61" ca="1">INDIRECT("'※ 영업품질 세부데이터'!"&amp;L$1&amp;$T61, TRUE)</f>
        <v>835</v>
      </c>
      <c r="M61" s="1357"/>
      <c r="N61" s="1357">
        <f t="shared" ca="1" si="0"/>
        <v>-24</v>
      </c>
      <c r="O61" s="1358" cm="1">
        <f t="array" aca="1" ref="O61" ca="1">INDIRECT("'※ 영업품질 세부데이터'!"&amp;O$1&amp;$T61, TRUE)</f>
        <v>-621</v>
      </c>
      <c r="P61" s="1359" cm="1">
        <f t="array" aca="1" ref="P61" ca="1">INDIRECT("'※ 영업품질 세부데이터'!"&amp;P$1&amp;$T61, TRUE)</f>
        <v>835</v>
      </c>
      <c r="Q61" s="1357" cm="1">
        <f t="array" aca="1" ref="Q61" ca="1">INDIRECT("'※ 영업품질 세부데이터'!"&amp;Q$1&amp;$T61, TRUE)</f>
        <v>-321</v>
      </c>
      <c r="R61" s="1360" cm="1">
        <f t="array" aca="1" ref="R61" ca="1">INDIRECT("'※ 영업품질 세부데이터'!"&amp;R$1&amp;$T61, TRUE)</f>
        <v>835</v>
      </c>
      <c r="S61" s="1361" cm="1">
        <f t="array" aca="1" ref="S61" ca="1">INDIRECT("'※ 영업품질 세부데이터'!"&amp;S$1&amp;$T61, TRUE)</f>
        <v>209.08333333333337</v>
      </c>
      <c r="T61" s="978">
        <f>ROW('※ 영업품질 세부데이터'!A62)</f>
        <v>62</v>
      </c>
      <c r="U61" s="1300"/>
      <c r="V61" s="1300"/>
    </row>
    <row r="62" spans="1:23" ht="14.8" customHeight="1" x14ac:dyDescent="0.55000000000000004">
      <c r="A62" s="7474"/>
      <c r="B62" s="1346"/>
      <c r="C62" s="1355" t="s">
        <v>529</v>
      </c>
      <c r="D62" s="1356" cm="1">
        <f t="array" aca="1" ref="D62" ca="1">INDIRECT("'※ 영업품질 세부데이터'!"&amp;D$1&amp;$T62, TRUE)</f>
        <v>4160</v>
      </c>
      <c r="E62" s="1357" cm="1">
        <f t="array" aca="1" ref="E62" ca="1">INDIRECT("'※ 영업품질 세부데이터'!"&amp;E$1&amp;$T62, TRUE)</f>
        <v>273</v>
      </c>
      <c r="F62" s="1357" cm="1">
        <f t="array" aca="1" ref="F62" ca="1">INDIRECT("'※ 영업품질 세부데이터'!"&amp;F$1&amp;$T62, TRUE)</f>
        <v>420</v>
      </c>
      <c r="G62" s="1357" cm="1">
        <f t="array" aca="1" ref="G62" ca="1">INDIRECT("'※ 영업품질 세부데이터'!"&amp;G$1&amp;$T62, TRUE)</f>
        <v>310</v>
      </c>
      <c r="H62" s="1357" cm="1">
        <f t="array" aca="1" ref="H62" ca="1">INDIRECT("'※ 영업품질 세부데이터'!"&amp;H$1&amp;$T62, TRUE)</f>
        <v>318</v>
      </c>
      <c r="I62" s="1357" cm="1">
        <f t="array" aca="1" ref="I62" ca="1">INDIRECT("'※ 영업품질 세부데이터'!"&amp;I$1&amp;$T62, TRUE)</f>
        <v>321</v>
      </c>
      <c r="J62" s="1357" cm="1">
        <f t="array" aca="1" ref="J62" ca="1">INDIRECT("'※ 영업품질 세부데이터'!"&amp;J$1&amp;$T62, TRUE)</f>
        <v>309</v>
      </c>
      <c r="K62" s="6282" cm="1">
        <f t="array" aca="1" ref="K62" ca="1">INDIRECT("'※ 영업품질 세부데이터'!"&amp;K$1&amp;$T62, TRUE)</f>
        <v>277</v>
      </c>
      <c r="L62" s="1357" cm="1">
        <f t="array" aca="1" ref="L62" ca="1">INDIRECT("'※ 영업품질 세부데이터'!"&amp;L$1&amp;$T62, TRUE)</f>
        <v>277</v>
      </c>
      <c r="M62" s="1357"/>
      <c r="N62" s="1357">
        <f t="shared" ca="1" si="0"/>
        <v>-110</v>
      </c>
      <c r="O62" s="1358" cm="1">
        <f t="array" aca="1" ref="O62" ca="1">INDIRECT("'※ 영업품질 세부데이터'!"&amp;O$1&amp;$T62, TRUE)</f>
        <v>-420</v>
      </c>
      <c r="P62" s="1359" cm="1">
        <f t="array" aca="1" ref="P62" ca="1">INDIRECT("'※ 영업품질 세부데이터'!"&amp;P$1&amp;$T62, TRUE)</f>
        <v>277</v>
      </c>
      <c r="Q62" s="1357" cm="1">
        <f t="array" aca="1" ref="Q62" ca="1">INDIRECT("'※ 영업품질 세부데이터'!"&amp;Q$1&amp;$T62, TRUE)</f>
        <v>-416</v>
      </c>
      <c r="R62" s="1360" cm="1">
        <f t="array" aca="1" ref="R62" ca="1">INDIRECT("'※ 영업품질 세부데이터'!"&amp;R$1&amp;$T62, TRUE)</f>
        <v>277</v>
      </c>
      <c r="S62" s="1361" cm="1">
        <f t="array" aca="1" ref="S62" ca="1">INDIRECT("'※ 영업품질 세부데이터'!"&amp;S$1&amp;$T62, TRUE)</f>
        <v>-69.666666666666686</v>
      </c>
      <c r="T62" s="978">
        <f>ROW('※ 영업품질 세부데이터'!A63)</f>
        <v>63</v>
      </c>
      <c r="U62" s="1300"/>
      <c r="V62" s="1300"/>
    </row>
    <row r="63" spans="1:23" ht="14.8" customHeight="1" x14ac:dyDescent="0.55000000000000004">
      <c r="A63" s="7474"/>
      <c r="B63" s="1346"/>
      <c r="C63" s="1355" t="s">
        <v>531</v>
      </c>
      <c r="D63" s="1356" cm="1">
        <f t="array" aca="1" ref="D63" ca="1">INDIRECT("'※ 영업품질 세부데이터'!"&amp;D$1&amp;$T63, TRUE)</f>
        <v>1781</v>
      </c>
      <c r="E63" s="1357" cm="1">
        <f t="array" aca="1" ref="E63" ca="1">INDIRECT("'※ 영업품질 세부데이터'!"&amp;E$1&amp;$T63, TRUE)</f>
        <v>110</v>
      </c>
      <c r="F63" s="1357" cm="1">
        <f t="array" aca="1" ref="F63" ca="1">INDIRECT("'※ 영업품질 세부데이터'!"&amp;F$1&amp;$T63, TRUE)</f>
        <v>128</v>
      </c>
      <c r="G63" s="1357" cm="1">
        <f t="array" aca="1" ref="G63" ca="1">INDIRECT("'※ 영업품질 세부데이터'!"&amp;G$1&amp;$T63, TRUE)</f>
        <v>158</v>
      </c>
      <c r="H63" s="1357" cm="1">
        <f t="array" aca="1" ref="H63" ca="1">INDIRECT("'※ 영업품질 세부데이터'!"&amp;H$1&amp;$T63, TRUE)</f>
        <v>166</v>
      </c>
      <c r="I63" s="1357" cm="1">
        <f t="array" aca="1" ref="I63" ca="1">INDIRECT("'※ 영업품질 세부데이터'!"&amp;I$1&amp;$T63, TRUE)</f>
        <v>218</v>
      </c>
      <c r="J63" s="1357" cm="1">
        <f t="array" aca="1" ref="J63" ca="1">INDIRECT("'※ 영업품질 세부데이터'!"&amp;J$1&amp;$T63, TRUE)</f>
        <v>162</v>
      </c>
      <c r="K63" s="6282" cm="1">
        <f t="array" aca="1" ref="K63" ca="1">INDIRECT("'※ 영업품질 세부데이터'!"&amp;K$1&amp;$T63, TRUE)</f>
        <v>88</v>
      </c>
      <c r="L63" s="1357" cm="1">
        <f t="array" aca="1" ref="L63" ca="1">INDIRECT("'※ 영업품질 세부데이터'!"&amp;L$1&amp;$T63, TRUE)</f>
        <v>88</v>
      </c>
      <c r="M63" s="1357"/>
      <c r="N63" s="1357">
        <f t="shared" ca="1" si="0"/>
        <v>30</v>
      </c>
      <c r="O63" s="1358" cm="1">
        <f t="array" aca="1" ref="O63" ca="1">INDIRECT("'※ 영업품질 세부데이터'!"&amp;O$1&amp;$T63, TRUE)</f>
        <v>-128</v>
      </c>
      <c r="P63" s="1359" cm="1">
        <f t="array" aca="1" ref="P63" ca="1">INDIRECT("'※ 영업품질 세부데이터'!"&amp;P$1&amp;$T63, TRUE)</f>
        <v>88</v>
      </c>
      <c r="Q63" s="1357" cm="1">
        <f t="array" aca="1" ref="Q63" ca="1">INDIRECT("'※ 영업품질 세부데이터'!"&amp;Q$1&amp;$T63, TRUE)</f>
        <v>-150</v>
      </c>
      <c r="R63" s="1360" cm="1">
        <f t="array" aca="1" ref="R63" ca="1">INDIRECT("'※ 영업품질 세부데이터'!"&amp;R$1&amp;$T63, TRUE)</f>
        <v>88</v>
      </c>
      <c r="S63" s="1361" cm="1">
        <f t="array" aca="1" ref="S63" ca="1">INDIRECT("'※ 영업품질 세부데이터'!"&amp;S$1&amp;$T63, TRUE)</f>
        <v>-60.416666666666657</v>
      </c>
      <c r="T63" s="978">
        <f>ROW('※ 영업품질 세부데이터'!A64)</f>
        <v>64</v>
      </c>
      <c r="U63" s="1300"/>
      <c r="V63" s="1300"/>
    </row>
    <row r="64" spans="1:23" ht="14.8" customHeight="1" x14ac:dyDescent="0.55000000000000004">
      <c r="A64" s="7474"/>
      <c r="B64" s="1362" t="s">
        <v>138</v>
      </c>
      <c r="C64" s="1363" t="s">
        <v>532</v>
      </c>
      <c r="D64" s="1364" cm="1">
        <f t="array" aca="1" ref="D64" ca="1">INDIRECT("'※ 영업품질 세부데이터'!"&amp;D$1&amp;$T64, TRUE)</f>
        <v>5297</v>
      </c>
      <c r="E64" s="1365" cm="1">
        <f t="array" aca="1" ref="E64" ca="1">INDIRECT("'※ 영업품질 세부데이터'!"&amp;E$1&amp;$T64, TRUE)</f>
        <v>284</v>
      </c>
      <c r="F64" s="1365" cm="1">
        <f t="array" aca="1" ref="F64" ca="1">INDIRECT("'※ 영업품질 세부데이터'!"&amp;F$1&amp;$T64, TRUE)</f>
        <v>433</v>
      </c>
      <c r="G64" s="1365" cm="1">
        <f t="array" aca="1" ref="G64" ca="1">INDIRECT("'※ 영업품질 세부데이터'!"&amp;G$1&amp;$T64, TRUE)</f>
        <v>423</v>
      </c>
      <c r="H64" s="1365" cm="1">
        <f t="array" aca="1" ref="H64" ca="1">INDIRECT("'※ 영업품질 세부데이터'!"&amp;H$1&amp;$T64, TRUE)</f>
        <v>532</v>
      </c>
      <c r="I64" s="1365" cm="1">
        <f t="array" aca="1" ref="I64" ca="1">INDIRECT("'※ 영업품질 세부데이터'!"&amp;I$1&amp;$T64, TRUE)</f>
        <v>588</v>
      </c>
      <c r="J64" s="1365" cm="1">
        <f t="array" aca="1" ref="J64" ca="1">INDIRECT("'※ 영업품질 세부데이터'!"&amp;J$1&amp;$T64, TRUE)</f>
        <v>446</v>
      </c>
      <c r="K64" s="6283" cm="1">
        <f t="array" aca="1" ref="K64" ca="1">INDIRECT("'※ 영업품질 세부데이터'!"&amp;K$1&amp;$T64, TRUE)</f>
        <v>470</v>
      </c>
      <c r="L64" s="1365" cm="1">
        <f t="array" aca="1" ref="L64" ca="1">INDIRECT("'※ 영업품질 세부데이터'!"&amp;L$1&amp;$T64, TRUE)</f>
        <v>470</v>
      </c>
      <c r="M64" s="1365"/>
      <c r="N64" s="1365">
        <f t="shared" ca="1" si="0"/>
        <v>-10</v>
      </c>
      <c r="O64" s="1366" cm="1">
        <f t="array" aca="1" ref="O64" ca="1">INDIRECT("'※ 영업품질 세부데이터'!"&amp;O$1&amp;$T64, TRUE)</f>
        <v>-433</v>
      </c>
      <c r="P64" s="1367" cm="1">
        <f t="array" aca="1" ref="P64" ca="1">INDIRECT("'※ 영업품질 세부데이터'!"&amp;P$1&amp;$T64, TRUE)</f>
        <v>470</v>
      </c>
      <c r="Q64" s="1365" cm="1">
        <f t="array" aca="1" ref="Q64" ca="1">INDIRECT("'※ 영업품질 세부데이터'!"&amp;Q$1&amp;$T64, TRUE)</f>
        <v>-247</v>
      </c>
      <c r="R64" s="1368" cm="1">
        <f t="array" aca="1" ref="R64" ca="1">INDIRECT("'※ 영업품질 세부데이터'!"&amp;R$1&amp;$T64, TRUE)</f>
        <v>470</v>
      </c>
      <c r="S64" s="1369" cm="1">
        <f t="array" aca="1" ref="S64" ca="1">INDIRECT("'※ 영업품질 세부데이터'!"&amp;S$1&amp;$T64, TRUE)</f>
        <v>28.583333333333314</v>
      </c>
      <c r="T64" s="978">
        <f>ROW('※ 영업품질 세부데이터'!A65)</f>
        <v>65</v>
      </c>
      <c r="U64" s="1300"/>
      <c r="V64" s="1300"/>
    </row>
    <row r="65" spans="1:22" ht="14.8" customHeight="1" x14ac:dyDescent="0.55000000000000004">
      <c r="A65" s="7474"/>
      <c r="B65" s="1370"/>
      <c r="C65" s="1371" t="s">
        <v>137</v>
      </c>
      <c r="D65" s="1372" cm="1">
        <f t="array" aca="1" ref="D65" ca="1">INDIRECT("'※ 영업품질 세부데이터'!"&amp;D$1&amp;$T65, TRUE)</f>
        <v>2.3401720303922905E-2</v>
      </c>
      <c r="E65" s="1373" cm="1">
        <f t="array" aca="1" ref="E65" ca="1">INDIRECT("'※ 영업품질 세부데이터'!"&amp;E$1&amp;$T65, TRUE)</f>
        <v>2.3805532271584242E-2</v>
      </c>
      <c r="F65" s="1373" cm="1">
        <f t="array" aca="1" ref="F65" ca="1">INDIRECT("'※ 영업품질 세부데이터'!"&amp;F$1&amp;$T65, TRUE)</f>
        <v>1.7623117623117624E-2</v>
      </c>
      <c r="G65" s="1373" cm="1">
        <f t="array" aca="1" ref="G65" ca="1">INDIRECT("'※ 영업품질 세부데이터'!"&amp;G$1&amp;$T65, TRUE)</f>
        <v>2.4671916010498687E-2</v>
      </c>
      <c r="H65" s="1373" cm="1">
        <f t="array" aca="1" ref="H65" ca="1">INDIRECT("'※ 영업품질 세부데이터'!"&amp;H$1&amp;$T65, TRUE)</f>
        <v>2.3295529185094366E-2</v>
      </c>
      <c r="I65" s="1373" cm="1">
        <f t="array" aca="1" ref="I65" ca="1">INDIRECT("'※ 영업품질 세부데이터'!"&amp;I$1&amp;$T65, TRUE)</f>
        <v>2.0140435005994176E-2</v>
      </c>
      <c r="J65" s="1373" cm="1">
        <f t="array" aca="1" ref="J65" ca="1">INDIRECT("'※ 영업품질 세부데이터'!"&amp;J$1&amp;$T65, TRUE)</f>
        <v>2.4709141274238226E-2</v>
      </c>
      <c r="K65" s="6284" cm="1">
        <f t="array" aca="1" ref="K65" ca="1">INDIRECT("'※ 영업품질 세부데이터'!"&amp;K$1&amp;$T65, TRUE)</f>
        <v>2.3838506796510447E-2</v>
      </c>
      <c r="L65" s="1373" cm="1">
        <f t="array" aca="1" ref="L65" ca="1">INDIRECT("'※ 영업품질 세부데이터'!"&amp;L$1&amp;$T65, TRUE)</f>
        <v>2.3838506796510447E-2</v>
      </c>
      <c r="M65" s="1373"/>
      <c r="N65" s="1374">
        <f t="shared" ca="1" si="0"/>
        <v>7.0487983873810632E-3</v>
      </c>
      <c r="O65" s="1375" cm="1">
        <f t="array" aca="1" ref="O65" ca="1">INDIRECT("'※ 영업품질 세부데이터'!"&amp;O$1&amp;$T65, TRUE)</f>
        <v>-1.7623117623117624E-2</v>
      </c>
      <c r="P65" s="1376" cm="1">
        <f t="array" aca="1" ref="P65" ca="1">INDIRECT("'※ 영업품질 세부데이터'!"&amp;P$1&amp;$T65, TRUE)</f>
        <v>2.3838506796510447E-2</v>
      </c>
      <c r="Q65" s="1374" cm="1">
        <f t="array" aca="1" ref="Q65" ca="1">INDIRECT("'※ 영업품질 세부데이터'!"&amp;Q$1&amp;$T65, TRUE)</f>
        <v>4.3678649258754171E-4</v>
      </c>
      <c r="R65" s="1377" cm="1">
        <f t="array" aca="1" ref="R65" ca="1">INDIRECT("'※ 영업품질 세부데이터'!"&amp;R$1&amp;$T65, TRUE)</f>
        <v>2.3838506796510447E-2</v>
      </c>
      <c r="S65" s="1378" cm="1">
        <f t="array" aca="1" ref="S65" ca="1">INDIRECT("'※ 영업품질 세부데이터'!"&amp;S$1&amp;$T65, TRUE)</f>
        <v>4.3678649258754171E-4</v>
      </c>
      <c r="T65" s="978">
        <f>ROW('※ 영업품질 세부데이터'!A66)</f>
        <v>66</v>
      </c>
      <c r="U65" s="1300"/>
      <c r="V65" s="1300"/>
    </row>
    <row r="66" spans="1:22" ht="14.8" customHeight="1" x14ac:dyDescent="0.55000000000000004">
      <c r="A66" s="7474"/>
      <c r="B66" s="1379"/>
      <c r="C66" s="681" t="s">
        <v>140</v>
      </c>
      <c r="D66" s="1380" cm="1">
        <f t="array" aca="1" ref="D66" ca="1">INDIRECT("'※ 영업품질 세부데이터'!"&amp;D$1&amp;$T66, TRUE)</f>
        <v>2.0216821266977141E-2</v>
      </c>
      <c r="E66" s="1381" cm="1">
        <f t="array" aca="1" ref="E66" ca="1">INDIRECT("'※ 영업품질 세부데이터'!"&amp;E$1&amp;$T66, TRUE)</f>
        <v>2.9182879377431907E-2</v>
      </c>
      <c r="F66" s="1381" cm="1">
        <f t="array" aca="1" ref="F66" ca="1">INDIRECT("'※ 영업품질 세부데이터'!"&amp;F$1&amp;$T66, TRUE)</f>
        <v>1.962809917355372E-2</v>
      </c>
      <c r="G66" s="1381" cm="1">
        <f t="array" aca="1" ref="G66" ca="1">INDIRECT("'※ 영업품질 세부데이터'!"&amp;G$1&amp;$T66, TRUE)</f>
        <v>3.0102790014684289E-2</v>
      </c>
      <c r="H66" s="1381" cm="1">
        <f t="array" aca="1" ref="H66" ca="1">INDIRECT("'※ 영업품질 세부데이터'!"&amp;H$1&amp;$T66, TRUE)</f>
        <v>2.1729079981507166E-2</v>
      </c>
      <c r="I66" s="1381" cm="1">
        <f t="array" aca="1" ref="I66" ca="1">INDIRECT("'※ 영업품질 세부데이터'!"&amp;I$1&amp;$T66, TRUE)</f>
        <v>1.2486228424531766E-2</v>
      </c>
      <c r="J66" s="1381" cm="1">
        <f t="array" aca="1" ref="J66" ca="1">INDIRECT("'※ 영업품질 세부데이터'!"&amp;J$1&amp;$T66, TRUE)</f>
        <v>2.6060606060606062E-2</v>
      </c>
      <c r="K66" s="6285" cm="1">
        <f t="array" aca="1" ref="K66" ca="1">INDIRECT("'※ 영업품질 세부데이터'!"&amp;K$1&amp;$T66, TRUE)</f>
        <v>2.0266357845975681E-2</v>
      </c>
      <c r="L66" s="1381" cm="1">
        <f t="array" aca="1" ref="L66" ca="1">INDIRECT("'※ 영업품질 세부데이터'!"&amp;L$1&amp;$T66, TRUE)</f>
        <v>2.0266357845975681E-2</v>
      </c>
      <c r="M66" s="1381"/>
      <c r="N66" s="1382">
        <f t="shared" ref="N66:N87" ca="1" si="1">G66-F66</f>
        <v>1.047469084113057E-2</v>
      </c>
      <c r="O66" s="1383" cm="1">
        <f t="array" aca="1" ref="O66" ca="1">INDIRECT("'※ 영업품질 세부데이터'!"&amp;O$1&amp;$T66, TRUE)</f>
        <v>-1.962809917355372E-2</v>
      </c>
      <c r="P66" s="1384" cm="1">
        <f t="array" aca="1" ref="P66" ca="1">INDIRECT("'※ 영업품질 세부데이터'!"&amp;P$1&amp;$T66, TRUE)</f>
        <v>2.0266357845975681E-2</v>
      </c>
      <c r="Q66" s="1382" cm="1">
        <f t="array" aca="1" ref="Q66" ca="1">INDIRECT("'※ 영업품질 세부데이터'!"&amp;Q$1&amp;$T66, TRUE)</f>
        <v>4.9536578998539416E-5</v>
      </c>
      <c r="R66" s="1385" cm="1">
        <f t="array" aca="1" ref="R66" ca="1">INDIRECT("'※ 영업품질 세부데이터'!"&amp;R$1&amp;$T66, TRUE)</f>
        <v>2.0266357845975681E-2</v>
      </c>
      <c r="S66" s="1386" cm="1">
        <f t="array" aca="1" ref="S66" ca="1">INDIRECT("'※ 영업품질 세부데이터'!"&amp;S$1&amp;$T66, TRUE)</f>
        <v>4.9536578998539416E-5</v>
      </c>
      <c r="T66" s="978">
        <f>ROW('※ 영업품질 세부데이터'!A67)</f>
        <v>67</v>
      </c>
      <c r="U66" s="1300"/>
      <c r="V66" s="1300"/>
    </row>
    <row r="67" spans="1:22" ht="14.8" customHeight="1" x14ac:dyDescent="0.55000000000000004">
      <c r="A67" s="7474"/>
      <c r="B67" s="1379"/>
      <c r="C67" s="681" t="s">
        <v>141</v>
      </c>
      <c r="D67" s="1380" cm="1">
        <f t="array" aca="1" ref="D67" ca="1">INDIRECT("'※ 영업품질 세부데이터'!"&amp;D$1&amp;$T67, TRUE)</f>
        <v>1.7942568459115946E-2</v>
      </c>
      <c r="E67" s="1381" cm="1">
        <f t="array" aca="1" ref="E67" ca="1">INDIRECT("'※ 영업품질 세부데이터'!"&amp;E$1&amp;$T67, TRUE)</f>
        <v>2.4505183788878417E-2</v>
      </c>
      <c r="F67" s="1381" cm="1">
        <f t="array" aca="1" ref="F67" ca="1">INDIRECT("'※ 영업품질 세부데이터'!"&amp;F$1&amp;$T67, TRUE)</f>
        <v>1.5632183908045976E-2</v>
      </c>
      <c r="G67" s="1381" cm="1">
        <f t="array" aca="1" ref="G67" ca="1">INDIRECT("'※ 영업품질 세부데이터'!"&amp;G$1&amp;$T67, TRUE)</f>
        <v>1.7325017325017324E-2</v>
      </c>
      <c r="H67" s="1381" cm="1">
        <f t="array" aca="1" ref="H67" ca="1">INDIRECT("'※ 영업품질 세부데이터'!"&amp;H$1&amp;$T67, TRUE)</f>
        <v>2.3601847101077475E-2</v>
      </c>
      <c r="I67" s="1381" cm="1">
        <f t="array" aca="1" ref="I67" ca="1">INDIRECT("'※ 영업품질 세부데이터'!"&amp;I$1&amp;$T67, TRUE)</f>
        <v>1.5473887814313346E-2</v>
      </c>
      <c r="J67" s="1381" cm="1">
        <f t="array" aca="1" ref="J67" ca="1">INDIRECT("'※ 영업품질 세부데이터'!"&amp;J$1&amp;$T67, TRUE)</f>
        <v>2.1625163826998691E-2</v>
      </c>
      <c r="K67" s="6285" cm="1">
        <f t="array" aca="1" ref="K67" ca="1">INDIRECT("'※ 영업품질 세부데이터'!"&amp;K$1&amp;$T67, TRUE)</f>
        <v>1.1621150493898896E-2</v>
      </c>
      <c r="L67" s="1381" cm="1">
        <f t="array" aca="1" ref="L67" ca="1">INDIRECT("'※ 영업품질 세부데이터'!"&amp;L$1&amp;$T67, TRUE)</f>
        <v>1.1621150493898896E-2</v>
      </c>
      <c r="M67" s="1381"/>
      <c r="N67" s="1382">
        <f t="shared" ca="1" si="1"/>
        <v>1.6928334169713476E-3</v>
      </c>
      <c r="O67" s="1383" cm="1">
        <f t="array" aca="1" ref="O67" ca="1">INDIRECT("'※ 영업품질 세부데이터'!"&amp;O$1&amp;$T67, TRUE)</f>
        <v>-1.5632183908045976E-2</v>
      </c>
      <c r="P67" s="1384" cm="1">
        <f t="array" aca="1" ref="P67" ca="1">INDIRECT("'※ 영업품질 세부데이터'!"&amp;P$1&amp;$T67, TRUE)</f>
        <v>1.1621150493898896E-2</v>
      </c>
      <c r="Q67" s="1382" cm="1">
        <f t="array" aca="1" ref="Q67" ca="1">INDIRECT("'※ 영업품질 세부데이터'!"&amp;Q$1&amp;$T67, TRUE)</f>
        <v>-6.3214179652170497E-3</v>
      </c>
      <c r="R67" s="1385" cm="1">
        <f t="array" aca="1" ref="R67" ca="1">INDIRECT("'※ 영업품질 세부데이터'!"&amp;R$1&amp;$T67, TRUE)</f>
        <v>1.1621150493898896E-2</v>
      </c>
      <c r="S67" s="1386" cm="1">
        <f t="array" aca="1" ref="S67" ca="1">INDIRECT("'※ 영업품질 세부데이터'!"&amp;S$1&amp;$T67, TRUE)</f>
        <v>-6.3214179652170497E-3</v>
      </c>
      <c r="T67" s="978">
        <f>ROW('※ 영업품질 세부데이터'!A68)</f>
        <v>68</v>
      </c>
      <c r="U67" s="1300"/>
      <c r="V67" s="1300"/>
    </row>
    <row r="68" spans="1:22" ht="14.8" customHeight="1" x14ac:dyDescent="0.55000000000000004">
      <c r="A68" s="7474"/>
      <c r="B68" s="1379"/>
      <c r="C68" s="681" t="s">
        <v>142</v>
      </c>
      <c r="D68" s="1380" cm="1">
        <f t="array" aca="1" ref="D68" ca="1">INDIRECT("'※ 영업품질 세부데이터'!"&amp;D$1&amp;$T68, TRUE)</f>
        <v>2.8862711058519123E-2</v>
      </c>
      <c r="E68" s="1381" cm="1">
        <f t="array" aca="1" ref="E68" ca="1">INDIRECT("'※ 영업품질 세부데이터'!"&amp;E$1&amp;$T68, TRUE)</f>
        <v>2.391304347826087E-2</v>
      </c>
      <c r="F68" s="1381" cm="1">
        <f t="array" aca="1" ref="F68" ca="1">INDIRECT("'※ 영업품질 세부데이터'!"&amp;F$1&amp;$T68, TRUE)</f>
        <v>2.5928108426635239E-2</v>
      </c>
      <c r="G68" s="1381" cm="1">
        <f t="array" aca="1" ref="G68" ca="1">INDIRECT("'※ 영업품질 세부데이터'!"&amp;G$1&amp;$T68, TRUE)</f>
        <v>2.6984126984126985E-2</v>
      </c>
      <c r="H68" s="1381" cm="1">
        <f t="array" aca="1" ref="H68" ca="1">INDIRECT("'※ 영업품질 세부데이터'!"&amp;H$1&amp;$T68, TRUE)</f>
        <v>2.4929444967074318E-2</v>
      </c>
      <c r="I68" s="1381" cm="1">
        <f t="array" aca="1" ref="I68" ca="1">INDIRECT("'※ 영업품질 세부데이터'!"&amp;I$1&amp;$T68, TRUE)</f>
        <v>1.7843866171003718E-2</v>
      </c>
      <c r="J68" s="1381" cm="1">
        <f t="array" aca="1" ref="J68" ca="1">INDIRECT("'※ 영업품질 세부데이터'!"&amp;J$1&amp;$T68, TRUE)</f>
        <v>2.3874488403819918E-2</v>
      </c>
      <c r="K68" s="6285" cm="1">
        <f t="array" aca="1" ref="K68" ca="1">INDIRECT("'※ 영업품질 세부데이터'!"&amp;K$1&amp;$T68, TRUE)</f>
        <v>4.5303131245836112E-2</v>
      </c>
      <c r="L68" s="1381" cm="1">
        <f t="array" aca="1" ref="L68" ca="1">INDIRECT("'※ 영업품질 세부데이터'!"&amp;L$1&amp;$T68, TRUE)</f>
        <v>4.5303131245836112E-2</v>
      </c>
      <c r="M68" s="1381"/>
      <c r="N68" s="1382">
        <f t="shared" ca="1" si="1"/>
        <v>1.0560185574917461E-3</v>
      </c>
      <c r="O68" s="1383" cm="1">
        <f t="array" aca="1" ref="O68" ca="1">INDIRECT("'※ 영업품질 세부데이터'!"&amp;O$1&amp;$T68, TRUE)</f>
        <v>-2.5928108426635239E-2</v>
      </c>
      <c r="P68" s="1384" cm="1">
        <f t="array" aca="1" ref="P68" ca="1">INDIRECT("'※ 영업품질 세부데이터'!"&amp;P$1&amp;$T68, TRUE)</f>
        <v>4.5303131245836112E-2</v>
      </c>
      <c r="Q68" s="1382" cm="1">
        <f t="array" aca="1" ref="Q68" ca="1">INDIRECT("'※ 영업품질 세부데이터'!"&amp;Q$1&amp;$T68, TRUE)</f>
        <v>1.6440420187316989E-2</v>
      </c>
      <c r="R68" s="1385" cm="1">
        <f t="array" aca="1" ref="R68" ca="1">INDIRECT("'※ 영업품질 세부데이터'!"&amp;R$1&amp;$T68, TRUE)</f>
        <v>4.5303131245836112E-2</v>
      </c>
      <c r="S68" s="1386" cm="1">
        <f t="array" aca="1" ref="S68" ca="1">INDIRECT("'※ 영업품질 세부데이터'!"&amp;S$1&amp;$T68, TRUE)</f>
        <v>1.6440420187316989E-2</v>
      </c>
      <c r="T68" s="978">
        <f>ROW('※ 영업품질 세부데이터'!A69)</f>
        <v>69</v>
      </c>
      <c r="U68" s="1300"/>
      <c r="V68" s="1300"/>
    </row>
    <row r="69" spans="1:22" ht="14.8" customHeight="1" x14ac:dyDescent="0.55000000000000004">
      <c r="A69" s="7474"/>
      <c r="B69" s="1379"/>
      <c r="C69" s="673" t="s">
        <v>143</v>
      </c>
      <c r="D69" s="1380" cm="1">
        <f t="array" aca="1" ref="D69" ca="1">INDIRECT("'※ 영업품질 세부데이터'!"&amp;D$1&amp;$T69, TRUE)</f>
        <v>2.3377364705000816E-2</v>
      </c>
      <c r="E69" s="1381" cm="1">
        <f t="array" aca="1" ref="E69" ca="1">INDIRECT("'※ 영업품질 세부데이터'!"&amp;E$1&amp;$T69, TRUE)</f>
        <v>2.1097046413502109E-2</v>
      </c>
      <c r="F69" s="1381" cm="1">
        <f t="array" aca="1" ref="F69" ca="1">INDIRECT("'※ 영업품질 세부데이터'!"&amp;F$1&amp;$T69, TRUE)</f>
        <v>1.2925463162429988E-2</v>
      </c>
      <c r="G69" s="1381" cm="1">
        <f t="array" aca="1" ref="G69" ca="1">INDIRECT("'※ 영업품질 세부데이터'!"&amp;G$1&amp;$T69, TRUE)</f>
        <v>2.6747720364741642E-2</v>
      </c>
      <c r="H69" s="1381" cm="1">
        <f t="array" aca="1" ref="H69" ca="1">INDIRECT("'※ 영업품질 세부데이터'!"&amp;H$1&amp;$T69, TRUE)</f>
        <v>2.7629233511586453E-2</v>
      </c>
      <c r="I69" s="1381" cm="1">
        <f t="array" aca="1" ref="I69" ca="1">INDIRECT("'※ 영업품질 세부데이터'!"&amp;I$1&amp;$T69, TRUE)</f>
        <v>1.4174822814714817E-2</v>
      </c>
      <c r="J69" s="1381" cm="1">
        <f t="array" aca="1" ref="J69" ca="1">INDIRECT("'※ 영업품질 세부데이터'!"&amp;J$1&amp;$T69, TRUE)</f>
        <v>2.3809523809523808E-2</v>
      </c>
      <c r="K69" s="6285" cm="1">
        <f t="array" aca="1" ref="K69" ca="1">INDIRECT("'※ 영업품질 세부데이터'!"&amp;K$1&amp;$T69, TRUE)</f>
        <v>3.1118143459915613E-2</v>
      </c>
      <c r="L69" s="1381" cm="1">
        <f t="array" aca="1" ref="L69" ca="1">INDIRECT("'※ 영업품질 세부데이터'!"&amp;L$1&amp;$T69, TRUE)</f>
        <v>3.1118143459915613E-2</v>
      </c>
      <c r="M69" s="1381"/>
      <c r="N69" s="1382">
        <f t="shared" ca="1" si="1"/>
        <v>1.3822257202311655E-2</v>
      </c>
      <c r="O69" s="1383" cm="1">
        <f t="array" aca="1" ref="O69" ca="1">INDIRECT("'※ 영업품질 세부데이터'!"&amp;O$1&amp;$T69, TRUE)</f>
        <v>-1.2925463162429988E-2</v>
      </c>
      <c r="P69" s="1384" cm="1">
        <f t="array" aca="1" ref="P69" ca="1">INDIRECT("'※ 영업품질 세부데이터'!"&amp;P$1&amp;$T69, TRUE)</f>
        <v>3.1118143459915613E-2</v>
      </c>
      <c r="Q69" s="1382" cm="1">
        <f t="array" aca="1" ref="Q69" ca="1">INDIRECT("'※ 영업품질 세부데이터'!"&amp;Q$1&amp;$T69, TRUE)</f>
        <v>7.7407787549147976E-3</v>
      </c>
      <c r="R69" s="1385" cm="1">
        <f t="array" aca="1" ref="R69" ca="1">INDIRECT("'※ 영업품질 세부데이터'!"&amp;R$1&amp;$T69, TRUE)</f>
        <v>3.1118143459915613E-2</v>
      </c>
      <c r="S69" s="1386" cm="1">
        <f t="array" aca="1" ref="S69" ca="1">INDIRECT("'※ 영업품질 세부데이터'!"&amp;S$1&amp;$T69, TRUE)</f>
        <v>7.7407787549147976E-3</v>
      </c>
      <c r="T69" s="978">
        <f>ROW('※ 영업품질 세부데이터'!A70)</f>
        <v>70</v>
      </c>
      <c r="U69" s="1300"/>
      <c r="V69" s="1300"/>
    </row>
    <row r="70" spans="1:22" ht="14.8" customHeight="1" x14ac:dyDescent="0.55000000000000004">
      <c r="A70" s="7474"/>
      <c r="B70" s="1379"/>
      <c r="C70" s="673" t="s">
        <v>144</v>
      </c>
      <c r="D70" s="1380" cm="1">
        <f t="array" aca="1" ref="D70" ca="1">INDIRECT("'※ 영업품질 세부데이터'!"&amp;D$1&amp;$T70, TRUE)</f>
        <v>3.5033562196994841E-2</v>
      </c>
      <c r="E70" s="1381" cm="1">
        <f t="array" aca="1" ref="E70" ca="1">INDIRECT("'※ 영업품질 세부데이터'!"&amp;E$1&amp;$T70, TRUE)</f>
        <v>3.2886723507917173E-2</v>
      </c>
      <c r="F70" s="1381" cm="1">
        <f t="array" aca="1" ref="F70" ca="1">INDIRECT("'※ 영업품질 세부데이터'!"&amp;F$1&amp;$T70, TRUE)</f>
        <v>3.0816640986132512E-2</v>
      </c>
      <c r="G70" s="1381" cm="1">
        <f t="array" aca="1" ref="G70" ca="1">INDIRECT("'※ 영업품질 세부데이터'!"&amp;G$1&amp;$T70, TRUE)</f>
        <v>3.214285714285714E-2</v>
      </c>
      <c r="H70" s="1381" cm="1">
        <f t="array" aca="1" ref="H70" ca="1">INDIRECT("'※ 영업품질 세부데이터'!"&amp;H$1&amp;$T70, TRUE)</f>
        <v>3.572643756379721E-2</v>
      </c>
      <c r="I70" s="1381" cm="1">
        <f t="array" aca="1" ref="I70" ca="1">INDIRECT("'※ 영업품질 세부데이터'!"&amp;I$1&amp;$T70, TRUE)</f>
        <v>3.0333928116237575E-2</v>
      </c>
      <c r="J70" s="1381" cm="1">
        <f t="array" aca="1" ref="J70" ca="1">INDIRECT("'※ 영업품질 세부데이터'!"&amp;J$1&amp;$T70, TRUE)</f>
        <v>3.6794766966475878E-2</v>
      </c>
      <c r="K70" s="6285" cm="1">
        <f t="array" aca="1" ref="K70" ca="1">INDIRECT("'※ 영업품질 세부데이터'!"&amp;K$1&amp;$T70, TRUE)</f>
        <v>4.4685990338164248E-2</v>
      </c>
      <c r="L70" s="1381" cm="1">
        <f t="array" aca="1" ref="L70" ca="1">INDIRECT("'※ 영업품질 세부데이터'!"&amp;L$1&amp;$T70, TRUE)</f>
        <v>4.4685990338164248E-2</v>
      </c>
      <c r="M70" s="1381"/>
      <c r="N70" s="1382">
        <f t="shared" ca="1" si="1"/>
        <v>1.3262161567246279E-3</v>
      </c>
      <c r="O70" s="1383" cm="1">
        <f t="array" aca="1" ref="O70" ca="1">INDIRECT("'※ 영업품질 세부데이터'!"&amp;O$1&amp;$T70, TRUE)</f>
        <v>-3.0816640986132512E-2</v>
      </c>
      <c r="P70" s="1384" cm="1">
        <f t="array" aca="1" ref="P70" ca="1">INDIRECT("'※ 영업품질 세부데이터'!"&amp;P$1&amp;$T70, TRUE)</f>
        <v>4.4685990338164248E-2</v>
      </c>
      <c r="Q70" s="1382" cm="1">
        <f t="array" aca="1" ref="Q70" ca="1">INDIRECT("'※ 영업품질 세부데이터'!"&amp;Q$1&amp;$T70, TRUE)</f>
        <v>9.6524281411694071E-3</v>
      </c>
      <c r="R70" s="1385" cm="1">
        <f t="array" aca="1" ref="R70" ca="1">INDIRECT("'※ 영업품질 세부데이터'!"&amp;R$1&amp;$T70, TRUE)</f>
        <v>4.4685990338164248E-2</v>
      </c>
      <c r="S70" s="1386" cm="1">
        <f t="array" aca="1" ref="S70" ca="1">INDIRECT("'※ 영업품질 세부데이터'!"&amp;S$1&amp;$T70, TRUE)</f>
        <v>9.6524281411694071E-3</v>
      </c>
      <c r="T70" s="978">
        <f>ROW('※ 영업품질 세부데이터'!A71)</f>
        <v>71</v>
      </c>
      <c r="U70" s="1300"/>
      <c r="V70" s="1300"/>
    </row>
    <row r="71" spans="1:22" ht="14.8" customHeight="1" x14ac:dyDescent="0.55000000000000004">
      <c r="A71" s="7474"/>
      <c r="B71" s="1379"/>
      <c r="C71" s="673" t="s">
        <v>145</v>
      </c>
      <c r="D71" s="1380" cm="1">
        <f t="array" aca="1" ref="D71" ca="1">INDIRECT("'※ 영업품질 세부데이터'!"&amp;D$1&amp;$T71, TRUE)</f>
        <v>2.7505222642985619E-2</v>
      </c>
      <c r="E71" s="1381" cm="1">
        <f t="array" aca="1" ref="E71" ca="1">INDIRECT("'※ 영업품질 세부데이터'!"&amp;E$1&amp;$T71, TRUE)</f>
        <v>2.2914757103574702E-2</v>
      </c>
      <c r="F71" s="1381" cm="1">
        <f t="array" aca="1" ref="F71" ca="1">INDIRECT("'※ 영업품질 세부데이터'!"&amp;F$1&amp;$T71, TRUE)</f>
        <v>1.405152224824356E-2</v>
      </c>
      <c r="G71" s="1381" cm="1">
        <f t="array" aca="1" ref="G71" ca="1">INDIRECT("'※ 영업품질 세부데이터'!"&amp;G$1&amp;$T71, TRUE)</f>
        <v>3.2235939643347047E-2</v>
      </c>
      <c r="H71" s="1381" cm="1">
        <f t="array" aca="1" ref="H71" ca="1">INDIRECT("'※ 영업품질 세부데이터'!"&amp;H$1&amp;$T71, TRUE)</f>
        <v>2.692713833157339E-2</v>
      </c>
      <c r="I71" s="1381" cm="1">
        <f t="array" aca="1" ref="I71" ca="1">INDIRECT("'※ 영업품질 세부데이터'!"&amp;I$1&amp;$T71, TRUE)</f>
        <v>2.5758205234732032E-2</v>
      </c>
      <c r="J71" s="1381" cm="1">
        <f t="array" aca="1" ref="J71" ca="1">INDIRECT("'※ 영업품질 세부데이터'!"&amp;J$1&amp;$T71, TRUE)</f>
        <v>2.4346793349168647E-2</v>
      </c>
      <c r="K71" s="6285" cm="1">
        <f t="array" aca="1" ref="K71" ca="1">INDIRECT("'※ 영업품질 세부데이터'!"&amp;K$1&amp;$T71, TRUE)</f>
        <v>1.9503546099290781E-2</v>
      </c>
      <c r="L71" s="1381" cm="1">
        <f t="array" aca="1" ref="L71" ca="1">INDIRECT("'※ 영업품질 세부데이터'!"&amp;L$1&amp;$T71, TRUE)</f>
        <v>1.9503546099290781E-2</v>
      </c>
      <c r="M71" s="1381"/>
      <c r="N71" s="1382">
        <f t="shared" ca="1" si="1"/>
        <v>1.8184417395103486E-2</v>
      </c>
      <c r="O71" s="1383" cm="1">
        <f t="array" aca="1" ref="O71" ca="1">INDIRECT("'※ 영업품질 세부데이터'!"&amp;O$1&amp;$T71, TRUE)</f>
        <v>-1.405152224824356E-2</v>
      </c>
      <c r="P71" s="1384" cm="1">
        <f t="array" aca="1" ref="P71" ca="1">INDIRECT("'※ 영업품질 세부데이터'!"&amp;P$1&amp;$T71, TRUE)</f>
        <v>1.9503546099290781E-2</v>
      </c>
      <c r="Q71" s="1382" cm="1">
        <f t="array" aca="1" ref="Q71" ca="1">INDIRECT("'※ 영업품질 세부데이터'!"&amp;Q$1&amp;$T71, TRUE)</f>
        <v>-8.0016765436948384E-3</v>
      </c>
      <c r="R71" s="1385" cm="1">
        <f t="array" aca="1" ref="R71" ca="1">INDIRECT("'※ 영업품질 세부데이터'!"&amp;R$1&amp;$T71, TRUE)</f>
        <v>1.9503546099290781E-2</v>
      </c>
      <c r="S71" s="1386" cm="1">
        <f t="array" aca="1" ref="S71" ca="1">INDIRECT("'※ 영업품질 세부데이터'!"&amp;S$1&amp;$T71, TRUE)</f>
        <v>-8.0016765436948384E-3</v>
      </c>
      <c r="T71" s="978">
        <f>ROW('※ 영업품질 세부데이터'!A72)</f>
        <v>72</v>
      </c>
      <c r="U71" s="1300"/>
      <c r="V71" s="1300"/>
    </row>
    <row r="72" spans="1:22" ht="14.8" customHeight="1" x14ac:dyDescent="0.55000000000000004">
      <c r="A72" s="7474"/>
      <c r="B72" s="1379"/>
      <c r="C72" s="673" t="s">
        <v>146</v>
      </c>
      <c r="D72" s="1380" cm="1">
        <f t="array" aca="1" ref="D72" ca="1">INDIRECT("'※ 영업품질 세부데이터'!"&amp;D$1&amp;$T72, TRUE)</f>
        <v>1.422223984804283E-2</v>
      </c>
      <c r="E72" s="1381" cm="1">
        <f t="array" aca="1" ref="E72" ca="1">INDIRECT("'※ 영업품질 세부데이터'!"&amp;E$1&amp;$T72, TRUE)</f>
        <v>1.9425019425019424E-2</v>
      </c>
      <c r="F72" s="1381" cm="1">
        <f t="array" aca="1" ref="F72" ca="1">INDIRECT("'※ 영업품질 세부데이터'!"&amp;F$1&amp;$T72, TRUE)</f>
        <v>1.1141222523336344E-2</v>
      </c>
      <c r="G72" s="1381" cm="1">
        <f t="array" aca="1" ref="G72" ca="1">INDIRECT("'※ 영업품질 세부데이터'!"&amp;G$1&amp;$T72, TRUE)</f>
        <v>1.4222222222222223E-2</v>
      </c>
      <c r="H72" s="1381" cm="1">
        <f t="array" aca="1" ref="H72" ca="1">INDIRECT("'※ 영업품질 세부데이터'!"&amp;H$1&amp;$T72, TRUE)</f>
        <v>1.1785714285714287E-2</v>
      </c>
      <c r="I72" s="1381" cm="1">
        <f t="array" aca="1" ref="I72" ca="1">INDIRECT("'※ 영업품질 세부데이터'!"&amp;I$1&amp;$T72, TRUE)</f>
        <v>1.3888888888888888E-2</v>
      </c>
      <c r="J72" s="1381" cm="1">
        <f t="array" aca="1" ref="J72" ca="1">INDIRECT("'※ 영업품질 세부데이터'!"&amp;J$1&amp;$T72, TRUE)</f>
        <v>1.6799292661361626E-2</v>
      </c>
      <c r="K72" s="6285" cm="1">
        <f t="array" aca="1" ref="K72" ca="1">INDIRECT("'※ 영업품질 세부데이터'!"&amp;K$1&amp;$T72, TRUE)</f>
        <v>9.6882898062342036E-3</v>
      </c>
      <c r="L72" s="1381" cm="1">
        <f t="array" aca="1" ref="L72" ca="1">INDIRECT("'※ 영업품질 세부데이터'!"&amp;L$1&amp;$T72, TRUE)</f>
        <v>9.6882898062342036E-3</v>
      </c>
      <c r="M72" s="1381"/>
      <c r="N72" s="1382">
        <f t="shared" ca="1" si="1"/>
        <v>3.0809996988858789E-3</v>
      </c>
      <c r="O72" s="1383" cm="1">
        <f t="array" aca="1" ref="O72" ca="1">INDIRECT("'※ 영업품질 세부데이터'!"&amp;O$1&amp;$T72, TRUE)</f>
        <v>-1.1141222523336344E-2</v>
      </c>
      <c r="P72" s="1384" cm="1">
        <f t="array" aca="1" ref="P72" ca="1">INDIRECT("'※ 영업품질 세부데이터'!"&amp;P$1&amp;$T72, TRUE)</f>
        <v>9.6882898062342036E-3</v>
      </c>
      <c r="Q72" s="1382" cm="1">
        <f t="array" aca="1" ref="Q72" ca="1">INDIRECT("'※ 영업품질 세부데이터'!"&amp;Q$1&amp;$T72, TRUE)</f>
        <v>-4.5339500418086261E-3</v>
      </c>
      <c r="R72" s="1385" cm="1">
        <f t="array" aca="1" ref="R72" ca="1">INDIRECT("'※ 영업품질 세부데이터'!"&amp;R$1&amp;$T72, TRUE)</f>
        <v>9.6882898062342036E-3</v>
      </c>
      <c r="S72" s="1386" cm="1">
        <f t="array" aca="1" ref="S72" ca="1">INDIRECT("'※ 영업품질 세부데이터'!"&amp;S$1&amp;$T72, TRUE)</f>
        <v>-4.5339500418086261E-3</v>
      </c>
      <c r="T72" s="978">
        <f>ROW('※ 영업품질 세부데이터'!A73)</f>
        <v>73</v>
      </c>
      <c r="U72" s="1300"/>
      <c r="V72" s="1300"/>
    </row>
    <row r="73" spans="1:22" ht="14.8" customHeight="1" x14ac:dyDescent="0.55000000000000004">
      <c r="A73" s="7474"/>
      <c r="B73" s="1379"/>
      <c r="C73" s="673" t="s">
        <v>147</v>
      </c>
      <c r="D73" s="1380" cm="1">
        <f t="array" aca="1" ref="D73" ca="1">INDIRECT("'※ 영업품질 세부데이터'!"&amp;D$1&amp;$T73, TRUE)</f>
        <v>3.1040676339990077E-2</v>
      </c>
      <c r="E73" s="1381" cm="1">
        <f t="array" aca="1" ref="E73" ca="1">INDIRECT("'※ 영업품질 세부데이터'!"&amp;E$1&amp;$T73, TRUE)</f>
        <v>3.3948339483394832E-2</v>
      </c>
      <c r="F73" s="1381" cm="1">
        <f t="array" aca="1" ref="F73" ca="1">INDIRECT("'※ 영업품질 세부데이터'!"&amp;F$1&amp;$T73, TRUE)</f>
        <v>2.0161290322580645E-2</v>
      </c>
      <c r="G73" s="1381" cm="1">
        <f t="array" aca="1" ref="G73" ca="1">INDIRECT("'※ 영업품질 세부데이터'!"&amp;G$1&amp;$T73, TRUE)</f>
        <v>3.4778465936160075E-2</v>
      </c>
      <c r="H73" s="1381" cm="1">
        <f t="array" aca="1" ref="H73" ca="1">INDIRECT("'※ 영업품질 세부데이터'!"&amp;H$1&amp;$T73, TRUE)</f>
        <v>2.9045643153526972E-2</v>
      </c>
      <c r="I73" s="1381" cm="1">
        <f t="array" aca="1" ref="I73" ca="1">INDIRECT("'※ 영업품질 세부데이터'!"&amp;I$1&amp;$T73, TRUE)</f>
        <v>3.456E-2</v>
      </c>
      <c r="J73" s="1381" cm="1">
        <f t="array" aca="1" ref="J73" ca="1">INDIRECT("'※ 영업품질 세부데이터'!"&amp;J$1&amp;$T73, TRUE)</f>
        <v>3.5474592521572389E-2</v>
      </c>
      <c r="K73" s="6285" cm="1">
        <f t="array" aca="1" ref="K73" ca="1">INDIRECT("'※ 영업품질 세부데이터'!"&amp;K$1&amp;$T73, TRUE)</f>
        <v>2.3089840470193114E-2</v>
      </c>
      <c r="L73" s="1381" cm="1">
        <f t="array" aca="1" ref="L73" ca="1">INDIRECT("'※ 영업품질 세부데이터'!"&amp;L$1&amp;$T73, TRUE)</f>
        <v>2.3089840470193114E-2</v>
      </c>
      <c r="M73" s="1381"/>
      <c r="N73" s="1382">
        <f t="shared" ca="1" si="1"/>
        <v>1.461717561357943E-2</v>
      </c>
      <c r="O73" s="1383" cm="1">
        <f t="array" aca="1" ref="O73" ca="1">INDIRECT("'※ 영업품질 세부데이터'!"&amp;O$1&amp;$T73, TRUE)</f>
        <v>-2.0161290322580645E-2</v>
      </c>
      <c r="P73" s="1384" cm="1">
        <f t="array" aca="1" ref="P73" ca="1">INDIRECT("'※ 영업품질 세부데이터'!"&amp;P$1&amp;$T73, TRUE)</f>
        <v>2.3089840470193114E-2</v>
      </c>
      <c r="Q73" s="1382" cm="1">
        <f t="array" aca="1" ref="Q73" ca="1">INDIRECT("'※ 영업품질 세부데이터'!"&amp;Q$1&amp;$T73, TRUE)</f>
        <v>-7.9508358697969635E-3</v>
      </c>
      <c r="R73" s="1385" cm="1">
        <f t="array" aca="1" ref="R73" ca="1">INDIRECT("'※ 영업품질 세부데이터'!"&amp;R$1&amp;$T73, TRUE)</f>
        <v>2.3089840470193114E-2</v>
      </c>
      <c r="S73" s="1386" cm="1">
        <f t="array" aca="1" ref="S73" ca="1">INDIRECT("'※ 영업품질 세부데이터'!"&amp;S$1&amp;$T73, TRUE)</f>
        <v>-7.9508358697969635E-3</v>
      </c>
      <c r="T73" s="978">
        <f>ROW('※ 영업품질 세부데이터'!A74)</f>
        <v>74</v>
      </c>
      <c r="U73" s="1300"/>
      <c r="V73" s="1300"/>
    </row>
    <row r="74" spans="1:22" ht="14.8" customHeight="1" x14ac:dyDescent="0.55000000000000004">
      <c r="A74" s="7474"/>
      <c r="B74" s="1379"/>
      <c r="C74" s="673" t="s">
        <v>148</v>
      </c>
      <c r="D74" s="1380" cm="1">
        <f t="array" aca="1" ref="D74" ca="1">INDIRECT("'※ 영업품질 세부데이터'!"&amp;D$1&amp;$T74, TRUE)</f>
        <v>1.6540824173963697E-2</v>
      </c>
      <c r="E74" s="1381" cm="1">
        <f t="array" aca="1" ref="E74" ca="1">INDIRECT("'※ 영업품질 세부데이터'!"&amp;E$1&amp;$T74, TRUE)</f>
        <v>1.3157894736842105E-2</v>
      </c>
      <c r="F74" s="1381" cm="1">
        <f t="array" aca="1" ref="F74" ca="1">INDIRECT("'※ 영업품질 세부데이터'!"&amp;F$1&amp;$T74, TRUE)</f>
        <v>1.4036580178647383E-2</v>
      </c>
      <c r="G74" s="1381" cm="1">
        <f t="array" aca="1" ref="G74" ca="1">INDIRECT("'※ 영업품질 세부데이터'!"&amp;G$1&amp;$T74, TRUE)</f>
        <v>1.8474374255065554E-2</v>
      </c>
      <c r="H74" s="1381" cm="1">
        <f t="array" aca="1" ref="H74" ca="1">INDIRECT("'※ 영업품질 세부데이터'!"&amp;H$1&amp;$T74, TRUE)</f>
        <v>1.2844036697247707E-2</v>
      </c>
      <c r="I74" s="1381" cm="1">
        <f t="array" aca="1" ref="I74" ca="1">INDIRECT("'※ 영업품질 세부데이터'!"&amp;I$1&amp;$T74, TRUE)</f>
        <v>1.5286171347316033E-2</v>
      </c>
      <c r="J74" s="1381" cm="1">
        <f t="array" aca="1" ref="J74" ca="1">INDIRECT("'※ 영업품질 세부데이터'!"&amp;J$1&amp;$T74, TRUE)</f>
        <v>1.5644555694618274E-2</v>
      </c>
      <c r="K74" s="6285" cm="1">
        <f t="array" aca="1" ref="K74" ca="1">INDIRECT("'※ 영업품질 세부데이터'!"&amp;K$1&amp;$T74, TRUE)</f>
        <v>1.5923566878980892E-2</v>
      </c>
      <c r="L74" s="1381" cm="1">
        <f t="array" aca="1" ref="L74" ca="1">INDIRECT("'※ 영업품질 세부데이터'!"&amp;L$1&amp;$T74, TRUE)</f>
        <v>1.5923566878980892E-2</v>
      </c>
      <c r="M74" s="1381"/>
      <c r="N74" s="1382">
        <f t="shared" ca="1" si="1"/>
        <v>4.4377940764181705E-3</v>
      </c>
      <c r="O74" s="1383" cm="1">
        <f t="array" aca="1" ref="O74" ca="1">INDIRECT("'※ 영업품질 세부데이터'!"&amp;O$1&amp;$T74, TRUE)</f>
        <v>-1.4036580178647383E-2</v>
      </c>
      <c r="P74" s="1384" cm="1">
        <f t="array" aca="1" ref="P74" ca="1">INDIRECT("'※ 영업품질 세부데이터'!"&amp;P$1&amp;$T74, TRUE)</f>
        <v>1.5923566878980892E-2</v>
      </c>
      <c r="Q74" s="1382" cm="1">
        <f t="array" aca="1" ref="Q74" ca="1">INDIRECT("'※ 영업품질 세부데이터'!"&amp;Q$1&amp;$T74, TRUE)</f>
        <v>-6.1725729498280507E-4</v>
      </c>
      <c r="R74" s="1385" cm="1">
        <f t="array" aca="1" ref="R74" ca="1">INDIRECT("'※ 영업품질 세부데이터'!"&amp;R$1&amp;$T74, TRUE)</f>
        <v>1.5923566878980892E-2</v>
      </c>
      <c r="S74" s="1386" cm="1">
        <f t="array" aca="1" ref="S74" ca="1">INDIRECT("'※ 영업품질 세부데이터'!"&amp;S$1&amp;$T74, TRUE)</f>
        <v>-6.1725729498280507E-4</v>
      </c>
      <c r="T74" s="978">
        <f>ROW('※ 영업품질 세부데이터'!A75)</f>
        <v>75</v>
      </c>
      <c r="U74" s="1300"/>
      <c r="V74" s="1300"/>
    </row>
    <row r="75" spans="1:22" ht="14.8" customHeight="1" x14ac:dyDescent="0.55000000000000004">
      <c r="A75" s="7474"/>
      <c r="B75" s="1387"/>
      <c r="C75" s="1388" t="s">
        <v>149</v>
      </c>
      <c r="D75" s="1389" cm="1">
        <f t="array" aca="1" ref="D75" ca="1">INDIRECT("'※ 영업품질 세부데이터'!"&amp;D$1&amp;$T75, TRUE)</f>
        <v>1.6336093379473979E-2</v>
      </c>
      <c r="E75" s="1390" cm="1">
        <f t="array" aca="1" ref="E75" ca="1">INDIRECT("'※ 영업품질 세부데이터'!"&amp;E$1&amp;$T75, TRUE)</f>
        <v>1.3100436681222707E-2</v>
      </c>
      <c r="F75" s="1390" cm="1">
        <f t="array" aca="1" ref="F75" ca="1">INDIRECT("'※ 영업품질 세부데이터'!"&amp;F$1&amp;$T75, TRUE)</f>
        <v>1.1189390799834231E-2</v>
      </c>
      <c r="G75" s="1390" cm="1">
        <f t="array" aca="1" ref="G75" ca="1">INDIRECT("'※ 영업품질 세부데이터'!"&amp;G$1&amp;$T75, TRUE)</f>
        <v>1.4035087719298246E-2</v>
      </c>
      <c r="H75" s="1390" cm="1">
        <f t="array" aca="1" ref="H75" ca="1">INDIRECT("'※ 영업품질 세부데이터'!"&amp;H$1&amp;$T75, TRUE)</f>
        <v>1.5864621893178214E-2</v>
      </c>
      <c r="I75" s="1390" cm="1">
        <f t="array" aca="1" ref="I75" ca="1">INDIRECT("'※ 영업품질 세부데이터'!"&amp;I$1&amp;$T75, TRUE)</f>
        <v>1.752988047808765E-2</v>
      </c>
      <c r="J75" s="1390" cm="1">
        <f t="array" aca="1" ref="J75" ca="1">INDIRECT("'※ 영업품질 세부데이터'!"&amp;J$1&amp;$T75, TRUE)</f>
        <v>1.5943877551020409E-2</v>
      </c>
      <c r="K75" s="6286" cm="1">
        <f t="array" aca="1" ref="K75" ca="1">INDIRECT("'※ 영업품질 세부데이터'!"&amp;K$1&amp;$T75, TRUE)</f>
        <v>1.7518248175182483E-2</v>
      </c>
      <c r="L75" s="1390" cm="1">
        <f t="array" aca="1" ref="L75" ca="1">INDIRECT("'※ 영업품질 세부데이터'!"&amp;L$1&amp;$T75, TRUE)</f>
        <v>1.7518248175182483E-2</v>
      </c>
      <c r="M75" s="1390"/>
      <c r="N75" s="1391">
        <f t="shared" ca="1" si="1"/>
        <v>2.8456969194640153E-3</v>
      </c>
      <c r="O75" s="1392" cm="1">
        <f t="array" aca="1" ref="O75" ca="1">INDIRECT("'※ 영업품질 세부데이터'!"&amp;O$1&amp;$T75, TRUE)</f>
        <v>-1.1189390799834231E-2</v>
      </c>
      <c r="P75" s="1393" cm="1">
        <f t="array" aca="1" ref="P75" ca="1">INDIRECT("'※ 영업품질 세부데이터'!"&amp;P$1&amp;$T75, TRUE)</f>
        <v>1.7518248175182483E-2</v>
      </c>
      <c r="Q75" s="1391" cm="1">
        <f t="array" aca="1" ref="Q75" ca="1">INDIRECT("'※ 영업품질 세부데이터'!"&amp;Q$1&amp;$T75, TRUE)</f>
        <v>1.1821547957085038E-3</v>
      </c>
      <c r="R75" s="1394" cm="1">
        <f t="array" aca="1" ref="R75" ca="1">INDIRECT("'※ 영업품질 세부데이터'!"&amp;R$1&amp;$T75, TRUE)</f>
        <v>1.7518248175182483E-2</v>
      </c>
      <c r="S75" s="1395" cm="1">
        <f t="array" aca="1" ref="S75" ca="1">INDIRECT("'※ 영업품질 세부데이터'!"&amp;S$1&amp;$T75, TRUE)</f>
        <v>1.1821547957085038E-3</v>
      </c>
      <c r="T75" s="978">
        <f>ROW('※ 영업품질 세부데이터'!A76)</f>
        <v>76</v>
      </c>
      <c r="U75" s="1300"/>
      <c r="V75" s="1300"/>
    </row>
    <row r="76" spans="1:22" ht="14.8" customHeight="1" x14ac:dyDescent="0.55000000000000004">
      <c r="A76" s="7474"/>
      <c r="B76" s="1362" t="s">
        <v>139</v>
      </c>
      <c r="C76" s="1396" t="s">
        <v>526</v>
      </c>
      <c r="D76" s="1364" cm="1">
        <f t="array" aca="1" ref="D76" ca="1">INDIRECT("'※ 영업품질 세부데이터'!"&amp;D$1&amp;$T76, TRUE)</f>
        <v>8137</v>
      </c>
      <c r="E76" s="1365" cm="1">
        <f t="array" aca="1" ref="E76" ca="1">INDIRECT("'※ 영업품질 세부데이터'!"&amp;E$1&amp;$T76, TRUE)</f>
        <v>634</v>
      </c>
      <c r="F76" s="1365" cm="1">
        <f t="array" aca="1" ref="F76" ca="1">INDIRECT("'※ 영업품질 세부데이터'!"&amp;F$1&amp;$T76, TRUE)</f>
        <v>736</v>
      </c>
      <c r="G76" s="1365" cm="1">
        <f t="array" aca="1" ref="G76" ca="1">INDIRECT("'※ 영업품질 세부데이터'!"&amp;G$1&amp;$T76, TRUE)</f>
        <v>642</v>
      </c>
      <c r="H76" s="1365" cm="1">
        <f t="array" aca="1" ref="H76" ca="1">INDIRECT("'※ 영업품질 세부데이터'!"&amp;H$1&amp;$T76, TRUE)</f>
        <v>688</v>
      </c>
      <c r="I76" s="1365" cm="1">
        <f t="array" aca="1" ref="I76" ca="1">INDIRECT("'※ 영업품질 세부데이터'!"&amp;I$1&amp;$T76, TRUE)</f>
        <v>841</v>
      </c>
      <c r="J76" s="1365" cm="1">
        <f t="array" aca="1" ref="J76" ca="1">INDIRECT("'※ 영업품질 세부데이터'!"&amp;J$1&amp;$T76, TRUE)</f>
        <v>765</v>
      </c>
      <c r="K76" s="6283" cm="1">
        <f t="array" aca="1" ref="K76" ca="1">INDIRECT("'※ 영업품질 세부데이터'!"&amp;K$1&amp;$T76, TRUE)</f>
        <v>730</v>
      </c>
      <c r="L76" s="1365" cm="1">
        <f t="array" aca="1" ref="L76" ca="1">INDIRECT("'※ 영업품질 세부데이터'!"&amp;L$1&amp;$T76, TRUE)</f>
        <v>730</v>
      </c>
      <c r="M76" s="1365"/>
      <c r="N76" s="1365">
        <f t="shared" ca="1" si="1"/>
        <v>-94</v>
      </c>
      <c r="O76" s="1366" cm="1">
        <f t="array" aca="1" ref="O76" ca="1">INDIRECT("'※ 영업품질 세부데이터'!"&amp;O$1&amp;$T76, TRUE)</f>
        <v>-736</v>
      </c>
      <c r="P76" s="1367" cm="1">
        <f t="array" aca="1" ref="P76" ca="1">INDIRECT("'※ 영업품질 세부데이터'!"&amp;P$1&amp;$T76, TRUE)</f>
        <v>730</v>
      </c>
      <c r="Q76" s="1365" cm="1">
        <f t="array" aca="1" ref="Q76" ca="1">INDIRECT("'※ 영업품질 세부데이터'!"&amp;Q$1&amp;$T76, TRUE)</f>
        <v>-640</v>
      </c>
      <c r="R76" s="1368" cm="1">
        <f t="array" aca="1" ref="R76" ca="1">INDIRECT("'※ 영업품질 세부데이터'!"&amp;R$1&amp;$T76, TRUE)</f>
        <v>730</v>
      </c>
      <c r="S76" s="1369" cm="1">
        <f t="array" aca="1" ref="S76" ca="1">INDIRECT("'※ 영업품질 세부데이터'!"&amp;S$1&amp;$T76, TRUE)</f>
        <v>51.916666666666629</v>
      </c>
      <c r="T76" s="978">
        <f>ROW('※ 영업품질 세부데이터'!A77)</f>
        <v>77</v>
      </c>
      <c r="U76" s="1300"/>
      <c r="V76" s="1300"/>
    </row>
    <row r="77" spans="1:22" ht="14.8" customHeight="1" x14ac:dyDescent="0.55000000000000004">
      <c r="A77" s="7474"/>
      <c r="B77" s="1370"/>
      <c r="C77" s="1397" t="s">
        <v>533</v>
      </c>
      <c r="D77" s="1398" cm="1">
        <f t="array" aca="1" ref="D77" ca="1">INDIRECT("'※ 영업품질 세부데이터'!"&amp;D$1&amp;$T77, TRUE)</f>
        <v>2.6762696866412805E-2</v>
      </c>
      <c r="E77" s="1399" cm="1">
        <f t="array" aca="1" ref="E77" ca="1">INDIRECT("'※ 영업품질 세부데이터'!"&amp;E$1&amp;$T77, TRUE)</f>
        <v>3.6777075236382621E-2</v>
      </c>
      <c r="F77" s="1399" cm="1">
        <f t="array" aca="1" ref="F77" ca="1">INDIRECT("'※ 영업품질 세부데이터'!"&amp;F$1&amp;$T77, TRUE)</f>
        <v>2.8395061728395062E-2</v>
      </c>
      <c r="G77" s="1399" cm="1">
        <f t="array" aca="1" ref="G77" ca="1">INDIRECT("'※ 영업품질 세부데이터'!"&amp;G$1&amp;$T77, TRUE)</f>
        <v>3.2448824867323728E-2</v>
      </c>
      <c r="H77" s="1399" cm="1">
        <f t="array" aca="1" ref="H77" ca="1">INDIRECT("'※ 영업품질 세부데이터'!"&amp;H$1&amp;$T77, TRUE)</f>
        <v>2.828133349775969E-2</v>
      </c>
      <c r="I77" s="1399" cm="1">
        <f t="array" aca="1" ref="I77" ca="1">INDIRECT("'※ 영업품질 세부데이터'!"&amp;I$1&amp;$T77, TRUE)</f>
        <v>2.3068272211098004E-2</v>
      </c>
      <c r="J77" s="1399" cm="1">
        <f t="array" aca="1" ref="J77" ca="1">INDIRECT("'※ 영업품질 세부데이터'!"&amp;J$1&amp;$T77, TRUE)</f>
        <v>2.6978417266187049E-2</v>
      </c>
      <c r="K77" s="6287" cm="1">
        <f t="array" aca="1" ref="K77" ca="1">INDIRECT("'※ 영업품질 세부데이터'!"&amp;K$1&amp;$T77, TRUE)</f>
        <v>1.9389625222449469E-2</v>
      </c>
      <c r="L77" s="1399" cm="1">
        <f t="array" aca="1" ref="L77" ca="1">INDIRECT("'※ 영업품질 세부데이터'!"&amp;L$1&amp;$T77, TRUE)</f>
        <v>1.9389625222449469E-2</v>
      </c>
      <c r="M77" s="1399"/>
      <c r="N77" s="1400">
        <f t="shared" ca="1" si="1"/>
        <v>4.0537631389286656E-3</v>
      </c>
      <c r="O77" s="1401" cm="1">
        <f t="array" aca="1" ref="O77" ca="1">INDIRECT("'※ 영업품질 세부데이터'!"&amp;O$1&amp;$T77, TRUE)</f>
        <v>-2.8395061728395062E-2</v>
      </c>
      <c r="P77" s="1402" cm="1">
        <f t="array" aca="1" ref="P77" ca="1">INDIRECT("'※ 영업품질 세부데이터'!"&amp;P$1&amp;$T77, TRUE)</f>
        <v>1.9389625222449469E-2</v>
      </c>
      <c r="Q77" s="1400" cm="1">
        <f t="array" aca="1" ref="Q77" ca="1">INDIRECT("'※ 영업품질 세부데이터'!"&amp;Q$1&amp;$T77, TRUE)</f>
        <v>-7.3730716439633359E-3</v>
      </c>
      <c r="R77" s="1403" cm="1">
        <f t="array" aca="1" ref="R77" ca="1">INDIRECT("'※ 영업품질 세부데이터'!"&amp;R$1&amp;$T77, TRUE)</f>
        <v>1.9389625222449469E-2</v>
      </c>
      <c r="S77" s="1404" cm="1">
        <f t="array" aca="1" ref="S77" ca="1">INDIRECT("'※ 영업품질 세부데이터'!"&amp;S$1&amp;$T77, TRUE)</f>
        <v>-7.3730716439633359E-3</v>
      </c>
      <c r="T77" s="978">
        <f>ROW('※ 영업품질 세부데이터'!A78)</f>
        <v>78</v>
      </c>
      <c r="U77" s="1300"/>
      <c r="V77" s="1300"/>
    </row>
    <row r="78" spans="1:22" ht="14.8" customHeight="1" x14ac:dyDescent="0.55000000000000004">
      <c r="A78" s="7474"/>
      <c r="B78" s="1379"/>
      <c r="C78" s="673" t="s">
        <v>140</v>
      </c>
      <c r="D78" s="1405" cm="1">
        <f t="array" aca="1" ref="D78" ca="1">INDIRECT("'※ 영업품질 세부데이터'!"&amp;D$1&amp;$T78, TRUE)</f>
        <v>2.6336996768692732E-2</v>
      </c>
      <c r="E78" s="1406" cm="1">
        <f t="array" aca="1" ref="E78" ca="1">INDIRECT("'※ 영업품질 세부데이터'!"&amp;E$1&amp;$T78, TRUE)</f>
        <v>3.0014292520247739E-2</v>
      </c>
      <c r="F78" s="1406" cm="1">
        <f t="array" aca="1" ref="F78" ca="1">INDIRECT("'※ 영업품질 세부데이터'!"&amp;F$1&amp;$T78, TRUE)</f>
        <v>2.3116181326928852E-2</v>
      </c>
      <c r="G78" s="1406" cm="1">
        <f t="array" aca="1" ref="G78" ca="1">INDIRECT("'※ 영업품질 세부데이터'!"&amp;G$1&amp;$T78, TRUE)</f>
        <v>3.0723905723905723E-2</v>
      </c>
      <c r="H78" s="1406" cm="1">
        <f t="array" aca="1" ref="H78" ca="1">INDIRECT("'※ 영업품질 세부데이터'!"&amp;H$1&amp;$T78, TRUE)</f>
        <v>3.3648790746582544E-2</v>
      </c>
      <c r="I78" s="1406" cm="1">
        <f t="array" aca="1" ref="I78" ca="1">INDIRECT("'※ 영업품질 세부데이터'!"&amp;I$1&amp;$T78, TRUE)</f>
        <v>2.2659256092347157E-2</v>
      </c>
      <c r="J78" s="1406" cm="1">
        <f t="array" aca="1" ref="J78" ca="1">INDIRECT("'※ 영업품질 세부데이터'!"&amp;J$1&amp;$T78, TRUE)</f>
        <v>2.5856496444731737E-2</v>
      </c>
      <c r="K78" s="6288" cm="1">
        <f t="array" aca="1" ref="K78" ca="1">INDIRECT("'※ 영업품질 세부데이터'!"&amp;K$1&amp;$T78, TRUE)</f>
        <v>3.0789825970548863E-2</v>
      </c>
      <c r="L78" s="1406" cm="1">
        <f t="array" aca="1" ref="L78" ca="1">INDIRECT("'※ 영업품질 세부데이터'!"&amp;L$1&amp;$T78, TRUE)</f>
        <v>3.0789825970548863E-2</v>
      </c>
      <c r="M78" s="1406"/>
      <c r="N78" s="1407">
        <f t="shared" ca="1" si="1"/>
        <v>7.6077243969768713E-3</v>
      </c>
      <c r="O78" s="1408" cm="1">
        <f t="array" aca="1" ref="O78" ca="1">INDIRECT("'※ 영업품질 세부데이터'!"&amp;O$1&amp;$T78, TRUE)</f>
        <v>-2.3116181326928852E-2</v>
      </c>
      <c r="P78" s="1409" cm="1">
        <f t="array" aca="1" ref="P78" ca="1">INDIRECT("'※ 영업품질 세부데이터'!"&amp;P$1&amp;$T78, TRUE)</f>
        <v>3.0789825970548863E-2</v>
      </c>
      <c r="Q78" s="1407" cm="1">
        <f t="array" aca="1" ref="Q78" ca="1">INDIRECT("'※ 영업품질 세부데이터'!"&amp;Q$1&amp;$T78, TRUE)</f>
        <v>4.4528292018561309E-3</v>
      </c>
      <c r="R78" s="1410" cm="1">
        <f t="array" aca="1" ref="R78" ca="1">INDIRECT("'※ 영업품질 세부데이터'!"&amp;R$1&amp;$T78, TRUE)</f>
        <v>3.0789825970548863E-2</v>
      </c>
      <c r="S78" s="1411" cm="1">
        <f t="array" aca="1" ref="S78" ca="1">INDIRECT("'※ 영업품질 세부데이터'!"&amp;S$1&amp;$T78, TRUE)</f>
        <v>4.4528292018561309E-3</v>
      </c>
      <c r="T78" s="978">
        <f>ROW('※ 영업품질 세부데이터'!A79)</f>
        <v>79</v>
      </c>
      <c r="U78" s="1300"/>
      <c r="V78" s="1300"/>
    </row>
    <row r="79" spans="1:22" ht="14.8" customHeight="1" x14ac:dyDescent="0.55000000000000004">
      <c r="A79" s="7474"/>
      <c r="B79" s="1379"/>
      <c r="C79" s="673" t="s">
        <v>142</v>
      </c>
      <c r="D79" s="1405" cm="1">
        <f t="array" aca="1" ref="D79" ca="1">INDIRECT("'※ 영업품질 세부데이터'!"&amp;D$1&amp;$T79, TRUE)</f>
        <v>3.04030542349987E-2</v>
      </c>
      <c r="E79" s="1406" cm="1">
        <f t="array" aca="1" ref="E79" ca="1">INDIRECT("'※ 영업품질 세부데이터'!"&amp;E$1&amp;$T79, TRUE)</f>
        <v>3.8928210313447925E-2</v>
      </c>
      <c r="F79" s="1406" cm="1">
        <f t="array" aca="1" ref="F79" ca="1">INDIRECT("'※ 영업품질 세부데이터'!"&amp;F$1&amp;$T79, TRUE)</f>
        <v>3.2334618807475526E-2</v>
      </c>
      <c r="G79" s="1406" cm="1">
        <f t="array" aca="1" ref="G79" ca="1">INDIRECT("'※ 영업품질 세부데이터'!"&amp;G$1&amp;$T79, TRUE)</f>
        <v>4.1559554413024849E-2</v>
      </c>
      <c r="H79" s="1406" cm="1">
        <f t="array" aca="1" ref="H79" ca="1">INDIRECT("'※ 영업품질 세부데이터'!"&amp;H$1&amp;$T79, TRUE)</f>
        <v>3.7485800833017793E-2</v>
      </c>
      <c r="I79" s="1406" cm="1">
        <f t="array" aca="1" ref="I79" ca="1">INDIRECT("'※ 영업품질 세부데이터'!"&amp;I$1&amp;$T79, TRUE)</f>
        <v>2.8464254192409531E-2</v>
      </c>
      <c r="J79" s="1406" cm="1">
        <f t="array" aca="1" ref="J79" ca="1">INDIRECT("'※ 영업품질 세부데이터'!"&amp;J$1&amp;$T79, TRUE)</f>
        <v>2.9808597427047379E-2</v>
      </c>
      <c r="K79" s="6288" cm="1">
        <f t="array" aca="1" ref="K79" ca="1">INDIRECT("'※ 영업품질 세부데이터'!"&amp;K$1&amp;$T79, TRUE)</f>
        <v>2.387934645999162E-2</v>
      </c>
      <c r="L79" s="1406" cm="1">
        <f t="array" aca="1" ref="L79" ca="1">INDIRECT("'※ 영업품질 세부데이터'!"&amp;L$1&amp;$T79, TRUE)</f>
        <v>2.387934645999162E-2</v>
      </c>
      <c r="M79" s="1406"/>
      <c r="N79" s="1407">
        <f t="shared" ca="1" si="1"/>
        <v>9.2249356055493226E-3</v>
      </c>
      <c r="O79" s="1408" cm="1">
        <f t="array" aca="1" ref="O79" ca="1">INDIRECT("'※ 영업품질 세부데이터'!"&amp;O$1&amp;$T79, TRUE)</f>
        <v>-3.2334618807475526E-2</v>
      </c>
      <c r="P79" s="1409" cm="1">
        <f t="array" aca="1" ref="P79" ca="1">INDIRECT("'※ 영업품질 세부데이터'!"&amp;P$1&amp;$T79, TRUE)</f>
        <v>2.387934645999162E-2</v>
      </c>
      <c r="Q79" s="1407" cm="1">
        <f t="array" aca="1" ref="Q79" ca="1">INDIRECT("'※ 영업품질 세부데이터'!"&amp;Q$1&amp;$T79, TRUE)</f>
        <v>-6.5237077750070795E-3</v>
      </c>
      <c r="R79" s="1410" cm="1">
        <f t="array" aca="1" ref="R79" ca="1">INDIRECT("'※ 영업품질 세부데이터'!"&amp;R$1&amp;$T79, TRUE)</f>
        <v>2.387934645999162E-2</v>
      </c>
      <c r="S79" s="1411" cm="1">
        <f t="array" aca="1" ref="S79" ca="1">INDIRECT("'※ 영업품질 세부데이터'!"&amp;S$1&amp;$T79, TRUE)</f>
        <v>-6.5237077750070795E-3</v>
      </c>
      <c r="T79" s="978">
        <f>ROW('※ 영업품질 세부데이터'!A80)</f>
        <v>80</v>
      </c>
      <c r="U79" s="1300"/>
      <c r="V79" s="1300"/>
    </row>
    <row r="80" spans="1:22" ht="14.8" customHeight="1" x14ac:dyDescent="0.55000000000000004">
      <c r="A80" s="7474"/>
      <c r="B80" s="1379"/>
      <c r="C80" s="673" t="s">
        <v>150</v>
      </c>
      <c r="D80" s="1405" cm="1">
        <f t="array" aca="1" ref="D80" ca="1">INDIRECT("'※ 영업품질 세부데이터'!"&amp;D$1&amp;$T80, TRUE)</f>
        <v>3.532395707965795E-2</v>
      </c>
      <c r="E80" s="1406" cm="1">
        <f t="array" aca="1" ref="E80" ca="1">INDIRECT("'※ 영업품질 세부데이터'!"&amp;E$1&amp;$T80, TRUE)</f>
        <v>6.1329588014981271E-2</v>
      </c>
      <c r="F80" s="1406" cm="1">
        <f t="array" aca="1" ref="F80" ca="1">INDIRECT("'※ 영업품질 세부데이터'!"&amp;F$1&amp;$T80, TRUE)</f>
        <v>4.3623144501666163E-2</v>
      </c>
      <c r="G80" s="1406" cm="1">
        <f t="array" aca="1" ref="G80" ca="1">INDIRECT("'※ 영업품질 세부데이터'!"&amp;G$1&amp;$T80, TRUE)</f>
        <v>4.4468160796869438E-2</v>
      </c>
      <c r="H80" s="1406" cm="1">
        <f t="array" aca="1" ref="H80" ca="1">INDIRECT("'※ 영업품질 세부데이터'!"&amp;H$1&amp;$T80, TRUE)</f>
        <v>3.3203125E-2</v>
      </c>
      <c r="I80" s="1406" cm="1">
        <f t="array" aca="1" ref="I80" ca="1">INDIRECT("'※ 영업품질 세부데이터'!"&amp;I$1&amp;$T80, TRUE)</f>
        <v>2.4329896907216497E-2</v>
      </c>
      <c r="J80" s="1406" cm="1">
        <f t="array" aca="1" ref="J80" ca="1">INDIRECT("'※ 영업품질 세부데이터'!"&amp;J$1&amp;$T80, TRUE)</f>
        <v>3.2499280989358642E-2</v>
      </c>
      <c r="K80" s="6288" cm="1">
        <f t="array" aca="1" ref="K80" ca="1">INDIRECT("'※ 영업품질 세부데이터'!"&amp;K$1&amp;$T80, TRUE)</f>
        <v>2.4572260647979613E-2</v>
      </c>
      <c r="L80" s="1406" cm="1">
        <f t="array" aca="1" ref="L80" ca="1">INDIRECT("'※ 영업품질 세부데이터'!"&amp;L$1&amp;$T80, TRUE)</f>
        <v>2.4572260647979613E-2</v>
      </c>
      <c r="M80" s="1406"/>
      <c r="N80" s="1407">
        <f t="shared" ca="1" si="1"/>
        <v>8.4501629520327554E-4</v>
      </c>
      <c r="O80" s="1408" cm="1">
        <f t="array" aca="1" ref="O80" ca="1">INDIRECT("'※ 영업품질 세부데이터'!"&amp;O$1&amp;$T80, TRUE)</f>
        <v>-4.3623144501666163E-2</v>
      </c>
      <c r="P80" s="1409" cm="1">
        <f t="array" aca="1" ref="P80" ca="1">INDIRECT("'※ 영업품질 세부데이터'!"&amp;P$1&amp;$T80, TRUE)</f>
        <v>2.4572260647979613E-2</v>
      </c>
      <c r="Q80" s="1407" cm="1">
        <f t="array" aca="1" ref="Q80" ca="1">INDIRECT("'※ 영업품질 세부데이터'!"&amp;Q$1&amp;$T80, TRUE)</f>
        <v>-1.0751696431678337E-2</v>
      </c>
      <c r="R80" s="1410" cm="1">
        <f t="array" aca="1" ref="R80" ca="1">INDIRECT("'※ 영업품질 세부데이터'!"&amp;R$1&amp;$T80, TRUE)</f>
        <v>2.4572260647979613E-2</v>
      </c>
      <c r="S80" s="1411" cm="1">
        <f t="array" aca="1" ref="S80" ca="1">INDIRECT("'※ 영업품질 세부데이터'!"&amp;S$1&amp;$T80, TRUE)</f>
        <v>-1.0751696431678337E-2</v>
      </c>
      <c r="T80" s="978">
        <f>ROW('※ 영업품질 세부데이터'!A81)</f>
        <v>81</v>
      </c>
      <c r="U80" s="1300"/>
      <c r="V80" s="1300"/>
    </row>
    <row r="81" spans="1:22" ht="14.8" customHeight="1" x14ac:dyDescent="0.55000000000000004">
      <c r="A81" s="7474"/>
      <c r="B81" s="1379"/>
      <c r="C81" s="673" t="s">
        <v>146</v>
      </c>
      <c r="D81" s="1405" cm="1">
        <f t="array" aca="1" ref="D81" ca="1">INDIRECT("'※ 영업품질 세부데이터'!"&amp;D$1&amp;$T81, TRUE)</f>
        <v>1.8127971075741049E-2</v>
      </c>
      <c r="E81" s="1406" cm="1">
        <f t="array" aca="1" ref="E81" ca="1">INDIRECT("'※ 영업품질 세부데이터'!"&amp;E$1&amp;$T81, TRUE)</f>
        <v>2.5544267053701015E-2</v>
      </c>
      <c r="F81" s="1406" cm="1">
        <f t="array" aca="1" ref="F81" ca="1">INDIRECT("'※ 영업품질 세부데이터'!"&amp;F$1&amp;$T81, TRUE)</f>
        <v>1.8514870986803229E-2</v>
      </c>
      <c r="G81" s="1406" cm="1">
        <f t="array" aca="1" ref="G81" ca="1">INDIRECT("'※ 영업품질 세부데이터'!"&amp;G$1&amp;$T81, TRUE)</f>
        <v>2.1897810218978103E-2</v>
      </c>
      <c r="H81" s="1406" cm="1">
        <f t="array" aca="1" ref="H81" ca="1">INDIRECT("'※ 영업품질 세부데이터'!"&amp;H$1&amp;$T81, TRUE)</f>
        <v>1.8802482657904344E-2</v>
      </c>
      <c r="I81" s="1406" cm="1">
        <f t="array" aca="1" ref="I81" ca="1">INDIRECT("'※ 영업품질 세부데이터'!"&amp;I$1&amp;$T81, TRUE)</f>
        <v>1.7592227911251149E-2</v>
      </c>
      <c r="J81" s="1406" cm="1">
        <f t="array" aca="1" ref="J81" ca="1">INDIRECT("'※ 영업품질 세부데이터'!"&amp;J$1&amp;$T81, TRUE)</f>
        <v>1.9702984855168356E-2</v>
      </c>
      <c r="K81" s="6288" cm="1">
        <f t="array" aca="1" ref="K81" ca="1">INDIRECT("'※ 영업품질 세부데이터'!"&amp;K$1&amp;$T81, TRUE)</f>
        <v>1.0361938120256859E-2</v>
      </c>
      <c r="L81" s="1406" cm="1">
        <f t="array" aca="1" ref="L81" ca="1">INDIRECT("'※ 영업품질 세부데이터'!"&amp;L$1&amp;$T81, TRUE)</f>
        <v>1.0361938120256859E-2</v>
      </c>
      <c r="M81" s="1406"/>
      <c r="N81" s="1407">
        <f t="shared" ca="1" si="1"/>
        <v>3.3829392321748745E-3</v>
      </c>
      <c r="O81" s="1408" cm="1">
        <f t="array" aca="1" ref="O81" ca="1">INDIRECT("'※ 영업품질 세부데이터'!"&amp;O$1&amp;$T81, TRUE)</f>
        <v>-1.8514870986803229E-2</v>
      </c>
      <c r="P81" s="1409" cm="1">
        <f t="array" aca="1" ref="P81" ca="1">INDIRECT("'※ 영업품질 세부데이터'!"&amp;P$1&amp;$T81, TRUE)</f>
        <v>1.0361938120256859E-2</v>
      </c>
      <c r="Q81" s="1407" cm="1">
        <f t="array" aca="1" ref="Q81" ca="1">INDIRECT("'※ 영업품질 세부데이터'!"&amp;Q$1&amp;$T81, TRUE)</f>
        <v>-7.7660329554841891E-3</v>
      </c>
      <c r="R81" s="1410" cm="1">
        <f t="array" aca="1" ref="R81" ca="1">INDIRECT("'※ 영업품질 세부데이터'!"&amp;R$1&amp;$T81, TRUE)</f>
        <v>1.0361938120256859E-2</v>
      </c>
      <c r="S81" s="1411" cm="1">
        <f t="array" aca="1" ref="S81" ca="1">INDIRECT("'※ 영업품질 세부데이터'!"&amp;S$1&amp;$T81, TRUE)</f>
        <v>-7.7660329554841891E-3</v>
      </c>
      <c r="T81" s="978">
        <f>ROW('※ 영업품질 세부데이터'!A82)</f>
        <v>82</v>
      </c>
      <c r="U81" s="1300"/>
      <c r="V81" s="1300"/>
    </row>
    <row r="82" spans="1:22" ht="14.8" customHeight="1" x14ac:dyDescent="0.55000000000000004">
      <c r="A82" s="7474"/>
      <c r="B82" s="1379"/>
      <c r="C82" s="673" t="s">
        <v>151</v>
      </c>
      <c r="D82" s="1405" cm="1">
        <f t="array" aca="1" ref="D82" ca="1">INDIRECT("'※ 영업품질 세부데이터'!"&amp;D$1&amp;$T82, TRUE)</f>
        <v>2.1023662931822607E-2</v>
      </c>
      <c r="E82" s="1406" cm="1">
        <f t="array" aca="1" ref="E82" ca="1">INDIRECT("'※ 영업품질 세부데이터'!"&amp;E$1&amp;$T82, TRUE)</f>
        <v>2.2410358565737053E-2</v>
      </c>
      <c r="F82" s="1406" cm="1">
        <f t="array" aca="1" ref="F82" ca="1">INDIRECT("'※ 영업품질 세부데이터'!"&amp;F$1&amp;$T82, TRUE)</f>
        <v>2.2156084656084655E-2</v>
      </c>
      <c r="G82" s="1406" cm="1">
        <f t="array" aca="1" ref="G82" ca="1">INDIRECT("'※ 영업품질 세부데이터'!"&amp;G$1&amp;$T82, TRUE)</f>
        <v>2.8492647058823529E-2</v>
      </c>
      <c r="H82" s="1406" cm="1">
        <f t="array" aca="1" ref="H82" ca="1">INDIRECT("'※ 영업품질 세부데이터'!"&amp;H$1&amp;$T82, TRUE)</f>
        <v>2.3304347826086955E-2</v>
      </c>
      <c r="I82" s="1406" cm="1">
        <f t="array" aca="1" ref="I82" ca="1">INDIRECT("'※ 영업품질 세부데이터'!"&amp;I$1&amp;$T82, TRUE)</f>
        <v>1.8155757286192068E-2</v>
      </c>
      <c r="J82" s="1406" cm="1">
        <f t="array" aca="1" ref="J82" ca="1">INDIRECT("'※ 영업품질 세부데이터'!"&amp;J$1&amp;$T82, TRUE)</f>
        <v>2.2887821418479795E-2</v>
      </c>
      <c r="K82" s="6288" cm="1">
        <f t="array" aca="1" ref="K82" ca="1">INDIRECT("'※ 영업품질 세부데이터'!"&amp;K$1&amp;$T82, TRUE)</f>
        <v>1.7293997965412006E-2</v>
      </c>
      <c r="L82" s="1406" cm="1">
        <f t="array" aca="1" ref="L82" ca="1">INDIRECT("'※ 영업품질 세부데이터'!"&amp;L$1&amp;$T82, TRUE)</f>
        <v>1.7293997965412006E-2</v>
      </c>
      <c r="M82" s="1406"/>
      <c r="N82" s="1407">
        <f t="shared" ca="1" si="1"/>
        <v>6.3365624027388739E-3</v>
      </c>
      <c r="O82" s="1408" cm="1">
        <f t="array" aca="1" ref="O82" ca="1">INDIRECT("'※ 영업품질 세부데이터'!"&amp;O$1&amp;$T82, TRUE)</f>
        <v>-2.2156084656084655E-2</v>
      </c>
      <c r="P82" s="1409" cm="1">
        <f t="array" aca="1" ref="P82" ca="1">INDIRECT("'※ 영업품질 세부데이터'!"&amp;P$1&amp;$T82, TRUE)</f>
        <v>1.7293997965412006E-2</v>
      </c>
      <c r="Q82" s="1407" cm="1">
        <f t="array" aca="1" ref="Q82" ca="1">INDIRECT("'※ 영업품질 세부데이터'!"&amp;Q$1&amp;$T82, TRUE)</f>
        <v>-3.7296649664106014E-3</v>
      </c>
      <c r="R82" s="1410" cm="1">
        <f t="array" aca="1" ref="R82" ca="1">INDIRECT("'※ 영업품질 세부데이터'!"&amp;R$1&amp;$T82, TRUE)</f>
        <v>1.7293997965412006E-2</v>
      </c>
      <c r="S82" s="1411" cm="1">
        <f t="array" aca="1" ref="S82" ca="1">INDIRECT("'※ 영업품질 세부데이터'!"&amp;S$1&amp;$T82, TRUE)</f>
        <v>-3.7296649664106014E-3</v>
      </c>
      <c r="T82" s="978">
        <f>ROW('※ 영업품질 세부데이터'!A83)</f>
        <v>83</v>
      </c>
      <c r="U82" s="1300"/>
      <c r="V82" s="1300"/>
    </row>
    <row r="83" spans="1:22" ht="14.8" customHeight="1" x14ac:dyDescent="0.55000000000000004">
      <c r="A83" s="7474"/>
      <c r="B83" s="1379"/>
      <c r="C83" s="673" t="s">
        <v>148</v>
      </c>
      <c r="D83" s="1405" cm="1">
        <f t="array" aca="1" ref="D83" ca="1">INDIRECT("'※ 영업품질 세부데이터'!"&amp;D$1&amp;$T83, TRUE)</f>
        <v>2.9176869251861148E-2</v>
      </c>
      <c r="E83" s="1406" cm="1">
        <f t="array" aca="1" ref="E83" ca="1">INDIRECT("'※ 영업품질 세부데이터'!"&amp;E$1&amp;$T83, TRUE)</f>
        <v>3.6720142602495544E-2</v>
      </c>
      <c r="F83" s="1406" cm="1">
        <f t="array" aca="1" ref="F83" ca="1">INDIRECT("'※ 영업품질 세부데이터'!"&amp;F$1&amp;$T83, TRUE)</f>
        <v>2.9754204398447608E-2</v>
      </c>
      <c r="G83" s="1406" cm="1">
        <f t="array" aca="1" ref="G83" ca="1">INDIRECT("'※ 영업품질 세부데이터'!"&amp;G$1&amp;$T83, TRUE)</f>
        <v>3.0094043887147336E-2</v>
      </c>
      <c r="H83" s="1406" cm="1">
        <f t="array" aca="1" ref="H83" ca="1">INDIRECT("'※ 영업품질 세부데이터'!"&amp;H$1&amp;$T83, TRUE)</f>
        <v>2.6175213675213676E-2</v>
      </c>
      <c r="I83" s="1406" cm="1">
        <f t="array" aca="1" ref="I83" ca="1">INDIRECT("'※ 영업품질 세부데이터'!"&amp;I$1&amp;$T83, TRUE)</f>
        <v>2.2610294117647058E-2</v>
      </c>
      <c r="J83" s="1406" cm="1">
        <f t="array" aca="1" ref="J83" ca="1">INDIRECT("'※ 영업품질 세부데이터'!"&amp;J$1&amp;$T83, TRUE)</f>
        <v>2.825361512791991E-2</v>
      </c>
      <c r="K83" s="6288" cm="1">
        <f t="array" aca="1" ref="K83" ca="1">INDIRECT("'※ 영업품질 세부데이터'!"&amp;K$1&amp;$T83, TRUE)</f>
        <v>2.1922767497988736E-2</v>
      </c>
      <c r="L83" s="1406" cm="1">
        <f t="array" aca="1" ref="L83" ca="1">INDIRECT("'※ 영업품질 세부데이터'!"&amp;L$1&amp;$T83, TRUE)</f>
        <v>2.1922767497988736E-2</v>
      </c>
      <c r="M83" s="1406"/>
      <c r="N83" s="1407">
        <f t="shared" ca="1" si="1"/>
        <v>3.3983948869972802E-4</v>
      </c>
      <c r="O83" s="1408" cm="1">
        <f t="array" aca="1" ref="O83" ca="1">INDIRECT("'※ 영업품질 세부데이터'!"&amp;O$1&amp;$T83, TRUE)</f>
        <v>-2.9754204398447608E-2</v>
      </c>
      <c r="P83" s="1409" cm="1">
        <f t="array" aca="1" ref="P83" ca="1">INDIRECT("'※ 영업품질 세부데이터'!"&amp;P$1&amp;$T83, TRUE)</f>
        <v>2.1922767497988736E-2</v>
      </c>
      <c r="Q83" s="1407" cm="1">
        <f t="array" aca="1" ref="Q83" ca="1">INDIRECT("'※ 영업품질 세부데이터'!"&amp;Q$1&amp;$T83, TRUE)</f>
        <v>-7.2541017538724113E-3</v>
      </c>
      <c r="R83" s="1410" cm="1">
        <f t="array" aca="1" ref="R83" ca="1">INDIRECT("'※ 영업품질 세부데이터'!"&amp;R$1&amp;$T83, TRUE)</f>
        <v>2.1922767497988736E-2</v>
      </c>
      <c r="S83" s="1411" cm="1">
        <f t="array" aca="1" ref="S83" ca="1">INDIRECT("'※ 영업품질 세부데이터'!"&amp;S$1&amp;$T83, TRUE)</f>
        <v>-7.2541017538724113E-3</v>
      </c>
      <c r="T83" s="978">
        <f>ROW('※ 영업품질 세부데이터'!A84)</f>
        <v>84</v>
      </c>
      <c r="U83" s="1300"/>
      <c r="V83" s="1300"/>
    </row>
    <row r="84" spans="1:22" ht="14.8" customHeight="1" x14ac:dyDescent="0.55000000000000004">
      <c r="A84" s="7474"/>
      <c r="B84" s="1412"/>
      <c r="C84" s="1413" t="s">
        <v>149</v>
      </c>
      <c r="D84" s="1414" cm="1">
        <f t="array" aca="1" ref="D84" ca="1">INDIRECT("'※ 영업품질 세부데이터'!"&amp;D$1&amp;$T84, TRUE)</f>
        <v>3.3269664035488609E-2</v>
      </c>
      <c r="E84" s="1415" cm="1">
        <f t="array" aca="1" ref="E84" ca="1">INDIRECT("'※ 영업품질 세부데이터'!"&amp;E$1&amp;$T84, TRUE)</f>
        <v>5.1794871794871793E-2</v>
      </c>
      <c r="F84" s="1415" cm="1">
        <f t="array" aca="1" ref="F84" ca="1">INDIRECT("'※ 영업품질 세부데이터'!"&amp;F$1&amp;$T84, TRUE)</f>
        <v>3.6809815950920248E-2</v>
      </c>
      <c r="G84" s="1415" cm="1">
        <f t="array" aca="1" ref="G84" ca="1">INDIRECT("'※ 영업품질 세부데이터'!"&amp;G$1&amp;$T84, TRUE)</f>
        <v>3.8167938931297711E-2</v>
      </c>
      <c r="H84" s="1415" cm="1">
        <f t="array" aca="1" ref="H84" ca="1">INDIRECT("'※ 영업품질 세부데이터'!"&amp;H$1&amp;$T84, TRUE)</f>
        <v>3.4950657894736843E-2</v>
      </c>
      <c r="I84" s="1415" cm="1">
        <f t="array" aca="1" ref="I84" ca="1">INDIRECT("'※ 영업품질 세부데이터'!"&amp;I$1&amp;$T84, TRUE)</f>
        <v>3.1798608810864527E-2</v>
      </c>
      <c r="J84" s="1415" cm="1">
        <f t="array" aca="1" ref="J84" ca="1">INDIRECT("'※ 영업품질 세부데이터'!"&amp;J$1&amp;$T84, TRUE)</f>
        <v>3.3004714959279896E-2</v>
      </c>
      <c r="K84" s="6289" cm="1">
        <f t="array" aca="1" ref="K84" ca="1">INDIRECT("'※ 영업품질 세부데이터'!"&amp;K$1&amp;$T84, TRUE)</f>
        <v>2.617637893424743E-2</v>
      </c>
      <c r="L84" s="1415" cm="1">
        <f t="array" aca="1" ref="L84" ca="1">INDIRECT("'※ 영업품질 세부데이터'!"&amp;L$1&amp;$T84, TRUE)</f>
        <v>2.617637893424743E-2</v>
      </c>
      <c r="M84" s="1415"/>
      <c r="N84" s="1416">
        <f t="shared" ca="1" si="1"/>
        <v>1.358122980377463E-3</v>
      </c>
      <c r="O84" s="1417" cm="1">
        <f t="array" aca="1" ref="O84" ca="1">INDIRECT("'※ 영업품질 세부데이터'!"&amp;O$1&amp;$T84, TRUE)</f>
        <v>-3.6809815950920248E-2</v>
      </c>
      <c r="P84" s="1418" cm="1">
        <f t="array" aca="1" ref="P84" ca="1">INDIRECT("'※ 영업품질 세부데이터'!"&amp;P$1&amp;$T84, TRUE)</f>
        <v>2.617637893424743E-2</v>
      </c>
      <c r="Q84" s="1416" cm="1">
        <f t="array" aca="1" ref="Q84" ca="1">INDIRECT("'※ 영업품질 세부데이터'!"&amp;Q$1&amp;$T84, TRUE)</f>
        <v>-7.0932851012411799E-3</v>
      </c>
      <c r="R84" s="1419" cm="1">
        <f t="array" aca="1" ref="R84" ca="1">INDIRECT("'※ 영업품질 세부데이터'!"&amp;R$1&amp;$T84, TRUE)</f>
        <v>2.617637893424743E-2</v>
      </c>
      <c r="S84" s="1420" cm="1">
        <f t="array" aca="1" ref="S84" ca="1">INDIRECT("'※ 영업품질 세부데이터'!"&amp;S$1&amp;$T84, TRUE)</f>
        <v>-7.0932851012411799E-3</v>
      </c>
      <c r="T84" s="978">
        <f>ROW('※ 영업품질 세부데이터'!A85)</f>
        <v>85</v>
      </c>
      <c r="U84" s="1300"/>
      <c r="V84" s="1300"/>
    </row>
    <row r="85" spans="1:22" ht="14.8" customHeight="1" x14ac:dyDescent="0.55000000000000004">
      <c r="A85" s="7474"/>
      <c r="B85" s="7476" t="s">
        <v>534</v>
      </c>
      <c r="C85" s="1320"/>
      <c r="D85" s="1421" cm="1">
        <f t="array" aca="1" ref="D85" ca="1">INDIRECT("'※ 영업품질 세부데이터'!"&amp;D$1&amp;$T85, TRUE)</f>
        <v>9.6108342401376404E-4</v>
      </c>
      <c r="E85" s="1422" cm="1">
        <f t="array" aca="1" ref="E85" ca="1">INDIRECT("'※ 영업품질 세부데이터'!"&amp;E$1&amp;$T85, TRUE)</f>
        <v>3.549035845262037E-4</v>
      </c>
      <c r="F85" s="1422" cm="1">
        <f t="array" aca="1" ref="F85" ca="1">INDIRECT("'※ 영업품질 세부데이터'!"&amp;F$1&amp;$T85, TRUE)</f>
        <v>1.7094747638787982E-3</v>
      </c>
      <c r="G85" s="1422" cm="1">
        <f t="array" aca="1" ref="G85" ca="1">INDIRECT("'※ 영업품질 세부데이터'!"&amp;G$1&amp;$T85, TRUE)</f>
        <v>1.4429022949017452E-3</v>
      </c>
      <c r="H85" s="1422" cm="1">
        <f t="array" aca="1" ref="H85" ca="1">INDIRECT("'※ 영업품질 세부데이터'!"&amp;H$1&amp;$T85, TRUE)</f>
        <v>9.2715999304630002E-4</v>
      </c>
      <c r="I85" s="1422" cm="1">
        <f t="array" aca="1" ref="I85" ca="1">INDIRECT("'※ 영업품질 세부데이터'!"&amp;I$1&amp;$T85, TRUE)</f>
        <v>5.6862393008918414E-4</v>
      </c>
      <c r="J85" s="1422" cm="1">
        <f t="array" aca="1" ref="J85" ca="1">INDIRECT("'※ 영업품질 세부데이터'!"&amp;J$1&amp;$T85, TRUE)</f>
        <v>5.6862393008918414E-4</v>
      </c>
      <c r="K85" s="6290" cm="1">
        <f t="array" aca="1" ref="K85" ca="1">INDIRECT("'※ 영업품질 세부데이터'!"&amp;K$1&amp;$T85, TRUE)</f>
        <v>1.2200765703226893E-3</v>
      </c>
      <c r="L85" s="1422" cm="1">
        <f t="array" aca="1" ref="L85" ca="1">INDIRECT("'※ 영업품질 세부데이터'!"&amp;L$1&amp;$T85, TRUE)</f>
        <v>1.2200765703226893E-3</v>
      </c>
      <c r="M85" s="1422"/>
      <c r="N85" s="1423">
        <f t="shared" ca="1" si="1"/>
        <v>-2.6657246897705301E-4</v>
      </c>
      <c r="O85" s="1424" cm="1">
        <f t="array" aca="1" ref="O85" ca="1">INDIRECT("'※ 영업품질 세부데이터'!"&amp;O$1&amp;$T85, TRUE)</f>
        <v>-1.7094747638787982E-3</v>
      </c>
      <c r="P85" s="1425" cm="1">
        <f t="array" aca="1" ref="P85" ca="1">INDIRECT("'※ 영업품질 세부데이터'!"&amp;P$1&amp;$T85, TRUE)</f>
        <v>1.2200765703226893E-3</v>
      </c>
      <c r="Q85" s="1423" cm="1">
        <f t="array" aca="1" ref="Q85" ca="1">INDIRECT("'※ 영업품질 세부데이터'!"&amp;Q$1&amp;$T85, TRUE)</f>
        <v>2.5899314630892527E-4</v>
      </c>
      <c r="R85" s="1426" cm="1">
        <f t="array" aca="1" ref="R85" ca="1">INDIRECT("'※ 영업품질 세부데이터'!"&amp;R$1&amp;$T85, TRUE)</f>
        <v>1.2200765703226893E-3</v>
      </c>
      <c r="S85" s="1427" cm="1">
        <f t="array" aca="1" ref="S85" ca="1">INDIRECT("'※ 영업품질 세부데이터'!"&amp;S$1&amp;$T85, TRUE)</f>
        <v>2.5899314630892527E-4</v>
      </c>
      <c r="T85" s="978">
        <f>ROW('※ 영업품질 세부데이터'!A86)</f>
        <v>86</v>
      </c>
      <c r="U85" s="1300"/>
      <c r="V85" s="1300"/>
    </row>
    <row r="86" spans="1:22" ht="14.8" customHeight="1" x14ac:dyDescent="0.55000000000000004">
      <c r="A86" s="7474"/>
      <c r="B86" s="7477"/>
      <c r="C86" s="1321" t="s">
        <v>875</v>
      </c>
      <c r="D86" s="1428" cm="1">
        <f t="array" aca="1" ref="D86" ca="1">INDIRECT("'※ 영업품질 세부데이터'!"&amp;D$1&amp;$T86, TRUE)</f>
        <v>0</v>
      </c>
      <c r="E86" s="1429" cm="1">
        <f t="array" aca="1" ref="E86" ca="1">INDIRECT("'※ 영업품질 세부데이터'!"&amp;E$1&amp;$T86, TRUE)</f>
        <v>0</v>
      </c>
      <c r="F86" s="1429" cm="1">
        <f t="array" aca="1" ref="F86" ca="1">INDIRECT("'※ 영업품질 세부데이터'!"&amp;F$1&amp;$T86, TRUE)</f>
        <v>0</v>
      </c>
      <c r="G86" s="1429" cm="1">
        <f t="array" aca="1" ref="G86" ca="1">INDIRECT("'※ 영업품질 세부데이터'!"&amp;G$1&amp;$T86, TRUE)</f>
        <v>0</v>
      </c>
      <c r="H86" s="1429" cm="1">
        <f t="array" aca="1" ref="H86" ca="1">INDIRECT("'※ 영업품질 세부데이터'!"&amp;H$1&amp;$T86, TRUE)</f>
        <v>0</v>
      </c>
      <c r="I86" s="1429" cm="1">
        <f t="array" aca="1" ref="I86" ca="1">INDIRECT("'※ 영업품질 세부데이터'!"&amp;I$1&amp;$T86, TRUE)</f>
        <v>0</v>
      </c>
      <c r="J86" s="1429" cm="1">
        <f t="array" aca="1" ref="J86" ca="1">INDIRECT("'※ 영업품질 세부데이터'!"&amp;J$1&amp;$T86, TRUE)</f>
        <v>0</v>
      </c>
      <c r="K86" s="6291" cm="1">
        <f t="array" aca="1" ref="K86" ca="1">INDIRECT("'※ 영업품질 세부데이터'!"&amp;K$1&amp;$T86, TRUE)</f>
        <v>0</v>
      </c>
      <c r="L86" s="1429" cm="1">
        <f t="array" aca="1" ref="L86" ca="1">INDIRECT("'※ 영업품질 세부데이터'!"&amp;L$1&amp;$T86, TRUE)</f>
        <v>0</v>
      </c>
      <c r="M86" s="1429"/>
      <c r="N86" s="1430">
        <f t="shared" ca="1" si="1"/>
        <v>0</v>
      </c>
      <c r="O86" s="1431" cm="1">
        <f t="array" aca="1" ref="O86" ca="1">INDIRECT("'※ 영업품질 세부데이터'!"&amp;O$1&amp;$T86, TRUE)</f>
        <v>0</v>
      </c>
      <c r="P86" s="1432" cm="1">
        <f t="array" aca="1" ref="P86" ca="1">INDIRECT("'※ 영업품질 세부데이터'!"&amp;P$1&amp;$T86, TRUE)</f>
        <v>0</v>
      </c>
      <c r="Q86" s="1430" cm="1">
        <f t="array" aca="1" ref="Q86" ca="1">INDIRECT("'※ 영업품질 세부데이터'!"&amp;Q$1&amp;$T86, TRUE)</f>
        <v>0</v>
      </c>
      <c r="R86" s="1433" cm="1">
        <f t="array" aca="1" ref="R86" ca="1">INDIRECT("'※ 영업품질 세부데이터'!"&amp;R$1&amp;$T86, TRUE)</f>
        <v>0</v>
      </c>
      <c r="S86" s="1434" cm="1">
        <f t="array" aca="1" ref="S86" ca="1">INDIRECT("'※ 영업품질 세부데이터'!"&amp;S$1&amp;$T86, TRUE)</f>
        <v>0</v>
      </c>
      <c r="T86" s="978">
        <f>ROW('※ 영업품질 세부데이터'!A87)</f>
        <v>87</v>
      </c>
      <c r="U86" s="1300"/>
      <c r="V86" s="1300"/>
    </row>
    <row r="87" spans="1:22" ht="14.8" customHeight="1" thickBot="1" x14ac:dyDescent="0.6">
      <c r="A87" s="7474"/>
      <c r="B87" s="7478"/>
      <c r="C87" s="1322" t="s">
        <v>22</v>
      </c>
      <c r="D87" s="1435" cm="1">
        <f t="array" aca="1" ref="D87" ca="1">INDIRECT("'※ 영업품질 세부데이터'!"&amp;D$1&amp;$T87, TRUE)</f>
        <v>5.9162426540481554E-3</v>
      </c>
      <c r="E87" s="1436" cm="1">
        <f t="array" aca="1" ref="E87" ca="1">INDIRECT("'※ 영업품질 세부데이터'!"&amp;E$1&amp;$T87, TRUE)</f>
        <v>2.0732550103662751E-3</v>
      </c>
      <c r="F87" s="1436" cm="1">
        <f t="array" aca="1" ref="F87" ca="1">INDIRECT("'※ 영업품질 세부데이터'!"&amp;F$1&amp;$T87, TRUE)</f>
        <v>7.3787124146836381E-3</v>
      </c>
      <c r="G87" s="1436" cm="1">
        <f t="array" aca="1" ref="G87" ca="1">INDIRECT("'※ 영업품질 세부데이터'!"&amp;G$1&amp;$T87, TRUE)</f>
        <v>5.6833558863328823E-3</v>
      </c>
      <c r="H87" s="1436" cm="1">
        <f t="array" aca="1" ref="H87" ca="1">INDIRECT("'※ 영업품질 세부데이터'!"&amp;H$1&amp;$T87, TRUE)</f>
        <v>5.3547523427041497E-3</v>
      </c>
      <c r="I87" s="1436" cm="1">
        <f t="array" aca="1" ref="I87" ca="1">INDIRECT("'※ 영업품질 세부데이터'!"&amp;I$1&amp;$T87, TRUE)</f>
        <v>5.1130247578040902E-3</v>
      </c>
      <c r="J87" s="1436" cm="1">
        <f t="array" aca="1" ref="J87" ca="1">INDIRECT("'※ 영업품질 세부데이터'!"&amp;J$1&amp;$T87, TRUE)</f>
        <v>5.6121388484722508E-3</v>
      </c>
      <c r="K87" s="6292" cm="1">
        <f t="array" aca="1" ref="K87" ca="1">INDIRECT("'※ 영업품질 세부데이터'!"&amp;K$1&amp;$T87, TRUE)</f>
        <v>6.7599067599067603E-3</v>
      </c>
      <c r="L87" s="1436" cm="1">
        <f t="array" aca="1" ref="L87" ca="1">INDIRECT("'※ 영업품질 세부데이터'!"&amp;L$1&amp;$T87, TRUE)</f>
        <v>6.7599067599067603E-3</v>
      </c>
      <c r="M87" s="1436"/>
      <c r="N87" s="1437">
        <f t="shared" ca="1" si="1"/>
        <v>-1.6953565283507558E-3</v>
      </c>
      <c r="O87" s="1438" cm="1">
        <f t="array" aca="1" ref="O87" ca="1">INDIRECT("'※ 영업품질 세부데이터'!"&amp;O$1&amp;$T87, TRUE)</f>
        <v>-7.3787124146836381E-3</v>
      </c>
      <c r="P87" s="1439" cm="1">
        <f t="array" aca="1" ref="P87" ca="1">INDIRECT("'※ 영업품질 세부데이터'!"&amp;P$1&amp;$T87, TRUE)</f>
        <v>6.7599067599067603E-3</v>
      </c>
      <c r="Q87" s="1437" cm="1">
        <f t="array" aca="1" ref="Q87" ca="1">INDIRECT("'※ 영업품질 세부데이터'!"&amp;Q$1&amp;$T87, TRUE)</f>
        <v>8.4366410585860491E-4</v>
      </c>
      <c r="R87" s="1440" cm="1">
        <f t="array" aca="1" ref="R87" ca="1">INDIRECT("'※ 영업품질 세부데이터'!"&amp;R$1&amp;$T87, TRUE)</f>
        <v>6.7599067599067603E-3</v>
      </c>
      <c r="S87" s="1441" cm="1">
        <f t="array" aca="1" ref="S87" ca="1">INDIRECT("'※ 영업품질 세부데이터'!"&amp;S$1&amp;$T87, TRUE)</f>
        <v>8.4366410585860491E-4</v>
      </c>
      <c r="T87" s="978">
        <f>ROW('※ 영업품질 세부데이터'!A88)</f>
        <v>88</v>
      </c>
      <c r="U87" s="1300"/>
      <c r="V87" s="1300"/>
    </row>
    <row r="88" spans="1:22" ht="14.8" customHeight="1" x14ac:dyDescent="0.55000000000000004">
      <c r="A88" s="7474"/>
      <c r="B88" s="1442" t="s">
        <v>539</v>
      </c>
      <c r="C88" s="1443" t="s">
        <v>535</v>
      </c>
      <c r="D88" s="1444" cm="1">
        <f t="array" aca="1" ref="D88" ca="1">INDIRECT("'※ 영업품질 세부데이터'!"&amp;D$1&amp;$T88, TRUE)</f>
        <v>509</v>
      </c>
      <c r="E88" s="1445" cm="1">
        <f t="array" aca="1" ref="E88" ca="1">INDIRECT("'※ 영업품질 세부데이터'!"&amp;E$1&amp;$T88, TRUE)</f>
        <v>37</v>
      </c>
      <c r="F88" s="1445" cm="1">
        <f t="array" aca="1" ref="F88" ca="1">INDIRECT("'※ 영업품질 세부데이터'!"&amp;F$1&amp;$T88, TRUE)</f>
        <v>59</v>
      </c>
      <c r="G88" s="1445" cm="1">
        <f t="array" aca="1" ref="G88" ca="1">INDIRECT("'※ 영업품질 세부데이터'!"&amp;G$1&amp;$T88, TRUE)</f>
        <v>37</v>
      </c>
      <c r="H88" s="1445" cm="1">
        <f t="array" aca="1" ref="H88" ca="1">INDIRECT("'※ 영업품질 세부데이터'!"&amp;H$1&amp;$T88, TRUE)</f>
        <v>22</v>
      </c>
      <c r="I88" s="1445" cm="1">
        <f t="array" aca="1" ref="I88" ca="1">INDIRECT("'※ 영업품질 세부데이터'!"&amp;I$1&amp;$T88, TRUE)</f>
        <v>55</v>
      </c>
      <c r="J88" s="1445" cm="1">
        <f t="array" aca="1" ref="J88" ca="1">INDIRECT("'※ 영업품질 세부데이터'!"&amp;J$1&amp;$T88, TRUE)</f>
        <v>69</v>
      </c>
      <c r="K88" s="6293" cm="1">
        <f t="array" aca="1" ref="K88" ca="1">INDIRECT("'※ 영업품질 세부데이터'!"&amp;K$1&amp;$T88, TRUE)</f>
        <v>0</v>
      </c>
      <c r="L88" s="1445"/>
      <c r="M88" s="1445"/>
      <c r="N88" s="1446">
        <f t="shared" ref="N88:N94" ca="1" si="2">F88-E88</f>
        <v>22</v>
      </c>
      <c r="O88" s="1447" cm="1">
        <f t="array" aca="1" ref="O88" ca="1">INDIRECT("'※ 영업품질 세부데이터'!"&amp;O$1&amp;$T88, TRUE)</f>
        <v>-59</v>
      </c>
      <c r="P88" s="1448" cm="1">
        <f t="array" aca="1" ref="P88" ca="1">INDIRECT("'※ 영업품질 세부데이터'!"&amp;P$1&amp;$T88, TRUE)</f>
        <v>0</v>
      </c>
      <c r="Q88" s="1449" cm="1">
        <f t="array" aca="1" ref="Q88" ca="1">INDIRECT("'※ 영업품질 세부데이터'!"&amp;Q$1&amp;$T88, TRUE)</f>
        <v>-96</v>
      </c>
      <c r="R88" s="1450" t="e" cm="1">
        <f t="array" aca="1" ref="R88" ca="1">INDIRECT("'※ 영업품질 세부데이터'!"&amp;R$1&amp;$T88, TRUE)</f>
        <v>#DIV/0!</v>
      </c>
      <c r="S88" s="1451" t="e" cm="1">
        <f t="array" aca="1" ref="S88" ca="1">INDIRECT("'※ 영업품질 세부데이터'!"&amp;S$1&amp;$T88, TRUE)</f>
        <v>#DIV/0!</v>
      </c>
      <c r="T88" s="978">
        <f>ROW('※ 영업품질 세부데이터'!A89)</f>
        <v>89</v>
      </c>
      <c r="U88" s="1300"/>
      <c r="V88" s="1300"/>
    </row>
    <row r="89" spans="1:22" ht="14.8" customHeight="1" x14ac:dyDescent="0.55000000000000004">
      <c r="A89" s="7474"/>
      <c r="B89" s="1452" t="s">
        <v>1024</v>
      </c>
      <c r="C89" s="1453" t="s">
        <v>536</v>
      </c>
      <c r="D89" s="1454" cm="1">
        <f t="array" aca="1" ref="D89" ca="1">INDIRECT("'※ 영업품질 세부데이터'!"&amp;D$1&amp;$T89, TRUE)</f>
        <v>111292</v>
      </c>
      <c r="E89" s="1455" cm="1">
        <f t="array" aca="1" ref="E89" ca="1">INDIRECT("'※ 영업품질 세부데이터'!"&amp;E$1&amp;$T89, TRUE)</f>
        <v>6785</v>
      </c>
      <c r="F89" s="1455" cm="1">
        <f t="array" aca="1" ref="F89" ca="1">INDIRECT("'※ 영업품질 세부데이터'!"&amp;F$1&amp;$T89, TRUE)</f>
        <v>10150</v>
      </c>
      <c r="G89" s="1455" cm="1">
        <f t="array" aca="1" ref="G89" ca="1">INDIRECT("'※ 영업품질 세부데이터'!"&amp;G$1&amp;$T89, TRUE)</f>
        <v>8741</v>
      </c>
      <c r="H89" s="1455" cm="1">
        <f t="array" aca="1" ref="H89" ca="1">INDIRECT("'※ 영업품질 세부데이터'!"&amp;H$1&amp;$T89, TRUE)</f>
        <v>9631</v>
      </c>
      <c r="I89" s="1455" cm="1">
        <f t="array" aca="1" ref="I89" ca="1">INDIRECT("'※ 영업품질 세부데이터'!"&amp;I$1&amp;$T89, TRUE)</f>
        <v>16790</v>
      </c>
      <c r="J89" s="1455" cm="1">
        <f t="array" aca="1" ref="J89" ca="1">INDIRECT("'※ 영업품질 세부데이터'!"&amp;J$1&amp;$T89, TRUE)</f>
        <v>11328</v>
      </c>
      <c r="K89" s="6294" cm="1">
        <f t="array" aca="1" ref="K89" ca="1">INDIRECT("'※ 영업품질 세부데이터'!"&amp;K$1&amp;$T89, TRUE)</f>
        <v>0</v>
      </c>
      <c r="L89" s="1455"/>
      <c r="M89" s="1455"/>
      <c r="N89" s="1357">
        <f ca="1">F89-E89</f>
        <v>3365</v>
      </c>
      <c r="O89" s="1358" cm="1">
        <f t="array" aca="1" ref="O89" ca="1">INDIRECT("'※ 영업품질 세부데이터'!"&amp;O$1&amp;$T89, TRUE)</f>
        <v>-10150</v>
      </c>
      <c r="P89" s="1456" cm="1">
        <f t="array" aca="1" ref="P89" ca="1">INDIRECT("'※ 영업품질 세부데이터'!"&amp;P$1&amp;$T89, TRUE)</f>
        <v>0</v>
      </c>
      <c r="Q89" s="1457" cm="1">
        <f t="array" aca="1" ref="Q89" ca="1">INDIRECT("'※ 영업품질 세부데이터'!"&amp;Q$1&amp;$T89, TRUE)</f>
        <v>-16935</v>
      </c>
      <c r="R89" s="1458" t="e" cm="1">
        <f t="array" aca="1" ref="R89" ca="1">INDIRECT("'※ 영업품질 세부데이터'!"&amp;R$1&amp;$T89, TRUE)</f>
        <v>#DIV/0!</v>
      </c>
      <c r="S89" s="1459" t="e" cm="1">
        <f t="array" aca="1" ref="S89" ca="1">INDIRECT("'※ 영업품질 세부데이터'!"&amp;S$1&amp;$T89, TRUE)</f>
        <v>#DIV/0!</v>
      </c>
      <c r="T89" s="978">
        <f>ROW('※ 영업품질 세부데이터'!A90)</f>
        <v>90</v>
      </c>
      <c r="U89" s="1300"/>
      <c r="V89" s="1300"/>
    </row>
    <row r="90" spans="1:22" ht="14.8" customHeight="1" x14ac:dyDescent="0.55000000000000004">
      <c r="A90" s="7474"/>
      <c r="B90" s="1346"/>
      <c r="C90" s="1460" t="s">
        <v>537</v>
      </c>
      <c r="D90" s="1348" cm="1">
        <f t="array" aca="1" ref="D90" ca="1">INDIRECT("'※ 영업품질 세부데이터'!"&amp;D$1&amp;$T90, TRUE)</f>
        <v>4.8343217570244144E-3</v>
      </c>
      <c r="E90" s="1349" cm="1">
        <f t="array" aca="1" ref="E90" ca="1">INDIRECT("'※ 영업품질 세부데이터'!"&amp;E$1&amp;$T90, TRUE)</f>
        <v>6.1901252763448787E-3</v>
      </c>
      <c r="F90" s="1349" cm="1">
        <f t="array" aca="1" ref="F90" ca="1">INDIRECT("'※ 영업품질 세부데이터'!"&amp;F$1&amp;$T90, TRUE)</f>
        <v>6.0098522167487687E-3</v>
      </c>
      <c r="G90" s="1349" cm="1">
        <f t="array" aca="1" ref="G90" ca="1">INDIRECT("'※ 영업품질 세부데이터'!"&amp;G$1&amp;$T90, TRUE)</f>
        <v>4.23292529458872E-3</v>
      </c>
      <c r="H90" s="1349" cm="1">
        <f t="array" aca="1" ref="H90" ca="1">INDIRECT("'※ 영업품질 세부데이터'!"&amp;H$1&amp;$T90, TRUE)</f>
        <v>2.2842903125324474E-3</v>
      </c>
      <c r="I90" s="1349" cm="1">
        <f t="array" aca="1" ref="I90" ca="1">INDIRECT("'※ 영업품질 세부데이터'!"&amp;I$1&amp;$T90, TRUE)</f>
        <v>3.2757593805836809E-3</v>
      </c>
      <c r="J90" s="1349" cm="1">
        <f t="array" aca="1" ref="J90" ca="1">INDIRECT("'※ 영업품질 세부데이터'!"&amp;J$1&amp;$T90, TRUE)</f>
        <v>6.0911016949152545E-3</v>
      </c>
      <c r="K90" s="6281" t="e" cm="1">
        <f t="array" aca="1" ref="K90" ca="1">INDIRECT("'※ 영업품질 세부데이터'!"&amp;K$1&amp;$T90, TRUE)</f>
        <v>#DIV/0!</v>
      </c>
      <c r="L90" s="1349"/>
      <c r="M90" s="1349"/>
      <c r="N90" s="1350">
        <f t="shared" ca="1" si="2"/>
        <v>-1.8027305959611006E-4</v>
      </c>
      <c r="O90" s="1351" cm="1">
        <f t="array" aca="1" ref="O90" ca="1">INDIRECT("'※ 영업품질 세부데이터'!"&amp;O$1&amp;$T90, TRUE)</f>
        <v>-6.0098522167487687E-3</v>
      </c>
      <c r="P90" s="1352" t="e" cm="1">
        <f t="array" aca="1" ref="P90" ca="1">INDIRECT("'※ 영업품질 세부데이터'!"&amp;P$1&amp;$T90, TRUE)</f>
        <v>#DIV/0!</v>
      </c>
      <c r="Q90" s="1350" t="e" cm="1">
        <f t="array" aca="1" ref="Q90" ca="1">INDIRECT("'※ 영업품질 세부데이터'!"&amp;Q$1&amp;$T90, TRUE)</f>
        <v>#DIV/0!</v>
      </c>
      <c r="R90" s="1461" t="e" cm="1">
        <f t="array" aca="1" ref="R90" ca="1">INDIRECT("'※ 영업품질 세부데이터'!"&amp;R$1&amp;$T90, TRUE)</f>
        <v>#DIV/0!</v>
      </c>
      <c r="S90" s="1354" t="e" cm="1">
        <f t="array" aca="1" ref="S90" ca="1">INDIRECT("'※ 영업품질 세부데이터'!"&amp;S$1&amp;$T90, TRUE)</f>
        <v>#DIV/0!</v>
      </c>
      <c r="T90" s="978">
        <f>ROW('※ 영업품질 세부데이터'!A91)</f>
        <v>91</v>
      </c>
      <c r="U90" s="1300"/>
      <c r="V90" s="1300"/>
    </row>
    <row r="91" spans="1:22" ht="14.8" customHeight="1" x14ac:dyDescent="0.55000000000000004">
      <c r="A91" s="7474"/>
      <c r="B91" s="1462"/>
      <c r="C91" s="1460" t="s">
        <v>538</v>
      </c>
      <c r="D91" s="1348" cm="1">
        <f t="array" aca="1" ref="D91" ca="1">INDIRECT("'※ 영업품질 세부데이터'!"&amp;D$1&amp;$T91, TRUE)</f>
        <v>0.11618023802925234</v>
      </c>
      <c r="E91" s="1349" cm="1">
        <f t="array" aca="1" ref="E91" ca="1">INDIRECT("'※ 영업품질 세부데이터'!"&amp;E$1&amp;$T91, TRUE)</f>
        <v>7.0116861435726208E-2</v>
      </c>
      <c r="F91" s="1349" cm="1">
        <f t="array" aca="1" ref="F91" ca="1">INDIRECT("'※ 영업품질 세부데이터'!"&amp;F$1&amp;$T91, TRUE)</f>
        <v>9.8865478119935166E-2</v>
      </c>
      <c r="G91" s="1349" cm="1">
        <f t="array" aca="1" ref="G91" ca="1">INDIRECT("'※ 영업품질 세부데이터'!"&amp;G$1&amp;$T91, TRUE)</f>
        <v>9.711286089238845E-2</v>
      </c>
      <c r="H91" s="1349" cm="1">
        <f t="array" aca="1" ref="H91" ca="1">INDIRECT("'※ 영업품질 세부데이터'!"&amp;H$1&amp;$T91, TRUE)</f>
        <v>0.14193548387096774</v>
      </c>
      <c r="I91" s="1349" cm="1">
        <f t="array" aca="1" ref="I91" ca="1">INDIRECT("'※ 영업품질 세부데이터'!"&amp;I$1&amp;$T91, TRUE)</f>
        <v>0.13924050632911392</v>
      </c>
      <c r="J91" s="1349" cm="1">
        <f t="array" aca="1" ref="J91" ca="1">INDIRECT("'※ 영업품질 세부데이터'!"&amp;J$1&amp;$T91, TRUE)</f>
        <v>0.11004784688995216</v>
      </c>
      <c r="K91" s="6281" t="e" cm="1">
        <f t="array" aca="1" ref="K91" ca="1">INDIRECT("'※ 영업품질 세부데이터'!"&amp;K$1&amp;$T91, TRUE)</f>
        <v>#DIV/0!</v>
      </c>
      <c r="L91" s="1349"/>
      <c r="M91" s="1349"/>
      <c r="N91" s="1350">
        <f t="shared" ca="1" si="2"/>
        <v>2.8748616684208958E-2</v>
      </c>
      <c r="O91" s="1351" cm="1">
        <f t="array" aca="1" ref="O91" ca="1">INDIRECT("'※ 영업품질 세부데이터'!"&amp;O$1&amp;$T91, TRUE)</f>
        <v>-9.8865478119935166E-2</v>
      </c>
      <c r="P91" s="1352" t="e" cm="1">
        <f t="array" aca="1" ref="P91" ca="1">INDIRECT("'※ 영업품질 세부데이터'!"&amp;P$1&amp;$T91, TRUE)</f>
        <v>#DIV/0!</v>
      </c>
      <c r="Q91" s="1350" t="e" cm="1">
        <f t="array" aca="1" ref="Q91" ca="1">INDIRECT("'※ 영업품질 세부데이터'!"&amp;Q$1&amp;$T91, TRUE)</f>
        <v>#DIV/0!</v>
      </c>
      <c r="R91" s="1461" t="e" cm="1">
        <f t="array" aca="1" ref="R91" ca="1">INDIRECT("'※ 영업품질 세부데이터'!"&amp;R$1&amp;$T91, TRUE)</f>
        <v>#DIV/0!</v>
      </c>
      <c r="S91" s="1354" t="e" cm="1">
        <f t="array" aca="1" ref="S91" ca="1">INDIRECT("'※ 영업품질 세부데이터'!"&amp;S$1&amp;$T91, TRUE)</f>
        <v>#DIV/0!</v>
      </c>
      <c r="T91" s="978">
        <f>ROW('※ 영업품질 세부데이터'!A92)</f>
        <v>92</v>
      </c>
      <c r="U91" s="1300"/>
      <c r="V91" s="1300"/>
    </row>
    <row r="92" spans="1:22" ht="14.8" customHeight="1" x14ac:dyDescent="0.55000000000000004">
      <c r="A92" s="7474"/>
      <c r="B92" s="1463" t="s">
        <v>138</v>
      </c>
      <c r="C92" s="1464" t="s">
        <v>136</v>
      </c>
      <c r="D92" s="1465" cm="1">
        <f t="array" aca="1" ref="D92" ca="1">INDIRECT("'※ 영업품질 세부데이터'!"&amp;D$1&amp;$T92, TRUE)</f>
        <v>418</v>
      </c>
      <c r="E92" s="1466" cm="1">
        <f t="array" aca="1" ref="E92" ca="1">INDIRECT("'※ 영업품질 세부데이터'!"&amp;E$1&amp;$T92, TRUE)</f>
        <v>37</v>
      </c>
      <c r="F92" s="1466" cm="1">
        <f t="array" aca="1" ref="F92" ca="1">INDIRECT("'※ 영업품질 세부데이터'!"&amp;F$1&amp;$T92, TRUE)</f>
        <v>59</v>
      </c>
      <c r="G92" s="1466" cm="1">
        <f t="array" aca="1" ref="G92" ca="1">INDIRECT("'※ 영업품질 세부데이터'!"&amp;G$1&amp;$T92, TRUE)</f>
        <v>35</v>
      </c>
      <c r="H92" s="1466" cm="1">
        <f t="array" aca="1" ref="H92" ca="1">INDIRECT("'※ 영업품질 세부데이터'!"&amp;H$1&amp;$T92, TRUE)</f>
        <v>22</v>
      </c>
      <c r="I92" s="1466" cm="1">
        <f t="array" aca="1" ref="I92" ca="1">INDIRECT("'※ 영업품질 세부데이터'!"&amp;I$1&amp;$T92, TRUE)</f>
        <v>39</v>
      </c>
      <c r="J92" s="1466" cm="1">
        <f t="array" aca="1" ref="J92" ca="1">INDIRECT("'※ 영업품질 세부데이터'!"&amp;J$1&amp;$T92, TRUE)</f>
        <v>54</v>
      </c>
      <c r="K92" s="6295" cm="1">
        <f t="array" aca="1" ref="K92" ca="1">INDIRECT("'※ 영업품질 세부데이터'!"&amp;K$1&amp;$T92, TRUE)</f>
        <v>0</v>
      </c>
      <c r="L92" s="1466"/>
      <c r="M92" s="1466"/>
      <c r="N92" s="1467">
        <f t="shared" ca="1" si="2"/>
        <v>22</v>
      </c>
      <c r="O92" s="1468" cm="1">
        <f t="array" aca="1" ref="O92" ca="1">INDIRECT("'※ 영업품질 세부데이터'!"&amp;O$1&amp;$T92, TRUE)</f>
        <v>-59</v>
      </c>
      <c r="P92" s="1469" cm="1">
        <f t="array" aca="1" ref="P92" ca="1">INDIRECT("'※ 영업품질 세부데이터'!"&amp;P$1&amp;$T92, TRUE)</f>
        <v>0</v>
      </c>
      <c r="Q92" s="1470" cm="1">
        <f t="array" aca="1" ref="Q92" ca="1">INDIRECT("'※ 영업품질 세부데이터'!"&amp;Q$1&amp;$T92, TRUE)</f>
        <v>-96</v>
      </c>
      <c r="R92" s="1471" t="e" cm="1">
        <f t="array" aca="1" ref="R92" ca="1">INDIRECT("'※ 영업품질 세부데이터'!"&amp;R$1&amp;$T92, TRUE)</f>
        <v>#DIV/0!</v>
      </c>
      <c r="S92" s="1472" t="e" cm="1">
        <f t="array" aca="1" ref="S92" ca="1">INDIRECT("'※ 영업품질 세부데이터'!"&amp;S$1&amp;$T92, TRUE)</f>
        <v>#DIV/0!</v>
      </c>
      <c r="T92" s="978">
        <f>ROW('※ 영업품질 세부데이터'!A93)</f>
        <v>93</v>
      </c>
      <c r="U92" s="1300"/>
      <c r="V92" s="1300"/>
    </row>
    <row r="93" spans="1:22" ht="14.8" customHeight="1" x14ac:dyDescent="0.55000000000000004">
      <c r="A93" s="7474"/>
      <c r="B93" s="1370"/>
      <c r="C93" s="1397" t="s">
        <v>533</v>
      </c>
      <c r="D93" s="1398" cm="1">
        <f t="array" aca="1" ref="D93" ca="1">INDIRECT("'※ 영업품질 세부데이터'!"&amp;D$1&amp;$T93, TRUE)</f>
        <v>7.6410233492450845E-3</v>
      </c>
      <c r="E93" s="1399" cm="1">
        <f t="array" aca="1" ref="E93" ca="1">INDIRECT("'※ 영업품질 세부데이터'!"&amp;E$1&amp;$T93, TRUE)</f>
        <v>0</v>
      </c>
      <c r="F93" s="1399" cm="1">
        <f t="array" aca="1" ref="F93" ca="1">INDIRECT("'※ 영업품질 세부데이터'!"&amp;F$1&amp;$T93, TRUE)</f>
        <v>0</v>
      </c>
      <c r="G93" s="1399" cm="1">
        <f t="array" aca="1" ref="G93" ca="1">INDIRECT("'※ 영업품질 세부데이터'!"&amp;G$1&amp;$T93, TRUE)</f>
        <v>1.9754955590237629E-3</v>
      </c>
      <c r="H93" s="1399" cm="1">
        <f t="array" aca="1" ref="H93" ca="1">INDIRECT("'※ 영업품질 세부데이터'!"&amp;H$1&amp;$T93, TRUE)</f>
        <v>8.0596518230412445E-4</v>
      </c>
      <c r="I93" s="1399" cm="1">
        <f t="array" aca="1" ref="I93" ca="1">INDIRECT("'※ 영업품질 세부데이터'!"&amp;I$1&amp;$T93, TRUE)</f>
        <v>5.1566838556128518E-3</v>
      </c>
      <c r="J93" s="1399" cm="1">
        <f t="array" aca="1" ref="J93" ca="1">INDIRECT("'※ 영업품질 세부데이터'!"&amp;J$1&amp;$T93, TRUE)</f>
        <v>1.3206162876008804E-2</v>
      </c>
      <c r="K93" s="6287" t="e" cm="1">
        <f t="array" aca="1" ref="K93" ca="1">INDIRECT("'※ 영업품질 세부데이터'!"&amp;K$1&amp;$T93, TRUE)</f>
        <v>#DIV/0!</v>
      </c>
      <c r="L93" s="1399"/>
      <c r="M93" s="1399"/>
      <c r="N93" s="1400">
        <f t="shared" ca="1" si="2"/>
        <v>0</v>
      </c>
      <c r="O93" s="1401" cm="1">
        <f t="array" aca="1" ref="O93" ca="1">INDIRECT("'※ 영업품질 세부데이터'!"&amp;O$1&amp;$T93, TRUE)</f>
        <v>0</v>
      </c>
      <c r="P93" s="1402" t="e" cm="1">
        <f t="array" aca="1" ref="P93" ca="1">INDIRECT("'※ 영업품질 세부데이터'!"&amp;P$1&amp;$T93, TRUE)</f>
        <v>#DIV/0!</v>
      </c>
      <c r="Q93" s="1400" t="e" cm="1">
        <f t="array" aca="1" ref="Q93" ca="1">INDIRECT("'※ 영업품질 세부데이터'!"&amp;Q$1&amp;$T93, TRUE)</f>
        <v>#DIV/0!</v>
      </c>
      <c r="R93" s="1403" t="e" cm="1">
        <f t="array" aca="1" ref="R93" ca="1">INDIRECT("'※ 영업품질 세부데이터'!"&amp;R$1&amp;$T93, TRUE)</f>
        <v>#DIV/0!</v>
      </c>
      <c r="S93" s="1404" t="e" cm="1">
        <f t="array" aca="1" ref="S93" ca="1">INDIRECT("'※ 영업품질 세부데이터'!"&amp;S$1&amp;$T93, TRUE)</f>
        <v>#DIV/0!</v>
      </c>
      <c r="T93" s="978">
        <f>ROW('※ 영업품질 세부데이터'!A94)</f>
        <v>94</v>
      </c>
      <c r="U93" s="1300"/>
      <c r="V93" s="1300"/>
    </row>
    <row r="94" spans="1:22" ht="14.8" customHeight="1" x14ac:dyDescent="0.55000000000000004">
      <c r="A94" s="7474"/>
      <c r="B94" s="1379"/>
      <c r="C94" s="681" t="s">
        <v>140</v>
      </c>
      <c r="D94" s="1473" cm="1">
        <f t="array" aca="1" ref="D94" ca="1">INDIRECT("'※ 영업품질 세부데이터'!"&amp;D$1&amp;$T94, TRUE)</f>
        <v>15</v>
      </c>
      <c r="E94" s="1474" cm="1">
        <f t="array" aca="1" ref="E94" ca="1">INDIRECT("'※ 영업품질 세부데이터'!"&amp;E$1&amp;$T94, TRUE)</f>
        <v>6</v>
      </c>
      <c r="F94" s="1474" cm="1">
        <f t="array" aca="1" ref="F94" ca="1">INDIRECT("'※ 영업품질 세부데이터'!"&amp;F$1&amp;$T94, TRUE)</f>
        <v>0</v>
      </c>
      <c r="G94" s="1474" cm="1">
        <f t="array" aca="1" ref="G94" ca="1">INDIRECT("'※ 영업품질 세부데이터'!"&amp;G$1&amp;$T94, TRUE)</f>
        <v>0</v>
      </c>
      <c r="H94" s="1474" cm="1">
        <f t="array" aca="1" ref="H94" ca="1">INDIRECT("'※ 영업품질 세부데이터'!"&amp;H$1&amp;$T94, TRUE)</f>
        <v>0</v>
      </c>
      <c r="I94" s="1474" cm="1">
        <f t="array" aca="1" ref="I94" ca="1">INDIRECT("'※ 영업품질 세부데이터'!"&amp;I$1&amp;$T94, TRUE)</f>
        <v>2</v>
      </c>
      <c r="J94" s="1474" cm="1">
        <f t="array" aca="1" ref="J94" ca="1">INDIRECT("'※ 영업품질 세부데이터'!"&amp;J$1&amp;$T94, TRUE)</f>
        <v>2</v>
      </c>
      <c r="K94" s="6296" cm="1">
        <f t="array" aca="1" ref="K94" ca="1">INDIRECT("'※ 영업품질 세부데이터'!"&amp;K$1&amp;$T94, TRUE)</f>
        <v>0</v>
      </c>
      <c r="L94" s="1474"/>
      <c r="M94" s="1474"/>
      <c r="N94" s="1474">
        <f t="shared" ca="1" si="2"/>
        <v>-6</v>
      </c>
      <c r="O94" s="1475" cm="1">
        <f t="array" aca="1" ref="O94" ca="1">INDIRECT("'※ 영업품질 세부데이터'!"&amp;O$1&amp;$T94, TRUE)</f>
        <v>0</v>
      </c>
      <c r="P94" s="1476" cm="1">
        <f t="array" aca="1" ref="P94" ca="1">INDIRECT("'※ 영업품질 세부데이터'!"&amp;P$1&amp;$T94, TRUE)</f>
        <v>0</v>
      </c>
      <c r="Q94" s="1474" cm="1">
        <f t="array" aca="1" ref="Q94" ca="1">INDIRECT("'※ 영업품질 세부데이터'!"&amp;Q$1&amp;$T94, TRUE)</f>
        <v>-6</v>
      </c>
      <c r="R94" s="1477" t="e" cm="1">
        <f t="array" aca="1" ref="R94" ca="1">INDIRECT("'※ 영업품질 세부데이터'!"&amp;R$1&amp;$T94, TRUE)</f>
        <v>#DIV/0!</v>
      </c>
      <c r="S94" s="1478" t="e" cm="1">
        <f t="array" aca="1" ref="S94" ca="1">INDIRECT("'※ 영업품질 세부데이터'!"&amp;S$1&amp;$T94, TRUE)</f>
        <v>#DIV/0!</v>
      </c>
      <c r="T94" s="978">
        <f>ROW('※ 영업품질 세부데이터'!A95)</f>
        <v>95</v>
      </c>
      <c r="U94" s="1300"/>
      <c r="V94" s="1300"/>
    </row>
    <row r="95" spans="1:22" ht="14.8" customHeight="1" x14ac:dyDescent="0.55000000000000004">
      <c r="A95" s="7474"/>
      <c r="B95" s="1379"/>
      <c r="C95" s="681" t="s">
        <v>141</v>
      </c>
      <c r="D95" s="1473" cm="1">
        <f t="array" aca="1" ref="D95" ca="1">INDIRECT("'※ 영업품질 세부데이터'!"&amp;D$1&amp;$T95, TRUE)</f>
        <v>24</v>
      </c>
      <c r="E95" s="1474" cm="1">
        <f t="array" aca="1" ref="E95" ca="1">INDIRECT("'※ 영업품질 세부데이터'!"&amp;E$1&amp;$T95, TRUE)</f>
        <v>2</v>
      </c>
      <c r="F95" s="1474" cm="1">
        <f t="array" aca="1" ref="F95" ca="1">INDIRECT("'※ 영업품질 세부데이터'!"&amp;F$1&amp;$T95, TRUE)</f>
        <v>2</v>
      </c>
      <c r="G95" s="1474" cm="1">
        <f t="array" aca="1" ref="G95" ca="1">INDIRECT("'※ 영업품질 세부데이터'!"&amp;G$1&amp;$T95, TRUE)</f>
        <v>0</v>
      </c>
      <c r="H95" s="1474" cm="1">
        <f t="array" aca="1" ref="H95" ca="1">INDIRECT("'※ 영업품질 세부데이터'!"&amp;H$1&amp;$T95, TRUE)</f>
        <v>8</v>
      </c>
      <c r="I95" s="1474" cm="1">
        <f t="array" aca="1" ref="I95" ca="1">INDIRECT("'※ 영업품질 세부데이터'!"&amp;I$1&amp;$T95, TRUE)</f>
        <v>4</v>
      </c>
      <c r="J95" s="1474" cm="1">
        <f t="array" aca="1" ref="J95" ca="1">INDIRECT("'※ 영업품질 세부데이터'!"&amp;J$1&amp;$T95, TRUE)</f>
        <v>2</v>
      </c>
      <c r="K95" s="6296" cm="1">
        <f t="array" aca="1" ref="K95" ca="1">INDIRECT("'※ 영업품질 세부데이터'!"&amp;K$1&amp;$T95, TRUE)</f>
        <v>0</v>
      </c>
      <c r="L95" s="1474"/>
      <c r="M95" s="1474"/>
      <c r="N95" s="1474">
        <f t="shared" ref="N95:N104" ca="1" si="3">F95-E95</f>
        <v>0</v>
      </c>
      <c r="O95" s="1475" cm="1">
        <f t="array" aca="1" ref="O95" ca="1">INDIRECT("'※ 영업품질 세부데이터'!"&amp;O$1&amp;$T95, TRUE)</f>
        <v>-2</v>
      </c>
      <c r="P95" s="1476" cm="1">
        <f t="array" aca="1" ref="P95" ca="1">INDIRECT("'※ 영업품질 세부데이터'!"&amp;P$1&amp;$T95, TRUE)</f>
        <v>0</v>
      </c>
      <c r="Q95" s="1474" cm="1">
        <f t="array" aca="1" ref="Q95" ca="1">INDIRECT("'※ 영업품질 세부데이터'!"&amp;Q$1&amp;$T95, TRUE)</f>
        <v>-4</v>
      </c>
      <c r="R95" s="1477" t="e" cm="1">
        <f t="array" aca="1" ref="R95" ca="1">INDIRECT("'※ 영업품질 세부데이터'!"&amp;R$1&amp;$T95, TRUE)</f>
        <v>#DIV/0!</v>
      </c>
      <c r="S95" s="1478" t="e" cm="1">
        <f t="array" aca="1" ref="S95" ca="1">INDIRECT("'※ 영업품질 세부데이터'!"&amp;S$1&amp;$T95, TRUE)</f>
        <v>#DIV/0!</v>
      </c>
      <c r="T95" s="978">
        <f>ROW('※ 영업품질 세부데이터'!A96)</f>
        <v>96</v>
      </c>
      <c r="U95" s="1300"/>
      <c r="V95" s="1300"/>
    </row>
    <row r="96" spans="1:22" ht="14.8" customHeight="1" x14ac:dyDescent="0.55000000000000004">
      <c r="A96" s="7474"/>
      <c r="B96" s="1379"/>
      <c r="C96" s="681" t="s">
        <v>142</v>
      </c>
      <c r="D96" s="1473" cm="1">
        <f t="array" aca="1" ref="D96" ca="1">INDIRECT("'※ 영업품질 세부데이터'!"&amp;D$1&amp;$T96, TRUE)</f>
        <v>32</v>
      </c>
      <c r="E96" s="1474" cm="1">
        <f t="array" aca="1" ref="E96" ca="1">INDIRECT("'※ 영업품질 세부데이터'!"&amp;E$1&amp;$T96, TRUE)</f>
        <v>0</v>
      </c>
      <c r="F96" s="1474" cm="1">
        <f t="array" aca="1" ref="F96" ca="1">INDIRECT("'※ 영업품질 세부데이터'!"&amp;F$1&amp;$T96, TRUE)</f>
        <v>2</v>
      </c>
      <c r="G96" s="1474" cm="1">
        <f t="array" aca="1" ref="G96" ca="1">INDIRECT("'※ 영업품질 세부데이터'!"&amp;G$1&amp;$T96, TRUE)</f>
        <v>6</v>
      </c>
      <c r="H96" s="1474" cm="1">
        <f t="array" aca="1" ref="H96" ca="1">INDIRECT("'※ 영업품질 세부데이터'!"&amp;H$1&amp;$T96, TRUE)</f>
        <v>0</v>
      </c>
      <c r="I96" s="1474" cm="1">
        <f t="array" aca="1" ref="I96" ca="1">INDIRECT("'※ 영업품질 세부데이터'!"&amp;I$1&amp;$T96, TRUE)</f>
        <v>4</v>
      </c>
      <c r="J96" s="1474" cm="1">
        <f t="array" aca="1" ref="J96" ca="1">INDIRECT("'※ 영업품질 세부데이터'!"&amp;J$1&amp;$T96, TRUE)</f>
        <v>8</v>
      </c>
      <c r="K96" s="6296" cm="1">
        <f t="array" aca="1" ref="K96" ca="1">INDIRECT("'※ 영업품질 세부데이터'!"&amp;K$1&amp;$T96, TRUE)</f>
        <v>0</v>
      </c>
      <c r="L96" s="1474"/>
      <c r="M96" s="1474"/>
      <c r="N96" s="1474">
        <f t="shared" ca="1" si="3"/>
        <v>2</v>
      </c>
      <c r="O96" s="1475" cm="1">
        <f t="array" aca="1" ref="O96" ca="1">INDIRECT("'※ 영업품질 세부데이터'!"&amp;O$1&amp;$T96, TRUE)</f>
        <v>-2</v>
      </c>
      <c r="P96" s="1476" cm="1">
        <f t="array" aca="1" ref="P96" ca="1">INDIRECT("'※ 영업품질 세부데이터'!"&amp;P$1&amp;$T96, TRUE)</f>
        <v>0</v>
      </c>
      <c r="Q96" s="1474" cm="1">
        <f t="array" aca="1" ref="Q96" ca="1">INDIRECT("'※ 영업품질 세부데이터'!"&amp;Q$1&amp;$T96, TRUE)</f>
        <v>-2</v>
      </c>
      <c r="R96" s="1477" t="e" cm="1">
        <f t="array" aca="1" ref="R96" ca="1">INDIRECT("'※ 영업품질 세부데이터'!"&amp;R$1&amp;$T96, TRUE)</f>
        <v>#DIV/0!</v>
      </c>
      <c r="S96" s="1478" t="e" cm="1">
        <f t="array" aca="1" ref="S96" ca="1">INDIRECT("'※ 영업품질 세부데이터'!"&amp;S$1&amp;$T96, TRUE)</f>
        <v>#DIV/0!</v>
      </c>
      <c r="T96" s="978">
        <f>ROW('※ 영업품질 세부데이터'!A97)</f>
        <v>97</v>
      </c>
      <c r="U96" s="1300"/>
      <c r="V96" s="1300"/>
    </row>
    <row r="97" spans="1:22" ht="14.8" customHeight="1" x14ac:dyDescent="0.55000000000000004">
      <c r="A97" s="7474"/>
      <c r="B97" s="1379"/>
      <c r="C97" s="673" t="s">
        <v>143</v>
      </c>
      <c r="D97" s="1473" cm="1">
        <f t="array" aca="1" ref="D97" ca="1">INDIRECT("'※ 영업품질 세부데이터'!"&amp;D$1&amp;$T97, TRUE)</f>
        <v>47</v>
      </c>
      <c r="E97" s="1474" cm="1">
        <f t="array" aca="1" ref="E97" ca="1">INDIRECT("'※ 영업품질 세부데이터'!"&amp;E$1&amp;$T97, TRUE)</f>
        <v>4</v>
      </c>
      <c r="F97" s="1474" cm="1">
        <f t="array" aca="1" ref="F97" ca="1">INDIRECT("'※ 영업품질 세부데이터'!"&amp;F$1&amp;$T97, TRUE)</f>
        <v>14</v>
      </c>
      <c r="G97" s="1474" cm="1">
        <f t="array" aca="1" ref="G97" ca="1">INDIRECT("'※ 영업품질 세부데이터'!"&amp;G$1&amp;$T97, TRUE)</f>
        <v>0</v>
      </c>
      <c r="H97" s="1474" cm="1">
        <f t="array" aca="1" ref="H97" ca="1">INDIRECT("'※ 영업품질 세부데이터'!"&amp;H$1&amp;$T97, TRUE)</f>
        <v>2</v>
      </c>
      <c r="I97" s="1474" cm="1">
        <f t="array" aca="1" ref="I97" ca="1">INDIRECT("'※ 영업품질 세부데이터'!"&amp;I$1&amp;$T97, TRUE)</f>
        <v>6</v>
      </c>
      <c r="J97" s="1474" cm="1">
        <f t="array" aca="1" ref="J97" ca="1">INDIRECT("'※ 영업품질 세부데이터'!"&amp;J$1&amp;$T97, TRUE)</f>
        <v>6</v>
      </c>
      <c r="K97" s="6296" cm="1">
        <f t="array" aca="1" ref="K97" ca="1">INDIRECT("'※ 영업품질 세부데이터'!"&amp;K$1&amp;$T97, TRUE)</f>
        <v>0</v>
      </c>
      <c r="L97" s="1474"/>
      <c r="M97" s="1474"/>
      <c r="N97" s="1474">
        <f t="shared" ca="1" si="3"/>
        <v>10</v>
      </c>
      <c r="O97" s="1475" cm="1">
        <f t="array" aca="1" ref="O97" ca="1">INDIRECT("'※ 영업품질 세부데이터'!"&amp;O$1&amp;$T97, TRUE)</f>
        <v>-14</v>
      </c>
      <c r="P97" s="1476" cm="1">
        <f t="array" aca="1" ref="P97" ca="1">INDIRECT("'※ 영업품질 세부데이터'!"&amp;P$1&amp;$T97, TRUE)</f>
        <v>0</v>
      </c>
      <c r="Q97" s="1474" cm="1">
        <f t="array" aca="1" ref="Q97" ca="1">INDIRECT("'※ 영업품질 세부데이터'!"&amp;Q$1&amp;$T97, TRUE)</f>
        <v>-18</v>
      </c>
      <c r="R97" s="1477" t="e" cm="1">
        <f t="array" aca="1" ref="R97" ca="1">INDIRECT("'※ 영업품질 세부데이터'!"&amp;R$1&amp;$T97, TRUE)</f>
        <v>#DIV/0!</v>
      </c>
      <c r="S97" s="1478" t="e" cm="1">
        <f t="array" aca="1" ref="S97" ca="1">INDIRECT("'※ 영업품질 세부데이터'!"&amp;S$1&amp;$T97, TRUE)</f>
        <v>#DIV/0!</v>
      </c>
      <c r="T97" s="978">
        <f>ROW('※ 영업품질 세부데이터'!A98)</f>
        <v>98</v>
      </c>
      <c r="U97" s="1300"/>
      <c r="V97" s="1300"/>
    </row>
    <row r="98" spans="1:22" ht="14.8" customHeight="1" x14ac:dyDescent="0.55000000000000004">
      <c r="A98" s="7474"/>
      <c r="B98" s="1379"/>
      <c r="C98" s="673" t="s">
        <v>144</v>
      </c>
      <c r="D98" s="1473" cm="1">
        <f t="array" aca="1" ref="D98" ca="1">INDIRECT("'※ 영업품질 세부데이터'!"&amp;D$1&amp;$T98, TRUE)</f>
        <v>64</v>
      </c>
      <c r="E98" s="1474" cm="1">
        <f t="array" aca="1" ref="E98" ca="1">INDIRECT("'※ 영업품질 세부데이터'!"&amp;E$1&amp;$T98, TRUE)</f>
        <v>8</v>
      </c>
      <c r="F98" s="1474" cm="1">
        <f t="array" aca="1" ref="F98" ca="1">INDIRECT("'※ 영업품질 세부데이터'!"&amp;F$1&amp;$T98, TRUE)</f>
        <v>11</v>
      </c>
      <c r="G98" s="1474" cm="1">
        <f t="array" aca="1" ref="G98" ca="1">INDIRECT("'※ 영업품질 세부데이터'!"&amp;G$1&amp;$T98, TRUE)</f>
        <v>5</v>
      </c>
      <c r="H98" s="1474" cm="1">
        <f t="array" aca="1" ref="H98" ca="1">INDIRECT("'※ 영업품질 세부데이터'!"&amp;H$1&amp;$T98, TRUE)</f>
        <v>0</v>
      </c>
      <c r="I98" s="1474" cm="1">
        <f t="array" aca="1" ref="I98" ca="1">INDIRECT("'※ 영업품질 세부데이터'!"&amp;I$1&amp;$T98, TRUE)</f>
        <v>6</v>
      </c>
      <c r="J98" s="1474" cm="1">
        <f t="array" aca="1" ref="J98" ca="1">INDIRECT("'※ 영업품질 세부데이터'!"&amp;J$1&amp;$T98, TRUE)</f>
        <v>4</v>
      </c>
      <c r="K98" s="6296" cm="1">
        <f t="array" aca="1" ref="K98" ca="1">INDIRECT("'※ 영업품질 세부데이터'!"&amp;K$1&amp;$T98, TRUE)</f>
        <v>0</v>
      </c>
      <c r="L98" s="1474"/>
      <c r="M98" s="1474"/>
      <c r="N98" s="1474">
        <f t="shared" ca="1" si="3"/>
        <v>3</v>
      </c>
      <c r="O98" s="1475" cm="1">
        <f t="array" aca="1" ref="O98" ca="1">INDIRECT("'※ 영업품질 세부데이터'!"&amp;O$1&amp;$T98, TRUE)</f>
        <v>-11</v>
      </c>
      <c r="P98" s="1476" cm="1">
        <f t="array" aca="1" ref="P98" ca="1">INDIRECT("'※ 영업품질 세부데이터'!"&amp;P$1&amp;$T98, TRUE)</f>
        <v>0</v>
      </c>
      <c r="Q98" s="1474" cm="1">
        <f t="array" aca="1" ref="Q98" ca="1">INDIRECT("'※ 영업품질 세부데이터'!"&amp;Q$1&amp;$T98, TRUE)</f>
        <v>-19</v>
      </c>
      <c r="R98" s="1477" t="e" cm="1">
        <f t="array" aca="1" ref="R98" ca="1">INDIRECT("'※ 영업품질 세부데이터'!"&amp;R$1&amp;$T98, TRUE)</f>
        <v>#DIV/0!</v>
      </c>
      <c r="S98" s="1478" t="e" cm="1">
        <f t="array" aca="1" ref="S98" ca="1">INDIRECT("'※ 영업품질 세부데이터'!"&amp;S$1&amp;$T98, TRUE)</f>
        <v>#DIV/0!</v>
      </c>
      <c r="T98" s="978">
        <f>ROW('※ 영업품질 세부데이터'!A99)</f>
        <v>99</v>
      </c>
      <c r="U98" s="1300"/>
      <c r="V98" s="1300"/>
    </row>
    <row r="99" spans="1:22" ht="14.8" customHeight="1" x14ac:dyDescent="0.55000000000000004">
      <c r="A99" s="7474"/>
      <c r="B99" s="1379"/>
      <c r="C99" s="673" t="s">
        <v>145</v>
      </c>
      <c r="D99" s="1473" cm="1">
        <f t="array" aca="1" ref="D99" ca="1">INDIRECT("'※ 영업품질 세부데이터'!"&amp;D$1&amp;$T99, TRUE)</f>
        <v>54</v>
      </c>
      <c r="E99" s="1474" cm="1">
        <f t="array" aca="1" ref="E99" ca="1">INDIRECT("'※ 영업품질 세부데이터'!"&amp;E$1&amp;$T99, TRUE)</f>
        <v>8</v>
      </c>
      <c r="F99" s="1474" cm="1">
        <f t="array" aca="1" ref="F99" ca="1">INDIRECT("'※ 영업품질 세부데이터'!"&amp;F$1&amp;$T99, TRUE)</f>
        <v>14</v>
      </c>
      <c r="G99" s="1474" cm="1">
        <f t="array" aca="1" ref="G99" ca="1">INDIRECT("'※ 영업품질 세부데이터'!"&amp;G$1&amp;$T99, TRUE)</f>
        <v>4</v>
      </c>
      <c r="H99" s="1474" cm="1">
        <f t="array" aca="1" ref="H99" ca="1">INDIRECT("'※ 영업품질 세부데이터'!"&amp;H$1&amp;$T99, TRUE)</f>
        <v>4</v>
      </c>
      <c r="I99" s="1474" cm="1">
        <f t="array" aca="1" ref="I99" ca="1">INDIRECT("'※ 영업품질 세부데이터'!"&amp;I$1&amp;$T99, TRUE)</f>
        <v>4</v>
      </c>
      <c r="J99" s="1474" cm="1">
        <f t="array" aca="1" ref="J99" ca="1">INDIRECT("'※ 영업품질 세부데이터'!"&amp;J$1&amp;$T99, TRUE)</f>
        <v>2</v>
      </c>
      <c r="K99" s="6296" cm="1">
        <f t="array" aca="1" ref="K99" ca="1">INDIRECT("'※ 영업품질 세부데이터'!"&amp;K$1&amp;$T99, TRUE)</f>
        <v>0</v>
      </c>
      <c r="L99" s="1474"/>
      <c r="M99" s="1474"/>
      <c r="N99" s="1474">
        <f t="shared" ca="1" si="3"/>
        <v>6</v>
      </c>
      <c r="O99" s="1475" cm="1">
        <f t="array" aca="1" ref="O99" ca="1">INDIRECT("'※ 영업품질 세부데이터'!"&amp;O$1&amp;$T99, TRUE)</f>
        <v>-14</v>
      </c>
      <c r="P99" s="1476" cm="1">
        <f t="array" aca="1" ref="P99" ca="1">INDIRECT("'※ 영업품질 세부데이터'!"&amp;P$1&amp;$T99, TRUE)</f>
        <v>0</v>
      </c>
      <c r="Q99" s="1474" cm="1">
        <f t="array" aca="1" ref="Q99" ca="1">INDIRECT("'※ 영업품질 세부데이터'!"&amp;Q$1&amp;$T99, TRUE)</f>
        <v>-22</v>
      </c>
      <c r="R99" s="1477" t="e" cm="1">
        <f t="array" aca="1" ref="R99" ca="1">INDIRECT("'※ 영업품질 세부데이터'!"&amp;R$1&amp;$T99, TRUE)</f>
        <v>#DIV/0!</v>
      </c>
      <c r="S99" s="1478" t="e" cm="1">
        <f t="array" aca="1" ref="S99" ca="1">INDIRECT("'※ 영업품질 세부데이터'!"&amp;S$1&amp;$T99, TRUE)</f>
        <v>#DIV/0!</v>
      </c>
      <c r="T99" s="978">
        <f>ROW('※ 영업품질 세부데이터'!A100)</f>
        <v>100</v>
      </c>
      <c r="U99" s="1300"/>
      <c r="V99" s="1300"/>
    </row>
    <row r="100" spans="1:22" ht="14.8" customHeight="1" x14ac:dyDescent="0.55000000000000004">
      <c r="A100" s="7474"/>
      <c r="B100" s="1379"/>
      <c r="C100" s="673" t="s">
        <v>146</v>
      </c>
      <c r="D100" s="1473" cm="1">
        <f t="array" aca="1" ref="D100" ca="1">INDIRECT("'※ 영업품질 세부데이터'!"&amp;D$1&amp;$T100, TRUE)</f>
        <v>60</v>
      </c>
      <c r="E100" s="1474" cm="1">
        <f t="array" aca="1" ref="E100" ca="1">INDIRECT("'※ 영업품질 세부데이터'!"&amp;E$1&amp;$T100, TRUE)</f>
        <v>4</v>
      </c>
      <c r="F100" s="1474" cm="1">
        <f t="array" aca="1" ref="F100" ca="1">INDIRECT("'※ 영업품질 세부데이터'!"&amp;F$1&amp;$T100, TRUE)</f>
        <v>4</v>
      </c>
      <c r="G100" s="1474" cm="1">
        <f t="array" aca="1" ref="G100" ca="1">INDIRECT("'※ 영업품질 세부데이터'!"&amp;G$1&amp;$T100, TRUE)</f>
        <v>2</v>
      </c>
      <c r="H100" s="1474" cm="1">
        <f t="array" aca="1" ref="H100" ca="1">INDIRECT("'※ 영업품질 세부데이터'!"&amp;H$1&amp;$T100, TRUE)</f>
        <v>2</v>
      </c>
      <c r="I100" s="1474" cm="1">
        <f t="array" aca="1" ref="I100" ca="1">INDIRECT("'※ 영업품질 세부데이터'!"&amp;I$1&amp;$T100, TRUE)</f>
        <v>5</v>
      </c>
      <c r="J100" s="1474" cm="1">
        <f t="array" aca="1" ref="J100" ca="1">INDIRECT("'※ 영업품질 세부데이터'!"&amp;J$1&amp;$T100, TRUE)</f>
        <v>12</v>
      </c>
      <c r="K100" s="6296" cm="1">
        <f t="array" aca="1" ref="K100" ca="1">INDIRECT("'※ 영업품질 세부데이터'!"&amp;K$1&amp;$T100, TRUE)</f>
        <v>0</v>
      </c>
      <c r="L100" s="1474"/>
      <c r="M100" s="1474"/>
      <c r="N100" s="1474">
        <f t="shared" ca="1" si="3"/>
        <v>0</v>
      </c>
      <c r="O100" s="1475" cm="1">
        <f t="array" aca="1" ref="O100" ca="1">INDIRECT("'※ 영업품질 세부데이터'!"&amp;O$1&amp;$T100, TRUE)</f>
        <v>-4</v>
      </c>
      <c r="P100" s="1476" cm="1">
        <f t="array" aca="1" ref="P100" ca="1">INDIRECT("'※ 영업품질 세부데이터'!"&amp;P$1&amp;$T100, TRUE)</f>
        <v>0</v>
      </c>
      <c r="Q100" s="1474" cm="1">
        <f t="array" aca="1" ref="Q100" ca="1">INDIRECT("'※ 영업품질 세부데이터'!"&amp;Q$1&amp;$T100, TRUE)</f>
        <v>-8</v>
      </c>
      <c r="R100" s="1477" t="e" cm="1">
        <f t="array" aca="1" ref="R100" ca="1">INDIRECT("'※ 영업품질 세부데이터'!"&amp;R$1&amp;$T100, TRUE)</f>
        <v>#DIV/0!</v>
      </c>
      <c r="S100" s="1478" t="e" cm="1">
        <f t="array" aca="1" ref="S100" ca="1">INDIRECT("'※ 영업품질 세부데이터'!"&amp;S$1&amp;$T100, TRUE)</f>
        <v>#DIV/0!</v>
      </c>
      <c r="T100" s="978">
        <f>ROW('※ 영업품질 세부데이터'!A101)</f>
        <v>101</v>
      </c>
      <c r="U100" s="1300"/>
      <c r="V100" s="1300"/>
    </row>
    <row r="101" spans="1:22" ht="14.8" customHeight="1" x14ac:dyDescent="0.55000000000000004">
      <c r="A101" s="7474"/>
      <c r="B101" s="1379"/>
      <c r="C101" s="673" t="s">
        <v>147</v>
      </c>
      <c r="D101" s="1473" cm="1">
        <f t="array" aca="1" ref="D101" ca="1">INDIRECT("'※ 영업품질 세부데이터'!"&amp;D$1&amp;$T101, TRUE)</f>
        <v>70</v>
      </c>
      <c r="E101" s="1474" cm="1">
        <f t="array" aca="1" ref="E101" ca="1">INDIRECT("'※ 영업품질 세부데이터'!"&amp;E$1&amp;$T101, TRUE)</f>
        <v>4</v>
      </c>
      <c r="F101" s="1474" cm="1">
        <f t="array" aca="1" ref="F101" ca="1">INDIRECT("'※ 영업품질 세부데이터'!"&amp;F$1&amp;$T101, TRUE)</f>
        <v>8</v>
      </c>
      <c r="G101" s="1474" cm="1">
        <f t="array" aca="1" ref="G101" ca="1">INDIRECT("'※ 영업품질 세부데이터'!"&amp;G$1&amp;$T101, TRUE)</f>
        <v>6</v>
      </c>
      <c r="H101" s="1474" cm="1">
        <f t="array" aca="1" ref="H101" ca="1">INDIRECT("'※ 영업품질 세부데이터'!"&amp;H$1&amp;$T101, TRUE)</f>
        <v>0</v>
      </c>
      <c r="I101" s="1474" cm="1">
        <f t="array" aca="1" ref="I101" ca="1">INDIRECT("'※ 영업품질 세부데이터'!"&amp;I$1&amp;$T101, TRUE)</f>
        <v>6</v>
      </c>
      <c r="J101" s="1474" cm="1">
        <f t="array" aca="1" ref="J101" ca="1">INDIRECT("'※ 영업품질 세부데이터'!"&amp;J$1&amp;$T101, TRUE)</f>
        <v>6</v>
      </c>
      <c r="K101" s="6296" cm="1">
        <f t="array" aca="1" ref="K101" ca="1">INDIRECT("'※ 영업품질 세부데이터'!"&amp;K$1&amp;$T101, TRUE)</f>
        <v>0</v>
      </c>
      <c r="L101" s="1474"/>
      <c r="M101" s="1474"/>
      <c r="N101" s="1474">
        <f t="shared" ca="1" si="3"/>
        <v>4</v>
      </c>
      <c r="O101" s="1475" cm="1">
        <f t="array" aca="1" ref="O101" ca="1">INDIRECT("'※ 영업품질 세부데이터'!"&amp;O$1&amp;$T101, TRUE)</f>
        <v>-8</v>
      </c>
      <c r="P101" s="1476" cm="1">
        <f t="array" aca="1" ref="P101" ca="1">INDIRECT("'※ 영업품질 세부데이터'!"&amp;P$1&amp;$T101, TRUE)</f>
        <v>0</v>
      </c>
      <c r="Q101" s="1474" cm="1">
        <f t="array" aca="1" ref="Q101" ca="1">INDIRECT("'※ 영업품질 세부데이터'!"&amp;Q$1&amp;$T101, TRUE)</f>
        <v>-12</v>
      </c>
      <c r="R101" s="1477" t="e" cm="1">
        <f t="array" aca="1" ref="R101" ca="1">INDIRECT("'※ 영업품질 세부데이터'!"&amp;R$1&amp;$T101, TRUE)</f>
        <v>#DIV/0!</v>
      </c>
      <c r="S101" s="1478" t="e" cm="1">
        <f t="array" aca="1" ref="S101" ca="1">INDIRECT("'※ 영업품질 세부데이터'!"&amp;S$1&amp;$T101, TRUE)</f>
        <v>#DIV/0!</v>
      </c>
      <c r="T101" s="978">
        <f>ROW('※ 영업품질 세부데이터'!A102)</f>
        <v>102</v>
      </c>
      <c r="U101" s="1300"/>
      <c r="V101" s="1300"/>
    </row>
    <row r="102" spans="1:22" ht="14.8" customHeight="1" x14ac:dyDescent="0.55000000000000004">
      <c r="A102" s="7474"/>
      <c r="B102" s="1379"/>
      <c r="C102" s="673" t="s">
        <v>148</v>
      </c>
      <c r="D102" s="1473" cm="1">
        <f t="array" aca="1" ref="D102" ca="1">INDIRECT("'※ 영업품질 세부데이터'!"&amp;D$1&amp;$T102, TRUE)</f>
        <v>24</v>
      </c>
      <c r="E102" s="1474" cm="1">
        <f t="array" aca="1" ref="E102" ca="1">INDIRECT("'※ 영업품질 세부데이터'!"&amp;E$1&amp;$T102, TRUE)</f>
        <v>1</v>
      </c>
      <c r="F102" s="1474" cm="1">
        <f t="array" aca="1" ref="F102" ca="1">INDIRECT("'※ 영업품질 세부데이터'!"&amp;F$1&amp;$T102, TRUE)</f>
        <v>2</v>
      </c>
      <c r="G102" s="1474" cm="1">
        <f t="array" aca="1" ref="G102" ca="1">INDIRECT("'※ 영업품질 세부데이터'!"&amp;G$1&amp;$T102, TRUE)</f>
        <v>6</v>
      </c>
      <c r="H102" s="1474" cm="1">
        <f t="array" aca="1" ref="H102" ca="1">INDIRECT("'※ 영업품질 세부데이터'!"&amp;H$1&amp;$T102, TRUE)</f>
        <v>4</v>
      </c>
      <c r="I102" s="1474" cm="1">
        <f t="array" aca="1" ref="I102" ca="1">INDIRECT("'※ 영업품질 세부데이터'!"&amp;I$1&amp;$T102, TRUE)</f>
        <v>0</v>
      </c>
      <c r="J102" s="1474" cm="1">
        <f t="array" aca="1" ref="J102" ca="1">INDIRECT("'※ 영업품질 세부데이터'!"&amp;J$1&amp;$T102, TRUE)</f>
        <v>4</v>
      </c>
      <c r="K102" s="6296" cm="1">
        <f t="array" aca="1" ref="K102" ca="1">INDIRECT("'※ 영업품질 세부데이터'!"&amp;K$1&amp;$T102, TRUE)</f>
        <v>0</v>
      </c>
      <c r="L102" s="1474"/>
      <c r="M102" s="1474"/>
      <c r="N102" s="1474">
        <f t="shared" ca="1" si="3"/>
        <v>1</v>
      </c>
      <c r="O102" s="1475" cm="1">
        <f t="array" aca="1" ref="O102" ca="1">INDIRECT("'※ 영업품질 세부데이터'!"&amp;O$1&amp;$T102, TRUE)</f>
        <v>-2</v>
      </c>
      <c r="P102" s="1476" cm="1">
        <f t="array" aca="1" ref="P102" ca="1">INDIRECT("'※ 영업품질 세부데이터'!"&amp;P$1&amp;$T102, TRUE)</f>
        <v>0</v>
      </c>
      <c r="Q102" s="1474" cm="1">
        <f t="array" aca="1" ref="Q102" ca="1">INDIRECT("'※ 영업품질 세부데이터'!"&amp;Q$1&amp;$T102, TRUE)</f>
        <v>-3</v>
      </c>
      <c r="R102" s="1477" t="e" cm="1">
        <f t="array" aca="1" ref="R102" ca="1">INDIRECT("'※ 영업품질 세부데이터'!"&amp;R$1&amp;$T102, TRUE)</f>
        <v>#DIV/0!</v>
      </c>
      <c r="S102" s="1478" t="e" cm="1">
        <f t="array" aca="1" ref="S102" ca="1">INDIRECT("'※ 영업품질 세부데이터'!"&amp;S$1&amp;$T102, TRUE)</f>
        <v>#DIV/0!</v>
      </c>
      <c r="T102" s="978">
        <f>ROW('※ 영업품질 세부데이터'!A103)</f>
        <v>103</v>
      </c>
      <c r="U102" s="1300"/>
      <c r="V102" s="1300"/>
    </row>
    <row r="103" spans="1:22" ht="14.8" customHeight="1" x14ac:dyDescent="0.55000000000000004">
      <c r="A103" s="7474"/>
      <c r="B103" s="1387"/>
      <c r="C103" s="1388" t="s">
        <v>149</v>
      </c>
      <c r="D103" s="1479" cm="1">
        <f t="array" aca="1" ref="D103" ca="1">INDIRECT("'※ 영업품질 세부데이터'!"&amp;D$1&amp;$T103, TRUE)</f>
        <v>28</v>
      </c>
      <c r="E103" s="1480" cm="1">
        <f t="array" aca="1" ref="E103" ca="1">INDIRECT("'※ 영업품질 세부데이터'!"&amp;E$1&amp;$T103, TRUE)</f>
        <v>0</v>
      </c>
      <c r="F103" s="1480" cm="1">
        <f t="array" aca="1" ref="F103" ca="1">INDIRECT("'※ 영업품질 세부데이터'!"&amp;F$1&amp;$T103, TRUE)</f>
        <v>2</v>
      </c>
      <c r="G103" s="1480" cm="1">
        <f t="array" aca="1" ref="G103" ca="1">INDIRECT("'※ 영업품질 세부데이터'!"&amp;G$1&amp;$T103, TRUE)</f>
        <v>6</v>
      </c>
      <c r="H103" s="1480" cm="1">
        <f t="array" aca="1" ref="H103" ca="1">INDIRECT("'※ 영업품질 세부데이터'!"&amp;H$1&amp;$T103, TRUE)</f>
        <v>2</v>
      </c>
      <c r="I103" s="1480" cm="1">
        <f t="array" aca="1" ref="I103" ca="1">INDIRECT("'※ 영업품질 세부데이터'!"&amp;I$1&amp;$T103, TRUE)</f>
        <v>2</v>
      </c>
      <c r="J103" s="1480" cm="1">
        <f t="array" aca="1" ref="J103" ca="1">INDIRECT("'※ 영업품질 세부데이터'!"&amp;J$1&amp;$T103, TRUE)</f>
        <v>8</v>
      </c>
      <c r="K103" s="6297" cm="1">
        <f t="array" aca="1" ref="K103" ca="1">INDIRECT("'※ 영업품질 세부데이터'!"&amp;K$1&amp;$T103, TRUE)</f>
        <v>0</v>
      </c>
      <c r="L103" s="1480"/>
      <c r="M103" s="1480"/>
      <c r="N103" s="1480">
        <f t="shared" ca="1" si="3"/>
        <v>2</v>
      </c>
      <c r="O103" s="1481" cm="1">
        <f t="array" aca="1" ref="O103" ca="1">INDIRECT("'※ 영업품질 세부데이터'!"&amp;O$1&amp;$T103, TRUE)</f>
        <v>-2</v>
      </c>
      <c r="P103" s="1482" cm="1">
        <f t="array" aca="1" ref="P103" ca="1">INDIRECT("'※ 영업품질 세부데이터'!"&amp;P$1&amp;$T103, TRUE)</f>
        <v>0</v>
      </c>
      <c r="Q103" s="1480" cm="1">
        <f t="array" aca="1" ref="Q103" ca="1">INDIRECT("'※ 영업품질 세부데이터'!"&amp;Q$1&amp;$T103, TRUE)</f>
        <v>-2</v>
      </c>
      <c r="R103" s="1483" t="e" cm="1">
        <f t="array" aca="1" ref="R103" ca="1">INDIRECT("'※ 영업품질 세부데이터'!"&amp;R$1&amp;$T103, TRUE)</f>
        <v>#DIV/0!</v>
      </c>
      <c r="S103" s="1484" t="e" cm="1">
        <f t="array" aca="1" ref="S103" ca="1">INDIRECT("'※ 영업품질 세부데이터'!"&amp;S$1&amp;$T103, TRUE)</f>
        <v>#DIV/0!</v>
      </c>
      <c r="T103" s="978">
        <f>ROW('※ 영업품질 세부데이터'!A104)</f>
        <v>104</v>
      </c>
      <c r="U103" s="1300"/>
      <c r="V103" s="1300"/>
    </row>
    <row r="104" spans="1:22" ht="14.8" customHeight="1" x14ac:dyDescent="0.55000000000000004">
      <c r="A104" s="7474"/>
      <c r="B104" s="1362" t="s">
        <v>139</v>
      </c>
      <c r="C104" s="1464" t="s">
        <v>136</v>
      </c>
      <c r="D104" s="1485" cm="1">
        <f t="array" aca="1" ref="D104" ca="1">INDIRECT("'※ 영업품질 세부데이터'!"&amp;D$1&amp;$T104, TRUE)</f>
        <v>79</v>
      </c>
      <c r="E104" s="1486" cm="1">
        <f t="array" aca="1" ref="E104" ca="1">INDIRECT("'※ 영업품질 세부데이터'!"&amp;E$1&amp;$T104, TRUE)</f>
        <v>0</v>
      </c>
      <c r="F104" s="1486" cm="1">
        <f t="array" aca="1" ref="F104" ca="1">INDIRECT("'※ 영업품질 세부데이터'!"&amp;F$1&amp;$T104, TRUE)</f>
        <v>0</v>
      </c>
      <c r="G104" s="1486" cm="1">
        <f t="array" aca="1" ref="G104" ca="1">INDIRECT("'※ 영업품질 세부데이터'!"&amp;G$1&amp;$T104, TRUE)</f>
        <v>0</v>
      </c>
      <c r="H104" s="1486" cm="1">
        <f t="array" aca="1" ref="H104" ca="1">INDIRECT("'※ 영업품질 세부데이터'!"&amp;H$1&amp;$T104, TRUE)</f>
        <v>0</v>
      </c>
      <c r="I104" s="1486" cm="1">
        <f t="array" aca="1" ref="I104" ca="1">INDIRECT("'※ 영업품질 세부데이터'!"&amp;I$1&amp;$T104, TRUE)</f>
        <v>16</v>
      </c>
      <c r="J104" s="1486" cm="1">
        <f t="array" aca="1" ref="J104" ca="1">INDIRECT("'※ 영업품질 세부데이터'!"&amp;J$1&amp;$T104, TRUE)</f>
        <v>12</v>
      </c>
      <c r="K104" s="6298" cm="1">
        <f t="array" aca="1" ref="K104" ca="1">INDIRECT("'※ 영업품질 세부데이터'!"&amp;K$1&amp;$T104, TRUE)</f>
        <v>0</v>
      </c>
      <c r="L104" s="1486"/>
      <c r="M104" s="1486"/>
      <c r="N104" s="1487">
        <f t="shared" ca="1" si="3"/>
        <v>0</v>
      </c>
      <c r="O104" s="1488" cm="1">
        <f t="array" aca="1" ref="O104" ca="1">INDIRECT("'※ 영업품질 세부데이터'!"&amp;O$1&amp;$T104, TRUE)</f>
        <v>0</v>
      </c>
      <c r="P104" s="1489" cm="1">
        <f t="array" aca="1" ref="P104" ca="1">INDIRECT("'※ 영업품질 세부데이터'!"&amp;P$1&amp;$T104, TRUE)</f>
        <v>0</v>
      </c>
      <c r="Q104" s="1486" cm="1">
        <f t="array" aca="1" ref="Q104" ca="1">INDIRECT("'※ 영업품질 세부데이터'!"&amp;Q$1&amp;$T104, TRUE)</f>
        <v>0</v>
      </c>
      <c r="R104" s="1490" t="e" cm="1">
        <f t="array" aca="1" ref="R104" ca="1">INDIRECT("'※ 영업품질 세부데이터'!"&amp;R$1&amp;$T104, TRUE)</f>
        <v>#DIV/0!</v>
      </c>
      <c r="S104" s="1491" t="e" cm="1">
        <f t="array" aca="1" ref="S104" ca="1">INDIRECT("'※ 영업품질 세부데이터'!"&amp;S$1&amp;$T104, TRUE)</f>
        <v>#DIV/0!</v>
      </c>
      <c r="T104" s="978">
        <f>ROW('※ 영업품질 세부데이터'!A105)</f>
        <v>105</v>
      </c>
      <c r="U104" s="1300"/>
      <c r="V104" s="1300"/>
    </row>
    <row r="105" spans="1:22" ht="14.8" customHeight="1" x14ac:dyDescent="0.55000000000000004">
      <c r="A105" s="7474"/>
      <c r="B105" s="1370"/>
      <c r="C105" s="1397" t="s">
        <v>533</v>
      </c>
      <c r="D105" s="1398" cm="1">
        <f t="array" aca="1" ref="D105" ca="1">INDIRECT("'※ 영업품질 세부데이터'!"&amp;D$1&amp;$T105, TRUE)</f>
        <v>1.4204045199791245E-3</v>
      </c>
      <c r="E105" s="1399" cm="1">
        <f t="array" aca="1" ref="E105" ca="1">INDIRECT("'※ 영업품질 세부데이터'!"&amp;E$1&amp;$T105, TRUE)</f>
        <v>0</v>
      </c>
      <c r="F105" s="1399" cm="1">
        <f t="array" aca="1" ref="F105" ca="1">INDIRECT("'※ 영업품질 세부데이터'!"&amp;F$1&amp;$T105, TRUE)</f>
        <v>0</v>
      </c>
      <c r="G105" s="1399" cm="1">
        <f t="array" aca="1" ref="G105" ca="1">INDIRECT("'※ 영업품질 세부데이터'!"&amp;G$1&amp;$T105, TRUE)</f>
        <v>0</v>
      </c>
      <c r="H105" s="1399" cm="1">
        <f t="array" aca="1" ref="H105" ca="1">INDIRECT("'※ 영업품질 세부데이터'!"&amp;H$1&amp;$T105, TRUE)</f>
        <v>0</v>
      </c>
      <c r="I105" s="1399" cm="1">
        <f t="array" aca="1" ref="I105" ca="1">INDIRECT("'※ 영업품질 세부데이터'!"&amp;I$1&amp;$T105, TRUE)</f>
        <v>2.0639834881320948E-3</v>
      </c>
      <c r="J105" s="1399" cm="1">
        <f t="array" aca="1" ref="J105" ca="1">INDIRECT("'※ 영업품질 세부데이터'!"&amp;J$1&amp;$T105, TRUE)</f>
        <v>1.9749835418038184E-3</v>
      </c>
      <c r="K105" s="6287" t="e" cm="1">
        <f t="array" aca="1" ref="K105" ca="1">INDIRECT("'※ 영업품질 세부데이터'!"&amp;K$1&amp;$T105, TRUE)</f>
        <v>#DIV/0!</v>
      </c>
      <c r="L105" s="1399"/>
      <c r="M105" s="1399"/>
      <c r="N105" s="1400">
        <f t="shared" ref="N105:N114" ca="1" si="4">F105-E105</f>
        <v>0</v>
      </c>
      <c r="O105" s="1401" cm="1">
        <f t="array" aca="1" ref="O105" ca="1">INDIRECT("'※ 영업품질 세부데이터'!"&amp;O$1&amp;$T105, TRUE)</f>
        <v>0</v>
      </c>
      <c r="P105" s="1402" t="e" cm="1">
        <f t="array" aca="1" ref="P105" ca="1">INDIRECT("'※ 영업품질 세부데이터'!"&amp;P$1&amp;$T105, TRUE)</f>
        <v>#DIV/0!</v>
      </c>
      <c r="Q105" s="1400" t="e" cm="1">
        <f t="array" aca="1" ref="Q105" ca="1">INDIRECT("'※ 영업품질 세부데이터'!"&amp;Q$1&amp;$T105, TRUE)</f>
        <v>#DIV/0!</v>
      </c>
      <c r="R105" s="1403" t="e" cm="1">
        <f t="array" aca="1" ref="R105" ca="1">INDIRECT("'※ 영업품질 세부데이터'!"&amp;R$1&amp;$T105, TRUE)</f>
        <v>#DIV/0!</v>
      </c>
      <c r="S105" s="1404" t="e" cm="1">
        <f t="array" aca="1" ref="S105" ca="1">INDIRECT("'※ 영업품질 세부데이터'!"&amp;S$1&amp;$T105, TRUE)</f>
        <v>#DIV/0!</v>
      </c>
      <c r="T105" s="978">
        <f>ROW('※ 영업품질 세부데이터'!A106)</f>
        <v>106</v>
      </c>
      <c r="U105" s="1300"/>
      <c r="V105" s="1300"/>
    </row>
    <row r="106" spans="1:22" ht="14.8" customHeight="1" x14ac:dyDescent="0.55000000000000004">
      <c r="A106" s="7474"/>
      <c r="B106" s="1379"/>
      <c r="C106" s="673" t="s">
        <v>140</v>
      </c>
      <c r="D106" s="1473" cm="1">
        <f t="array" aca="1" ref="D106" ca="1">INDIRECT("'※ 영업품질 세부데이터'!"&amp;D$1&amp;$T106, TRUE)</f>
        <v>22</v>
      </c>
      <c r="E106" s="1474" cm="1">
        <f t="array" aca="1" ref="E106" ca="1">INDIRECT("'※ 영업품질 세부데이터'!"&amp;E$1&amp;$T106, TRUE)</f>
        <v>0</v>
      </c>
      <c r="F106" s="1474" cm="1">
        <f t="array" aca="1" ref="F106" ca="1">INDIRECT("'※ 영업품질 세부데이터'!"&amp;F$1&amp;$T106, TRUE)</f>
        <v>0</v>
      </c>
      <c r="G106" s="1474" cm="1">
        <f t="array" aca="1" ref="G106" ca="1">INDIRECT("'※ 영업품질 세부데이터'!"&amp;G$1&amp;$T106, TRUE)</f>
        <v>0</v>
      </c>
      <c r="H106" s="1474" cm="1">
        <f t="array" aca="1" ref="H106" ca="1">INDIRECT("'※ 영업품질 세부데이터'!"&amp;H$1&amp;$T106, TRUE)</f>
        <v>0</v>
      </c>
      <c r="I106" s="1474" cm="1">
        <f t="array" aca="1" ref="I106" ca="1">INDIRECT("'※ 영업품질 세부데이터'!"&amp;I$1&amp;$T106, TRUE)</f>
        <v>8</v>
      </c>
      <c r="J106" s="1474" cm="1">
        <f t="array" aca="1" ref="J106" ca="1">INDIRECT("'※ 영업품질 세부데이터'!"&amp;J$1&amp;$T106, TRUE)</f>
        <v>2</v>
      </c>
      <c r="K106" s="6296" cm="1">
        <f t="array" aca="1" ref="K106" ca="1">INDIRECT("'※ 영업품질 세부데이터'!"&amp;K$1&amp;$T106, TRUE)</f>
        <v>0</v>
      </c>
      <c r="L106" s="1474"/>
      <c r="M106" s="1474"/>
      <c r="N106" s="1474">
        <f t="shared" ca="1" si="4"/>
        <v>0</v>
      </c>
      <c r="O106" s="1475" cm="1">
        <f t="array" aca="1" ref="O106" ca="1">INDIRECT("'※ 영업품질 세부데이터'!"&amp;O$1&amp;$T106, TRUE)</f>
        <v>0</v>
      </c>
      <c r="P106" s="1476" cm="1">
        <f t="array" aca="1" ref="P106" ca="1">INDIRECT("'※ 영업품질 세부데이터'!"&amp;P$1&amp;$T106, TRUE)</f>
        <v>0</v>
      </c>
      <c r="Q106" s="1474" cm="1">
        <f t="array" aca="1" ref="Q106" ca="1">INDIRECT("'※ 영업품질 세부데이터'!"&amp;Q$1&amp;$T106, TRUE)</f>
        <v>0</v>
      </c>
      <c r="R106" s="1477" t="e" cm="1">
        <f t="array" aca="1" ref="R106" ca="1">INDIRECT("'※ 영업품질 세부데이터'!"&amp;R$1&amp;$T106, TRUE)</f>
        <v>#DIV/0!</v>
      </c>
      <c r="S106" s="1478" t="e" cm="1">
        <f t="array" aca="1" ref="S106" ca="1">INDIRECT("'※ 영업품질 세부데이터'!"&amp;S$1&amp;$T106, TRUE)</f>
        <v>#DIV/0!</v>
      </c>
      <c r="T106" s="978">
        <f>ROW('※ 영업품질 세부데이터'!A107)</f>
        <v>107</v>
      </c>
      <c r="U106" s="1300"/>
      <c r="V106" s="1300"/>
    </row>
    <row r="107" spans="1:22" ht="14.8" customHeight="1" x14ac:dyDescent="0.55000000000000004">
      <c r="A107" s="7474"/>
      <c r="B107" s="1379"/>
      <c r="C107" s="673" t="s">
        <v>142</v>
      </c>
      <c r="D107" s="1473" cm="1">
        <f t="array" aca="1" ref="D107" ca="1">INDIRECT("'※ 영업품질 세부데이터'!"&amp;D$1&amp;$T107, TRUE)</f>
        <v>0</v>
      </c>
      <c r="E107" s="1474" cm="1">
        <f t="array" aca="1" ref="E107" ca="1">INDIRECT("'※ 영업품질 세부데이터'!"&amp;E$1&amp;$T107, TRUE)</f>
        <v>0</v>
      </c>
      <c r="F107" s="1474" cm="1">
        <f t="array" aca="1" ref="F107" ca="1">INDIRECT("'※ 영업품질 세부데이터'!"&amp;F$1&amp;$T107, TRUE)</f>
        <v>0</v>
      </c>
      <c r="G107" s="1474" cm="1">
        <f t="array" aca="1" ref="G107" ca="1">INDIRECT("'※ 영업품질 세부데이터'!"&amp;G$1&amp;$T107, TRUE)</f>
        <v>0</v>
      </c>
      <c r="H107" s="1474" cm="1">
        <f t="array" aca="1" ref="H107" ca="1">INDIRECT("'※ 영업품질 세부데이터'!"&amp;H$1&amp;$T107, TRUE)</f>
        <v>0</v>
      </c>
      <c r="I107" s="1474" cm="1">
        <f t="array" aca="1" ref="I107" ca="1">INDIRECT("'※ 영업품질 세부데이터'!"&amp;I$1&amp;$T107, TRUE)</f>
        <v>0</v>
      </c>
      <c r="J107" s="1474" cm="1">
        <f t="array" aca="1" ref="J107" ca="1">INDIRECT("'※ 영업품질 세부데이터'!"&amp;J$1&amp;$T107, TRUE)</f>
        <v>0</v>
      </c>
      <c r="K107" s="6296" cm="1">
        <f t="array" aca="1" ref="K107" ca="1">INDIRECT("'※ 영업품질 세부데이터'!"&amp;K$1&amp;$T107, TRUE)</f>
        <v>0</v>
      </c>
      <c r="L107" s="1474"/>
      <c r="M107" s="1474"/>
      <c r="N107" s="1474">
        <f t="shared" ca="1" si="4"/>
        <v>0</v>
      </c>
      <c r="O107" s="1475" cm="1">
        <f t="array" aca="1" ref="O107" ca="1">INDIRECT("'※ 영업품질 세부데이터'!"&amp;O$1&amp;$T107, TRUE)</f>
        <v>0</v>
      </c>
      <c r="P107" s="1476" cm="1">
        <f t="array" aca="1" ref="P107" ca="1">INDIRECT("'※ 영업품질 세부데이터'!"&amp;P$1&amp;$T107, TRUE)</f>
        <v>0</v>
      </c>
      <c r="Q107" s="1474" cm="1">
        <f t="array" aca="1" ref="Q107" ca="1">INDIRECT("'※ 영업품질 세부데이터'!"&amp;Q$1&amp;$T107, TRUE)</f>
        <v>0</v>
      </c>
      <c r="R107" s="1477" t="e" cm="1">
        <f t="array" aca="1" ref="R107" ca="1">INDIRECT("'※ 영업품질 세부데이터'!"&amp;R$1&amp;$T107, TRUE)</f>
        <v>#DIV/0!</v>
      </c>
      <c r="S107" s="1478" t="e" cm="1">
        <f t="array" aca="1" ref="S107" ca="1">INDIRECT("'※ 영업품질 세부데이터'!"&amp;S$1&amp;$T107, TRUE)</f>
        <v>#DIV/0!</v>
      </c>
      <c r="T107" s="978">
        <f>ROW('※ 영업품질 세부데이터'!A108)</f>
        <v>108</v>
      </c>
      <c r="U107" s="1300"/>
      <c r="V107" s="1300"/>
    </row>
    <row r="108" spans="1:22" ht="14.8" customHeight="1" x14ac:dyDescent="0.55000000000000004">
      <c r="A108" s="7474"/>
      <c r="B108" s="1379"/>
      <c r="C108" s="673" t="s">
        <v>150</v>
      </c>
      <c r="D108" s="1473" cm="1">
        <f t="array" aca="1" ref="D108" ca="1">INDIRECT("'※ 영업품질 세부데이터'!"&amp;D$1&amp;$T108, TRUE)</f>
        <v>28</v>
      </c>
      <c r="E108" s="1474" cm="1">
        <f t="array" aca="1" ref="E108" ca="1">INDIRECT("'※ 영업품질 세부데이터'!"&amp;E$1&amp;$T108, TRUE)</f>
        <v>0</v>
      </c>
      <c r="F108" s="1474" cm="1">
        <f t="array" aca="1" ref="F108" ca="1">INDIRECT("'※ 영업품질 세부데이터'!"&amp;F$1&amp;$T108, TRUE)</f>
        <v>0</v>
      </c>
      <c r="G108" s="1474" cm="1">
        <f t="array" aca="1" ref="G108" ca="1">INDIRECT("'※ 영업품질 세부데이터'!"&amp;G$1&amp;$T108, TRUE)</f>
        <v>0</v>
      </c>
      <c r="H108" s="1474" cm="1">
        <f t="array" aca="1" ref="H108" ca="1">INDIRECT("'※ 영업품질 세부데이터'!"&amp;H$1&amp;$T108, TRUE)</f>
        <v>0</v>
      </c>
      <c r="I108" s="1474" cm="1">
        <f t="array" aca="1" ref="I108" ca="1">INDIRECT("'※ 영업품질 세부데이터'!"&amp;I$1&amp;$T108, TRUE)</f>
        <v>2</v>
      </c>
      <c r="J108" s="1474" cm="1">
        <f t="array" aca="1" ref="J108" ca="1">INDIRECT("'※ 영업품질 세부데이터'!"&amp;J$1&amp;$T108, TRUE)</f>
        <v>6</v>
      </c>
      <c r="K108" s="6296" cm="1">
        <f t="array" aca="1" ref="K108" ca="1">INDIRECT("'※ 영업품질 세부데이터'!"&amp;K$1&amp;$T108, TRUE)</f>
        <v>0</v>
      </c>
      <c r="L108" s="1474"/>
      <c r="M108" s="1474"/>
      <c r="N108" s="1474">
        <f t="shared" ca="1" si="4"/>
        <v>0</v>
      </c>
      <c r="O108" s="1475" cm="1">
        <f t="array" aca="1" ref="O108" ca="1">INDIRECT("'※ 영업품질 세부데이터'!"&amp;O$1&amp;$T108, TRUE)</f>
        <v>0</v>
      </c>
      <c r="P108" s="1476" cm="1">
        <f t="array" aca="1" ref="P108" ca="1">INDIRECT("'※ 영업품질 세부데이터'!"&amp;P$1&amp;$T108, TRUE)</f>
        <v>0</v>
      </c>
      <c r="Q108" s="1474" cm="1">
        <f t="array" aca="1" ref="Q108" ca="1">INDIRECT("'※ 영업품질 세부데이터'!"&amp;Q$1&amp;$T108, TRUE)</f>
        <v>0</v>
      </c>
      <c r="R108" s="1477" t="e" cm="1">
        <f t="array" aca="1" ref="R108" ca="1">INDIRECT("'※ 영업품질 세부데이터'!"&amp;R$1&amp;$T108, TRUE)</f>
        <v>#DIV/0!</v>
      </c>
      <c r="S108" s="1478" t="e" cm="1">
        <f t="array" aca="1" ref="S108" ca="1">INDIRECT("'※ 영업품질 세부데이터'!"&amp;S$1&amp;$T108, TRUE)</f>
        <v>#DIV/0!</v>
      </c>
      <c r="T108" s="978">
        <f>ROW('※ 영업품질 세부데이터'!A109)</f>
        <v>109</v>
      </c>
      <c r="U108" s="1300"/>
      <c r="V108" s="1300"/>
    </row>
    <row r="109" spans="1:22" ht="14.8" customHeight="1" x14ac:dyDescent="0.55000000000000004">
      <c r="A109" s="7474"/>
      <c r="B109" s="1379"/>
      <c r="C109" s="673" t="s">
        <v>146</v>
      </c>
      <c r="D109" s="1473" cm="1">
        <f t="array" aca="1" ref="D109" ca="1">INDIRECT("'※ 영업품질 세부데이터'!"&amp;D$1&amp;$T109, TRUE)</f>
        <v>0</v>
      </c>
      <c r="E109" s="1474" cm="1">
        <f t="array" aca="1" ref="E109" ca="1">INDIRECT("'※ 영업품질 세부데이터'!"&amp;E$1&amp;$T109, TRUE)</f>
        <v>0</v>
      </c>
      <c r="F109" s="1474" cm="1">
        <f t="array" aca="1" ref="F109" ca="1">INDIRECT("'※ 영업품질 세부데이터'!"&amp;F$1&amp;$T109, TRUE)</f>
        <v>0</v>
      </c>
      <c r="G109" s="1474" cm="1">
        <f t="array" aca="1" ref="G109" ca="1">INDIRECT("'※ 영업품질 세부데이터'!"&amp;G$1&amp;$T109, TRUE)</f>
        <v>0</v>
      </c>
      <c r="H109" s="1474" cm="1">
        <f t="array" aca="1" ref="H109" ca="1">INDIRECT("'※ 영업품질 세부데이터'!"&amp;H$1&amp;$T109, TRUE)</f>
        <v>0</v>
      </c>
      <c r="I109" s="1474" cm="1">
        <f t="array" aca="1" ref="I109" ca="1">INDIRECT("'※ 영업품질 세부데이터'!"&amp;I$1&amp;$T109, TRUE)</f>
        <v>0</v>
      </c>
      <c r="J109" s="1474" cm="1">
        <f t="array" aca="1" ref="J109" ca="1">INDIRECT("'※ 영업품질 세부데이터'!"&amp;J$1&amp;$T109, TRUE)</f>
        <v>0</v>
      </c>
      <c r="K109" s="6296" cm="1">
        <f t="array" aca="1" ref="K109" ca="1">INDIRECT("'※ 영업품질 세부데이터'!"&amp;K$1&amp;$T109, TRUE)</f>
        <v>0</v>
      </c>
      <c r="L109" s="1474"/>
      <c r="M109" s="1474"/>
      <c r="N109" s="1474">
        <f t="shared" ca="1" si="4"/>
        <v>0</v>
      </c>
      <c r="O109" s="1475" cm="1">
        <f t="array" aca="1" ref="O109" ca="1">INDIRECT("'※ 영업품질 세부데이터'!"&amp;O$1&amp;$T109, TRUE)</f>
        <v>0</v>
      </c>
      <c r="P109" s="1476" cm="1">
        <f t="array" aca="1" ref="P109" ca="1">INDIRECT("'※ 영업품질 세부데이터'!"&amp;P$1&amp;$T109, TRUE)</f>
        <v>0</v>
      </c>
      <c r="Q109" s="1474" cm="1">
        <f t="array" aca="1" ref="Q109" ca="1">INDIRECT("'※ 영업품질 세부데이터'!"&amp;Q$1&amp;$T109, TRUE)</f>
        <v>0</v>
      </c>
      <c r="R109" s="1477" t="e" cm="1">
        <f t="array" aca="1" ref="R109" ca="1">INDIRECT("'※ 영업품질 세부데이터'!"&amp;R$1&amp;$T109, TRUE)</f>
        <v>#DIV/0!</v>
      </c>
      <c r="S109" s="1478" t="e" cm="1">
        <f t="array" aca="1" ref="S109" ca="1">INDIRECT("'※ 영업품질 세부데이터'!"&amp;S$1&amp;$T109, TRUE)</f>
        <v>#DIV/0!</v>
      </c>
      <c r="T109" s="978">
        <f>ROW('※ 영업품질 세부데이터'!A110)</f>
        <v>110</v>
      </c>
      <c r="U109" s="1300"/>
      <c r="V109" s="1300"/>
    </row>
    <row r="110" spans="1:22" ht="14.8" customHeight="1" x14ac:dyDescent="0.55000000000000004">
      <c r="A110" s="7474"/>
      <c r="B110" s="1379"/>
      <c r="C110" s="673" t="s">
        <v>151</v>
      </c>
      <c r="D110" s="1473" cm="1">
        <f t="array" aca="1" ref="D110" ca="1">INDIRECT("'※ 영업품질 세부데이터'!"&amp;D$1&amp;$T110, TRUE)</f>
        <v>0</v>
      </c>
      <c r="E110" s="1474" cm="1">
        <f t="array" aca="1" ref="E110" ca="1">INDIRECT("'※ 영업품질 세부데이터'!"&amp;E$1&amp;$T110, TRUE)</f>
        <v>0</v>
      </c>
      <c r="F110" s="1474" cm="1">
        <f t="array" aca="1" ref="F110" ca="1">INDIRECT("'※ 영업품질 세부데이터'!"&amp;F$1&amp;$T110, TRUE)</f>
        <v>0</v>
      </c>
      <c r="G110" s="1474" cm="1">
        <f t="array" aca="1" ref="G110" ca="1">INDIRECT("'※ 영업품질 세부데이터'!"&amp;G$1&amp;$T110, TRUE)</f>
        <v>0</v>
      </c>
      <c r="H110" s="1474" cm="1">
        <f t="array" aca="1" ref="H110" ca="1">INDIRECT("'※ 영업품질 세부데이터'!"&amp;H$1&amp;$T110, TRUE)</f>
        <v>0</v>
      </c>
      <c r="I110" s="1474" cm="1">
        <f t="array" aca="1" ref="I110" ca="1">INDIRECT("'※ 영업품질 세부데이터'!"&amp;I$1&amp;$T110, TRUE)</f>
        <v>0</v>
      </c>
      <c r="J110" s="1474" cm="1">
        <f t="array" aca="1" ref="J110" ca="1">INDIRECT("'※ 영업품질 세부데이터'!"&amp;J$1&amp;$T110, TRUE)</f>
        <v>0</v>
      </c>
      <c r="K110" s="6296" cm="1">
        <f t="array" aca="1" ref="K110" ca="1">INDIRECT("'※ 영업품질 세부데이터'!"&amp;K$1&amp;$T110, TRUE)</f>
        <v>0</v>
      </c>
      <c r="L110" s="1474"/>
      <c r="M110" s="1474"/>
      <c r="N110" s="1474">
        <f t="shared" ca="1" si="4"/>
        <v>0</v>
      </c>
      <c r="O110" s="1475" cm="1">
        <f t="array" aca="1" ref="O110" ca="1">INDIRECT("'※ 영업품질 세부데이터'!"&amp;O$1&amp;$T110, TRUE)</f>
        <v>0</v>
      </c>
      <c r="P110" s="1476" cm="1">
        <f t="array" aca="1" ref="P110" ca="1">INDIRECT("'※ 영업품질 세부데이터'!"&amp;P$1&amp;$T110, TRUE)</f>
        <v>0</v>
      </c>
      <c r="Q110" s="1474" cm="1">
        <f t="array" aca="1" ref="Q110" ca="1">INDIRECT("'※ 영업품질 세부데이터'!"&amp;Q$1&amp;$T110, TRUE)</f>
        <v>0</v>
      </c>
      <c r="R110" s="1477" t="e" cm="1">
        <f t="array" aca="1" ref="R110" ca="1">INDIRECT("'※ 영업품질 세부데이터'!"&amp;R$1&amp;$T110, TRUE)</f>
        <v>#DIV/0!</v>
      </c>
      <c r="S110" s="1478" t="e" cm="1">
        <f t="array" aca="1" ref="S110" ca="1">INDIRECT("'※ 영업품질 세부데이터'!"&amp;S$1&amp;$T110, TRUE)</f>
        <v>#DIV/0!</v>
      </c>
      <c r="T110" s="978">
        <f>ROW('※ 영업품질 세부데이터'!A111)</f>
        <v>111</v>
      </c>
      <c r="U110" s="1300"/>
      <c r="V110" s="1300"/>
    </row>
    <row r="111" spans="1:22" ht="14.8" customHeight="1" x14ac:dyDescent="0.55000000000000004">
      <c r="A111" s="7474"/>
      <c r="B111" s="1379"/>
      <c r="C111" s="673" t="s">
        <v>148</v>
      </c>
      <c r="D111" s="1473" cm="1">
        <f t="array" aca="1" ref="D111" ca="1">INDIRECT("'※ 영업품질 세부데이터'!"&amp;D$1&amp;$T111, TRUE)</f>
        <v>10</v>
      </c>
      <c r="E111" s="1474" cm="1">
        <f t="array" aca="1" ref="E111" ca="1">INDIRECT("'※ 영업품질 세부데이터'!"&amp;E$1&amp;$T111, TRUE)</f>
        <v>0</v>
      </c>
      <c r="F111" s="1474" cm="1">
        <f t="array" aca="1" ref="F111" ca="1">INDIRECT("'※ 영업품질 세부데이터'!"&amp;F$1&amp;$T111, TRUE)</f>
        <v>0</v>
      </c>
      <c r="G111" s="1474" cm="1">
        <f t="array" aca="1" ref="G111" ca="1">INDIRECT("'※ 영업품질 세부데이터'!"&amp;G$1&amp;$T111, TRUE)</f>
        <v>0</v>
      </c>
      <c r="H111" s="1474" cm="1">
        <f t="array" aca="1" ref="H111" ca="1">INDIRECT("'※ 영업품질 세부데이터'!"&amp;H$1&amp;$T111, TRUE)</f>
        <v>0</v>
      </c>
      <c r="I111" s="1474" cm="1">
        <f t="array" aca="1" ref="I111" ca="1">INDIRECT("'※ 영업품질 세부데이터'!"&amp;I$1&amp;$T111, TRUE)</f>
        <v>2</v>
      </c>
      <c r="J111" s="1474" cm="1">
        <f t="array" aca="1" ref="J111" ca="1">INDIRECT("'※ 영업품질 세부데이터'!"&amp;J$1&amp;$T111, TRUE)</f>
        <v>0</v>
      </c>
      <c r="K111" s="6296" cm="1">
        <f t="array" aca="1" ref="K111" ca="1">INDIRECT("'※ 영업품질 세부데이터'!"&amp;K$1&amp;$T111, TRUE)</f>
        <v>0</v>
      </c>
      <c r="L111" s="1474"/>
      <c r="M111" s="1474"/>
      <c r="N111" s="1474">
        <f t="shared" ca="1" si="4"/>
        <v>0</v>
      </c>
      <c r="O111" s="1475" cm="1">
        <f t="array" aca="1" ref="O111" ca="1">INDIRECT("'※ 영업품질 세부데이터'!"&amp;O$1&amp;$T111, TRUE)</f>
        <v>0</v>
      </c>
      <c r="P111" s="1476" cm="1">
        <f t="array" aca="1" ref="P111" ca="1">INDIRECT("'※ 영업품질 세부데이터'!"&amp;P$1&amp;$T111, TRUE)</f>
        <v>0</v>
      </c>
      <c r="Q111" s="1474" cm="1">
        <f t="array" aca="1" ref="Q111" ca="1">INDIRECT("'※ 영업품질 세부데이터'!"&amp;Q$1&amp;$T111, TRUE)</f>
        <v>0</v>
      </c>
      <c r="R111" s="1477" t="e" cm="1">
        <f t="array" aca="1" ref="R111" ca="1">INDIRECT("'※ 영업품질 세부데이터'!"&amp;R$1&amp;$T111, TRUE)</f>
        <v>#DIV/0!</v>
      </c>
      <c r="S111" s="1478" t="e" cm="1">
        <f t="array" aca="1" ref="S111" ca="1">INDIRECT("'※ 영업품질 세부데이터'!"&amp;S$1&amp;$T111, TRUE)</f>
        <v>#DIV/0!</v>
      </c>
      <c r="T111" s="978">
        <f>ROW('※ 영업품질 세부데이터'!A112)</f>
        <v>112</v>
      </c>
      <c r="U111" s="1300"/>
      <c r="V111" s="1300"/>
    </row>
    <row r="112" spans="1:22" ht="14.8" customHeight="1" x14ac:dyDescent="0.55000000000000004">
      <c r="A112" s="7474"/>
      <c r="B112" s="1387"/>
      <c r="C112" s="1388" t="s">
        <v>149</v>
      </c>
      <c r="D112" s="1479" cm="1">
        <f t="array" aca="1" ref="D112" ca="1">INDIRECT("'※ 영업품질 세부데이터'!"&amp;D$1&amp;$T112, TRUE)</f>
        <v>19</v>
      </c>
      <c r="E112" s="1480" cm="1">
        <f t="array" aca="1" ref="E112" ca="1">INDIRECT("'※ 영업품질 세부데이터'!"&amp;E$1&amp;$T112, TRUE)</f>
        <v>0</v>
      </c>
      <c r="F112" s="1480" cm="1">
        <f t="array" aca="1" ref="F112" ca="1">INDIRECT("'※ 영업품질 세부데이터'!"&amp;F$1&amp;$T112, TRUE)</f>
        <v>0</v>
      </c>
      <c r="G112" s="1480" cm="1">
        <f t="array" aca="1" ref="G112" ca="1">INDIRECT("'※ 영업품질 세부데이터'!"&amp;G$1&amp;$T112, TRUE)</f>
        <v>0</v>
      </c>
      <c r="H112" s="1480" cm="1">
        <f t="array" aca="1" ref="H112" ca="1">INDIRECT("'※ 영업품질 세부데이터'!"&amp;H$1&amp;$T112, TRUE)</f>
        <v>0</v>
      </c>
      <c r="I112" s="1480" cm="1">
        <f t="array" aca="1" ref="I112" ca="1">INDIRECT("'※ 영업품질 세부데이터'!"&amp;I$1&amp;$T112, TRUE)</f>
        <v>4</v>
      </c>
      <c r="J112" s="1480" cm="1">
        <f t="array" aca="1" ref="J112" ca="1">INDIRECT("'※ 영업품질 세부데이터'!"&amp;J$1&amp;$T112, TRUE)</f>
        <v>4</v>
      </c>
      <c r="K112" s="6297" cm="1">
        <f t="array" aca="1" ref="K112" ca="1">INDIRECT("'※ 영업품질 세부데이터'!"&amp;K$1&amp;$T112, TRUE)</f>
        <v>0</v>
      </c>
      <c r="L112" s="1480"/>
      <c r="M112" s="1480"/>
      <c r="N112" s="1480">
        <f t="shared" ca="1" si="4"/>
        <v>0</v>
      </c>
      <c r="O112" s="1481" cm="1">
        <f t="array" aca="1" ref="O112" ca="1">INDIRECT("'※ 영업품질 세부데이터'!"&amp;O$1&amp;$T112, TRUE)</f>
        <v>0</v>
      </c>
      <c r="P112" s="1482" cm="1">
        <f t="array" aca="1" ref="P112" ca="1">INDIRECT("'※ 영업품질 세부데이터'!"&amp;P$1&amp;$T112, TRUE)</f>
        <v>0</v>
      </c>
      <c r="Q112" s="1480" cm="1">
        <f t="array" aca="1" ref="Q112" ca="1">INDIRECT("'※ 영업품질 세부데이터'!"&amp;Q$1&amp;$T112, TRUE)</f>
        <v>0</v>
      </c>
      <c r="R112" s="1483" t="e" cm="1">
        <f t="array" aca="1" ref="R112" ca="1">INDIRECT("'※ 영업품질 세부데이터'!"&amp;R$1&amp;$T112, TRUE)</f>
        <v>#DIV/0!</v>
      </c>
      <c r="S112" s="1484" t="e" cm="1">
        <f t="array" aca="1" ref="S112" ca="1">INDIRECT("'※ 영업품질 세부데이터'!"&amp;S$1&amp;$T112, TRUE)</f>
        <v>#DIV/0!</v>
      </c>
      <c r="T112" s="978">
        <f>ROW('※ 영업품질 세부데이터'!A113)</f>
        <v>113</v>
      </c>
      <c r="U112" s="1300"/>
      <c r="V112" s="1300"/>
    </row>
    <row r="113" spans="1:20" ht="14.8" customHeight="1" x14ac:dyDescent="0.55000000000000004">
      <c r="A113" s="7474"/>
      <c r="B113" s="7479" t="s">
        <v>540</v>
      </c>
      <c r="C113" s="7480"/>
      <c r="D113" s="1492" cm="1">
        <f t="array" aca="1" ref="D113" ca="1">INDIRECT("'※ 영업품질 세부데이터'!"&amp;D$1&amp;$T113, TRUE)</f>
        <v>2.2114454622019514E-3</v>
      </c>
      <c r="E113" s="1493" cm="1">
        <f t="array" aca="1" ref="E113" ca="1">INDIRECT("'※ 영업품질 세부데이터'!"&amp;E$1&amp;$T113, TRUE)</f>
        <v>3.7476367012723127E-3</v>
      </c>
      <c r="F113" s="1493" cm="1">
        <f t="array" aca="1" ref="F113" ca="1">INDIRECT("'※ 영업품질 세부데이터'!"&amp;F$1&amp;$T113, TRUE)</f>
        <v>3.154466747608619E-3</v>
      </c>
      <c r="G113" s="1493" cm="1">
        <f t="array" aca="1" ref="G113" ca="1">INDIRECT("'※ 영업품질 세부데이터'!"&amp;G$1&amp;$T113, TRUE)</f>
        <v>1.8683264357328294E-3</v>
      </c>
      <c r="H113" s="1493" cm="1">
        <f t="array" aca="1" ref="H113" ca="1">INDIRECT("'※ 영업품질 세부데이터'!"&amp;H$1&amp;$T113, TRUE)</f>
        <v>7.2802912116484665E-4</v>
      </c>
      <c r="I113" s="1493" cm="1">
        <f t="array" aca="1" ref="I113" ca="1">INDIRECT("'※ 영업품질 세부데이터'!"&amp;I$1&amp;$T113, TRUE)</f>
        <v>1.5300153001530014E-3</v>
      </c>
      <c r="J113" s="1493" cm="1">
        <f t="array" aca="1" ref="J113" ca="1">INDIRECT("'※ 영업품질 세부데이터'!"&amp;J$1&amp;$T113, TRUE)</f>
        <v>3.0010326133723432E-3</v>
      </c>
      <c r="K113" s="6299" t="e" cm="1">
        <f t="array" aca="1" ref="K113" ca="1">INDIRECT("'※ 영업품질 세부데이터'!"&amp;K$1&amp;$T113, TRUE)</f>
        <v>#DIV/0!</v>
      </c>
      <c r="L113" s="1493"/>
      <c r="M113" s="1493"/>
      <c r="N113" s="1494">
        <f t="shared" ca="1" si="4"/>
        <v>-5.9316995366369375E-4</v>
      </c>
      <c r="O113" s="1495" cm="1">
        <f t="array" aca="1" ref="O113" ca="1">INDIRECT("'※ 영업품질 세부데이터'!"&amp;O$1&amp;$T113, TRUE)</f>
        <v>-3.154466747608619E-3</v>
      </c>
      <c r="P113" s="1496" t="e" cm="1">
        <f t="array" aca="1" ref="P113" ca="1">INDIRECT("'※ 영업품질 세부데이터'!"&amp;P$1&amp;$T113, TRUE)</f>
        <v>#DIV/0!</v>
      </c>
      <c r="Q113" s="1494" t="e" cm="1">
        <f t="array" aca="1" ref="Q113" ca="1">INDIRECT("'※ 영업품질 세부데이터'!"&amp;Q$1&amp;$T113, TRUE)</f>
        <v>#DIV/0!</v>
      </c>
      <c r="R113" s="1497" t="e" cm="1">
        <f t="array" aca="1" ref="R113" ca="1">INDIRECT("'※ 영업품질 세부데이터'!"&amp;R$1&amp;$T113, TRUE)</f>
        <v>#DIV/0!</v>
      </c>
      <c r="S113" s="1498" t="e" cm="1">
        <f t="array" aca="1" ref="S113" ca="1">INDIRECT("'※ 영업품질 세부데이터'!"&amp;S$1&amp;$T113, TRUE)</f>
        <v>#DIV/0!</v>
      </c>
      <c r="T113" s="855">
        <f>ROW('※ 영업품질 세부데이터'!A114)</f>
        <v>114</v>
      </c>
    </row>
    <row r="114" spans="1:20" ht="14.8" customHeight="1" thickBot="1" x14ac:dyDescent="0.6">
      <c r="A114" s="7475"/>
      <c r="B114" s="7481" t="s">
        <v>541</v>
      </c>
      <c r="C114" s="7482"/>
      <c r="D114" s="1499" cm="1">
        <f t="array" aca="1" ref="D114" ca="1">INDIRECT("'※ 영업품질 세부데이터'!"&amp;D$1&amp;$T114, TRUE)</f>
        <v>2.3693875917925279E-3</v>
      </c>
      <c r="E114" s="1500" cm="1">
        <f t="array" aca="1" ref="E114" ca="1">INDIRECT("'※ 영업품질 세부데이터'!"&amp;E$1&amp;$T114, TRUE)</f>
        <v>2.442488575072566E-3</v>
      </c>
      <c r="F114" s="1500" cm="1">
        <f t="array" aca="1" ref="F114" ca="1">INDIRECT("'※ 영업품질 세부데이터'!"&amp;F$1&amp;$T114, TRUE)</f>
        <v>2.8553854691401497E-3</v>
      </c>
      <c r="G114" s="1500" cm="1">
        <f t="array" aca="1" ref="G114" ca="1">INDIRECT("'※ 영업품질 세부데이터'!"&amp;G$1&amp;$T114, TRUE)</f>
        <v>2.3645988588558908E-3</v>
      </c>
      <c r="H114" s="1500" cm="1">
        <f t="array" aca="1" ref="H114" ca="1">INDIRECT("'※ 영업품질 세부데이터'!"&amp;H$1&amp;$T114, TRUE)</f>
        <v>1.5562611913676008E-3</v>
      </c>
      <c r="I114" s="1500" cm="1">
        <f t="array" aca="1" ref="I114" ca="1">INDIRECT("'※ 영업품질 세부데이터'!"&amp;I$1&amp;$T114, TRUE)</f>
        <v>1.5562611913676008E-3</v>
      </c>
      <c r="J114" s="1500" cm="1">
        <f t="array" aca="1" ref="J114" ca="1">INDIRECT("'※ 영업품질 세부데이터'!"&amp;J$1&amp;$T114, TRUE)</f>
        <v>3.0900690815429113E-3</v>
      </c>
      <c r="K114" s="6300" t="e" cm="1">
        <f t="array" aca="1" ref="K114" ca="1">INDIRECT("'※ 영업품질 세부데이터'!"&amp;K$1&amp;$T114, TRUE)</f>
        <v>#DIV/0!</v>
      </c>
      <c r="L114" s="1500"/>
      <c r="M114" s="1500"/>
      <c r="N114" s="1500">
        <f t="shared" ca="1" si="4"/>
        <v>4.1289689406758369E-4</v>
      </c>
      <c r="O114" s="1501" cm="1">
        <f t="array" aca="1" ref="O114" ca="1">INDIRECT("'※ 영업품질 세부데이터'!"&amp;O$1&amp;$T114, TRUE)</f>
        <v>-2.8553854691401497E-3</v>
      </c>
      <c r="P114" s="1502" t="e" cm="1">
        <f t="array" aca="1" ref="P114" ca="1">INDIRECT("'※ 영업품질 세부데이터'!"&amp;P$1&amp;$T114, TRUE)</f>
        <v>#DIV/0!</v>
      </c>
      <c r="Q114" s="1500" t="e" cm="1">
        <f t="array" aca="1" ref="Q114" ca="1">INDIRECT("'※ 영업품질 세부데이터'!"&amp;Q$1&amp;$T114, TRUE)</f>
        <v>#DIV/0!</v>
      </c>
      <c r="R114" s="1503" t="e" cm="1">
        <f t="array" aca="1" ref="R114" ca="1">INDIRECT("'※ 영업품질 세부데이터'!"&amp;R$1&amp;$T114, TRUE)</f>
        <v>#DIV/0!</v>
      </c>
      <c r="S114" s="1504" t="e" cm="1">
        <f t="array" aca="1" ref="S114" ca="1">INDIRECT("'※ 영업품질 세부데이터'!"&amp;S$1&amp;$T114, TRUE)</f>
        <v>#DIV/0!</v>
      </c>
      <c r="T114" s="855">
        <f>ROW('※ 영업품질 세부데이터'!A115)</f>
        <v>115</v>
      </c>
    </row>
    <row r="115" spans="1:20" ht="14.8" customHeight="1" x14ac:dyDescent="0.55000000000000004">
      <c r="A115" s="559" t="s">
        <v>603</v>
      </c>
    </row>
  </sheetData>
  <mergeCells count="15">
    <mergeCell ref="A3:S3"/>
    <mergeCell ref="A32:A56"/>
    <mergeCell ref="A7:A30"/>
    <mergeCell ref="A58:A114"/>
    <mergeCell ref="P5:S5"/>
    <mergeCell ref="B85:B87"/>
    <mergeCell ref="B113:C113"/>
    <mergeCell ref="B114:C114"/>
    <mergeCell ref="B29:C29"/>
    <mergeCell ref="B30:C30"/>
    <mergeCell ref="B54:B56"/>
    <mergeCell ref="A6:C6"/>
    <mergeCell ref="M33:M34"/>
    <mergeCell ref="E5:J5"/>
    <mergeCell ref="L5:O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4" fitToHeight="0" orientation="landscape" r:id="rId1"/>
  <headerFooter scaleWithDoc="0">
    <oddFooter>&amp;R&amp;"-,기울임꼴"&amp;8&amp;P &amp; 페이지</oddFooter>
  </headerFooter>
  <rowBreaks count="1" manualBreakCount="1">
    <brk id="57" max="16383" man="1"/>
  </rowBreaks>
  <ignoredErrors>
    <ignoredError sqref="N58:N5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7B1B-9AE5-4155-BA39-ADF140011524}">
  <sheetPr codeName="Sheet26">
    <tabColor theme="9" tint="0.79998168889431442"/>
    <pageSetUpPr fitToPage="1"/>
  </sheetPr>
  <dimension ref="A1:BO59"/>
  <sheetViews>
    <sheetView showGridLines="0" zoomScale="55" zoomScaleNormal="55" workbookViewId="0">
      <pane xSplit="3" topLeftCell="AB1" activePane="topRight" state="frozen"/>
      <selection activeCell="AD11" sqref="AD11"/>
      <selection pane="topRight" activeCell="BA43" sqref="BA43"/>
    </sheetView>
  </sheetViews>
  <sheetFormatPr defaultColWidth="9.140625" defaultRowHeight="15" outlineLevelCol="1" x14ac:dyDescent="0.55000000000000004"/>
  <cols>
    <col min="1" max="1" width="14.42578125" style="559" customWidth="1"/>
    <col min="2" max="2" width="16.2109375" style="559" customWidth="1"/>
    <col min="3" max="3" width="17.0703125" style="559" customWidth="1"/>
    <col min="4" max="15" width="9.5703125" style="559" hidden="1" customWidth="1" outlineLevel="1"/>
    <col min="16" max="16" width="10.5" style="559" customWidth="1" collapsed="1"/>
    <col min="17" max="17" width="9.5703125" style="559" customWidth="1"/>
    <col min="18" max="18" width="5.7109375" style="840" customWidth="1"/>
    <col min="19" max="19" width="9.5" style="559" hidden="1" customWidth="1" outlineLevel="1"/>
    <col min="20" max="26" width="9.35546875" style="559" hidden="1" customWidth="1" outlineLevel="1"/>
    <col min="27" max="29" width="10.0703125" style="559" hidden="1" customWidth="1" outlineLevel="1"/>
    <col min="30" max="30" width="10.7109375" style="559" hidden="1" customWidth="1" outlineLevel="1"/>
    <col min="31" max="31" width="11.2109375" style="559" customWidth="1" collapsed="1"/>
    <col min="32" max="32" width="11.92578125" style="559" customWidth="1"/>
    <col min="33" max="33" width="8.42578125" style="840" customWidth="1"/>
    <col min="34" max="34" width="9.5" style="559" hidden="1" customWidth="1" outlineLevel="1"/>
    <col min="35" max="41" width="9.35546875" style="559" hidden="1" customWidth="1" outlineLevel="1"/>
    <col min="42" max="42" width="10.0703125" style="559" hidden="1" customWidth="1" outlineLevel="1"/>
    <col min="43" max="43" width="10.140625" style="559" hidden="1" customWidth="1" outlineLevel="1"/>
    <col min="44" max="44" width="10.0703125" style="559" hidden="1" customWidth="1" outlineLevel="1"/>
    <col min="45" max="45" width="10.7109375" style="559" hidden="1" customWidth="1" outlineLevel="1"/>
    <col min="46" max="46" width="11.2109375" style="559" customWidth="1" collapsed="1"/>
    <col min="47" max="47" width="11.2109375" style="559" customWidth="1"/>
    <col min="48" max="48" width="8.42578125" style="840" customWidth="1"/>
    <col min="49" max="49" width="9.5" style="559" customWidth="1" outlineLevel="1"/>
    <col min="50" max="56" width="9.35546875" style="559" customWidth="1" outlineLevel="1"/>
    <col min="57" max="57" width="10.0703125" style="559" customWidth="1" outlineLevel="1"/>
    <col min="58" max="58" width="10.140625" style="559" customWidth="1" outlineLevel="1"/>
    <col min="59" max="59" width="10.0703125" style="559" customWidth="1" outlineLevel="1"/>
    <col min="60" max="60" width="10.7109375" style="559" customWidth="1" outlineLevel="1"/>
    <col min="61" max="62" width="11.2109375" style="559" customWidth="1"/>
    <col min="63" max="63" width="8.42578125" style="840" customWidth="1"/>
    <col min="64" max="64" width="13" style="559" customWidth="1"/>
    <col min="65" max="65" width="15.7109375" style="559" customWidth="1"/>
    <col min="66" max="66" width="22.7109375" style="559" customWidth="1"/>
    <col min="67" max="67" width="8.640625" style="559" customWidth="1"/>
    <col min="68" max="16384" width="9.140625" style="559"/>
  </cols>
  <sheetData>
    <row r="1" spans="1:67" x14ac:dyDescent="0.55000000000000004">
      <c r="A1" s="4516">
        <f>'0. 개요'!AE2</f>
        <v>46054</v>
      </c>
      <c r="B1" s="4393">
        <f>'※ 영업품질 세부데이터'!B1</f>
        <v>11.000999999999999</v>
      </c>
      <c r="BN1" s="2845" t="s">
        <v>452</v>
      </c>
    </row>
    <row r="2" spans="1:67" ht="15.45" thickBot="1" x14ac:dyDescent="0.6">
      <c r="D2" s="3692">
        <v>1.0009999999999999</v>
      </c>
      <c r="E2" s="3692">
        <v>2.0009999999999999</v>
      </c>
      <c r="F2" s="3692">
        <v>3.0009999999999999</v>
      </c>
      <c r="G2" s="3692">
        <v>4.0010000000000003</v>
      </c>
      <c r="H2" s="3692">
        <v>5.0010000000000003</v>
      </c>
      <c r="I2" s="3692">
        <v>6.0010000000000003</v>
      </c>
      <c r="J2" s="3692">
        <v>7.0010000000000003</v>
      </c>
      <c r="K2" s="3692">
        <v>8.0009999999999994</v>
      </c>
      <c r="L2" s="3692">
        <v>9.0009999999999994</v>
      </c>
      <c r="M2" s="3692">
        <v>10.000999999999999</v>
      </c>
      <c r="N2" s="3692">
        <v>11.000999999999999</v>
      </c>
      <c r="O2" s="3692">
        <v>12.000999999999999</v>
      </c>
      <c r="S2" s="3692">
        <v>1.0009999999999999</v>
      </c>
      <c r="T2" s="3692">
        <v>2.0009999999999999</v>
      </c>
      <c r="U2" s="3692">
        <v>3.0009999999999999</v>
      </c>
      <c r="V2" s="3692">
        <v>4.0010000000000003</v>
      </c>
      <c r="W2" s="3692">
        <v>5.0010000000000003</v>
      </c>
      <c r="X2" s="3692">
        <v>6.0010000000000003</v>
      </c>
      <c r="Y2" s="3692">
        <v>7.0010000000000003</v>
      </c>
      <c r="Z2" s="3692">
        <v>8.0009999999999994</v>
      </c>
      <c r="AA2" s="3692">
        <v>9.0009999999999994</v>
      </c>
      <c r="AB2" s="3692">
        <v>10.000999999999999</v>
      </c>
      <c r="AC2" s="3692">
        <v>11.000999999999999</v>
      </c>
      <c r="AD2" s="3692">
        <v>12.000999999999999</v>
      </c>
      <c r="AH2" s="5616">
        <v>45658</v>
      </c>
      <c r="AI2" s="5616">
        <v>45689</v>
      </c>
      <c r="AJ2" s="5616">
        <v>45717</v>
      </c>
      <c r="AK2" s="5616">
        <v>45748</v>
      </c>
      <c r="AL2" s="5616">
        <v>45778</v>
      </c>
      <c r="AM2" s="5616">
        <v>45809</v>
      </c>
      <c r="AN2" s="5616">
        <v>45839</v>
      </c>
      <c r="AO2" s="5616">
        <v>45870</v>
      </c>
      <c r="AP2" s="5616">
        <v>45901</v>
      </c>
      <c r="AQ2" s="5616">
        <v>45931</v>
      </c>
      <c r="AR2" s="5616">
        <v>45962</v>
      </c>
      <c r="AS2" s="5616">
        <v>45992</v>
      </c>
      <c r="AW2" s="4477">
        <v>46023</v>
      </c>
      <c r="AX2" s="4477">
        <v>46054</v>
      </c>
      <c r="AY2" s="4477">
        <v>46082</v>
      </c>
      <c r="AZ2" s="4477">
        <v>46113</v>
      </c>
      <c r="BA2" s="4477">
        <v>46143</v>
      </c>
      <c r="BB2" s="4477">
        <v>46174</v>
      </c>
      <c r="BC2" s="4477">
        <v>46204</v>
      </c>
      <c r="BD2" s="4477">
        <v>46235</v>
      </c>
      <c r="BE2" s="4477">
        <v>46266</v>
      </c>
      <c r="BF2" s="4477">
        <v>46296</v>
      </c>
      <c r="BG2" s="4477">
        <v>46327</v>
      </c>
      <c r="BH2" s="4477">
        <v>46357</v>
      </c>
      <c r="BN2" s="581"/>
    </row>
    <row r="3" spans="1:67" ht="16.75" thickBot="1" x14ac:dyDescent="0.6">
      <c r="D3" s="5621" t="s">
        <v>621</v>
      </c>
      <c r="E3" s="5621" t="s">
        <v>622</v>
      </c>
      <c r="F3" s="5621" t="s">
        <v>623</v>
      </c>
      <c r="G3" s="5621" t="s">
        <v>624</v>
      </c>
      <c r="H3" s="5621" t="s">
        <v>625</v>
      </c>
      <c r="I3" s="5621" t="s">
        <v>626</v>
      </c>
      <c r="J3" s="5621" t="s">
        <v>627</v>
      </c>
      <c r="K3" s="5621" t="s">
        <v>628</v>
      </c>
      <c r="L3" s="5621" t="s">
        <v>629</v>
      </c>
      <c r="M3" s="5621" t="s">
        <v>630</v>
      </c>
      <c r="N3" s="5621" t="s">
        <v>631</v>
      </c>
      <c r="O3" s="5621" t="s">
        <v>632</v>
      </c>
      <c r="P3" s="5621" t="s">
        <v>393</v>
      </c>
      <c r="Q3" s="5621" t="s">
        <v>610</v>
      </c>
      <c r="R3" s="840" t="s">
        <v>995</v>
      </c>
      <c r="S3" s="5622" t="s">
        <v>2</v>
      </c>
      <c r="T3" s="5622" t="s">
        <v>608</v>
      </c>
      <c r="U3" s="5622" t="s">
        <v>503</v>
      </c>
      <c r="V3" s="5622" t="s">
        <v>341</v>
      </c>
      <c r="W3" s="5622" t="s">
        <v>342</v>
      </c>
      <c r="X3" s="5622" t="s">
        <v>343</v>
      </c>
      <c r="Y3" s="5622" t="s">
        <v>344</v>
      </c>
      <c r="Z3" s="5622" t="s">
        <v>345</v>
      </c>
      <c r="AA3" s="5622" t="s">
        <v>346</v>
      </c>
      <c r="AB3" s="5622" t="s">
        <v>347</v>
      </c>
      <c r="AC3" s="5622" t="s">
        <v>348</v>
      </c>
      <c r="AD3" s="5622" t="s">
        <v>349</v>
      </c>
      <c r="AE3" s="5621" t="s">
        <v>609</v>
      </c>
      <c r="AF3" s="5621" t="s">
        <v>610</v>
      </c>
      <c r="AH3" s="4839" t="s">
        <v>940</v>
      </c>
      <c r="AI3" s="4823" t="s">
        <v>942</v>
      </c>
      <c r="AJ3" s="4823" t="s">
        <v>944</v>
      </c>
      <c r="AK3" s="4823" t="s">
        <v>945</v>
      </c>
      <c r="AL3" s="4823" t="s">
        <v>946</v>
      </c>
      <c r="AM3" s="4823" t="s">
        <v>947</v>
      </c>
      <c r="AN3" s="4823" t="s">
        <v>948</v>
      </c>
      <c r="AO3" s="4823" t="s">
        <v>949</v>
      </c>
      <c r="AP3" s="4823" t="s">
        <v>950</v>
      </c>
      <c r="AQ3" s="4823" t="s">
        <v>951</v>
      </c>
      <c r="AR3" s="4823" t="s">
        <v>952</v>
      </c>
      <c r="AS3" s="4823" t="s">
        <v>953</v>
      </c>
      <c r="AT3" s="4840" t="s">
        <v>956</v>
      </c>
      <c r="AU3" s="4841" t="s">
        <v>610</v>
      </c>
      <c r="AW3" s="4685" t="s">
        <v>1122</v>
      </c>
      <c r="AX3" s="1155" t="s">
        <v>1072</v>
      </c>
      <c r="AY3" s="1155" t="s">
        <v>1073</v>
      </c>
      <c r="AZ3" s="1155" t="s">
        <v>1074</v>
      </c>
      <c r="BA3" s="1155" t="s">
        <v>1075</v>
      </c>
      <c r="BB3" s="1155" t="s">
        <v>1076</v>
      </c>
      <c r="BC3" s="1155" t="s">
        <v>1077</v>
      </c>
      <c r="BD3" s="1155" t="s">
        <v>1078</v>
      </c>
      <c r="BE3" s="1155" t="s">
        <v>1079</v>
      </c>
      <c r="BF3" s="1155" t="s">
        <v>1080</v>
      </c>
      <c r="BG3" s="1155" t="s">
        <v>1081</v>
      </c>
      <c r="BH3" s="1155" t="s">
        <v>1082</v>
      </c>
      <c r="BI3" s="4840" t="s">
        <v>1154</v>
      </c>
      <c r="BJ3" s="4841" t="s">
        <v>610</v>
      </c>
      <c r="BL3" s="2855" t="s">
        <v>444</v>
      </c>
      <c r="BM3" s="2855" t="s">
        <v>445</v>
      </c>
      <c r="BN3" s="2856" t="s">
        <v>450</v>
      </c>
      <c r="BO3" s="559" t="s">
        <v>130</v>
      </c>
    </row>
    <row r="4" spans="1:67" x14ac:dyDescent="0.55000000000000004">
      <c r="A4" s="7459" t="s">
        <v>870</v>
      </c>
      <c r="B4" s="1013" t="s">
        <v>871</v>
      </c>
      <c r="C4" s="1014" t="s">
        <v>264</v>
      </c>
      <c r="D4" s="5623">
        <v>58890</v>
      </c>
      <c r="E4" s="5623">
        <v>60833</v>
      </c>
      <c r="F4" s="5623">
        <v>80715</v>
      </c>
      <c r="G4" s="5623">
        <v>71492</v>
      </c>
      <c r="H4" s="5623">
        <v>72494</v>
      </c>
      <c r="I4" s="5624">
        <v>74033</v>
      </c>
      <c r="J4" s="5624">
        <v>57433</v>
      </c>
      <c r="K4" s="5624">
        <v>75686</v>
      </c>
      <c r="L4" s="5624">
        <v>75723</v>
      </c>
      <c r="M4" s="5624">
        <v>60038</v>
      </c>
      <c r="N4" s="5624">
        <v>69426</v>
      </c>
      <c r="O4" s="5624">
        <v>63431</v>
      </c>
      <c r="P4" s="5625">
        <f t="shared" ref="P4:P11" si="0">SUM(D4:O4)</f>
        <v>820194</v>
      </c>
      <c r="Q4" s="5625">
        <f t="shared" ref="Q4:Q11" si="1">AVERAGE(D4:O4)</f>
        <v>68349.5</v>
      </c>
      <c r="R4" s="840" t="b">
        <v>1</v>
      </c>
      <c r="S4" s="3673">
        <v>65946</v>
      </c>
      <c r="T4" s="3673">
        <v>86100</v>
      </c>
      <c r="U4" s="3673">
        <v>67184</v>
      </c>
      <c r="V4" s="3673">
        <v>64001</v>
      </c>
      <c r="W4" s="3673">
        <v>67096</v>
      </c>
      <c r="X4" s="3673">
        <v>71434</v>
      </c>
      <c r="Y4" s="3673">
        <v>69084</v>
      </c>
      <c r="Z4" s="3673">
        <v>78251</v>
      </c>
      <c r="AA4" s="3673">
        <v>62894</v>
      </c>
      <c r="AB4" s="5626">
        <v>66187</v>
      </c>
      <c r="AC4" s="5627">
        <v>84842</v>
      </c>
      <c r="AD4" s="5627">
        <v>66662</v>
      </c>
      <c r="AE4" s="5625">
        <f t="shared" ref="AE4:AE11" si="2">SUM(S4:AD4)</f>
        <v>849681</v>
      </c>
      <c r="AF4" s="5625">
        <f>AVERAGE(S4:AD4)</f>
        <v>70806.75</v>
      </c>
      <c r="AH4" s="3673">
        <v>64963</v>
      </c>
      <c r="AI4" s="3673">
        <f>AH7</f>
        <v>98658</v>
      </c>
      <c r="AJ4" s="3673">
        <f>AI7</f>
        <v>64234</v>
      </c>
      <c r="AK4" s="3673">
        <v>52069</v>
      </c>
      <c r="AL4" s="3673">
        <v>47488</v>
      </c>
      <c r="AM4" s="3673">
        <v>45328</v>
      </c>
      <c r="AN4" s="3673">
        <v>51970</v>
      </c>
      <c r="AO4" s="3673">
        <v>78074</v>
      </c>
      <c r="AP4" s="3673">
        <v>64797</v>
      </c>
      <c r="AQ4" s="5626">
        <v>66755</v>
      </c>
      <c r="AR4" s="5627">
        <v>60321</v>
      </c>
      <c r="AS4" s="5627">
        <v>58348</v>
      </c>
      <c r="AT4" s="5625">
        <f>SUM(AH4:AS4)</f>
        <v>753005</v>
      </c>
      <c r="AU4" s="5625">
        <f>AVERAGE(AH4:AS4)</f>
        <v>62750.416666666664</v>
      </c>
      <c r="AW4" s="3673">
        <v>59783</v>
      </c>
      <c r="AX4" s="3673">
        <v>66014</v>
      </c>
      <c r="AY4" s="3673"/>
      <c r="AZ4" s="3673"/>
      <c r="BA4" s="3673"/>
      <c r="BB4" s="3673"/>
      <c r="BC4" s="3673"/>
      <c r="BD4" s="3673"/>
      <c r="BE4" s="3673"/>
      <c r="BF4" s="5626"/>
      <c r="BG4" s="5627"/>
      <c r="BH4" s="5627"/>
      <c r="BI4" s="5625">
        <f>SUM(AW4:BH4)</f>
        <v>125797</v>
      </c>
      <c r="BJ4" s="5625">
        <f>AVERAGE(AW4:BH4)</f>
        <v>62898.5</v>
      </c>
      <c r="BL4" s="3286">
        <f>IFERROR(_xlfn.XLOOKUP($A$1,$2:$2,4:4)-_xlfn.XLOOKUP(EDATE($A$1,-12),$2:$2,4:4),"")</f>
        <v>-32644</v>
      </c>
      <c r="BM4" s="3286">
        <f>BJ4-AU4</f>
        <v>148.08333333333576</v>
      </c>
      <c r="BN4" s="4773">
        <f>IFERROR(
  SUM(
    _xlfn.XLOOKUP(DATE(YEAR($A$1),1,1),$2:$2,4:4):
    _xlfn.XLOOKUP($A$1,$2:$2,4:4)
  )
 -SUM(
    _xlfn.XLOOKUP(DATE(YEAR($A$1)-1,1,1),$2:$2,4:4):
    _xlfn.XLOOKUP(EDATE($A$1,-12),$2:$2,4:4)
  ),"")</f>
        <v>-37824</v>
      </c>
      <c r="BO4" s="2860">
        <f>IFERROR(
  _xlfn.XLOOKUP($A$1,$2:$2,4:4)
 -_xlfn.XLOOKUP(EDATE($A$1,-1),$2:$2,4:4),"")</f>
        <v>6231</v>
      </c>
    </row>
    <row r="5" spans="1:67" x14ac:dyDescent="0.55000000000000004">
      <c r="A5" s="7439"/>
      <c r="B5" s="1021"/>
      <c r="C5" s="559" t="s">
        <v>872</v>
      </c>
      <c r="D5" s="590">
        <v>45940</v>
      </c>
      <c r="E5" s="590">
        <v>83905</v>
      </c>
      <c r="F5" s="590">
        <v>39179</v>
      </c>
      <c r="G5" s="590">
        <v>45016</v>
      </c>
      <c r="H5" s="590">
        <v>49213</v>
      </c>
      <c r="I5" s="590">
        <v>28941</v>
      </c>
      <c r="J5" s="590">
        <v>61880</v>
      </c>
      <c r="K5" s="590">
        <v>74931</v>
      </c>
      <c r="L5" s="590">
        <v>21873</v>
      </c>
      <c r="M5" s="590">
        <v>80671</v>
      </c>
      <c r="N5" s="590">
        <v>36561</v>
      </c>
      <c r="O5" s="590">
        <v>36066</v>
      </c>
      <c r="P5" s="5628">
        <f t="shared" si="0"/>
        <v>604176</v>
      </c>
      <c r="Q5" s="590">
        <f t="shared" si="1"/>
        <v>50348</v>
      </c>
      <c r="R5" s="840" t="b">
        <v>1</v>
      </c>
      <c r="S5" s="1102">
        <v>87528</v>
      </c>
      <c r="T5" s="1102">
        <v>23639</v>
      </c>
      <c r="U5" s="1102">
        <v>32634</v>
      </c>
      <c r="V5" s="1102">
        <v>41801</v>
      </c>
      <c r="W5" s="1102">
        <v>41545</v>
      </c>
      <c r="X5" s="1102">
        <v>31069</v>
      </c>
      <c r="Y5" s="1102">
        <v>66989</v>
      </c>
      <c r="Z5" s="1102">
        <v>21339</v>
      </c>
      <c r="AA5" s="1102">
        <v>55987</v>
      </c>
      <c r="AB5" s="1102">
        <v>56568</v>
      </c>
      <c r="AC5" s="1102">
        <v>9942</v>
      </c>
      <c r="AD5" s="1102">
        <v>21982</v>
      </c>
      <c r="AE5" s="5628">
        <f t="shared" si="2"/>
        <v>491023</v>
      </c>
      <c r="AF5" s="5628">
        <f t="shared" ref="AF5:AF11" si="3">AVERAGE(S5:AD5)</f>
        <v>40918.583333333336</v>
      </c>
      <c r="AH5" s="1102">
        <v>59797</v>
      </c>
      <c r="AI5" s="1102">
        <f>AI7-AI4+AI6</f>
        <v>18164</v>
      </c>
      <c r="AJ5" s="1102">
        <f>AJ7-AJ4+AJ6</f>
        <v>18551</v>
      </c>
      <c r="AK5" s="1102">
        <v>26411</v>
      </c>
      <c r="AL5" s="1102">
        <v>34238</v>
      </c>
      <c r="AM5" s="1102">
        <v>35621</v>
      </c>
      <c r="AN5" s="1102">
        <v>95145</v>
      </c>
      <c r="AO5" s="1102">
        <v>20105</v>
      </c>
      <c r="AP5" s="1102">
        <v>52782</v>
      </c>
      <c r="AQ5" s="1102">
        <v>25978</v>
      </c>
      <c r="AR5" s="1102">
        <v>12343</v>
      </c>
      <c r="AS5" s="1102">
        <v>28510</v>
      </c>
      <c r="AT5" s="5628">
        <f t="shared" ref="AT5:AT57" si="4">SUM(AH5:AS5)</f>
        <v>427645</v>
      </c>
      <c r="AU5" s="5628">
        <f t="shared" ref="AU5:AU11" si="5">AVERAGE(AH5:AS5)</f>
        <v>35637.083333333336</v>
      </c>
      <c r="AW5" s="1102">
        <v>50504</v>
      </c>
      <c r="AX5" s="1102">
        <v>37055</v>
      </c>
      <c r="AY5" s="1102"/>
      <c r="AZ5" s="1102"/>
      <c r="BA5" s="1102"/>
      <c r="BB5" s="1102"/>
      <c r="BC5" s="1102"/>
      <c r="BD5" s="1102"/>
      <c r="BE5" s="1102"/>
      <c r="BF5" s="1102"/>
      <c r="BG5" s="1102"/>
      <c r="BH5" s="1102"/>
      <c r="BI5" s="5628">
        <f t="shared" ref="BI5:BI22" si="6">SUM(AW5:BH5)</f>
        <v>87559</v>
      </c>
      <c r="BJ5" s="5628">
        <f t="shared" ref="BJ5:BJ9" si="7">AVERAGE(AW5:BH5)</f>
        <v>43779.5</v>
      </c>
      <c r="BL5" s="3286">
        <f t="shared" ref="BL5:BL57" si="8">IFERROR(_xlfn.XLOOKUP($A$1,$2:$2,5:5)-_xlfn.XLOOKUP(EDATE($A$1,-12),$2:$2,5:5),"")</f>
        <v>18891</v>
      </c>
      <c r="BM5" s="3286">
        <f t="shared" ref="BM5:BM57" si="9">BJ5-AU5</f>
        <v>8142.4166666666642</v>
      </c>
      <c r="BN5" s="4773">
        <f>IFERROR(
  SUM(
    _xlfn.XLOOKUP(DATE(YEAR($A$1),1,1),$2:$2,5:5):
    _xlfn.XLOOKUP($A$1,$2:$2,5:5)
  )
 -SUM(
    _xlfn.XLOOKUP(DATE(YEAR($A$1)-1,1,1),$2:$2,5:5):
    _xlfn.XLOOKUP(EDATE($A$1,-12),$2:$2,5:5)
  ),"")</f>
        <v>9598</v>
      </c>
      <c r="BO5" s="2860">
        <f t="shared" ref="BO5:BO57" si="10">IFERROR(
  _xlfn.XLOOKUP($A$1,$2:$2,5:5)
 -_xlfn.XLOOKUP(EDATE($A$1,-1),$2:$2,5:5),"")</f>
        <v>-13449</v>
      </c>
    </row>
    <row r="6" spans="1:67" x14ac:dyDescent="0.55000000000000004">
      <c r="A6" s="7439"/>
      <c r="B6" s="1021"/>
      <c r="C6" s="559" t="s">
        <v>873</v>
      </c>
      <c r="D6" s="1102">
        <v>43997</v>
      </c>
      <c r="E6" s="1102">
        <v>64023</v>
      </c>
      <c r="F6" s="1102">
        <v>48402</v>
      </c>
      <c r="G6" s="1102">
        <v>44014</v>
      </c>
      <c r="H6" s="1102">
        <v>47674</v>
      </c>
      <c r="I6" s="1102">
        <v>45541</v>
      </c>
      <c r="J6" s="1102">
        <v>43627</v>
      </c>
      <c r="K6" s="1102">
        <v>74894</v>
      </c>
      <c r="L6" s="1102">
        <v>37558</v>
      </c>
      <c r="M6" s="1102">
        <v>71283</v>
      </c>
      <c r="N6" s="1102">
        <v>42556</v>
      </c>
      <c r="O6" s="1102">
        <v>33551</v>
      </c>
      <c r="P6" s="5628">
        <f t="shared" si="0"/>
        <v>597120</v>
      </c>
      <c r="Q6" s="590">
        <f t="shared" si="1"/>
        <v>49760</v>
      </c>
      <c r="R6" s="840" t="b">
        <v>1</v>
      </c>
      <c r="S6" s="1102">
        <v>67374</v>
      </c>
      <c r="T6" s="1102">
        <v>42555</v>
      </c>
      <c r="U6" s="1102">
        <v>35817</v>
      </c>
      <c r="V6" s="1102">
        <v>38706</v>
      </c>
      <c r="W6" s="1102">
        <v>37207</v>
      </c>
      <c r="X6" s="1102">
        <v>33419</v>
      </c>
      <c r="Y6" s="1102">
        <v>57822</v>
      </c>
      <c r="Z6" s="1102">
        <v>36696</v>
      </c>
      <c r="AA6" s="1102">
        <v>52694</v>
      </c>
      <c r="AB6" s="1102">
        <v>37913</v>
      </c>
      <c r="AC6" s="1102">
        <v>28122</v>
      </c>
      <c r="AD6" s="1102">
        <v>23681</v>
      </c>
      <c r="AE6" s="5628">
        <f t="shared" si="2"/>
        <v>492006</v>
      </c>
      <c r="AF6" s="5628">
        <f t="shared" si="3"/>
        <v>41000.5</v>
      </c>
      <c r="AH6" s="1102">
        <v>26102</v>
      </c>
      <c r="AI6" s="1102">
        <v>52588</v>
      </c>
      <c r="AJ6" s="1102">
        <v>30716</v>
      </c>
      <c r="AK6" s="1102">
        <v>30992</v>
      </c>
      <c r="AL6" s="1102">
        <v>36398</v>
      </c>
      <c r="AM6" s="1102">
        <v>28979</v>
      </c>
      <c r="AN6" s="1102">
        <v>70776</v>
      </c>
      <c r="AO6" s="1102">
        <v>33382</v>
      </c>
      <c r="AP6" s="1102">
        <v>50824</v>
      </c>
      <c r="AQ6" s="1102">
        <v>32412</v>
      </c>
      <c r="AR6" s="1102">
        <v>14316</v>
      </c>
      <c r="AS6" s="1102">
        <v>27075</v>
      </c>
      <c r="AT6" s="5628">
        <f t="shared" si="4"/>
        <v>434560</v>
      </c>
      <c r="AU6" s="5628">
        <f t="shared" si="5"/>
        <v>36213.333333333336</v>
      </c>
      <c r="AW6" s="1102">
        <v>48130</v>
      </c>
      <c r="AX6" s="1102">
        <v>33198</v>
      </c>
      <c r="AY6" s="1102"/>
      <c r="AZ6" s="1102"/>
      <c r="BA6" s="1102"/>
      <c r="BB6" s="1102"/>
      <c r="BC6" s="1102"/>
      <c r="BD6" s="1102"/>
      <c r="BE6" s="1102"/>
      <c r="BF6" s="1102"/>
      <c r="BG6" s="1102"/>
      <c r="BH6" s="1102"/>
      <c r="BI6" s="5628">
        <f t="shared" si="6"/>
        <v>81328</v>
      </c>
      <c r="BJ6" s="5628">
        <f>AVERAGE(AW6:BH6)</f>
        <v>40664</v>
      </c>
      <c r="BL6" s="3286">
        <f t="shared" si="8"/>
        <v>-19390</v>
      </c>
      <c r="BM6" s="3286">
        <f t="shared" si="9"/>
        <v>4450.6666666666642</v>
      </c>
      <c r="BN6" s="4773">
        <f>IFERROR(
  SUM(
    _xlfn.XLOOKUP(DATE(YEAR($A$1),1,1),$2:$2,6:6):
    _xlfn.XLOOKUP($A$1,$2:$2,6:6)
  )
 -SUM(
    _xlfn.XLOOKUP(DATE(YEAR($A$1)-1,1,1),$2:$2,6:6):
    _xlfn.XLOOKUP(EDATE($A$1,-12),$2:$2,6:6)
  ),"")</f>
        <v>2638</v>
      </c>
      <c r="BO6" s="2860">
        <f t="shared" si="10"/>
        <v>-14932</v>
      </c>
    </row>
    <row r="7" spans="1:67" x14ac:dyDescent="0.55000000000000004">
      <c r="A7" s="7439"/>
      <c r="B7" s="1021"/>
      <c r="C7" s="1028" t="s">
        <v>269</v>
      </c>
      <c r="D7" s="3673">
        <v>60833</v>
      </c>
      <c r="E7" s="3673">
        <v>80715</v>
      </c>
      <c r="F7" s="3673">
        <v>71492</v>
      </c>
      <c r="G7" s="3673">
        <v>72494</v>
      </c>
      <c r="H7" s="3673">
        <v>74033</v>
      </c>
      <c r="I7" s="3673">
        <v>57433</v>
      </c>
      <c r="J7" s="3673">
        <v>75686</v>
      </c>
      <c r="K7" s="3673">
        <v>75723</v>
      </c>
      <c r="L7" s="3673">
        <v>60038</v>
      </c>
      <c r="M7" s="3673">
        <v>69426</v>
      </c>
      <c r="N7" s="3673">
        <v>63431</v>
      </c>
      <c r="O7" s="3673">
        <v>65946</v>
      </c>
      <c r="P7" s="5625">
        <f t="shared" si="0"/>
        <v>827250</v>
      </c>
      <c r="Q7" s="5624">
        <f t="shared" si="1"/>
        <v>68937.5</v>
      </c>
      <c r="R7" s="840" t="b">
        <v>1</v>
      </c>
      <c r="S7" s="3673">
        <v>86100</v>
      </c>
      <c r="T7" s="3673">
        <v>67184</v>
      </c>
      <c r="U7" s="3673">
        <v>64001</v>
      </c>
      <c r="V7" s="3673">
        <v>67096</v>
      </c>
      <c r="W7" s="3673">
        <v>71434</v>
      </c>
      <c r="X7" s="3673">
        <v>69084</v>
      </c>
      <c r="Y7" s="3673">
        <v>78251</v>
      </c>
      <c r="Z7" s="3673">
        <v>62894</v>
      </c>
      <c r="AA7" s="3673">
        <v>66187</v>
      </c>
      <c r="AB7" s="3673">
        <v>84842</v>
      </c>
      <c r="AC7" s="3673">
        <v>66662</v>
      </c>
      <c r="AD7" s="3673">
        <v>64963</v>
      </c>
      <c r="AE7" s="5625">
        <f t="shared" si="2"/>
        <v>848698</v>
      </c>
      <c r="AF7" s="5625">
        <f t="shared" si="3"/>
        <v>70724.833333333328</v>
      </c>
      <c r="AH7" s="3673">
        <v>98658</v>
      </c>
      <c r="AI7" s="3673">
        <v>64234</v>
      </c>
      <c r="AJ7" s="3673">
        <v>52069</v>
      </c>
      <c r="AK7" s="3673">
        <v>47488</v>
      </c>
      <c r="AL7" s="3673">
        <v>45328</v>
      </c>
      <c r="AM7" s="3673">
        <v>51970</v>
      </c>
      <c r="AN7" s="3673">
        <v>76339</v>
      </c>
      <c r="AO7" s="3673">
        <v>64797</v>
      </c>
      <c r="AP7" s="3673">
        <v>66755</v>
      </c>
      <c r="AQ7" s="3673">
        <v>60321</v>
      </c>
      <c r="AR7" s="3673">
        <v>58348</v>
      </c>
      <c r="AS7" s="3673">
        <v>59783</v>
      </c>
      <c r="AT7" s="5625">
        <f t="shared" si="4"/>
        <v>746090</v>
      </c>
      <c r="AU7" s="5625">
        <f t="shared" si="5"/>
        <v>62174.166666666664</v>
      </c>
      <c r="AW7" s="3673">
        <v>62157</v>
      </c>
      <c r="AX7" s="3673">
        <v>69871</v>
      </c>
      <c r="AY7" s="3673"/>
      <c r="AZ7" s="3673"/>
      <c r="BA7" s="3673"/>
      <c r="BB7" s="3673"/>
      <c r="BC7" s="3673"/>
      <c r="BD7" s="3673"/>
      <c r="BE7" s="3673"/>
      <c r="BF7" s="3673"/>
      <c r="BG7" s="3673"/>
      <c r="BH7" s="3673"/>
      <c r="BI7" s="5625">
        <f t="shared" si="6"/>
        <v>132028</v>
      </c>
      <c r="BJ7" s="5625">
        <f t="shared" si="7"/>
        <v>66014</v>
      </c>
      <c r="BL7" s="3286">
        <f t="shared" si="8"/>
        <v>5637</v>
      </c>
      <c r="BM7" s="3286">
        <f t="shared" si="9"/>
        <v>3839.8333333333358</v>
      </c>
      <c r="BN7" s="4773">
        <f>IFERROR(
  SUM(
    _xlfn.XLOOKUP(DATE(YEAR($A$1),1,1),$2:$2,7:7):
    _xlfn.XLOOKUP($A$1,$2:$2,7:7)
  )
 -SUM(
    _xlfn.XLOOKUP(DATE(YEAR($A$1)-1,1,1),$2:$2,7:7):
    _xlfn.XLOOKUP(EDATE($A$1,-12),$2:$2,7:7)
  ),"")</f>
        <v>-30864</v>
      </c>
      <c r="BO7" s="2860">
        <f t="shared" si="10"/>
        <v>7714</v>
      </c>
    </row>
    <row r="8" spans="1:67" x14ac:dyDescent="0.55000000000000004">
      <c r="A8" s="7439"/>
      <c r="B8" s="1035"/>
      <c r="C8" s="559" t="s">
        <v>270</v>
      </c>
      <c r="D8" s="5629">
        <v>42.86253608200559</v>
      </c>
      <c r="E8" s="5629">
        <v>35.300126517032943</v>
      </c>
      <c r="F8" s="5629">
        <v>45.788438494277095</v>
      </c>
      <c r="G8" s="5629">
        <v>49.41200527105012</v>
      </c>
      <c r="H8" s="5629">
        <v>48.139929521332384</v>
      </c>
      <c r="I8" s="5629">
        <v>37.833820074218835</v>
      </c>
      <c r="J8" s="5629">
        <v>53.780136154216429</v>
      </c>
      <c r="K8" s="5629">
        <v>31.343138302133685</v>
      </c>
      <c r="L8" s="5629">
        <v>47.956227701155548</v>
      </c>
      <c r="M8" s="5629">
        <v>30.192416144101678</v>
      </c>
      <c r="N8" s="5629">
        <v>43.2</v>
      </c>
      <c r="O8" s="5629">
        <v>60.9</v>
      </c>
      <c r="P8" s="5629">
        <f t="shared" si="0"/>
        <v>526.70877426152435</v>
      </c>
      <c r="Q8" s="5629">
        <f t="shared" si="1"/>
        <v>43.89239785512703</v>
      </c>
      <c r="R8" s="840" t="b">
        <v>1</v>
      </c>
      <c r="S8" s="5629">
        <v>39.616172410722235</v>
      </c>
      <c r="T8" s="5629">
        <v>44.205193279285631</v>
      </c>
      <c r="U8" s="5629">
        <v>55.393556132562743</v>
      </c>
      <c r="V8" s="5629">
        <v>52.066346302898772</v>
      </c>
      <c r="W8" s="5629">
        <v>59.51713387265837</v>
      </c>
      <c r="X8" s="5629">
        <v>59.9</v>
      </c>
      <c r="Y8" s="5629">
        <v>41.952561308844388</v>
      </c>
      <c r="Z8" s="5629">
        <v>53.131512971441026</v>
      </c>
      <c r="AA8" s="5629">
        <v>37.681899267468786</v>
      </c>
      <c r="AB8" s="5629">
        <v>69.372035977105483</v>
      </c>
      <c r="AC8" s="5629">
        <v>71.113718796671648</v>
      </c>
      <c r="AD8" s="5629">
        <v>85.040876652168407</v>
      </c>
      <c r="AE8" s="5629">
        <f t="shared" si="2"/>
        <v>668.99100697182746</v>
      </c>
      <c r="AF8" s="5629">
        <f t="shared" si="3"/>
        <v>55.749250580985624</v>
      </c>
      <c r="AH8" s="5629">
        <v>117.17102137767222</v>
      </c>
      <c r="AI8" s="5629">
        <v>34.248193504221497</v>
      </c>
      <c r="AJ8" s="5629">
        <v>51.7</v>
      </c>
      <c r="AK8" s="5629">
        <v>41</v>
      </c>
      <c r="AL8" s="5629">
        <v>38.5</v>
      </c>
      <c r="AM8" s="5629">
        <v>54</v>
      </c>
      <c r="AN8" s="5629">
        <v>44.9</v>
      </c>
      <c r="AO8" s="5629">
        <v>58</v>
      </c>
      <c r="AP8" s="5629">
        <v>39.299999999999997</v>
      </c>
      <c r="AQ8" s="5629">
        <v>57.5</v>
      </c>
      <c r="AR8" s="5629">
        <v>58.3</v>
      </c>
      <c r="AS8" s="5629">
        <v>61.9</v>
      </c>
      <c r="AT8" s="5629">
        <f t="shared" si="4"/>
        <v>656.51921488189362</v>
      </c>
      <c r="AU8" s="5629">
        <f t="shared" si="5"/>
        <v>54.709934573491132</v>
      </c>
      <c r="AW8" s="5629">
        <v>51.108360234174093</v>
      </c>
      <c r="AX8" s="5629">
        <v>54.2</v>
      </c>
      <c r="AY8" s="5629"/>
      <c r="AZ8" s="5629"/>
      <c r="BA8" s="5629"/>
      <c r="BB8" s="5629"/>
      <c r="BC8" s="5629"/>
      <c r="BD8" s="5629"/>
      <c r="BE8" s="5629"/>
      <c r="BF8" s="5629"/>
      <c r="BG8" s="5629"/>
      <c r="BH8" s="5629"/>
      <c r="BI8" s="5629">
        <f t="shared" si="6"/>
        <v>105.3083602341741</v>
      </c>
      <c r="BJ8" s="5629">
        <f t="shared" si="7"/>
        <v>52.654180117087051</v>
      </c>
      <c r="BL8" s="3286">
        <f t="shared" si="8"/>
        <v>19.951806495778506</v>
      </c>
      <c r="BM8" s="3286">
        <f t="shared" si="9"/>
        <v>-2.0557544564040811</v>
      </c>
      <c r="BN8" s="4773">
        <f>IFERROR(
  SUM(
    _xlfn.XLOOKUP(DATE(YEAR($A$1),1,1),$2:$2,8:8):
    _xlfn.XLOOKUP($A$1,$2:$2,8:8)
  )
 -SUM(
    _xlfn.XLOOKUP(DATE(YEAR($A$1)-1,1,1),$2:$2,8:8):
    _xlfn.XLOOKUP(EDATE($A$1,-12),$2:$2,8:8)
  ),"")</f>
        <v>-46.110854647719606</v>
      </c>
      <c r="BO8" s="2860">
        <f t="shared" si="10"/>
        <v>3.09163976582591</v>
      </c>
    </row>
    <row r="9" spans="1:67" x14ac:dyDescent="0.55000000000000004">
      <c r="A9" s="7439"/>
      <c r="B9" s="1036"/>
      <c r="C9" s="1094" t="s">
        <v>276</v>
      </c>
      <c r="D9" s="5630">
        <v>818.45056848000002</v>
      </c>
      <c r="E9" s="5630">
        <v>1015.3829696499999</v>
      </c>
      <c r="F9" s="5630">
        <v>764.9</v>
      </c>
      <c r="G9" s="5630">
        <v>720</v>
      </c>
      <c r="H9" s="5630">
        <v>722.4</v>
      </c>
      <c r="I9" s="5630">
        <v>566.29999999999995</v>
      </c>
      <c r="J9" s="5630">
        <v>761.7</v>
      </c>
      <c r="K9" s="5630">
        <v>754.1</v>
      </c>
      <c r="L9" s="5630">
        <v>585.1</v>
      </c>
      <c r="M9" s="5630">
        <v>840.7</v>
      </c>
      <c r="N9" s="5630">
        <v>756.2</v>
      </c>
      <c r="O9" s="5630">
        <v>719.4</v>
      </c>
      <c r="P9" s="5630">
        <f>SUM(D9:O9)</f>
        <v>9024.6335381299996</v>
      </c>
      <c r="Q9" s="5630">
        <f t="shared" si="1"/>
        <v>752.05279484416667</v>
      </c>
      <c r="R9" s="840" t="b">
        <v>1</v>
      </c>
      <c r="S9" s="5630">
        <v>955.6</v>
      </c>
      <c r="T9" s="5630">
        <v>732</v>
      </c>
      <c r="U9" s="5630">
        <v>654.1</v>
      </c>
      <c r="V9" s="5630">
        <v>654.1</v>
      </c>
      <c r="W9" s="5630">
        <v>682.6</v>
      </c>
      <c r="X9" s="5630">
        <v>613.1</v>
      </c>
      <c r="Y9" s="5630">
        <v>819.25973749399998</v>
      </c>
      <c r="Z9" s="5630">
        <v>692.34452049400011</v>
      </c>
      <c r="AA9" s="5630">
        <v>636.36857849399996</v>
      </c>
      <c r="AB9" s="5630">
        <v>1053.1714264940001</v>
      </c>
      <c r="AC9" s="5630">
        <v>830.70716462799999</v>
      </c>
      <c r="AD9" s="5630">
        <v>756.06632149400014</v>
      </c>
      <c r="AE9" s="5630">
        <f t="shared" si="2"/>
        <v>9079.4177490979982</v>
      </c>
      <c r="AF9" s="5630">
        <f t="shared" si="3"/>
        <v>756.61814575816652</v>
      </c>
      <c r="AH9" s="5630">
        <v>1234.7164789850001</v>
      </c>
      <c r="AI9" s="5630">
        <f>75888436597.6/100000000</f>
        <v>758.88436597600003</v>
      </c>
      <c r="AJ9" s="5630">
        <v>590.29999999999995</v>
      </c>
      <c r="AK9" s="5630">
        <v>495.2</v>
      </c>
      <c r="AL9" s="5630">
        <v>462.6</v>
      </c>
      <c r="AM9" s="5630">
        <v>449.5</v>
      </c>
      <c r="AN9" s="5630">
        <v>596.37002298499999</v>
      </c>
      <c r="AO9" s="5630">
        <v>643.74686898499999</v>
      </c>
      <c r="AP9" s="5630">
        <v>760.98179998499995</v>
      </c>
      <c r="AQ9" s="5630">
        <v>711.5</v>
      </c>
      <c r="AR9" s="5630">
        <v>633.96036698499995</v>
      </c>
      <c r="AS9" s="5630">
        <v>616.09745598500001</v>
      </c>
      <c r="AT9" s="5630">
        <f t="shared" si="4"/>
        <v>7953.8573598860003</v>
      </c>
      <c r="AU9" s="5630">
        <f t="shared" si="5"/>
        <v>662.82144665716669</v>
      </c>
      <c r="AW9" s="5630">
        <v>539.32841397599998</v>
      </c>
      <c r="AX9" s="5630">
        <v>418.89825797599997</v>
      </c>
      <c r="AY9" s="5630"/>
      <c r="AZ9" s="5630"/>
      <c r="BA9" s="5630"/>
      <c r="BB9" s="5630"/>
      <c r="BC9" s="5630"/>
      <c r="BD9" s="5630"/>
      <c r="BE9" s="5630"/>
      <c r="BF9" s="5630"/>
      <c r="BG9" s="5630"/>
      <c r="BH9" s="5630"/>
      <c r="BI9" s="5630">
        <f t="shared" si="6"/>
        <v>958.22667195199995</v>
      </c>
      <c r="BJ9" s="5630">
        <f t="shared" si="7"/>
        <v>479.11333597599997</v>
      </c>
      <c r="BL9" s="3286">
        <f t="shared" si="8"/>
        <v>-339.98610800000006</v>
      </c>
      <c r="BM9" s="3286">
        <f t="shared" si="9"/>
        <v>-183.70811068116672</v>
      </c>
      <c r="BN9" s="4773">
        <f>IFERROR(
  SUM(
    _xlfn.XLOOKUP(DATE(YEAR($A$1),1,1),$2:$2,9:9):
    _xlfn.XLOOKUP($A$1,$2:$2,9:9)
  )
 -SUM(
    _xlfn.XLOOKUP(DATE(YEAR($A$1)-1,1,1),$2:$2,9:9):
    _xlfn.XLOOKUP(EDATE($A$1,-12),$2:$2,9:9)
  ),"")</f>
        <v>-1035.3741730090001</v>
      </c>
      <c r="BO9" s="2860">
        <f t="shared" si="10"/>
        <v>-120.43015600000001</v>
      </c>
    </row>
    <row r="10" spans="1:67" x14ac:dyDescent="0.55000000000000004">
      <c r="A10" s="7439"/>
      <c r="B10" s="1044" t="s">
        <v>779</v>
      </c>
      <c r="C10" s="1075" t="s">
        <v>797</v>
      </c>
      <c r="D10" s="5631">
        <v>130205</v>
      </c>
      <c r="E10" s="5631">
        <v>95556</v>
      </c>
      <c r="F10" s="5631">
        <v>172946</v>
      </c>
      <c r="G10" s="5631">
        <v>143984</v>
      </c>
      <c r="H10" s="5631">
        <v>116894</v>
      </c>
      <c r="I10" s="5631">
        <v>83756</v>
      </c>
      <c r="J10" s="5631">
        <v>131472</v>
      </c>
      <c r="K10" s="5631">
        <v>92306</v>
      </c>
      <c r="L10" s="5631">
        <v>63431</v>
      </c>
      <c r="M10" s="5631">
        <v>123865</v>
      </c>
      <c r="N10" s="5631">
        <v>93471</v>
      </c>
      <c r="O10" s="5631">
        <v>170749</v>
      </c>
      <c r="P10" s="5632">
        <f t="shared" si="0"/>
        <v>1418635</v>
      </c>
      <c r="Q10" s="5631">
        <f t="shared" si="1"/>
        <v>118219.58333333333</v>
      </c>
      <c r="R10" s="840" t="b">
        <v>1</v>
      </c>
      <c r="S10" s="5631">
        <v>135430</v>
      </c>
      <c r="T10" s="5631">
        <v>102796</v>
      </c>
      <c r="U10" s="5631">
        <v>68581</v>
      </c>
      <c r="V10" s="5631">
        <v>139870</v>
      </c>
      <c r="W10" s="5631">
        <v>109279</v>
      </c>
      <c r="X10" s="5631">
        <v>182954</v>
      </c>
      <c r="Y10" s="5631">
        <v>354435</v>
      </c>
      <c r="Z10" s="5631">
        <v>312750</v>
      </c>
      <c r="AA10" s="5631">
        <v>279030</v>
      </c>
      <c r="AB10" s="5631">
        <v>236591</v>
      </c>
      <c r="AC10" s="5631">
        <v>201645</v>
      </c>
      <c r="AD10" s="5631">
        <v>385166</v>
      </c>
      <c r="AE10" s="5631">
        <f t="shared" si="2"/>
        <v>2508527</v>
      </c>
      <c r="AF10" s="5631">
        <f>AVERAGE(S10:AD10)</f>
        <v>209043.91666666666</v>
      </c>
      <c r="AH10" s="5631">
        <v>349281</v>
      </c>
      <c r="AI10" s="5631">
        <v>293011</v>
      </c>
      <c r="AJ10" s="5631">
        <v>242534</v>
      </c>
      <c r="AK10" s="5631">
        <v>369716</v>
      </c>
      <c r="AL10" s="5631">
        <v>252570</v>
      </c>
      <c r="AM10" s="5631">
        <v>395000</v>
      </c>
      <c r="AN10" s="5631">
        <v>590428</v>
      </c>
      <c r="AO10" s="5631">
        <v>528874</v>
      </c>
      <c r="AP10" s="5631">
        <v>484601</v>
      </c>
      <c r="AQ10" s="5631">
        <v>640083</v>
      </c>
      <c r="AR10" s="5631">
        <v>835185</v>
      </c>
      <c r="AS10" s="5631">
        <v>859282</v>
      </c>
      <c r="AT10" s="5631">
        <f t="shared" si="4"/>
        <v>5840565</v>
      </c>
      <c r="AU10" s="5631">
        <f>AVERAGE(AH10:AS10)</f>
        <v>486713.75</v>
      </c>
      <c r="AW10" s="5631">
        <v>786586</v>
      </c>
      <c r="AX10" s="5631">
        <v>760264</v>
      </c>
      <c r="AY10" s="5631"/>
      <c r="AZ10" s="5631"/>
      <c r="BA10" s="5631"/>
      <c r="BB10" s="5631"/>
      <c r="BC10" s="5631"/>
      <c r="BD10" s="5631"/>
      <c r="BE10" s="5631"/>
      <c r="BF10" s="5631"/>
      <c r="BG10" s="5631"/>
      <c r="BH10" s="5631"/>
      <c r="BI10" s="5631">
        <f t="shared" si="6"/>
        <v>1546850</v>
      </c>
      <c r="BJ10" s="5631">
        <f>AVERAGE(AW10:BH10)</f>
        <v>773425</v>
      </c>
      <c r="BL10" s="3286">
        <f t="shared" si="8"/>
        <v>467253</v>
      </c>
      <c r="BM10" s="3286">
        <f t="shared" si="9"/>
        <v>286711.25</v>
      </c>
      <c r="BN10" s="4773">
        <f>IFERROR(
  SUM(
    _xlfn.XLOOKUP(DATE(YEAR($A$1),1,1),$2:$2,10:10):
    _xlfn.XLOOKUP($A$1,$2:$2,10:10)
  )
 -SUM(
    _xlfn.XLOOKUP(DATE(YEAR($A$1)-1,1,1),$2:$2,10:10):
    _xlfn.XLOOKUP(EDATE($A$1,-12),$2:$2,10:10)
  ),"")</f>
        <v>904558</v>
      </c>
      <c r="BO10" s="2860">
        <f t="shared" si="10"/>
        <v>-26322</v>
      </c>
    </row>
    <row r="11" spans="1:67" ht="15.45" thickBot="1" x14ac:dyDescent="0.6">
      <c r="A11" s="7460"/>
      <c r="B11" s="1045"/>
      <c r="C11" s="1103" t="s">
        <v>780</v>
      </c>
      <c r="D11" s="5633">
        <v>10.016116</v>
      </c>
      <c r="E11" s="5633">
        <v>7.3481430000000003</v>
      </c>
      <c r="F11" s="5633">
        <v>13.307173000000001</v>
      </c>
      <c r="G11" s="5633">
        <v>11.077099</v>
      </c>
      <c r="H11" s="5633">
        <v>8.9911689999999993</v>
      </c>
      <c r="I11" s="5633">
        <v>6.4396089999999999</v>
      </c>
      <c r="J11" s="5633">
        <v>10.113708000000001</v>
      </c>
      <c r="K11" s="5633">
        <v>7.0979260000000002</v>
      </c>
      <c r="L11" s="5633">
        <v>4.8745180000000001</v>
      </c>
      <c r="M11" s="5633">
        <v>9.5279360000000004</v>
      </c>
      <c r="N11" s="5633">
        <v>7.1875980000000004</v>
      </c>
      <c r="O11" s="5633">
        <v>13.138004</v>
      </c>
      <c r="P11" s="5633">
        <f t="shared" si="0"/>
        <v>109.11899899999997</v>
      </c>
      <c r="Q11" s="5633">
        <f t="shared" si="1"/>
        <v>9.0932499166666645</v>
      </c>
      <c r="R11" s="840" t="b">
        <v>1</v>
      </c>
      <c r="S11" s="5633">
        <v>10.418474</v>
      </c>
      <c r="T11" s="5633">
        <v>7.9056559999999996</v>
      </c>
      <c r="U11" s="5633">
        <v>5.2711009999999998</v>
      </c>
      <c r="V11" s="5633">
        <v>10.760320999999999</v>
      </c>
      <c r="W11" s="5633">
        <v>8.4048470000000002</v>
      </c>
      <c r="X11" s="5633">
        <v>14.077821999999999</v>
      </c>
      <c r="Y11" s="5633">
        <v>27.281859000000001</v>
      </c>
      <c r="Z11" s="5633">
        <v>24.072113999999999</v>
      </c>
      <c r="AA11" s="5633">
        <v>21.475674000000001</v>
      </c>
      <c r="AB11" s="5633">
        <v>18.207871000000001</v>
      </c>
      <c r="AC11" s="5633">
        <v>15.517029000000001</v>
      </c>
      <c r="AD11" s="5633">
        <v>29.648146000000001</v>
      </c>
      <c r="AE11" s="5633">
        <f t="shared" si="2"/>
        <v>193.04091400000001</v>
      </c>
      <c r="AF11" s="5633">
        <f t="shared" si="3"/>
        <v>16.086742833333336</v>
      </c>
      <c r="AH11" s="5633">
        <v>26.885000999999999</v>
      </c>
      <c r="AI11" s="5633">
        <v>22.552211</v>
      </c>
      <c r="AJ11" s="5633">
        <v>18.7</v>
      </c>
      <c r="AK11" s="5633">
        <v>28.5</v>
      </c>
      <c r="AL11" s="5633">
        <v>19.399999999999999</v>
      </c>
      <c r="AM11" s="5633">
        <v>30.4</v>
      </c>
      <c r="AN11" s="5633">
        <v>45.5</v>
      </c>
      <c r="AO11" s="5633">
        <v>40.713661999999999</v>
      </c>
      <c r="AP11" s="5633">
        <v>37.304640999999997</v>
      </c>
      <c r="AQ11" s="5633">
        <v>49.3</v>
      </c>
      <c r="AR11" s="5633">
        <v>64.299576000000002</v>
      </c>
      <c r="AS11" s="5633">
        <v>66.155045000000001</v>
      </c>
      <c r="AT11" s="5633">
        <f t="shared" si="4"/>
        <v>449.71013600000003</v>
      </c>
      <c r="AU11" s="5633">
        <f t="shared" si="5"/>
        <v>37.475844666666667</v>
      </c>
      <c r="AW11" s="5633">
        <v>60.557453000000002</v>
      </c>
      <c r="AX11" s="5633">
        <v>58.530659</v>
      </c>
      <c r="AY11" s="5633"/>
      <c r="AZ11" s="5633"/>
      <c r="BA11" s="5633"/>
      <c r="BB11" s="5633"/>
      <c r="BC11" s="5633"/>
      <c r="BD11" s="5633"/>
      <c r="BE11" s="5633"/>
      <c r="BF11" s="5633"/>
      <c r="BG11" s="5633"/>
      <c r="BH11" s="5633"/>
      <c r="BI11" s="5633">
        <f t="shared" si="6"/>
        <v>119.088112</v>
      </c>
      <c r="BJ11" s="5633">
        <f t="shared" ref="BJ11" si="11">AVERAGE(AW11:BH11)</f>
        <v>59.544055999999998</v>
      </c>
      <c r="BL11" s="3286">
        <f t="shared" si="8"/>
        <v>35.978448</v>
      </c>
      <c r="BM11" s="3286">
        <f t="shared" si="9"/>
        <v>22.068211333333331</v>
      </c>
      <c r="BN11" s="4773">
        <f>IFERROR(
  SUM(
    _xlfn.XLOOKUP(DATE(YEAR($A$1),1,1),$2:$2,11:11):
    _xlfn.XLOOKUP($A$1,$2:$2,11:11)
  )
 -SUM(
    _xlfn.XLOOKUP(DATE(YEAR($A$1)-1,1,1),$2:$2,11:11):
    _xlfn.XLOOKUP(EDATE($A$1,-12),$2:$2,11:11)
  ),"")</f>
        <v>69.650899999999993</v>
      </c>
      <c r="BO11" s="2860">
        <f t="shared" si="10"/>
        <v>-2.0267940000000024</v>
      </c>
    </row>
    <row r="12" spans="1:67" ht="10.5" customHeight="1" thickBot="1" x14ac:dyDescent="0.6">
      <c r="R12" s="840" t="b">
        <v>1</v>
      </c>
      <c r="AT12" s="559">
        <f t="shared" si="4"/>
        <v>0</v>
      </c>
      <c r="BI12" s="559">
        <f t="shared" si="6"/>
        <v>0</v>
      </c>
      <c r="BL12" s="3286">
        <f t="shared" si="8"/>
        <v>0</v>
      </c>
      <c r="BM12" s="3286">
        <f t="shared" si="9"/>
        <v>0</v>
      </c>
      <c r="BN12" s="4773">
        <f>IFERROR(
  SUM(
    _xlfn.XLOOKUP(DATE(YEAR($A$1),1,1),$2:$2,12:12):
    _xlfn.XLOOKUP($A$1,$2:$2,12:12)
  )
 -SUM(
    _xlfn.XLOOKUP(DATE(YEAR($A$1)-1,1,1),$2:$2,12:12):
    _xlfn.XLOOKUP(EDATE($A$1,-12),$2:$2,12:12)
  ),"")</f>
        <v>0</v>
      </c>
      <c r="BO12" s="2860">
        <f t="shared" si="10"/>
        <v>0</v>
      </c>
    </row>
    <row r="13" spans="1:67" x14ac:dyDescent="0.55000000000000004">
      <c r="A13" s="7490" t="s">
        <v>781</v>
      </c>
      <c r="B13" s="1013" t="s">
        <v>782</v>
      </c>
      <c r="C13" s="1060" t="s">
        <v>783</v>
      </c>
      <c r="D13" s="1060">
        <f>D17+D21</f>
        <v>149.44704798000001</v>
      </c>
      <c r="E13" s="1060">
        <f t="shared" ref="E13:O14" si="12">E17+E21</f>
        <v>259.08545780000003</v>
      </c>
      <c r="F13" s="1060">
        <f t="shared" si="12"/>
        <v>86.516954120000008</v>
      </c>
      <c r="G13" s="1060">
        <f t="shared" si="12"/>
        <v>76.395011510000003</v>
      </c>
      <c r="H13" s="1060">
        <f t="shared" si="12"/>
        <v>107.23543775</v>
      </c>
      <c r="I13" s="1060">
        <f t="shared" si="12"/>
        <v>74.009378220000002</v>
      </c>
      <c r="J13" s="1060">
        <f t="shared" si="12"/>
        <v>146.35480394999999</v>
      </c>
      <c r="K13" s="1060">
        <f t="shared" si="12"/>
        <v>243.48173001000001</v>
      </c>
      <c r="L13" s="1060">
        <f t="shared" si="12"/>
        <v>55.47</v>
      </c>
      <c r="M13" s="1060">
        <f t="shared" si="12"/>
        <v>153.01099573000002</v>
      </c>
      <c r="N13" s="1060">
        <f t="shared" si="12"/>
        <v>201.95208104</v>
      </c>
      <c r="O13" s="1060">
        <f t="shared" si="12"/>
        <v>71.050694010000001</v>
      </c>
      <c r="P13" s="1060">
        <f t="shared" ref="P13:P22" si="13">SUM(D13:O13)</f>
        <v>1624.0095921200002</v>
      </c>
      <c r="Q13" s="1060">
        <f t="shared" ref="Q13:Q22" si="14">AVERAGE(D13:O13)</f>
        <v>135.33413267666668</v>
      </c>
      <c r="R13" s="840" t="b">
        <v>1</v>
      </c>
      <c r="S13" s="1060">
        <f t="shared" ref="S13:AB14" si="15">S17+S21</f>
        <v>287.34282989000002</v>
      </c>
      <c r="T13" s="1060">
        <f t="shared" si="15"/>
        <v>105.748955452</v>
      </c>
      <c r="U13" s="1060">
        <f t="shared" si="15"/>
        <v>96.525488690000003</v>
      </c>
      <c r="V13" s="1060">
        <f t="shared" si="15"/>
        <v>101.91098020999999</v>
      </c>
      <c r="W13" s="1060">
        <f t="shared" si="15"/>
        <v>113.5</v>
      </c>
      <c r="X13" s="1060">
        <f t="shared" si="15"/>
        <v>47.699999999999996</v>
      </c>
      <c r="Y13" s="1060">
        <f t="shared" si="15"/>
        <v>346.9</v>
      </c>
      <c r="Z13" s="1060">
        <f t="shared" si="15"/>
        <v>110.5</v>
      </c>
      <c r="AA13" s="1060">
        <f t="shared" si="15"/>
        <v>198.7</v>
      </c>
      <c r="AB13" s="1060">
        <f t="shared" si="15"/>
        <v>277.39999999999998</v>
      </c>
      <c r="AC13" s="1060">
        <f>AC17+AC21</f>
        <v>86</v>
      </c>
      <c r="AD13" s="1060">
        <f>AD17+AD21</f>
        <v>103</v>
      </c>
      <c r="AE13" s="1060">
        <f t="shared" ref="AE13:AE22" si="16">SUM(S13:AD13)</f>
        <v>1875.2282542419998</v>
      </c>
      <c r="AF13" s="1060">
        <f t="shared" ref="AF13:AF22" si="17">AVERAGE(S13:AD13)</f>
        <v>156.26902118683333</v>
      </c>
      <c r="AH13" s="1060">
        <v>313.3</v>
      </c>
      <c r="AI13" s="1060">
        <f>AI17+AI21</f>
        <v>94.699999999999989</v>
      </c>
      <c r="AJ13" s="1060">
        <f>AJ17+AJ21</f>
        <v>27.69</v>
      </c>
      <c r="AK13" s="1060">
        <v>60.4</v>
      </c>
      <c r="AL13" s="1060">
        <f t="shared" ref="AL13:AO14" si="18">AL17+AL21</f>
        <v>42</v>
      </c>
      <c r="AM13" s="1060">
        <f t="shared" si="18"/>
        <v>106.4</v>
      </c>
      <c r="AN13" s="1060">
        <f t="shared" si="18"/>
        <v>261.40000000000003</v>
      </c>
      <c r="AO13" s="1060">
        <f t="shared" si="18"/>
        <v>120.35</v>
      </c>
      <c r="AP13" s="1060">
        <v>269.18</v>
      </c>
      <c r="AQ13" s="1060">
        <v>159.82999999999998</v>
      </c>
      <c r="AR13" s="1060">
        <v>76.06</v>
      </c>
      <c r="AS13" s="1060">
        <v>105.1</v>
      </c>
      <c r="AT13" s="1060">
        <f t="shared" si="4"/>
        <v>1636.4099999999996</v>
      </c>
      <c r="AU13" s="1060">
        <f t="shared" ref="AU13:AU22" si="19">AVERAGE(AH13:AS13)</f>
        <v>136.36749999999998</v>
      </c>
      <c r="AW13" s="1060">
        <f>AW17+AW21</f>
        <v>120.4</v>
      </c>
      <c r="AX13" s="1060">
        <v>282.60000000000002</v>
      </c>
      <c r="AY13" s="1060"/>
      <c r="AZ13" s="1060"/>
      <c r="BA13" s="1060"/>
      <c r="BB13" s="1060"/>
      <c r="BC13" s="1060"/>
      <c r="BD13" s="1060"/>
      <c r="BE13" s="1060"/>
      <c r="BF13" s="1060"/>
      <c r="BG13" s="1060"/>
      <c r="BH13" s="1060"/>
      <c r="BI13" s="1060">
        <f t="shared" si="6"/>
        <v>403</v>
      </c>
      <c r="BJ13" s="1060">
        <f t="shared" ref="BJ13:BJ22" si="20">AVERAGE(AW13:BH13)</f>
        <v>201.5</v>
      </c>
      <c r="BL13" s="3286">
        <f t="shared" si="8"/>
        <v>187.90000000000003</v>
      </c>
      <c r="BM13" s="3286">
        <f t="shared" si="9"/>
        <v>65.132500000000022</v>
      </c>
      <c r="BN13" s="4773">
        <f>IFERROR(
  SUM(
    _xlfn.XLOOKUP(DATE(YEAR($A$1),1,1),$2:$2,13:13):
    _xlfn.XLOOKUP($A$1,$2:$2,13:13)
  )
 -SUM(
    _xlfn.XLOOKUP(DATE(YEAR($A$1)-1,1,1),$2:$2,13:13):
    _xlfn.XLOOKUP(EDATE($A$1,-12),$2:$2,13:13)
  ),"")</f>
        <v>-5</v>
      </c>
      <c r="BO13" s="2860">
        <f t="shared" si="10"/>
        <v>162.20000000000002</v>
      </c>
    </row>
    <row r="14" spans="1:67" x14ac:dyDescent="0.55000000000000004">
      <c r="A14" s="7491"/>
      <c r="B14" s="2771"/>
      <c r="C14" s="1028" t="s">
        <v>784</v>
      </c>
      <c r="D14" s="5634">
        <f>D18+D22</f>
        <v>6.56933202</v>
      </c>
      <c r="E14" s="5634">
        <f t="shared" si="12"/>
        <v>6.7807421999999899</v>
      </c>
      <c r="F14" s="5634">
        <f t="shared" si="12"/>
        <v>2.0568258799999999</v>
      </c>
      <c r="G14" s="5634">
        <f t="shared" si="12"/>
        <v>2.4629884899999999</v>
      </c>
      <c r="H14" s="5634">
        <f t="shared" si="12"/>
        <v>3.4574422499999997</v>
      </c>
      <c r="I14" s="5634">
        <f t="shared" si="12"/>
        <v>1.8708617799999985</v>
      </c>
      <c r="J14" s="5634">
        <f t="shared" si="12"/>
        <v>3.6522360499999973</v>
      </c>
      <c r="K14" s="5634">
        <f t="shared" si="12"/>
        <v>5.7572299899999999</v>
      </c>
      <c r="L14" s="5634">
        <f t="shared" si="12"/>
        <v>1.2986999999999997</v>
      </c>
      <c r="M14" s="5634">
        <f t="shared" si="12"/>
        <v>7.6272242700000001</v>
      </c>
      <c r="N14" s="5634">
        <f t="shared" si="12"/>
        <v>7.8071589599999998</v>
      </c>
      <c r="O14" s="5634">
        <f t="shared" si="12"/>
        <v>1.99546599</v>
      </c>
      <c r="P14" s="5634">
        <f t="shared" si="13"/>
        <v>51.336207879999982</v>
      </c>
      <c r="Q14" s="5634">
        <f t="shared" si="14"/>
        <v>4.2780173233333318</v>
      </c>
      <c r="R14" s="840" t="b">
        <v>1</v>
      </c>
      <c r="S14" s="5634">
        <f t="shared" si="15"/>
        <v>8.1312701099999991</v>
      </c>
      <c r="T14" s="5634">
        <f t="shared" si="15"/>
        <v>2.6240245479999995</v>
      </c>
      <c r="U14" s="5634">
        <f t="shared" si="15"/>
        <v>2.7850913099999999</v>
      </c>
      <c r="V14" s="5634">
        <f t="shared" si="15"/>
        <v>3.2351797900000001</v>
      </c>
      <c r="W14" s="5634">
        <f t="shared" si="15"/>
        <v>3.1249399999999996</v>
      </c>
      <c r="X14" s="5634">
        <f t="shared" si="15"/>
        <v>1.2506599999999999</v>
      </c>
      <c r="Y14" s="5634">
        <f t="shared" si="15"/>
        <v>7.658059999999999</v>
      </c>
      <c r="Z14" s="5634">
        <f t="shared" si="15"/>
        <v>1.7536199999999997</v>
      </c>
      <c r="AA14" s="5634">
        <f t="shared" si="15"/>
        <v>8.5061999999999998</v>
      </c>
      <c r="AB14" s="5634">
        <f t="shared" si="15"/>
        <v>13.564</v>
      </c>
      <c r="AC14" s="5634">
        <f>AC18+AC22</f>
        <v>4.1097999999999999</v>
      </c>
      <c r="AD14" s="5634">
        <f>AD18+AD22</f>
        <v>7.6677999999999997</v>
      </c>
      <c r="AE14" s="5634">
        <f t="shared" si="16"/>
        <v>64.410645757999987</v>
      </c>
      <c r="AF14" s="5634">
        <f t="shared" si="17"/>
        <v>5.3675538131666656</v>
      </c>
      <c r="AH14" s="5634">
        <v>7.9125799999999993</v>
      </c>
      <c r="AI14" s="5634">
        <f>AI18+AI22</f>
        <v>3.5977399999999995</v>
      </c>
      <c r="AJ14" s="5634">
        <f>AJ18+AJ22</f>
        <v>0.91479999999999995</v>
      </c>
      <c r="AK14" s="5634">
        <v>1.4083999999999999</v>
      </c>
      <c r="AL14" s="5634">
        <f t="shared" si="18"/>
        <v>1.1219599999999998</v>
      </c>
      <c r="AM14" s="5634">
        <f t="shared" si="18"/>
        <v>2.7713199999999998</v>
      </c>
      <c r="AN14" s="5634">
        <f t="shared" si="18"/>
        <v>6.3900000000000006</v>
      </c>
      <c r="AO14" s="5634">
        <f t="shared" si="18"/>
        <v>2.93</v>
      </c>
      <c r="AP14" s="5634">
        <v>12.916971</v>
      </c>
      <c r="AQ14" s="5634">
        <v>7.0308000000000002</v>
      </c>
      <c r="AR14" s="5634">
        <v>2.2000000000000002</v>
      </c>
      <c r="AS14" s="5634">
        <v>3.4400000000000004</v>
      </c>
      <c r="AT14" s="5634">
        <f t="shared" si="4"/>
        <v>52.634570999999994</v>
      </c>
      <c r="AU14" s="5634">
        <f t="shared" si="19"/>
        <v>4.3862142499999992</v>
      </c>
      <c r="AW14" s="5634">
        <f>AW18+AW22</f>
        <v>3.69</v>
      </c>
      <c r="AX14" s="5634">
        <v>6.7840000000000007</v>
      </c>
      <c r="AY14" s="5634"/>
      <c r="AZ14" s="5634"/>
      <c r="BA14" s="5634"/>
      <c r="BB14" s="5634"/>
      <c r="BC14" s="5634"/>
      <c r="BD14" s="5634"/>
      <c r="BE14" s="5634"/>
      <c r="BF14" s="5634"/>
      <c r="BG14" s="5634"/>
      <c r="BH14" s="5634"/>
      <c r="BI14" s="5634">
        <f t="shared" si="6"/>
        <v>10.474</v>
      </c>
      <c r="BJ14" s="5634">
        <f t="shared" si="20"/>
        <v>5.2370000000000001</v>
      </c>
      <c r="BL14" s="3286">
        <f t="shared" si="8"/>
        <v>3.1862600000000012</v>
      </c>
      <c r="BM14" s="3286">
        <f t="shared" si="9"/>
        <v>0.8507857500000009</v>
      </c>
      <c r="BN14" s="4773">
        <f>IFERROR(
  SUM(
    _xlfn.XLOOKUP(DATE(YEAR($A$1),1,1),$2:$2,14:14):
    _xlfn.XLOOKUP($A$1,$2:$2,14:14)
  )
 -SUM(
    _xlfn.XLOOKUP(DATE(YEAR($A$1)-1,1,1),$2:$2,14:14):
    _xlfn.XLOOKUP(EDATE($A$1,-12),$2:$2,14:14)
  ),"")</f>
        <v>-1.0363199999999981</v>
      </c>
      <c r="BO14" s="2860">
        <f t="shared" si="10"/>
        <v>3.0940000000000007</v>
      </c>
    </row>
    <row r="15" spans="1:67" x14ac:dyDescent="0.55000000000000004">
      <c r="A15" s="7491"/>
      <c r="B15" s="1074" t="s">
        <v>257</v>
      </c>
      <c r="C15" s="1075" t="s">
        <v>785</v>
      </c>
      <c r="D15" s="5631">
        <v>8026</v>
      </c>
      <c r="E15" s="5631">
        <v>45096</v>
      </c>
      <c r="F15" s="5631">
        <v>10567</v>
      </c>
      <c r="G15" s="5631">
        <v>9164</v>
      </c>
      <c r="H15" s="5631">
        <v>10856</v>
      </c>
      <c r="I15" s="5631">
        <v>13962</v>
      </c>
      <c r="J15" s="5631">
        <v>27011</v>
      </c>
      <c r="K15" s="5631">
        <v>23546</v>
      </c>
      <c r="L15" s="5631">
        <v>7261</v>
      </c>
      <c r="M15" s="5631">
        <v>3972</v>
      </c>
      <c r="N15" s="5631">
        <v>48232</v>
      </c>
      <c r="O15" s="5631">
        <v>31419</v>
      </c>
      <c r="P15" s="5631">
        <f t="shared" si="13"/>
        <v>239112</v>
      </c>
      <c r="Q15" s="5631">
        <f t="shared" si="14"/>
        <v>19926</v>
      </c>
      <c r="R15" s="840" t="b">
        <v>1</v>
      </c>
      <c r="S15" s="5631">
        <v>42839</v>
      </c>
      <c r="T15" s="5631">
        <v>17999</v>
      </c>
      <c r="U15" s="5631">
        <v>12547</v>
      </c>
      <c r="V15" s="5631">
        <v>17094</v>
      </c>
      <c r="W15" s="5631">
        <v>19137</v>
      </c>
      <c r="X15" s="5631">
        <v>27191</v>
      </c>
      <c r="Y15" s="5631">
        <v>30031</v>
      </c>
      <c r="Z15" s="5631">
        <v>5720</v>
      </c>
      <c r="AA15" s="5631">
        <v>7388</v>
      </c>
      <c r="AB15" s="5631">
        <v>8823</v>
      </c>
      <c r="AC15" s="5631">
        <v>3267</v>
      </c>
      <c r="AD15" s="5631">
        <v>2721</v>
      </c>
      <c r="AE15" s="5631">
        <f t="shared" si="16"/>
        <v>194757</v>
      </c>
      <c r="AF15" s="5631">
        <f t="shared" si="17"/>
        <v>16229.75</v>
      </c>
      <c r="AH15" s="5631">
        <v>28284</v>
      </c>
      <c r="AI15" s="5631">
        <v>10167</v>
      </c>
      <c r="AJ15" s="5631">
        <v>6161</v>
      </c>
      <c r="AK15" s="5631">
        <v>7981</v>
      </c>
      <c r="AL15" s="5631">
        <v>7816</v>
      </c>
      <c r="AM15" s="5631">
        <v>18188</v>
      </c>
      <c r="AN15" s="5631">
        <v>48182</v>
      </c>
      <c r="AO15" s="5631">
        <v>14015</v>
      </c>
      <c r="AP15" s="5631">
        <v>9174</v>
      </c>
      <c r="AQ15" s="5631">
        <v>7138</v>
      </c>
      <c r="AR15" s="5631">
        <v>7263</v>
      </c>
      <c r="AS15" s="5631">
        <v>113362</v>
      </c>
      <c r="AT15" s="5631">
        <f t="shared" si="4"/>
        <v>277731</v>
      </c>
      <c r="AU15" s="5631">
        <f t="shared" si="19"/>
        <v>23144.25</v>
      </c>
      <c r="AW15" s="5631">
        <v>20763</v>
      </c>
      <c r="AX15" s="5631">
        <v>41738</v>
      </c>
      <c r="AY15" s="5631"/>
      <c r="AZ15" s="5631"/>
      <c r="BA15" s="5631"/>
      <c r="BB15" s="5631"/>
      <c r="BC15" s="5631"/>
      <c r="BD15" s="5631"/>
      <c r="BE15" s="5631"/>
      <c r="BF15" s="5631"/>
      <c r="BG15" s="5631"/>
      <c r="BH15" s="5631"/>
      <c r="BI15" s="5631">
        <f t="shared" si="6"/>
        <v>62501</v>
      </c>
      <c r="BJ15" s="5631">
        <f t="shared" si="20"/>
        <v>31250.5</v>
      </c>
      <c r="BL15" s="3286">
        <f t="shared" si="8"/>
        <v>31571</v>
      </c>
      <c r="BM15" s="3286">
        <f t="shared" si="9"/>
        <v>8106.25</v>
      </c>
      <c r="BN15" s="4773">
        <f>IFERROR(
  SUM(
    _xlfn.XLOOKUP(DATE(YEAR($A$1),1,1),$2:$2,15:15):
    _xlfn.XLOOKUP($A$1,$2:$2,15:15)
  )
 -SUM(
    _xlfn.XLOOKUP(DATE(YEAR($A$1)-1,1,1),$2:$2,15:15):
    _xlfn.XLOOKUP(EDATE($A$1,-12),$2:$2,15:15)
  ),"")</f>
        <v>24050</v>
      </c>
      <c r="BO15" s="2860">
        <f t="shared" si="10"/>
        <v>20975</v>
      </c>
    </row>
    <row r="16" spans="1:67" x14ac:dyDescent="0.55000000000000004">
      <c r="A16" s="7491"/>
      <c r="B16" s="2771"/>
      <c r="C16" s="559" t="s">
        <v>786</v>
      </c>
      <c r="D16" s="590">
        <v>8035</v>
      </c>
      <c r="E16" s="590">
        <v>19212</v>
      </c>
      <c r="F16" s="590">
        <v>6902</v>
      </c>
      <c r="G16" s="590">
        <v>9056</v>
      </c>
      <c r="H16" s="590">
        <v>13656</v>
      </c>
      <c r="I16" s="590">
        <v>16020</v>
      </c>
      <c r="J16" s="590">
        <v>19844</v>
      </c>
      <c r="K16" s="590">
        <v>20979</v>
      </c>
      <c r="L16" s="590">
        <v>2637</v>
      </c>
      <c r="M16" s="590">
        <v>7630</v>
      </c>
      <c r="N16" s="590">
        <v>4173</v>
      </c>
      <c r="O16" s="590">
        <v>71362</v>
      </c>
      <c r="P16" s="590">
        <f t="shared" si="13"/>
        <v>199506</v>
      </c>
      <c r="Q16" s="590">
        <f t="shared" si="14"/>
        <v>16625.5</v>
      </c>
      <c r="R16" s="840" t="b">
        <v>1</v>
      </c>
      <c r="S16" s="590">
        <v>15322</v>
      </c>
      <c r="T16" s="590">
        <v>40827</v>
      </c>
      <c r="U16" s="590">
        <v>11346</v>
      </c>
      <c r="V16" s="590">
        <v>13486</v>
      </c>
      <c r="W16" s="590">
        <v>15855</v>
      </c>
      <c r="X16" s="590">
        <v>26199</v>
      </c>
      <c r="Y16" s="590">
        <v>34633</v>
      </c>
      <c r="Z16" s="590">
        <v>4000</v>
      </c>
      <c r="AA16" s="590">
        <v>7253</v>
      </c>
      <c r="AB16" s="590">
        <v>6874</v>
      </c>
      <c r="AC16" s="590">
        <v>5459</v>
      </c>
      <c r="AD16" s="590">
        <v>2348</v>
      </c>
      <c r="AE16" s="590">
        <f t="shared" si="16"/>
        <v>183602</v>
      </c>
      <c r="AF16" s="590">
        <f t="shared" si="17"/>
        <v>15300.166666666666</v>
      </c>
      <c r="AH16" s="590">
        <v>28558</v>
      </c>
      <c r="AI16" s="590">
        <v>9237</v>
      </c>
      <c r="AJ16" s="590">
        <v>5229</v>
      </c>
      <c r="AK16" s="590">
        <v>7352</v>
      </c>
      <c r="AL16" s="590">
        <v>6441</v>
      </c>
      <c r="AM16" s="590">
        <v>18201</v>
      </c>
      <c r="AN16" s="590">
        <v>48309</v>
      </c>
      <c r="AO16" s="590">
        <v>13639</v>
      </c>
      <c r="AP16" s="590">
        <v>6099</v>
      </c>
      <c r="AQ16" s="590">
        <v>6049</v>
      </c>
      <c r="AR16" s="590">
        <v>8039</v>
      </c>
      <c r="AS16" s="590">
        <v>11744</v>
      </c>
      <c r="AT16" s="590">
        <f t="shared" si="4"/>
        <v>168897</v>
      </c>
      <c r="AU16" s="590">
        <f t="shared" si="19"/>
        <v>14074.75</v>
      </c>
      <c r="AW16" s="590">
        <v>19520</v>
      </c>
      <c r="AX16" s="590">
        <v>41738</v>
      </c>
      <c r="AY16" s="590"/>
      <c r="AZ16" s="590"/>
      <c r="BA16" s="590"/>
      <c r="BB16" s="590"/>
      <c r="BC16" s="590"/>
      <c r="BD16" s="590"/>
      <c r="BE16" s="590"/>
      <c r="BF16" s="590"/>
      <c r="BG16" s="590"/>
      <c r="BH16" s="590"/>
      <c r="BI16" s="590">
        <f t="shared" si="6"/>
        <v>61258</v>
      </c>
      <c r="BJ16" s="590">
        <f t="shared" si="20"/>
        <v>30629</v>
      </c>
      <c r="BL16" s="3286">
        <f t="shared" si="8"/>
        <v>32501</v>
      </c>
      <c r="BM16" s="3286">
        <f t="shared" si="9"/>
        <v>16554.25</v>
      </c>
      <c r="BN16" s="4773">
        <f>IFERROR(
  SUM(
    _xlfn.XLOOKUP(DATE(YEAR($A$1),1,1),$2:$2,16:16):
    _xlfn.XLOOKUP($A$1,$2:$2,16:16)
  )
 -SUM(
    _xlfn.XLOOKUP(DATE(YEAR($A$1)-1,1,1),$2:$2,16:16):
    _xlfn.XLOOKUP(EDATE($A$1,-12),$2:$2,16:16)
  ),"")</f>
        <v>23463</v>
      </c>
      <c r="BO16" s="2860">
        <f t="shared" si="10"/>
        <v>22218</v>
      </c>
    </row>
    <row r="17" spans="1:67" x14ac:dyDescent="0.55000000000000004">
      <c r="A17" s="7491"/>
      <c r="B17" s="2771"/>
      <c r="C17" s="559" t="s">
        <v>783</v>
      </c>
      <c r="D17" s="5635">
        <v>49.7</v>
      </c>
      <c r="E17" s="5635">
        <v>205</v>
      </c>
      <c r="F17" s="5635">
        <v>84.2</v>
      </c>
      <c r="G17" s="5635">
        <v>52.5</v>
      </c>
      <c r="H17" s="5635">
        <v>65.7</v>
      </c>
      <c r="I17" s="5635">
        <v>66.099999999999994</v>
      </c>
      <c r="J17" s="5635">
        <v>126.6</v>
      </c>
      <c r="K17" s="5635">
        <v>238.9</v>
      </c>
      <c r="L17" s="5635">
        <v>55.5</v>
      </c>
      <c r="M17" s="5635">
        <v>15.8</v>
      </c>
      <c r="N17" s="5635">
        <v>72.099999999999994</v>
      </c>
      <c r="O17" s="5635">
        <v>59.4</v>
      </c>
      <c r="P17" s="5635">
        <f t="shared" si="13"/>
        <v>1091.5</v>
      </c>
      <c r="Q17" s="5635">
        <f t="shared" si="14"/>
        <v>90.958333333333329</v>
      </c>
      <c r="R17" s="840" t="b">
        <v>1</v>
      </c>
      <c r="S17" s="5635">
        <v>240.4</v>
      </c>
      <c r="T17" s="5635">
        <v>98.7</v>
      </c>
      <c r="U17" s="5635">
        <v>69.7</v>
      </c>
      <c r="V17" s="5635">
        <v>74.3</v>
      </c>
      <c r="W17" s="5635">
        <v>89.1</v>
      </c>
      <c r="X17" s="5635">
        <v>44.9</v>
      </c>
      <c r="Y17" s="5635">
        <v>305.89999999999998</v>
      </c>
      <c r="Z17" s="5635">
        <v>49.3</v>
      </c>
      <c r="AA17" s="5635">
        <v>43</v>
      </c>
      <c r="AB17" s="5635">
        <v>48</v>
      </c>
      <c r="AC17" s="5635">
        <v>21.1</v>
      </c>
      <c r="AD17" s="5635">
        <v>32.1</v>
      </c>
      <c r="AE17" s="5635">
        <f t="shared" si="16"/>
        <v>1116.4999999999998</v>
      </c>
      <c r="AF17" s="5635">
        <f t="shared" si="17"/>
        <v>93.041666666666643</v>
      </c>
      <c r="AH17" s="5635">
        <v>293.7</v>
      </c>
      <c r="AI17" s="5635">
        <v>81.099999999999994</v>
      </c>
      <c r="AJ17" s="5635">
        <v>22</v>
      </c>
      <c r="AK17" s="5635">
        <v>26</v>
      </c>
      <c r="AL17" s="5635">
        <v>39.4</v>
      </c>
      <c r="AM17" s="5635">
        <v>89.8</v>
      </c>
      <c r="AN17" s="5635">
        <v>257.10000000000002</v>
      </c>
      <c r="AO17" s="5635">
        <v>116.85</v>
      </c>
      <c r="AP17" s="5635">
        <v>62.78</v>
      </c>
      <c r="AQ17" s="5635">
        <v>38.950000000000003</v>
      </c>
      <c r="AR17" s="5635">
        <v>53.6</v>
      </c>
      <c r="AS17" s="5635">
        <v>55.4</v>
      </c>
      <c r="AT17" s="5635">
        <f t="shared" si="4"/>
        <v>1136.6799999999998</v>
      </c>
      <c r="AU17" s="5635">
        <f t="shared" si="19"/>
        <v>94.723333333333315</v>
      </c>
      <c r="AW17" s="5635">
        <v>93.2</v>
      </c>
      <c r="AX17" s="5635">
        <v>260</v>
      </c>
      <c r="AY17" s="5635"/>
      <c r="AZ17" s="5635"/>
      <c r="BA17" s="5635"/>
      <c r="BB17" s="5635"/>
      <c r="BC17" s="5635"/>
      <c r="BD17" s="5635"/>
      <c r="BE17" s="5635"/>
      <c r="BF17" s="5635"/>
      <c r="BG17" s="5635"/>
      <c r="BH17" s="5635"/>
      <c r="BI17" s="5635">
        <f t="shared" si="6"/>
        <v>353.2</v>
      </c>
      <c r="BJ17" s="5635">
        <f t="shared" si="20"/>
        <v>176.6</v>
      </c>
      <c r="BL17" s="3286">
        <f t="shared" si="8"/>
        <v>178.9</v>
      </c>
      <c r="BM17" s="3286">
        <f t="shared" si="9"/>
        <v>81.876666666666679</v>
      </c>
      <c r="BN17" s="4773">
        <f>IFERROR(
  SUM(
    _xlfn.XLOOKUP(DATE(YEAR($A$1),1,1),$2:$2,17:17):
    _xlfn.XLOOKUP($A$1,$2:$2,17:17)
  )
 -SUM(
    _xlfn.XLOOKUP(DATE(YEAR($A$1)-1,1,1),$2:$2,17:17):
    _xlfn.XLOOKUP(EDATE($A$1,-12),$2:$2,17:17)
  ),"")</f>
        <v>-21.599999999999966</v>
      </c>
      <c r="BO17" s="2860">
        <f t="shared" si="10"/>
        <v>166.8</v>
      </c>
    </row>
    <row r="18" spans="1:67" x14ac:dyDescent="0.55000000000000004">
      <c r="A18" s="7491"/>
      <c r="B18" s="1093"/>
      <c r="C18" s="1094" t="s">
        <v>784</v>
      </c>
      <c r="D18" s="5630">
        <v>1.1629799999999999</v>
      </c>
      <c r="E18" s="5630">
        <v>4.7969999999999997</v>
      </c>
      <c r="F18" s="5630">
        <v>1.9702799999999998</v>
      </c>
      <c r="G18" s="5630">
        <v>1.2284999999999999</v>
      </c>
      <c r="H18" s="5630">
        <v>1.53738</v>
      </c>
      <c r="I18" s="5630">
        <v>1.5467399999999998</v>
      </c>
      <c r="J18" s="5630">
        <v>2.9624399999999995</v>
      </c>
      <c r="K18" s="5630">
        <v>5.5902599999999998</v>
      </c>
      <c r="L18" s="5630">
        <v>1.2986999999999997</v>
      </c>
      <c r="M18" s="5630">
        <v>0.36971999999999999</v>
      </c>
      <c r="N18" s="5630">
        <v>1.6871399999999996</v>
      </c>
      <c r="O18" s="5630">
        <v>1.3899599999999999</v>
      </c>
      <c r="P18" s="5630">
        <f t="shared" si="13"/>
        <v>25.541099999999997</v>
      </c>
      <c r="Q18" s="5630">
        <f t="shared" si="14"/>
        <v>2.1284249999999996</v>
      </c>
      <c r="R18" s="840" t="b">
        <v>1</v>
      </c>
      <c r="S18" s="5630">
        <v>5.6253599999999997</v>
      </c>
      <c r="T18" s="5630">
        <v>2.30958</v>
      </c>
      <c r="U18" s="5630">
        <v>1.6309799999999999</v>
      </c>
      <c r="V18" s="5630">
        <v>1.7386199999999998</v>
      </c>
      <c r="W18" s="5630">
        <v>2.0849399999999996</v>
      </c>
      <c r="X18" s="5630">
        <v>1.0506599999999999</v>
      </c>
      <c r="Y18" s="5630">
        <v>7.158059999999999</v>
      </c>
      <c r="Z18" s="5630">
        <v>1.1536199999999999</v>
      </c>
      <c r="AA18" s="5630">
        <v>1.0062</v>
      </c>
      <c r="AB18" s="5630">
        <v>0.8640000000000001</v>
      </c>
      <c r="AC18" s="5630">
        <v>0.37980000000000008</v>
      </c>
      <c r="AD18" s="5630">
        <v>0.57780000000000009</v>
      </c>
      <c r="AE18" s="5630">
        <f t="shared" si="16"/>
        <v>25.579619999999998</v>
      </c>
      <c r="AF18" s="5630">
        <f t="shared" si="17"/>
        <v>2.1316349999999997</v>
      </c>
      <c r="AH18" s="5630">
        <v>6.8725799999999992</v>
      </c>
      <c r="AI18" s="5630">
        <f>AI17*2.34%</f>
        <v>1.8977399999999995</v>
      </c>
      <c r="AJ18" s="5630">
        <f>AJ17*2.34%</f>
        <v>0.51479999999999992</v>
      </c>
      <c r="AK18" s="5630">
        <v>0.60839999999999994</v>
      </c>
      <c r="AL18" s="5630">
        <f>AL17*2.34%</f>
        <v>0.92195999999999989</v>
      </c>
      <c r="AM18" s="5630">
        <f>AM17*2.34%</f>
        <v>2.1013199999999999</v>
      </c>
      <c r="AN18" s="5630">
        <v>5.99</v>
      </c>
      <c r="AO18" s="5630">
        <v>2.73</v>
      </c>
      <c r="AP18" s="5630">
        <v>1.4690519999999998</v>
      </c>
      <c r="AQ18" s="5630">
        <v>0.91142999999999996</v>
      </c>
      <c r="AR18" s="5630">
        <v>1.2006400000000002</v>
      </c>
      <c r="AS18" s="5630">
        <v>1.24</v>
      </c>
      <c r="AT18" s="5630">
        <f t="shared" si="4"/>
        <v>26.457921999999996</v>
      </c>
      <c r="AU18" s="5630">
        <f t="shared" si="19"/>
        <v>2.2048268333333332</v>
      </c>
      <c r="AW18" s="5630">
        <v>2.09</v>
      </c>
      <c r="AX18" s="5630">
        <v>5.8240000000000007</v>
      </c>
      <c r="AY18" s="5630"/>
      <c r="AZ18" s="5630"/>
      <c r="BA18" s="5630"/>
      <c r="BB18" s="5630"/>
      <c r="BC18" s="5630"/>
      <c r="BD18" s="5630"/>
      <c r="BE18" s="5630"/>
      <c r="BF18" s="5630"/>
      <c r="BG18" s="5630"/>
      <c r="BH18" s="5630"/>
      <c r="BI18" s="5630">
        <f t="shared" si="6"/>
        <v>7.9140000000000006</v>
      </c>
      <c r="BJ18" s="5630">
        <f t="shared" si="20"/>
        <v>3.9570000000000003</v>
      </c>
      <c r="BL18" s="3286">
        <f t="shared" si="8"/>
        <v>3.926260000000001</v>
      </c>
      <c r="BM18" s="3286">
        <f t="shared" si="9"/>
        <v>1.7521731666666671</v>
      </c>
      <c r="BN18" s="4773">
        <f>IFERROR(
  SUM(
    _xlfn.XLOOKUP(DATE(YEAR($A$1),1,1),$2:$2,18:18):
    _xlfn.XLOOKUP($A$1,$2:$2,18:18)
  )
 -SUM(
    _xlfn.XLOOKUP(DATE(YEAR($A$1)-1,1,1),$2:$2,18:18):
    _xlfn.XLOOKUP(EDATE($A$1,-12),$2:$2,18:18)
  ),"")</f>
        <v>-0.85631999999999753</v>
      </c>
      <c r="BO18" s="2860">
        <f t="shared" si="10"/>
        <v>3.7340000000000009</v>
      </c>
    </row>
    <row r="19" spans="1:67" x14ac:dyDescent="0.55000000000000004">
      <c r="A19" s="7491"/>
      <c r="B19" s="2771" t="s">
        <v>258</v>
      </c>
      <c r="C19" s="559" t="s">
        <v>787</v>
      </c>
      <c r="D19" s="590">
        <v>0</v>
      </c>
      <c r="E19" s="590">
        <v>0</v>
      </c>
      <c r="F19" s="590">
        <v>1370</v>
      </c>
      <c r="G19" s="590">
        <v>2700</v>
      </c>
      <c r="H19" s="590">
        <v>0</v>
      </c>
      <c r="I19" s="590">
        <v>10978</v>
      </c>
      <c r="J19" s="590">
        <v>0</v>
      </c>
      <c r="K19" s="590">
        <v>0</v>
      </c>
      <c r="L19" s="590">
        <v>22530</v>
      </c>
      <c r="M19" s="590">
        <v>3400</v>
      </c>
      <c r="N19" s="590">
        <v>7000</v>
      </c>
      <c r="O19" s="590">
        <v>3902</v>
      </c>
      <c r="P19" s="590">
        <f t="shared" si="13"/>
        <v>51880</v>
      </c>
      <c r="Q19" s="590">
        <f t="shared" si="14"/>
        <v>4323.333333333333</v>
      </c>
      <c r="R19" s="840" t="b">
        <v>1</v>
      </c>
      <c r="S19" s="590">
        <v>0</v>
      </c>
      <c r="T19" s="590">
        <v>2010</v>
      </c>
      <c r="U19" s="590">
        <v>0</v>
      </c>
      <c r="V19" s="590">
        <v>0</v>
      </c>
      <c r="W19" s="590">
        <v>1000</v>
      </c>
      <c r="X19" s="590">
        <v>10000</v>
      </c>
      <c r="Y19" s="590">
        <v>0</v>
      </c>
      <c r="Z19" s="590">
        <v>0</v>
      </c>
      <c r="AA19" s="590">
        <v>35000</v>
      </c>
      <c r="AB19" s="590">
        <v>10030</v>
      </c>
      <c r="AC19" s="590">
        <v>0</v>
      </c>
      <c r="AD19" s="590">
        <v>0</v>
      </c>
      <c r="AE19" s="590">
        <f t="shared" si="16"/>
        <v>58040</v>
      </c>
      <c r="AF19" s="590">
        <f t="shared" si="17"/>
        <v>4836.666666666667</v>
      </c>
      <c r="AH19" s="590">
        <v>0</v>
      </c>
      <c r="AI19" s="590">
        <v>0</v>
      </c>
      <c r="AJ19" s="590">
        <v>0</v>
      </c>
      <c r="AK19" s="590">
        <v>0</v>
      </c>
      <c r="AL19" s="590">
        <v>500</v>
      </c>
      <c r="AM19" s="590">
        <v>0</v>
      </c>
      <c r="AN19" s="590">
        <v>0</v>
      </c>
      <c r="AO19" s="590">
        <v>0</v>
      </c>
      <c r="AP19" s="590">
        <v>25080</v>
      </c>
      <c r="AQ19" s="590">
        <v>7020</v>
      </c>
      <c r="AR19" s="590">
        <v>0</v>
      </c>
      <c r="AS19" s="590">
        <v>0</v>
      </c>
      <c r="AT19" s="590">
        <f t="shared" si="4"/>
        <v>32600</v>
      </c>
      <c r="AU19" s="590">
        <f t="shared" si="19"/>
        <v>2716.6666666666665</v>
      </c>
      <c r="AW19" s="590">
        <v>0</v>
      </c>
      <c r="AX19" s="590">
        <v>500</v>
      </c>
      <c r="AY19" s="590"/>
      <c r="AZ19" s="590"/>
      <c r="BA19" s="590"/>
      <c r="BB19" s="590"/>
      <c r="BC19" s="590"/>
      <c r="BD19" s="590"/>
      <c r="BE19" s="590"/>
      <c r="BF19" s="590"/>
      <c r="BG19" s="590"/>
      <c r="BH19" s="590"/>
      <c r="BI19" s="590">
        <f t="shared" si="6"/>
        <v>500</v>
      </c>
      <c r="BJ19" s="590">
        <f t="shared" si="20"/>
        <v>250</v>
      </c>
      <c r="BL19" s="3286">
        <f t="shared" si="8"/>
        <v>500</v>
      </c>
      <c r="BM19" s="3286">
        <f t="shared" si="9"/>
        <v>-2466.6666666666665</v>
      </c>
      <c r="BN19" s="4773">
        <f>IFERROR(
  SUM(
    _xlfn.XLOOKUP(DATE(YEAR($A$1),1,1),$2:$2,19:19):
    _xlfn.XLOOKUP($A$1,$2:$2,19:19)
  )
 -SUM(
    _xlfn.XLOOKUP(DATE(YEAR($A$1)-1,1,1),$2:$2,19:19):
    _xlfn.XLOOKUP(EDATE($A$1,-12),$2:$2,19:19)
  ),"")</f>
        <v>500</v>
      </c>
      <c r="BO19" s="2860">
        <f t="shared" si="10"/>
        <v>500</v>
      </c>
    </row>
    <row r="20" spans="1:67" x14ac:dyDescent="0.55000000000000004">
      <c r="A20" s="7491"/>
      <c r="B20" s="2771"/>
      <c r="C20" s="559" t="s">
        <v>786</v>
      </c>
      <c r="D20" s="590">
        <v>6540</v>
      </c>
      <c r="E20" s="590">
        <v>4160</v>
      </c>
      <c r="F20" s="590">
        <v>160</v>
      </c>
      <c r="G20" s="590">
        <v>1580</v>
      </c>
      <c r="H20" s="590">
        <v>2870</v>
      </c>
      <c r="I20" s="590">
        <v>640</v>
      </c>
      <c r="J20" s="590">
        <v>6760</v>
      </c>
      <c r="K20" s="590">
        <v>350</v>
      </c>
      <c r="L20" s="590">
        <v>9010</v>
      </c>
      <c r="M20" s="590">
        <v>9080</v>
      </c>
      <c r="N20" s="590">
        <v>7730</v>
      </c>
      <c r="O20" s="590">
        <v>7730</v>
      </c>
      <c r="P20" s="590">
        <f t="shared" si="13"/>
        <v>56610</v>
      </c>
      <c r="Q20" s="590">
        <f t="shared" si="14"/>
        <v>4717.5</v>
      </c>
      <c r="R20" s="840" t="b">
        <v>1</v>
      </c>
      <c r="S20" s="590">
        <v>4361</v>
      </c>
      <c r="T20" s="590">
        <v>520</v>
      </c>
      <c r="U20" s="590">
        <v>1970</v>
      </c>
      <c r="V20" s="590">
        <v>1732</v>
      </c>
      <c r="W20" s="590">
        <v>1550</v>
      </c>
      <c r="X20" s="590">
        <v>200</v>
      </c>
      <c r="Y20" s="590">
        <v>4410</v>
      </c>
      <c r="Z20" s="590">
        <v>6480</v>
      </c>
      <c r="AA20" s="590">
        <v>11071</v>
      </c>
      <c r="AB20" s="590">
        <v>16070</v>
      </c>
      <c r="AC20" s="590">
        <v>3830</v>
      </c>
      <c r="AD20" s="590">
        <v>7920</v>
      </c>
      <c r="AE20" s="590">
        <f t="shared" si="16"/>
        <v>60114</v>
      </c>
      <c r="AF20" s="590">
        <f t="shared" si="17"/>
        <v>5009.5</v>
      </c>
      <c r="AH20" s="590">
        <v>1260</v>
      </c>
      <c r="AI20" s="590">
        <v>1350</v>
      </c>
      <c r="AJ20" s="590">
        <v>358</v>
      </c>
      <c r="AK20" s="590">
        <v>3371</v>
      </c>
      <c r="AL20" s="590">
        <v>160</v>
      </c>
      <c r="AM20" s="590">
        <v>3160</v>
      </c>
      <c r="AN20" s="590">
        <v>460</v>
      </c>
      <c r="AO20" s="590">
        <v>210</v>
      </c>
      <c r="AP20" s="590">
        <v>13500</v>
      </c>
      <c r="AQ20" s="590">
        <v>8640</v>
      </c>
      <c r="AR20" s="590">
        <v>2042</v>
      </c>
      <c r="AS20" s="590">
        <v>3740</v>
      </c>
      <c r="AT20" s="590">
        <f t="shared" si="4"/>
        <v>38251</v>
      </c>
      <c r="AU20" s="590">
        <f t="shared" si="19"/>
        <v>3187.5833333333335</v>
      </c>
      <c r="AW20" s="590">
        <v>1679</v>
      </c>
      <c r="AX20" s="590">
        <v>1899</v>
      </c>
      <c r="AY20" s="590"/>
      <c r="AZ20" s="590"/>
      <c r="BA20" s="590"/>
      <c r="BB20" s="590"/>
      <c r="BC20" s="590"/>
      <c r="BD20" s="590"/>
      <c r="BE20" s="590"/>
      <c r="BF20" s="590"/>
      <c r="BG20" s="590"/>
      <c r="BH20" s="590"/>
      <c r="BI20" s="590">
        <f t="shared" si="6"/>
        <v>3578</v>
      </c>
      <c r="BJ20" s="590">
        <f t="shared" si="20"/>
        <v>1789</v>
      </c>
      <c r="BL20" s="3286">
        <f t="shared" si="8"/>
        <v>549</v>
      </c>
      <c r="BM20" s="3286">
        <f t="shared" si="9"/>
        <v>-1398.5833333333335</v>
      </c>
      <c r="BN20" s="4773">
        <f>IFERROR(
  SUM(
    _xlfn.XLOOKUP(DATE(YEAR($A$1),1,1),$2:$2,20:20):
    _xlfn.XLOOKUP($A$1,$2:$2,20:20)
  )
 -SUM(
    _xlfn.XLOOKUP(DATE(YEAR($A$1)-1,1,1),$2:$2,20:20):
    _xlfn.XLOOKUP(EDATE($A$1,-12),$2:$2,20:20)
  ),"")</f>
        <v>968</v>
      </c>
      <c r="BO20" s="2860">
        <f t="shared" si="10"/>
        <v>220</v>
      </c>
    </row>
    <row r="21" spans="1:67" x14ac:dyDescent="0.55000000000000004">
      <c r="A21" s="7492"/>
      <c r="C21" s="559" t="s">
        <v>783</v>
      </c>
      <c r="D21" s="5635">
        <v>99.747047980000005</v>
      </c>
      <c r="E21" s="5635">
        <v>54.085457800000007</v>
      </c>
      <c r="F21" s="5635">
        <v>2.3169541200000001</v>
      </c>
      <c r="G21" s="5635">
        <v>23.89501151</v>
      </c>
      <c r="H21" s="5635">
        <v>41.53543775</v>
      </c>
      <c r="I21" s="5635">
        <v>7.9093782200000016</v>
      </c>
      <c r="J21" s="5635">
        <v>19.754803950000003</v>
      </c>
      <c r="K21" s="5635">
        <v>4.5817300100000002</v>
      </c>
      <c r="L21" s="5635">
        <v>-0.03</v>
      </c>
      <c r="M21" s="5635">
        <v>137.21099573000001</v>
      </c>
      <c r="N21" s="5635">
        <v>129.85208104</v>
      </c>
      <c r="O21" s="5635">
        <v>11.65069401</v>
      </c>
      <c r="P21" s="5635">
        <f t="shared" si="13"/>
        <v>532.50959212000009</v>
      </c>
      <c r="Q21" s="5635">
        <f t="shared" si="14"/>
        <v>44.375799343333341</v>
      </c>
      <c r="R21" s="840" t="b">
        <v>1</v>
      </c>
      <c r="S21" s="5635">
        <v>46.942829889999999</v>
      </c>
      <c r="T21" s="5635">
        <v>7.0489554520000004</v>
      </c>
      <c r="U21" s="5635">
        <v>26.82548869</v>
      </c>
      <c r="V21" s="5635">
        <v>27.610980210000001</v>
      </c>
      <c r="W21" s="5635">
        <v>24.4</v>
      </c>
      <c r="X21" s="5635">
        <v>2.8</v>
      </c>
      <c r="Y21" s="5635">
        <v>41</v>
      </c>
      <c r="Z21" s="5635">
        <v>61.2</v>
      </c>
      <c r="AA21" s="5635">
        <v>155.69999999999999</v>
      </c>
      <c r="AB21" s="5635">
        <v>229.4</v>
      </c>
      <c r="AC21" s="5635">
        <v>64.900000000000006</v>
      </c>
      <c r="AD21" s="5635">
        <v>70.900000000000006</v>
      </c>
      <c r="AE21" s="5635">
        <f t="shared" si="16"/>
        <v>758.72825424199993</v>
      </c>
      <c r="AF21" s="5635">
        <f t="shared" si="17"/>
        <v>63.227354520166664</v>
      </c>
      <c r="AH21" s="5635">
        <v>19.600000000000001</v>
      </c>
      <c r="AI21" s="5635">
        <v>13.6</v>
      </c>
      <c r="AJ21" s="5635">
        <v>5.69</v>
      </c>
      <c r="AK21" s="5635">
        <v>34.4</v>
      </c>
      <c r="AL21" s="5635">
        <v>2.6</v>
      </c>
      <c r="AM21" s="5635">
        <v>16.600000000000001</v>
      </c>
      <c r="AN21" s="5635">
        <v>4.3</v>
      </c>
      <c r="AO21" s="5635">
        <v>3.5</v>
      </c>
      <c r="AP21" s="5635">
        <v>206.4</v>
      </c>
      <c r="AQ21" s="5635">
        <v>120.88</v>
      </c>
      <c r="AR21" s="5635">
        <v>22.46</v>
      </c>
      <c r="AS21" s="5635">
        <v>49.7</v>
      </c>
      <c r="AT21" s="5635">
        <f t="shared" si="4"/>
        <v>499.72999999999996</v>
      </c>
      <c r="AU21" s="5635">
        <f t="shared" si="19"/>
        <v>41.644166666666663</v>
      </c>
      <c r="AW21" s="5635">
        <v>27.2</v>
      </c>
      <c r="AX21" s="5635">
        <v>22.6</v>
      </c>
      <c r="AY21" s="5635"/>
      <c r="AZ21" s="5635"/>
      <c r="BA21" s="5635"/>
      <c r="BB21" s="5635"/>
      <c r="BC21" s="5635"/>
      <c r="BD21" s="5635"/>
      <c r="BE21" s="5635"/>
      <c r="BF21" s="5635"/>
      <c r="BG21" s="5635"/>
      <c r="BH21" s="5635"/>
      <c r="BI21" s="5635">
        <f t="shared" si="6"/>
        <v>49.8</v>
      </c>
      <c r="BJ21" s="5635">
        <f t="shared" si="20"/>
        <v>24.9</v>
      </c>
      <c r="BL21" s="3286">
        <f t="shared" si="8"/>
        <v>9.0000000000000018</v>
      </c>
      <c r="BM21" s="3286">
        <f t="shared" si="9"/>
        <v>-16.744166666666665</v>
      </c>
      <c r="BN21" s="4773">
        <f>IFERROR(
  SUM(
    _xlfn.XLOOKUP(DATE(YEAR($A$1),1,1),$2:$2,21:21):
    _xlfn.XLOOKUP($A$1,$2:$2,21:21)
  )
 -SUM(
    _xlfn.XLOOKUP(DATE(YEAR($A$1)-1,1,1),$2:$2,21:21):
    _xlfn.XLOOKUP(EDATE($A$1,-12),$2:$2,21:21)
  ),"")</f>
        <v>16.599999999999994</v>
      </c>
      <c r="BO21" s="2860">
        <f t="shared" si="10"/>
        <v>-4.5999999999999979</v>
      </c>
    </row>
    <row r="22" spans="1:67" ht="15.45" thickBot="1" x14ac:dyDescent="0.6">
      <c r="A22" s="7493"/>
      <c r="B22" s="1045"/>
      <c r="C22" s="1103" t="s">
        <v>784</v>
      </c>
      <c r="D22" s="5633">
        <v>5.4063520199999999</v>
      </c>
      <c r="E22" s="5633">
        <v>1.9837421999999905</v>
      </c>
      <c r="F22" s="5633">
        <v>8.6545880000000006E-2</v>
      </c>
      <c r="G22" s="5633">
        <v>1.2344884899999999</v>
      </c>
      <c r="H22" s="5633">
        <v>1.92006225</v>
      </c>
      <c r="I22" s="5633">
        <v>0.3241217799999988</v>
      </c>
      <c r="J22" s="5633">
        <v>0.68979604999999766</v>
      </c>
      <c r="K22" s="5633">
        <v>0.16696999000000001</v>
      </c>
      <c r="L22" s="5633">
        <v>0</v>
      </c>
      <c r="M22" s="5633">
        <v>7.2575042700000001</v>
      </c>
      <c r="N22" s="5633">
        <v>6.1200189600000003</v>
      </c>
      <c r="O22" s="5633">
        <v>0.60550599000000005</v>
      </c>
      <c r="P22" s="5633">
        <f t="shared" si="13"/>
        <v>25.795107879999989</v>
      </c>
      <c r="Q22" s="5633">
        <f t="shared" si="14"/>
        <v>2.1495923233333323</v>
      </c>
      <c r="R22" s="840" t="b">
        <v>1</v>
      </c>
      <c r="S22" s="5633">
        <v>2.5059101099999999</v>
      </c>
      <c r="T22" s="5633">
        <v>0.31444454799999955</v>
      </c>
      <c r="U22" s="5633">
        <v>1.15411131</v>
      </c>
      <c r="V22" s="5633">
        <v>1.4965597900000001</v>
      </c>
      <c r="W22" s="5633">
        <v>1.04</v>
      </c>
      <c r="X22" s="5633">
        <v>0.2</v>
      </c>
      <c r="Y22" s="5633">
        <v>0.5</v>
      </c>
      <c r="Z22" s="5633">
        <v>0.6</v>
      </c>
      <c r="AA22" s="5633">
        <v>7.5</v>
      </c>
      <c r="AB22" s="5633">
        <v>12.7</v>
      </c>
      <c r="AC22" s="5633">
        <v>3.73</v>
      </c>
      <c r="AD22" s="5633">
        <v>7.09</v>
      </c>
      <c r="AE22" s="5633">
        <f t="shared" si="16"/>
        <v>38.831025757999996</v>
      </c>
      <c r="AF22" s="5633">
        <f t="shared" si="17"/>
        <v>3.2359188131666663</v>
      </c>
      <c r="AH22" s="5633">
        <v>1.04</v>
      </c>
      <c r="AI22" s="5633">
        <v>1.7</v>
      </c>
      <c r="AJ22" s="5633">
        <v>0.4</v>
      </c>
      <c r="AK22" s="5633">
        <v>0.8</v>
      </c>
      <c r="AL22" s="5633">
        <v>0.2</v>
      </c>
      <c r="AM22" s="5633">
        <v>0.67</v>
      </c>
      <c r="AN22" s="5633">
        <v>0.4</v>
      </c>
      <c r="AO22" s="5633">
        <v>0.2</v>
      </c>
      <c r="AP22" s="5633">
        <v>11.447919000000001</v>
      </c>
      <c r="AQ22" s="5633">
        <v>6.11937</v>
      </c>
      <c r="AR22" s="5633">
        <v>0.98</v>
      </c>
      <c r="AS22" s="5633">
        <v>2.2000000000000002</v>
      </c>
      <c r="AT22" s="5633">
        <f t="shared" si="4"/>
        <v>26.157289000000002</v>
      </c>
      <c r="AU22" s="5633">
        <f t="shared" si="19"/>
        <v>2.1797740833333337</v>
      </c>
      <c r="AW22" s="5633">
        <v>1.6</v>
      </c>
      <c r="AX22" s="5633">
        <v>0.96</v>
      </c>
      <c r="AY22" s="5633"/>
      <c r="AZ22" s="5633"/>
      <c r="BA22" s="5633"/>
      <c r="BB22" s="5633"/>
      <c r="BC22" s="5633"/>
      <c r="BD22" s="5633"/>
      <c r="BE22" s="5633"/>
      <c r="BF22" s="5633"/>
      <c r="BG22" s="5633"/>
      <c r="BH22" s="5633"/>
      <c r="BI22" s="5633">
        <f t="shared" si="6"/>
        <v>2.56</v>
      </c>
      <c r="BJ22" s="5633">
        <f t="shared" si="20"/>
        <v>1.28</v>
      </c>
      <c r="BL22" s="3286">
        <f t="shared" si="8"/>
        <v>-0.74</v>
      </c>
      <c r="BM22" s="3286">
        <f t="shared" si="9"/>
        <v>-0.89977408333333364</v>
      </c>
      <c r="BN22" s="4773">
        <f>IFERROR(
  SUM(
    _xlfn.XLOOKUP(DATE(YEAR($A$1),1,1),$2:$2,22:22):
    _xlfn.XLOOKUP($A$1,$2:$2,22:22)
  )
 -SUM(
    _xlfn.XLOOKUP(DATE(YEAR($A$1)-1,1,1),$2:$2,22:22):
    _xlfn.XLOOKUP(EDATE($A$1,-12),$2:$2,22:22)
  ),"")</f>
        <v>-0.18000000000000016</v>
      </c>
      <c r="BO22" s="2860">
        <f t="shared" si="10"/>
        <v>-0.64000000000000012</v>
      </c>
    </row>
    <row r="23" spans="1:67" ht="10.5" customHeight="1" thickBot="1" x14ac:dyDescent="0.6">
      <c r="R23" s="840" t="b">
        <v>1</v>
      </c>
      <c r="AB23" s="559" t="s">
        <v>718</v>
      </c>
      <c r="BL23" s="3286">
        <f t="shared" si="8"/>
        <v>0</v>
      </c>
      <c r="BM23" s="3286">
        <f t="shared" si="9"/>
        <v>0</v>
      </c>
      <c r="BN23" s="4773">
        <f>IFERROR(
  SUM(
    _xlfn.XLOOKUP(DATE(YEAR($A$1),1,1),$2:$2,23:23):
    _xlfn.XLOOKUP($A$1,$2:$2,23:23)
  )
 -SUM(
    _xlfn.XLOOKUP(DATE(YEAR($A$1)-1,1,1),$2:$2,23:23):
    _xlfn.XLOOKUP(EDATE($A$1,-12),$2:$2,23:23)
  ),"")</f>
        <v>0</v>
      </c>
      <c r="BO23" s="2860">
        <f t="shared" si="10"/>
        <v>0</v>
      </c>
    </row>
    <row r="24" spans="1:67" x14ac:dyDescent="0.55000000000000004">
      <c r="A24" s="7490" t="s">
        <v>788</v>
      </c>
      <c r="B24" s="1013" t="s">
        <v>789</v>
      </c>
      <c r="C24" s="1014" t="s">
        <v>790</v>
      </c>
      <c r="D24" s="5636">
        <f>SUM(D25:D27)</f>
        <v>39472</v>
      </c>
      <c r="E24" s="5636">
        <f t="shared" ref="E24:O24" si="21">SUM(E25:E27)</f>
        <v>52312</v>
      </c>
      <c r="F24" s="5636">
        <f t="shared" si="21"/>
        <v>40877</v>
      </c>
      <c r="G24" s="5636">
        <f t="shared" si="21"/>
        <v>38704</v>
      </c>
      <c r="H24" s="5636">
        <f t="shared" si="21"/>
        <v>43205</v>
      </c>
      <c r="I24" s="5636">
        <f t="shared" si="21"/>
        <v>40045</v>
      </c>
      <c r="J24" s="5636">
        <f t="shared" si="21"/>
        <v>39620</v>
      </c>
      <c r="K24" s="5636">
        <f t="shared" si="21"/>
        <v>57674</v>
      </c>
      <c r="L24" s="5636">
        <f t="shared" si="21"/>
        <v>35933</v>
      </c>
      <c r="M24" s="5636">
        <f t="shared" si="21"/>
        <v>66601</v>
      </c>
      <c r="N24" s="5636">
        <f t="shared" si="21"/>
        <v>37572</v>
      </c>
      <c r="O24" s="5636">
        <f t="shared" si="21"/>
        <v>30999</v>
      </c>
      <c r="P24" s="5636">
        <f>SUM(D24:O24)</f>
        <v>523014</v>
      </c>
      <c r="Q24" s="5636">
        <f>AVERAGE(D24:O24)</f>
        <v>43584.5</v>
      </c>
      <c r="R24" s="840" t="b">
        <v>1</v>
      </c>
      <c r="S24" s="5636">
        <f t="shared" ref="S24:AD24" si="22">SUM(S25:S27)</f>
        <v>54380</v>
      </c>
      <c r="T24" s="5636">
        <f t="shared" si="22"/>
        <v>38344</v>
      </c>
      <c r="U24" s="5636">
        <f t="shared" si="22"/>
        <v>39337</v>
      </c>
      <c r="V24" s="5636">
        <f t="shared" si="22"/>
        <v>42410</v>
      </c>
      <c r="W24" s="5636">
        <f t="shared" si="22"/>
        <v>43143</v>
      </c>
      <c r="X24" s="5636">
        <f t="shared" si="22"/>
        <v>38323</v>
      </c>
      <c r="Y24" s="5636">
        <f t="shared" si="22"/>
        <v>55181</v>
      </c>
      <c r="Z24" s="5636">
        <f t="shared" si="22"/>
        <v>41157</v>
      </c>
      <c r="AA24" s="5636">
        <f t="shared" si="22"/>
        <v>62578</v>
      </c>
      <c r="AB24" s="5636">
        <f t="shared" si="22"/>
        <v>55555</v>
      </c>
      <c r="AC24" s="5636">
        <f t="shared" si="22"/>
        <v>43193</v>
      </c>
      <c r="AD24" s="5636">
        <f t="shared" si="22"/>
        <v>35792</v>
      </c>
      <c r="AE24" s="5636">
        <f>SUM(S24:AD24)</f>
        <v>549393</v>
      </c>
      <c r="AF24" s="5636">
        <f>AVERAGE(S24:AD24)</f>
        <v>45782.75</v>
      </c>
      <c r="AH24" s="5636">
        <v>33725</v>
      </c>
      <c r="AI24" s="5636">
        <v>67573</v>
      </c>
      <c r="AJ24" s="5636">
        <v>43042</v>
      </c>
      <c r="AK24" s="5636">
        <v>46783</v>
      </c>
      <c r="AL24" s="5636">
        <v>63245</v>
      </c>
      <c r="AM24" s="5636">
        <v>51217</v>
      </c>
      <c r="AN24" s="5636">
        <v>68808</v>
      </c>
      <c r="AO24" s="5636">
        <v>49766</v>
      </c>
      <c r="AP24" s="5636">
        <v>69431</v>
      </c>
      <c r="AQ24" s="5636">
        <v>56294</v>
      </c>
      <c r="AR24" s="5636">
        <v>46695</v>
      </c>
      <c r="AS24" s="5636">
        <v>46355</v>
      </c>
      <c r="AT24" s="5636">
        <f t="shared" si="4"/>
        <v>642934</v>
      </c>
      <c r="AU24" s="5636">
        <f>AVERAGE(AH24:AS24)</f>
        <v>53577.833333333336</v>
      </c>
      <c r="AW24" s="5636">
        <v>69719</v>
      </c>
      <c r="AX24" s="5636">
        <v>36417</v>
      </c>
      <c r="AY24" s="5636"/>
      <c r="AZ24" s="5636"/>
      <c r="BA24" s="5636"/>
      <c r="BB24" s="5636"/>
      <c r="BC24" s="5636"/>
      <c r="BD24" s="5636"/>
      <c r="BE24" s="5636"/>
      <c r="BF24" s="5636"/>
      <c r="BG24" s="5636"/>
      <c r="BH24" s="5636"/>
      <c r="BI24" s="5636">
        <f t="shared" ref="BI24:BI57" si="23">SUM(AW24:BH24)</f>
        <v>106136</v>
      </c>
      <c r="BJ24" s="5636">
        <f>AVERAGE(AW24:BH24)</f>
        <v>53068</v>
      </c>
      <c r="BL24" s="3286">
        <f t="shared" si="8"/>
        <v>-31156</v>
      </c>
      <c r="BM24" s="3286">
        <f t="shared" si="9"/>
        <v>-509.83333333333576</v>
      </c>
      <c r="BN24" s="4773">
        <f>IFERROR(
  SUM(
    _xlfn.XLOOKUP(DATE(YEAR($A$1),1,1),$2:$2,24:24):
    _xlfn.XLOOKUP($A$1,$2:$2,24:24)
  )
 -SUM(
    _xlfn.XLOOKUP(DATE(YEAR($A$1)-1,1,1),$2:$2,24:24):
    _xlfn.XLOOKUP(EDATE($A$1,-12),$2:$2,24:24)
  ),"")</f>
        <v>4838</v>
      </c>
      <c r="BO24" s="2860">
        <f t="shared" si="10"/>
        <v>-33302</v>
      </c>
    </row>
    <row r="25" spans="1:67" x14ac:dyDescent="0.55000000000000004">
      <c r="A25" s="7491"/>
      <c r="B25" s="2771"/>
      <c r="C25" s="5635" t="s">
        <v>791</v>
      </c>
      <c r="D25" s="1102">
        <v>26017</v>
      </c>
      <c r="E25" s="1102">
        <v>41851</v>
      </c>
      <c r="F25" s="1102">
        <v>29175</v>
      </c>
      <c r="G25" s="1102">
        <v>28269</v>
      </c>
      <c r="H25" s="1102">
        <v>30676</v>
      </c>
      <c r="I25" s="1102">
        <v>29468</v>
      </c>
      <c r="J25" s="1102">
        <v>29499</v>
      </c>
      <c r="K25" s="1102">
        <v>50571</v>
      </c>
      <c r="L25" s="1102">
        <v>24743</v>
      </c>
      <c r="M25" s="1102">
        <v>21978</v>
      </c>
      <c r="N25" s="1102">
        <v>22212</v>
      </c>
      <c r="O25" s="1102">
        <v>19738</v>
      </c>
      <c r="P25" s="1102">
        <f>SUM(D25:O25)</f>
        <v>354197</v>
      </c>
      <c r="Q25" s="1102">
        <f>AVERAGE(D25:O25)</f>
        <v>29516.416666666668</v>
      </c>
      <c r="R25" s="840" t="b">
        <v>1</v>
      </c>
      <c r="S25" s="1102">
        <v>41685</v>
      </c>
      <c r="T25" s="1102">
        <v>25766</v>
      </c>
      <c r="U25" s="1102">
        <v>26516</v>
      </c>
      <c r="V25" s="1102">
        <v>29859</v>
      </c>
      <c r="W25" s="1102">
        <v>31023</v>
      </c>
      <c r="X25" s="1102">
        <v>29314</v>
      </c>
      <c r="Y25" s="1102">
        <v>44416</v>
      </c>
      <c r="Z25" s="1102">
        <v>30861</v>
      </c>
      <c r="AA25" s="1102">
        <v>25236</v>
      </c>
      <c r="AB25" s="1102">
        <v>26157</v>
      </c>
      <c r="AC25" s="1102">
        <v>27448</v>
      </c>
      <c r="AD25" s="1102">
        <v>22190</v>
      </c>
      <c r="AE25" s="1102">
        <f t="shared" ref="AE25:AE30" si="24">SUM(S25:AD25)</f>
        <v>360471</v>
      </c>
      <c r="AF25" s="1102">
        <f t="shared" ref="AF25:AF30" si="25">AVERAGE(S25:AD25)</f>
        <v>30039.25</v>
      </c>
      <c r="AH25" s="1102">
        <v>18825</v>
      </c>
      <c r="AI25" s="1102">
        <v>52112</v>
      </c>
      <c r="AJ25" s="1102">
        <v>29071</v>
      </c>
      <c r="AK25" s="1102">
        <v>33608</v>
      </c>
      <c r="AL25" s="1102">
        <v>46831</v>
      </c>
      <c r="AM25" s="1102">
        <v>38015</v>
      </c>
      <c r="AN25" s="1102">
        <v>58238</v>
      </c>
      <c r="AO25" s="1102">
        <v>39445</v>
      </c>
      <c r="AP25" s="1102">
        <v>33724</v>
      </c>
      <c r="AQ25" s="1102">
        <v>31427</v>
      </c>
      <c r="AR25" s="1102">
        <v>27926</v>
      </c>
      <c r="AS25" s="1102">
        <v>30886</v>
      </c>
      <c r="AT25" s="1102">
        <f t="shared" si="4"/>
        <v>440108</v>
      </c>
      <c r="AU25" s="1102">
        <f t="shared" ref="AU25:AU30" si="26">AVERAGE(AH25:AS25)</f>
        <v>36675.666666666664</v>
      </c>
      <c r="AW25" s="1102">
        <v>47301</v>
      </c>
      <c r="AX25" s="1102">
        <v>22856</v>
      </c>
      <c r="AY25" s="1102"/>
      <c r="AZ25" s="1102"/>
      <c r="BA25" s="1102"/>
      <c r="BB25" s="1102"/>
      <c r="BC25" s="1102"/>
      <c r="BD25" s="1102"/>
      <c r="BE25" s="1102"/>
      <c r="BF25" s="1102"/>
      <c r="BG25" s="1102"/>
      <c r="BH25" s="1102"/>
      <c r="BI25" s="1102">
        <f t="shared" si="23"/>
        <v>70157</v>
      </c>
      <c r="BJ25" s="1102">
        <f t="shared" ref="BJ25:BJ30" si="27">AVERAGE(AW25:BH25)</f>
        <v>35078.5</v>
      </c>
      <c r="BL25" s="3286">
        <f t="shared" si="8"/>
        <v>-29256</v>
      </c>
      <c r="BM25" s="3286">
        <f t="shared" si="9"/>
        <v>-1597.1666666666642</v>
      </c>
      <c r="BN25" s="4773">
        <f>IFERROR(
  SUM(
    _xlfn.XLOOKUP(DATE(YEAR($A$1),1,1),$2:$2,25:25):
    _xlfn.XLOOKUP($A$1,$2:$2,25:25)
  )
 -SUM(
    _xlfn.XLOOKUP(DATE(YEAR($A$1)-1,1,1),$2:$2,25:25):
    _xlfn.XLOOKUP(EDATE($A$1,-12),$2:$2,25:25)
  ),"")</f>
        <v>-780</v>
      </c>
      <c r="BO25" s="2860">
        <f t="shared" si="10"/>
        <v>-24445</v>
      </c>
    </row>
    <row r="26" spans="1:67" x14ac:dyDescent="0.55000000000000004">
      <c r="A26" s="7491"/>
      <c r="B26" s="2771"/>
      <c r="C26" s="559" t="s">
        <v>792</v>
      </c>
      <c r="D26" s="1102">
        <v>11794</v>
      </c>
      <c r="E26" s="1102">
        <v>7973</v>
      </c>
      <c r="F26" s="1102">
        <v>9093</v>
      </c>
      <c r="G26" s="1102">
        <v>8727</v>
      </c>
      <c r="H26" s="1102">
        <v>9879</v>
      </c>
      <c r="I26" s="1102">
        <v>8278</v>
      </c>
      <c r="J26" s="1102">
        <v>7272</v>
      </c>
      <c r="K26" s="1102">
        <v>5194</v>
      </c>
      <c r="L26" s="1102">
        <v>4711</v>
      </c>
      <c r="M26" s="1102">
        <v>38616</v>
      </c>
      <c r="N26" s="1102">
        <v>13424</v>
      </c>
      <c r="O26" s="1102">
        <v>9516</v>
      </c>
      <c r="P26" s="1102">
        <f t="shared" ref="P26:P34" si="28">SUM(D26:O26)</f>
        <v>134477</v>
      </c>
      <c r="Q26" s="1102">
        <f t="shared" ref="Q26:Q31" si="29">AVERAGE(D26:O26)</f>
        <v>11206.416666666666</v>
      </c>
      <c r="R26" s="840" t="b">
        <v>1</v>
      </c>
      <c r="S26" s="1102">
        <v>10251</v>
      </c>
      <c r="T26" s="1102">
        <v>8533</v>
      </c>
      <c r="U26" s="1102">
        <v>8590</v>
      </c>
      <c r="V26" s="1102">
        <v>9927</v>
      </c>
      <c r="W26" s="1102">
        <v>9243</v>
      </c>
      <c r="X26" s="1102">
        <v>7179</v>
      </c>
      <c r="Y26" s="1102">
        <v>8404</v>
      </c>
      <c r="Z26" s="1102">
        <v>8074</v>
      </c>
      <c r="AA26" s="1102">
        <v>35409</v>
      </c>
      <c r="AB26" s="1102">
        <v>23444</v>
      </c>
      <c r="AC26" s="1102">
        <v>12978</v>
      </c>
      <c r="AD26" s="1102">
        <v>11286</v>
      </c>
      <c r="AE26" s="1102">
        <f t="shared" si="24"/>
        <v>153318</v>
      </c>
      <c r="AF26" s="1102">
        <f t="shared" si="25"/>
        <v>12776.5</v>
      </c>
      <c r="AH26" s="1102">
        <v>11359</v>
      </c>
      <c r="AI26" s="1102">
        <v>11001</v>
      </c>
      <c r="AJ26" s="1102">
        <v>10507</v>
      </c>
      <c r="AK26" s="1102">
        <v>10969</v>
      </c>
      <c r="AL26" s="1102">
        <v>13331</v>
      </c>
      <c r="AM26" s="1102">
        <v>11529</v>
      </c>
      <c r="AN26" s="1102">
        <v>9277</v>
      </c>
      <c r="AO26" s="1102">
        <v>8471</v>
      </c>
      <c r="AP26" s="1102">
        <v>33999</v>
      </c>
      <c r="AQ26" s="1102">
        <v>20789</v>
      </c>
      <c r="AR26" s="1102">
        <v>14921</v>
      </c>
      <c r="AS26" s="1102">
        <v>13688</v>
      </c>
      <c r="AT26" s="1102">
        <f t="shared" si="4"/>
        <v>169841</v>
      </c>
      <c r="AU26" s="1102">
        <f t="shared" si="26"/>
        <v>14153.416666666666</v>
      </c>
      <c r="AW26" s="1102">
        <v>20033</v>
      </c>
      <c r="AX26" s="1102">
        <v>10975</v>
      </c>
      <c r="AY26" s="1102"/>
      <c r="AZ26" s="1102"/>
      <c r="BA26" s="1102"/>
      <c r="BB26" s="1102"/>
      <c r="BC26" s="1102"/>
      <c r="BD26" s="1102"/>
      <c r="BE26" s="1102"/>
      <c r="BF26" s="1102"/>
      <c r="BG26" s="1102"/>
      <c r="BH26" s="1102"/>
      <c r="BI26" s="1102">
        <f t="shared" si="23"/>
        <v>31008</v>
      </c>
      <c r="BJ26" s="1102">
        <f t="shared" si="27"/>
        <v>15504</v>
      </c>
      <c r="BL26" s="3286">
        <f t="shared" si="8"/>
        <v>-26</v>
      </c>
      <c r="BM26" s="3286">
        <f t="shared" si="9"/>
        <v>1350.5833333333339</v>
      </c>
      <c r="BN26" s="4773">
        <f>IFERROR(
  SUM(
    _xlfn.XLOOKUP(DATE(YEAR($A$1),1,1),$2:$2,26:26):
    _xlfn.XLOOKUP($A$1,$2:$2,26:26)
  )
 -SUM(
    _xlfn.XLOOKUP(DATE(YEAR($A$1)-1,1,1),$2:$2,26:26):
    _xlfn.XLOOKUP(EDATE($A$1,-12),$2:$2,26:26)
  ),"")</f>
        <v>8648</v>
      </c>
      <c r="BO26" s="2860">
        <f t="shared" si="10"/>
        <v>-9058</v>
      </c>
    </row>
    <row r="27" spans="1:67" x14ac:dyDescent="0.55000000000000004">
      <c r="A27" s="7491"/>
      <c r="B27" s="2771"/>
      <c r="C27" s="559" t="s">
        <v>409</v>
      </c>
      <c r="D27" s="1102">
        <v>1661</v>
      </c>
      <c r="E27" s="1102">
        <v>2488</v>
      </c>
      <c r="F27" s="1102">
        <v>2609</v>
      </c>
      <c r="G27" s="1102">
        <v>1708</v>
      </c>
      <c r="H27" s="1102">
        <v>2650</v>
      </c>
      <c r="I27" s="1102">
        <v>2299</v>
      </c>
      <c r="J27" s="1102">
        <v>2849</v>
      </c>
      <c r="K27" s="1102">
        <v>1909</v>
      </c>
      <c r="L27" s="1102">
        <v>6479</v>
      </c>
      <c r="M27" s="1102">
        <v>6007</v>
      </c>
      <c r="N27" s="1102">
        <v>1936</v>
      </c>
      <c r="O27" s="1102">
        <v>1745</v>
      </c>
      <c r="P27" s="1102">
        <f t="shared" si="28"/>
        <v>34340</v>
      </c>
      <c r="Q27" s="1102">
        <f t="shared" si="29"/>
        <v>2861.6666666666665</v>
      </c>
      <c r="R27" s="840" t="b">
        <v>1</v>
      </c>
      <c r="S27" s="1102">
        <v>2444</v>
      </c>
      <c r="T27" s="1102">
        <v>4045</v>
      </c>
      <c r="U27" s="1102">
        <v>4231</v>
      </c>
      <c r="V27" s="1102">
        <v>2624</v>
      </c>
      <c r="W27" s="1102">
        <v>2877</v>
      </c>
      <c r="X27" s="1102">
        <v>1830</v>
      </c>
      <c r="Y27" s="1102">
        <v>2361</v>
      </c>
      <c r="Z27" s="1102">
        <v>2222</v>
      </c>
      <c r="AA27" s="1102">
        <v>1933</v>
      </c>
      <c r="AB27" s="1102">
        <v>5954</v>
      </c>
      <c r="AC27" s="1102">
        <v>2767</v>
      </c>
      <c r="AD27" s="1102">
        <v>2316</v>
      </c>
      <c r="AE27" s="1102">
        <f t="shared" si="24"/>
        <v>35604</v>
      </c>
      <c r="AF27" s="1102">
        <f t="shared" si="25"/>
        <v>2967</v>
      </c>
      <c r="AH27" s="1102">
        <v>3541</v>
      </c>
      <c r="AI27" s="1102">
        <v>4460</v>
      </c>
      <c r="AJ27" s="1102">
        <v>3464</v>
      </c>
      <c r="AK27" s="1102">
        <v>2206</v>
      </c>
      <c r="AL27" s="1102">
        <v>3083</v>
      </c>
      <c r="AM27" s="1102">
        <v>1673</v>
      </c>
      <c r="AN27" s="1102">
        <v>1293</v>
      </c>
      <c r="AO27" s="1102">
        <v>1850</v>
      </c>
      <c r="AP27" s="1102">
        <v>1708</v>
      </c>
      <c r="AQ27" s="1102">
        <v>4078</v>
      </c>
      <c r="AR27" s="1102">
        <v>3848</v>
      </c>
      <c r="AS27" s="1102">
        <v>1781</v>
      </c>
      <c r="AT27" s="1102">
        <f t="shared" si="4"/>
        <v>32985</v>
      </c>
      <c r="AU27" s="1102">
        <f t="shared" si="26"/>
        <v>2748.75</v>
      </c>
      <c r="AW27" s="1102">
        <v>2385</v>
      </c>
      <c r="AX27" s="1102">
        <v>2586</v>
      </c>
      <c r="AY27" s="1102"/>
      <c r="AZ27" s="1102"/>
      <c r="BA27" s="1102"/>
      <c r="BB27" s="1102"/>
      <c r="BC27" s="1102"/>
      <c r="BD27" s="1102"/>
      <c r="BE27" s="1102"/>
      <c r="BF27" s="1102"/>
      <c r="BG27" s="1102"/>
      <c r="BH27" s="1102"/>
      <c r="BI27" s="1102">
        <f t="shared" si="23"/>
        <v>4971</v>
      </c>
      <c r="BJ27" s="1102">
        <f t="shared" si="27"/>
        <v>2485.5</v>
      </c>
      <c r="BL27" s="3286">
        <f t="shared" si="8"/>
        <v>-1874</v>
      </c>
      <c r="BM27" s="3286">
        <f t="shared" si="9"/>
        <v>-263.25</v>
      </c>
      <c r="BN27" s="4773">
        <f>IFERROR(
  SUM(
    _xlfn.XLOOKUP(DATE(YEAR($A$1),1,1),$2:$2,27:27):
    _xlfn.XLOOKUP($A$1,$2:$2,27:27)
  )
 -SUM(
    _xlfn.XLOOKUP(DATE(YEAR($A$1)-1,1,1),$2:$2,27:27):
    _xlfn.XLOOKUP(EDATE($A$1,-12),$2:$2,27:27)
  ),"")</f>
        <v>-3030</v>
      </c>
      <c r="BO27" s="2860">
        <f t="shared" si="10"/>
        <v>201</v>
      </c>
    </row>
    <row r="28" spans="1:67" x14ac:dyDescent="0.55000000000000004">
      <c r="A28" s="7491"/>
      <c r="B28" s="1074" t="s">
        <v>793</v>
      </c>
      <c r="C28" s="1116" t="s">
        <v>790</v>
      </c>
      <c r="D28" s="5637">
        <f>SUM(D29:D31)</f>
        <v>242651</v>
      </c>
      <c r="E28" s="5637">
        <f t="shared" ref="E28:O28" si="30">SUM(E29:E31)</f>
        <v>310067</v>
      </c>
      <c r="F28" s="5637">
        <f t="shared" si="30"/>
        <v>263948</v>
      </c>
      <c r="G28" s="5637">
        <f t="shared" si="30"/>
        <v>247163</v>
      </c>
      <c r="H28" s="5637">
        <f t="shared" si="30"/>
        <v>266494</v>
      </c>
      <c r="I28" s="5637">
        <f t="shared" si="30"/>
        <v>244977</v>
      </c>
      <c r="J28" s="5637">
        <f t="shared" si="30"/>
        <v>253453</v>
      </c>
      <c r="K28" s="5637">
        <f t="shared" si="30"/>
        <v>342186</v>
      </c>
      <c r="L28" s="5637">
        <f t="shared" si="30"/>
        <v>215365</v>
      </c>
      <c r="M28" s="5637">
        <f t="shared" si="30"/>
        <v>328889</v>
      </c>
      <c r="N28" s="5637">
        <f t="shared" si="30"/>
        <v>238584</v>
      </c>
      <c r="O28" s="5637">
        <f t="shared" si="30"/>
        <v>216299</v>
      </c>
      <c r="P28" s="5637">
        <f t="shared" si="28"/>
        <v>3170076</v>
      </c>
      <c r="Q28" s="5637">
        <f t="shared" si="29"/>
        <v>264173</v>
      </c>
      <c r="R28" s="840" t="b">
        <v>1</v>
      </c>
      <c r="S28" s="5637">
        <f t="shared" ref="S28:AD28" si="31">SUM(S29:S31)</f>
        <v>301418</v>
      </c>
      <c r="T28" s="5637">
        <f t="shared" si="31"/>
        <v>231596</v>
      </c>
      <c r="U28" s="5637">
        <f t="shared" si="31"/>
        <v>235356</v>
      </c>
      <c r="V28" s="5637">
        <f t="shared" si="31"/>
        <v>243885</v>
      </c>
      <c r="W28" s="5637">
        <f t="shared" si="31"/>
        <v>245753</v>
      </c>
      <c r="X28" s="5637">
        <f t="shared" si="31"/>
        <v>214988</v>
      </c>
      <c r="Y28" s="5637">
        <f t="shared" si="31"/>
        <v>286285</v>
      </c>
      <c r="Z28" s="5637">
        <f t="shared" si="31"/>
        <v>238581</v>
      </c>
      <c r="AA28" s="5637">
        <f t="shared" si="31"/>
        <v>277020</v>
      </c>
      <c r="AB28" s="5637">
        <f t="shared" si="31"/>
        <v>255012</v>
      </c>
      <c r="AC28" s="5637">
        <f t="shared" si="31"/>
        <v>224425</v>
      </c>
      <c r="AD28" s="5637">
        <f t="shared" si="31"/>
        <v>209179</v>
      </c>
      <c r="AE28" s="5637">
        <f t="shared" si="24"/>
        <v>2963498</v>
      </c>
      <c r="AF28" s="5637">
        <f t="shared" si="25"/>
        <v>246958.16666666666</v>
      </c>
      <c r="AH28" s="5637">
        <v>191324</v>
      </c>
      <c r="AI28" s="5637">
        <v>322683</v>
      </c>
      <c r="AJ28" s="5637">
        <v>236817</v>
      </c>
      <c r="AK28" s="5637">
        <v>252716</v>
      </c>
      <c r="AL28" s="5637">
        <v>335340</v>
      </c>
      <c r="AM28" s="5637">
        <v>277684</v>
      </c>
      <c r="AN28" s="5637">
        <v>338393</v>
      </c>
      <c r="AO28" s="5637">
        <v>273596</v>
      </c>
      <c r="AP28" s="5637">
        <v>321082</v>
      </c>
      <c r="AQ28" s="5637">
        <v>278603</v>
      </c>
      <c r="AR28" s="5637">
        <v>233497</v>
      </c>
      <c r="AS28" s="5637">
        <v>248535</v>
      </c>
      <c r="AT28" s="5637">
        <f t="shared" si="4"/>
        <v>3310270</v>
      </c>
      <c r="AU28" s="5637">
        <f t="shared" si="26"/>
        <v>275855.83333333331</v>
      </c>
      <c r="AW28" s="5637">
        <v>329995</v>
      </c>
      <c r="AX28" s="5637">
        <v>183728</v>
      </c>
      <c r="AY28" s="5637"/>
      <c r="AZ28" s="5637"/>
      <c r="BA28" s="5637"/>
      <c r="BB28" s="5637"/>
      <c r="BC28" s="5637"/>
      <c r="BD28" s="5637"/>
      <c r="BE28" s="5637"/>
      <c r="BF28" s="5637"/>
      <c r="BG28" s="5637"/>
      <c r="BH28" s="5637"/>
      <c r="BI28" s="5637">
        <f t="shared" si="23"/>
        <v>513723</v>
      </c>
      <c r="BJ28" s="5637">
        <f t="shared" si="27"/>
        <v>256861.5</v>
      </c>
      <c r="BL28" s="3286">
        <f t="shared" si="8"/>
        <v>-138955</v>
      </c>
      <c r="BM28" s="3286">
        <f t="shared" si="9"/>
        <v>-18994.333333333314</v>
      </c>
      <c r="BN28" s="4773">
        <f>IFERROR(
  SUM(
    _xlfn.XLOOKUP(DATE(YEAR($A$1),1,1),$2:$2,28:28):
    _xlfn.XLOOKUP($A$1,$2:$2,28:28)
  )
 -SUM(
    _xlfn.XLOOKUP(DATE(YEAR($A$1)-1,1,1),$2:$2,28:28):
    _xlfn.XLOOKUP(EDATE($A$1,-12),$2:$2,28:28)
  ),"")</f>
        <v>-284</v>
      </c>
      <c r="BO28" s="2860">
        <f t="shared" si="10"/>
        <v>-146267</v>
      </c>
    </row>
    <row r="29" spans="1:67" x14ac:dyDescent="0.55000000000000004">
      <c r="A29" s="7491"/>
      <c r="B29" s="2771"/>
      <c r="C29" s="559" t="s">
        <v>791</v>
      </c>
      <c r="D29" s="1102">
        <v>173456</v>
      </c>
      <c r="E29" s="1102">
        <v>246588</v>
      </c>
      <c r="F29" s="1102">
        <v>193515</v>
      </c>
      <c r="G29" s="1102">
        <v>191466</v>
      </c>
      <c r="H29" s="1102">
        <v>203508</v>
      </c>
      <c r="I29" s="1102">
        <v>190489</v>
      </c>
      <c r="J29" s="1102">
        <v>198580</v>
      </c>
      <c r="K29" s="1102">
        <v>297618</v>
      </c>
      <c r="L29" s="1102">
        <v>168332</v>
      </c>
      <c r="M29" s="1102">
        <v>162794</v>
      </c>
      <c r="N29" s="1102">
        <v>156720</v>
      </c>
      <c r="O29" s="1102">
        <v>149662</v>
      </c>
      <c r="P29" s="1102">
        <f t="shared" si="28"/>
        <v>2332728</v>
      </c>
      <c r="Q29" s="1102">
        <f t="shared" si="29"/>
        <v>194394</v>
      </c>
      <c r="R29" s="840" t="b">
        <v>1</v>
      </c>
      <c r="S29" s="1102">
        <v>232142</v>
      </c>
      <c r="T29" s="1102">
        <v>163598</v>
      </c>
      <c r="U29" s="1102">
        <v>170291</v>
      </c>
      <c r="V29" s="1102">
        <v>188733</v>
      </c>
      <c r="W29" s="1102">
        <v>189815</v>
      </c>
      <c r="X29" s="1102">
        <v>169869</v>
      </c>
      <c r="Y29" s="1102">
        <v>233589</v>
      </c>
      <c r="Z29" s="1102">
        <v>188381</v>
      </c>
      <c r="AA29" s="1102">
        <v>157439</v>
      </c>
      <c r="AB29" s="1102">
        <v>157057</v>
      </c>
      <c r="AC29" s="1102">
        <v>153704</v>
      </c>
      <c r="AD29" s="1102">
        <v>146663</v>
      </c>
      <c r="AE29" s="1102">
        <f t="shared" si="24"/>
        <v>2151281</v>
      </c>
      <c r="AF29" s="1102">
        <f t="shared" si="25"/>
        <v>179273.41666666666</v>
      </c>
      <c r="AH29" s="1102">
        <v>125207</v>
      </c>
      <c r="AI29" s="1102">
        <v>255630</v>
      </c>
      <c r="AJ29" s="1102">
        <v>173218</v>
      </c>
      <c r="AK29" s="1102">
        <v>194811</v>
      </c>
      <c r="AL29" s="1102">
        <v>262757</v>
      </c>
      <c r="AM29" s="1102">
        <v>218670</v>
      </c>
      <c r="AN29" s="1102">
        <v>287152</v>
      </c>
      <c r="AO29" s="1102">
        <v>223793</v>
      </c>
      <c r="AP29" s="1102">
        <v>199824</v>
      </c>
      <c r="AQ29" s="1102">
        <v>182219</v>
      </c>
      <c r="AR29" s="1102">
        <v>159194</v>
      </c>
      <c r="AS29" s="1102">
        <v>176692</v>
      </c>
      <c r="AT29" s="1102">
        <f t="shared" si="4"/>
        <v>2459167</v>
      </c>
      <c r="AU29" s="1102">
        <f t="shared" si="26"/>
        <v>204930.58333333334</v>
      </c>
      <c r="AW29" s="1102">
        <v>235943</v>
      </c>
      <c r="AX29" s="1102">
        <v>123643</v>
      </c>
      <c r="AY29" s="1102"/>
      <c r="AZ29" s="1102"/>
      <c r="BA29" s="1102"/>
      <c r="BB29" s="1102"/>
      <c r="BC29" s="1102"/>
      <c r="BD29" s="1102"/>
      <c r="BE29" s="1102"/>
      <c r="BF29" s="1102"/>
      <c r="BG29" s="1102"/>
      <c r="BH29" s="1102"/>
      <c r="BI29" s="1102">
        <f t="shared" si="23"/>
        <v>359586</v>
      </c>
      <c r="BJ29" s="1102">
        <f t="shared" si="27"/>
        <v>179793</v>
      </c>
      <c r="BL29" s="3286">
        <f t="shared" si="8"/>
        <v>-131987</v>
      </c>
      <c r="BM29" s="3286">
        <f t="shared" si="9"/>
        <v>-25137.583333333343</v>
      </c>
      <c r="BN29" s="4773">
        <f>IFERROR(
  SUM(
    _xlfn.XLOOKUP(DATE(YEAR($A$1),1,1),$2:$2,29:29):
    _xlfn.XLOOKUP($A$1,$2:$2,29:29)
  )
 -SUM(
    _xlfn.XLOOKUP(DATE(YEAR($A$1)-1,1,1),$2:$2,29:29):
    _xlfn.XLOOKUP(EDATE($A$1,-12),$2:$2,29:29)
  ),"")</f>
        <v>-21251</v>
      </c>
      <c r="BO29" s="2860">
        <f t="shared" si="10"/>
        <v>-112300</v>
      </c>
    </row>
    <row r="30" spans="1:67" x14ac:dyDescent="0.55000000000000004">
      <c r="A30" s="7491"/>
      <c r="B30" s="2771"/>
      <c r="C30" s="559" t="s">
        <v>792</v>
      </c>
      <c r="D30" s="1102">
        <v>59552</v>
      </c>
      <c r="E30" s="1102">
        <v>46614</v>
      </c>
      <c r="F30" s="1102">
        <v>54908</v>
      </c>
      <c r="G30" s="1102">
        <v>46813</v>
      </c>
      <c r="H30" s="1102">
        <v>50623</v>
      </c>
      <c r="I30" s="1102">
        <v>43453</v>
      </c>
      <c r="J30" s="1102">
        <v>41572</v>
      </c>
      <c r="K30" s="1102">
        <v>34413</v>
      </c>
      <c r="L30" s="1102">
        <v>31021</v>
      </c>
      <c r="M30" s="1102">
        <v>150967</v>
      </c>
      <c r="N30" s="1102">
        <v>72386</v>
      </c>
      <c r="O30" s="1102">
        <v>57473</v>
      </c>
      <c r="P30" s="1102">
        <f t="shared" si="28"/>
        <v>689795</v>
      </c>
      <c r="Q30" s="1102">
        <f t="shared" si="29"/>
        <v>57482.916666666664</v>
      </c>
      <c r="R30" s="840" t="b">
        <v>1</v>
      </c>
      <c r="S30" s="1102">
        <v>56795</v>
      </c>
      <c r="T30" s="1102">
        <v>45408</v>
      </c>
      <c r="U30" s="1102">
        <v>41295</v>
      </c>
      <c r="V30" s="1102">
        <v>42480</v>
      </c>
      <c r="W30" s="1102">
        <v>43758</v>
      </c>
      <c r="X30" s="1102">
        <v>36568</v>
      </c>
      <c r="Y30" s="1102">
        <v>41125</v>
      </c>
      <c r="Z30" s="1102">
        <v>38526</v>
      </c>
      <c r="AA30" s="1102">
        <v>109745</v>
      </c>
      <c r="AB30" s="1102">
        <v>83797</v>
      </c>
      <c r="AC30" s="1102">
        <v>58877</v>
      </c>
      <c r="AD30" s="1102">
        <v>51451</v>
      </c>
      <c r="AE30" s="1102">
        <f t="shared" si="24"/>
        <v>649825</v>
      </c>
      <c r="AF30" s="1102">
        <f t="shared" si="25"/>
        <v>54152.083333333336</v>
      </c>
      <c r="AH30" s="1102">
        <v>51092</v>
      </c>
      <c r="AI30" s="1102">
        <v>46633</v>
      </c>
      <c r="AJ30" s="1102">
        <v>45585</v>
      </c>
      <c r="AK30" s="1102">
        <v>43888</v>
      </c>
      <c r="AL30" s="1102">
        <v>57921</v>
      </c>
      <c r="AM30" s="1102">
        <v>50853</v>
      </c>
      <c r="AN30" s="1102">
        <v>44940</v>
      </c>
      <c r="AO30" s="1102">
        <v>40306</v>
      </c>
      <c r="AP30" s="1102">
        <v>110273</v>
      </c>
      <c r="AQ30" s="1102">
        <v>81993</v>
      </c>
      <c r="AR30" s="1102">
        <v>62072</v>
      </c>
      <c r="AS30" s="1102">
        <v>59604</v>
      </c>
      <c r="AT30" s="1102">
        <f t="shared" si="4"/>
        <v>695160</v>
      </c>
      <c r="AU30" s="1102">
        <f t="shared" si="26"/>
        <v>57930</v>
      </c>
      <c r="AW30" s="1102">
        <v>81449</v>
      </c>
      <c r="AX30" s="1102">
        <v>43793</v>
      </c>
      <c r="AY30" s="1102"/>
      <c r="AZ30" s="1102"/>
      <c r="BA30" s="1102"/>
      <c r="BB30" s="1102"/>
      <c r="BC30" s="1102"/>
      <c r="BD30" s="1102"/>
      <c r="BE30" s="1102"/>
      <c r="BF30" s="1102"/>
      <c r="BG30" s="1102"/>
      <c r="BH30" s="1102"/>
      <c r="BI30" s="1102">
        <f t="shared" si="23"/>
        <v>125242</v>
      </c>
      <c r="BJ30" s="1102">
        <f t="shared" si="27"/>
        <v>62621</v>
      </c>
      <c r="BL30" s="3286">
        <f t="shared" si="8"/>
        <v>-2840</v>
      </c>
      <c r="BM30" s="3286">
        <f t="shared" si="9"/>
        <v>4691</v>
      </c>
      <c r="BN30" s="4773">
        <f>IFERROR(
  SUM(
    _xlfn.XLOOKUP(DATE(YEAR($A$1),1,1),$2:$2,30:30):
    _xlfn.XLOOKUP($A$1,$2:$2,30:30)
  )
 -SUM(
    _xlfn.XLOOKUP(DATE(YEAR($A$1)-1,1,1),$2:$2,30:30):
    _xlfn.XLOOKUP(EDATE($A$1,-12),$2:$2,30:30)
  ),"")</f>
        <v>27517</v>
      </c>
      <c r="BO30" s="2860">
        <f t="shared" si="10"/>
        <v>-37656</v>
      </c>
    </row>
    <row r="31" spans="1:67" x14ac:dyDescent="0.55000000000000004">
      <c r="A31" s="7491"/>
      <c r="B31" s="1093"/>
      <c r="C31" s="559" t="s">
        <v>409</v>
      </c>
      <c r="D31" s="1102">
        <v>9643</v>
      </c>
      <c r="E31" s="1102">
        <v>16865</v>
      </c>
      <c r="F31" s="1102">
        <v>15525</v>
      </c>
      <c r="G31" s="1102">
        <v>8884</v>
      </c>
      <c r="H31" s="1102">
        <v>12363</v>
      </c>
      <c r="I31" s="1102">
        <v>11035</v>
      </c>
      <c r="J31" s="1102">
        <v>13301</v>
      </c>
      <c r="K31" s="1102">
        <v>10155</v>
      </c>
      <c r="L31" s="1102">
        <v>16012</v>
      </c>
      <c r="M31" s="1102">
        <v>15128</v>
      </c>
      <c r="N31" s="1102">
        <v>9478</v>
      </c>
      <c r="O31" s="1102">
        <v>9164</v>
      </c>
      <c r="P31" s="1102">
        <f t="shared" si="28"/>
        <v>147553</v>
      </c>
      <c r="Q31" s="1102">
        <f t="shared" si="29"/>
        <v>12296.083333333334</v>
      </c>
      <c r="R31" s="840" t="b">
        <v>1</v>
      </c>
      <c r="S31" s="1102">
        <v>12481</v>
      </c>
      <c r="T31" s="1102">
        <v>22590</v>
      </c>
      <c r="U31" s="1102">
        <v>23770</v>
      </c>
      <c r="V31" s="1102">
        <v>12672</v>
      </c>
      <c r="W31" s="1102">
        <v>12180</v>
      </c>
      <c r="X31" s="1102">
        <v>8551</v>
      </c>
      <c r="Y31" s="1102">
        <v>11571</v>
      </c>
      <c r="Z31" s="1102">
        <v>11674</v>
      </c>
      <c r="AA31" s="1102">
        <v>9836</v>
      </c>
      <c r="AB31" s="1102">
        <v>14158</v>
      </c>
      <c r="AC31" s="1102">
        <v>11844</v>
      </c>
      <c r="AD31" s="1102">
        <v>11065</v>
      </c>
      <c r="AE31" s="1102">
        <f>SUM(S31:AD31)</f>
        <v>162392</v>
      </c>
      <c r="AF31" s="1102">
        <f>AVERAGE(S31:AD31)</f>
        <v>13532.666666666666</v>
      </c>
      <c r="AH31" s="1102">
        <v>15025</v>
      </c>
      <c r="AI31" s="1102">
        <v>20420</v>
      </c>
      <c r="AJ31" s="1102">
        <v>18014</v>
      </c>
      <c r="AK31" s="1102">
        <v>14017</v>
      </c>
      <c r="AL31" s="1102">
        <v>14662</v>
      </c>
      <c r="AM31" s="1102">
        <v>8161</v>
      </c>
      <c r="AN31" s="1102">
        <v>6301</v>
      </c>
      <c r="AO31" s="1102">
        <v>9497</v>
      </c>
      <c r="AP31" s="1102">
        <v>10985</v>
      </c>
      <c r="AQ31" s="1102">
        <v>14391</v>
      </c>
      <c r="AR31" s="1102">
        <v>12231</v>
      </c>
      <c r="AS31" s="1102">
        <v>12239</v>
      </c>
      <c r="AT31" s="1102">
        <f t="shared" si="4"/>
        <v>155943</v>
      </c>
      <c r="AU31" s="1102">
        <f>AVERAGE(AH31:AS31)</f>
        <v>12995.25</v>
      </c>
      <c r="AW31" s="1102">
        <v>12603</v>
      </c>
      <c r="AX31" s="1102">
        <v>16292</v>
      </c>
      <c r="AY31" s="1102"/>
      <c r="AZ31" s="1102"/>
      <c r="BA31" s="1102"/>
      <c r="BB31" s="1102"/>
      <c r="BC31" s="1102"/>
      <c r="BD31" s="1102"/>
      <c r="BE31" s="1102"/>
      <c r="BF31" s="1102"/>
      <c r="BG31" s="1102"/>
      <c r="BH31" s="1102"/>
      <c r="BI31" s="1102">
        <f t="shared" si="23"/>
        <v>28895</v>
      </c>
      <c r="BJ31" s="1102">
        <f>AVERAGE(AW31:BH31)</f>
        <v>14447.5</v>
      </c>
      <c r="BL31" s="3286">
        <f t="shared" si="8"/>
        <v>-4128</v>
      </c>
      <c r="BM31" s="3286">
        <f t="shared" si="9"/>
        <v>1452.25</v>
      </c>
      <c r="BN31" s="4773">
        <f>IFERROR(
  SUM(
    _xlfn.XLOOKUP(DATE(YEAR($A$1),1,1),$2:$2,31:31):
    _xlfn.XLOOKUP($A$1,$2:$2,31:31)
  )
 -SUM(
    _xlfn.XLOOKUP(DATE(YEAR($A$1)-1,1,1),$2:$2,31:31):
    _xlfn.XLOOKUP(EDATE($A$1,-12),$2:$2,31:31)
  ),"")</f>
        <v>-6550</v>
      </c>
      <c r="BO31" s="2860">
        <f t="shared" si="10"/>
        <v>3689</v>
      </c>
    </row>
    <row r="32" spans="1:67" x14ac:dyDescent="0.55000000000000004">
      <c r="A32" s="7491"/>
      <c r="B32" s="2771" t="s">
        <v>794</v>
      </c>
      <c r="C32" s="1116" t="s">
        <v>790</v>
      </c>
      <c r="D32" s="5638">
        <f>D24/D28</f>
        <v>0.16266984269588833</v>
      </c>
      <c r="E32" s="5638">
        <f t="shared" ref="E32:AD32" si="32">E24/E28</f>
        <v>0.16871192355200651</v>
      </c>
      <c r="F32" s="5638">
        <f t="shared" si="32"/>
        <v>0.15486762544137481</v>
      </c>
      <c r="G32" s="5638">
        <f t="shared" si="32"/>
        <v>0.15659301756330843</v>
      </c>
      <c r="H32" s="5638">
        <f t="shared" si="32"/>
        <v>0.16212372511201004</v>
      </c>
      <c r="I32" s="5638">
        <f t="shared" si="32"/>
        <v>0.16346432522236781</v>
      </c>
      <c r="J32" s="5638">
        <f t="shared" si="32"/>
        <v>0.15632089578738464</v>
      </c>
      <c r="K32" s="5638">
        <f t="shared" si="32"/>
        <v>0.16854576166178628</v>
      </c>
      <c r="L32" s="5638">
        <f t="shared" si="32"/>
        <v>0.16684698070717155</v>
      </c>
      <c r="M32" s="5638">
        <f t="shared" si="32"/>
        <v>0.20250297212737428</v>
      </c>
      <c r="N32" s="5638">
        <f t="shared" si="32"/>
        <v>0.15747912684840559</v>
      </c>
      <c r="O32" s="5638">
        <f t="shared" si="32"/>
        <v>0.1433155030767595</v>
      </c>
      <c r="P32" s="5638">
        <f t="shared" si="28"/>
        <v>1.9634416997958379</v>
      </c>
      <c r="Q32" s="5638">
        <f t="shared" si="32"/>
        <v>0.16498468806426092</v>
      </c>
      <c r="R32" s="840" t="b">
        <v>1</v>
      </c>
      <c r="S32" s="5638">
        <f t="shared" si="32"/>
        <v>0.18041391025088083</v>
      </c>
      <c r="T32" s="5638">
        <f t="shared" si="32"/>
        <v>0.16556417209278226</v>
      </c>
      <c r="U32" s="5638">
        <f t="shared" si="32"/>
        <v>0.16713829262903857</v>
      </c>
      <c r="V32" s="5638">
        <f t="shared" si="32"/>
        <v>0.17389343338048671</v>
      </c>
      <c r="W32" s="5638">
        <f t="shared" si="32"/>
        <v>0.17555431673265434</v>
      </c>
      <c r="X32" s="5638">
        <f t="shared" si="32"/>
        <v>0.1782564608257205</v>
      </c>
      <c r="Y32" s="5638">
        <f t="shared" si="32"/>
        <v>0.19274848490140944</v>
      </c>
      <c r="Z32" s="5638">
        <f t="shared" si="32"/>
        <v>0.17250745029989814</v>
      </c>
      <c r="AA32" s="5638">
        <f t="shared" si="32"/>
        <v>0.22589704714461051</v>
      </c>
      <c r="AB32" s="5638">
        <f t="shared" si="32"/>
        <v>0.21785249321600553</v>
      </c>
      <c r="AC32" s="5638">
        <f t="shared" si="32"/>
        <v>0.1924607329842932</v>
      </c>
      <c r="AD32" s="5638">
        <f t="shared" si="32"/>
        <v>0.17110704229392051</v>
      </c>
      <c r="AE32" s="5638">
        <f>SUM(S32:AD32)</f>
        <v>2.2133938367517003</v>
      </c>
      <c r="AF32" s="5638">
        <f>AVERAGE(S32:AD32)</f>
        <v>0.18444948639597503</v>
      </c>
      <c r="AH32" s="5638">
        <v>0.17627166481988668</v>
      </c>
      <c r="AI32" s="5638">
        <v>0.20940985425324546</v>
      </c>
      <c r="AJ32" s="5638">
        <v>0.18175215461727831</v>
      </c>
      <c r="AK32" s="5638">
        <v>0.18512084711692176</v>
      </c>
      <c r="AL32" s="5638">
        <v>0.18859963022603923</v>
      </c>
      <c r="AM32" s="5638">
        <v>0.18444346811483556</v>
      </c>
      <c r="AN32" s="5638">
        <v>0.20333753948810998</v>
      </c>
      <c r="AO32" s="5638">
        <v>0.18189593415108407</v>
      </c>
      <c r="AP32" s="5638">
        <v>0.21624071109560797</v>
      </c>
      <c r="AQ32" s="5638">
        <v>0.2020581257201107</v>
      </c>
      <c r="AR32" s="5638">
        <v>0.19998115607481037</v>
      </c>
      <c r="AS32" s="5638">
        <v>0.18651296598064659</v>
      </c>
      <c r="AT32" s="5638">
        <f t="shared" si="4"/>
        <v>2.3156240516585762</v>
      </c>
      <c r="AU32" s="5638">
        <f>AVERAGE(AH32:AS32)</f>
        <v>0.19296867097154802</v>
      </c>
      <c r="AW32" s="5638">
        <v>0.21127289807421323</v>
      </c>
      <c r="AX32" s="5638">
        <v>0.19821148654532789</v>
      </c>
      <c r="AY32" s="5638"/>
      <c r="AZ32" s="5638"/>
      <c r="BA32" s="5638"/>
      <c r="BB32" s="5638"/>
      <c r="BC32" s="5638"/>
      <c r="BD32" s="5638"/>
      <c r="BE32" s="5638"/>
      <c r="BF32" s="5638"/>
      <c r="BG32" s="5638"/>
      <c r="BH32" s="5638"/>
      <c r="BI32" s="5638">
        <f t="shared" si="23"/>
        <v>0.40948438461954112</v>
      </c>
      <c r="BJ32" s="5638">
        <f>AVERAGE(AW32:BH32)</f>
        <v>0.20474219230977056</v>
      </c>
      <c r="BL32" s="1186">
        <f t="shared" si="8"/>
        <v>-1.1198367707917573E-2</v>
      </c>
      <c r="BM32" s="1186">
        <f t="shared" si="9"/>
        <v>1.1773521338222542E-2</v>
      </c>
      <c r="BN32" s="5657">
        <f>IFERROR(
  SUM(
    _xlfn.XLOOKUP(DATE(YEAR($A$1),1,1),$2:$2,32:32):
    _xlfn.XLOOKUP($A$1,$2:$2,32:32)
  )
 -SUM(
    _xlfn.XLOOKUP(DATE(YEAR($A$1)-1,1,1),$2:$2,32:32):
    _xlfn.XLOOKUP(EDATE($A$1,-12),$2:$2,32:32)
  ),"")</f>
        <v>2.380286554640898E-2</v>
      </c>
      <c r="BO32" s="2978">
        <f t="shared" si="10"/>
        <v>-1.3061411528885347E-2</v>
      </c>
    </row>
    <row r="33" spans="1:67" x14ac:dyDescent="0.55000000000000004">
      <c r="A33" s="7491"/>
      <c r="B33" s="2771"/>
      <c r="C33" s="559" t="s">
        <v>791</v>
      </c>
      <c r="D33" s="5639">
        <v>0.14999192878885712</v>
      </c>
      <c r="E33" s="5639">
        <v>0.16972034324460233</v>
      </c>
      <c r="F33" s="5639">
        <v>0.1507635067049066</v>
      </c>
      <c r="G33" s="5639">
        <v>0.14764501269154837</v>
      </c>
      <c r="H33" s="5639">
        <v>0.15073608899895827</v>
      </c>
      <c r="I33" s="5639">
        <v>0.15469659665387503</v>
      </c>
      <c r="J33" s="5639">
        <v>0.14854970289052272</v>
      </c>
      <c r="K33" s="5639">
        <v>0.16991915811543656</v>
      </c>
      <c r="L33" s="5639">
        <v>0.14698928308343037</v>
      </c>
      <c r="M33" s="5639">
        <v>0.13500497561335184</v>
      </c>
      <c r="N33" s="5639">
        <v>0.14173047473200612</v>
      </c>
      <c r="O33" s="5639">
        <v>0.13188384493057689</v>
      </c>
      <c r="P33" s="5639">
        <f t="shared" si="28"/>
        <v>1.7976309164480717</v>
      </c>
      <c r="Q33" s="5639">
        <f>AVERAGE(D33:O33)</f>
        <v>0.14980257637067265</v>
      </c>
      <c r="R33" s="840" t="b">
        <v>1</v>
      </c>
      <c r="S33" s="5639">
        <v>0.17956681686209303</v>
      </c>
      <c r="T33" s="5639">
        <v>0.15749581290724826</v>
      </c>
      <c r="U33" s="5639">
        <v>0.15570993182258605</v>
      </c>
      <c r="V33" s="5639">
        <v>0.15820762664716823</v>
      </c>
      <c r="W33" s="5639">
        <v>0.16343808445064931</v>
      </c>
      <c r="X33" s="5639">
        <v>0.17256827319875903</v>
      </c>
      <c r="Y33" s="5639">
        <v>0.19014594009135705</v>
      </c>
      <c r="Z33" s="5639">
        <v>0.16382225383663956</v>
      </c>
      <c r="AA33" s="5639">
        <v>0.16029065225261849</v>
      </c>
      <c r="AB33" s="5639">
        <v>0.16654463029346034</v>
      </c>
      <c r="AC33" s="5639">
        <v>0.17857700515276115</v>
      </c>
      <c r="AD33" s="5639">
        <v>0.15129923702638021</v>
      </c>
      <c r="AE33" s="5639">
        <f>SUM(S33:AD33)</f>
        <v>1.9976662645417207</v>
      </c>
      <c r="AF33" s="5639">
        <f>AVERAGE(S33:AD33)</f>
        <v>0.16647218871181005</v>
      </c>
      <c r="AH33" s="5639">
        <v>0.15035101871301126</v>
      </c>
      <c r="AI33" s="5639">
        <v>0.20385713726870869</v>
      </c>
      <c r="AJ33" s="5639">
        <v>0.16782897851262571</v>
      </c>
      <c r="AK33" s="5639">
        <v>0.17251592569208105</v>
      </c>
      <c r="AL33" s="5639">
        <v>0.17822931453776683</v>
      </c>
      <c r="AM33" s="5639">
        <v>0.17384643526775506</v>
      </c>
      <c r="AN33" s="5639">
        <v>0.20281244776285731</v>
      </c>
      <c r="AO33" s="5639">
        <v>0.17625663001076888</v>
      </c>
      <c r="AP33" s="5639">
        <v>0.168768516294339</v>
      </c>
      <c r="AQ33" s="5639">
        <v>0.17246829364665595</v>
      </c>
      <c r="AR33" s="5639">
        <v>0.1754211842154855</v>
      </c>
      <c r="AS33" s="5639">
        <v>0.17480134924048626</v>
      </c>
      <c r="AT33" s="5639">
        <f t="shared" si="4"/>
        <v>2.1171572311625413</v>
      </c>
      <c r="AU33" s="5639">
        <f>AVERAGE(AH33:AS33)</f>
        <v>0.17642976926354512</v>
      </c>
      <c r="AW33" s="5639">
        <v>0.20047638624583056</v>
      </c>
      <c r="AX33" s="5639">
        <v>0.1848547835300017</v>
      </c>
      <c r="AY33" s="5639"/>
      <c r="AZ33" s="5639"/>
      <c r="BA33" s="5639"/>
      <c r="BB33" s="5639"/>
      <c r="BC33" s="5639"/>
      <c r="BD33" s="5639"/>
      <c r="BE33" s="5639"/>
      <c r="BF33" s="5639"/>
      <c r="BG33" s="5639"/>
      <c r="BH33" s="5639"/>
      <c r="BI33" s="5639">
        <f t="shared" si="23"/>
        <v>0.38533116977583226</v>
      </c>
      <c r="BJ33" s="5639">
        <f>AVERAGE(AW33:BH33)</f>
        <v>0.19266558488791613</v>
      </c>
      <c r="BL33" s="1186">
        <f t="shared" si="8"/>
        <v>-1.9002353738706984E-2</v>
      </c>
      <c r="BM33" s="1186">
        <f t="shared" si="9"/>
        <v>1.6235815624371014E-2</v>
      </c>
      <c r="BN33" s="5657">
        <f>IFERROR(
  SUM(
    _xlfn.XLOOKUP(DATE(YEAR($A$1),1,1),$2:$2,33:33):
    _xlfn.XLOOKUP($A$1,$2:$2,33:33)
  )
 -SUM(
    _xlfn.XLOOKUP(DATE(YEAR($A$1)-1,1,1),$2:$2,33:33):
    _xlfn.XLOOKUP(EDATE($A$1,-12),$2:$2,33:33)
  ),"")</f>
        <v>3.1123013794112309E-2</v>
      </c>
      <c r="BO33" s="2978">
        <f t="shared" si="10"/>
        <v>-1.5621602715828853E-2</v>
      </c>
    </row>
    <row r="34" spans="1:67" x14ac:dyDescent="0.55000000000000004">
      <c r="A34" s="7492"/>
      <c r="C34" s="559" t="s">
        <v>792</v>
      </c>
      <c r="D34" s="5639">
        <v>0.19804540569586243</v>
      </c>
      <c r="E34" s="5639">
        <v>0.17104303428154632</v>
      </c>
      <c r="F34" s="5639">
        <v>0.16560428352881182</v>
      </c>
      <c r="G34" s="5639">
        <v>0.18642257492576847</v>
      </c>
      <c r="H34" s="5639">
        <v>0.19514845030914801</v>
      </c>
      <c r="I34" s="5639">
        <v>0.19050468322095138</v>
      </c>
      <c r="J34" s="5639">
        <v>0.17492543057827384</v>
      </c>
      <c r="K34" s="5639">
        <v>0.15093133408886178</v>
      </c>
      <c r="L34" s="5639">
        <v>0.15186486573611424</v>
      </c>
      <c r="M34" s="5639">
        <v>0.25579100068226829</v>
      </c>
      <c r="N34" s="5639">
        <v>0.18545022518166496</v>
      </c>
      <c r="O34" s="5639">
        <v>0.16557339968332957</v>
      </c>
      <c r="P34" s="5639">
        <f t="shared" si="28"/>
        <v>2.1913046879126012</v>
      </c>
      <c r="Q34" s="5639">
        <f>AVERAGE(D34:O34)</f>
        <v>0.18260872399271677</v>
      </c>
      <c r="R34" s="840" t="b">
        <v>1</v>
      </c>
      <c r="S34" s="5639">
        <v>0.18049124042609385</v>
      </c>
      <c r="T34" s="5639">
        <v>0.18791842847075405</v>
      </c>
      <c r="U34" s="5639">
        <v>0.20801549824433951</v>
      </c>
      <c r="V34" s="5639">
        <v>0.2336864406779661</v>
      </c>
      <c r="W34" s="5639">
        <v>0.21122994652406418</v>
      </c>
      <c r="X34" s="5639">
        <v>0.19631918617370378</v>
      </c>
      <c r="Y34" s="5639">
        <v>0.20435258358662614</v>
      </c>
      <c r="Z34" s="5639">
        <v>0.20957275606084202</v>
      </c>
      <c r="AA34" s="5639">
        <v>0.32264795662672557</v>
      </c>
      <c r="AB34" s="5639">
        <v>0.27977135219637933</v>
      </c>
      <c r="AC34" s="5639">
        <v>0.22042563309951255</v>
      </c>
      <c r="AD34" s="5639">
        <v>0.21935433713630445</v>
      </c>
      <c r="AE34" s="5639">
        <f>SUM(S34:AD34)</f>
        <v>2.6737853592233112</v>
      </c>
      <c r="AF34" s="5639">
        <f>AVERAGE(S34:AD34)</f>
        <v>0.22281544660194261</v>
      </c>
      <c r="AH34" s="5639">
        <v>0.22232443435371488</v>
      </c>
      <c r="AI34" s="5639">
        <v>0.23590590354470012</v>
      </c>
      <c r="AJ34" s="5639">
        <v>0.23049248656356258</v>
      </c>
      <c r="AK34" s="5639">
        <v>0.2499316441851987</v>
      </c>
      <c r="AL34" s="5639">
        <v>0.23015831908979473</v>
      </c>
      <c r="AM34" s="5639">
        <v>0.2267122883605687</v>
      </c>
      <c r="AN34" s="5639">
        <v>0.20643079661771249</v>
      </c>
      <c r="AO34" s="5639">
        <v>0.210167220761177</v>
      </c>
      <c r="AP34" s="5639">
        <v>0.30831663235787543</v>
      </c>
      <c r="AQ34" s="5639">
        <v>0.25354603441757223</v>
      </c>
      <c r="AR34" s="5639">
        <v>0.24038213687330842</v>
      </c>
      <c r="AS34" s="5639">
        <v>0.22964901684450709</v>
      </c>
      <c r="AT34" s="5639">
        <f t="shared" si="4"/>
        <v>2.8440169139696927</v>
      </c>
      <c r="AU34" s="5639">
        <f>AVERAGE(AH34:AS34)</f>
        <v>0.23700140949747439</v>
      </c>
      <c r="AW34" s="5639">
        <v>0.24595759309506562</v>
      </c>
      <c r="AX34" s="5639">
        <v>0.25061082821455483</v>
      </c>
      <c r="AY34" s="5639"/>
      <c r="AZ34" s="5639"/>
      <c r="BA34" s="5639"/>
      <c r="BB34" s="5639"/>
      <c r="BC34" s="5639"/>
      <c r="BD34" s="5639"/>
      <c r="BE34" s="5639"/>
      <c r="BF34" s="5639"/>
      <c r="BG34" s="5639"/>
      <c r="BH34" s="5639"/>
      <c r="BI34" s="5639">
        <f t="shared" si="23"/>
        <v>0.49656842130962042</v>
      </c>
      <c r="BJ34" s="5639">
        <f>AVERAGE(AW34:BH34)</f>
        <v>0.24828421065481021</v>
      </c>
      <c r="BL34" s="1186">
        <f t="shared" si="8"/>
        <v>1.4704924669854708E-2</v>
      </c>
      <c r="BM34" s="1186">
        <f t="shared" si="9"/>
        <v>1.128280115733582E-2</v>
      </c>
      <c r="BN34" s="5657">
        <f>IFERROR(
  SUM(
    _xlfn.XLOOKUP(DATE(YEAR($A$1),1,1),$2:$2,34:34):
    _xlfn.XLOOKUP($A$1,$2:$2,34:34)
  )
 -SUM(
    _xlfn.XLOOKUP(DATE(YEAR($A$1)-1,1,1),$2:$2,34:34):
    _xlfn.XLOOKUP(EDATE($A$1,-12),$2:$2,34:34)
  ),"")</f>
        <v>3.8338083411205426E-2</v>
      </c>
      <c r="BO34" s="2978">
        <f t="shared" si="10"/>
        <v>4.6532351194892019E-3</v>
      </c>
    </row>
    <row r="35" spans="1:67" ht="15.45" thickBot="1" x14ac:dyDescent="0.6">
      <c r="A35" s="7493"/>
      <c r="B35" s="1045"/>
      <c r="C35" s="1045" t="s">
        <v>409</v>
      </c>
      <c r="D35" s="5640">
        <v>0.17224930001037023</v>
      </c>
      <c r="E35" s="5640">
        <v>0.14752445893863031</v>
      </c>
      <c r="F35" s="5640">
        <v>0.16805152979066024</v>
      </c>
      <c r="G35" s="5640">
        <v>0.19225574065736156</v>
      </c>
      <c r="H35" s="5640">
        <v>0.21434926797702822</v>
      </c>
      <c r="I35" s="5640">
        <v>0.20833710919800635</v>
      </c>
      <c r="J35" s="5640">
        <v>0.21419442147206977</v>
      </c>
      <c r="K35" s="5640">
        <v>0.18798621368783849</v>
      </c>
      <c r="L35" s="5640">
        <v>0.40463402448163877</v>
      </c>
      <c r="M35" s="5640">
        <v>0.39707826546800634</v>
      </c>
      <c r="N35" s="5640">
        <v>0.20426250263768728</v>
      </c>
      <c r="O35" s="5640">
        <v>0.19041903099083371</v>
      </c>
      <c r="P35" s="5640">
        <f>SUM(D35:O35)</f>
        <v>2.7013418653101313</v>
      </c>
      <c r="Q35" s="5640">
        <f>AVERAGE(D35:O35)</f>
        <v>0.2251118221091776</v>
      </c>
      <c r="R35" s="840" t="b">
        <v>1</v>
      </c>
      <c r="S35" s="5640">
        <v>0.19581764281708197</v>
      </c>
      <c r="T35" s="5640">
        <v>0.17906153165117308</v>
      </c>
      <c r="U35" s="5640">
        <v>0.17799747580984435</v>
      </c>
      <c r="V35" s="5640">
        <v>0.20707070707070707</v>
      </c>
      <c r="W35" s="5640">
        <v>0.23620689655172414</v>
      </c>
      <c r="X35" s="5640">
        <v>0.21401005730323938</v>
      </c>
      <c r="Y35" s="5640">
        <v>0.20404459424423127</v>
      </c>
      <c r="Z35" s="5640">
        <v>0.19033750214151104</v>
      </c>
      <c r="AA35" s="5640">
        <v>0.19652297681984546</v>
      </c>
      <c r="AB35" s="5640">
        <v>0.42053962424071195</v>
      </c>
      <c r="AC35" s="5640">
        <v>0.23362039851401553</v>
      </c>
      <c r="AD35" s="5640">
        <v>0.20930863081789425</v>
      </c>
      <c r="AE35" s="5640">
        <f>SUM(S35:AD35)</f>
        <v>2.6645380379819796</v>
      </c>
      <c r="AF35" s="5640">
        <f>AVERAGE(S35:AD35)</f>
        <v>0.22204483649849829</v>
      </c>
      <c r="AH35" s="5640">
        <v>0.23567387687188021</v>
      </c>
      <c r="AI35" s="5640">
        <v>0.21841332027424093</v>
      </c>
      <c r="AJ35" s="5640">
        <v>0.19229488175863219</v>
      </c>
      <c r="AK35" s="5640">
        <v>0.15738032389241635</v>
      </c>
      <c r="AL35" s="5640">
        <v>0.21027145000682035</v>
      </c>
      <c r="AM35" s="5640">
        <v>0.20499938732998407</v>
      </c>
      <c r="AN35" s="5640">
        <v>0.20520552293286781</v>
      </c>
      <c r="AO35" s="5640">
        <v>0.19479835737601348</v>
      </c>
      <c r="AP35" s="5640">
        <v>0.15548475193445607</v>
      </c>
      <c r="AQ35" s="5640">
        <v>0.28337155166423461</v>
      </c>
      <c r="AR35" s="5640">
        <v>0.31461041615567004</v>
      </c>
      <c r="AS35" s="5640">
        <v>0.14551842470790097</v>
      </c>
      <c r="AT35" s="5640">
        <f t="shared" si="4"/>
        <v>2.5180222649051167</v>
      </c>
      <c r="AU35" s="5640">
        <f>AVERAGE(AH35:AS35)</f>
        <v>0.20983518874209306</v>
      </c>
      <c r="AW35" s="5640">
        <v>0.1892406569864318</v>
      </c>
      <c r="AX35" s="5640">
        <v>0.15872821016449792</v>
      </c>
      <c r="AY35" s="5640"/>
      <c r="AZ35" s="5640"/>
      <c r="BA35" s="5640"/>
      <c r="BB35" s="5640"/>
      <c r="BC35" s="5640"/>
      <c r="BD35" s="5640"/>
      <c r="BE35" s="5640"/>
      <c r="BF35" s="5640"/>
      <c r="BG35" s="5640"/>
      <c r="BH35" s="5640"/>
      <c r="BI35" s="5640">
        <f t="shared" si="23"/>
        <v>0.34796886715092973</v>
      </c>
      <c r="BJ35" s="5640">
        <f>AVERAGE(AW35:BH35)</f>
        <v>0.17398443357546486</v>
      </c>
      <c r="BL35" s="1186">
        <f t="shared" si="8"/>
        <v>-5.9685110109743006E-2</v>
      </c>
      <c r="BM35" s="1186">
        <f t="shared" si="9"/>
        <v>-3.5850755166628195E-2</v>
      </c>
      <c r="BN35" s="5657">
        <f>IFERROR(
  SUM(
    _xlfn.XLOOKUP(DATE(YEAR($A$1),1,1),$2:$2,35:35):
    _xlfn.XLOOKUP($A$1,$2:$2,35:35)
  )
 -SUM(
    _xlfn.XLOOKUP(DATE(YEAR($A$1)-1,1,1),$2:$2,35:35):
    _xlfn.XLOOKUP(EDATE($A$1,-12),$2:$2,35:35)
  ),"")</f>
        <v>-0.10611832999519138</v>
      </c>
      <c r="BO35" s="2978">
        <f t="shared" si="10"/>
        <v>-3.0512446821933881E-2</v>
      </c>
    </row>
    <row r="36" spans="1:67" ht="10.5" customHeight="1" thickBot="1" x14ac:dyDescent="0.6">
      <c r="R36" s="840" t="b">
        <v>1</v>
      </c>
      <c r="AT36" s="559">
        <f t="shared" si="4"/>
        <v>0</v>
      </c>
      <c r="BI36" s="559">
        <f t="shared" si="23"/>
        <v>0</v>
      </c>
      <c r="BL36" s="3286">
        <f t="shared" si="8"/>
        <v>0</v>
      </c>
      <c r="BM36" s="3286">
        <f t="shared" si="9"/>
        <v>0</v>
      </c>
      <c r="BN36" s="4773">
        <f>IFERROR(
  SUM(
    _xlfn.XLOOKUP(DATE(YEAR($A$1),1,1),$2:$2,36:36):
    _xlfn.XLOOKUP($A$1,$2:$2,36:36)
  )
 -SUM(
    _xlfn.XLOOKUP(DATE(YEAR($A$1)-1,1,1),$2:$2,36:36):
    _xlfn.XLOOKUP(EDATE($A$1,-12),$2:$2,36:36)
  ),"")</f>
        <v>0</v>
      </c>
      <c r="BO36" s="2860">
        <f t="shared" si="10"/>
        <v>0</v>
      </c>
    </row>
    <row r="37" spans="1:67" x14ac:dyDescent="0.55000000000000004">
      <c r="A37" s="7494" t="s">
        <v>795</v>
      </c>
      <c r="B37" s="1013" t="s">
        <v>796</v>
      </c>
      <c r="C37" s="1142" t="s">
        <v>797</v>
      </c>
      <c r="D37" s="5641">
        <v>0</v>
      </c>
      <c r="E37" s="5641">
        <v>0</v>
      </c>
      <c r="F37" s="5641">
        <v>0</v>
      </c>
      <c r="G37" s="5641">
        <v>0</v>
      </c>
      <c r="H37" s="5641">
        <v>0</v>
      </c>
      <c r="I37" s="5641">
        <v>0</v>
      </c>
      <c r="J37" s="5641">
        <v>0</v>
      </c>
      <c r="K37" s="5641">
        <v>0</v>
      </c>
      <c r="L37" s="5641">
        <v>0</v>
      </c>
      <c r="M37" s="5641">
        <v>0</v>
      </c>
      <c r="N37" s="5641">
        <v>0</v>
      </c>
      <c r="O37" s="5641">
        <v>0</v>
      </c>
      <c r="P37" s="5642">
        <f>SUM(D37:O37)</f>
        <v>0</v>
      </c>
      <c r="Q37" s="5641">
        <f>AVERAGE(D37:O37)</f>
        <v>0</v>
      </c>
      <c r="R37" s="840" t="b">
        <v>1</v>
      </c>
      <c r="S37" s="5641">
        <v>0</v>
      </c>
      <c r="T37" s="5641">
        <v>1157</v>
      </c>
      <c r="U37" s="5641">
        <v>2054</v>
      </c>
      <c r="V37" s="5641">
        <v>0</v>
      </c>
      <c r="W37" s="5641">
        <v>792</v>
      </c>
      <c r="X37" s="5641">
        <v>0</v>
      </c>
      <c r="Y37" s="5641">
        <v>0</v>
      </c>
      <c r="Z37" s="5641">
        <v>3790</v>
      </c>
      <c r="AA37" s="5641">
        <v>0</v>
      </c>
      <c r="AB37" s="5641">
        <v>0</v>
      </c>
      <c r="AC37" s="5641">
        <v>3362</v>
      </c>
      <c r="AD37" s="5641">
        <v>4600</v>
      </c>
      <c r="AE37" s="5641">
        <f>SUM(S37:AD37)</f>
        <v>15755</v>
      </c>
      <c r="AF37" s="5641">
        <f>AVERAGE(S37:AD37)</f>
        <v>1312.9166666666667</v>
      </c>
      <c r="AH37" s="5641">
        <v>818</v>
      </c>
      <c r="AI37" s="5641">
        <v>0</v>
      </c>
      <c r="AJ37" s="5641">
        <v>0</v>
      </c>
      <c r="AK37" s="5641">
        <v>0</v>
      </c>
      <c r="AL37" s="5641">
        <v>0</v>
      </c>
      <c r="AM37" s="5641">
        <v>0</v>
      </c>
      <c r="AN37" s="5641">
        <v>0</v>
      </c>
      <c r="AO37" s="5641">
        <v>0</v>
      </c>
      <c r="AP37" s="5641">
        <v>0</v>
      </c>
      <c r="AQ37" s="5641">
        <v>0</v>
      </c>
      <c r="AR37" s="5641">
        <v>0</v>
      </c>
      <c r="AS37" s="5641">
        <v>0</v>
      </c>
      <c r="AT37" s="5641">
        <f t="shared" si="4"/>
        <v>818</v>
      </c>
      <c r="AU37" s="5641">
        <f>AVERAGE(AH37:AS37)</f>
        <v>68.166666666666671</v>
      </c>
      <c r="AW37" s="5641">
        <v>4190</v>
      </c>
      <c r="AX37" s="5641">
        <v>430</v>
      </c>
      <c r="AY37" s="5641"/>
      <c r="AZ37" s="5641"/>
      <c r="BA37" s="5641"/>
      <c r="BB37" s="5641"/>
      <c r="BC37" s="5641"/>
      <c r="BD37" s="5641"/>
      <c r="BE37" s="5641"/>
      <c r="BF37" s="5641"/>
      <c r="BG37" s="5641"/>
      <c r="BH37" s="5641"/>
      <c r="BI37" s="5641">
        <f t="shared" si="23"/>
        <v>4620</v>
      </c>
      <c r="BJ37" s="5641">
        <f>AVERAGE(AW37:BH37)</f>
        <v>2310</v>
      </c>
      <c r="BL37" s="3286">
        <f t="shared" si="8"/>
        <v>430</v>
      </c>
      <c r="BM37" s="3286">
        <f t="shared" si="9"/>
        <v>2241.8333333333335</v>
      </c>
      <c r="BN37" s="4773">
        <f>IFERROR(
  SUM(
    _xlfn.XLOOKUP(DATE(YEAR($A$1),1,1),$2:$2,37:37):
    _xlfn.XLOOKUP($A$1,$2:$2,37:37)
  )
 -SUM(
    _xlfn.XLOOKUP(DATE(YEAR($A$1)-1,1,1),$2:$2,37:37):
    _xlfn.XLOOKUP(EDATE($A$1,-12),$2:$2,37:37)
  ),"")</f>
        <v>3802</v>
      </c>
      <c r="BO37" s="2860">
        <f t="shared" si="10"/>
        <v>-3760</v>
      </c>
    </row>
    <row r="38" spans="1:67" ht="15.45" thickBot="1" x14ac:dyDescent="0.6">
      <c r="A38" s="7460"/>
      <c r="B38" s="1045"/>
      <c r="C38" s="1103" t="s">
        <v>798</v>
      </c>
      <c r="D38" s="5633">
        <v>0</v>
      </c>
      <c r="E38" s="5633">
        <v>0</v>
      </c>
      <c r="F38" s="5633">
        <v>0</v>
      </c>
      <c r="G38" s="5633">
        <v>0</v>
      </c>
      <c r="H38" s="5633">
        <v>0</v>
      </c>
      <c r="I38" s="5633">
        <v>0</v>
      </c>
      <c r="J38" s="5633">
        <v>0</v>
      </c>
      <c r="K38" s="5633">
        <v>0</v>
      </c>
      <c r="L38" s="5633">
        <v>0</v>
      </c>
      <c r="M38" s="5633">
        <v>0</v>
      </c>
      <c r="N38" s="5633">
        <v>0</v>
      </c>
      <c r="O38" s="5633">
        <v>0</v>
      </c>
      <c r="P38" s="5633">
        <f>SUM(D38:O38)</f>
        <v>0</v>
      </c>
      <c r="Q38" s="5633">
        <f>AVERAGE(D38:O38)</f>
        <v>0</v>
      </c>
      <c r="R38" s="840" t="b">
        <v>1</v>
      </c>
      <c r="S38" s="5633">
        <v>0</v>
      </c>
      <c r="T38" s="5633">
        <v>0.51118244000000002</v>
      </c>
      <c r="U38" s="5633">
        <v>0.74773694000000002</v>
      </c>
      <c r="V38" s="5633">
        <v>0</v>
      </c>
      <c r="W38" s="5633">
        <v>0.29132381818181802</v>
      </c>
      <c r="X38" s="5633">
        <v>0</v>
      </c>
      <c r="Y38" s="5633">
        <v>0</v>
      </c>
      <c r="Z38" s="5633">
        <v>0</v>
      </c>
      <c r="AA38" s="5633">
        <v>0</v>
      </c>
      <c r="AB38" s="5633">
        <v>0</v>
      </c>
      <c r="AC38" s="5633">
        <v>1.5515567445454499</v>
      </c>
      <c r="AD38" s="5633">
        <v>1.4230560000000001</v>
      </c>
      <c r="AE38" s="5633">
        <f>SUM(S38:AD38)</f>
        <v>4.5248559427272683</v>
      </c>
      <c r="AF38" s="5633">
        <f>AVERAGE(S38:AD38)</f>
        <v>0.37707132856060571</v>
      </c>
      <c r="AH38" s="5633">
        <v>0.44187030181818171</v>
      </c>
      <c r="AI38" s="5633">
        <v>0</v>
      </c>
      <c r="AJ38" s="5633">
        <v>0</v>
      </c>
      <c r="AK38" s="5633">
        <v>0</v>
      </c>
      <c r="AL38" s="5633">
        <v>0</v>
      </c>
      <c r="AM38" s="5633">
        <v>0</v>
      </c>
      <c r="AN38" s="5633">
        <v>0</v>
      </c>
      <c r="AO38" s="5633">
        <v>0</v>
      </c>
      <c r="AP38" s="5633">
        <v>0</v>
      </c>
      <c r="AQ38" s="5633">
        <v>0</v>
      </c>
      <c r="AR38" s="5633">
        <v>0</v>
      </c>
      <c r="AS38" s="5633">
        <v>0</v>
      </c>
      <c r="AT38" s="5633">
        <f t="shared" si="4"/>
        <v>0.44187030181818171</v>
      </c>
      <c r="AU38" s="5633">
        <f>AVERAGE(AH38:AS38)</f>
        <v>3.6822525151515142E-2</v>
      </c>
      <c r="AW38" s="5633">
        <v>1.77</v>
      </c>
      <c r="AX38" s="5633">
        <v>0.14000000000000001</v>
      </c>
      <c r="AY38" s="5633"/>
      <c r="AZ38" s="5633"/>
      <c r="BA38" s="5633"/>
      <c r="BB38" s="5633"/>
      <c r="BC38" s="5633"/>
      <c r="BD38" s="5633"/>
      <c r="BE38" s="5633"/>
      <c r="BF38" s="5633"/>
      <c r="BG38" s="5633"/>
      <c r="BH38" s="5633"/>
      <c r="BI38" s="5633">
        <f t="shared" si="23"/>
        <v>1.9100000000000001</v>
      </c>
      <c r="BJ38" s="5633">
        <f>AVERAGE(AW38:BH38)</f>
        <v>0.95500000000000007</v>
      </c>
      <c r="BL38" s="3286">
        <f t="shared" si="8"/>
        <v>0.14000000000000001</v>
      </c>
      <c r="BM38" s="3286">
        <f t="shared" si="9"/>
        <v>0.91817747484848489</v>
      </c>
      <c r="BN38" s="4773">
        <f>IFERROR(
  SUM(
    _xlfn.XLOOKUP(DATE(YEAR($A$1),1,1),$2:$2,38:38):
    _xlfn.XLOOKUP($A$1,$2:$2,38:38)
  )
 -SUM(
    _xlfn.XLOOKUP(DATE(YEAR($A$1)-1,1,1),$2:$2,38:38):
    _xlfn.XLOOKUP(EDATE($A$1,-12),$2:$2,38:38)
  ),"")</f>
        <v>1.4681296981818184</v>
      </c>
      <c r="BO38" s="2860">
        <f t="shared" si="10"/>
        <v>-1.63</v>
      </c>
    </row>
    <row r="39" spans="1:67" ht="19.3" customHeight="1" thickBot="1" x14ac:dyDescent="0.6">
      <c r="A39" s="1148"/>
      <c r="B39" s="1148"/>
      <c r="C39" s="1148"/>
      <c r="D39" s="1148"/>
      <c r="E39" s="1148"/>
      <c r="F39" s="1148"/>
      <c r="G39" s="1148"/>
      <c r="H39" s="1148"/>
      <c r="I39" s="1148"/>
      <c r="J39" s="1148"/>
      <c r="K39" s="1148"/>
      <c r="L39" s="1148"/>
      <c r="M39" s="1148"/>
      <c r="N39" s="1148"/>
      <c r="O39" s="1148"/>
      <c r="P39" s="1148"/>
      <c r="Q39" s="1148"/>
      <c r="S39" s="1148"/>
      <c r="T39" s="1148"/>
      <c r="U39" s="1148"/>
      <c r="V39" s="1148"/>
      <c r="W39" s="1148"/>
      <c r="X39" s="1148"/>
      <c r="Y39" s="1148"/>
      <c r="Z39" s="1148" t="s">
        <v>799</v>
      </c>
      <c r="AA39" s="1148"/>
      <c r="AB39" s="1148"/>
      <c r="AC39" s="1148"/>
      <c r="AD39" s="1148"/>
      <c r="AE39" s="1148"/>
      <c r="AF39" s="1148"/>
      <c r="AH39" s="1148"/>
      <c r="AI39" s="1148"/>
      <c r="AJ39" s="1148"/>
      <c r="AK39" s="1148"/>
      <c r="AL39" s="1148"/>
      <c r="AM39" s="1148"/>
      <c r="AN39" s="1148"/>
      <c r="AO39" s="1148" t="s">
        <v>799</v>
      </c>
      <c r="AP39" s="1148"/>
      <c r="AQ39" s="1148"/>
      <c r="AR39" s="1148"/>
      <c r="AS39" s="1148"/>
      <c r="AT39" s="1148">
        <f t="shared" si="4"/>
        <v>0</v>
      </c>
      <c r="AU39" s="1148"/>
      <c r="AW39" s="1148"/>
      <c r="AX39" s="1148"/>
      <c r="AY39" s="1148"/>
      <c r="AZ39" s="1148"/>
      <c r="BA39" s="1148"/>
      <c r="BB39" s="1148"/>
      <c r="BC39" s="1148"/>
      <c r="BD39" s="1148"/>
      <c r="BE39" s="1148"/>
      <c r="BF39" s="1148"/>
      <c r="BG39" s="1148"/>
      <c r="BH39" s="1148"/>
      <c r="BI39" s="1148">
        <f t="shared" si="23"/>
        <v>0</v>
      </c>
      <c r="BJ39" s="1148"/>
      <c r="BL39" s="3286">
        <f t="shared" si="8"/>
        <v>0</v>
      </c>
      <c r="BM39" s="3286">
        <f t="shared" si="9"/>
        <v>0</v>
      </c>
      <c r="BN39" s="4773">
        <f>IFERROR(
  SUM(
    _xlfn.XLOOKUP(DATE(YEAR($A$1),1,1),$2:$2,39:39):
    _xlfn.XLOOKUP($A$1,$2:$2,39:39)
  )
 -SUM(
    _xlfn.XLOOKUP(DATE(YEAR($A$1)-1,1,1),$2:$2,39:39):
    _xlfn.XLOOKUP(EDATE($A$1,-12),$2:$2,39:39)
  ),"")</f>
        <v>0</v>
      </c>
      <c r="BO39" s="2860">
        <f t="shared" si="10"/>
        <v>0</v>
      </c>
    </row>
    <row r="40" spans="1:67" x14ac:dyDescent="0.55000000000000004">
      <c r="A40" s="7491" t="s">
        <v>1065</v>
      </c>
      <c r="B40" s="5643" t="s">
        <v>1064</v>
      </c>
      <c r="C40" s="5644" t="s">
        <v>453</v>
      </c>
      <c r="D40" s="5644"/>
      <c r="E40" s="5645"/>
      <c r="F40" s="5645"/>
      <c r="G40" s="5645"/>
      <c r="H40" s="5645"/>
      <c r="I40" s="5645"/>
      <c r="J40" s="5645"/>
      <c r="K40" s="5645"/>
      <c r="L40" s="5645"/>
      <c r="M40" s="5645"/>
      <c r="N40" s="5645"/>
      <c r="O40" s="5645"/>
      <c r="P40" s="5646">
        <f>SUM(D40:O40)</f>
        <v>0</v>
      </c>
      <c r="Q40" s="5646" t="e">
        <f>AVERAGE(D40:O40)</f>
        <v>#DIV/0!</v>
      </c>
      <c r="R40" s="5647"/>
      <c r="S40" s="905">
        <v>38866</v>
      </c>
      <c r="T40" s="905">
        <v>36316</v>
      </c>
      <c r="U40" s="905">
        <v>30211</v>
      </c>
      <c r="V40" s="905">
        <v>28739</v>
      </c>
      <c r="W40" s="905">
        <v>29748</v>
      </c>
      <c r="X40" s="905">
        <v>27939</v>
      </c>
      <c r="Y40" s="905">
        <v>36466</v>
      </c>
      <c r="Z40" s="905">
        <v>33652</v>
      </c>
      <c r="AA40" s="905">
        <v>32511</v>
      </c>
      <c r="AB40" s="905">
        <v>25215</v>
      </c>
      <c r="AC40" s="905">
        <v>29887</v>
      </c>
      <c r="AD40" s="905">
        <v>17830</v>
      </c>
      <c r="AE40" s="5646">
        <f>SUM(S40:AD40)</f>
        <v>367380</v>
      </c>
      <c r="AF40" s="5646">
        <f>AVERAGE(S40:AD40)</f>
        <v>30615</v>
      </c>
      <c r="AG40" s="5647"/>
      <c r="AH40" s="5648">
        <v>51041</v>
      </c>
      <c r="AI40" s="5648">
        <v>56016</v>
      </c>
      <c r="AJ40" s="5648">
        <v>44344</v>
      </c>
      <c r="AK40" s="5648">
        <v>52912</v>
      </c>
      <c r="AL40" s="5648">
        <v>113606</v>
      </c>
      <c r="AM40" s="5648">
        <v>49072</v>
      </c>
      <c r="AN40" s="5648">
        <v>69329</v>
      </c>
      <c r="AO40" s="5648">
        <v>39267</v>
      </c>
      <c r="AP40" s="5648">
        <v>35027</v>
      </c>
      <c r="AQ40" s="5648">
        <v>39165</v>
      </c>
      <c r="AR40" s="5648">
        <v>45583</v>
      </c>
      <c r="AS40" s="5648">
        <v>30101</v>
      </c>
      <c r="AT40" s="5646">
        <f t="shared" si="4"/>
        <v>625463</v>
      </c>
      <c r="AU40" s="5646">
        <f>AVERAGE(AH40:AS40)</f>
        <v>52121.916666666664</v>
      </c>
      <c r="AV40" s="5647"/>
      <c r="AW40" s="5648">
        <v>56890</v>
      </c>
      <c r="AX40" s="5648">
        <v>48141</v>
      </c>
      <c r="AY40" s="5648"/>
      <c r="AZ40" s="5648"/>
      <c r="BA40" s="5648"/>
      <c r="BB40" s="5648"/>
      <c r="BC40" s="5648"/>
      <c r="BD40" s="5648"/>
      <c r="BE40" s="5648"/>
      <c r="BF40" s="5648"/>
      <c r="BG40" s="5648"/>
      <c r="BH40" s="5648"/>
      <c r="BI40" s="5646">
        <f t="shared" si="23"/>
        <v>105031</v>
      </c>
      <c r="BJ40" s="5646">
        <f>AVERAGE(AW40:BH40)</f>
        <v>52515.5</v>
      </c>
      <c r="BL40" s="3286">
        <f t="shared" si="8"/>
        <v>-7875</v>
      </c>
      <c r="BM40" s="3286">
        <f t="shared" si="9"/>
        <v>393.58333333333576</v>
      </c>
      <c r="BN40" s="4773">
        <f>IFERROR(
  SUM(
    _xlfn.XLOOKUP(DATE(YEAR($A$1),1,1),$2:$2,40:40):
    _xlfn.XLOOKUP($A$1,$2:$2,40:40)
  )
 -SUM(
    _xlfn.XLOOKUP(DATE(YEAR($A$1)-1,1,1),$2:$2,40:40):
    _xlfn.XLOOKUP(EDATE($A$1,-12),$2:$2,40:40)
  ),"")</f>
        <v>-2026</v>
      </c>
      <c r="BO40" s="2860">
        <f t="shared" si="10"/>
        <v>-8749</v>
      </c>
    </row>
    <row r="41" spans="1:67" x14ac:dyDescent="0.55000000000000004">
      <c r="A41" s="7491"/>
      <c r="C41" s="559" t="s">
        <v>1067</v>
      </c>
      <c r="P41" s="5649">
        <f t="shared" ref="P41:P42" si="33">SUM(D41:O41)</f>
        <v>0</v>
      </c>
      <c r="Q41" s="5649" t="e">
        <f t="shared" ref="Q41:Q42" si="34">AVERAGE(D41:O41)</f>
        <v>#DIV/0!</v>
      </c>
      <c r="S41" s="5649">
        <v>2.9926819999999998</v>
      </c>
      <c r="T41" s="5649">
        <v>2.796332</v>
      </c>
      <c r="U41" s="5649">
        <v>2.326247</v>
      </c>
      <c r="V41" s="5649">
        <v>2.2129029999999998</v>
      </c>
      <c r="W41" s="5649">
        <v>2.2905959999999999</v>
      </c>
      <c r="X41" s="5649">
        <v>2.1513030000000004</v>
      </c>
      <c r="Y41" s="5649">
        <v>2.8078819999999998</v>
      </c>
      <c r="Z41" s="5649">
        <v>2.5912040000000003</v>
      </c>
      <c r="AA41" s="5649">
        <v>2.5033469999999998</v>
      </c>
      <c r="AB41" s="5649">
        <v>1.9415550000000001</v>
      </c>
      <c r="AC41" s="5649">
        <v>2.3012989999999998</v>
      </c>
      <c r="AD41" s="5649">
        <v>1.3729100000000001</v>
      </c>
      <c r="AE41" s="5649">
        <f t="shared" ref="AE41:AE42" si="35">SUM(S41:AD41)</f>
        <v>28.288260000000005</v>
      </c>
      <c r="AF41" s="5649">
        <f t="shared" ref="AF41:AF42" si="36">AVERAGE(S41:AD41)</f>
        <v>2.3573550000000005</v>
      </c>
      <c r="AH41" s="5649">
        <v>3.8531569999999999</v>
      </c>
      <c r="AI41" s="5649">
        <v>4.23285555</v>
      </c>
      <c r="AJ41" s="5649">
        <v>3.3617430000000001</v>
      </c>
      <c r="AK41" s="5649">
        <v>4.0016514999999995</v>
      </c>
      <c r="AL41" s="5649">
        <v>8.5347570000000008</v>
      </c>
      <c r="AM41" s="5649">
        <v>3.7023139999999994</v>
      </c>
      <c r="AN41" s="5649">
        <v>5.224180500000001</v>
      </c>
      <c r="AO41" s="5649">
        <v>2.9392439999999995</v>
      </c>
      <c r="AP41" s="5649">
        <v>2.6266240000000005</v>
      </c>
      <c r="AQ41" s="5649">
        <v>2.9290799999999999</v>
      </c>
      <c r="AR41" s="5649">
        <v>3.4606109999999997</v>
      </c>
      <c r="AS41" s="5649">
        <v>2.317777</v>
      </c>
      <c r="AT41" s="5649">
        <f t="shared" si="4"/>
        <v>47.183994550000001</v>
      </c>
      <c r="AU41" s="5649">
        <f t="shared" ref="AU41:AU42" si="37">AVERAGE(AH41:AS41)</f>
        <v>3.9319995458333334</v>
      </c>
      <c r="AW41" s="5649">
        <v>4.2740775000000006</v>
      </c>
      <c r="AX41" s="5649">
        <v>3.595977</v>
      </c>
      <c r="AY41" s="5649"/>
      <c r="AZ41" s="5649"/>
      <c r="BA41" s="5649"/>
      <c r="BB41" s="5649"/>
      <c r="BC41" s="5649"/>
      <c r="BD41" s="5649"/>
      <c r="BE41" s="5649"/>
      <c r="BF41" s="5649"/>
      <c r="BG41" s="5649"/>
      <c r="BH41" s="5649"/>
      <c r="BI41" s="5649">
        <f t="shared" si="23"/>
        <v>7.8700545000000002</v>
      </c>
      <c r="BJ41" s="5649">
        <f t="shared" ref="BJ41:BJ42" si="38">AVERAGE(AW41:BH41)</f>
        <v>3.9350272500000001</v>
      </c>
      <c r="BL41" s="3286">
        <f t="shared" si="8"/>
        <v>-0.63687855000000004</v>
      </c>
      <c r="BM41" s="3286">
        <f t="shared" si="9"/>
        <v>3.0277041666666449E-3</v>
      </c>
      <c r="BN41" s="4773">
        <f>IFERROR(
  SUM(
    _xlfn.XLOOKUP(DATE(YEAR($A$1),1,1),$2:$2,41:41):
    _xlfn.XLOOKUP($A$1,$2:$2,41:41)
  )
 -SUM(
    _xlfn.XLOOKUP(DATE(YEAR($A$1)-1,1,1),$2:$2,41:41):
    _xlfn.XLOOKUP(EDATE($A$1,-12),$2:$2,41:41)
  ),"")</f>
        <v>-0.21595804999999935</v>
      </c>
      <c r="BO41" s="2860">
        <f t="shared" si="10"/>
        <v>-0.67810050000000066</v>
      </c>
    </row>
    <row r="42" spans="1:67" x14ac:dyDescent="0.55000000000000004">
      <c r="A42" s="7491"/>
      <c r="B42" s="5650"/>
      <c r="C42" s="1037" t="s">
        <v>1069</v>
      </c>
      <c r="D42" s="1037"/>
      <c r="E42" s="1037"/>
      <c r="F42" s="1037"/>
      <c r="G42" s="1037"/>
      <c r="H42" s="1037"/>
      <c r="I42" s="1037"/>
      <c r="J42" s="1037"/>
      <c r="K42" s="1037"/>
      <c r="L42" s="1037"/>
      <c r="M42" s="1037"/>
      <c r="N42" s="1037"/>
      <c r="O42" s="1037"/>
      <c r="P42" s="5651">
        <f t="shared" si="33"/>
        <v>0</v>
      </c>
      <c r="Q42" s="5651" t="e">
        <f t="shared" si="34"/>
        <v>#DIV/0!</v>
      </c>
      <c r="S42" s="5651">
        <v>1.9432999999999998</v>
      </c>
      <c r="T42" s="5651">
        <v>1.8158000000000001</v>
      </c>
      <c r="U42" s="5651">
        <v>1.5105499999999998</v>
      </c>
      <c r="V42" s="5651">
        <v>1.4369499999999999</v>
      </c>
      <c r="W42" s="5651">
        <v>1.4873999999999998</v>
      </c>
      <c r="X42" s="5651">
        <v>1.3969500000000001</v>
      </c>
      <c r="Y42" s="5651">
        <v>1.8232999999999999</v>
      </c>
      <c r="Z42" s="5651">
        <v>1.6825999999999999</v>
      </c>
      <c r="AA42" s="5651">
        <v>1.6255500000000001</v>
      </c>
      <c r="AB42" s="5651">
        <v>1.26075</v>
      </c>
      <c r="AC42" s="5651">
        <v>1.4943500000000001</v>
      </c>
      <c r="AD42" s="5651">
        <v>0.89150000000000007</v>
      </c>
      <c r="AE42" s="5651">
        <f t="shared" si="35"/>
        <v>18.369</v>
      </c>
      <c r="AF42" s="5651">
        <f t="shared" si="36"/>
        <v>1.5307500000000001</v>
      </c>
      <c r="AH42" s="5651">
        <v>2.47505</v>
      </c>
      <c r="AI42" s="5651">
        <v>2.72042355</v>
      </c>
      <c r="AJ42" s="5651">
        <v>2.1644550000000002</v>
      </c>
      <c r="AK42" s="5651">
        <v>2.5730275000000002</v>
      </c>
      <c r="AL42" s="5651">
        <v>5.4673949999999998</v>
      </c>
      <c r="AM42" s="5651">
        <v>2.3773699999999995</v>
      </c>
      <c r="AN42" s="5651">
        <v>3.3522975000000002</v>
      </c>
      <c r="AO42" s="5651">
        <v>1.879035</v>
      </c>
      <c r="AP42" s="5651">
        <v>1.680895</v>
      </c>
      <c r="AQ42" s="5651">
        <v>1.8716250000000001</v>
      </c>
      <c r="AR42" s="5651">
        <v>2.2298700000000005</v>
      </c>
      <c r="AS42" s="5651">
        <v>1.5050499999999998</v>
      </c>
      <c r="AT42" s="5651">
        <f t="shared" si="4"/>
        <v>30.296493550000001</v>
      </c>
      <c r="AU42" s="5651">
        <f t="shared" si="37"/>
        <v>2.5247077958333333</v>
      </c>
      <c r="AW42" s="5651">
        <v>2.7380474999999995</v>
      </c>
      <c r="AX42" s="5651">
        <v>2.2961699999999996</v>
      </c>
      <c r="AY42" s="5651"/>
      <c r="AZ42" s="5651"/>
      <c r="BA42" s="5651"/>
      <c r="BB42" s="5651"/>
      <c r="BC42" s="5651"/>
      <c r="BD42" s="5651"/>
      <c r="BE42" s="5651"/>
      <c r="BF42" s="5651"/>
      <c r="BG42" s="5651"/>
      <c r="BH42" s="5651"/>
      <c r="BI42" s="5651">
        <f t="shared" si="23"/>
        <v>5.0342174999999987</v>
      </c>
      <c r="BJ42" s="5651">
        <f t="shared" si="38"/>
        <v>2.5171087499999993</v>
      </c>
      <c r="BL42" s="3286">
        <f t="shared" si="8"/>
        <v>-0.42425355000000042</v>
      </c>
      <c r="BM42" s="3286">
        <f t="shared" si="9"/>
        <v>-7.5990458333339284E-3</v>
      </c>
      <c r="BN42" s="4773">
        <f>IFERROR(
  SUM(
    _xlfn.XLOOKUP(DATE(YEAR($A$1),1,1),$2:$2,42:42):
    _xlfn.XLOOKUP($A$1,$2:$2,42:42)
  )
 -SUM(
    _xlfn.XLOOKUP(DATE(YEAR($A$1)-1,1,1),$2:$2,42:42):
    _xlfn.XLOOKUP(EDATE($A$1,-12),$2:$2,42:42)
  ),"")</f>
        <v>-0.16125605000000132</v>
      </c>
      <c r="BO42" s="2860">
        <f t="shared" si="10"/>
        <v>-0.44187749999999992</v>
      </c>
    </row>
    <row r="43" spans="1:67" x14ac:dyDescent="0.55000000000000004">
      <c r="A43" s="7491"/>
      <c r="B43" s="5652" t="s">
        <v>19</v>
      </c>
      <c r="C43" s="5653" t="s">
        <v>672</v>
      </c>
      <c r="D43" s="5653"/>
      <c r="E43" s="5654"/>
      <c r="F43" s="5654"/>
      <c r="G43" s="5654"/>
      <c r="H43" s="5654"/>
      <c r="I43" s="5654"/>
      <c r="J43" s="5654"/>
      <c r="K43" s="5654"/>
      <c r="L43" s="5654"/>
      <c r="M43" s="5654"/>
      <c r="N43" s="5654"/>
      <c r="O43" s="5654"/>
      <c r="P43" s="905">
        <f>SUM(D43:O43)</f>
        <v>0</v>
      </c>
      <c r="Q43" s="905" t="e">
        <f>AVERAGE(D43:O43)</f>
        <v>#DIV/0!</v>
      </c>
      <c r="R43" s="5647"/>
      <c r="S43" s="905">
        <v>11472</v>
      </c>
      <c r="T43" s="905">
        <v>8008</v>
      </c>
      <c r="U43" s="905">
        <v>8743</v>
      </c>
      <c r="V43" s="905">
        <v>8242</v>
      </c>
      <c r="W43" s="905">
        <v>8149</v>
      </c>
      <c r="X43" s="905">
        <v>7179</v>
      </c>
      <c r="Y43" s="905">
        <v>11323</v>
      </c>
      <c r="Z43" s="905">
        <v>8033</v>
      </c>
      <c r="AA43" s="905">
        <v>7262</v>
      </c>
      <c r="AB43" s="905">
        <v>7138</v>
      </c>
      <c r="AC43" s="905">
        <v>6832</v>
      </c>
      <c r="AD43" s="905">
        <v>6448</v>
      </c>
      <c r="AE43" s="905">
        <f>SUM(S43:AD43)</f>
        <v>98829</v>
      </c>
      <c r="AF43" s="905">
        <f>AVERAGE(S43:AD43)</f>
        <v>8235.75</v>
      </c>
      <c r="AG43" s="5647"/>
      <c r="AH43" s="5648">
        <v>8138</v>
      </c>
      <c r="AI43" s="5648">
        <v>11694</v>
      </c>
      <c r="AJ43" s="5648">
        <v>8769</v>
      </c>
      <c r="AK43" s="5648">
        <v>14632</v>
      </c>
      <c r="AL43" s="5648">
        <v>23955</v>
      </c>
      <c r="AM43" s="5648">
        <v>10786</v>
      </c>
      <c r="AN43" s="5648">
        <v>17558</v>
      </c>
      <c r="AO43" s="5648">
        <v>9261</v>
      </c>
      <c r="AP43" s="5648">
        <v>8072</v>
      </c>
      <c r="AQ43" s="5648">
        <v>6699</v>
      </c>
      <c r="AR43" s="5648">
        <v>22115</v>
      </c>
      <c r="AS43" s="5648">
        <v>21641</v>
      </c>
      <c r="AT43" s="905">
        <f t="shared" si="4"/>
        <v>163320</v>
      </c>
      <c r="AU43" s="905">
        <f>AVERAGE(AH43:AS43)</f>
        <v>13610</v>
      </c>
      <c r="AV43" s="5647"/>
      <c r="AW43" s="5648">
        <v>20061</v>
      </c>
      <c r="AX43" s="5648">
        <v>13595</v>
      </c>
      <c r="AY43" s="5648"/>
      <c r="AZ43" s="5648"/>
      <c r="BA43" s="5648"/>
      <c r="BB43" s="5648"/>
      <c r="BC43" s="5648"/>
      <c r="BD43" s="5648"/>
      <c r="BE43" s="5648"/>
      <c r="BF43" s="5648"/>
      <c r="BG43" s="5648"/>
      <c r="BH43" s="5648"/>
      <c r="BI43" s="905">
        <f t="shared" si="23"/>
        <v>33656</v>
      </c>
      <c r="BJ43" s="905">
        <f>AVERAGE(AW43:BH43)</f>
        <v>16828</v>
      </c>
      <c r="BL43" s="3286">
        <f t="shared" si="8"/>
        <v>1901</v>
      </c>
      <c r="BM43" s="3286">
        <f t="shared" si="9"/>
        <v>3218</v>
      </c>
      <c r="BN43" s="4773">
        <f>IFERROR(
  SUM(
    _xlfn.XLOOKUP(DATE(YEAR($A$1),1,1),$2:$2,43:43):
    _xlfn.XLOOKUP($A$1,$2:$2,43:43)
  )
 -SUM(
    _xlfn.XLOOKUP(DATE(YEAR($A$1)-1,1,1),$2:$2,43:43):
    _xlfn.XLOOKUP(EDATE($A$1,-12),$2:$2,43:43)
  ),"")</f>
        <v>13824</v>
      </c>
      <c r="BO43" s="2860">
        <f t="shared" si="10"/>
        <v>-6466</v>
      </c>
    </row>
    <row r="44" spans="1:67" x14ac:dyDescent="0.55000000000000004">
      <c r="A44" s="7491"/>
      <c r="B44" s="2771"/>
      <c r="C44" s="559" t="s">
        <v>1066</v>
      </c>
      <c r="P44" s="5649">
        <f t="shared" ref="P44:P45" si="39">SUM(D44:O44)</f>
        <v>0</v>
      </c>
      <c r="Q44" s="5649" t="e">
        <f t="shared" ref="Q44:Q45" si="40">AVERAGE(D44:O44)</f>
        <v>#DIV/0!</v>
      </c>
      <c r="S44" s="5649">
        <v>0.88334400000000002</v>
      </c>
      <c r="T44" s="5649">
        <v>0.61661600000000005</v>
      </c>
      <c r="U44" s="5649">
        <v>0.673211</v>
      </c>
      <c r="V44" s="5649">
        <v>0.63463400000000003</v>
      </c>
      <c r="W44" s="5649">
        <v>0.62747299999999995</v>
      </c>
      <c r="X44" s="5649">
        <v>0.55278300000000002</v>
      </c>
      <c r="Y44" s="5649">
        <v>0.87187099999999995</v>
      </c>
      <c r="Z44" s="5649">
        <v>0.61854100000000001</v>
      </c>
      <c r="AA44" s="5649">
        <v>0.55917399999999995</v>
      </c>
      <c r="AB44" s="5649">
        <v>0.54962599999999995</v>
      </c>
      <c r="AC44" s="5649">
        <v>0.52606399999999998</v>
      </c>
      <c r="AD44" s="5649">
        <v>0.49649599999999999</v>
      </c>
      <c r="AE44" s="5649">
        <f t="shared" ref="AE44:AE45" si="41">SUM(S44:AD44)</f>
        <v>7.6098329999999983</v>
      </c>
      <c r="AF44" s="5649">
        <f t="shared" ref="AF44:AF45" si="42">AVERAGE(S44:AD44)</f>
        <v>0.63415274999999982</v>
      </c>
      <c r="AH44" s="5649">
        <v>0.62662600000000002</v>
      </c>
      <c r="AI44" s="5649">
        <v>0.90043800000000007</v>
      </c>
      <c r="AJ44" s="5649">
        <v>0.67521299999999995</v>
      </c>
      <c r="AK44" s="5649">
        <v>1.1266639999999999</v>
      </c>
      <c r="AL44" s="5649">
        <v>1.8445349999999998</v>
      </c>
      <c r="AM44" s="5649">
        <v>0.83052199999999998</v>
      </c>
      <c r="AN44" s="5649">
        <v>1.351966</v>
      </c>
      <c r="AO44" s="5649">
        <v>0.71309699999999998</v>
      </c>
      <c r="AP44" s="5649">
        <v>0.62154399999999999</v>
      </c>
      <c r="AQ44" s="5649">
        <v>0.51582300000000003</v>
      </c>
      <c r="AR44" s="5649">
        <v>1.702855</v>
      </c>
      <c r="AS44" s="5649">
        <v>1.6663570000000001</v>
      </c>
      <c r="AT44" s="5649">
        <f t="shared" si="4"/>
        <v>12.575639999999998</v>
      </c>
      <c r="AU44" s="5649">
        <f t="shared" ref="AU44:AU45" si="43">AVERAGE(AH44:AS44)</f>
        <v>1.0479699999999998</v>
      </c>
      <c r="AW44" s="5649">
        <v>1.544697</v>
      </c>
      <c r="AX44" s="5649">
        <v>1.0468150000000001</v>
      </c>
      <c r="AY44" s="5649"/>
      <c r="AZ44" s="5649"/>
      <c r="BA44" s="5649"/>
      <c r="BB44" s="5649"/>
      <c r="BC44" s="5649"/>
      <c r="BD44" s="5649"/>
      <c r="BE44" s="5649"/>
      <c r="BF44" s="5649"/>
      <c r="BG44" s="5649"/>
      <c r="BH44" s="5649"/>
      <c r="BI44" s="5649">
        <f t="shared" si="23"/>
        <v>2.5915119999999998</v>
      </c>
      <c r="BJ44" s="5649">
        <f t="shared" ref="BJ44:BJ45" si="44">AVERAGE(AW44:BH44)</f>
        <v>1.2957559999999999</v>
      </c>
      <c r="BL44" s="3286">
        <f t="shared" si="8"/>
        <v>0.14637699999999998</v>
      </c>
      <c r="BM44" s="3286">
        <f t="shared" si="9"/>
        <v>0.24778600000000006</v>
      </c>
      <c r="BN44" s="4773">
        <f>IFERROR(
  SUM(
    _xlfn.XLOOKUP(DATE(YEAR($A$1),1,1),$2:$2,44:44):
    _xlfn.XLOOKUP($A$1,$2:$2,44:44)
  )
 -SUM(
    _xlfn.XLOOKUP(DATE(YEAR($A$1)-1,1,1),$2:$2,44:44):
    _xlfn.XLOOKUP(EDATE($A$1,-12),$2:$2,44:44)
  ),"")</f>
        <v>1.0644479999999996</v>
      </c>
      <c r="BO44" s="2860">
        <f t="shared" si="10"/>
        <v>-0.49788199999999994</v>
      </c>
    </row>
    <row r="45" spans="1:67" x14ac:dyDescent="0.55000000000000004">
      <c r="A45" s="7491"/>
      <c r="B45" s="5655"/>
      <c r="C45" s="1037" t="s">
        <v>1068</v>
      </c>
      <c r="D45" s="1037"/>
      <c r="E45" s="1037"/>
      <c r="F45" s="1037"/>
      <c r="G45" s="1037"/>
      <c r="H45" s="1037"/>
      <c r="I45" s="1037"/>
      <c r="J45" s="1037"/>
      <c r="K45" s="1037"/>
      <c r="L45" s="1037"/>
      <c r="M45" s="1037"/>
      <c r="N45" s="1037"/>
      <c r="O45" s="1037"/>
      <c r="P45" s="5651">
        <f t="shared" si="39"/>
        <v>0</v>
      </c>
      <c r="Q45" s="5651" t="e">
        <f t="shared" si="40"/>
        <v>#DIV/0!</v>
      </c>
      <c r="S45" s="5651">
        <v>0.5736</v>
      </c>
      <c r="T45" s="5651">
        <v>0.40039999999999998</v>
      </c>
      <c r="U45" s="5651">
        <v>0.43714999999999998</v>
      </c>
      <c r="V45" s="5651">
        <v>0.41210000000000002</v>
      </c>
      <c r="W45" s="5651">
        <v>0.40744999999999998</v>
      </c>
      <c r="X45" s="5651">
        <v>0.35894999999999999</v>
      </c>
      <c r="Y45" s="5651">
        <v>0.56615000000000004</v>
      </c>
      <c r="Z45" s="5651">
        <v>0.40165000000000001</v>
      </c>
      <c r="AA45" s="5651">
        <v>0.36309999999999998</v>
      </c>
      <c r="AB45" s="5651">
        <v>0.3569</v>
      </c>
      <c r="AC45" s="5651">
        <v>0.34160000000000001</v>
      </c>
      <c r="AD45" s="5651">
        <v>0.32240000000000002</v>
      </c>
      <c r="AE45" s="5651">
        <f t="shared" si="41"/>
        <v>4.9414499999999997</v>
      </c>
      <c r="AF45" s="5651">
        <f t="shared" si="42"/>
        <v>0.41178749999999997</v>
      </c>
      <c r="AH45" s="5651">
        <v>0.40689999999999998</v>
      </c>
      <c r="AI45" s="5651">
        <v>0.5847</v>
      </c>
      <c r="AJ45" s="5651">
        <v>0.43845000000000001</v>
      </c>
      <c r="AK45" s="5651">
        <v>0.73159999999999992</v>
      </c>
      <c r="AL45" s="5651">
        <v>1.1977500000000001</v>
      </c>
      <c r="AM45" s="5651">
        <v>0.5393</v>
      </c>
      <c r="AN45" s="5651">
        <v>0.87790000000000001</v>
      </c>
      <c r="AO45" s="5651">
        <v>0.46305000000000002</v>
      </c>
      <c r="AP45" s="5651">
        <v>0.40360000000000001</v>
      </c>
      <c r="AQ45" s="5651">
        <v>0.33495000000000003</v>
      </c>
      <c r="AR45" s="5651">
        <v>1.10575</v>
      </c>
      <c r="AS45" s="5651">
        <v>1.08205</v>
      </c>
      <c r="AT45" s="5651">
        <f t="shared" si="4"/>
        <v>8.1660000000000004</v>
      </c>
      <c r="AU45" s="5651">
        <f t="shared" si="43"/>
        <v>0.68049999999999999</v>
      </c>
      <c r="AW45" s="5651">
        <v>1.00305</v>
      </c>
      <c r="AX45" s="5651">
        <v>0.67974999999999997</v>
      </c>
      <c r="AY45" s="5651"/>
      <c r="AZ45" s="5651"/>
      <c r="BA45" s="5651"/>
      <c r="BB45" s="5651"/>
      <c r="BC45" s="5651"/>
      <c r="BD45" s="5651"/>
      <c r="BE45" s="5651"/>
      <c r="BF45" s="5651"/>
      <c r="BG45" s="5651"/>
      <c r="BH45" s="5651"/>
      <c r="BI45" s="5651">
        <f t="shared" si="23"/>
        <v>1.6827999999999999</v>
      </c>
      <c r="BJ45" s="5651">
        <f t="shared" si="44"/>
        <v>0.84139999999999993</v>
      </c>
      <c r="BL45" s="3286">
        <f t="shared" si="8"/>
        <v>9.5049999999999968E-2</v>
      </c>
      <c r="BM45" s="3286">
        <f t="shared" si="9"/>
        <v>0.16089999999999993</v>
      </c>
      <c r="BN45" s="4773">
        <f>IFERROR(
  SUM(
    _xlfn.XLOOKUP(DATE(YEAR($A$1),1,1),$2:$2,45:45):
    _xlfn.XLOOKUP($A$1,$2:$2,45:45)
  )
 -SUM(
    _xlfn.XLOOKUP(DATE(YEAR($A$1)-1,1,1),$2:$2,45:45):
    _xlfn.XLOOKUP(EDATE($A$1,-12),$2:$2,45:45)
  ),"")</f>
        <v>0.69119999999999981</v>
      </c>
      <c r="BO45" s="2860">
        <f t="shared" si="10"/>
        <v>-0.32330000000000003</v>
      </c>
    </row>
    <row r="46" spans="1:67" x14ac:dyDescent="0.55000000000000004">
      <c r="A46" s="7491"/>
      <c r="B46" s="2771" t="s">
        <v>20</v>
      </c>
      <c r="C46" s="559" t="s">
        <v>672</v>
      </c>
      <c r="E46" s="905"/>
      <c r="F46" s="905"/>
      <c r="G46" s="905"/>
      <c r="H46" s="905"/>
      <c r="I46" s="905"/>
      <c r="J46" s="905"/>
      <c r="K46" s="905"/>
      <c r="L46" s="905"/>
      <c r="M46" s="905"/>
      <c r="N46" s="905"/>
      <c r="O46" s="905"/>
      <c r="P46" s="905">
        <f>SUM(D46:O46)</f>
        <v>0</v>
      </c>
      <c r="Q46" s="905" t="e">
        <f>AVERAGE(D46:O46)</f>
        <v>#DIV/0!</v>
      </c>
      <c r="R46" s="5647"/>
      <c r="S46" s="905">
        <v>19163</v>
      </c>
      <c r="T46" s="905">
        <v>15726</v>
      </c>
      <c r="U46" s="905">
        <v>12410</v>
      </c>
      <c r="V46" s="905">
        <v>13191</v>
      </c>
      <c r="W46" s="905">
        <v>14726</v>
      </c>
      <c r="X46" s="905">
        <v>13040</v>
      </c>
      <c r="Y46" s="905">
        <v>12900</v>
      </c>
      <c r="Z46" s="905">
        <v>8132</v>
      </c>
      <c r="AA46" s="905">
        <v>3002</v>
      </c>
      <c r="AB46" s="905">
        <v>2999</v>
      </c>
      <c r="AC46" s="905">
        <v>1217</v>
      </c>
      <c r="AD46" s="905">
        <v>976</v>
      </c>
      <c r="AE46" s="905">
        <f>SUM(S46:AD46)</f>
        <v>117482</v>
      </c>
      <c r="AF46" s="905">
        <f>AVERAGE(S46:AD46)</f>
        <v>9790.1666666666661</v>
      </c>
      <c r="AG46" s="5647"/>
      <c r="AH46" s="5648">
        <v>20000</v>
      </c>
      <c r="AI46" s="5648">
        <v>20877</v>
      </c>
      <c r="AJ46" s="5648">
        <v>13700</v>
      </c>
      <c r="AK46" s="5648">
        <v>18850</v>
      </c>
      <c r="AL46" s="5648">
        <v>55300</v>
      </c>
      <c r="AM46" s="5648">
        <v>19800</v>
      </c>
      <c r="AN46" s="5648">
        <v>29650</v>
      </c>
      <c r="AO46" s="5648">
        <v>21900</v>
      </c>
      <c r="AP46" s="5648">
        <v>18300</v>
      </c>
      <c r="AQ46" s="5648">
        <v>22500</v>
      </c>
      <c r="AR46" s="5648">
        <v>12800</v>
      </c>
      <c r="AS46" s="5648">
        <v>0</v>
      </c>
      <c r="AT46" s="905">
        <f t="shared" si="4"/>
        <v>253677</v>
      </c>
      <c r="AU46" s="905">
        <f>AVERAGE(AH46:AS46)</f>
        <v>21139.75</v>
      </c>
      <c r="AV46" s="5647"/>
      <c r="AW46" s="5648">
        <v>27650</v>
      </c>
      <c r="AX46" s="5648">
        <v>28800</v>
      </c>
      <c r="AY46" s="5648"/>
      <c r="AZ46" s="5648"/>
      <c r="BA46" s="5648"/>
      <c r="BB46" s="5648"/>
      <c r="BC46" s="5648"/>
      <c r="BD46" s="5648"/>
      <c r="BE46" s="5648"/>
      <c r="BF46" s="5648"/>
      <c r="BG46" s="5648"/>
      <c r="BH46" s="5648"/>
      <c r="BI46" s="905">
        <f t="shared" si="23"/>
        <v>56450</v>
      </c>
      <c r="BJ46" s="905">
        <f>AVERAGE(AW46:BH46)</f>
        <v>28225</v>
      </c>
      <c r="BL46" s="3286">
        <f t="shared" si="8"/>
        <v>7923</v>
      </c>
      <c r="BM46" s="3286">
        <f t="shared" si="9"/>
        <v>7085.25</v>
      </c>
      <c r="BN46" s="4773">
        <f>IFERROR(
  SUM(
    _xlfn.XLOOKUP(DATE(YEAR($A$1),1,1),$2:$2,46:46):
    _xlfn.XLOOKUP($A$1,$2:$2,46:46)
  )
 -SUM(
    _xlfn.XLOOKUP(DATE(YEAR($A$1)-1,1,1),$2:$2,46:46):
    _xlfn.XLOOKUP(EDATE($A$1,-12),$2:$2,46:46)
  ),"")</f>
        <v>15573</v>
      </c>
      <c r="BO46" s="2860">
        <f t="shared" si="10"/>
        <v>1150</v>
      </c>
    </row>
    <row r="47" spans="1:67" x14ac:dyDescent="0.55000000000000004">
      <c r="A47" s="7491"/>
      <c r="B47" s="2771"/>
      <c r="C47" s="559" t="s">
        <v>1066</v>
      </c>
      <c r="P47" s="5649">
        <f t="shared" ref="P47:P48" si="45">SUM(D47:O47)</f>
        <v>0</v>
      </c>
      <c r="Q47" s="5649" t="e">
        <f t="shared" ref="Q47:Q48" si="46">AVERAGE(D47:O47)</f>
        <v>#DIV/0!</v>
      </c>
      <c r="S47" s="5649">
        <v>1.4755510000000001</v>
      </c>
      <c r="T47" s="5649">
        <v>1.2109019999999999</v>
      </c>
      <c r="U47" s="5649">
        <v>0.95557000000000003</v>
      </c>
      <c r="V47" s="5649">
        <v>1.0157069999999999</v>
      </c>
      <c r="W47" s="5649">
        <v>1.133902</v>
      </c>
      <c r="X47" s="5649">
        <v>1.0040800000000001</v>
      </c>
      <c r="Y47" s="5649">
        <v>0.99329999999999996</v>
      </c>
      <c r="Z47" s="5649">
        <v>0.62616400000000005</v>
      </c>
      <c r="AA47" s="5649">
        <v>0.231154</v>
      </c>
      <c r="AB47" s="5649">
        <v>0.23092299999999999</v>
      </c>
      <c r="AC47" s="5649">
        <v>9.3709000000000001E-2</v>
      </c>
      <c r="AD47" s="5649">
        <v>7.5151999999999997E-2</v>
      </c>
      <c r="AE47" s="5649">
        <f t="shared" ref="AE47:AE48" si="47">SUM(S47:AD47)</f>
        <v>9.0461139999999993</v>
      </c>
      <c r="AF47" s="5649">
        <f t="shared" ref="AF47:AF48" si="48">AVERAGE(S47:AD47)</f>
        <v>0.75384283333333324</v>
      </c>
      <c r="AH47" s="5649">
        <v>1.4630000000000001</v>
      </c>
      <c r="AI47" s="5649">
        <v>1.5271525500000001</v>
      </c>
      <c r="AJ47" s="5649">
        <v>1.0021550000000001</v>
      </c>
      <c r="AK47" s="5649">
        <v>1.3788775000000002</v>
      </c>
      <c r="AL47" s="5649">
        <v>4.0451949999999997</v>
      </c>
      <c r="AM47" s="5649">
        <v>1.4483699999999999</v>
      </c>
      <c r="AN47" s="5649">
        <v>2.1688974999999999</v>
      </c>
      <c r="AO47" s="5649">
        <v>1.601985</v>
      </c>
      <c r="AP47" s="5649">
        <v>1.3386450000000001</v>
      </c>
      <c r="AQ47" s="5649">
        <v>1.645875</v>
      </c>
      <c r="AR47" s="5649">
        <v>0.93632000000000004</v>
      </c>
      <c r="AS47" s="5649">
        <v>0</v>
      </c>
      <c r="AT47" s="5649">
        <f t="shared" si="4"/>
        <v>18.556472549999999</v>
      </c>
      <c r="AU47" s="5649">
        <f t="shared" ref="AU47:AU48" si="49">AVERAGE(AH47:AS47)</f>
        <v>1.5463727125</v>
      </c>
      <c r="AW47" s="5649">
        <v>2.0225974999999998</v>
      </c>
      <c r="AX47" s="5649">
        <v>2.1067200000000001</v>
      </c>
      <c r="AY47" s="5649"/>
      <c r="AZ47" s="5649"/>
      <c r="BA47" s="5649"/>
      <c r="BB47" s="5649"/>
      <c r="BC47" s="5649"/>
      <c r="BD47" s="5649"/>
      <c r="BE47" s="5649"/>
      <c r="BF47" s="5649"/>
      <c r="BG47" s="5649"/>
      <c r="BH47" s="5649"/>
      <c r="BI47" s="5649">
        <f t="shared" si="23"/>
        <v>4.1293175</v>
      </c>
      <c r="BJ47" s="5649">
        <f t="shared" ref="BJ47:BJ48" si="50">AVERAGE(AW47:BH47)</f>
        <v>2.06465875</v>
      </c>
      <c r="BL47" s="3286">
        <f t="shared" si="8"/>
        <v>0.5795674500000001</v>
      </c>
      <c r="BM47" s="3286">
        <f t="shared" si="9"/>
        <v>0.51828603750000002</v>
      </c>
      <c r="BN47" s="4773">
        <f>IFERROR(
  SUM(
    _xlfn.XLOOKUP(DATE(YEAR($A$1),1,1),$2:$2,47:47):
    _xlfn.XLOOKUP($A$1,$2:$2,47:47)
  )
 -SUM(
    _xlfn.XLOOKUP(DATE(YEAR($A$1)-1,1,1),$2:$2,47:47):
    _xlfn.XLOOKUP(EDATE($A$1,-12),$2:$2,47:47)
  ),"")</f>
        <v>1.1391649499999996</v>
      </c>
      <c r="BO47" s="2860">
        <f t="shared" si="10"/>
        <v>8.4122500000000322E-2</v>
      </c>
    </row>
    <row r="48" spans="1:67" x14ac:dyDescent="0.55000000000000004">
      <c r="A48" s="7491"/>
      <c r="B48" s="5655"/>
      <c r="C48" s="1037" t="s">
        <v>1068</v>
      </c>
      <c r="D48" s="1037"/>
      <c r="E48" s="1037"/>
      <c r="F48" s="1037"/>
      <c r="G48" s="1037"/>
      <c r="H48" s="1037"/>
      <c r="I48" s="1037"/>
      <c r="J48" s="1037"/>
      <c r="K48" s="1037"/>
      <c r="L48" s="1037"/>
      <c r="M48" s="1037"/>
      <c r="N48" s="1037"/>
      <c r="O48" s="1037"/>
      <c r="P48" s="5651">
        <f t="shared" si="45"/>
        <v>0</v>
      </c>
      <c r="Q48" s="5651" t="e">
        <f t="shared" si="46"/>
        <v>#DIV/0!</v>
      </c>
      <c r="S48" s="5651">
        <v>0.95814999999999995</v>
      </c>
      <c r="T48" s="5651">
        <v>0.7863</v>
      </c>
      <c r="U48" s="5651">
        <v>0.62050000000000005</v>
      </c>
      <c r="V48" s="5651">
        <v>0.65954999999999997</v>
      </c>
      <c r="W48" s="5651">
        <v>0.73629999999999995</v>
      </c>
      <c r="X48" s="5651">
        <v>0.65200000000000002</v>
      </c>
      <c r="Y48" s="5651">
        <v>0.64500000000000002</v>
      </c>
      <c r="Z48" s="5651">
        <v>0.40660000000000002</v>
      </c>
      <c r="AA48" s="5651">
        <v>0.15010000000000001</v>
      </c>
      <c r="AB48" s="5651">
        <v>0.14995</v>
      </c>
      <c r="AC48" s="5651">
        <v>6.0850000000000001E-2</v>
      </c>
      <c r="AD48" s="5651">
        <v>4.8800000000000003E-2</v>
      </c>
      <c r="AE48" s="5651">
        <f t="shared" si="47"/>
        <v>5.8741000000000003</v>
      </c>
      <c r="AF48" s="5651">
        <f t="shared" si="48"/>
        <v>0.48950833333333338</v>
      </c>
      <c r="AH48" s="5651">
        <v>0.92299999999999993</v>
      </c>
      <c r="AI48" s="5651">
        <v>0.9634735499999999</v>
      </c>
      <c r="AJ48" s="5651">
        <v>0.63225500000000001</v>
      </c>
      <c r="AK48" s="5651">
        <v>0.86992749999999996</v>
      </c>
      <c r="AL48" s="5651">
        <v>2.552095</v>
      </c>
      <c r="AM48" s="5651">
        <v>0.91376999999999997</v>
      </c>
      <c r="AN48" s="5651">
        <v>1.3683475</v>
      </c>
      <c r="AO48" s="5651">
        <v>1.0106850000000001</v>
      </c>
      <c r="AP48" s="5651">
        <v>0.84454499999999999</v>
      </c>
      <c r="AQ48" s="5651">
        <v>1.038375</v>
      </c>
      <c r="AR48" s="5651">
        <v>0.59072000000000002</v>
      </c>
      <c r="AS48" s="5651">
        <v>0</v>
      </c>
      <c r="AT48" s="5651">
        <f t="shared" si="4"/>
        <v>11.70719355</v>
      </c>
      <c r="AU48" s="5651">
        <f t="shared" si="49"/>
        <v>0.97559946249999996</v>
      </c>
      <c r="AW48" s="5651">
        <v>1.2760475</v>
      </c>
      <c r="AX48" s="5651">
        <v>1.3291200000000001</v>
      </c>
      <c r="AY48" s="5651"/>
      <c r="AZ48" s="5651"/>
      <c r="BA48" s="5651"/>
      <c r="BB48" s="5651"/>
      <c r="BC48" s="5651"/>
      <c r="BD48" s="5651"/>
      <c r="BE48" s="5651"/>
      <c r="BF48" s="5651"/>
      <c r="BG48" s="5651"/>
      <c r="BH48" s="5651"/>
      <c r="BI48" s="5651">
        <f t="shared" si="23"/>
        <v>2.6051675000000003</v>
      </c>
      <c r="BJ48" s="5651">
        <f t="shared" si="50"/>
        <v>1.3025837500000002</v>
      </c>
      <c r="BL48" s="3286">
        <f t="shared" si="8"/>
        <v>0.36564645000000018</v>
      </c>
      <c r="BM48" s="3286">
        <f t="shared" si="9"/>
        <v>0.32698428750000019</v>
      </c>
      <c r="BN48" s="4773">
        <f>IFERROR(
  SUM(
    _xlfn.XLOOKUP(DATE(YEAR($A$1),1,1),$2:$2,48:48):
    _xlfn.XLOOKUP($A$1,$2:$2,48:48)
  )
 -SUM(
    _xlfn.XLOOKUP(DATE(YEAR($A$1)-1,1,1),$2:$2,48:48):
    _xlfn.XLOOKUP(EDATE($A$1,-12),$2:$2,48:48)
  ),"")</f>
        <v>0.71869395000000047</v>
      </c>
      <c r="BO48" s="2860">
        <f t="shared" si="10"/>
        <v>5.3072500000000078E-2</v>
      </c>
    </row>
    <row r="49" spans="1:67" x14ac:dyDescent="0.55000000000000004">
      <c r="A49" s="7491"/>
      <c r="B49" s="2771" t="s">
        <v>21</v>
      </c>
      <c r="C49" s="559" t="s">
        <v>672</v>
      </c>
      <c r="D49" s="905"/>
      <c r="E49" s="905"/>
      <c r="F49" s="905"/>
      <c r="G49" s="905"/>
      <c r="H49" s="905"/>
      <c r="I49" s="905"/>
      <c r="J49" s="905"/>
      <c r="K49" s="905"/>
      <c r="L49" s="905"/>
      <c r="M49" s="905"/>
      <c r="N49" s="905"/>
      <c r="O49" s="905"/>
      <c r="P49" s="905">
        <f>SUM(D49:O49)</f>
        <v>0</v>
      </c>
      <c r="Q49" s="905" t="e">
        <f>AVERAGE(D49:O49)</f>
        <v>#DIV/0!</v>
      </c>
      <c r="R49" s="5647"/>
      <c r="S49" s="905">
        <v>5589</v>
      </c>
      <c r="T49" s="905">
        <v>9344</v>
      </c>
      <c r="U49" s="905">
        <v>6100</v>
      </c>
      <c r="V49" s="905">
        <v>4209</v>
      </c>
      <c r="W49" s="905">
        <v>4806</v>
      </c>
      <c r="X49" s="905">
        <v>5247</v>
      </c>
      <c r="Y49" s="905">
        <v>5683</v>
      </c>
      <c r="Z49" s="905">
        <v>6646</v>
      </c>
      <c r="AA49" s="905">
        <v>4923</v>
      </c>
      <c r="AB49" s="905">
        <v>7675</v>
      </c>
      <c r="AC49" s="905">
        <v>7181</v>
      </c>
      <c r="AD49" s="905">
        <v>2743</v>
      </c>
      <c r="AE49" s="905">
        <f>SUM(S49:AD49)</f>
        <v>70146</v>
      </c>
      <c r="AF49" s="905">
        <f>AVERAGE(S49:AD49)</f>
        <v>5845.5</v>
      </c>
      <c r="AG49" s="5647"/>
      <c r="AH49" s="5648">
        <v>5211</v>
      </c>
      <c r="AI49" s="5648">
        <v>7996</v>
      </c>
      <c r="AJ49" s="5648">
        <v>6227</v>
      </c>
      <c r="AK49" s="5648">
        <v>12014</v>
      </c>
      <c r="AL49" s="5648">
        <v>26042</v>
      </c>
      <c r="AM49" s="5648">
        <v>3705</v>
      </c>
      <c r="AN49" s="5648">
        <v>13916</v>
      </c>
      <c r="AO49" s="5648">
        <v>2508</v>
      </c>
      <c r="AP49" s="5648">
        <v>3532</v>
      </c>
      <c r="AQ49" s="5648">
        <v>5705</v>
      </c>
      <c r="AR49" s="5648">
        <v>2688</v>
      </c>
      <c r="AS49" s="5648">
        <v>3114</v>
      </c>
      <c r="AT49" s="905">
        <f t="shared" si="4"/>
        <v>92658</v>
      </c>
      <c r="AU49" s="905">
        <f>AVERAGE(AH49:AS49)</f>
        <v>7721.5</v>
      </c>
      <c r="AV49" s="5647"/>
      <c r="AW49" s="5648">
        <v>4224</v>
      </c>
      <c r="AX49" s="5648">
        <v>2715</v>
      </c>
      <c r="AY49" s="5648"/>
      <c r="AZ49" s="5648"/>
      <c r="BA49" s="5648"/>
      <c r="BB49" s="5648"/>
      <c r="BC49" s="5648"/>
      <c r="BD49" s="5648"/>
      <c r="BE49" s="5648"/>
      <c r="BF49" s="5648"/>
      <c r="BG49" s="5648"/>
      <c r="BH49" s="5648"/>
      <c r="BI49" s="905">
        <f t="shared" si="23"/>
        <v>6939</v>
      </c>
      <c r="BJ49" s="905">
        <f>AVERAGE(AW49:BH49)</f>
        <v>3469.5</v>
      </c>
      <c r="BL49" s="3286">
        <f t="shared" si="8"/>
        <v>-5281</v>
      </c>
      <c r="BM49" s="3286">
        <f t="shared" si="9"/>
        <v>-4252</v>
      </c>
      <c r="BN49" s="4773">
        <f>IFERROR(
  SUM(
    _xlfn.XLOOKUP(DATE(YEAR($A$1),1,1),$2:$2,49:49):
    _xlfn.XLOOKUP($A$1,$2:$2,49:49)
  )
 -SUM(
    _xlfn.XLOOKUP(DATE(YEAR($A$1)-1,1,1),$2:$2,49:49):
    _xlfn.XLOOKUP(EDATE($A$1,-12),$2:$2,49:49)
  ),"")</f>
        <v>-6268</v>
      </c>
      <c r="BO49" s="2860">
        <f t="shared" si="10"/>
        <v>-1509</v>
      </c>
    </row>
    <row r="50" spans="1:67" x14ac:dyDescent="0.55000000000000004">
      <c r="A50" s="7491"/>
      <c r="B50" s="2771"/>
      <c r="C50" s="559" t="s">
        <v>1066</v>
      </c>
      <c r="P50" s="5649">
        <f t="shared" ref="P50:P51" si="51">SUM(D50:O50)</f>
        <v>0</v>
      </c>
      <c r="Q50" s="5649" t="e">
        <f t="shared" ref="Q50:Q51" si="52">AVERAGE(D50:O50)</f>
        <v>#DIV/0!</v>
      </c>
      <c r="S50" s="5649">
        <v>0.43035299999999999</v>
      </c>
      <c r="T50" s="5649">
        <v>0.71948800000000002</v>
      </c>
      <c r="U50" s="5649">
        <v>0.46970000000000001</v>
      </c>
      <c r="V50" s="5649">
        <v>0.32409300000000002</v>
      </c>
      <c r="W50" s="5649">
        <v>0.370062</v>
      </c>
      <c r="X50" s="5649">
        <v>0.40401900000000002</v>
      </c>
      <c r="Y50" s="5649">
        <v>0.43759100000000001</v>
      </c>
      <c r="Z50" s="5649">
        <v>0.51174200000000003</v>
      </c>
      <c r="AA50" s="5649">
        <v>0.37907099999999999</v>
      </c>
      <c r="AB50" s="5649">
        <v>0.59097500000000003</v>
      </c>
      <c r="AC50" s="5649">
        <v>0.55293700000000001</v>
      </c>
      <c r="AD50" s="5649">
        <v>0.21121100000000001</v>
      </c>
      <c r="AE50" s="5649">
        <f t="shared" ref="AE50:AE51" si="53">SUM(S50:AD50)</f>
        <v>5.401241999999999</v>
      </c>
      <c r="AF50" s="5649">
        <f t="shared" ref="AF50:AF51" si="54">AVERAGE(S50:AD50)</f>
        <v>0.45010349999999993</v>
      </c>
      <c r="AH50" s="5649">
        <v>0.40124699999999996</v>
      </c>
      <c r="AI50" s="5649">
        <v>0.61569200000000002</v>
      </c>
      <c r="AJ50" s="5649">
        <v>0.47947899999999999</v>
      </c>
      <c r="AK50" s="5649">
        <v>0.92507800000000007</v>
      </c>
      <c r="AL50" s="5649">
        <v>2.0052340000000002</v>
      </c>
      <c r="AM50" s="5649">
        <v>0.28528500000000001</v>
      </c>
      <c r="AN50" s="5649">
        <v>1.0715319999999999</v>
      </c>
      <c r="AO50" s="5649">
        <v>0.19311600000000001</v>
      </c>
      <c r="AP50" s="5649">
        <v>0.27196399999999998</v>
      </c>
      <c r="AQ50" s="5649">
        <v>0.43928499999999998</v>
      </c>
      <c r="AR50" s="5649">
        <v>0.20697599999999999</v>
      </c>
      <c r="AS50" s="5649">
        <v>0.23977799999999999</v>
      </c>
      <c r="AT50" s="5649">
        <f t="shared" si="4"/>
        <v>7.1346660000000002</v>
      </c>
      <c r="AU50" s="5649">
        <f t="shared" ref="AU50:AU51" si="55">AVERAGE(AH50:AS50)</f>
        <v>0.59455550000000001</v>
      </c>
      <c r="AW50" s="5649">
        <v>0.32524799999999998</v>
      </c>
      <c r="AX50" s="5649">
        <v>0.20905499999999999</v>
      </c>
      <c r="AY50" s="5649"/>
      <c r="AZ50" s="5649"/>
      <c r="BA50" s="5649"/>
      <c r="BB50" s="5649"/>
      <c r="BC50" s="5649"/>
      <c r="BD50" s="5649"/>
      <c r="BE50" s="5649"/>
      <c r="BF50" s="5649"/>
      <c r="BG50" s="5649"/>
      <c r="BH50" s="5649"/>
      <c r="BI50" s="5649">
        <f t="shared" si="23"/>
        <v>0.53430299999999997</v>
      </c>
      <c r="BJ50" s="5649">
        <f t="shared" ref="BJ50:BJ51" si="56">AVERAGE(AW50:BH50)</f>
        <v>0.26715149999999999</v>
      </c>
      <c r="BL50" s="3286">
        <f t="shared" si="8"/>
        <v>-0.40663700000000003</v>
      </c>
      <c r="BM50" s="3286">
        <f t="shared" si="9"/>
        <v>-0.32740400000000003</v>
      </c>
      <c r="BN50" s="4773">
        <f>IFERROR(
  SUM(
    _xlfn.XLOOKUP(DATE(YEAR($A$1),1,1),$2:$2,50:50):
    _xlfn.XLOOKUP($A$1,$2:$2,50:50)
  )
 -SUM(
    _xlfn.XLOOKUP(DATE(YEAR($A$1)-1,1,1),$2:$2,50:50):
    _xlfn.XLOOKUP(EDATE($A$1,-12),$2:$2,50:50)
  ),"")</f>
        <v>-0.48263600000000006</v>
      </c>
      <c r="BO50" s="2860">
        <f t="shared" si="10"/>
        <v>-0.11619299999999999</v>
      </c>
    </row>
    <row r="51" spans="1:67" x14ac:dyDescent="0.55000000000000004">
      <c r="A51" s="7491"/>
      <c r="B51" s="5655"/>
      <c r="C51" s="1037" t="s">
        <v>1069</v>
      </c>
      <c r="D51" s="1037"/>
      <c r="E51" s="1037"/>
      <c r="F51" s="1037"/>
      <c r="G51" s="1037"/>
      <c r="H51" s="1037"/>
      <c r="I51" s="1037"/>
      <c r="J51" s="1037"/>
      <c r="K51" s="1037"/>
      <c r="L51" s="1037"/>
      <c r="M51" s="1037"/>
      <c r="N51" s="1037"/>
      <c r="O51" s="1037"/>
      <c r="P51" s="5651">
        <f t="shared" si="51"/>
        <v>0</v>
      </c>
      <c r="Q51" s="5651" t="e">
        <f t="shared" si="52"/>
        <v>#DIV/0!</v>
      </c>
      <c r="S51" s="5651">
        <v>0.27944999999999998</v>
      </c>
      <c r="T51" s="5651">
        <v>0.4672</v>
      </c>
      <c r="U51" s="5651">
        <v>0.30499999999999999</v>
      </c>
      <c r="V51" s="5651">
        <v>0.21045</v>
      </c>
      <c r="W51" s="5651">
        <v>0.24030000000000001</v>
      </c>
      <c r="X51" s="5651">
        <v>0.26235000000000003</v>
      </c>
      <c r="Y51" s="5651">
        <v>0.28415000000000001</v>
      </c>
      <c r="Z51" s="5651">
        <v>0.33229999999999998</v>
      </c>
      <c r="AA51" s="5651">
        <v>0.24615000000000001</v>
      </c>
      <c r="AB51" s="5651">
        <v>0.38374999999999998</v>
      </c>
      <c r="AC51" s="5651">
        <v>0.35904999999999998</v>
      </c>
      <c r="AD51" s="5651">
        <v>0.13714999999999999</v>
      </c>
      <c r="AE51" s="5651">
        <f t="shared" si="53"/>
        <v>3.5073000000000003</v>
      </c>
      <c r="AF51" s="5651">
        <f t="shared" si="54"/>
        <v>0.29227500000000001</v>
      </c>
      <c r="AH51" s="5651">
        <v>0.26055</v>
      </c>
      <c r="AI51" s="5651">
        <v>0.39979999999999999</v>
      </c>
      <c r="AJ51" s="5651">
        <v>0.31135000000000002</v>
      </c>
      <c r="AK51" s="5651">
        <v>0.60070000000000001</v>
      </c>
      <c r="AL51" s="5651">
        <v>1.3021</v>
      </c>
      <c r="AM51" s="5651">
        <v>0.18525</v>
      </c>
      <c r="AN51" s="5651">
        <v>0.69579999999999997</v>
      </c>
      <c r="AO51" s="5651">
        <v>0.12540000000000001</v>
      </c>
      <c r="AP51" s="5651">
        <v>0.17660000000000001</v>
      </c>
      <c r="AQ51" s="5651">
        <v>0.28525</v>
      </c>
      <c r="AR51" s="5651">
        <v>0.13439999999999999</v>
      </c>
      <c r="AS51" s="5651">
        <v>0.15570000000000001</v>
      </c>
      <c r="AT51" s="5651">
        <f t="shared" si="4"/>
        <v>4.6329000000000011</v>
      </c>
      <c r="AU51" s="5651">
        <f t="shared" si="55"/>
        <v>0.38607500000000011</v>
      </c>
      <c r="AW51" s="5651">
        <v>0.2112</v>
      </c>
      <c r="AX51" s="5651">
        <v>0.13575000000000001</v>
      </c>
      <c r="AY51" s="5651"/>
      <c r="AZ51" s="5651"/>
      <c r="BA51" s="5651"/>
      <c r="BB51" s="5651"/>
      <c r="BC51" s="5651"/>
      <c r="BD51" s="5651"/>
      <c r="BE51" s="5651"/>
      <c r="BF51" s="5651"/>
      <c r="BG51" s="5651"/>
      <c r="BH51" s="5651"/>
      <c r="BI51" s="5651">
        <f t="shared" si="23"/>
        <v>0.34694999999999998</v>
      </c>
      <c r="BJ51" s="5651">
        <f t="shared" si="56"/>
        <v>0.17347499999999999</v>
      </c>
      <c r="BL51" s="3286">
        <f t="shared" si="8"/>
        <v>-0.26405000000000001</v>
      </c>
      <c r="BM51" s="3286">
        <f t="shared" si="9"/>
        <v>-0.21260000000000012</v>
      </c>
      <c r="BN51" s="4773">
        <f>IFERROR(
  SUM(
    _xlfn.XLOOKUP(DATE(YEAR($A$1),1,1),$2:$2,51:51):
    _xlfn.XLOOKUP($A$1,$2:$2,51:51)
  )
 -SUM(
    _xlfn.XLOOKUP(DATE(YEAR($A$1)-1,1,1),$2:$2,51:51):
    _xlfn.XLOOKUP(EDATE($A$1,-12),$2:$2,51:51)
  ),"")</f>
        <v>-0.31340000000000001</v>
      </c>
      <c r="BO51" s="2860">
        <f t="shared" si="10"/>
        <v>-7.5449999999999989E-2</v>
      </c>
    </row>
    <row r="52" spans="1:67" x14ac:dyDescent="0.55000000000000004">
      <c r="A52" s="7491"/>
      <c r="B52" s="5652" t="s">
        <v>22</v>
      </c>
      <c r="C52" s="559" t="s">
        <v>672</v>
      </c>
      <c r="D52" s="5654"/>
      <c r="E52" s="5654"/>
      <c r="F52" s="5654"/>
      <c r="G52" s="5654"/>
      <c r="H52" s="5654"/>
      <c r="I52" s="5654"/>
      <c r="J52" s="5654"/>
      <c r="K52" s="5654"/>
      <c r="L52" s="5654"/>
      <c r="M52" s="5654"/>
      <c r="N52" s="5654"/>
      <c r="O52" s="5654"/>
      <c r="P52" s="905">
        <f>SUM(D52:O52)</f>
        <v>0</v>
      </c>
      <c r="Q52" s="905" t="e">
        <f>AVERAGE(D52:O52)</f>
        <v>#DIV/0!</v>
      </c>
      <c r="R52" s="5647"/>
      <c r="S52" s="905">
        <v>2642</v>
      </c>
      <c r="T52" s="905">
        <v>3238</v>
      </c>
      <c r="U52" s="905">
        <v>2958</v>
      </c>
      <c r="V52" s="905">
        <v>3097</v>
      </c>
      <c r="W52" s="905">
        <v>2067</v>
      </c>
      <c r="X52" s="905">
        <v>2473</v>
      </c>
      <c r="Y52" s="905">
        <v>3190</v>
      </c>
      <c r="Z52" s="905">
        <v>3571</v>
      </c>
      <c r="AA52" s="905">
        <v>4374</v>
      </c>
      <c r="AB52" s="905">
        <v>2243</v>
      </c>
      <c r="AC52" s="905">
        <v>2407</v>
      </c>
      <c r="AD52" s="905">
        <v>2663</v>
      </c>
      <c r="AE52" s="905">
        <f>SUM(S52:AD52)</f>
        <v>34923</v>
      </c>
      <c r="AF52" s="905">
        <f>AVERAGE(S52:AD52)</f>
        <v>2910.25</v>
      </c>
      <c r="AG52" s="5647"/>
      <c r="AH52" s="5648">
        <v>2707</v>
      </c>
      <c r="AI52" s="5648">
        <v>4229</v>
      </c>
      <c r="AJ52" s="5648">
        <v>4978</v>
      </c>
      <c r="AK52" s="5648">
        <v>3656</v>
      </c>
      <c r="AL52" s="5648">
        <v>3539</v>
      </c>
      <c r="AM52" s="5648">
        <v>7501</v>
      </c>
      <c r="AN52" s="5648">
        <v>5565</v>
      </c>
      <c r="AO52" s="5648">
        <v>3348</v>
      </c>
      <c r="AP52" s="5648">
        <v>3303</v>
      </c>
      <c r="AQ52" s="5648">
        <v>2591</v>
      </c>
      <c r="AR52" s="5648">
        <v>5950</v>
      </c>
      <c r="AS52" s="5648">
        <v>4646</v>
      </c>
      <c r="AT52" s="905">
        <f t="shared" si="4"/>
        <v>52013</v>
      </c>
      <c r="AU52" s="905">
        <f>AVERAGE(AH52:AS52)</f>
        <v>4334.416666666667</v>
      </c>
      <c r="AV52" s="5647"/>
      <c r="AW52" s="5648">
        <v>3925</v>
      </c>
      <c r="AX52" s="5648">
        <v>2816</v>
      </c>
      <c r="AY52" s="5648"/>
      <c r="AZ52" s="5648"/>
      <c r="BA52" s="5648"/>
      <c r="BB52" s="5648"/>
      <c r="BC52" s="5648"/>
      <c r="BD52" s="5648"/>
      <c r="BE52" s="5648"/>
      <c r="BF52" s="5648"/>
      <c r="BG52" s="5648"/>
      <c r="BH52" s="5648"/>
      <c r="BI52" s="905">
        <f t="shared" si="23"/>
        <v>6741</v>
      </c>
      <c r="BJ52" s="905">
        <f>AVERAGE(AW52:BH52)</f>
        <v>3370.5</v>
      </c>
      <c r="BL52" s="3286">
        <f t="shared" si="8"/>
        <v>-1413</v>
      </c>
      <c r="BM52" s="3286">
        <f t="shared" si="9"/>
        <v>-963.91666666666697</v>
      </c>
      <c r="BN52" s="4773">
        <f>IFERROR(
  SUM(
    _xlfn.XLOOKUP(DATE(YEAR($A$1),1,1),$2:$2,52:52):
    _xlfn.XLOOKUP($A$1,$2:$2,52:52)
  )
 -SUM(
    _xlfn.XLOOKUP(DATE(YEAR($A$1)-1,1,1),$2:$2,52:52):
    _xlfn.XLOOKUP(EDATE($A$1,-12),$2:$2,52:52)
  ),"")</f>
        <v>-195</v>
      </c>
      <c r="BO52" s="2860">
        <f t="shared" si="10"/>
        <v>-1109</v>
      </c>
    </row>
    <row r="53" spans="1:67" x14ac:dyDescent="0.55000000000000004">
      <c r="A53" s="7491"/>
      <c r="B53" s="2771"/>
      <c r="C53" s="559" t="s">
        <v>1066</v>
      </c>
      <c r="P53" s="5649">
        <f t="shared" ref="P53:P54" si="57">SUM(D53:O53)</f>
        <v>0</v>
      </c>
      <c r="Q53" s="5649" t="e">
        <f t="shared" ref="Q53:Q54" si="58">AVERAGE(D53:O53)</f>
        <v>#DIV/0!</v>
      </c>
      <c r="S53" s="5649">
        <v>0.203434</v>
      </c>
      <c r="T53" s="5649">
        <v>0.24932599999999999</v>
      </c>
      <c r="U53" s="5649">
        <v>0.227766</v>
      </c>
      <c r="V53" s="5649">
        <v>0.23846899999999999</v>
      </c>
      <c r="W53" s="5649">
        <v>0.15915899999999999</v>
      </c>
      <c r="X53" s="5649">
        <v>0.19042100000000001</v>
      </c>
      <c r="Y53" s="5649">
        <v>0.24562999999999999</v>
      </c>
      <c r="Z53" s="5649">
        <v>0.27496700000000002</v>
      </c>
      <c r="AA53" s="5649">
        <v>0.33679799999999999</v>
      </c>
      <c r="AB53" s="5649">
        <v>0.172711</v>
      </c>
      <c r="AC53" s="5649">
        <v>0.185339</v>
      </c>
      <c r="AD53" s="5649">
        <v>0.20505100000000001</v>
      </c>
      <c r="AE53" s="5649">
        <f t="shared" ref="AE53:AE54" si="59">SUM(S53:AD53)</f>
        <v>2.6890710000000002</v>
      </c>
      <c r="AF53" s="5649">
        <f t="shared" ref="AF53:AF54" si="60">AVERAGE(S53:AD53)</f>
        <v>0.22408925000000002</v>
      </c>
      <c r="AH53" s="5649">
        <v>0.20843900000000001</v>
      </c>
      <c r="AI53" s="5649">
        <v>0.32563300000000001</v>
      </c>
      <c r="AJ53" s="5649">
        <v>0.38330599999999998</v>
      </c>
      <c r="AK53" s="5649">
        <v>0.28151199999999998</v>
      </c>
      <c r="AL53" s="5649">
        <v>0.272503</v>
      </c>
      <c r="AM53" s="5649">
        <v>0.57757700000000001</v>
      </c>
      <c r="AN53" s="5649">
        <v>0.42850500000000002</v>
      </c>
      <c r="AO53" s="5649">
        <v>0.25779600000000003</v>
      </c>
      <c r="AP53" s="5649">
        <v>0.25433099999999997</v>
      </c>
      <c r="AQ53" s="5649">
        <v>0.19950699999999999</v>
      </c>
      <c r="AR53" s="5649">
        <v>0.45815</v>
      </c>
      <c r="AS53" s="5649">
        <v>0.357742</v>
      </c>
      <c r="AT53" s="5649">
        <f t="shared" si="4"/>
        <v>4.005001</v>
      </c>
      <c r="AU53" s="5649">
        <f t="shared" ref="AU53:AU54" si="61">AVERAGE(AH53:AS53)</f>
        <v>0.33375008333333334</v>
      </c>
      <c r="AW53" s="5649">
        <v>0.30222500000000002</v>
      </c>
      <c r="AX53" s="5649">
        <v>0.216832</v>
      </c>
      <c r="AY53" s="5649"/>
      <c r="AZ53" s="5649"/>
      <c r="BA53" s="5649"/>
      <c r="BB53" s="5649"/>
      <c r="BC53" s="5649"/>
      <c r="BD53" s="5649"/>
      <c r="BE53" s="5649"/>
      <c r="BF53" s="5649"/>
      <c r="BG53" s="5649"/>
      <c r="BH53" s="5649"/>
      <c r="BI53" s="5649">
        <f t="shared" si="23"/>
        <v>0.51905699999999999</v>
      </c>
      <c r="BJ53" s="5649">
        <f t="shared" ref="BJ53:BJ54" si="62">AVERAGE(AW53:BH53)</f>
        <v>0.2595285</v>
      </c>
      <c r="BL53" s="3286">
        <f t="shared" si="8"/>
        <v>-0.10880100000000001</v>
      </c>
      <c r="BM53" s="3286">
        <f t="shared" si="9"/>
        <v>-7.4221583333333341E-2</v>
      </c>
      <c r="BN53" s="4773">
        <f>IFERROR(
  SUM(
    _xlfn.XLOOKUP(DATE(YEAR($A$1),1,1),$2:$2,53:53):
    _xlfn.XLOOKUP($A$1,$2:$2,53:53)
  )
 -SUM(
    _xlfn.XLOOKUP(DATE(YEAR($A$1)-1,1,1),$2:$2,53:53):
    _xlfn.XLOOKUP(EDATE($A$1,-12),$2:$2,53:53)
  ),"")</f>
        <v>-1.5015000000000001E-2</v>
      </c>
      <c r="BO53" s="2860">
        <f t="shared" si="10"/>
        <v>-8.5393000000000024E-2</v>
      </c>
    </row>
    <row r="54" spans="1:67" x14ac:dyDescent="0.55000000000000004">
      <c r="A54" s="7491"/>
      <c r="B54" s="5655"/>
      <c r="C54" s="1037" t="s">
        <v>1069</v>
      </c>
      <c r="D54" s="1037"/>
      <c r="E54" s="1037"/>
      <c r="F54" s="1037"/>
      <c r="G54" s="1037"/>
      <c r="H54" s="1037"/>
      <c r="I54" s="1037"/>
      <c r="J54" s="1037"/>
      <c r="K54" s="1037"/>
      <c r="L54" s="1037"/>
      <c r="M54" s="1037"/>
      <c r="N54" s="1037"/>
      <c r="O54" s="1037"/>
      <c r="P54" s="5651">
        <f t="shared" si="57"/>
        <v>0</v>
      </c>
      <c r="Q54" s="5651" t="e">
        <f t="shared" si="58"/>
        <v>#DIV/0!</v>
      </c>
      <c r="S54" s="5651">
        <v>0.1321</v>
      </c>
      <c r="T54" s="5651">
        <v>0.16189999999999999</v>
      </c>
      <c r="U54" s="5651">
        <v>0.1479</v>
      </c>
      <c r="V54" s="5651">
        <v>0.15484999999999999</v>
      </c>
      <c r="W54" s="5651">
        <v>0.10335</v>
      </c>
      <c r="X54" s="5651">
        <v>0.12365</v>
      </c>
      <c r="Y54" s="5651">
        <v>0.1595</v>
      </c>
      <c r="Z54" s="5651">
        <v>0.17854999999999999</v>
      </c>
      <c r="AA54" s="5651">
        <v>0.21870000000000001</v>
      </c>
      <c r="AB54" s="5651">
        <v>0.11215</v>
      </c>
      <c r="AC54" s="5651">
        <v>0.12035</v>
      </c>
      <c r="AD54" s="5651">
        <v>0.13314999999999999</v>
      </c>
      <c r="AE54" s="5651">
        <f t="shared" si="59"/>
        <v>1.7461500000000001</v>
      </c>
      <c r="AF54" s="5651">
        <f t="shared" si="60"/>
        <v>0.14551250000000002</v>
      </c>
      <c r="AH54" s="5651">
        <v>0.13535</v>
      </c>
      <c r="AI54" s="5651">
        <v>0.21145</v>
      </c>
      <c r="AJ54" s="5651">
        <v>0.24890000000000001</v>
      </c>
      <c r="AK54" s="5651">
        <v>0.18280000000000002</v>
      </c>
      <c r="AL54" s="5651">
        <v>0.17695</v>
      </c>
      <c r="AM54" s="5651">
        <v>0.37505000000000005</v>
      </c>
      <c r="AN54" s="5651">
        <v>0.27825</v>
      </c>
      <c r="AO54" s="5651">
        <v>0.16739999999999999</v>
      </c>
      <c r="AP54" s="5651">
        <v>0.16514999999999999</v>
      </c>
      <c r="AQ54" s="5651">
        <v>0.12955</v>
      </c>
      <c r="AR54" s="5651">
        <v>0.29749999999999999</v>
      </c>
      <c r="AS54" s="5651">
        <v>0.23230000000000001</v>
      </c>
      <c r="AT54" s="5651">
        <f t="shared" si="4"/>
        <v>2.6006499999999999</v>
      </c>
      <c r="AU54" s="5651">
        <f t="shared" si="61"/>
        <v>0.21672083333333333</v>
      </c>
      <c r="AW54" s="5651">
        <v>0.19625000000000001</v>
      </c>
      <c r="AX54" s="5651">
        <v>0.14080000000000001</v>
      </c>
      <c r="AY54" s="5651"/>
      <c r="AZ54" s="5651"/>
      <c r="BA54" s="5651"/>
      <c r="BB54" s="5651"/>
      <c r="BC54" s="5651"/>
      <c r="BD54" s="5651"/>
      <c r="BE54" s="5651"/>
      <c r="BF54" s="5651"/>
      <c r="BG54" s="5651"/>
      <c r="BH54" s="5651"/>
      <c r="BI54" s="5651">
        <f t="shared" si="23"/>
        <v>0.33705000000000002</v>
      </c>
      <c r="BJ54" s="5651">
        <f t="shared" si="62"/>
        <v>0.16852500000000001</v>
      </c>
      <c r="BL54" s="3286">
        <f t="shared" si="8"/>
        <v>-7.0649999999999991E-2</v>
      </c>
      <c r="BM54" s="3286">
        <f t="shared" si="9"/>
        <v>-4.8195833333333327E-2</v>
      </c>
      <c r="BN54" s="4773">
        <f>IFERROR(
  SUM(
    _xlfn.XLOOKUP(DATE(YEAR($A$1),1,1),$2:$2,54:54):
    _xlfn.XLOOKUP($A$1,$2:$2,54:54)
  )
 -SUM(
    _xlfn.XLOOKUP(DATE(YEAR($A$1)-1,1,1),$2:$2,54:54):
    _xlfn.XLOOKUP(EDATE($A$1,-12),$2:$2,54:54)
  ),"")</f>
        <v>-9.7499999999999809E-3</v>
      </c>
      <c r="BO54" s="2860">
        <f t="shared" si="10"/>
        <v>-5.5449999999999999E-2</v>
      </c>
    </row>
    <row r="55" spans="1:67" x14ac:dyDescent="0.55000000000000004">
      <c r="A55" s="7491"/>
      <c r="B55" s="2771" t="s">
        <v>742</v>
      </c>
      <c r="C55" s="559" t="s">
        <v>672</v>
      </c>
      <c r="D55" s="905"/>
      <c r="E55" s="905"/>
      <c r="F55" s="905"/>
      <c r="G55" s="905"/>
      <c r="H55" s="905"/>
      <c r="I55" s="905"/>
      <c r="J55" s="905"/>
      <c r="K55" s="905"/>
      <c r="L55" s="905"/>
      <c r="M55" s="905"/>
      <c r="N55" s="905"/>
      <c r="O55" s="905"/>
      <c r="P55" s="905">
        <f>SUM(D55:O55)</f>
        <v>0</v>
      </c>
      <c r="Q55" s="905" t="e">
        <f>AVERAGE(D55:O55)</f>
        <v>#DIV/0!</v>
      </c>
      <c r="R55" s="5647"/>
      <c r="S55" s="905"/>
      <c r="T55" s="905"/>
      <c r="U55" s="905"/>
      <c r="V55" s="905"/>
      <c r="W55" s="905"/>
      <c r="X55" s="905"/>
      <c r="Y55" s="905">
        <v>3370</v>
      </c>
      <c r="Z55" s="905">
        <v>7270</v>
      </c>
      <c r="AA55" s="905">
        <v>12950</v>
      </c>
      <c r="AB55" s="905">
        <v>5160</v>
      </c>
      <c r="AC55" s="905">
        <v>12250</v>
      </c>
      <c r="AD55" s="905">
        <v>5000</v>
      </c>
      <c r="AE55" s="905">
        <f>SUM(S55:AD55)</f>
        <v>46000</v>
      </c>
      <c r="AF55" s="905">
        <f>AVERAGE(S55:AD55)</f>
        <v>7666.666666666667</v>
      </c>
      <c r="AG55" s="5647"/>
      <c r="AH55" s="5648">
        <v>14985</v>
      </c>
      <c r="AI55" s="5648">
        <v>11220</v>
      </c>
      <c r="AJ55" s="5648">
        <v>10670</v>
      </c>
      <c r="AK55" s="5648">
        <v>3760</v>
      </c>
      <c r="AL55" s="5648">
        <v>4770</v>
      </c>
      <c r="AM55" s="5648">
        <v>7280</v>
      </c>
      <c r="AN55" s="5648">
        <v>2640</v>
      </c>
      <c r="AO55" s="5648">
        <v>2250</v>
      </c>
      <c r="AP55" s="5648">
        <v>1820</v>
      </c>
      <c r="AQ55" s="5648">
        <v>1670</v>
      </c>
      <c r="AR55" s="5648">
        <v>2030</v>
      </c>
      <c r="AS55" s="5648">
        <v>700</v>
      </c>
      <c r="AT55" s="905">
        <f t="shared" si="4"/>
        <v>63795</v>
      </c>
      <c r="AU55" s="905">
        <f>AVERAGE(AH55:AS55)</f>
        <v>5316.25</v>
      </c>
      <c r="AV55" s="5647"/>
      <c r="AW55" s="5648">
        <v>1030</v>
      </c>
      <c r="AX55" s="5648">
        <v>215</v>
      </c>
      <c r="AY55" s="5648"/>
      <c r="AZ55" s="5648"/>
      <c r="BA55" s="5648"/>
      <c r="BB55" s="5648"/>
      <c r="BC55" s="5648"/>
      <c r="BD55" s="5648"/>
      <c r="BE55" s="5648"/>
      <c r="BF55" s="5648"/>
      <c r="BG55" s="5648"/>
      <c r="BH55" s="5648"/>
      <c r="BI55" s="905">
        <f t="shared" si="23"/>
        <v>1245</v>
      </c>
      <c r="BJ55" s="905">
        <f>AVERAGE(AW55:BH55)</f>
        <v>622.5</v>
      </c>
      <c r="BL55" s="3286">
        <f t="shared" si="8"/>
        <v>-11005</v>
      </c>
      <c r="BM55" s="3286">
        <f t="shared" si="9"/>
        <v>-4693.75</v>
      </c>
      <c r="BN55" s="4773">
        <f>IFERROR(
  SUM(
    _xlfn.XLOOKUP(DATE(YEAR($A$1),1,1),$2:$2,55:55):
    _xlfn.XLOOKUP($A$1,$2:$2,55:55)
  )
 -SUM(
    _xlfn.XLOOKUP(DATE(YEAR($A$1)-1,1,1),$2:$2,55:55):
    _xlfn.XLOOKUP(EDATE($A$1,-12),$2:$2,55:55)
  ),"")</f>
        <v>-24960</v>
      </c>
      <c r="BO55" s="2860">
        <f t="shared" si="10"/>
        <v>-815</v>
      </c>
    </row>
    <row r="56" spans="1:67" x14ac:dyDescent="0.55000000000000004">
      <c r="A56" s="7492"/>
      <c r="B56" s="2771"/>
      <c r="C56" s="559" t="s">
        <v>1066</v>
      </c>
      <c r="P56" s="5649">
        <f t="shared" ref="P56:P57" si="63">SUM(D56:O56)</f>
        <v>0</v>
      </c>
      <c r="Q56" s="5649" t="e">
        <f t="shared" ref="Q56:Q57" si="64">AVERAGE(D56:O56)</f>
        <v>#DIV/0!</v>
      </c>
      <c r="S56" s="5649"/>
      <c r="T56" s="5649"/>
      <c r="U56" s="5649"/>
      <c r="V56" s="5649"/>
      <c r="W56" s="5649"/>
      <c r="X56" s="5649"/>
      <c r="Y56" s="5649">
        <v>0.25949</v>
      </c>
      <c r="Z56" s="5649">
        <v>0.55979000000000001</v>
      </c>
      <c r="AA56" s="5649">
        <v>0.99714999999999998</v>
      </c>
      <c r="AB56" s="5649">
        <v>0.39732000000000001</v>
      </c>
      <c r="AC56" s="5649">
        <v>0.94325000000000003</v>
      </c>
      <c r="AD56" s="5649">
        <v>0.38500000000000001</v>
      </c>
      <c r="AE56" s="5649">
        <f t="shared" ref="AE56:AE57" si="65">SUM(S56:AD56)</f>
        <v>3.5419999999999998</v>
      </c>
      <c r="AF56" s="5649">
        <f t="shared" ref="AF56:AF57" si="66">AVERAGE(S56:AD56)</f>
        <v>0.59033333333333327</v>
      </c>
      <c r="AH56" s="5649">
        <v>1.153845</v>
      </c>
      <c r="AI56" s="5649">
        <v>0.86394000000000004</v>
      </c>
      <c r="AJ56" s="5649">
        <v>0.82159000000000004</v>
      </c>
      <c r="AK56" s="5649">
        <v>0.28952</v>
      </c>
      <c r="AL56" s="5649">
        <v>0.36729000000000001</v>
      </c>
      <c r="AM56" s="5649">
        <v>0.56055999999999995</v>
      </c>
      <c r="AN56" s="5649">
        <v>0.20327999999999999</v>
      </c>
      <c r="AO56" s="5649">
        <v>0.17324999999999999</v>
      </c>
      <c r="AP56" s="5649">
        <v>0.14013999999999999</v>
      </c>
      <c r="AQ56" s="5649">
        <v>0.12859000000000001</v>
      </c>
      <c r="AR56" s="5649">
        <v>0.15631</v>
      </c>
      <c r="AS56" s="5649">
        <v>5.3900000000000003E-2</v>
      </c>
      <c r="AT56" s="5649">
        <f t="shared" si="4"/>
        <v>4.9122150000000007</v>
      </c>
      <c r="AU56" s="5649">
        <f t="shared" ref="AU56:AU57" si="67">AVERAGE(AH56:AS56)</f>
        <v>0.40935125000000006</v>
      </c>
      <c r="AW56" s="5649">
        <v>7.9310000000000005E-2</v>
      </c>
      <c r="AX56" s="5649">
        <v>1.6555E-2</v>
      </c>
      <c r="AY56" s="5649"/>
      <c r="AZ56" s="5649"/>
      <c r="BA56" s="5649"/>
      <c r="BB56" s="5649"/>
      <c r="BC56" s="5649"/>
      <c r="BD56" s="5649"/>
      <c r="BE56" s="5649"/>
      <c r="BF56" s="5649"/>
      <c r="BG56" s="5649"/>
      <c r="BH56" s="5649"/>
      <c r="BI56" s="5649">
        <f t="shared" si="23"/>
        <v>9.5865000000000006E-2</v>
      </c>
      <c r="BJ56" s="5649">
        <f t="shared" ref="BJ56:BJ57" si="68">AVERAGE(AW56:BH56)</f>
        <v>4.7932500000000003E-2</v>
      </c>
      <c r="BL56" s="3286">
        <f t="shared" si="8"/>
        <v>-0.84738500000000005</v>
      </c>
      <c r="BM56" s="3286">
        <f t="shared" si="9"/>
        <v>-0.36141875000000007</v>
      </c>
      <c r="BN56" s="4773">
        <f>IFERROR(
  SUM(
    _xlfn.XLOOKUP(DATE(YEAR($A$1),1,1),$2:$2,56:56):
    _xlfn.XLOOKUP($A$1,$2:$2,56:56)
  )
 -SUM(
    _xlfn.XLOOKUP(DATE(YEAR($A$1)-1,1,1),$2:$2,56:56):
    _xlfn.XLOOKUP(EDATE($A$1,-12),$2:$2,56:56)
  ),"")</f>
        <v>-1.9219199999999999</v>
      </c>
      <c r="BO56" s="2860">
        <f t="shared" si="10"/>
        <v>-6.2755000000000005E-2</v>
      </c>
    </row>
    <row r="57" spans="1:67" ht="15.45" thickBot="1" x14ac:dyDescent="0.6">
      <c r="A57" s="7495"/>
      <c r="B57" s="1148"/>
      <c r="C57" s="1046" t="s">
        <v>1068</v>
      </c>
      <c r="D57" s="1046"/>
      <c r="E57" s="1046"/>
      <c r="F57" s="1046"/>
      <c r="G57" s="1046"/>
      <c r="H57" s="1046"/>
      <c r="I57" s="1046"/>
      <c r="J57" s="1046"/>
      <c r="K57" s="1046"/>
      <c r="L57" s="1046"/>
      <c r="M57" s="1046"/>
      <c r="N57" s="1046"/>
      <c r="O57" s="1046"/>
      <c r="P57" s="5656">
        <f t="shared" si="63"/>
        <v>0</v>
      </c>
      <c r="Q57" s="5656" t="e">
        <f t="shared" si="64"/>
        <v>#DIV/0!</v>
      </c>
      <c r="S57" s="5656">
        <v>0</v>
      </c>
      <c r="T57" s="5656">
        <v>0</v>
      </c>
      <c r="U57" s="5656">
        <v>0</v>
      </c>
      <c r="V57" s="5656">
        <v>0</v>
      </c>
      <c r="W57" s="5656">
        <v>0</v>
      </c>
      <c r="X57" s="5656">
        <v>0</v>
      </c>
      <c r="Y57" s="5656">
        <v>0.16850000000000001</v>
      </c>
      <c r="Z57" s="5656">
        <v>0.36349999999999999</v>
      </c>
      <c r="AA57" s="5656">
        <v>0.64749999999999996</v>
      </c>
      <c r="AB57" s="5656">
        <v>0.25800000000000001</v>
      </c>
      <c r="AC57" s="5656">
        <v>0.61250000000000004</v>
      </c>
      <c r="AD57" s="5656">
        <v>0.25</v>
      </c>
      <c r="AE57" s="5656">
        <f t="shared" si="65"/>
        <v>2.2999999999999998</v>
      </c>
      <c r="AF57" s="5656">
        <f t="shared" si="66"/>
        <v>0.19166666666666665</v>
      </c>
      <c r="AH57" s="5656">
        <v>0.74924999999999997</v>
      </c>
      <c r="AI57" s="5656">
        <v>0.56100000000000005</v>
      </c>
      <c r="AJ57" s="5656">
        <v>0.53349999999999997</v>
      </c>
      <c r="AK57" s="5656">
        <v>0.188</v>
      </c>
      <c r="AL57" s="5656">
        <v>0.23850000000000002</v>
      </c>
      <c r="AM57" s="5656">
        <v>0.36399999999999999</v>
      </c>
      <c r="AN57" s="5656">
        <v>0.13200000000000001</v>
      </c>
      <c r="AO57" s="5656">
        <v>0.1125</v>
      </c>
      <c r="AP57" s="5656">
        <v>9.0999999999999998E-2</v>
      </c>
      <c r="AQ57" s="5656">
        <v>8.3500000000000005E-2</v>
      </c>
      <c r="AR57" s="5656">
        <v>0.10150000000000001</v>
      </c>
      <c r="AS57" s="5656">
        <v>3.5000000000000003E-2</v>
      </c>
      <c r="AT57" s="5656">
        <f t="shared" si="4"/>
        <v>3.1897500000000005</v>
      </c>
      <c r="AU57" s="5656">
        <f t="shared" si="67"/>
        <v>0.26581250000000006</v>
      </c>
      <c r="AW57" s="5656">
        <v>5.1499999999999997E-2</v>
      </c>
      <c r="AX57" s="5656">
        <v>1.0749999999999999E-2</v>
      </c>
      <c r="AY57" s="5656"/>
      <c r="AZ57" s="5656"/>
      <c r="BA57" s="5656"/>
      <c r="BB57" s="5656"/>
      <c r="BC57" s="5656"/>
      <c r="BD57" s="5656"/>
      <c r="BE57" s="5656"/>
      <c r="BF57" s="5656"/>
      <c r="BG57" s="5656"/>
      <c r="BH57" s="5656"/>
      <c r="BI57" s="5656">
        <f t="shared" si="23"/>
        <v>6.225E-2</v>
      </c>
      <c r="BJ57" s="5656">
        <f t="shared" si="68"/>
        <v>3.1125E-2</v>
      </c>
      <c r="BL57" s="3286">
        <f t="shared" si="8"/>
        <v>-0.55025000000000002</v>
      </c>
      <c r="BM57" s="3286">
        <f t="shared" si="9"/>
        <v>-0.23468750000000005</v>
      </c>
      <c r="BN57" s="4773">
        <f>IFERROR(
  SUM(
    _xlfn.XLOOKUP(DATE(YEAR($A$1),1,1),$2:$2,57:57):
    _xlfn.XLOOKUP($A$1,$2:$2,57:57)
  )
 -SUM(
    _xlfn.XLOOKUP(DATE(YEAR($A$1)-1,1,1),$2:$2,57:57):
    _xlfn.XLOOKUP(EDATE($A$1,-12),$2:$2,57:57)
  ),"")</f>
        <v>-1.248</v>
      </c>
      <c r="BO57" s="2860">
        <f t="shared" si="10"/>
        <v>-4.0749999999999995E-2</v>
      </c>
    </row>
    <row r="58" spans="1:67" x14ac:dyDescent="0.55000000000000004">
      <c r="BL58" s="3286"/>
      <c r="BM58" s="3286"/>
      <c r="BN58" s="4773"/>
      <c r="BO58" s="2860"/>
    </row>
    <row r="59" spans="1:67" x14ac:dyDescent="0.55000000000000004">
      <c r="BL59" s="3286"/>
      <c r="BM59" s="3286"/>
      <c r="BN59" s="4773"/>
      <c r="BO59" s="2860"/>
    </row>
  </sheetData>
  <mergeCells count="5">
    <mergeCell ref="A4:A11"/>
    <mergeCell ref="A13:A22"/>
    <mergeCell ref="A24:A35"/>
    <mergeCell ref="A37:A38"/>
    <mergeCell ref="A40:A57"/>
  </mergeCells>
  <phoneticPr fontId="1" type="noConversion"/>
  <conditionalFormatting sqref="R4:R38">
    <cfRule type="cellIs" dxfId="1" priority="3" operator="equal">
      <formula>FALSE</formula>
    </cfRule>
  </conditionalFormatting>
  <pageMargins left="0.25" right="0.25" top="0.75" bottom="0.75" header="0.3" footer="0.3"/>
  <pageSetup paperSize="9" scale="3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C6F9-671C-459D-A170-F04D2EB7CFA0}">
  <sheetPr codeName="Sheet27">
    <tabColor theme="9" tint="0.79998168889431442"/>
  </sheetPr>
  <dimension ref="A1:BO139"/>
  <sheetViews>
    <sheetView showGridLines="0" zoomScale="40" zoomScaleNormal="40" workbookViewId="0">
      <pane xSplit="3" topLeftCell="AN1" activePane="topRight" state="frozen"/>
      <selection activeCell="V54" sqref="V54"/>
      <selection pane="topRight" activeCell="BL1" sqref="BL1:BO1"/>
    </sheetView>
  </sheetViews>
  <sheetFormatPr defaultColWidth="9.140625" defaultRowHeight="15" outlineLevelCol="1" x14ac:dyDescent="0.55000000000000004"/>
  <cols>
    <col min="1" max="1" width="20.2109375" style="559" customWidth="1"/>
    <col min="2" max="2" width="17.0703125" style="559" customWidth="1"/>
    <col min="3" max="3" width="21.7109375" style="559" customWidth="1"/>
    <col min="4" max="15" width="8.5703125" style="559" customWidth="1" outlineLevel="1"/>
    <col min="16" max="16" width="17.2109375" style="559" bestFit="1" customWidth="1"/>
    <col min="17" max="17" width="15.2109375" style="559" bestFit="1" customWidth="1"/>
    <col min="18" max="18" width="6.0703125" style="559" customWidth="1"/>
    <col min="19" max="19" width="12.0703125" style="559" hidden="1" customWidth="1" outlineLevel="1"/>
    <col min="20" max="22" width="11.640625" style="559" hidden="1" customWidth="1" outlineLevel="1"/>
    <col min="23" max="26" width="12.0703125" style="559" hidden="1" customWidth="1" outlineLevel="1"/>
    <col min="27" max="28" width="13.2109375" style="559" hidden="1" customWidth="1" outlineLevel="1"/>
    <col min="29" max="29" width="12.85546875" style="559" hidden="1" customWidth="1" outlineLevel="1"/>
    <col min="30" max="30" width="13.2109375" style="559" hidden="1" customWidth="1" outlineLevel="1"/>
    <col min="31" max="31" width="13.0703125" style="559" customWidth="1" collapsed="1"/>
    <col min="32" max="32" width="11.640625" style="559" bestFit="1" customWidth="1"/>
    <col min="33" max="33" width="5.35546875" style="559" customWidth="1"/>
    <col min="34" max="35" width="11.640625" style="559" customWidth="1" outlineLevel="1"/>
    <col min="36" max="36" width="12.0703125" style="559" customWidth="1" outlineLevel="1"/>
    <col min="37" max="38" width="11.640625" style="559" customWidth="1" outlineLevel="1"/>
    <col min="39" max="41" width="12.0703125" style="559" customWidth="1" outlineLevel="1"/>
    <col min="42" max="43" width="13.2109375" style="559" customWidth="1" outlineLevel="1"/>
    <col min="44" max="45" width="12.0703125" style="559" customWidth="1" outlineLevel="1"/>
    <col min="46" max="46" width="13.0703125" style="559" customWidth="1"/>
    <col min="47" max="47" width="12.0703125" style="559" bestFit="1" customWidth="1"/>
    <col min="48" max="48" width="5.35546875" style="559" customWidth="1"/>
    <col min="49" max="50" width="11.640625" style="559" bestFit="1" customWidth="1"/>
    <col min="51" max="51" width="12.0703125" style="559" bestFit="1" customWidth="1"/>
    <col min="52" max="53" width="11.640625" style="559" bestFit="1" customWidth="1"/>
    <col min="54" max="56" width="12.0703125" style="559" bestFit="1" customWidth="1"/>
    <col min="57" max="58" width="13.2109375" style="559" bestFit="1" customWidth="1"/>
    <col min="59" max="60" width="12.0703125" style="559" bestFit="1" customWidth="1"/>
    <col min="61" max="61" width="13.0703125" style="559" customWidth="1"/>
    <col min="62" max="62" width="12.0703125" style="559" bestFit="1" customWidth="1"/>
    <col min="63" max="63" width="5.35546875" style="559" customWidth="1"/>
    <col min="64" max="64" width="13.2109375" style="559" customWidth="1"/>
    <col min="65" max="65" width="13.5703125" style="559" customWidth="1"/>
    <col min="66" max="66" width="20.35546875" style="559" customWidth="1"/>
    <col min="67" max="67" width="12.140625" style="559" customWidth="1"/>
    <col min="68" max="16384" width="9.140625" style="559"/>
  </cols>
  <sheetData>
    <row r="1" spans="1:67" x14ac:dyDescent="0.55000000000000004">
      <c r="A1" s="4516">
        <f>'0. 개요'!AE2</f>
        <v>46054</v>
      </c>
      <c r="B1" s="4393">
        <f>'※ 영기팀 작성_가입자'!B1</f>
        <v>11.000999999999999</v>
      </c>
      <c r="BI1" s="559" t="str">
        <f t="shared" ref="BI1:BJ1" si="0">SUBSTITUTE(ADDRESS(1,COLUMN(),4),"1","")</f>
        <v>BI</v>
      </c>
      <c r="BJ1" s="559" t="str">
        <f t="shared" si="0"/>
        <v>BJ</v>
      </c>
      <c r="BL1" s="559" t="str">
        <f>SUBSTITUTE(ADDRESS(1,COLUMN(),4),"1","")</f>
        <v>BL</v>
      </c>
      <c r="BM1" s="559" t="str">
        <f>SUBSTITUTE(ADDRESS(1,COLUMN(),4),"1","")</f>
        <v>BM</v>
      </c>
      <c r="BN1" s="559" t="str">
        <f t="shared" ref="BN1:BO1" si="1">SUBSTITUTE(ADDRESS(1,COLUMN(),4),"1","")</f>
        <v>BN</v>
      </c>
      <c r="BO1" s="559" t="str">
        <f t="shared" si="1"/>
        <v>BO</v>
      </c>
    </row>
    <row r="2" spans="1:67" ht="15.45" thickBot="1" x14ac:dyDescent="0.6">
      <c r="D2" s="3286">
        <v>1.0009999999999999</v>
      </c>
      <c r="E2" s="3286">
        <v>2.0009999999999999</v>
      </c>
      <c r="F2" s="3286">
        <v>3.0009999999999999</v>
      </c>
      <c r="G2" s="3286">
        <v>4.0010000000000003</v>
      </c>
      <c r="H2" s="3286">
        <v>5.0010000000000003</v>
      </c>
      <c r="I2" s="3286">
        <v>6.0010000000000003</v>
      </c>
      <c r="J2" s="3286">
        <v>7.0010000000000003</v>
      </c>
      <c r="K2" s="3286">
        <v>8.0009999999999994</v>
      </c>
      <c r="L2" s="3286">
        <v>9.0009999999999994</v>
      </c>
      <c r="M2" s="3286">
        <v>10.000999999999999</v>
      </c>
      <c r="N2" s="3286">
        <v>11.000999999999999</v>
      </c>
      <c r="O2" s="3286">
        <v>12.000999999999999</v>
      </c>
      <c r="S2" s="3286">
        <v>1.0009999999999999</v>
      </c>
      <c r="T2" s="3286">
        <v>2.0009999999999999</v>
      </c>
      <c r="U2" s="3286">
        <v>3.0009999999999999</v>
      </c>
      <c r="V2" s="3286">
        <v>4.0010000000000003</v>
      </c>
      <c r="W2" s="3286">
        <v>5.0010000000000003</v>
      </c>
      <c r="X2" s="3286">
        <v>6.0010000000000003</v>
      </c>
      <c r="Y2" s="3286">
        <v>7.0010000000000003</v>
      </c>
      <c r="Z2" s="3286">
        <v>8.0009999999999994</v>
      </c>
      <c r="AA2" s="3286">
        <v>9.0009999999999994</v>
      </c>
      <c r="AB2" s="3286">
        <v>10.000999999999999</v>
      </c>
      <c r="AC2" s="3286">
        <v>11.000999999999999</v>
      </c>
      <c r="AD2" s="3286">
        <v>12.000999999999999</v>
      </c>
      <c r="AH2" s="5616">
        <v>45658</v>
      </c>
      <c r="AI2" s="5616">
        <v>45689</v>
      </c>
      <c r="AJ2" s="5616">
        <v>45717</v>
      </c>
      <c r="AK2" s="5616">
        <v>45748</v>
      </c>
      <c r="AL2" s="5616">
        <v>45778</v>
      </c>
      <c r="AM2" s="5616">
        <v>45809</v>
      </c>
      <c r="AN2" s="5616">
        <v>45839</v>
      </c>
      <c r="AO2" s="5616">
        <v>45870</v>
      </c>
      <c r="AP2" s="5616">
        <v>45901</v>
      </c>
      <c r="AQ2" s="5616">
        <v>45931</v>
      </c>
      <c r="AR2" s="5616">
        <v>45962</v>
      </c>
      <c r="AS2" s="5616">
        <v>45992</v>
      </c>
      <c r="AW2" s="4477">
        <v>46023</v>
      </c>
      <c r="AX2" s="4477">
        <v>46054</v>
      </c>
      <c r="AY2" s="4477">
        <v>46082</v>
      </c>
      <c r="AZ2" s="4477">
        <v>46113</v>
      </c>
      <c r="BA2" s="4477">
        <v>46143</v>
      </c>
      <c r="BB2" s="4477">
        <v>46174</v>
      </c>
      <c r="BC2" s="4477">
        <v>46204</v>
      </c>
      <c r="BD2" s="4477">
        <v>46235</v>
      </c>
      <c r="BE2" s="4477">
        <v>46266</v>
      </c>
      <c r="BF2" s="4477">
        <v>46296</v>
      </c>
      <c r="BG2" s="4477">
        <v>46327</v>
      </c>
      <c r="BH2" s="4477">
        <v>46357</v>
      </c>
    </row>
    <row r="3" spans="1:67" ht="16.75" thickBot="1" x14ac:dyDescent="0.6">
      <c r="B3" s="567"/>
      <c r="C3" s="567"/>
      <c r="D3" s="4534" t="s">
        <v>621</v>
      </c>
      <c r="E3" s="4534" t="s">
        <v>622</v>
      </c>
      <c r="F3" s="4534" t="s">
        <v>623</v>
      </c>
      <c r="G3" s="4534" t="s">
        <v>624</v>
      </c>
      <c r="H3" s="4534" t="s">
        <v>625</v>
      </c>
      <c r="I3" s="4534" t="s">
        <v>626</v>
      </c>
      <c r="J3" s="4534" t="s">
        <v>627</v>
      </c>
      <c r="K3" s="4534" t="s">
        <v>628</v>
      </c>
      <c r="L3" s="4534" t="s">
        <v>629</v>
      </c>
      <c r="M3" s="4534" t="s">
        <v>630</v>
      </c>
      <c r="N3" s="4534" t="s">
        <v>631</v>
      </c>
      <c r="O3" s="4534" t="s">
        <v>632</v>
      </c>
      <c r="P3" s="4534" t="s">
        <v>393</v>
      </c>
      <c r="Q3" s="4534" t="s">
        <v>610</v>
      </c>
      <c r="S3" s="4533" t="s">
        <v>2</v>
      </c>
      <c r="T3" s="4533" t="s">
        <v>608</v>
      </c>
      <c r="U3" s="4533" t="s">
        <v>503</v>
      </c>
      <c r="V3" s="4533" t="s">
        <v>341</v>
      </c>
      <c r="W3" s="4533" t="s">
        <v>342</v>
      </c>
      <c r="X3" s="4533" t="s">
        <v>343</v>
      </c>
      <c r="Y3" s="4533" t="s">
        <v>344</v>
      </c>
      <c r="Z3" s="4533" t="s">
        <v>345</v>
      </c>
      <c r="AA3" s="4838" t="s">
        <v>346</v>
      </c>
      <c r="AB3" s="4838" t="s">
        <v>347</v>
      </c>
      <c r="AC3" s="4838" t="s">
        <v>348</v>
      </c>
      <c r="AD3" s="4838" t="s">
        <v>349</v>
      </c>
      <c r="AE3" s="5935" t="s">
        <v>609</v>
      </c>
      <c r="AF3" s="5936" t="s">
        <v>610</v>
      </c>
      <c r="AH3" s="5938" t="s">
        <v>940</v>
      </c>
      <c r="AI3" s="5939" t="s">
        <v>942</v>
      </c>
      <c r="AJ3" s="5939" t="s">
        <v>944</v>
      </c>
      <c r="AK3" s="5939" t="s">
        <v>945</v>
      </c>
      <c r="AL3" s="5939" t="s">
        <v>946</v>
      </c>
      <c r="AM3" s="5939" t="s">
        <v>947</v>
      </c>
      <c r="AN3" s="5939" t="s">
        <v>948</v>
      </c>
      <c r="AO3" s="5939" t="s">
        <v>949</v>
      </c>
      <c r="AP3" s="5939" t="s">
        <v>950</v>
      </c>
      <c r="AQ3" s="5939" t="s">
        <v>951</v>
      </c>
      <c r="AR3" s="5939" t="s">
        <v>952</v>
      </c>
      <c r="AS3" s="5939" t="s">
        <v>953</v>
      </c>
      <c r="AT3" s="5940" t="s">
        <v>956</v>
      </c>
      <c r="AU3" s="5936" t="s">
        <v>610</v>
      </c>
      <c r="AW3" s="5938" t="s">
        <v>1122</v>
      </c>
      <c r="AX3" s="5939" t="s">
        <v>1072</v>
      </c>
      <c r="AY3" s="5939" t="s">
        <v>1073</v>
      </c>
      <c r="AZ3" s="5939" t="s">
        <v>1074</v>
      </c>
      <c r="BA3" s="5939" t="s">
        <v>1075</v>
      </c>
      <c r="BB3" s="5939" t="s">
        <v>1076</v>
      </c>
      <c r="BC3" s="5939" t="s">
        <v>1077</v>
      </c>
      <c r="BD3" s="5939" t="s">
        <v>1078</v>
      </c>
      <c r="BE3" s="5939" t="s">
        <v>1079</v>
      </c>
      <c r="BF3" s="5939" t="s">
        <v>1080</v>
      </c>
      <c r="BG3" s="5939" t="s">
        <v>1081</v>
      </c>
      <c r="BH3" s="5939" t="s">
        <v>1082</v>
      </c>
      <c r="BI3" s="5940" t="s">
        <v>1154</v>
      </c>
      <c r="BJ3" s="5936" t="s">
        <v>610</v>
      </c>
      <c r="BL3" s="2855" t="s">
        <v>444</v>
      </c>
      <c r="BM3" s="2855" t="s">
        <v>445</v>
      </c>
      <c r="BN3" s="2856" t="s">
        <v>450</v>
      </c>
      <c r="BO3" s="4481" t="s">
        <v>130</v>
      </c>
    </row>
    <row r="4" spans="1:67" ht="15.45" thickTop="1" x14ac:dyDescent="0.55000000000000004">
      <c r="A4" s="7178" t="s">
        <v>132</v>
      </c>
      <c r="B4" s="857" t="s">
        <v>519</v>
      </c>
      <c r="C4" s="857" t="s">
        <v>520</v>
      </c>
      <c r="D4" s="857">
        <v>664</v>
      </c>
      <c r="E4" s="857">
        <v>592</v>
      </c>
      <c r="F4" s="857">
        <v>1199</v>
      </c>
      <c r="G4" s="857">
        <v>1001</v>
      </c>
      <c r="H4" s="857">
        <v>995</v>
      </c>
      <c r="I4" s="857">
        <v>1089</v>
      </c>
      <c r="J4" s="857">
        <v>905</v>
      </c>
      <c r="K4" s="857">
        <v>699</v>
      </c>
      <c r="L4" s="857">
        <v>610</v>
      </c>
      <c r="M4" s="857">
        <v>621</v>
      </c>
      <c r="N4" s="857">
        <v>570</v>
      </c>
      <c r="O4" s="857">
        <v>586</v>
      </c>
      <c r="P4" s="5658">
        <v>9531</v>
      </c>
      <c r="Q4" s="5659">
        <v>794.25</v>
      </c>
      <c r="S4" s="5660">
        <v>588</v>
      </c>
      <c r="T4" s="5661">
        <v>542</v>
      </c>
      <c r="U4" s="5661">
        <v>499</v>
      </c>
      <c r="V4" s="5661">
        <v>480</v>
      </c>
      <c r="W4" s="5661">
        <v>425</v>
      </c>
      <c r="X4" s="5662">
        <v>360</v>
      </c>
      <c r="Y4" s="5662">
        <v>458</v>
      </c>
      <c r="Z4" s="5663">
        <v>457</v>
      </c>
      <c r="AA4" s="5664">
        <v>401</v>
      </c>
      <c r="AB4" s="5664">
        <v>506</v>
      </c>
      <c r="AC4" s="5664">
        <v>438</v>
      </c>
      <c r="AD4" s="5665">
        <v>401</v>
      </c>
      <c r="AE4" s="5933">
        <v>5555</v>
      </c>
      <c r="AF4" s="5934">
        <v>462.91666666666669</v>
      </c>
      <c r="AH4" s="2965">
        <v>380</v>
      </c>
      <c r="AI4" s="2961">
        <v>426</v>
      </c>
      <c r="AJ4" s="2961">
        <v>345</v>
      </c>
      <c r="AK4" s="2961">
        <v>354</v>
      </c>
      <c r="AL4" s="2961">
        <v>350</v>
      </c>
      <c r="AM4" s="5937">
        <v>328</v>
      </c>
      <c r="AN4" s="5937">
        <v>406</v>
      </c>
      <c r="AO4" s="5937">
        <v>359</v>
      </c>
      <c r="AP4" s="5937">
        <v>360</v>
      </c>
      <c r="AQ4" s="5937">
        <v>309</v>
      </c>
      <c r="AR4" s="5670">
        <v>280</v>
      </c>
      <c r="AS4" s="4848">
        <v>313</v>
      </c>
      <c r="AT4" s="5933">
        <f>SUM(AH4:AS4)</f>
        <v>4210</v>
      </c>
      <c r="AU4" s="5934">
        <f>AVERAGE(AH4:AS4)</f>
        <v>350.83333333333331</v>
      </c>
      <c r="AW4" s="2965">
        <v>287</v>
      </c>
      <c r="AX4" s="2961">
        <v>287</v>
      </c>
      <c r="AY4" s="2961"/>
      <c r="AZ4" s="2961"/>
      <c r="BA4" s="2961"/>
      <c r="BB4" s="5937"/>
      <c r="BC4" s="5937"/>
      <c r="BD4" s="5937"/>
      <c r="BE4" s="5937"/>
      <c r="BF4" s="5937"/>
      <c r="BG4" s="5937"/>
      <c r="BH4" s="867"/>
      <c r="BI4" s="5933">
        <f>SUM(AW4:BH4)</f>
        <v>574</v>
      </c>
      <c r="BJ4" s="5934">
        <f>AVERAGE(AW4:BH4)</f>
        <v>287</v>
      </c>
      <c r="BL4" s="3286">
        <f>IFERROR(_xlfn.XLOOKUP($A$1,$2:$2,4:4)-_xlfn.XLOOKUP(EDATE($A$1,-12),$2:$2,4:4),"")</f>
        <v>-139</v>
      </c>
      <c r="BM4" s="3286">
        <f>BJ4-AU4</f>
        <v>-63.833333333333314</v>
      </c>
      <c r="BN4" s="4773">
        <f>IFERROR(
  SUM(
    _xlfn.XLOOKUP(DATE(YEAR($A$1),1,1),$2:$2,4:4):
    _xlfn.XLOOKUP($A$1,$2:$2,4:4)
  )
 -SUM(
    _xlfn.XLOOKUP(DATE(YEAR($A$1)-1,1,1),$2:$2,4:4):
    _xlfn.XLOOKUP(EDATE($A$1,-12),$2:$2,4:4)
  ),"")</f>
        <v>-232</v>
      </c>
      <c r="BO4" s="2860">
        <f>IFERROR(
  _xlfn.XLOOKUP($A$1,$2:$2,4:4)
 -_xlfn.XLOOKUP(EDATE($A$1,-1),$2:$2,4:4),"")</f>
        <v>0</v>
      </c>
    </row>
    <row r="5" spans="1:67" x14ac:dyDescent="0.55000000000000004">
      <c r="A5" s="7471"/>
      <c r="B5" s="5668"/>
      <c r="C5" s="5668" t="s">
        <v>521</v>
      </c>
      <c r="D5" s="5669">
        <v>58058</v>
      </c>
      <c r="E5" s="5669">
        <v>57137.666666666657</v>
      </c>
      <c r="F5" s="5669">
        <v>56186.833333333328</v>
      </c>
      <c r="G5" s="5669">
        <v>56417.833333333336</v>
      </c>
      <c r="H5" s="5669">
        <v>53073.833333333328</v>
      </c>
      <c r="I5" s="5669">
        <v>52903</v>
      </c>
      <c r="J5" s="5669">
        <v>53422.666666666672</v>
      </c>
      <c r="K5" s="5669">
        <v>52967.833333333336</v>
      </c>
      <c r="L5" s="5669">
        <v>53752.333333333336</v>
      </c>
      <c r="M5" s="5669">
        <v>51978.333333333336</v>
      </c>
      <c r="N5" s="5669">
        <v>53782.166666666664</v>
      </c>
      <c r="O5" s="5669">
        <v>52682.5</v>
      </c>
      <c r="P5" s="5658">
        <v>652363</v>
      </c>
      <c r="Q5" s="5669">
        <v>54363.583333333328</v>
      </c>
      <c r="S5" s="2965">
        <v>50992.666666666664</v>
      </c>
      <c r="T5" s="2961">
        <v>53066</v>
      </c>
      <c r="U5" s="2961">
        <v>48436.833333333328</v>
      </c>
      <c r="V5" s="2961">
        <v>48491.25</v>
      </c>
      <c r="W5" s="2961">
        <v>43901.333333333328</v>
      </c>
      <c r="X5" s="2961">
        <v>42564.5</v>
      </c>
      <c r="Y5" s="2961">
        <v>41625</v>
      </c>
      <c r="Z5" s="5670">
        <v>50727</v>
      </c>
      <c r="AA5" s="5671">
        <v>51187</v>
      </c>
      <c r="AB5" s="5671">
        <v>51189</v>
      </c>
      <c r="AC5" s="5671">
        <v>52748</v>
      </c>
      <c r="AD5" s="5672">
        <v>52486</v>
      </c>
      <c r="AE5" s="5670">
        <v>587414.58333333326</v>
      </c>
      <c r="AF5" s="5673">
        <v>48951.215277777774</v>
      </c>
      <c r="AH5" s="2965">
        <v>51825</v>
      </c>
      <c r="AI5" s="2961">
        <v>48544</v>
      </c>
      <c r="AJ5" s="2961">
        <v>51938</v>
      </c>
      <c r="AK5" s="2961">
        <v>51613</v>
      </c>
      <c r="AL5" s="2961">
        <v>53679</v>
      </c>
      <c r="AM5" s="2961">
        <v>60623</v>
      </c>
      <c r="AN5" s="2961">
        <v>64378</v>
      </c>
      <c r="AO5" s="5670">
        <v>71746</v>
      </c>
      <c r="AP5" s="5674">
        <v>69911</v>
      </c>
      <c r="AQ5" s="5670">
        <v>72761</v>
      </c>
      <c r="AR5" s="5670">
        <v>71586</v>
      </c>
      <c r="AS5" s="5675">
        <v>64776</v>
      </c>
      <c r="AT5" s="5670">
        <f>SUM(AH5:AS5)</f>
        <v>733380</v>
      </c>
      <c r="AU5" s="5673">
        <f>AVERAGE(AH5:AS5)</f>
        <v>61115</v>
      </c>
      <c r="AW5" s="2965">
        <v>61920</v>
      </c>
      <c r="AX5" s="2961">
        <v>59827</v>
      </c>
      <c r="AY5" s="2961"/>
      <c r="AZ5" s="2961"/>
      <c r="BA5" s="2961"/>
      <c r="BB5" s="2961"/>
      <c r="BC5" s="2961"/>
      <c r="BD5" s="5670"/>
      <c r="BE5" s="5674"/>
      <c r="BF5" s="5670"/>
      <c r="BG5" s="5670"/>
      <c r="BH5" s="5675"/>
      <c r="BI5" s="5670">
        <f>SUM(AW5:BH5)</f>
        <v>121747</v>
      </c>
      <c r="BJ5" s="5673">
        <f>AVERAGE(AW5:BH5)</f>
        <v>60873.5</v>
      </c>
      <c r="BL5" s="2860">
        <f t="shared" ref="BL5:BL19" si="2">IFERROR(_xlfn.XLOOKUP($A$1,$2:$2,5:5)-_xlfn.XLOOKUP(EDATE($A$1,-12),$2:$2,5:5),"")</f>
        <v>11283</v>
      </c>
      <c r="BM5" s="2860">
        <f>BJ5-AU5</f>
        <v>-241.5</v>
      </c>
      <c r="BN5" s="4564">
        <f>IFERROR(
  SUM(
    _xlfn.XLOOKUP(DATE(YEAR($A$1),1,1),$2:$2,5:5):
    _xlfn.XLOOKUP($A$1,$2:$2,5:5)
  )
 -SUM(
    _xlfn.XLOOKUP(DATE(YEAR($A$1)-1,1,1),$2:$2,5:5):
    _xlfn.XLOOKUP(EDATE($A$1,-12),$2:$2,5:5)
  ),"")</f>
        <v>21378</v>
      </c>
      <c r="BO5" s="590">
        <f t="shared" ref="BO5:BO19" si="3">IFERROR(
  _xlfn.XLOOKUP($A$1,$2:$2,5:5)
 -_xlfn.XLOOKUP(EDATE($A$1,-1),$2:$2,5:5),"")</f>
        <v>-2093</v>
      </c>
    </row>
    <row r="6" spans="1:67" x14ac:dyDescent="0.55000000000000004">
      <c r="A6" s="7471"/>
      <c r="B6" s="5668"/>
      <c r="C6" s="5676" t="s">
        <v>525</v>
      </c>
      <c r="D6" s="5677">
        <v>1.143683902304592E-2</v>
      </c>
      <c r="E6" s="5677">
        <v>1.0360941118818294E-2</v>
      </c>
      <c r="F6" s="5677">
        <v>2.1339519045090637E-2</v>
      </c>
      <c r="G6" s="5677">
        <v>1.7742616843964821E-2</v>
      </c>
      <c r="H6" s="5677">
        <v>1.8747468149715965E-2</v>
      </c>
      <c r="I6" s="5677">
        <v>2.0584843959699829E-2</v>
      </c>
      <c r="J6" s="5677">
        <v>1.6940374872089249E-2</v>
      </c>
      <c r="K6" s="5677">
        <v>1.3196688556262133E-2</v>
      </c>
      <c r="L6" s="5677">
        <v>1.1348344567987745E-2</v>
      </c>
      <c r="M6" s="5677">
        <v>1.1947285728027703E-2</v>
      </c>
      <c r="N6" s="5677">
        <v>1.0598308609111448E-2</v>
      </c>
      <c r="O6" s="5677">
        <v>1.11232382669767E-2</v>
      </c>
      <c r="P6" s="5677">
        <v>1.4609964084413127E-2</v>
      </c>
      <c r="Q6" s="5677">
        <v>1.4609964084413127E-2</v>
      </c>
      <c r="S6" s="5678">
        <v>1.1531069827033953E-2</v>
      </c>
      <c r="T6" s="5679">
        <v>1.0213696151961708E-2</v>
      </c>
      <c r="U6" s="5679">
        <v>1.0302077275902294E-2</v>
      </c>
      <c r="V6" s="5679">
        <v>9.8986930631815018E-3</v>
      </c>
      <c r="W6" s="5679">
        <v>9.6807993682803874E-3</v>
      </c>
      <c r="X6" s="5679">
        <v>8.4577523523123727E-3</v>
      </c>
      <c r="Y6" s="5679">
        <v>1.1003003003003003E-2</v>
      </c>
      <c r="Z6" s="5680">
        <v>9.0090090090090089E-3</v>
      </c>
      <c r="AA6" s="5681">
        <v>7.8340203567312007E-3</v>
      </c>
      <c r="AB6" s="5681">
        <v>9.6782831567269814E-3</v>
      </c>
      <c r="AC6" s="5681">
        <v>8.3036323652081589E-3</v>
      </c>
      <c r="AD6" s="5682">
        <v>7.6401326067903818E-3</v>
      </c>
      <c r="AE6" s="5683">
        <v>9.4566940583560039E-3</v>
      </c>
      <c r="AF6" s="5684">
        <v>9.4566940583560039E-3</v>
      </c>
      <c r="AH6" s="5678">
        <v>7.3323685479980702E-3</v>
      </c>
      <c r="AI6" s="5679">
        <v>8.775543836519446E-3</v>
      </c>
      <c r="AJ6" s="5679">
        <v>6.6425353305864685E-3</v>
      </c>
      <c r="AK6" s="5679">
        <v>6.8587371398678631E-3</v>
      </c>
      <c r="AL6" s="5679">
        <v>6.5202406900277572E-3</v>
      </c>
      <c r="AM6" s="5679">
        <v>5.4104877686686568E-3</v>
      </c>
      <c r="AN6" s="5679">
        <v>6.3065022212557085E-3</v>
      </c>
      <c r="AO6" s="5680">
        <v>5.0037632760014496E-3</v>
      </c>
      <c r="AP6" s="5680">
        <v>5.14940424253694E-3</v>
      </c>
      <c r="AQ6" s="5680">
        <v>4.246780555517379E-3</v>
      </c>
      <c r="AR6" s="5680">
        <v>3.911379319978767E-3</v>
      </c>
      <c r="AS6" s="5685">
        <v>4.8320365567494136E-3</v>
      </c>
      <c r="AT6" s="5683">
        <f>AT4/AT5</f>
        <v>5.7405437835774085E-3</v>
      </c>
      <c r="AU6" s="5684">
        <f t="shared" ref="AU6:AU25" si="4">AT6</f>
        <v>5.7405437835774085E-3</v>
      </c>
      <c r="AW6" s="5678">
        <v>4.6350129198966406E-3</v>
      </c>
      <c r="AX6" s="5679">
        <v>4.7971651595433498E-3</v>
      </c>
      <c r="AY6" s="5679"/>
      <c r="AZ6" s="5679"/>
      <c r="BA6" s="5679"/>
      <c r="BB6" s="5679"/>
      <c r="BC6" s="5679"/>
      <c r="BD6" s="5680"/>
      <c r="BE6" s="5680"/>
      <c r="BF6" s="5680"/>
      <c r="BG6" s="5680"/>
      <c r="BH6" s="5685"/>
      <c r="BI6" s="5683">
        <f>BI4/BI5</f>
        <v>4.7146952286298638E-3</v>
      </c>
      <c r="BJ6" s="5684">
        <f t="shared" ref="BJ6:BJ25" si="5">BI6</f>
        <v>4.7146952286298638E-3</v>
      </c>
      <c r="BL6" s="5686">
        <f t="shared" si="2"/>
        <v>-3.9783786769760961E-3</v>
      </c>
      <c r="BM6" s="5686">
        <f t="shared" ref="BM6:BM66" si="6">BJ6-AU6</f>
        <v>-1.0258485549475447E-3</v>
      </c>
      <c r="BN6" s="5686">
        <f>BM6</f>
        <v>-1.0258485549475447E-3</v>
      </c>
      <c r="BO6" s="2978">
        <f t="shared" si="3"/>
        <v>1.621522396467092E-4</v>
      </c>
    </row>
    <row r="7" spans="1:67" x14ac:dyDescent="0.55000000000000004">
      <c r="A7" s="7471"/>
      <c r="B7" s="1187" t="s">
        <v>19</v>
      </c>
      <c r="C7" s="1188"/>
      <c r="D7" s="5687">
        <v>1.2947958050011924E-2</v>
      </c>
      <c r="E7" s="5687">
        <v>1.1720917329387832E-2</v>
      </c>
      <c r="F7" s="5687">
        <v>2.3824661588079579E-2</v>
      </c>
      <c r="G7" s="5687">
        <v>2.2267045905243237E-2</v>
      </c>
      <c r="H7" s="5687">
        <v>2.1937712566106948E-2</v>
      </c>
      <c r="I7" s="5687">
        <v>2.3283571558764562E-2</v>
      </c>
      <c r="J7" s="5687">
        <v>1.9561986613057455E-2</v>
      </c>
      <c r="K7" s="5687">
        <v>1.541713871920952E-2</v>
      </c>
      <c r="L7" s="5687">
        <v>1.3143142970488297E-2</v>
      </c>
      <c r="M7" s="5687">
        <v>1.4303000968054211E-2</v>
      </c>
      <c r="N7" s="5687">
        <v>1.2399978803455038E-2</v>
      </c>
      <c r="O7" s="5687">
        <v>1.3543853687544752E-2</v>
      </c>
      <c r="P7" s="5687">
        <v>1.7052258793104035E-2</v>
      </c>
      <c r="Q7" s="5687">
        <v>1.7052258793104035E-2</v>
      </c>
      <c r="S7" s="5688">
        <v>1.4039646549059925E-2</v>
      </c>
      <c r="T7" s="5689">
        <v>1.1864517160330832E-2</v>
      </c>
      <c r="U7" s="5689">
        <v>1.1746068544492099E-2</v>
      </c>
      <c r="V7" s="5689">
        <v>1.0275202327572714E-2</v>
      </c>
      <c r="W7" s="5689">
        <v>1.0366999703234743E-2</v>
      </c>
      <c r="X7" s="5689">
        <v>8.2821178558517127E-3</v>
      </c>
      <c r="Y7" s="5689">
        <v>1.1241656583004802E-2</v>
      </c>
      <c r="Z7" s="5687">
        <v>1.1129218172423388E-2</v>
      </c>
      <c r="AA7" s="5690">
        <v>9.0725407075789386E-3</v>
      </c>
      <c r="AB7" s="5690">
        <v>1.1973511973511973E-2</v>
      </c>
      <c r="AC7" s="5690">
        <v>9.0034628703347438E-3</v>
      </c>
      <c r="AD7" s="5691">
        <v>8.0000000000000002E-3</v>
      </c>
      <c r="AE7" s="5692">
        <v>1.0582911870616322E-2</v>
      </c>
      <c r="AF7" s="5692">
        <v>1.0582911870616322E-2</v>
      </c>
      <c r="AH7" s="5688">
        <v>7.3791954296596046E-3</v>
      </c>
      <c r="AI7" s="5689">
        <v>9.4273743016759781E-3</v>
      </c>
      <c r="AJ7" s="5689">
        <v>6.7452944502786978E-3</v>
      </c>
      <c r="AK7" s="5689">
        <v>7.7004133906136011E-3</v>
      </c>
      <c r="AL7" s="5689">
        <v>7.6154758715701659E-3</v>
      </c>
      <c r="AM7" s="5689">
        <v>4.8543689320388345E-3</v>
      </c>
      <c r="AN7" s="5689">
        <v>5.6874779088075577E-3</v>
      </c>
      <c r="AO7" s="5687">
        <v>4.8332391181458451E-3</v>
      </c>
      <c r="AP7" s="5687">
        <v>5.4230893925550413E-3</v>
      </c>
      <c r="AQ7" s="5687">
        <v>4.3674274443505209E-3</v>
      </c>
      <c r="AR7" s="5687">
        <v>4.6383278534523247E-3</v>
      </c>
      <c r="AS7" s="5692">
        <v>5.0543175030358725E-3</v>
      </c>
      <c r="AT7" s="5692">
        <f>AVERAGE(AH7:AS7)</f>
        <v>6.1438334663486693E-3</v>
      </c>
      <c r="AU7" s="5692">
        <f t="shared" si="4"/>
        <v>6.1438334663486693E-3</v>
      </c>
      <c r="AW7" s="5688">
        <v>4.65358569196041E-3</v>
      </c>
      <c r="AX7" s="5689">
        <v>4.5012397482357431E-3</v>
      </c>
      <c r="AY7" s="5689"/>
      <c r="AZ7" s="5689"/>
      <c r="BA7" s="5689"/>
      <c r="BB7" s="5689"/>
      <c r="BC7" s="5689"/>
      <c r="BD7" s="5687"/>
      <c r="BE7" s="5687"/>
      <c r="BF7" s="5687"/>
      <c r="BG7" s="5687"/>
      <c r="BH7" s="5692"/>
      <c r="BI7" s="5692">
        <f>AVERAGE(AW7:BH7)</f>
        <v>4.5774127200980761E-3</v>
      </c>
      <c r="BJ7" s="5692">
        <f t="shared" si="5"/>
        <v>4.5774127200980761E-3</v>
      </c>
      <c r="BL7" s="5686">
        <f t="shared" si="2"/>
        <v>-4.926134553440235E-3</v>
      </c>
      <c r="BM7" s="5686">
        <f t="shared" si="6"/>
        <v>-1.5664207462505932E-3</v>
      </c>
      <c r="BN7" s="5686">
        <f>BM7</f>
        <v>-1.5664207462505932E-3</v>
      </c>
      <c r="BO7" s="2978">
        <f>IFERROR(
  _xlfn.XLOOKUP($A$1,$2:$2,7:7)
 -_xlfn.XLOOKUP(EDATE($A$1,-1),$2:$2,7:7),"")</f>
        <v>-1.523459437246669E-4</v>
      </c>
    </row>
    <row r="8" spans="1:67" x14ac:dyDescent="0.55000000000000004">
      <c r="A8" s="7471"/>
      <c r="B8" s="1197"/>
      <c r="C8" s="559" t="s">
        <v>67</v>
      </c>
      <c r="D8" s="2978">
        <v>1.4939605848696759E-2</v>
      </c>
      <c r="E8" s="2978">
        <v>1.1569982323638118E-2</v>
      </c>
      <c r="F8" s="2978">
        <v>2.7953304059119631E-2</v>
      </c>
      <c r="G8" s="2978">
        <v>2.5646575045990692E-2</v>
      </c>
      <c r="H8" s="2978">
        <v>1.5041877955672042E-2</v>
      </c>
      <c r="I8" s="2978">
        <v>2.5244025580612589E-2</v>
      </c>
      <c r="J8" s="2978">
        <v>1.8771612053350897E-2</v>
      </c>
      <c r="K8" s="2978">
        <v>1.6489858736876823E-2</v>
      </c>
      <c r="L8" s="2978">
        <v>1.079313164349959E-2</v>
      </c>
      <c r="M8" s="2978">
        <v>1.215629522431259E-2</v>
      </c>
      <c r="N8" s="2978">
        <v>1.3431293766502123E-2</v>
      </c>
      <c r="O8" s="2978">
        <v>1.2391952879981641E-2</v>
      </c>
      <c r="P8" s="2978">
        <v>1.7186801815573478E-2</v>
      </c>
      <c r="Q8" s="2978">
        <v>1.7186801815573478E-2</v>
      </c>
      <c r="S8" s="5693">
        <v>1.7007874015748034E-2</v>
      </c>
      <c r="T8" s="701">
        <v>1.1739915713425648E-2</v>
      </c>
      <c r="U8" s="701">
        <v>9.0037515631513146E-3</v>
      </c>
      <c r="V8" s="701">
        <v>9.5679907219483936E-3</v>
      </c>
      <c r="W8" s="701">
        <v>7.927332782824115E-3</v>
      </c>
      <c r="X8" s="701">
        <v>8.4922154691532779E-3</v>
      </c>
      <c r="Y8" s="701">
        <v>1.0178117048346057E-2</v>
      </c>
      <c r="Z8" s="5694">
        <v>1.5236160487557136E-2</v>
      </c>
      <c r="AA8" s="5639">
        <v>1.089108910891089E-2</v>
      </c>
      <c r="AB8" s="5639">
        <v>9.5969289827255271E-3</v>
      </c>
      <c r="AC8" s="5639">
        <v>1.167883211678832E-2</v>
      </c>
      <c r="AD8" s="5695">
        <v>0.01</v>
      </c>
      <c r="AE8" s="5695">
        <v>1.0943350667548224E-2</v>
      </c>
      <c r="AF8" s="5695">
        <v>1.0943350667548224E-2</v>
      </c>
      <c r="AH8" s="5693">
        <v>1.1822660098522168E-2</v>
      </c>
      <c r="AI8" s="701">
        <v>1.2472885032537961E-2</v>
      </c>
      <c r="AJ8" s="701">
        <v>9.4810379241516973E-3</v>
      </c>
      <c r="AK8" s="701">
        <v>1.1247443762781187E-2</v>
      </c>
      <c r="AL8" s="701">
        <v>7.525870178739417E-3</v>
      </c>
      <c r="AM8" s="701">
        <v>6.0144346431435444E-3</v>
      </c>
      <c r="AN8" s="701">
        <v>7.6277650648360028E-3</v>
      </c>
      <c r="AO8" s="5694">
        <v>5.6723390056723387E-3</v>
      </c>
      <c r="AP8" s="5694">
        <v>8.7047353760445687E-3</v>
      </c>
      <c r="AQ8" s="5694">
        <v>4.3103448275862068E-3</v>
      </c>
      <c r="AR8" s="2978">
        <v>4.9261083743842365E-3</v>
      </c>
      <c r="AS8" s="5695">
        <v>5.2910052910052907E-3</v>
      </c>
      <c r="AT8" s="5695">
        <f t="shared" ref="AT8:AT25" si="7">AVERAGE(AH8:AS8)</f>
        <v>7.9247191316170508E-3</v>
      </c>
      <c r="AU8" s="5695">
        <f t="shared" si="4"/>
        <v>7.9247191316170508E-3</v>
      </c>
      <c r="AW8" s="5693">
        <v>9.8967297762478489E-3</v>
      </c>
      <c r="AX8" s="701">
        <v>9.0476190476190474E-3</v>
      </c>
      <c r="AY8" s="701"/>
      <c r="AZ8" s="701"/>
      <c r="BA8" s="701"/>
      <c r="BB8" s="701"/>
      <c r="BC8" s="701"/>
      <c r="BD8" s="5694"/>
      <c r="BE8" s="5694"/>
      <c r="BF8" s="5694"/>
      <c r="BG8" s="2978"/>
      <c r="BH8" s="5695"/>
      <c r="BI8" s="5695">
        <f t="shared" ref="BI8:BI25" si="8">AVERAGE(AW8:BH8)</f>
        <v>9.472174411933449E-3</v>
      </c>
      <c r="BJ8" s="5695">
        <f t="shared" si="5"/>
        <v>9.472174411933449E-3</v>
      </c>
      <c r="BL8" s="5686">
        <f t="shared" si="2"/>
        <v>-3.425265984918914E-3</v>
      </c>
      <c r="BM8" s="5686">
        <f t="shared" si="6"/>
        <v>1.5474552803163982E-3</v>
      </c>
      <c r="BN8" s="5686">
        <f>BM8</f>
        <v>1.5474552803163982E-3</v>
      </c>
      <c r="BO8" s="2978">
        <f t="shared" si="3"/>
        <v>-8.4911072862880153E-4</v>
      </c>
    </row>
    <row r="9" spans="1:67" x14ac:dyDescent="0.55000000000000004">
      <c r="A9" s="7471"/>
      <c r="B9" s="1197"/>
      <c r="C9" s="559" t="s">
        <v>70</v>
      </c>
      <c r="D9" s="2978">
        <v>8.8939566704675024E-3</v>
      </c>
      <c r="E9" s="2978">
        <v>8.8747297758561845E-3</v>
      </c>
      <c r="F9" s="2978">
        <v>1.9363762102351315E-2</v>
      </c>
      <c r="G9" s="2978">
        <v>2.1279029859283836E-2</v>
      </c>
      <c r="H9" s="2978">
        <v>1.8029297608613996E-2</v>
      </c>
      <c r="I9" s="2978">
        <v>2.8903162055335972E-2</v>
      </c>
      <c r="J9" s="2978">
        <v>1.6381766381766381E-2</v>
      </c>
      <c r="K9" s="2978">
        <v>1.2799241526428064E-2</v>
      </c>
      <c r="L9" s="2978">
        <v>1.1669145406704037E-2</v>
      </c>
      <c r="M9" s="2978">
        <v>1.4795678722404886E-2</v>
      </c>
      <c r="N9" s="2978">
        <v>1.2734584450402145E-2</v>
      </c>
      <c r="O9" s="2978">
        <v>1.6715752606861419E-2</v>
      </c>
      <c r="P9" s="2978">
        <v>1.5802348795141197E-2</v>
      </c>
      <c r="Q9" s="2978">
        <v>1.5802348795141197E-2</v>
      </c>
      <c r="S9" s="5693">
        <v>9.6008084891359285E-3</v>
      </c>
      <c r="T9" s="701">
        <v>8.9390731592566448E-3</v>
      </c>
      <c r="U9" s="701">
        <v>1.0620364126770062E-2</v>
      </c>
      <c r="V9" s="701">
        <v>1.0730253353204171E-2</v>
      </c>
      <c r="W9" s="701">
        <v>1.0532475131655939E-2</v>
      </c>
      <c r="X9" s="701">
        <v>7.8099576960624821E-3</v>
      </c>
      <c r="Y9" s="701">
        <v>1.1560693641618497E-2</v>
      </c>
      <c r="Z9" s="5694">
        <v>6.6793893129770991E-3</v>
      </c>
      <c r="AA9" s="5639">
        <v>9.74025974025974E-3</v>
      </c>
      <c r="AB9" s="5639">
        <v>1.0127697049757816E-2</v>
      </c>
      <c r="AC9" s="5639">
        <v>9.5361941915908105E-3</v>
      </c>
      <c r="AD9" s="5695">
        <v>7.0000000000000001E-3</v>
      </c>
      <c r="AE9" s="5695">
        <v>9.4064304910241002E-3</v>
      </c>
      <c r="AF9" s="5695">
        <v>9.4064304910241002E-3</v>
      </c>
      <c r="AH9" s="5693">
        <v>4.8266783677051337E-3</v>
      </c>
      <c r="AI9" s="701">
        <v>5.7999033349444172E-3</v>
      </c>
      <c r="AJ9" s="701">
        <v>6.7010309278350512E-3</v>
      </c>
      <c r="AK9" s="701">
        <v>6.0018467220683287E-3</v>
      </c>
      <c r="AL9" s="701">
        <v>8.7221979938944608E-3</v>
      </c>
      <c r="AM9" s="701">
        <v>5.3292729349067374E-3</v>
      </c>
      <c r="AN9" s="701">
        <v>5.3648068669527897E-3</v>
      </c>
      <c r="AO9" s="5694">
        <v>4.0210330961954841E-3</v>
      </c>
      <c r="AP9" s="5694">
        <v>2.2068095838587644E-3</v>
      </c>
      <c r="AQ9" s="5694">
        <v>2.6722090261282658E-3</v>
      </c>
      <c r="AR9" s="2978">
        <v>4.2735042735042739E-3</v>
      </c>
      <c r="AS9" s="5695">
        <v>3.3840947546531302E-3</v>
      </c>
      <c r="AT9" s="5695">
        <f t="shared" si="7"/>
        <v>4.9419489902205694E-3</v>
      </c>
      <c r="AU9" s="5695">
        <f t="shared" si="4"/>
        <v>4.9419489902205694E-3</v>
      </c>
      <c r="AW9" s="5693">
        <v>6.1107117181883538E-3</v>
      </c>
      <c r="AX9" s="701">
        <v>2.8271405492730209E-3</v>
      </c>
      <c r="AY9" s="701"/>
      <c r="AZ9" s="701"/>
      <c r="BA9" s="701"/>
      <c r="BB9" s="701"/>
      <c r="BC9" s="701"/>
      <c r="BD9" s="5694"/>
      <c r="BE9" s="5694"/>
      <c r="BF9" s="5694"/>
      <c r="BG9" s="2978"/>
      <c r="BH9" s="5695"/>
      <c r="BI9" s="5695">
        <f t="shared" si="8"/>
        <v>4.4689261337306878E-3</v>
      </c>
      <c r="BJ9" s="5695">
        <f t="shared" si="5"/>
        <v>4.4689261337306878E-3</v>
      </c>
      <c r="BL9" s="5686">
        <f t="shared" si="2"/>
        <v>-2.9727627856713963E-3</v>
      </c>
      <c r="BM9" s="5686">
        <f t="shared" si="6"/>
        <v>-4.7302285648988165E-4</v>
      </c>
      <c r="BN9" s="5686">
        <f t="shared" ref="BN9:BN30" si="9">BM9</f>
        <v>-4.7302285648988165E-4</v>
      </c>
      <c r="BO9" s="2978">
        <f t="shared" si="3"/>
        <v>-3.283571168915333E-3</v>
      </c>
    </row>
    <row r="10" spans="1:67" x14ac:dyDescent="0.55000000000000004">
      <c r="A10" s="7471"/>
      <c r="B10" s="1197"/>
      <c r="C10" s="559" t="s">
        <v>68</v>
      </c>
      <c r="D10" s="2978">
        <v>1.7283201940570043E-2</v>
      </c>
      <c r="E10" s="2978">
        <v>1.6283452695062192E-2</v>
      </c>
      <c r="F10" s="2978">
        <v>2.0494914224988614E-2</v>
      </c>
      <c r="G10" s="2978">
        <v>2.4625027982986346E-2</v>
      </c>
      <c r="H10" s="2978">
        <v>2.2482659650801245E-2</v>
      </c>
      <c r="I10" s="2978">
        <v>3.3016272305636349E-2</v>
      </c>
      <c r="J10" s="2978">
        <v>2.2145328719723183E-2</v>
      </c>
      <c r="K10" s="2978">
        <v>1.831989352540515E-2</v>
      </c>
      <c r="L10" s="2978">
        <v>1.799723119520074E-2</v>
      </c>
      <c r="M10" s="2978">
        <v>1.553146740009707E-2</v>
      </c>
      <c r="N10" s="2978">
        <v>1.5626196859440826E-2</v>
      </c>
      <c r="O10" s="2978">
        <v>1.6661377340526817E-2</v>
      </c>
      <c r="P10" s="2978">
        <v>2.0039072322482063E-2</v>
      </c>
      <c r="Q10" s="2978">
        <v>2.0039072322482063E-2</v>
      </c>
      <c r="S10" s="5693">
        <v>1.7631213778467065E-2</v>
      </c>
      <c r="T10" s="701">
        <v>1.6945271353331806E-2</v>
      </c>
      <c r="U10" s="701">
        <v>1.6288252714708785E-2</v>
      </c>
      <c r="V10" s="701">
        <v>1.6015530211113807E-2</v>
      </c>
      <c r="W10" s="701">
        <v>6.7567567567567571E-3</v>
      </c>
      <c r="X10" s="701">
        <v>6.2701384655577813E-3</v>
      </c>
      <c r="Y10" s="701">
        <v>1.2035583464154892E-2</v>
      </c>
      <c r="Z10" s="5694">
        <v>1.2432432432432434E-2</v>
      </c>
      <c r="AA10" s="5639">
        <v>8.0688542227003758E-3</v>
      </c>
      <c r="AB10" s="5639">
        <v>1.5199161425576519E-2</v>
      </c>
      <c r="AC10" s="5639">
        <v>9.9947396107311938E-3</v>
      </c>
      <c r="AD10" s="5695">
        <v>8.9999999999999993E-3</v>
      </c>
      <c r="AE10" s="5695">
        <v>1.2219827869627617E-2</v>
      </c>
      <c r="AF10" s="5695">
        <v>1.2219827869627617E-2</v>
      </c>
      <c r="AH10" s="5693">
        <v>9.154550350026925E-3</v>
      </c>
      <c r="AI10" s="701">
        <v>1.2956419316843345E-2</v>
      </c>
      <c r="AJ10" s="701">
        <v>1.037117903930131E-2</v>
      </c>
      <c r="AK10" s="701">
        <v>1.1705685618729096E-2</v>
      </c>
      <c r="AL10" s="701">
        <v>1.0730710270822688E-2</v>
      </c>
      <c r="AM10" s="701">
        <v>4.3516100957354219E-3</v>
      </c>
      <c r="AN10" s="701">
        <v>3.7313432835820895E-3</v>
      </c>
      <c r="AO10" s="5694">
        <v>5.4486015256084274E-3</v>
      </c>
      <c r="AP10" s="5694">
        <v>9.8181818181818179E-3</v>
      </c>
      <c r="AQ10" s="5694">
        <v>5.4775761725436491E-3</v>
      </c>
      <c r="AR10" s="2978">
        <v>6.0390763765541741E-3</v>
      </c>
      <c r="AS10" s="5695">
        <v>6.4829821717990272E-3</v>
      </c>
      <c r="AT10" s="5695">
        <f t="shared" si="7"/>
        <v>8.0223263366439972E-3</v>
      </c>
      <c r="AU10" s="5695">
        <f t="shared" si="4"/>
        <v>8.0223263366439972E-3</v>
      </c>
      <c r="AW10" s="5693">
        <v>6.7226890756302525E-3</v>
      </c>
      <c r="AX10" s="701">
        <v>6.4695009242144181E-3</v>
      </c>
      <c r="AY10" s="701"/>
      <c r="AZ10" s="701"/>
      <c r="BA10" s="701"/>
      <c r="BB10" s="701"/>
      <c r="BC10" s="701"/>
      <c r="BD10" s="5694"/>
      <c r="BE10" s="5694"/>
      <c r="BF10" s="5694"/>
      <c r="BG10" s="2978"/>
      <c r="BH10" s="5695"/>
      <c r="BI10" s="5695">
        <f t="shared" si="8"/>
        <v>6.5960949999223353E-3</v>
      </c>
      <c r="BJ10" s="5695">
        <f t="shared" si="5"/>
        <v>6.5960949999223353E-3</v>
      </c>
      <c r="BL10" s="5686">
        <f t="shared" si="2"/>
        <v>-6.4869183926289271E-3</v>
      </c>
      <c r="BM10" s="5686">
        <f t="shared" si="6"/>
        <v>-1.4262313367216619E-3</v>
      </c>
      <c r="BN10" s="5686">
        <f t="shared" si="9"/>
        <v>-1.4262313367216619E-3</v>
      </c>
      <c r="BO10" s="2978">
        <f t="shared" si="3"/>
        <v>-2.5318815141583441E-4</v>
      </c>
    </row>
    <row r="11" spans="1:67" x14ac:dyDescent="0.55000000000000004">
      <c r="A11" s="7471"/>
      <c r="B11" s="1197"/>
      <c r="C11" s="559" t="s">
        <v>143</v>
      </c>
      <c r="D11" s="2978">
        <v>1.2922911244727631E-2</v>
      </c>
      <c r="E11" s="2978">
        <v>9.1426522654954514E-3</v>
      </c>
      <c r="F11" s="2978">
        <v>2.8638328530259365E-2</v>
      </c>
      <c r="G11" s="2978">
        <v>2.8150134048257374E-2</v>
      </c>
      <c r="H11" s="2978">
        <v>3.5464346510308303E-2</v>
      </c>
      <c r="I11" s="2978">
        <v>3.0776537639515555E-2</v>
      </c>
      <c r="J11" s="2978">
        <v>2.3583360628889615E-2</v>
      </c>
      <c r="K11" s="2978">
        <v>1.60888178011949E-2</v>
      </c>
      <c r="L11" s="2978">
        <v>1.7436137801734235E-2</v>
      </c>
      <c r="M11" s="2978">
        <v>1.986754966887417E-2</v>
      </c>
      <c r="N11" s="2978">
        <v>1.6228748068006182E-2</v>
      </c>
      <c r="O11" s="2978">
        <v>7.1467839472237503E-3</v>
      </c>
      <c r="P11" s="2978">
        <v>2.0409191109527002E-2</v>
      </c>
      <c r="Q11" s="2978">
        <v>2.0409191109527002E-2</v>
      </c>
      <c r="S11" s="5693">
        <v>9.3517534537725829E-3</v>
      </c>
      <c r="T11" s="701">
        <v>9.2202846261775929E-3</v>
      </c>
      <c r="U11" s="701">
        <v>9.7016022343083923E-3</v>
      </c>
      <c r="V11" s="701">
        <v>1.3723791370646334E-2</v>
      </c>
      <c r="W11" s="701">
        <v>1.0935601458080195E-2</v>
      </c>
      <c r="X11" s="701">
        <v>7.1926275567543267E-3</v>
      </c>
      <c r="Y11" s="701">
        <v>6.6994193836534171E-3</v>
      </c>
      <c r="Z11" s="5639">
        <v>9.1827364554637279E-3</v>
      </c>
      <c r="AA11" s="5639">
        <v>8.1892629663330302E-3</v>
      </c>
      <c r="AB11" s="5639">
        <v>6.156552330694811E-3</v>
      </c>
      <c r="AC11" s="5639">
        <v>5.7042562527424307E-3</v>
      </c>
      <c r="AD11" s="5695">
        <v>8.0000000000000002E-3</v>
      </c>
      <c r="AE11" s="5695">
        <v>8.6714906740522363E-3</v>
      </c>
      <c r="AF11" s="5695">
        <v>8.6714906740522363E-3</v>
      </c>
      <c r="AH11" s="5693">
        <v>5.3380782918149468E-3</v>
      </c>
      <c r="AI11" s="701">
        <v>9.1566265060240969E-3</v>
      </c>
      <c r="AJ11" s="701">
        <v>3.5118525021949078E-3</v>
      </c>
      <c r="AK11" s="701">
        <v>6.7024128686327079E-3</v>
      </c>
      <c r="AL11" s="701">
        <v>5.9096665259603205E-3</v>
      </c>
      <c r="AM11" s="701">
        <v>6.2776957163958643E-3</v>
      </c>
      <c r="AN11" s="701">
        <v>4.9839800640797439E-3</v>
      </c>
      <c r="AO11" s="5639">
        <v>5.7581573896353169E-3</v>
      </c>
      <c r="AP11" s="5639">
        <v>3.0292830696735107E-3</v>
      </c>
      <c r="AQ11" s="5639">
        <v>3.8973692757388761E-3</v>
      </c>
      <c r="AR11" s="2978">
        <v>4.4308111792774373E-3</v>
      </c>
      <c r="AS11" s="5695">
        <v>5.1120723554856466E-3</v>
      </c>
      <c r="AT11" s="5695">
        <f t="shared" si="7"/>
        <v>5.342333812076115E-3</v>
      </c>
      <c r="AU11" s="5695">
        <f t="shared" si="4"/>
        <v>5.342333812076115E-3</v>
      </c>
      <c r="AW11" s="5693">
        <v>3.6779730281977932E-3</v>
      </c>
      <c r="AX11" s="701">
        <v>3.5026269702276708E-3</v>
      </c>
      <c r="AY11" s="701"/>
      <c r="AZ11" s="701"/>
      <c r="BA11" s="701"/>
      <c r="BB11" s="701"/>
      <c r="BC11" s="701"/>
      <c r="BD11" s="5639"/>
      <c r="BE11" s="5639"/>
      <c r="BF11" s="5639"/>
      <c r="BG11" s="2978"/>
      <c r="BH11" s="5695"/>
      <c r="BI11" s="5695">
        <f t="shared" si="8"/>
        <v>3.590299999212732E-3</v>
      </c>
      <c r="BJ11" s="5695">
        <f t="shared" si="5"/>
        <v>3.590299999212732E-3</v>
      </c>
      <c r="BL11" s="5686">
        <f t="shared" si="2"/>
        <v>-5.6539995357964262E-3</v>
      </c>
      <c r="BM11" s="5686">
        <f t="shared" si="6"/>
        <v>-1.752033812863383E-3</v>
      </c>
      <c r="BN11" s="5686">
        <f t="shared" si="9"/>
        <v>-1.752033812863383E-3</v>
      </c>
      <c r="BO11" s="2978">
        <f t="shared" si="3"/>
        <v>-1.7534605797012246E-4</v>
      </c>
    </row>
    <row r="12" spans="1:67" x14ac:dyDescent="0.55000000000000004">
      <c r="A12" s="7471"/>
      <c r="B12" s="1197"/>
      <c r="C12" s="559" t="s">
        <v>69</v>
      </c>
      <c r="D12" s="2978">
        <v>1.2018027040560842E-2</v>
      </c>
      <c r="E12" s="2978">
        <v>1.0794044665012407E-2</v>
      </c>
      <c r="F12" s="2978">
        <v>1.9910280833282126E-2</v>
      </c>
      <c r="G12" s="2978">
        <v>1.8092998009770218E-2</v>
      </c>
      <c r="H12" s="2978">
        <v>1.9332388194354941E-2</v>
      </c>
      <c r="I12" s="2978">
        <v>1.6234583438207904E-2</v>
      </c>
      <c r="J12" s="2978">
        <v>1.0788690476190476E-2</v>
      </c>
      <c r="K12" s="2978">
        <v>9.5256239283673088E-3</v>
      </c>
      <c r="L12" s="2978">
        <v>1.0974456007568592E-2</v>
      </c>
      <c r="M12" s="2978">
        <v>8.8170462894930201E-3</v>
      </c>
      <c r="N12" s="2978">
        <v>1.0864644635581712E-2</v>
      </c>
      <c r="O12" s="2978">
        <v>2.5297517851071059E-2</v>
      </c>
      <c r="P12" s="2978">
        <v>1.4363548927489969E-2</v>
      </c>
      <c r="Q12" s="2978">
        <v>1.4363548927489969E-2</v>
      </c>
      <c r="S12" s="5693">
        <v>2.085912944089913E-2</v>
      </c>
      <c r="T12" s="701">
        <v>1.0859237138591014E-2</v>
      </c>
      <c r="U12" s="701">
        <v>1.3201951592844157E-2</v>
      </c>
      <c r="V12" s="701">
        <v>7.5658509247151142E-3</v>
      </c>
      <c r="W12" s="701">
        <v>1.0062148564664105E-2</v>
      </c>
      <c r="X12" s="701">
        <v>6.8185187015168715E-3</v>
      </c>
      <c r="Y12" s="701">
        <v>1.2746585735963581E-2</v>
      </c>
      <c r="Z12" s="5639">
        <v>1.290719114935464E-2</v>
      </c>
      <c r="AA12" s="5639">
        <v>9.9132589838909543E-3</v>
      </c>
      <c r="AB12" s="5639">
        <v>1.498800959232614E-2</v>
      </c>
      <c r="AC12" s="5639">
        <v>6.7966903073286055E-3</v>
      </c>
      <c r="AD12" s="5695">
        <v>8.9999999999999993E-3</v>
      </c>
      <c r="AE12" s="5695">
        <v>1.130988101100786E-2</v>
      </c>
      <c r="AF12" s="5695">
        <v>1.130988101100786E-2</v>
      </c>
      <c r="AH12" s="5693">
        <v>7.5734625870948194E-3</v>
      </c>
      <c r="AI12" s="701">
        <v>6.2295081967213119E-3</v>
      </c>
      <c r="AJ12" s="701">
        <v>8.0693365212193661E-3</v>
      </c>
      <c r="AK12" s="701">
        <v>8.8875268158136681E-3</v>
      </c>
      <c r="AL12" s="701">
        <v>8.3061406110946298E-3</v>
      </c>
      <c r="AM12" s="701">
        <v>4.1786367197701752E-3</v>
      </c>
      <c r="AN12" s="701">
        <v>7.4497144276136082E-3</v>
      </c>
      <c r="AO12" s="5639">
        <v>5.3440213760855048E-3</v>
      </c>
      <c r="AP12" s="5639">
        <v>5.661712668082095E-3</v>
      </c>
      <c r="AQ12" s="5639">
        <v>5.4114994363021422E-3</v>
      </c>
      <c r="AR12" s="2978">
        <v>5.6404230317273797E-3</v>
      </c>
      <c r="AS12" s="5695">
        <v>5.9958289885297181E-3</v>
      </c>
      <c r="AT12" s="5695">
        <f t="shared" si="7"/>
        <v>6.5623176150045341E-3</v>
      </c>
      <c r="AU12" s="5695">
        <f t="shared" si="4"/>
        <v>6.5623176150045341E-3</v>
      </c>
      <c r="AW12" s="5693">
        <v>1.6652789342214821E-3</v>
      </c>
      <c r="AX12" s="701">
        <v>4.8617441507140683E-3</v>
      </c>
      <c r="AY12" s="701"/>
      <c r="AZ12" s="701"/>
      <c r="BA12" s="701"/>
      <c r="BB12" s="701"/>
      <c r="BC12" s="701"/>
      <c r="BD12" s="5639"/>
      <c r="BE12" s="5639"/>
      <c r="BF12" s="5639"/>
      <c r="BG12" s="2978"/>
      <c r="BH12" s="5695"/>
      <c r="BI12" s="5695">
        <f t="shared" si="8"/>
        <v>3.2635115424677753E-3</v>
      </c>
      <c r="BJ12" s="5695">
        <f t="shared" si="5"/>
        <v>3.2635115424677753E-3</v>
      </c>
      <c r="BL12" s="5686">
        <f t="shared" si="2"/>
        <v>-1.3677640460072436E-3</v>
      </c>
      <c r="BM12" s="5686">
        <f t="shared" si="6"/>
        <v>-3.2988060725367588E-3</v>
      </c>
      <c r="BN12" s="5686">
        <f t="shared" si="9"/>
        <v>-3.2988060725367588E-3</v>
      </c>
      <c r="BO12" s="2978">
        <f t="shared" si="3"/>
        <v>3.1964652164925859E-3</v>
      </c>
    </row>
    <row r="13" spans="1:67" x14ac:dyDescent="0.55000000000000004">
      <c r="A13" s="7471"/>
      <c r="B13" s="1197"/>
      <c r="C13" s="559" t="s">
        <v>71</v>
      </c>
      <c r="D13" s="2978">
        <v>1.1740247034364682E-2</v>
      </c>
      <c r="E13" s="2978">
        <v>1.0786193672099712E-2</v>
      </c>
      <c r="F13" s="2978">
        <v>2.1522090034076641E-2</v>
      </c>
      <c r="G13" s="2978">
        <v>2.5581931320580779E-2</v>
      </c>
      <c r="H13" s="2978">
        <v>2.2592791823561054E-2</v>
      </c>
      <c r="I13" s="2978">
        <v>2.2537562604340568E-2</v>
      </c>
      <c r="J13" s="2978">
        <v>2.0897428455331747E-2</v>
      </c>
      <c r="K13" s="2978">
        <v>1.8589132507149664E-2</v>
      </c>
      <c r="L13" s="2978">
        <v>1.4832700931355639E-2</v>
      </c>
      <c r="M13" s="2978">
        <v>1.7260374586852735E-2</v>
      </c>
      <c r="N13" s="2978">
        <v>1.1753531995725991E-2</v>
      </c>
      <c r="O13" s="2978">
        <v>1.171717171717172E-2</v>
      </c>
      <c r="P13" s="2978">
        <v>1.7574112672254793E-2</v>
      </c>
      <c r="Q13" s="2978">
        <v>1.7574112672254793E-2</v>
      </c>
      <c r="S13" s="5693">
        <v>1.4794983795970126E-2</v>
      </c>
      <c r="T13" s="701">
        <v>1.3322884012539185E-2</v>
      </c>
      <c r="U13" s="701">
        <v>1.4894673381090859E-2</v>
      </c>
      <c r="V13" s="701">
        <v>9.7120118702367329E-3</v>
      </c>
      <c r="W13" s="701">
        <v>7.9062957540263525E-3</v>
      </c>
      <c r="X13" s="701">
        <v>9.6259024283526576E-3</v>
      </c>
      <c r="Y13" s="701">
        <v>1.5057573073516387E-2</v>
      </c>
      <c r="Z13" s="5639">
        <v>1.1531365313653136E-2</v>
      </c>
      <c r="AA13" s="5639">
        <v>1.3047530288909599E-2</v>
      </c>
      <c r="AB13" s="5639">
        <v>1.289134438305709E-2</v>
      </c>
      <c r="AC13" s="5639">
        <v>5.4719562243502051E-3</v>
      </c>
      <c r="AD13" s="5695">
        <v>7.0000000000000001E-3</v>
      </c>
      <c r="AE13" s="5695">
        <v>1.1271376710475194E-2</v>
      </c>
      <c r="AF13" s="5695">
        <v>1.1271376710475194E-2</v>
      </c>
      <c r="AH13" s="5693">
        <v>4.6707146193367584E-3</v>
      </c>
      <c r="AI13" s="701">
        <v>1.1167512690355329E-2</v>
      </c>
      <c r="AJ13" s="701">
        <v>5.171603196991067E-3</v>
      </c>
      <c r="AK13" s="701">
        <v>8.591885441527447E-3</v>
      </c>
      <c r="AL13" s="701">
        <v>5.0973123262279887E-3</v>
      </c>
      <c r="AM13" s="701">
        <v>3.7128712871287127E-3</v>
      </c>
      <c r="AN13" s="701">
        <v>2.7418723070896985E-3</v>
      </c>
      <c r="AO13" s="5639">
        <v>6.6086956521739133E-3</v>
      </c>
      <c r="AP13" s="5639">
        <v>5.4844606946983544E-3</v>
      </c>
      <c r="AQ13" s="5639">
        <v>3.1768443346276033E-3</v>
      </c>
      <c r="AR13" s="2978">
        <v>5.1565377532228358E-3</v>
      </c>
      <c r="AS13" s="5695">
        <v>4.1135335252982311E-3</v>
      </c>
      <c r="AT13" s="5695">
        <f t="shared" si="7"/>
        <v>5.4744869857231608E-3</v>
      </c>
      <c r="AU13" s="5695">
        <f t="shared" si="4"/>
        <v>5.4744869857231608E-3</v>
      </c>
      <c r="AW13" s="5693">
        <v>3.4873583260680036E-3</v>
      </c>
      <c r="AX13" s="701">
        <v>4.7551117451260106E-3</v>
      </c>
      <c r="AY13" s="701"/>
      <c r="AZ13" s="701"/>
      <c r="BA13" s="701"/>
      <c r="BB13" s="701"/>
      <c r="BC13" s="701"/>
      <c r="BD13" s="5639"/>
      <c r="BE13" s="5639"/>
      <c r="BF13" s="5639"/>
      <c r="BG13" s="2978"/>
      <c r="BH13" s="5695"/>
      <c r="BI13" s="5695">
        <f t="shared" si="8"/>
        <v>4.1212350355970071E-3</v>
      </c>
      <c r="BJ13" s="5695">
        <f t="shared" si="5"/>
        <v>4.1212350355970071E-3</v>
      </c>
      <c r="BL13" s="5686">
        <f t="shared" si="2"/>
        <v>-6.4124009452293188E-3</v>
      </c>
      <c r="BM13" s="5686">
        <f t="shared" si="6"/>
        <v>-1.3532519501261537E-3</v>
      </c>
      <c r="BN13" s="5686">
        <f t="shared" si="9"/>
        <v>-1.3532519501261537E-3</v>
      </c>
      <c r="BO13" s="2978">
        <f t="shared" si="3"/>
        <v>1.267753419058007E-3</v>
      </c>
    </row>
    <row r="14" spans="1:67" x14ac:dyDescent="0.55000000000000004">
      <c r="A14" s="7471"/>
      <c r="B14" s="1197"/>
      <c r="C14" s="559" t="s">
        <v>72</v>
      </c>
      <c r="D14" s="2978">
        <v>1.0212765957446808E-2</v>
      </c>
      <c r="E14" s="2978">
        <v>1.0417087253199822E-2</v>
      </c>
      <c r="F14" s="2978">
        <v>2.7623203490932381E-2</v>
      </c>
      <c r="G14" s="2978">
        <v>2.2545031958163857E-2</v>
      </c>
      <c r="H14" s="2978">
        <v>1.9905999447055574E-2</v>
      </c>
      <c r="I14" s="2978">
        <v>1.7719325878091035E-2</v>
      </c>
      <c r="J14" s="2978">
        <v>1.9867549668874173E-2</v>
      </c>
      <c r="K14" s="2978">
        <v>1.5056761601274645E-2</v>
      </c>
      <c r="L14" s="2978">
        <v>9.6451676141932965E-3</v>
      </c>
      <c r="M14" s="2978">
        <v>1.1362232925774979E-2</v>
      </c>
      <c r="N14" s="2978">
        <v>9.5288512440444718E-3</v>
      </c>
      <c r="O14" s="2978">
        <v>8.2872928176795577E-3</v>
      </c>
      <c r="P14" s="2978">
        <v>1.5261475275943343E-2</v>
      </c>
      <c r="Q14" s="2978">
        <v>1.5261475275943343E-2</v>
      </c>
      <c r="S14" s="5693">
        <v>8.8881143255489722E-3</v>
      </c>
      <c r="T14" s="701">
        <v>9.177635551261925E-3</v>
      </c>
      <c r="U14" s="701">
        <v>7.3449044725221882E-3</v>
      </c>
      <c r="V14" s="701">
        <v>6.5768948624332817E-3</v>
      </c>
      <c r="W14" s="701">
        <v>7.413618110409954E-3</v>
      </c>
      <c r="X14" s="701">
        <v>3.1320689055159209E-3</v>
      </c>
      <c r="Y14" s="701">
        <v>9.7496706192358364E-3</v>
      </c>
      <c r="Z14" s="5639">
        <v>1.1348284247500676E-2</v>
      </c>
      <c r="AA14" s="5639">
        <v>9.5864146809093408E-3</v>
      </c>
      <c r="AB14" s="5639">
        <v>1.1901541790641061E-2</v>
      </c>
      <c r="AC14" s="5639">
        <v>9.7852677357977719E-3</v>
      </c>
      <c r="AD14" s="5695">
        <v>0.01</v>
      </c>
      <c r="AE14" s="5695">
        <v>8.7420346084814103E-3</v>
      </c>
      <c r="AF14" s="5695">
        <v>8.7420346084814103E-3</v>
      </c>
      <c r="AH14" s="5693">
        <v>8.2857142857142851E-3</v>
      </c>
      <c r="AI14" s="701">
        <v>1.0433648516465601E-2</v>
      </c>
      <c r="AJ14" s="701">
        <v>4.7832585949177881E-3</v>
      </c>
      <c r="AK14" s="701">
        <v>5.3571428571428572E-3</v>
      </c>
      <c r="AL14" s="701">
        <v>8.5299971566676139E-3</v>
      </c>
      <c r="AM14" s="701">
        <v>5.0697084917617234E-3</v>
      </c>
      <c r="AN14" s="701">
        <v>5.3724053724053724E-3</v>
      </c>
      <c r="AO14" s="5639">
        <v>5.672268907563025E-3</v>
      </c>
      <c r="AP14" s="5639">
        <v>5.5090348171000442E-3</v>
      </c>
      <c r="AQ14" s="5639">
        <v>6.2580923608113945E-3</v>
      </c>
      <c r="AR14" s="2978">
        <v>5.1720260850011248E-3</v>
      </c>
      <c r="AS14" s="5695">
        <v>4.287515762925599E-3</v>
      </c>
      <c r="AT14" s="5695">
        <f t="shared" si="7"/>
        <v>6.2275677673730365E-3</v>
      </c>
      <c r="AU14" s="5695">
        <f t="shared" si="4"/>
        <v>6.2275677673730365E-3</v>
      </c>
      <c r="AW14" s="5693">
        <v>3.2145727297080095E-3</v>
      </c>
      <c r="AX14" s="701">
        <v>3.6275695284159614E-3</v>
      </c>
      <c r="AY14" s="701"/>
      <c r="AZ14" s="701"/>
      <c r="BA14" s="701"/>
      <c r="BB14" s="701"/>
      <c r="BC14" s="701"/>
      <c r="BD14" s="5639"/>
      <c r="BE14" s="5639"/>
      <c r="BF14" s="5639"/>
      <c r="BG14" s="2978"/>
      <c r="BH14" s="5695"/>
      <c r="BI14" s="5695">
        <f t="shared" si="8"/>
        <v>3.4210711290619854E-3</v>
      </c>
      <c r="BJ14" s="5695">
        <f t="shared" si="5"/>
        <v>3.4210711290619854E-3</v>
      </c>
      <c r="BL14" s="5686">
        <f t="shared" si="2"/>
        <v>-6.8060789880496405E-3</v>
      </c>
      <c r="BM14" s="5686">
        <f t="shared" si="6"/>
        <v>-2.8064966383110511E-3</v>
      </c>
      <c r="BN14" s="5686">
        <f t="shared" si="9"/>
        <v>-2.8064966383110511E-3</v>
      </c>
      <c r="BO14" s="2978">
        <f t="shared" si="3"/>
        <v>4.1299679870795188E-4</v>
      </c>
    </row>
    <row r="15" spans="1:67" x14ac:dyDescent="0.55000000000000004">
      <c r="A15" s="7471"/>
      <c r="B15" s="1197"/>
      <c r="C15" s="559" t="s">
        <v>73</v>
      </c>
      <c r="D15" s="2978">
        <v>1.2117540139351712E-2</v>
      </c>
      <c r="E15" s="2978">
        <v>1.1847171487807286E-2</v>
      </c>
      <c r="F15" s="2978">
        <v>2.1823617339312408E-2</v>
      </c>
      <c r="G15" s="2978">
        <v>1.8565815324165028E-2</v>
      </c>
      <c r="H15" s="2978">
        <v>1.7249345448945019E-2</v>
      </c>
      <c r="I15" s="2978">
        <v>2.1647441435032267E-2</v>
      </c>
      <c r="J15" s="2978">
        <v>1.2955147708312886E-2</v>
      </c>
      <c r="K15" s="2978">
        <v>1.3045456843808464E-2</v>
      </c>
      <c r="L15" s="2978">
        <v>1.3416815742397137E-2</v>
      </c>
      <c r="M15" s="2978">
        <v>1.4823965410747375E-2</v>
      </c>
      <c r="N15" s="2978">
        <v>1.1119459053343351E-2</v>
      </c>
      <c r="O15" s="2978">
        <v>1.633593381852453E-2</v>
      </c>
      <c r="P15" s="2978">
        <v>1.5401198709856014E-2</v>
      </c>
      <c r="Q15" s="2978">
        <v>1.5401198709856014E-2</v>
      </c>
      <c r="S15" s="5693">
        <v>1.4154825259230808E-2</v>
      </c>
      <c r="T15" s="701">
        <v>1.342077169437242E-2</v>
      </c>
      <c r="U15" s="701">
        <v>1.0733452593917709E-2</v>
      </c>
      <c r="V15" s="701">
        <v>9.9162626707800811E-3</v>
      </c>
      <c r="W15" s="701">
        <v>8.0565123474808792E-3</v>
      </c>
      <c r="X15" s="701">
        <v>8.0325960419091996E-3</v>
      </c>
      <c r="Y15" s="701">
        <v>1.3258203513423931E-2</v>
      </c>
      <c r="Z15" s="5639">
        <v>1.0605542251111872E-2</v>
      </c>
      <c r="AA15" s="5639">
        <v>6.8493150684931503E-3</v>
      </c>
      <c r="AB15" s="5639">
        <v>1.0709504685408299E-2</v>
      </c>
      <c r="AC15" s="5639">
        <v>8.7336244541484712E-3</v>
      </c>
      <c r="AD15" s="5695">
        <v>4.0000000000000001E-3</v>
      </c>
      <c r="AE15" s="5695">
        <v>9.8725508816897341E-3</v>
      </c>
      <c r="AF15" s="5695">
        <v>9.8725508816897341E-3</v>
      </c>
      <c r="AH15" s="5693">
        <v>8.44475721323012E-3</v>
      </c>
      <c r="AI15" s="701">
        <v>1.0518114530580444E-2</v>
      </c>
      <c r="AJ15" s="701">
        <v>8.5409252669039152E-3</v>
      </c>
      <c r="AK15" s="701">
        <v>7.6059398768562117E-3</v>
      </c>
      <c r="AL15" s="701">
        <v>1.0030090270812437E-2</v>
      </c>
      <c r="AM15" s="701">
        <v>4.8396854204476713E-3</v>
      </c>
      <c r="AN15" s="701">
        <v>8.0459770114942528E-3</v>
      </c>
      <c r="AO15" s="5639">
        <v>4.0120361083249749E-3</v>
      </c>
      <c r="AP15" s="5639">
        <v>5.5176037834997376E-3</v>
      </c>
      <c r="AQ15" s="5639">
        <v>3.2986551636640447E-3</v>
      </c>
      <c r="AR15" s="2978">
        <v>3.7725680409593102E-3</v>
      </c>
      <c r="AS15" s="5695">
        <v>6.7906702096250373E-3</v>
      </c>
      <c r="AT15" s="5695">
        <f t="shared" si="7"/>
        <v>6.7847519080331794E-3</v>
      </c>
      <c r="AU15" s="5695">
        <f t="shared" si="4"/>
        <v>6.7847519080331794E-3</v>
      </c>
      <c r="AW15" s="5693">
        <v>5.5727554179566567E-3</v>
      </c>
      <c r="AX15" s="701">
        <v>3.0864197530864196E-3</v>
      </c>
      <c r="AY15" s="701"/>
      <c r="AZ15" s="701"/>
      <c r="BA15" s="701"/>
      <c r="BB15" s="701"/>
      <c r="BC15" s="701"/>
      <c r="BD15" s="5639"/>
      <c r="BE15" s="5639"/>
      <c r="BF15" s="5639"/>
      <c r="BG15" s="2978"/>
      <c r="BH15" s="5695"/>
      <c r="BI15" s="5695">
        <f t="shared" si="8"/>
        <v>4.3295875855215386E-3</v>
      </c>
      <c r="BJ15" s="5695">
        <f t="shared" si="5"/>
        <v>4.3295875855215386E-3</v>
      </c>
      <c r="BL15" s="5686">
        <f t="shared" si="2"/>
        <v>-7.4316947774940249E-3</v>
      </c>
      <c r="BM15" s="5686">
        <f t="shared" si="6"/>
        <v>-2.4551643225116408E-3</v>
      </c>
      <c r="BN15" s="5686">
        <f t="shared" si="9"/>
        <v>-2.4551643225116408E-3</v>
      </c>
      <c r="BO15" s="2978">
        <f t="shared" si="3"/>
        <v>-2.4863356648702371E-3</v>
      </c>
    </row>
    <row r="16" spans="1:67" x14ac:dyDescent="0.55000000000000004">
      <c r="A16" s="7471"/>
      <c r="B16" s="1197"/>
      <c r="C16" s="559" t="s">
        <v>74</v>
      </c>
      <c r="D16" s="2978">
        <v>1.7253774263120056E-2</v>
      </c>
      <c r="E16" s="2978">
        <v>1.419782300047326E-2</v>
      </c>
      <c r="F16" s="2978">
        <v>2.4374215902981059E-2</v>
      </c>
      <c r="G16" s="2978">
        <v>2.0018407731247124E-2</v>
      </c>
      <c r="H16" s="2978">
        <v>2.5522736804265769E-2</v>
      </c>
      <c r="I16" s="2978">
        <v>2.3554603854389723E-2</v>
      </c>
      <c r="J16" s="2978">
        <v>2.807345888408001E-2</v>
      </c>
      <c r="K16" s="2978">
        <v>1.911617204554841E-2</v>
      </c>
      <c r="L16" s="2978">
        <v>1.4951321279554935E-2</v>
      </c>
      <c r="M16" s="2978">
        <v>1.5077224810002451E-2</v>
      </c>
      <c r="N16" s="2978">
        <v>1.5612987166597666E-2</v>
      </c>
      <c r="O16" s="2978">
        <v>1.41338487557381E-2</v>
      </c>
      <c r="P16" s="2978">
        <v>1.9337043884017278E-2</v>
      </c>
      <c r="Q16" s="2978">
        <v>1.9337043884017278E-2</v>
      </c>
      <c r="S16" s="5693">
        <v>1.6138112216175646E-2</v>
      </c>
      <c r="T16" s="701">
        <v>1.4060577655398676E-2</v>
      </c>
      <c r="U16" s="701">
        <v>1.3654096228868659E-2</v>
      </c>
      <c r="V16" s="701">
        <v>1.2054244098442995E-2</v>
      </c>
      <c r="W16" s="701">
        <v>1.584472172707467E-2</v>
      </c>
      <c r="X16" s="701">
        <v>1.1954572624028692E-2</v>
      </c>
      <c r="Y16" s="701">
        <v>1.0812975570684821E-2</v>
      </c>
      <c r="Z16" s="5639">
        <v>1.1175496688741723E-2</v>
      </c>
      <c r="AA16" s="5639">
        <v>6.1374795417348605E-3</v>
      </c>
      <c r="AB16" s="5639">
        <v>1.0408326661329063E-2</v>
      </c>
      <c r="AC16" s="5639">
        <v>1.0556232237109216E-2</v>
      </c>
      <c r="AD16" s="5695">
        <v>8.0000000000000002E-3</v>
      </c>
      <c r="AE16" s="5695">
        <v>1.1733069604132418E-2</v>
      </c>
      <c r="AF16" s="5695">
        <v>1.1733069604132418E-2</v>
      </c>
      <c r="AH16" s="5693">
        <v>6.2292358803986711E-3</v>
      </c>
      <c r="AI16" s="701">
        <v>4.9751243781094526E-3</v>
      </c>
      <c r="AJ16" s="701">
        <v>5.9571088165210487E-3</v>
      </c>
      <c r="AK16" s="701">
        <v>7.91765637371338E-3</v>
      </c>
      <c r="AL16" s="701">
        <v>5.8522311631309439E-3</v>
      </c>
      <c r="AM16" s="701">
        <v>3.5506778566817302E-3</v>
      </c>
      <c r="AN16" s="701">
        <v>4.3887147335423199E-3</v>
      </c>
      <c r="AO16" s="5639">
        <v>1.6727069974909396E-3</v>
      </c>
      <c r="AP16" s="5639">
        <v>4.4576523031203564E-3</v>
      </c>
      <c r="AQ16" s="5639">
        <v>3.8429865495470767E-3</v>
      </c>
      <c r="AR16" s="2978">
        <v>3.150959610426812E-3</v>
      </c>
      <c r="AS16" s="5695">
        <v>3.1505986137366098E-3</v>
      </c>
      <c r="AT16" s="5695">
        <f t="shared" si="7"/>
        <v>4.5954711063682782E-3</v>
      </c>
      <c r="AU16" s="5695">
        <f t="shared" si="4"/>
        <v>4.5954711063682782E-3</v>
      </c>
      <c r="AW16" s="5693">
        <v>4.0268456375838931E-3</v>
      </c>
      <c r="AX16" s="701">
        <v>3.5211267605633804E-3</v>
      </c>
      <c r="AY16" s="701"/>
      <c r="AZ16" s="701"/>
      <c r="BA16" s="701"/>
      <c r="BB16" s="701"/>
      <c r="BC16" s="701"/>
      <c r="BD16" s="5639"/>
      <c r="BE16" s="5639"/>
      <c r="BF16" s="5639"/>
      <c r="BG16" s="2978"/>
      <c r="BH16" s="5695"/>
      <c r="BI16" s="5695">
        <f t="shared" si="8"/>
        <v>3.7739861990736369E-3</v>
      </c>
      <c r="BJ16" s="5695">
        <f t="shared" si="5"/>
        <v>3.7739861990736369E-3</v>
      </c>
      <c r="BL16" s="5686">
        <f t="shared" si="2"/>
        <v>-1.4539976175460723E-3</v>
      </c>
      <c r="BM16" s="5686">
        <f t="shared" si="6"/>
        <v>-8.2148490729464126E-4</v>
      </c>
      <c r="BN16" s="5686">
        <f t="shared" si="9"/>
        <v>-8.2148490729464126E-4</v>
      </c>
      <c r="BO16" s="2978">
        <f>IFERROR(
  _xlfn.XLOOKUP($A$1,$2:$2,16:16)
 -_xlfn.XLOOKUP(EDATE($A$1,-1),$2:$2,16:16),"")</f>
        <v>-5.0571887702051269E-4</v>
      </c>
    </row>
    <row r="17" spans="1:67" x14ac:dyDescent="0.55000000000000004">
      <c r="A17" s="7471"/>
      <c r="B17" s="1206"/>
      <c r="C17" s="5696" t="s">
        <v>75</v>
      </c>
      <c r="D17" s="5697">
        <v>1.2163222600052316E-2</v>
      </c>
      <c r="E17" s="5697">
        <v>1.4556422529670184E-2</v>
      </c>
      <c r="F17" s="5697">
        <v>1.9749580482767523E-2</v>
      </c>
      <c r="G17" s="5697">
        <v>1.6131049143428788E-2</v>
      </c>
      <c r="H17" s="5697">
        <v>2.0116054158607351E-2</v>
      </c>
      <c r="I17" s="5697">
        <v>1.8953752843062926E-2</v>
      </c>
      <c r="J17" s="5697">
        <v>2.0892923765700781E-2</v>
      </c>
      <c r="K17" s="5697">
        <v>1.4431082331174839E-2</v>
      </c>
      <c r="L17" s="5697">
        <v>1.0626603151337488E-2</v>
      </c>
      <c r="M17" s="5697">
        <v>1.3505691684352691E-2</v>
      </c>
      <c r="N17" s="5697">
        <v>8.2675685832393833E-3</v>
      </c>
      <c r="O17" s="5697">
        <v>1.3053493729203993E-2</v>
      </c>
      <c r="P17" s="5697">
        <v>1.5191639840789077E-2</v>
      </c>
      <c r="Q17" s="5697">
        <v>1.5191639840789077E-2</v>
      </c>
      <c r="S17" s="5698">
        <v>1.1800957188749753E-2</v>
      </c>
      <c r="T17" s="5699">
        <v>1.2530059486140993E-2</v>
      </c>
      <c r="U17" s="5699">
        <v>1.4050554445898479E-2</v>
      </c>
      <c r="V17" s="5699">
        <v>1.1296699749858793E-2</v>
      </c>
      <c r="W17" s="5699">
        <v>1.9314686315187065E-2</v>
      </c>
      <c r="X17" s="5699">
        <v>1.6925858951175408E-2</v>
      </c>
      <c r="Y17" s="5699">
        <v>1.0132501948558068E-2</v>
      </c>
      <c r="Z17" s="5700">
        <v>9.984639016897081E-3</v>
      </c>
      <c r="AA17" s="5701">
        <v>8.7819778541428032E-3</v>
      </c>
      <c r="AB17" s="5701">
        <v>1.6387472687545521E-2</v>
      </c>
      <c r="AC17" s="5701">
        <v>1.1991279069767442E-2</v>
      </c>
      <c r="AD17" s="5702">
        <v>7.0000000000000001E-3</v>
      </c>
      <c r="AE17" s="5703">
        <v>1.2516390559493449E-2</v>
      </c>
      <c r="AF17" s="5703">
        <v>1.2516390559493449E-2</v>
      </c>
      <c r="AH17" s="5698">
        <v>7.3076923076923076E-3</v>
      </c>
      <c r="AI17" s="5699">
        <v>1.228293096145701E-2</v>
      </c>
      <c r="AJ17" s="5699">
        <v>5.8639562157935888E-3</v>
      </c>
      <c r="AK17" s="5699">
        <v>5.1689860834990059E-3</v>
      </c>
      <c r="AL17" s="5699">
        <v>4.9713193116634798E-3</v>
      </c>
      <c r="AM17" s="5699">
        <v>5.45144804088586E-3</v>
      </c>
      <c r="AN17" s="5699">
        <v>5.7379662097545425E-3</v>
      </c>
      <c r="AO17" s="5700">
        <v>4.4817927170868344E-3</v>
      </c>
      <c r="AP17" s="5700">
        <v>4.596380350474002E-3</v>
      </c>
      <c r="AQ17" s="5700">
        <v>4.4198895027624313E-3</v>
      </c>
      <c r="AR17" s="5697">
        <v>3.9128004471771938E-3</v>
      </c>
      <c r="AS17" s="5703">
        <v>5.8407623731939751E-3</v>
      </c>
      <c r="AT17" s="5703">
        <f t="shared" si="7"/>
        <v>5.8363270434533534E-3</v>
      </c>
      <c r="AU17" s="5703">
        <f t="shared" si="4"/>
        <v>5.8363270434533534E-3</v>
      </c>
      <c r="AW17" s="5698">
        <v>4.3017868960953014E-3</v>
      </c>
      <c r="AX17" s="5699">
        <v>4.7566776436150753E-3</v>
      </c>
      <c r="AY17" s="5699"/>
      <c r="AZ17" s="5699"/>
      <c r="BA17" s="5699"/>
      <c r="BB17" s="5699"/>
      <c r="BC17" s="5699"/>
      <c r="BD17" s="5700"/>
      <c r="BE17" s="5700"/>
      <c r="BF17" s="5700"/>
      <c r="BG17" s="5697"/>
      <c r="BH17" s="5703"/>
      <c r="BI17" s="5703">
        <f t="shared" si="8"/>
        <v>4.5292322698551879E-3</v>
      </c>
      <c r="BJ17" s="5703">
        <f t="shared" si="5"/>
        <v>4.5292322698551879E-3</v>
      </c>
      <c r="BL17" s="5686">
        <f t="shared" si="2"/>
        <v>-7.5262533178419352E-3</v>
      </c>
      <c r="BM17" s="5686">
        <f t="shared" si="6"/>
        <v>-1.3070947735981655E-3</v>
      </c>
      <c r="BN17" s="5686">
        <f t="shared" si="9"/>
        <v>-1.3070947735981655E-3</v>
      </c>
      <c r="BO17" s="2978">
        <f t="shared" si="3"/>
        <v>4.5489074751977384E-4</v>
      </c>
    </row>
    <row r="18" spans="1:67" x14ac:dyDescent="0.55000000000000004">
      <c r="A18" s="7471"/>
      <c r="B18" s="571" t="s">
        <v>20</v>
      </c>
      <c r="C18" s="1028"/>
      <c r="D18" s="5686">
        <v>9.9643482647410585E-3</v>
      </c>
      <c r="E18" s="5686">
        <v>8.9751593031884205E-3</v>
      </c>
      <c r="F18" s="5686">
        <v>1.8719493988678119E-2</v>
      </c>
      <c r="G18" s="5686">
        <v>1.2813786547993061E-2</v>
      </c>
      <c r="H18" s="5686">
        <v>1.5163437045730366E-2</v>
      </c>
      <c r="I18" s="5686">
        <v>1.7469679179590202E-2</v>
      </c>
      <c r="J18" s="5686">
        <v>1.3842949895871613E-2</v>
      </c>
      <c r="K18" s="5686">
        <v>1.0602514856483976E-2</v>
      </c>
      <c r="L18" s="5686">
        <v>9.2473566962573105E-3</v>
      </c>
      <c r="M18" s="5686">
        <v>9.2912204106692133E-3</v>
      </c>
      <c r="N18" s="5686">
        <v>8.5964384314443851E-3</v>
      </c>
      <c r="O18" s="5686">
        <v>8.4866190340852771E-3</v>
      </c>
      <c r="P18" s="5686">
        <v>1.191955908369732E-2</v>
      </c>
      <c r="Q18" s="5686">
        <v>1.191955908369732E-2</v>
      </c>
      <c r="S18" s="5704">
        <v>9.116305654495423E-3</v>
      </c>
      <c r="T18" s="3951">
        <v>8.3484403534708242E-3</v>
      </c>
      <c r="U18" s="3951">
        <v>8.645213728894964E-3</v>
      </c>
      <c r="V18" s="3951">
        <v>9.4195936921526811E-3</v>
      </c>
      <c r="W18" s="3951">
        <v>8.7498769828133795E-3</v>
      </c>
      <c r="X18" s="3951">
        <v>8.716538178437221E-3</v>
      </c>
      <c r="Y18" s="3951">
        <v>1.0621017118580533E-2</v>
      </c>
      <c r="Z18" s="3951">
        <v>6.9227158948685901E-3</v>
      </c>
      <c r="AA18" s="5705">
        <v>6.6291528559315497E-3</v>
      </c>
      <c r="AB18" s="5705">
        <v>7.4121940094267905E-3</v>
      </c>
      <c r="AC18" s="5705">
        <v>7.6238881829733167E-3</v>
      </c>
      <c r="AD18" s="5706">
        <v>7.0000000000000001E-3</v>
      </c>
      <c r="AE18" s="5707">
        <v>8.2670780543371066E-3</v>
      </c>
      <c r="AF18" s="5707">
        <v>8.2670780543371066E-3</v>
      </c>
      <c r="AH18" s="5704">
        <v>7.2880273488861343E-3</v>
      </c>
      <c r="AI18" s="3951">
        <v>8.1928838951310853E-3</v>
      </c>
      <c r="AJ18" s="3951">
        <v>6.5489330389992646E-3</v>
      </c>
      <c r="AK18" s="3951">
        <v>6.0878280559783218E-3</v>
      </c>
      <c r="AL18" s="3951">
        <v>5.4813416581966021E-3</v>
      </c>
      <c r="AM18" s="3951">
        <v>5.9433444232694851E-3</v>
      </c>
      <c r="AN18" s="3951">
        <v>6.8857684096581169E-3</v>
      </c>
      <c r="AO18" s="3951">
        <v>5.1696639718418307E-3</v>
      </c>
      <c r="AP18" s="5708">
        <v>4.8913345561669725E-3</v>
      </c>
      <c r="AQ18" s="5708">
        <v>4.1318987953100263E-3</v>
      </c>
      <c r="AR18" s="5686">
        <v>3.2514258301796278E-3</v>
      </c>
      <c r="AS18" s="5707">
        <v>4.6346226717579502E-3</v>
      </c>
      <c r="AT18" s="5707">
        <f t="shared" si="7"/>
        <v>5.7089227212812855E-3</v>
      </c>
      <c r="AU18" s="5707">
        <f t="shared" si="4"/>
        <v>5.7089227212812855E-3</v>
      </c>
      <c r="AW18" s="5704">
        <v>4.6188679245283016E-3</v>
      </c>
      <c r="AX18" s="3951">
        <v>5.0279662025467095E-3</v>
      </c>
      <c r="AY18" s="3951"/>
      <c r="AZ18" s="3951"/>
      <c r="BA18" s="3951"/>
      <c r="BB18" s="3951"/>
      <c r="BC18" s="3951"/>
      <c r="BD18" s="3951"/>
      <c r="BE18" s="5708"/>
      <c r="BF18" s="5708"/>
      <c r="BG18" s="5686"/>
      <c r="BH18" s="5707"/>
      <c r="BI18" s="5707">
        <f t="shared" si="8"/>
        <v>4.8234170635375051E-3</v>
      </c>
      <c r="BJ18" s="5707">
        <f t="shared" si="5"/>
        <v>4.8234170635375051E-3</v>
      </c>
      <c r="BL18" s="5686">
        <f t="shared" si="2"/>
        <v>-3.1649176925843759E-3</v>
      </c>
      <c r="BM18" s="5686">
        <f t="shared" si="6"/>
        <v>-8.8550565774378042E-4</v>
      </c>
      <c r="BN18" s="5686">
        <f t="shared" si="9"/>
        <v>-8.8550565774378042E-4</v>
      </c>
      <c r="BO18" s="2978">
        <f t="shared" si="3"/>
        <v>4.0909827801840788E-4</v>
      </c>
    </row>
    <row r="19" spans="1:67" x14ac:dyDescent="0.55000000000000004">
      <c r="A19" s="7471"/>
      <c r="C19" s="559" t="s">
        <v>67</v>
      </c>
      <c r="D19" s="2978">
        <v>1.4355211739373154E-2</v>
      </c>
      <c r="E19" s="2978">
        <v>7.7124020400547331E-3</v>
      </c>
      <c r="F19" s="2978">
        <v>2.1549902814163777E-2</v>
      </c>
      <c r="G19" s="2978">
        <v>1.6288890804102389E-2</v>
      </c>
      <c r="H19" s="2978">
        <v>2.1605230740073915E-2</v>
      </c>
      <c r="I19" s="2978">
        <v>2.3009443459086332E-2</v>
      </c>
      <c r="J19" s="2978">
        <v>2.0420070011668612E-2</v>
      </c>
      <c r="K19" s="2978">
        <v>1.1931900858514819E-2</v>
      </c>
      <c r="L19" s="2978">
        <v>1.1874306125404256E-2</v>
      </c>
      <c r="M19" s="2978">
        <v>9.0926867422761043E-3</v>
      </c>
      <c r="N19" s="2978">
        <v>1.187279151943463E-2</v>
      </c>
      <c r="O19" s="2978">
        <v>1.2011439466158246E-2</v>
      </c>
      <c r="P19" s="2978">
        <v>1.5125839213700077E-2</v>
      </c>
      <c r="Q19" s="2978">
        <v>1.5125839213700077E-2</v>
      </c>
      <c r="S19" s="5693">
        <v>9.1396000196550531E-3</v>
      </c>
      <c r="T19" s="701">
        <v>1.4945391837516767E-2</v>
      </c>
      <c r="U19" s="701">
        <v>1.1176857330703484E-2</v>
      </c>
      <c r="V19" s="701">
        <v>1.2205525296935494E-2</v>
      </c>
      <c r="W19" s="701">
        <v>1.0717156381173529E-2</v>
      </c>
      <c r="X19" s="701">
        <v>1.1138613861386138E-2</v>
      </c>
      <c r="Y19" s="701">
        <v>2.4468085106382979E-2</v>
      </c>
      <c r="Z19" s="701">
        <v>1.2184754888070274E-2</v>
      </c>
      <c r="AA19" s="5639">
        <v>6.7330999192028009E-3</v>
      </c>
      <c r="AB19" s="5639">
        <v>8.7486744432661717E-3</v>
      </c>
      <c r="AC19" s="5639">
        <v>8.7628865979381444E-3</v>
      </c>
      <c r="AD19" s="5695">
        <v>0.01</v>
      </c>
      <c r="AE19" s="5695">
        <v>1.168505380685257E-2</v>
      </c>
      <c r="AF19" s="5695">
        <v>1.168505380685257E-2</v>
      </c>
      <c r="AH19" s="5693">
        <v>7.4806305102858668E-3</v>
      </c>
      <c r="AI19" s="701">
        <v>1.117798796216681E-2</v>
      </c>
      <c r="AJ19" s="701">
        <v>7.5715086932136846E-3</v>
      </c>
      <c r="AK19" s="701">
        <v>9.8607888631090483E-3</v>
      </c>
      <c r="AL19" s="701">
        <v>5.2023121387283237E-3</v>
      </c>
      <c r="AM19" s="701">
        <v>6.8113017154389508E-3</v>
      </c>
      <c r="AN19" s="701">
        <v>8.0013335555925991E-3</v>
      </c>
      <c r="AO19" s="701">
        <v>7.3092736409319323E-3</v>
      </c>
      <c r="AP19" s="5639">
        <v>6.8195908245505272E-3</v>
      </c>
      <c r="AQ19" s="5639">
        <v>5.0974512743628183E-3</v>
      </c>
      <c r="AR19" s="2978">
        <v>4.2245021122510563E-3</v>
      </c>
      <c r="AS19" s="5695">
        <v>5.5856465809072447E-3</v>
      </c>
      <c r="AT19" s="5695">
        <f t="shared" si="7"/>
        <v>7.0951939892949052E-3</v>
      </c>
      <c r="AU19" s="5695">
        <f t="shared" si="4"/>
        <v>7.0951939892949052E-3</v>
      </c>
      <c r="AW19" s="5693">
        <v>5.5220017256255392E-3</v>
      </c>
      <c r="AX19" s="701">
        <v>4.8341390231705283E-3</v>
      </c>
      <c r="AY19" s="701"/>
      <c r="AZ19" s="701"/>
      <c r="BA19" s="701"/>
      <c r="BB19" s="701"/>
      <c r="BC19" s="701"/>
      <c r="BD19" s="701"/>
      <c r="BE19" s="5639"/>
      <c r="BF19" s="5639"/>
      <c r="BG19" s="2978"/>
      <c r="BH19" s="5695"/>
      <c r="BI19" s="5695">
        <f t="shared" si="8"/>
        <v>5.1780703743980333E-3</v>
      </c>
      <c r="BJ19" s="5695">
        <f t="shared" si="5"/>
        <v>5.1780703743980333E-3</v>
      </c>
      <c r="BL19" s="5686">
        <f t="shared" si="2"/>
        <v>-6.3438489389962818E-3</v>
      </c>
      <c r="BM19" s="5686">
        <f t="shared" si="6"/>
        <v>-1.9171236148968719E-3</v>
      </c>
      <c r="BN19" s="5686">
        <f t="shared" si="9"/>
        <v>-1.9171236148968719E-3</v>
      </c>
      <c r="BO19" s="2978">
        <f t="shared" si="3"/>
        <v>-6.8786270245501085E-4</v>
      </c>
    </row>
    <row r="20" spans="1:67" x14ac:dyDescent="0.55000000000000004">
      <c r="A20" s="7471"/>
      <c r="C20" s="559" t="s">
        <v>68</v>
      </c>
      <c r="D20" s="2978">
        <v>1.3828238719068414E-2</v>
      </c>
      <c r="E20" s="2978">
        <v>1.4039779374895539E-2</v>
      </c>
      <c r="F20" s="2978">
        <v>2.204710465734018E-2</v>
      </c>
      <c r="G20" s="2978">
        <v>1.4858295881867375E-2</v>
      </c>
      <c r="H20" s="2978">
        <v>1.660346417956339E-2</v>
      </c>
      <c r="I20" s="2978">
        <v>2.5845358604350634E-2</v>
      </c>
      <c r="J20" s="2978">
        <v>1.8521580949231023E-2</v>
      </c>
      <c r="K20" s="2978">
        <v>1.256011315417256E-2</v>
      </c>
      <c r="L20" s="2978">
        <v>1.5209553853086975E-2</v>
      </c>
      <c r="M20" s="2978">
        <v>1.5301785208274297E-2</v>
      </c>
      <c r="N20" s="2978">
        <v>9.9823229697410844E-3</v>
      </c>
      <c r="O20" s="2978">
        <v>9.5817020399752723E-3</v>
      </c>
      <c r="P20" s="2978">
        <v>1.568445206076273E-2</v>
      </c>
      <c r="Q20" s="2978">
        <v>1.568445206076273E-2</v>
      </c>
      <c r="S20" s="5693">
        <v>1.1510940578658094E-2</v>
      </c>
      <c r="T20" s="701">
        <v>1.3279678068410464E-2</v>
      </c>
      <c r="U20" s="701">
        <v>9.8661828078929481E-3</v>
      </c>
      <c r="V20" s="701">
        <v>1.2143290831815421E-2</v>
      </c>
      <c r="W20" s="701">
        <v>7.7648363838047699E-3</v>
      </c>
      <c r="X20" s="701">
        <v>1.4540816326530611E-2</v>
      </c>
      <c r="Y20" s="701">
        <v>2.2522522522522521E-2</v>
      </c>
      <c r="Z20" s="701">
        <v>3.4472852628555013E-3</v>
      </c>
      <c r="AA20" s="5639">
        <v>6.5111231687466084E-3</v>
      </c>
      <c r="AB20" s="5639">
        <v>4.7194546407970635E-3</v>
      </c>
      <c r="AC20" s="5639">
        <v>6.8912710566615618E-3</v>
      </c>
      <c r="AD20" s="5695">
        <v>8.0000000000000002E-3</v>
      </c>
      <c r="AE20" s="5695">
        <v>1.0099783470724629E-2</v>
      </c>
      <c r="AF20" s="5695">
        <v>1.0099783470724629E-2</v>
      </c>
      <c r="AH20" s="5693">
        <v>6.2176165803108805E-3</v>
      </c>
      <c r="AI20" s="701">
        <v>1.1332227750138198E-2</v>
      </c>
      <c r="AJ20" s="701">
        <v>8.1146875845279961E-3</v>
      </c>
      <c r="AK20" s="701">
        <v>4.8364153627311526E-3</v>
      </c>
      <c r="AL20" s="701">
        <v>7.2971395213076475E-3</v>
      </c>
      <c r="AM20" s="701">
        <v>6.809848088004191E-3</v>
      </c>
      <c r="AN20" s="701">
        <v>8.5470085470085479E-3</v>
      </c>
      <c r="AO20" s="701">
        <v>4.9031053000233478E-3</v>
      </c>
      <c r="AP20" s="5639">
        <v>6.6256507335541882E-3</v>
      </c>
      <c r="AQ20" s="5639">
        <v>6.762849413886384E-3</v>
      </c>
      <c r="AR20" s="2978">
        <v>5.426524853483829E-3</v>
      </c>
      <c r="AS20" s="5695">
        <v>5.8018101647714084E-3</v>
      </c>
      <c r="AT20" s="5695">
        <f t="shared" si="7"/>
        <v>6.8895736583123139E-3</v>
      </c>
      <c r="AU20" s="5695">
        <f t="shared" si="4"/>
        <v>6.8895736583123139E-3</v>
      </c>
      <c r="AW20" s="5693">
        <v>6.3187456119822138E-3</v>
      </c>
      <c r="AX20" s="701">
        <v>5.6028686687584041E-3</v>
      </c>
      <c r="AY20" s="701"/>
      <c r="AZ20" s="701"/>
      <c r="BA20" s="701"/>
      <c r="BB20" s="701"/>
      <c r="BC20" s="701"/>
      <c r="BD20" s="701"/>
      <c r="BE20" s="5639"/>
      <c r="BF20" s="5639"/>
      <c r="BG20" s="2978"/>
      <c r="BH20" s="5695"/>
      <c r="BI20" s="5695">
        <f t="shared" si="8"/>
        <v>5.9608071403703094E-3</v>
      </c>
      <c r="BJ20" s="5695">
        <f t="shared" si="5"/>
        <v>5.9608071403703094E-3</v>
      </c>
      <c r="BL20" s="5686">
        <f t="shared" ref="BL20:BL51" si="10">IFERROR(_xlfn.XLOOKUP($A$1,$2:$2,20:20)-_xlfn.XLOOKUP(EDATE($A$1,-12),$2:$2,20:20),"")</f>
        <v>-5.7293590813797942E-3</v>
      </c>
      <c r="BM20" s="5686">
        <f t="shared" si="6"/>
        <v>-9.2876651794200453E-4</v>
      </c>
      <c r="BN20" s="5686">
        <f t="shared" si="9"/>
        <v>-9.2876651794200453E-4</v>
      </c>
      <c r="BO20" s="2978">
        <f t="shared" ref="BO20:BO51" si="11">IFERROR(
  _xlfn.XLOOKUP($A$1,$2:$2,20:20)
 -_xlfn.XLOOKUP(EDATE($A$1,-1),$2:$2,20:20),"")</f>
        <v>-7.1587694322380966E-4</v>
      </c>
    </row>
    <row r="21" spans="1:67" x14ac:dyDescent="0.55000000000000004">
      <c r="A21" s="7471"/>
      <c r="C21" s="559" t="s">
        <v>69</v>
      </c>
      <c r="D21" s="2978">
        <v>4.4360469892384784E-3</v>
      </c>
      <c r="E21" s="2978">
        <v>4.9120992761116852E-3</v>
      </c>
      <c r="F21" s="2978">
        <v>2.09049521508873E-2</v>
      </c>
      <c r="G21" s="2978">
        <v>1.023308698123934E-2</v>
      </c>
      <c r="H21" s="2978">
        <v>1.5254501115550252E-2</v>
      </c>
      <c r="I21" s="2978">
        <v>2.2820919175911253E-2</v>
      </c>
      <c r="J21" s="2978">
        <v>8.0012802048327735E-3</v>
      </c>
      <c r="K21" s="2978">
        <v>1.0718226238638155E-2</v>
      </c>
      <c r="L21" s="2978">
        <v>9.1584410298158128E-3</v>
      </c>
      <c r="M21" s="2978">
        <v>1.1243558378012596E-2</v>
      </c>
      <c r="N21" s="2978">
        <v>8.9445438282647581E-3</v>
      </c>
      <c r="O21" s="2978">
        <v>7.8435316003821216E-3</v>
      </c>
      <c r="P21" s="2978">
        <v>1.1018204522360832E-2</v>
      </c>
      <c r="Q21" s="2978">
        <v>1.1018204522360832E-2</v>
      </c>
      <c r="S21" s="5693">
        <v>1.1435046873390337E-2</v>
      </c>
      <c r="T21" s="701">
        <v>8.2187089777980716E-3</v>
      </c>
      <c r="U21" s="701">
        <v>9.6041909196740403E-3</v>
      </c>
      <c r="V21" s="701">
        <v>1.1619462599854757E-2</v>
      </c>
      <c r="W21" s="701">
        <v>1.1261261261261259E-2</v>
      </c>
      <c r="X21" s="701">
        <v>1.0024132170038983E-2</v>
      </c>
      <c r="Y21" s="701">
        <v>5.1948051948051951E-2</v>
      </c>
      <c r="Z21" s="701">
        <v>6.8775790921595595E-3</v>
      </c>
      <c r="AA21" s="5639">
        <v>5.3078556263269636E-3</v>
      </c>
      <c r="AB21" s="5639">
        <v>6.8080649384655665E-3</v>
      </c>
      <c r="AC21" s="5639">
        <v>7.1102082275266631E-3</v>
      </c>
      <c r="AD21" s="5695">
        <v>7.0000000000000001E-3</v>
      </c>
      <c r="AE21" s="5695">
        <v>1.226788021954568E-2</v>
      </c>
      <c r="AF21" s="5695">
        <v>1.226788021954568E-2</v>
      </c>
      <c r="AH21" s="5693">
        <v>5.5432372505543242E-3</v>
      </c>
      <c r="AI21" s="701">
        <v>1.016260162601626E-2</v>
      </c>
      <c r="AJ21" s="701">
        <v>5.8906030855539974E-3</v>
      </c>
      <c r="AK21" s="701">
        <v>6.4084703259960994E-3</v>
      </c>
      <c r="AL21" s="701">
        <v>7.3591848287574303E-3</v>
      </c>
      <c r="AM21" s="701">
        <v>6.422924901185771E-3</v>
      </c>
      <c r="AN21" s="701">
        <v>7.86308973172988E-3</v>
      </c>
      <c r="AO21" s="701">
        <v>5.9334604789150246E-3</v>
      </c>
      <c r="AP21" s="5639">
        <v>4.2946102641185317E-3</v>
      </c>
      <c r="AQ21" s="5639">
        <v>4.4006705783738477E-3</v>
      </c>
      <c r="AR21" s="2978">
        <v>3.5008237232289951E-3</v>
      </c>
      <c r="AS21" s="5695">
        <v>5.2130553037171351E-3</v>
      </c>
      <c r="AT21" s="5695">
        <f t="shared" si="7"/>
        <v>6.0827276748456069E-3</v>
      </c>
      <c r="AU21" s="5695">
        <f t="shared" si="4"/>
        <v>6.0827276748456069E-3</v>
      </c>
      <c r="AW21" s="5693">
        <v>5.4907343857240904E-3</v>
      </c>
      <c r="AX21" s="701">
        <v>6.5345240688303198E-3</v>
      </c>
      <c r="AY21" s="701"/>
      <c r="AZ21" s="701"/>
      <c r="BA21" s="701"/>
      <c r="BB21" s="701"/>
      <c r="BC21" s="701"/>
      <c r="BD21" s="701"/>
      <c r="BE21" s="5639"/>
      <c r="BF21" s="5639"/>
      <c r="BG21" s="2978"/>
      <c r="BH21" s="5695"/>
      <c r="BI21" s="5695">
        <f t="shared" si="8"/>
        <v>6.0126292272772051E-3</v>
      </c>
      <c r="BJ21" s="5695">
        <f t="shared" si="5"/>
        <v>6.0126292272772051E-3</v>
      </c>
      <c r="BL21" s="5686">
        <f t="shared" si="10"/>
        <v>-3.6280775571859401E-3</v>
      </c>
      <c r="BM21" s="5686">
        <f t="shared" si="6"/>
        <v>-7.009844756840182E-5</v>
      </c>
      <c r="BN21" s="5686">
        <f t="shared" si="9"/>
        <v>-7.009844756840182E-5</v>
      </c>
      <c r="BO21" s="2978">
        <f t="shared" si="11"/>
        <v>1.0437896831062294E-3</v>
      </c>
    </row>
    <row r="22" spans="1:67" x14ac:dyDescent="0.55000000000000004">
      <c r="A22" s="7471"/>
      <c r="C22" s="559" t="s">
        <v>72</v>
      </c>
      <c r="D22" s="2978">
        <v>1.3018209996125532E-2</v>
      </c>
      <c r="E22" s="2978">
        <v>1.3357619914996965E-2</v>
      </c>
      <c r="F22" s="2978">
        <v>2.4512256128064031E-2</v>
      </c>
      <c r="G22" s="2978">
        <v>1.4932298477243009E-2</v>
      </c>
      <c r="H22" s="2978">
        <v>2.0013522650439486E-2</v>
      </c>
      <c r="I22" s="2978">
        <v>1.5175204635335234E-2</v>
      </c>
      <c r="J22" s="2978">
        <v>1.4779011944044245E-2</v>
      </c>
      <c r="K22" s="2978">
        <v>1.0857461024498886E-2</v>
      </c>
      <c r="L22" s="2978">
        <v>9.8168431577512153E-3</v>
      </c>
      <c r="M22" s="2978">
        <v>8.8393720362782563E-3</v>
      </c>
      <c r="N22" s="2978">
        <v>1.0015814443858724E-2</v>
      </c>
      <c r="O22" s="2978">
        <v>9.5011876484560574E-3</v>
      </c>
      <c r="P22" s="2978">
        <v>1.3795767257462689E-2</v>
      </c>
      <c r="Q22" s="2978">
        <v>1.3795767257462689E-2</v>
      </c>
      <c r="S22" s="5693">
        <v>1.2324729838349558E-2</v>
      </c>
      <c r="T22" s="701">
        <v>7.8994309012146418E-3</v>
      </c>
      <c r="U22" s="701">
        <v>1.1361634666196935E-2</v>
      </c>
      <c r="V22" s="701">
        <v>1.2170910660336643E-2</v>
      </c>
      <c r="W22" s="701">
        <v>1.2586312385281007E-2</v>
      </c>
      <c r="X22" s="701">
        <v>8.6797430115304417E-3</v>
      </c>
      <c r="Y22" s="701">
        <v>1.1304988940771688E-2</v>
      </c>
      <c r="Z22" s="701">
        <v>7.7133615327195822E-3</v>
      </c>
      <c r="AA22" s="5639">
        <v>1.1008256192144109E-2</v>
      </c>
      <c r="AB22" s="5639">
        <v>8.2987551867219917E-3</v>
      </c>
      <c r="AC22" s="5639">
        <v>1.0531354715174725E-2</v>
      </c>
      <c r="AD22" s="5695">
        <v>8.0000000000000002E-3</v>
      </c>
      <c r="AE22" s="5695">
        <v>1.0156623169203445E-2</v>
      </c>
      <c r="AF22" s="5695">
        <v>1.0156623169203445E-2</v>
      </c>
      <c r="AH22" s="5693">
        <v>9.2246870195475516E-3</v>
      </c>
      <c r="AI22" s="701">
        <v>6.3222149553084804E-3</v>
      </c>
      <c r="AJ22" s="701">
        <v>5.6996855345911946E-3</v>
      </c>
      <c r="AK22" s="701">
        <v>7.7534405892614846E-3</v>
      </c>
      <c r="AL22" s="701">
        <v>6.4923354373309285E-3</v>
      </c>
      <c r="AM22" s="701">
        <v>4.7296232066845337E-3</v>
      </c>
      <c r="AN22" s="701">
        <v>6.0640248201946131E-3</v>
      </c>
      <c r="AO22" s="701">
        <v>4.9130763416477706E-3</v>
      </c>
      <c r="AP22" s="5639">
        <v>3.9915180241985784E-3</v>
      </c>
      <c r="AQ22" s="5639">
        <v>3.4809746729084143E-3</v>
      </c>
      <c r="AR22" s="2978">
        <v>2.398369109005876E-3</v>
      </c>
      <c r="AS22" s="5695">
        <v>2.9119788219722038E-3</v>
      </c>
      <c r="AT22" s="5695">
        <f t="shared" si="7"/>
        <v>5.331827377720969E-3</v>
      </c>
      <c r="AU22" s="5695">
        <f t="shared" si="4"/>
        <v>5.331827377720969E-3</v>
      </c>
      <c r="AW22" s="5693">
        <v>3.5842293906810036E-3</v>
      </c>
      <c r="AX22" s="701">
        <v>5.6598153112898423E-3</v>
      </c>
      <c r="AY22" s="701"/>
      <c r="AZ22" s="701"/>
      <c r="BA22" s="701"/>
      <c r="BB22" s="701"/>
      <c r="BC22" s="701"/>
      <c r="BD22" s="701"/>
      <c r="BE22" s="5639"/>
      <c r="BF22" s="5639"/>
      <c r="BG22" s="2978"/>
      <c r="BH22" s="5695"/>
      <c r="BI22" s="5695">
        <f t="shared" si="8"/>
        <v>4.622022350985423E-3</v>
      </c>
      <c r="BJ22" s="5695">
        <f t="shared" si="5"/>
        <v>4.622022350985423E-3</v>
      </c>
      <c r="BL22" s="5686">
        <f t="shared" si="10"/>
        <v>-6.6239964401863805E-4</v>
      </c>
      <c r="BM22" s="5686">
        <f t="shared" si="6"/>
        <v>-7.0980502673554605E-4</v>
      </c>
      <c r="BN22" s="5686">
        <f t="shared" si="9"/>
        <v>-7.0980502673554605E-4</v>
      </c>
      <c r="BO22" s="2978">
        <f t="shared" si="11"/>
        <v>2.0755859206088387E-3</v>
      </c>
    </row>
    <row r="23" spans="1:67" x14ac:dyDescent="0.55000000000000004">
      <c r="A23" s="7471"/>
      <c r="C23" s="559" t="s">
        <v>73</v>
      </c>
      <c r="D23" s="2978">
        <v>5.0738527455180963E-3</v>
      </c>
      <c r="E23" s="2978">
        <v>7.1701720841300188E-3</v>
      </c>
      <c r="F23" s="2978">
        <v>1.6557306678113691E-2</v>
      </c>
      <c r="G23" s="2978">
        <v>1.6638305917942901E-2</v>
      </c>
      <c r="H23" s="2978">
        <v>1.1145017911635928E-2</v>
      </c>
      <c r="I23" s="2978">
        <v>8.9072484347769969E-3</v>
      </c>
      <c r="J23" s="2978">
        <v>1.0966916468652898E-2</v>
      </c>
      <c r="K23" s="2978">
        <v>7.6197387518142238E-3</v>
      </c>
      <c r="L23" s="2978">
        <v>6.509161041465766E-3</v>
      </c>
      <c r="M23" s="2978">
        <v>6.1859421432470139E-3</v>
      </c>
      <c r="N23" s="2978">
        <v>4.9455401825139822E-3</v>
      </c>
      <c r="O23" s="2978">
        <v>5.4132082280765065E-3</v>
      </c>
      <c r="P23" s="2978">
        <v>8.8389482667533634E-3</v>
      </c>
      <c r="Q23" s="2978">
        <v>8.8389482667533634E-3</v>
      </c>
      <c r="S23" s="5693">
        <v>4.1817145029462077E-3</v>
      </c>
      <c r="T23" s="701">
        <v>5.5439201675495878E-3</v>
      </c>
      <c r="U23" s="701">
        <v>7.8936981976055788E-3</v>
      </c>
      <c r="V23" s="701">
        <v>6.1377149798606222E-3</v>
      </c>
      <c r="W23" s="701">
        <v>6.7666180177789565E-3</v>
      </c>
      <c r="X23" s="701">
        <v>7.0025286909161637E-3</v>
      </c>
      <c r="Y23" s="701">
        <v>4.8579970104633777E-3</v>
      </c>
      <c r="Z23" s="701">
        <v>4.9130763416477706E-3</v>
      </c>
      <c r="AA23" s="5639">
        <v>6.4491654021244307E-3</v>
      </c>
      <c r="AB23" s="5639">
        <v>8.4033613445378148E-3</v>
      </c>
      <c r="AC23" s="5639">
        <v>4.9961568024596463E-3</v>
      </c>
      <c r="AD23" s="5695">
        <v>8.0000000000000002E-3</v>
      </c>
      <c r="AE23" s="5695">
        <v>6.2621626214908466E-3</v>
      </c>
      <c r="AF23" s="5695">
        <v>6.2621626214908466E-3</v>
      </c>
      <c r="AH23" s="5693">
        <v>8.152173913043478E-3</v>
      </c>
      <c r="AI23" s="701">
        <v>4.7188360204482895E-3</v>
      </c>
      <c r="AJ23" s="701">
        <v>3.246753246753247E-3</v>
      </c>
      <c r="AK23" s="701">
        <v>4.6594982078853051E-3</v>
      </c>
      <c r="AL23" s="701">
        <v>4.372687521022536E-3</v>
      </c>
      <c r="AM23" s="701">
        <v>7.6001169248757676E-3</v>
      </c>
      <c r="AN23" s="701">
        <v>5.5821371610845294E-3</v>
      </c>
      <c r="AO23" s="701">
        <v>4.3902439024390248E-3</v>
      </c>
      <c r="AP23" s="5639">
        <v>2.1935169388252497E-3</v>
      </c>
      <c r="AQ23" s="5639">
        <v>3.0148423005565863E-3</v>
      </c>
      <c r="AR23" s="2978">
        <v>1.794124243103835E-3</v>
      </c>
      <c r="AS23" s="5695">
        <v>4.5487191764424229E-3</v>
      </c>
      <c r="AT23" s="5695">
        <f t="shared" si="7"/>
        <v>4.522804129706689E-3</v>
      </c>
      <c r="AU23" s="5695">
        <f t="shared" si="4"/>
        <v>4.522804129706689E-3</v>
      </c>
      <c r="AW23" s="5693">
        <v>2.92326431181486E-3</v>
      </c>
      <c r="AX23" s="701">
        <v>4.2056074766355141E-3</v>
      </c>
      <c r="AY23" s="701"/>
      <c r="AZ23" s="701"/>
      <c r="BA23" s="701"/>
      <c r="BB23" s="701"/>
      <c r="BC23" s="701"/>
      <c r="BD23" s="701"/>
      <c r="BE23" s="5639"/>
      <c r="BF23" s="5639"/>
      <c r="BG23" s="2978"/>
      <c r="BH23" s="5695"/>
      <c r="BI23" s="5695">
        <f t="shared" si="8"/>
        <v>3.5644358942251873E-3</v>
      </c>
      <c r="BJ23" s="5695">
        <f t="shared" si="5"/>
        <v>3.5644358942251873E-3</v>
      </c>
      <c r="BL23" s="5686">
        <f t="shared" si="10"/>
        <v>-5.1322854381277531E-4</v>
      </c>
      <c r="BM23" s="5686">
        <f t="shared" si="6"/>
        <v>-9.5836823548150173E-4</v>
      </c>
      <c r="BN23" s="5686">
        <f t="shared" si="9"/>
        <v>-9.5836823548150173E-4</v>
      </c>
      <c r="BO23" s="2978">
        <f t="shared" si="11"/>
        <v>1.2823431648206541E-3</v>
      </c>
    </row>
    <row r="24" spans="1:67" x14ac:dyDescent="0.55000000000000004">
      <c r="A24" s="7471"/>
      <c r="C24" s="559" t="s">
        <v>74</v>
      </c>
      <c r="D24" s="2978">
        <v>7.3197781885397419E-3</v>
      </c>
      <c r="E24" s="2978">
        <v>7.7179176755447949E-3</v>
      </c>
      <c r="F24" s="2978">
        <v>1.1999538479289258E-2</v>
      </c>
      <c r="G24" s="2978">
        <v>7.9533404029692462E-3</v>
      </c>
      <c r="H24" s="2978">
        <v>1.343811394891945E-2</v>
      </c>
      <c r="I24" s="2978">
        <v>1.79125584318655E-2</v>
      </c>
      <c r="J24" s="2978">
        <v>1.4366462552991051E-2</v>
      </c>
      <c r="K24" s="2978">
        <v>9.8691940158220411E-3</v>
      </c>
      <c r="L24" s="2978">
        <v>8.0968537939543478E-3</v>
      </c>
      <c r="M24" s="2978">
        <v>7.7765995051254861E-3</v>
      </c>
      <c r="N24" s="2978">
        <v>8.0441277867156977E-3</v>
      </c>
      <c r="O24" s="2978">
        <v>6.566090830923162E-3</v>
      </c>
      <c r="P24" s="2978">
        <v>1.0054906350416381E-2</v>
      </c>
      <c r="Q24" s="2978">
        <v>1.0054906350416381E-2</v>
      </c>
      <c r="S24" s="5693">
        <v>7.7751680570179007E-3</v>
      </c>
      <c r="T24" s="701">
        <v>5.4554079696394683E-3</v>
      </c>
      <c r="U24" s="701">
        <v>5.8306574277505498E-3</v>
      </c>
      <c r="V24" s="701">
        <v>6.3062305557891191E-3</v>
      </c>
      <c r="W24" s="701">
        <v>5.4345481992667671E-3</v>
      </c>
      <c r="X24" s="701">
        <v>7.8391705651789084E-3</v>
      </c>
      <c r="Y24" s="701">
        <v>7.6167076167076167E-3</v>
      </c>
      <c r="Z24" s="701">
        <v>6.2468765617191401E-3</v>
      </c>
      <c r="AA24" s="5639">
        <v>6.4201335387776065E-3</v>
      </c>
      <c r="AB24" s="5639">
        <v>7.1174377224199285E-3</v>
      </c>
      <c r="AC24" s="5639">
        <v>9.367088607594937E-3</v>
      </c>
      <c r="AD24" s="5695">
        <v>5.0000000000000001E-3</v>
      </c>
      <c r="AE24" s="5695">
        <v>6.7007855684884966E-3</v>
      </c>
      <c r="AF24" s="5695">
        <v>6.7007855684884966E-3</v>
      </c>
      <c r="AH24" s="5693">
        <v>8.4978755311172199E-3</v>
      </c>
      <c r="AI24" s="701">
        <v>7.205352547606794E-3</v>
      </c>
      <c r="AJ24" s="701">
        <v>7.8273244781783685E-3</v>
      </c>
      <c r="AK24" s="701">
        <v>4.048582995951417E-3</v>
      </c>
      <c r="AL24" s="701">
        <v>4.1879944160074451E-3</v>
      </c>
      <c r="AM24" s="701">
        <v>5.5248618784530384E-3</v>
      </c>
      <c r="AN24" s="701">
        <v>5.967774020290432E-3</v>
      </c>
      <c r="AO24" s="701">
        <v>4.210911753936287E-3</v>
      </c>
      <c r="AP24" s="5639">
        <v>5.4388597149287324E-3</v>
      </c>
      <c r="AQ24" s="5639">
        <v>3.4894398530762169E-3</v>
      </c>
      <c r="AR24" s="2978">
        <v>3.7195462153617261E-3</v>
      </c>
      <c r="AS24" s="5695">
        <v>4.488879820444807E-3</v>
      </c>
      <c r="AT24" s="5695">
        <f t="shared" si="7"/>
        <v>5.3839502687793731E-3</v>
      </c>
      <c r="AU24" s="5695">
        <f t="shared" si="4"/>
        <v>5.3839502687793731E-3</v>
      </c>
      <c r="AW24" s="5693">
        <v>4.3196544276457886E-3</v>
      </c>
      <c r="AX24" s="701">
        <v>3.4980323567993005E-3</v>
      </c>
      <c r="AY24" s="701"/>
      <c r="AZ24" s="701"/>
      <c r="BA24" s="701"/>
      <c r="BB24" s="701"/>
      <c r="BC24" s="701"/>
      <c r="BD24" s="701"/>
      <c r="BE24" s="5639"/>
      <c r="BF24" s="5639"/>
      <c r="BG24" s="2978"/>
      <c r="BH24" s="5695"/>
      <c r="BI24" s="5695">
        <f t="shared" si="8"/>
        <v>3.9088433922225448E-3</v>
      </c>
      <c r="BJ24" s="5695">
        <f t="shared" si="5"/>
        <v>3.9088433922225448E-3</v>
      </c>
      <c r="BL24" s="5686">
        <f t="shared" si="10"/>
        <v>-3.7073201908074936E-3</v>
      </c>
      <c r="BM24" s="5686">
        <f t="shared" si="6"/>
        <v>-1.4751068765568283E-3</v>
      </c>
      <c r="BN24" s="5686">
        <f t="shared" si="9"/>
        <v>-1.4751068765568283E-3</v>
      </c>
      <c r="BO24" s="2978">
        <f t="shared" si="11"/>
        <v>-8.2162207084648812E-4</v>
      </c>
    </row>
    <row r="25" spans="1:67" x14ac:dyDescent="0.55000000000000004">
      <c r="A25" s="7471"/>
      <c r="C25" s="559" t="s">
        <v>75</v>
      </c>
      <c r="D25" s="2978">
        <v>9.945536348567369E-3</v>
      </c>
      <c r="E25" s="2978">
        <v>7.5409677575288825E-3</v>
      </c>
      <c r="F25" s="2978">
        <v>1.5543281685321863E-2</v>
      </c>
      <c r="G25" s="2978">
        <v>1.0106514738667327E-2</v>
      </c>
      <c r="H25" s="2978">
        <v>4.2073466745779168E-3</v>
      </c>
      <c r="I25" s="2978">
        <v>9.4727939103467721E-3</v>
      </c>
      <c r="J25" s="2978">
        <v>8.6157380815623207E-3</v>
      </c>
      <c r="K25" s="2978">
        <v>6.7563563088958696E-3</v>
      </c>
      <c r="L25" s="2978">
        <v>6.7724113348779187E-3</v>
      </c>
      <c r="M25" s="2978">
        <v>6.4779270633397315E-3</v>
      </c>
      <c r="N25" s="2978">
        <v>4.9400141143260412E-3</v>
      </c>
      <c r="O25" s="2978">
        <v>6.798258691633371E-3</v>
      </c>
      <c r="P25" s="2978">
        <v>8.253094910591471E-3</v>
      </c>
      <c r="Q25" s="2978">
        <v>8.253094910591471E-3</v>
      </c>
      <c r="S25" s="5693">
        <v>4.3958727639050012E-3</v>
      </c>
      <c r="T25" s="701">
        <v>3.2234957020057312E-3</v>
      </c>
      <c r="U25" s="701">
        <v>6.8095838587641875E-3</v>
      </c>
      <c r="V25" s="701">
        <v>7.8548718907798763E-3</v>
      </c>
      <c r="W25" s="701">
        <v>8.896338318720989E-3</v>
      </c>
      <c r="X25" s="701">
        <v>6.9704401703885371E-3</v>
      </c>
      <c r="Y25" s="701">
        <v>6.6864784546805346E-3</v>
      </c>
      <c r="Z25" s="701">
        <v>6.3622754491017963E-3</v>
      </c>
      <c r="AA25" s="5639">
        <v>3.4246575342465752E-3</v>
      </c>
      <c r="AB25" s="5639">
        <v>1.0372646945831733E-2</v>
      </c>
      <c r="AC25" s="5639">
        <v>3.4078000757288905E-3</v>
      </c>
      <c r="AD25" s="5695">
        <v>7.0000000000000001E-3</v>
      </c>
      <c r="AE25" s="5695">
        <v>6.2837050970128211E-3</v>
      </c>
      <c r="AF25" s="5695">
        <v>6.2837050970128211E-3</v>
      </c>
      <c r="AH25" s="5693">
        <v>4.0605389442598741E-3</v>
      </c>
      <c r="AI25" s="701">
        <v>3.0326004548900682E-3</v>
      </c>
      <c r="AJ25" s="701">
        <v>6.7591604411241547E-3</v>
      </c>
      <c r="AK25" s="701">
        <v>3.2108455226542991E-3</v>
      </c>
      <c r="AL25" s="701">
        <v>2.4407252440725243E-3</v>
      </c>
      <c r="AM25" s="701">
        <v>4.6589018302828616E-3</v>
      </c>
      <c r="AN25" s="701">
        <v>6.1768530559167751E-3</v>
      </c>
      <c r="AO25" s="701">
        <v>3.3363663936912345E-3</v>
      </c>
      <c r="AP25" s="5639">
        <v>4.3818466353677619E-3</v>
      </c>
      <c r="AQ25" s="5639">
        <v>2.420574886535552E-3</v>
      </c>
      <c r="AR25" s="2978">
        <v>1.2285012285012285E-3</v>
      </c>
      <c r="AS25" s="5695">
        <v>4.9261083743842365E-3</v>
      </c>
      <c r="AT25" s="5695">
        <f t="shared" si="7"/>
        <v>3.8860852509733815E-3</v>
      </c>
      <c r="AU25" s="5695">
        <f t="shared" si="4"/>
        <v>3.8860852509733815E-3</v>
      </c>
      <c r="AW25" s="5693">
        <v>4.3682795698924727E-3</v>
      </c>
      <c r="AX25" s="701">
        <v>4.3449197860962567E-3</v>
      </c>
      <c r="AY25" s="701"/>
      <c r="AZ25" s="701"/>
      <c r="BA25" s="701"/>
      <c r="BB25" s="701"/>
      <c r="BC25" s="701"/>
      <c r="BD25" s="701"/>
      <c r="BE25" s="5639"/>
      <c r="BF25" s="5639"/>
      <c r="BG25" s="2978"/>
      <c r="BH25" s="5695"/>
      <c r="BI25" s="5695">
        <f t="shared" si="8"/>
        <v>4.3565996779943647E-3</v>
      </c>
      <c r="BJ25" s="5695">
        <f t="shared" si="5"/>
        <v>4.3565996779943647E-3</v>
      </c>
      <c r="BL25" s="5686">
        <f t="shared" si="10"/>
        <v>1.3123193312061885E-3</v>
      </c>
      <c r="BM25" s="5686">
        <f t="shared" si="6"/>
        <v>4.7051442702098325E-4</v>
      </c>
      <c r="BN25" s="5686">
        <f t="shared" si="9"/>
        <v>4.7051442702098325E-4</v>
      </c>
      <c r="BO25" s="2978">
        <f t="shared" si="11"/>
        <v>-2.3359783796216005E-5</v>
      </c>
    </row>
    <row r="26" spans="1:67" hidden="1" x14ac:dyDescent="0.55000000000000004">
      <c r="A26" s="7471"/>
      <c r="B26" s="857" t="s">
        <v>976</v>
      </c>
      <c r="C26" s="857" t="s">
        <v>520</v>
      </c>
      <c r="D26" s="857"/>
      <c r="E26" s="857"/>
      <c r="F26" s="857"/>
      <c r="G26" s="857"/>
      <c r="H26" s="857"/>
      <c r="I26" s="857"/>
      <c r="J26" s="857"/>
      <c r="K26" s="857"/>
      <c r="L26" s="857"/>
      <c r="M26" s="857"/>
      <c r="N26" s="857"/>
      <c r="O26" s="857"/>
      <c r="P26" s="857"/>
      <c r="Q26" s="857"/>
      <c r="S26" s="5660"/>
      <c r="T26" s="5661"/>
      <c r="U26" s="5661"/>
      <c r="V26" s="5661"/>
      <c r="W26" s="5661"/>
      <c r="X26" s="5661"/>
      <c r="Y26" s="5661"/>
      <c r="Z26" s="5661"/>
      <c r="AA26" s="5709"/>
      <c r="AB26" s="5709"/>
      <c r="AC26" s="5664"/>
      <c r="AD26" s="5665"/>
      <c r="AE26" s="5666"/>
      <c r="AF26" s="5667"/>
      <c r="AH26" s="5660"/>
      <c r="AI26" s="5661"/>
      <c r="AJ26" s="5661"/>
      <c r="AK26" s="5661"/>
      <c r="AL26" s="5663"/>
      <c r="AM26" s="5663"/>
      <c r="AN26" s="5663"/>
      <c r="AO26" s="5663"/>
      <c r="AP26" s="5663"/>
      <c r="AQ26" s="5663"/>
      <c r="AR26" s="5663"/>
      <c r="AS26" s="858"/>
      <c r="AT26" s="5666"/>
      <c r="AU26" s="5667"/>
      <c r="AW26" s="5660"/>
      <c r="AX26" s="5661"/>
      <c r="AY26" s="5661"/>
      <c r="AZ26" s="5661"/>
      <c r="BA26" s="5663"/>
      <c r="BB26" s="5663"/>
      <c r="BC26" s="5663"/>
      <c r="BD26" s="5663"/>
      <c r="BE26" s="5663"/>
      <c r="BF26" s="5663"/>
      <c r="BG26" s="5663"/>
      <c r="BH26" s="858"/>
      <c r="BI26" s="5666"/>
      <c r="BJ26" s="5667"/>
      <c r="BL26" s="2860">
        <f t="shared" si="10"/>
        <v>0</v>
      </c>
      <c r="BM26" s="2860">
        <f t="shared" si="6"/>
        <v>0</v>
      </c>
      <c r="BN26" s="5686">
        <f t="shared" si="9"/>
        <v>0</v>
      </c>
      <c r="BO26" s="2978">
        <f t="shared" si="11"/>
        <v>0</v>
      </c>
    </row>
    <row r="27" spans="1:67" hidden="1" x14ac:dyDescent="0.55000000000000004">
      <c r="A27" s="7471"/>
      <c r="B27" s="5668"/>
      <c r="C27" s="5668" t="s">
        <v>521</v>
      </c>
      <c r="D27" s="5669"/>
      <c r="E27" s="5669"/>
      <c r="F27" s="5669"/>
      <c r="G27" s="5669"/>
      <c r="H27" s="5669"/>
      <c r="I27" s="5669"/>
      <c r="J27" s="5669"/>
      <c r="K27" s="5669"/>
      <c r="L27" s="5669"/>
      <c r="M27" s="5669"/>
      <c r="N27" s="5669"/>
      <c r="O27" s="5669"/>
      <c r="P27" s="5658"/>
      <c r="Q27" s="5669"/>
      <c r="S27" s="2965"/>
      <c r="T27" s="2961"/>
      <c r="U27" s="2961"/>
      <c r="V27" s="2961"/>
      <c r="W27" s="2961"/>
      <c r="X27" s="2961"/>
      <c r="Y27" s="2961"/>
      <c r="Z27" s="5670"/>
      <c r="AA27" s="5671"/>
      <c r="AB27" s="5671"/>
      <c r="AC27" s="5671"/>
      <c r="AD27" s="5672"/>
      <c r="AE27" s="5670"/>
      <c r="AF27" s="5673"/>
      <c r="AH27" s="2965"/>
      <c r="AI27" s="2961"/>
      <c r="AJ27" s="2961"/>
      <c r="AK27" s="2961"/>
      <c r="AL27" s="2961"/>
      <c r="AM27" s="2961"/>
      <c r="AN27" s="2961"/>
      <c r="AO27" s="5670"/>
      <c r="AP27" s="5670"/>
      <c r="AQ27" s="5670"/>
      <c r="AR27" s="5670"/>
      <c r="AS27" s="5675"/>
      <c r="AT27" s="5670"/>
      <c r="AU27" s="5673"/>
      <c r="AW27" s="2965"/>
      <c r="AX27" s="2961"/>
      <c r="AY27" s="2961"/>
      <c r="AZ27" s="2961"/>
      <c r="BA27" s="2961"/>
      <c r="BB27" s="2961"/>
      <c r="BC27" s="2961"/>
      <c r="BD27" s="5670"/>
      <c r="BE27" s="5670"/>
      <c r="BF27" s="5670"/>
      <c r="BG27" s="5670"/>
      <c r="BH27" s="5675"/>
      <c r="BI27" s="5670"/>
      <c r="BJ27" s="5673"/>
      <c r="BL27" s="2860">
        <f t="shared" si="10"/>
        <v>0</v>
      </c>
      <c r="BM27" s="2860">
        <f t="shared" si="6"/>
        <v>0</v>
      </c>
      <c r="BN27" s="5686">
        <f t="shared" si="9"/>
        <v>0</v>
      </c>
      <c r="BO27" s="2978">
        <f t="shared" si="11"/>
        <v>0</v>
      </c>
    </row>
    <row r="28" spans="1:67" hidden="1" x14ac:dyDescent="0.55000000000000004">
      <c r="A28" s="7471"/>
      <c r="B28" s="5668"/>
      <c r="C28" s="5676" t="s">
        <v>525</v>
      </c>
      <c r="D28" s="5677"/>
      <c r="E28" s="5677"/>
      <c r="F28" s="5677"/>
      <c r="G28" s="5677"/>
      <c r="H28" s="5677"/>
      <c r="I28" s="5677"/>
      <c r="J28" s="5677"/>
      <c r="K28" s="5677"/>
      <c r="L28" s="5677"/>
      <c r="M28" s="5677"/>
      <c r="N28" s="5677"/>
      <c r="O28" s="5677"/>
      <c r="P28" s="5677"/>
      <c r="Q28" s="5677"/>
      <c r="S28" s="5678"/>
      <c r="T28" s="5679"/>
      <c r="U28" s="5679"/>
      <c r="V28" s="5679"/>
      <c r="W28" s="5679"/>
      <c r="X28" s="5679"/>
      <c r="Y28" s="5679"/>
      <c r="Z28" s="5680"/>
      <c r="AA28" s="5681"/>
      <c r="AB28" s="5681"/>
      <c r="AC28" s="5681"/>
      <c r="AD28" s="5682"/>
      <c r="AE28" s="5683"/>
      <c r="AF28" s="5684"/>
      <c r="AH28" s="5678"/>
      <c r="AI28" s="5679"/>
      <c r="AJ28" s="5679"/>
      <c r="AK28" s="5679"/>
      <c r="AL28" s="5679"/>
      <c r="AM28" s="5679"/>
      <c r="AN28" s="5679"/>
      <c r="AO28" s="5680"/>
      <c r="AP28" s="5680"/>
      <c r="AQ28" s="5680"/>
      <c r="AR28" s="5680"/>
      <c r="AS28" s="5685"/>
      <c r="AT28" s="5683"/>
      <c r="AU28" s="5684"/>
      <c r="AW28" s="5678"/>
      <c r="AX28" s="5679"/>
      <c r="AY28" s="5679"/>
      <c r="AZ28" s="5679"/>
      <c r="BA28" s="5679"/>
      <c r="BB28" s="5679"/>
      <c r="BC28" s="5679"/>
      <c r="BD28" s="5680"/>
      <c r="BE28" s="5680"/>
      <c r="BF28" s="5680"/>
      <c r="BG28" s="5680"/>
      <c r="BH28" s="5685"/>
      <c r="BI28" s="5683"/>
      <c r="BJ28" s="5684"/>
      <c r="BL28" s="5686">
        <f t="shared" si="10"/>
        <v>0</v>
      </c>
      <c r="BM28" s="5686">
        <f t="shared" si="6"/>
        <v>0</v>
      </c>
      <c r="BN28" s="5686">
        <f t="shared" si="9"/>
        <v>0</v>
      </c>
      <c r="BO28" s="2978">
        <f t="shared" si="11"/>
        <v>0</v>
      </c>
    </row>
    <row r="29" spans="1:67" x14ac:dyDescent="0.55000000000000004">
      <c r="A29" s="7471"/>
      <c r="B29" s="1187" t="s">
        <v>869</v>
      </c>
      <c r="C29" s="5710" t="s">
        <v>297</v>
      </c>
      <c r="D29" s="5687"/>
      <c r="E29" s="5687"/>
      <c r="F29" s="5687"/>
      <c r="G29" s="5687"/>
      <c r="H29" s="5687"/>
      <c r="I29" s="5687"/>
      <c r="J29" s="5687"/>
      <c r="K29" s="5687"/>
      <c r="L29" s="5687"/>
      <c r="M29" s="5687"/>
      <c r="N29" s="5687"/>
      <c r="O29" s="5687"/>
      <c r="P29" s="5687"/>
      <c r="Q29" s="5687"/>
      <c r="S29" s="5688"/>
      <c r="T29" s="5689"/>
      <c r="U29" s="5689"/>
      <c r="V29" s="5689"/>
      <c r="W29" s="5689"/>
      <c r="X29" s="5689"/>
      <c r="Y29" s="5689"/>
      <c r="Z29" s="5687"/>
      <c r="AA29" s="5690"/>
      <c r="AB29" s="5690"/>
      <c r="AC29" s="5690"/>
      <c r="AD29" s="5691"/>
      <c r="AE29" s="5692"/>
      <c r="AF29" s="5692"/>
      <c r="AH29" s="5689">
        <v>4.0000000000000001E-3</v>
      </c>
      <c r="AI29" s="5689">
        <v>3.0000000000000001E-3</v>
      </c>
      <c r="AJ29" s="5689">
        <v>2E-3</v>
      </c>
      <c r="AK29" s="5689">
        <v>3.0000000000000001E-3</v>
      </c>
      <c r="AL29" s="5689">
        <v>4.0000000000000001E-3</v>
      </c>
      <c r="AM29" s="5689">
        <v>4.0000000000000001E-3</v>
      </c>
      <c r="AN29" s="5689">
        <v>4.0000000000000001E-3</v>
      </c>
      <c r="AO29" s="5687">
        <v>2E-3</v>
      </c>
      <c r="AP29" s="5687">
        <v>2E-3</v>
      </c>
      <c r="AQ29" s="5687">
        <v>2E-3</v>
      </c>
      <c r="AR29" s="5687">
        <v>1E-3</v>
      </c>
      <c r="AS29" s="5692">
        <v>1E-3</v>
      </c>
      <c r="AT29" s="5692"/>
      <c r="AU29" s="5692"/>
      <c r="AW29" s="5689">
        <v>1E-3</v>
      </c>
      <c r="AX29" s="5689">
        <v>1E-3</v>
      </c>
      <c r="AY29" s="5689"/>
      <c r="AZ29" s="5689"/>
      <c r="BA29" s="5689"/>
      <c r="BB29" s="5689"/>
      <c r="BC29" s="5689"/>
      <c r="BD29" s="5687"/>
      <c r="BE29" s="5687"/>
      <c r="BF29" s="5687"/>
      <c r="BG29" s="5687"/>
      <c r="BH29" s="5692"/>
      <c r="BI29" s="5692"/>
      <c r="BJ29" s="5692"/>
      <c r="BL29" s="5686">
        <f t="shared" si="10"/>
        <v>-2E-3</v>
      </c>
      <c r="BM29" s="5686">
        <f t="shared" si="6"/>
        <v>0</v>
      </c>
      <c r="BN29" s="5686">
        <f t="shared" si="9"/>
        <v>0</v>
      </c>
      <c r="BO29" s="2978">
        <f t="shared" si="11"/>
        <v>0</v>
      </c>
    </row>
    <row r="30" spans="1:67" x14ac:dyDescent="0.55000000000000004">
      <c r="A30" s="7471"/>
      <c r="B30" s="7483" t="s">
        <v>542</v>
      </c>
      <c r="C30" s="7504"/>
      <c r="D30" s="5711">
        <v>1.5937726144570185E-2</v>
      </c>
      <c r="E30" s="5711">
        <v>1.4388530670865386E-2</v>
      </c>
      <c r="F30" s="5711">
        <v>1.5055761366246504E-2</v>
      </c>
      <c r="G30" s="5711">
        <v>2.5893170362437917E-2</v>
      </c>
      <c r="H30" s="5711">
        <v>2.3197859203356225E-2</v>
      </c>
      <c r="I30" s="5711">
        <v>2.5951786898014393E-2</v>
      </c>
      <c r="J30" s="5711">
        <v>2.1053658499978426E-2</v>
      </c>
      <c r="K30" s="5711">
        <v>1.8500026936921245E-2</v>
      </c>
      <c r="L30" s="5711">
        <v>1.7738140292564132E-2</v>
      </c>
      <c r="M30" s="5711">
        <v>1.5113226895974259E-2</v>
      </c>
      <c r="N30" s="5711">
        <v>1.3987863718722984E-2</v>
      </c>
      <c r="O30" s="5711">
        <v>1.2620818760137112E-2</v>
      </c>
      <c r="P30" s="5711">
        <v>1.8251298929531094E-2</v>
      </c>
      <c r="Q30" s="5711">
        <v>1.8251298929531094E-2</v>
      </c>
      <c r="S30" s="5712">
        <v>1.316716970833073E-2</v>
      </c>
      <c r="T30" s="5713">
        <v>1.0940390377937481E-2</v>
      </c>
      <c r="U30" s="5713">
        <v>1.1524787409015682E-2</v>
      </c>
      <c r="V30" s="5713">
        <v>1.1056901946226865E-2</v>
      </c>
      <c r="W30" s="5713">
        <v>1.139157856716169E-2</v>
      </c>
      <c r="X30" s="5713">
        <v>9.9993531771542174E-3</v>
      </c>
      <c r="Y30" s="5713">
        <v>1.1403139329014302E-2</v>
      </c>
      <c r="Z30" s="5713">
        <v>1.1478708846494405E-2</v>
      </c>
      <c r="AA30" s="5714">
        <v>1.0114827838709936E-2</v>
      </c>
      <c r="AB30" s="5714">
        <v>1.0443157622430501E-2</v>
      </c>
      <c r="AC30" s="5714">
        <v>8.8322388578974207E-3</v>
      </c>
      <c r="AD30" s="5715">
        <v>8.9999999999999993E-3</v>
      </c>
      <c r="AE30" s="5716">
        <v>1.0779354473364438E-2</v>
      </c>
      <c r="AF30" s="5716">
        <v>1.0779354473364438E-2</v>
      </c>
      <c r="AH30" s="5712">
        <v>7.9640498312836833E-3</v>
      </c>
      <c r="AI30" s="5713">
        <v>9.4940588158211776E-3</v>
      </c>
      <c r="AJ30" s="5713">
        <v>8.4626803059150019E-3</v>
      </c>
      <c r="AK30" s="5713">
        <v>7.9761003458083523E-3</v>
      </c>
      <c r="AL30" s="5713">
        <v>8.0181391335754568E-3</v>
      </c>
      <c r="AM30" s="5713">
        <v>7.7413413006903751E-3</v>
      </c>
      <c r="AN30" s="5713">
        <v>8.5358303129804448E-3</v>
      </c>
      <c r="AO30" s="5713">
        <v>6.7723682284273976E-3</v>
      </c>
      <c r="AP30" s="5713">
        <v>6.9566008138768273E-3</v>
      </c>
      <c r="AQ30" s="5713">
        <v>5.7779534375999846E-3</v>
      </c>
      <c r="AR30" s="5713">
        <v>5.4643601237451857E-3</v>
      </c>
      <c r="AS30" s="5717">
        <v>6.5692322554824108E-3</v>
      </c>
      <c r="AT30" s="5716">
        <f t="shared" ref="AT30:AT31" si="12">AVERAGE(AH30:AS30)</f>
        <v>7.477726242100525E-3</v>
      </c>
      <c r="AU30" s="5716">
        <f t="shared" ref="AU30" si="13">AT30</f>
        <v>7.477726242100525E-3</v>
      </c>
      <c r="AW30" s="5712">
        <v>7.3180433387273203E-3</v>
      </c>
      <c r="AX30" s="5713">
        <v>6.0828966450040328E-3</v>
      </c>
      <c r="AY30" s="5713"/>
      <c r="AZ30" s="5713"/>
      <c r="BA30" s="5713"/>
      <c r="BB30" s="5713"/>
      <c r="BC30" s="5713"/>
      <c r="BD30" s="5713"/>
      <c r="BE30" s="5713"/>
      <c r="BF30" s="5713"/>
      <c r="BG30" s="5713"/>
      <c r="BH30" s="5717"/>
      <c r="BI30" s="5716">
        <f t="shared" ref="BI30:BI31" si="14">AVERAGE(AW30:BH30)</f>
        <v>6.700469991865677E-3</v>
      </c>
      <c r="BJ30" s="5716">
        <f t="shared" ref="BJ30" si="15">BI30</f>
        <v>6.700469991865677E-3</v>
      </c>
      <c r="BL30" s="5686">
        <f t="shared" si="10"/>
        <v>-3.4111621708171449E-3</v>
      </c>
      <c r="BM30" s="5686">
        <f t="shared" si="6"/>
        <v>-7.7725625023484807E-4</v>
      </c>
      <c r="BN30" s="5686">
        <f t="shared" si="9"/>
        <v>-7.7725625023484807E-4</v>
      </c>
      <c r="BO30" s="2978">
        <f t="shared" si="11"/>
        <v>-1.2351466937232875E-3</v>
      </c>
    </row>
    <row r="31" spans="1:67" ht="15.45" thickBot="1" x14ac:dyDescent="0.6">
      <c r="A31" s="7472"/>
      <c r="B31" s="7485" t="s">
        <v>541</v>
      </c>
      <c r="C31" s="7503"/>
      <c r="D31" s="5718">
        <f t="shared" ref="D31:Q31" si="16">D6-D30</f>
        <v>-4.5008871215242649E-3</v>
      </c>
      <c r="E31" s="5719">
        <f t="shared" si="16"/>
        <v>-4.0275895520470919E-3</v>
      </c>
      <c r="F31" s="5719">
        <f t="shared" si="16"/>
        <v>6.2837576788441329E-3</v>
      </c>
      <c r="G31" s="5719">
        <f t="shared" si="16"/>
        <v>-8.1505535184730957E-3</v>
      </c>
      <c r="H31" s="5719">
        <f t="shared" si="16"/>
        <v>-4.4503910536402604E-3</v>
      </c>
      <c r="I31" s="5719">
        <f t="shared" si="16"/>
        <v>-5.3669429383145645E-3</v>
      </c>
      <c r="J31" s="5719">
        <f t="shared" si="16"/>
        <v>-4.113283627889177E-3</v>
      </c>
      <c r="K31" s="5719">
        <f t="shared" si="16"/>
        <v>-5.3033383806591113E-3</v>
      </c>
      <c r="L31" s="5719">
        <f t="shared" si="16"/>
        <v>-6.3897957245763869E-3</v>
      </c>
      <c r="M31" s="5719">
        <f t="shared" si="16"/>
        <v>-3.1659411679465562E-3</v>
      </c>
      <c r="N31" s="5719">
        <f t="shared" si="16"/>
        <v>-3.3895551096115358E-3</v>
      </c>
      <c r="O31" s="5719">
        <f t="shared" si="16"/>
        <v>-1.4975804931604119E-3</v>
      </c>
      <c r="P31" s="5719">
        <f t="shared" si="16"/>
        <v>-3.6413348451179665E-3</v>
      </c>
      <c r="Q31" s="5719">
        <f t="shared" si="16"/>
        <v>-3.6413348451179665E-3</v>
      </c>
      <c r="S31" s="5718">
        <v>-1.6360998812967771E-3</v>
      </c>
      <c r="T31" s="5719">
        <v>-7.2669422597577277E-4</v>
      </c>
      <c r="U31" s="5719">
        <v>-1.2227101331133885E-3</v>
      </c>
      <c r="V31" s="5719">
        <v>-1.1582088830453634E-3</v>
      </c>
      <c r="W31" s="5719">
        <v>-1.7107791988813029E-3</v>
      </c>
      <c r="X31" s="5719">
        <v>-1.5416008248418447E-3</v>
      </c>
      <c r="Y31" s="5719">
        <v>-4.0013632601129841E-4</v>
      </c>
      <c r="Z31" s="5719">
        <v>-2.4696998374853958E-3</v>
      </c>
      <c r="AA31" s="5720">
        <v>-2.2808074819787357E-3</v>
      </c>
      <c r="AB31" s="5720">
        <v>-7.6487446570351961E-4</v>
      </c>
      <c r="AC31" s="5720">
        <v>-5.2860649268926183E-4</v>
      </c>
      <c r="AD31" s="5721">
        <v>-5.2860649268926183E-4</v>
      </c>
      <c r="AE31" s="5719">
        <f t="shared" ref="AE31" si="17">AVERAGE(S31:AD31)</f>
        <v>-1.2474020203093268E-3</v>
      </c>
      <c r="AF31" s="5719">
        <f>AE31</f>
        <v>-1.2474020203093268E-3</v>
      </c>
      <c r="AH31" s="5722">
        <v>-6.3168128328561311E-4</v>
      </c>
      <c r="AI31" s="5719">
        <v>-7.1851497930173168E-4</v>
      </c>
      <c r="AJ31" s="5719">
        <v>-1.8201449753285333E-3</v>
      </c>
      <c r="AK31" s="5719">
        <v>-1.1173632059404892E-3</v>
      </c>
      <c r="AL31" s="5719">
        <f>AL6-AL30</f>
        <v>-1.4978984435476995E-3</v>
      </c>
      <c r="AM31" s="5719">
        <f>AM6-AM30</f>
        <v>-2.3308535320217183E-3</v>
      </c>
      <c r="AN31" s="5719">
        <f>AN6-AN30</f>
        <v>-2.2293280917247364E-3</v>
      </c>
      <c r="AO31" s="5719">
        <v>-1.768604952425948E-3</v>
      </c>
      <c r="AP31" s="5719">
        <v>-1.8071965713398874E-3</v>
      </c>
      <c r="AQ31" s="5719">
        <v>-1.9839896131970828E-3</v>
      </c>
      <c r="AR31" s="5719">
        <v>-1.9839896131970828E-3</v>
      </c>
      <c r="AS31" s="5723">
        <v>-1.7371956987329972E-3</v>
      </c>
      <c r="AT31" s="5719">
        <f t="shared" si="12"/>
        <v>-1.6355634133369597E-3</v>
      </c>
      <c r="AU31" s="5719">
        <f>AT31</f>
        <v>-1.6355634133369597E-3</v>
      </c>
      <c r="AW31" s="5722">
        <v>-2.6830304188306797E-3</v>
      </c>
      <c r="AX31" s="5719">
        <f>AX6-AX30</f>
        <v>-1.285731485460683E-3</v>
      </c>
      <c r="AY31" s="5719"/>
      <c r="AZ31" s="5719"/>
      <c r="BA31" s="5719"/>
      <c r="BB31" s="5719"/>
      <c r="BC31" s="5719"/>
      <c r="BD31" s="5719"/>
      <c r="BE31" s="5719"/>
      <c r="BF31" s="5719"/>
      <c r="BG31" s="5719"/>
      <c r="BH31" s="5723"/>
      <c r="BI31" s="5719">
        <f t="shared" si="14"/>
        <v>-1.9843809521456813E-3</v>
      </c>
      <c r="BJ31" s="5719">
        <f>BI31</f>
        <v>-1.9843809521456813E-3</v>
      </c>
      <c r="BL31" s="5686">
        <f t="shared" si="10"/>
        <v>-5.6721650615895128E-4</v>
      </c>
      <c r="BM31" s="5686">
        <f t="shared" si="6"/>
        <v>-3.4881753880872156E-4</v>
      </c>
      <c r="BN31" s="5686">
        <f>BM31</f>
        <v>-3.4881753880872156E-4</v>
      </c>
      <c r="BO31" s="2978">
        <f t="shared" si="11"/>
        <v>1.3972989333699967E-3</v>
      </c>
    </row>
    <row r="32" spans="1:67" ht="15.45" thickBot="1" x14ac:dyDescent="0.6">
      <c r="B32" s="1244"/>
      <c r="C32" s="1244"/>
      <c r="S32" s="1244"/>
      <c r="T32" s="1244"/>
      <c r="U32" s="1244"/>
      <c r="V32" s="1244"/>
      <c r="W32" s="1244"/>
      <c r="X32" s="1244"/>
      <c r="AE32" s="555"/>
      <c r="AF32" s="555"/>
      <c r="AH32" s="1244"/>
      <c r="AI32" s="1244"/>
      <c r="AJ32" s="1244"/>
      <c r="AK32" s="5724"/>
      <c r="AL32" s="1244"/>
      <c r="AM32" s="1244"/>
      <c r="AT32" s="555"/>
      <c r="AU32" s="555"/>
      <c r="AW32" s="1244"/>
      <c r="AX32" s="1244"/>
      <c r="AY32" s="1244"/>
      <c r="AZ32" s="5724"/>
      <c r="BA32" s="1244"/>
      <c r="BB32" s="1244"/>
      <c r="BI32" s="555"/>
      <c r="BJ32" s="555"/>
      <c r="BL32" s="559">
        <f t="shared" si="10"/>
        <v>0</v>
      </c>
      <c r="BM32" s="559">
        <f t="shared" si="6"/>
        <v>0</v>
      </c>
      <c r="BN32" s="559">
        <f>IFERROR(
  SUM(
    _xlfn.XLOOKUP(DATE(YEAR($A$1),1,1),$2:$2,32:32):
    _xlfn.XLOOKUP($A$1,$2:$2,32:32)
  )
 -SUM(
    _xlfn.XLOOKUP(DATE(YEAR($A$1)-1,1,1),$2:$2,32:32):
    _xlfn.XLOOKUP(EDATE($A$1,-12),$2:$2,32:32)
  ),"")</f>
        <v>0</v>
      </c>
      <c r="BO32" s="590">
        <f t="shared" si="11"/>
        <v>0</v>
      </c>
    </row>
    <row r="33" spans="1:67" x14ac:dyDescent="0.55000000000000004">
      <c r="A33" s="7468" t="s">
        <v>133</v>
      </c>
      <c r="B33" s="1245"/>
      <c r="C33" s="1246" t="s">
        <v>522</v>
      </c>
      <c r="D33" s="5725">
        <v>12</v>
      </c>
      <c r="E33" s="5725">
        <v>15</v>
      </c>
      <c r="F33" s="5725">
        <v>21</v>
      </c>
      <c r="G33" s="5725">
        <v>19</v>
      </c>
      <c r="H33" s="5725">
        <v>13</v>
      </c>
      <c r="I33" s="5725">
        <v>16</v>
      </c>
      <c r="J33" s="5725">
        <v>16</v>
      </c>
      <c r="K33" s="5725">
        <v>24</v>
      </c>
      <c r="L33" s="5725">
        <v>13</v>
      </c>
      <c r="M33" s="5725">
        <v>14</v>
      </c>
      <c r="N33" s="5725">
        <v>24</v>
      </c>
      <c r="O33" s="5725">
        <v>20</v>
      </c>
      <c r="P33" s="5725">
        <v>207</v>
      </c>
      <c r="Q33" s="5725">
        <v>17.25</v>
      </c>
      <c r="S33" s="5726">
        <v>33</v>
      </c>
      <c r="T33" s="5727">
        <v>23</v>
      </c>
      <c r="U33" s="5727">
        <v>22</v>
      </c>
      <c r="V33" s="5727">
        <v>16</v>
      </c>
      <c r="W33" s="5727">
        <v>21</v>
      </c>
      <c r="X33" s="5727">
        <v>38</v>
      </c>
      <c r="Y33" s="5727">
        <v>20</v>
      </c>
      <c r="Z33" s="5727">
        <v>10</v>
      </c>
      <c r="AA33" s="5728">
        <v>16</v>
      </c>
      <c r="AB33" s="5728">
        <v>20</v>
      </c>
      <c r="AC33" s="5729">
        <v>16</v>
      </c>
      <c r="AD33" s="5729">
        <v>2</v>
      </c>
      <c r="AE33" s="5725">
        <v>237</v>
      </c>
      <c r="AF33" s="5725">
        <v>19.75</v>
      </c>
      <c r="AH33" s="5726">
        <v>20</v>
      </c>
      <c r="AI33" s="5727">
        <v>13</v>
      </c>
      <c r="AJ33" s="5727">
        <v>18</v>
      </c>
      <c r="AK33" s="5727">
        <v>15</v>
      </c>
      <c r="AL33" s="5727">
        <v>17</v>
      </c>
      <c r="AM33" s="5727">
        <v>19</v>
      </c>
      <c r="AN33" s="5727">
        <v>19</v>
      </c>
      <c r="AO33" s="5727">
        <v>15</v>
      </c>
      <c r="AP33" s="5727">
        <v>17</v>
      </c>
      <c r="AQ33" s="5727">
        <v>7</v>
      </c>
      <c r="AR33" s="6204">
        <v>19</v>
      </c>
      <c r="AS33" s="6204">
        <v>13</v>
      </c>
      <c r="AT33" s="5725">
        <f>SUM(AH33:AS33)</f>
        <v>192</v>
      </c>
      <c r="AU33" s="5725">
        <f>AVERAGE(AH33:AS33)</f>
        <v>16</v>
      </c>
      <c r="AW33" s="5726">
        <v>20</v>
      </c>
      <c r="AX33" s="5727">
        <v>9</v>
      </c>
      <c r="AY33" s="5727"/>
      <c r="AZ33" s="5727"/>
      <c r="BA33" s="5727"/>
      <c r="BB33" s="5727"/>
      <c r="BC33" s="5727"/>
      <c r="BD33" s="5727"/>
      <c r="BE33" s="5727"/>
      <c r="BF33" s="5727"/>
      <c r="BG33" s="1246"/>
      <c r="BH33" s="1246"/>
      <c r="BI33" s="5725">
        <f>SUM(AW33:BH33)</f>
        <v>29</v>
      </c>
      <c r="BJ33" s="5725">
        <f>AVERAGE(AW33:BH33)</f>
        <v>14.5</v>
      </c>
      <c r="BL33" s="2860">
        <f t="shared" si="10"/>
        <v>-4</v>
      </c>
      <c r="BM33" s="2860">
        <f t="shared" si="6"/>
        <v>-1.5</v>
      </c>
      <c r="BN33" s="2860">
        <f>IFERROR(
  SUM(
    _xlfn.XLOOKUP(DATE(YEAR($A$1),1,1),$2:$2,33:33):
    _xlfn.XLOOKUP($A$1,$2:$2,33:33)
  )
 -SUM(
    _xlfn.XLOOKUP(DATE(YEAR($A$1)-1,1,1),$2:$2,33:33):
    _xlfn.XLOOKUP(EDATE($A$1,-12),$2:$2,33:33)
  ),"")</f>
        <v>-4</v>
      </c>
      <c r="BO33" s="590">
        <f t="shared" si="11"/>
        <v>-11</v>
      </c>
    </row>
    <row r="34" spans="1:67" x14ac:dyDescent="0.55000000000000004">
      <c r="A34" s="7469"/>
      <c r="B34" s="1256"/>
      <c r="C34" s="2892" t="s">
        <v>523</v>
      </c>
      <c r="D34" s="2893">
        <v>3</v>
      </c>
      <c r="E34" s="2893">
        <v>4</v>
      </c>
      <c r="F34" s="2893">
        <v>4</v>
      </c>
      <c r="G34" s="2893">
        <v>5</v>
      </c>
      <c r="H34" s="2893">
        <v>3</v>
      </c>
      <c r="I34" s="2893">
        <v>4</v>
      </c>
      <c r="J34" s="2893">
        <v>5</v>
      </c>
      <c r="K34" s="2893">
        <v>5</v>
      </c>
      <c r="L34" s="2893">
        <v>2</v>
      </c>
      <c r="M34" s="2893">
        <v>4</v>
      </c>
      <c r="N34" s="2893">
        <v>6</v>
      </c>
      <c r="O34" s="2893">
        <v>5</v>
      </c>
      <c r="P34" s="5730">
        <v>50</v>
      </c>
      <c r="Q34" s="5731">
        <v>4.166666666666667</v>
      </c>
      <c r="S34" s="2894">
        <v>6</v>
      </c>
      <c r="T34" s="2895">
        <v>7</v>
      </c>
      <c r="U34" s="2895">
        <v>2</v>
      </c>
      <c r="V34" s="2895">
        <v>4</v>
      </c>
      <c r="W34" s="2895">
        <v>7</v>
      </c>
      <c r="X34" s="2895">
        <v>4</v>
      </c>
      <c r="Y34" s="2893">
        <v>8</v>
      </c>
      <c r="Z34" s="2895">
        <v>2</v>
      </c>
      <c r="AA34" s="5732">
        <v>4</v>
      </c>
      <c r="AB34" s="5732">
        <v>4</v>
      </c>
      <c r="AC34" s="5733">
        <v>6</v>
      </c>
      <c r="AD34" s="5733">
        <v>0</v>
      </c>
      <c r="AE34" s="5730">
        <v>54</v>
      </c>
      <c r="AF34" s="5731">
        <v>4.5</v>
      </c>
      <c r="AH34" s="2894">
        <v>4</v>
      </c>
      <c r="AI34" s="2895">
        <v>5</v>
      </c>
      <c r="AJ34" s="2895">
        <v>2</v>
      </c>
      <c r="AK34" s="2895">
        <v>4</v>
      </c>
      <c r="AL34" s="2895">
        <v>2</v>
      </c>
      <c r="AM34" s="2895">
        <v>7</v>
      </c>
      <c r="AN34" s="2893">
        <v>2</v>
      </c>
      <c r="AO34" s="2895">
        <v>2</v>
      </c>
      <c r="AP34" s="2893">
        <v>3</v>
      </c>
      <c r="AQ34" s="2893">
        <v>0</v>
      </c>
      <c r="AR34" s="2893">
        <v>6</v>
      </c>
      <c r="AS34" s="2893">
        <v>2</v>
      </c>
      <c r="AT34" s="5730">
        <f>SUM(AH34:AS34)</f>
        <v>39</v>
      </c>
      <c r="AU34" s="5731">
        <f>AVERAGE(AH34:AS34)</f>
        <v>3.25</v>
      </c>
      <c r="AW34" s="6254">
        <v>8</v>
      </c>
      <c r="AX34" s="3671"/>
      <c r="AY34" s="2895"/>
      <c r="AZ34" s="2895"/>
      <c r="BA34" s="2895"/>
      <c r="BB34" s="2895"/>
      <c r="BC34" s="2893"/>
      <c r="BD34" s="2895"/>
      <c r="BE34" s="2893"/>
      <c r="BF34" s="2893"/>
      <c r="BG34" s="2893"/>
      <c r="BH34" s="2893"/>
      <c r="BI34" s="5730">
        <f>SUM(AW34:BH34)</f>
        <v>8</v>
      </c>
      <c r="BJ34" s="5731">
        <f>AVERAGE(AW34:BH34)</f>
        <v>8</v>
      </c>
      <c r="BL34" s="2860">
        <f t="shared" si="10"/>
        <v>-5</v>
      </c>
      <c r="BM34" s="2860">
        <f t="shared" si="6"/>
        <v>4.75</v>
      </c>
      <c r="BN34" s="2860">
        <f>IFERROR(
  SUM(
    _xlfn.XLOOKUP(DATE(YEAR($A$1),1,1),$2:$2,34:34):
    _xlfn.XLOOKUP($A$1,$2:$2,34:34)
  )
 -SUM(
    _xlfn.XLOOKUP(DATE(YEAR($A$1)-1,1,1),$2:$2,34:34):
    _xlfn.XLOOKUP(EDATE($A$1,-12),$2:$2,34:34)
  ),"")</f>
        <v>-1</v>
      </c>
      <c r="BO34" s="590">
        <f t="shared" si="11"/>
        <v>-8</v>
      </c>
    </row>
    <row r="35" spans="1:67" x14ac:dyDescent="0.55000000000000004">
      <c r="A35" s="7469"/>
      <c r="B35" s="1266"/>
      <c r="C35" s="5734" t="s">
        <v>524</v>
      </c>
      <c r="D35" s="5735">
        <v>0.25</v>
      </c>
      <c r="E35" s="5735">
        <v>0.26666666666666666</v>
      </c>
      <c r="F35" s="5735">
        <v>0.19047619047619047</v>
      </c>
      <c r="G35" s="5735">
        <v>0.26315789473684209</v>
      </c>
      <c r="H35" s="5735">
        <v>0.23076923076923078</v>
      </c>
      <c r="I35" s="5735">
        <v>0.25</v>
      </c>
      <c r="J35" s="5735">
        <v>0.3125</v>
      </c>
      <c r="K35" s="5735">
        <v>0.20833333333333334</v>
      </c>
      <c r="L35" s="5735">
        <v>0.15384615384615385</v>
      </c>
      <c r="M35" s="5735">
        <v>0.2857142857142857</v>
      </c>
      <c r="N35" s="5735">
        <v>0.25</v>
      </c>
      <c r="O35" s="5735">
        <v>0.25</v>
      </c>
      <c r="P35" s="5735">
        <v>0.24154589371980675</v>
      </c>
      <c r="Q35" s="5735">
        <v>0.24154589371980678</v>
      </c>
      <c r="S35" s="5736">
        <v>0.18181818181818182</v>
      </c>
      <c r="T35" s="5737">
        <v>0.30434782608695654</v>
      </c>
      <c r="U35" s="5737">
        <v>9.0909090909090912E-2</v>
      </c>
      <c r="V35" s="5737">
        <v>0.25</v>
      </c>
      <c r="W35" s="5737">
        <v>0.33333333333333331</v>
      </c>
      <c r="X35" s="5737">
        <v>0.10526315789473684</v>
      </c>
      <c r="Y35" s="5737">
        <v>0.4</v>
      </c>
      <c r="Z35" s="5737">
        <v>0.2</v>
      </c>
      <c r="AA35" s="5738">
        <v>0.25</v>
      </c>
      <c r="AB35" s="5738">
        <v>0.2</v>
      </c>
      <c r="AC35" s="5739">
        <v>0.375</v>
      </c>
      <c r="AD35" s="5739">
        <v>0</v>
      </c>
      <c r="AE35" s="5740">
        <v>0.22784810126582278</v>
      </c>
      <c r="AF35" s="5740">
        <v>0.22784810126582278</v>
      </c>
      <c r="AH35" s="5736">
        <v>0.2</v>
      </c>
      <c r="AI35" s="5737">
        <v>0.38461538461538464</v>
      </c>
      <c r="AJ35" s="5737">
        <v>0.1111111111111111</v>
      </c>
      <c r="AK35" s="5737">
        <v>0.26666666666666666</v>
      </c>
      <c r="AL35" s="5737">
        <v>0.11764705882352941</v>
      </c>
      <c r="AM35" s="5737">
        <v>0.36842105263157893</v>
      </c>
      <c r="AN35" s="5737">
        <v>0.10526315789473684</v>
      </c>
      <c r="AO35" s="5741">
        <v>0.13333333333333333</v>
      </c>
      <c r="AP35" s="5737">
        <v>0.17647058823529413</v>
      </c>
      <c r="AQ35" s="5737">
        <v>0</v>
      </c>
      <c r="AR35" s="5737">
        <v>0.31578947368421051</v>
      </c>
      <c r="AS35" s="6205">
        <v>0.15384615384615385</v>
      </c>
      <c r="AT35" s="5740">
        <f>AT34/AT33</f>
        <v>0.203125</v>
      </c>
      <c r="AU35" s="5740">
        <f>AU34/AU33</f>
        <v>0.203125</v>
      </c>
      <c r="AW35" s="6255">
        <v>0.4</v>
      </c>
      <c r="AX35" s="6256"/>
      <c r="AY35" s="5737"/>
      <c r="AZ35" s="5737"/>
      <c r="BA35" s="5737"/>
      <c r="BB35" s="5737"/>
      <c r="BC35" s="5737"/>
      <c r="BD35" s="5741"/>
      <c r="BE35" s="5737"/>
      <c r="BF35" s="5737"/>
      <c r="BG35" s="5737"/>
      <c r="BH35" s="5737"/>
      <c r="BI35" s="5740">
        <f>BI34/BI33</f>
        <v>0.27586206896551724</v>
      </c>
      <c r="BJ35" s="5740">
        <f>BJ34/BJ33</f>
        <v>0.55172413793103448</v>
      </c>
      <c r="BL35" s="5686">
        <f t="shared" si="10"/>
        <v>-0.38461538461538464</v>
      </c>
      <c r="BM35" s="5686">
        <f t="shared" si="6"/>
        <v>0.34859913793103448</v>
      </c>
      <c r="BN35" s="5686">
        <f t="shared" ref="BN35" si="18">BM35</f>
        <v>0.34859913793103448</v>
      </c>
      <c r="BO35" s="2978">
        <f t="shared" si="11"/>
        <v>-0.4</v>
      </c>
    </row>
    <row r="36" spans="1:67" x14ac:dyDescent="0.55000000000000004">
      <c r="A36" s="7469"/>
      <c r="B36" s="1275" t="s">
        <v>19</v>
      </c>
      <c r="C36" s="1276"/>
      <c r="D36" s="5742">
        <v>7</v>
      </c>
      <c r="E36" s="5742">
        <v>6</v>
      </c>
      <c r="F36" s="5743">
        <v>6</v>
      </c>
      <c r="G36" s="5743">
        <v>10</v>
      </c>
      <c r="H36" s="5743">
        <v>7</v>
      </c>
      <c r="I36" s="5743">
        <v>11</v>
      </c>
      <c r="J36" s="5743">
        <v>4</v>
      </c>
      <c r="K36" s="5743">
        <v>15</v>
      </c>
      <c r="L36" s="5743">
        <v>3</v>
      </c>
      <c r="M36" s="5743">
        <v>6</v>
      </c>
      <c r="N36" s="5743">
        <v>6</v>
      </c>
      <c r="O36" s="5743">
        <v>10</v>
      </c>
      <c r="P36" s="5743">
        <v>91</v>
      </c>
      <c r="Q36" s="5743">
        <v>7.583333333333333</v>
      </c>
      <c r="S36" s="5744">
        <v>9</v>
      </c>
      <c r="T36" s="5743">
        <v>9</v>
      </c>
      <c r="U36" s="5743">
        <v>12</v>
      </c>
      <c r="V36" s="5743">
        <v>7</v>
      </c>
      <c r="W36" s="5743">
        <v>7</v>
      </c>
      <c r="X36" s="5743">
        <v>24</v>
      </c>
      <c r="Y36" s="5743">
        <v>13</v>
      </c>
      <c r="Z36" s="5743">
        <v>7</v>
      </c>
      <c r="AA36" s="5745">
        <v>5</v>
      </c>
      <c r="AB36" s="5745">
        <v>11</v>
      </c>
      <c r="AC36" s="5746">
        <v>10</v>
      </c>
      <c r="AD36" s="5746">
        <v>1</v>
      </c>
      <c r="AE36" s="5747">
        <v>115</v>
      </c>
      <c r="AF36" s="5747">
        <v>9.5833333333333339</v>
      </c>
      <c r="AH36" s="5744">
        <v>7</v>
      </c>
      <c r="AI36" s="5743">
        <v>4</v>
      </c>
      <c r="AJ36" s="5743">
        <v>6</v>
      </c>
      <c r="AK36" s="5743">
        <v>5</v>
      </c>
      <c r="AL36" s="5743">
        <v>6</v>
      </c>
      <c r="AM36" s="5743">
        <v>4</v>
      </c>
      <c r="AN36" s="5743">
        <v>7</v>
      </c>
      <c r="AO36" s="5743">
        <v>5</v>
      </c>
      <c r="AP36" s="5743">
        <v>5</v>
      </c>
      <c r="AQ36" s="5743">
        <v>5</v>
      </c>
      <c r="AR36" s="1276">
        <v>3</v>
      </c>
      <c r="AS36" s="1276">
        <v>8</v>
      </c>
      <c r="AT36" s="5747">
        <f>SUM(AH36:AS36)</f>
        <v>65</v>
      </c>
      <c r="AU36" s="5747">
        <f>AVERAGE(AH36:AS36)</f>
        <v>5.416666666666667</v>
      </c>
      <c r="AW36" s="5744">
        <v>7</v>
      </c>
      <c r="AX36" s="5743">
        <v>3</v>
      </c>
      <c r="AY36" s="5743"/>
      <c r="AZ36" s="5743"/>
      <c r="BA36" s="5743"/>
      <c r="BB36" s="5743"/>
      <c r="BC36" s="5743"/>
      <c r="BD36" s="5743"/>
      <c r="BE36" s="5743"/>
      <c r="BF36" s="5743"/>
      <c r="BG36" s="1276"/>
      <c r="BH36" s="1276"/>
      <c r="BI36" s="5747">
        <f>SUM(AW36:BH36)</f>
        <v>10</v>
      </c>
      <c r="BJ36" s="5747">
        <f>AVERAGE(AW36:BH36)</f>
        <v>5</v>
      </c>
      <c r="BL36" s="2860">
        <f t="shared" si="10"/>
        <v>-1</v>
      </c>
      <c r="BM36" s="2860">
        <f t="shared" si="6"/>
        <v>-0.41666666666666696</v>
      </c>
      <c r="BN36" s="2860">
        <f>IFERROR(
  SUM(
    _xlfn.XLOOKUP(DATE(YEAR($A$1),1,1),$2:$2,36:36):
    _xlfn.XLOOKUP($A$1,$2:$2,36:36)
  )
 -SUM(
    _xlfn.XLOOKUP(DATE(YEAR($A$1)-1,1,1),$2:$2,36:36):
    _xlfn.XLOOKUP(EDATE($A$1,-12),$2:$2,36:36)
  ),"")</f>
        <v>-1</v>
      </c>
      <c r="BO36" s="590">
        <f t="shared" si="11"/>
        <v>-4</v>
      </c>
    </row>
    <row r="37" spans="1:67" x14ac:dyDescent="0.55000000000000004">
      <c r="A37" s="7469"/>
      <c r="B37" s="1284"/>
      <c r="C37" s="559" t="s">
        <v>67</v>
      </c>
      <c r="D37" s="1860">
        <v>1</v>
      </c>
      <c r="E37" s="1860">
        <v>1</v>
      </c>
      <c r="F37" s="559">
        <v>0</v>
      </c>
      <c r="G37" s="559">
        <v>1</v>
      </c>
      <c r="H37" s="559">
        <v>2</v>
      </c>
      <c r="I37" s="559">
        <v>1</v>
      </c>
      <c r="J37" s="559">
        <v>0</v>
      </c>
      <c r="K37" s="559">
        <v>2</v>
      </c>
      <c r="L37" s="559">
        <v>0</v>
      </c>
      <c r="M37" s="559">
        <v>0</v>
      </c>
      <c r="N37" s="559">
        <v>0</v>
      </c>
      <c r="O37" s="559">
        <v>1</v>
      </c>
      <c r="P37" s="559">
        <v>9</v>
      </c>
      <c r="Q37" s="590">
        <v>0.75</v>
      </c>
      <c r="S37" s="2882">
        <v>2</v>
      </c>
      <c r="T37" s="1102">
        <v>0</v>
      </c>
      <c r="U37" s="1102">
        <v>1</v>
      </c>
      <c r="V37" s="1102">
        <v>0</v>
      </c>
      <c r="W37" s="1102">
        <v>0</v>
      </c>
      <c r="X37" s="1102">
        <v>0</v>
      </c>
      <c r="Y37" s="559">
        <v>1</v>
      </c>
      <c r="Z37" s="1102">
        <v>0</v>
      </c>
      <c r="AA37" s="559">
        <v>1</v>
      </c>
      <c r="AB37" s="559">
        <v>0</v>
      </c>
      <c r="AC37" s="559">
        <v>2</v>
      </c>
      <c r="AD37" s="559">
        <v>0</v>
      </c>
      <c r="AE37" s="2860">
        <v>7</v>
      </c>
      <c r="AF37" s="590">
        <v>0.58333333333333337</v>
      </c>
      <c r="AH37" s="2882">
        <v>0</v>
      </c>
      <c r="AI37" s="1102">
        <v>1</v>
      </c>
      <c r="AJ37" s="1102">
        <v>0</v>
      </c>
      <c r="AK37" s="1102">
        <v>1</v>
      </c>
      <c r="AL37" s="1102">
        <v>0</v>
      </c>
      <c r="AM37" s="1102">
        <v>0</v>
      </c>
      <c r="AN37" s="559">
        <v>0</v>
      </c>
      <c r="AO37" s="1102">
        <v>0</v>
      </c>
      <c r="AP37" s="559">
        <v>2</v>
      </c>
      <c r="AQ37" s="559">
        <v>0</v>
      </c>
      <c r="AR37" s="559">
        <v>0</v>
      </c>
      <c r="AS37" s="559">
        <v>0</v>
      </c>
      <c r="AT37" s="2860">
        <f>SUM(AH37:AS37)</f>
        <v>4</v>
      </c>
      <c r="AU37" s="590">
        <f>AVERAGE(AH37:AS37)</f>
        <v>0.33333333333333331</v>
      </c>
      <c r="AW37" s="2882">
        <v>1</v>
      </c>
      <c r="AX37" s="1102">
        <v>0</v>
      </c>
      <c r="AY37" s="1102"/>
      <c r="AZ37" s="1102"/>
      <c r="BA37" s="1102"/>
      <c r="BB37" s="1102"/>
      <c r="BD37" s="1102"/>
      <c r="BI37" s="2860">
        <f>SUM(AW37:BH37)</f>
        <v>1</v>
      </c>
      <c r="BJ37" s="590">
        <f>AVERAGE(AW37:BH37)</f>
        <v>0.5</v>
      </c>
      <c r="BL37" s="2860">
        <f t="shared" si="10"/>
        <v>-1</v>
      </c>
      <c r="BM37" s="2860">
        <f t="shared" si="6"/>
        <v>0.16666666666666669</v>
      </c>
      <c r="BN37" s="2860">
        <f>IFERROR(
  SUM(
    _xlfn.XLOOKUP(DATE(YEAR($A$1),1,1),$2:$2,37:37):
    _xlfn.XLOOKUP($A$1,$2:$2,37:37)
  )
 -SUM(
    _xlfn.XLOOKUP(DATE(YEAR($A$1)-1,1,1),$2:$2,37:37):
    _xlfn.XLOOKUP(EDATE($A$1,-12),$2:$2,37:37)
  ),"")</f>
        <v>0</v>
      </c>
      <c r="BO37" s="590">
        <f t="shared" si="11"/>
        <v>-1</v>
      </c>
    </row>
    <row r="38" spans="1:67" x14ac:dyDescent="0.55000000000000004">
      <c r="A38" s="7469"/>
      <c r="B38" s="1284"/>
      <c r="C38" s="559" t="s">
        <v>70</v>
      </c>
      <c r="D38" s="1860">
        <v>1</v>
      </c>
      <c r="E38" s="1860">
        <v>0</v>
      </c>
      <c r="F38" s="559">
        <v>0</v>
      </c>
      <c r="G38" s="559">
        <v>1</v>
      </c>
      <c r="H38" s="559">
        <v>0</v>
      </c>
      <c r="I38" s="559">
        <v>1</v>
      </c>
      <c r="J38" s="559">
        <v>0</v>
      </c>
      <c r="K38" s="559">
        <v>0</v>
      </c>
      <c r="L38" s="559">
        <v>0</v>
      </c>
      <c r="M38" s="559">
        <v>1</v>
      </c>
      <c r="N38" s="559">
        <v>0</v>
      </c>
      <c r="O38" s="559">
        <v>0</v>
      </c>
      <c r="P38" s="559">
        <v>4</v>
      </c>
      <c r="Q38" s="590">
        <v>0.33333333333333331</v>
      </c>
      <c r="S38" s="2882">
        <v>0</v>
      </c>
      <c r="T38" s="1102">
        <v>2</v>
      </c>
      <c r="U38" s="1102">
        <v>2</v>
      </c>
      <c r="V38" s="1102">
        <v>0</v>
      </c>
      <c r="W38" s="1102">
        <v>1</v>
      </c>
      <c r="X38" s="1102">
        <v>0</v>
      </c>
      <c r="Y38" s="559">
        <v>0</v>
      </c>
      <c r="Z38" s="1102">
        <v>0</v>
      </c>
      <c r="AA38" s="559">
        <v>0</v>
      </c>
      <c r="AB38" s="559">
        <v>1</v>
      </c>
      <c r="AC38" s="559">
        <v>1</v>
      </c>
      <c r="AD38" s="559">
        <v>0</v>
      </c>
      <c r="AE38" s="559">
        <v>7</v>
      </c>
      <c r="AF38" s="590">
        <v>0.58333333333333337</v>
      </c>
      <c r="AH38" s="2882">
        <v>0</v>
      </c>
      <c r="AI38" s="1102">
        <v>0</v>
      </c>
      <c r="AJ38" s="1102">
        <v>1</v>
      </c>
      <c r="AK38" s="1102">
        <v>1</v>
      </c>
      <c r="AL38" s="1102">
        <v>1</v>
      </c>
      <c r="AM38" s="1102">
        <v>0</v>
      </c>
      <c r="AN38" s="559">
        <v>0</v>
      </c>
      <c r="AO38" s="1102">
        <v>0</v>
      </c>
      <c r="AP38" s="559">
        <v>0</v>
      </c>
      <c r="AQ38" s="559">
        <v>0</v>
      </c>
      <c r="AR38" s="559">
        <v>0</v>
      </c>
      <c r="AS38" s="559">
        <v>1</v>
      </c>
      <c r="AT38" s="559">
        <f t="shared" ref="AT38:AT39" si="19">SUM(AH38:AS38)</f>
        <v>4</v>
      </c>
      <c r="AU38" s="590">
        <f t="shared" ref="AU38:AU51" si="20">AVERAGE(AH38:AS38)</f>
        <v>0.33333333333333331</v>
      </c>
      <c r="AW38" s="2882">
        <v>0</v>
      </c>
      <c r="AX38" s="1102">
        <v>0</v>
      </c>
      <c r="AY38" s="1102"/>
      <c r="AZ38" s="1102"/>
      <c r="BA38" s="1102"/>
      <c r="BB38" s="1102"/>
      <c r="BD38" s="1102"/>
      <c r="BI38" s="559">
        <f t="shared" ref="BI38:BI39" si="21">SUM(AW38:BH38)</f>
        <v>0</v>
      </c>
      <c r="BJ38" s="590">
        <f t="shared" ref="BJ38:BJ51" si="22">AVERAGE(AW38:BH38)</f>
        <v>0</v>
      </c>
      <c r="BL38" s="2860">
        <f t="shared" si="10"/>
        <v>0</v>
      </c>
      <c r="BM38" s="2860">
        <f t="shared" si="6"/>
        <v>-0.33333333333333331</v>
      </c>
      <c r="BN38" s="2860">
        <f>IFERROR(
  SUM(
    _xlfn.XLOOKUP(DATE(YEAR($A$1),1,1),$2:$2,38:38):
    _xlfn.XLOOKUP($A$1,$2:$2,38:38)
  )
 -SUM(
    _xlfn.XLOOKUP(DATE(YEAR($A$1)-1,1,1),$2:$2,38:38):
    _xlfn.XLOOKUP(EDATE($A$1,-12),$2:$2,38:38)
  ),"")</f>
        <v>0</v>
      </c>
      <c r="BO38" s="590">
        <f t="shared" si="11"/>
        <v>0</v>
      </c>
    </row>
    <row r="39" spans="1:67" x14ac:dyDescent="0.55000000000000004">
      <c r="A39" s="7469"/>
      <c r="B39" s="1284"/>
      <c r="C39" s="559" t="s">
        <v>68</v>
      </c>
      <c r="D39" s="1860">
        <v>0</v>
      </c>
      <c r="E39" s="1860">
        <v>0</v>
      </c>
      <c r="F39" s="559">
        <v>0</v>
      </c>
      <c r="G39" s="559">
        <v>1</v>
      </c>
      <c r="H39" s="559">
        <v>0</v>
      </c>
      <c r="I39" s="559">
        <v>2</v>
      </c>
      <c r="J39" s="559">
        <v>1</v>
      </c>
      <c r="K39" s="559">
        <v>3</v>
      </c>
      <c r="L39" s="559">
        <v>1</v>
      </c>
      <c r="M39" s="559">
        <v>0</v>
      </c>
      <c r="N39" s="559">
        <v>1</v>
      </c>
      <c r="O39" s="559">
        <v>1</v>
      </c>
      <c r="P39" s="559">
        <v>10</v>
      </c>
      <c r="Q39" s="590">
        <v>0.83333333333333337</v>
      </c>
      <c r="S39" s="2882">
        <v>1</v>
      </c>
      <c r="T39" s="1102">
        <v>1</v>
      </c>
      <c r="U39" s="1102">
        <v>2</v>
      </c>
      <c r="V39" s="1102">
        <v>2</v>
      </c>
      <c r="W39" s="1102">
        <v>0</v>
      </c>
      <c r="X39" s="1102">
        <v>0</v>
      </c>
      <c r="Y39" s="559">
        <v>0</v>
      </c>
      <c r="Z39" s="1102">
        <v>1</v>
      </c>
      <c r="AA39" s="559">
        <v>1</v>
      </c>
      <c r="AB39" s="559">
        <v>2</v>
      </c>
      <c r="AC39" s="559">
        <v>0</v>
      </c>
      <c r="AD39" s="559">
        <v>0</v>
      </c>
      <c r="AE39" s="559">
        <v>10</v>
      </c>
      <c r="AF39" s="590">
        <v>0.83333333333333337</v>
      </c>
      <c r="AH39" s="2882">
        <v>0</v>
      </c>
      <c r="AI39" s="1102">
        <v>1</v>
      </c>
      <c r="AJ39" s="1102">
        <v>0</v>
      </c>
      <c r="AK39" s="1102">
        <v>0</v>
      </c>
      <c r="AL39" s="1102">
        <v>2</v>
      </c>
      <c r="AM39" s="1102">
        <v>0</v>
      </c>
      <c r="AN39" s="559">
        <v>0</v>
      </c>
      <c r="AO39" s="1102">
        <v>0</v>
      </c>
      <c r="AP39" s="559">
        <v>0</v>
      </c>
      <c r="AQ39" s="559">
        <v>0</v>
      </c>
      <c r="AR39" s="559">
        <v>1</v>
      </c>
      <c r="AS39" s="559">
        <v>0</v>
      </c>
      <c r="AT39" s="559">
        <f t="shared" si="19"/>
        <v>4</v>
      </c>
      <c r="AU39" s="590">
        <f t="shared" si="20"/>
        <v>0.33333333333333331</v>
      </c>
      <c r="AW39" s="2882">
        <v>3</v>
      </c>
      <c r="AX39" s="1102">
        <v>0</v>
      </c>
      <c r="AY39" s="1102"/>
      <c r="AZ39" s="1102"/>
      <c r="BA39" s="1102"/>
      <c r="BB39" s="1102"/>
      <c r="BD39" s="1102"/>
      <c r="BI39" s="559">
        <f t="shared" si="21"/>
        <v>3</v>
      </c>
      <c r="BJ39" s="590">
        <f t="shared" si="22"/>
        <v>1.5</v>
      </c>
      <c r="BL39" s="2860">
        <f t="shared" si="10"/>
        <v>-1</v>
      </c>
      <c r="BM39" s="2860">
        <f t="shared" si="6"/>
        <v>1.1666666666666667</v>
      </c>
      <c r="BN39" s="2860">
        <f>IFERROR(
  SUM(
    _xlfn.XLOOKUP(DATE(YEAR($A$1),1,1),$2:$2,39:39):
    _xlfn.XLOOKUP($A$1,$2:$2,39:39)
  )
 -SUM(
    _xlfn.XLOOKUP(DATE(YEAR($A$1)-1,1,1),$2:$2,39:39):
    _xlfn.XLOOKUP(EDATE($A$1,-12),$2:$2,39:39)
  ),"")</f>
        <v>2</v>
      </c>
      <c r="BO39" s="590">
        <f t="shared" si="11"/>
        <v>-3</v>
      </c>
    </row>
    <row r="40" spans="1:67" x14ac:dyDescent="0.55000000000000004">
      <c r="A40" s="7469"/>
      <c r="B40" s="1284"/>
      <c r="C40" s="559" t="s">
        <v>143</v>
      </c>
      <c r="D40" s="1860">
        <v>0</v>
      </c>
      <c r="E40" s="1860">
        <v>0</v>
      </c>
      <c r="F40" s="559">
        <v>0</v>
      </c>
      <c r="G40" s="559">
        <v>1</v>
      </c>
      <c r="H40" s="559">
        <v>0</v>
      </c>
      <c r="I40" s="559">
        <v>0</v>
      </c>
      <c r="J40" s="559">
        <v>0</v>
      </c>
      <c r="K40" s="559">
        <v>1</v>
      </c>
      <c r="L40" s="559">
        <v>0</v>
      </c>
      <c r="M40" s="559">
        <v>0</v>
      </c>
      <c r="N40" s="559">
        <v>0</v>
      </c>
      <c r="O40" s="559">
        <v>1</v>
      </c>
      <c r="P40" s="559">
        <v>3</v>
      </c>
      <c r="Q40" s="590">
        <v>0.25</v>
      </c>
      <c r="S40" s="2882">
        <v>0</v>
      </c>
      <c r="T40" s="1102">
        <v>0</v>
      </c>
      <c r="U40" s="1102">
        <v>0</v>
      </c>
      <c r="V40" s="1102">
        <v>0</v>
      </c>
      <c r="W40" s="1102">
        <v>0</v>
      </c>
      <c r="X40" s="1102">
        <v>1</v>
      </c>
      <c r="Y40" s="559">
        <v>0</v>
      </c>
      <c r="Z40" s="1102">
        <v>0</v>
      </c>
      <c r="AA40" s="559">
        <v>1</v>
      </c>
      <c r="AB40" s="559">
        <v>1</v>
      </c>
      <c r="AC40" s="559">
        <v>0</v>
      </c>
      <c r="AD40" s="559">
        <v>0</v>
      </c>
      <c r="AE40" s="2860">
        <v>3</v>
      </c>
      <c r="AF40" s="590">
        <v>0.25</v>
      </c>
      <c r="AH40" s="2882">
        <v>0</v>
      </c>
      <c r="AI40" s="1102">
        <v>0</v>
      </c>
      <c r="AJ40" s="1102">
        <v>0</v>
      </c>
      <c r="AK40" s="1102">
        <v>1</v>
      </c>
      <c r="AL40" s="1102">
        <v>0</v>
      </c>
      <c r="AM40" s="1102">
        <v>0</v>
      </c>
      <c r="AN40" s="559">
        <v>1</v>
      </c>
      <c r="AO40" s="1102">
        <v>0</v>
      </c>
      <c r="AP40" s="559">
        <v>0</v>
      </c>
      <c r="AQ40" s="559">
        <v>0</v>
      </c>
      <c r="AR40" s="559">
        <v>0</v>
      </c>
      <c r="AS40" s="559">
        <v>0</v>
      </c>
      <c r="AT40" s="2860">
        <f>SUM(AH40:AS40)</f>
        <v>2</v>
      </c>
      <c r="AU40" s="590">
        <f t="shared" si="20"/>
        <v>0.16666666666666666</v>
      </c>
      <c r="AW40" s="2882">
        <v>0</v>
      </c>
      <c r="AX40" s="1102">
        <v>0</v>
      </c>
      <c r="AY40" s="1102"/>
      <c r="AZ40" s="1102"/>
      <c r="BA40" s="1102"/>
      <c r="BB40" s="1102"/>
      <c r="BD40" s="1102"/>
      <c r="BI40" s="2860">
        <f>SUM(AW40:BH40)</f>
        <v>0</v>
      </c>
      <c r="BJ40" s="590">
        <f t="shared" si="22"/>
        <v>0</v>
      </c>
      <c r="BL40" s="2860">
        <f t="shared" si="10"/>
        <v>0</v>
      </c>
      <c r="BM40" s="2860">
        <f t="shared" si="6"/>
        <v>-0.16666666666666666</v>
      </c>
      <c r="BN40" s="2860">
        <f>IFERROR(
  SUM(
    _xlfn.XLOOKUP(DATE(YEAR($A$1),1,1),$2:$2,40:40):
    _xlfn.XLOOKUP($A$1,$2:$2,40:40)
  )
 -SUM(
    _xlfn.XLOOKUP(DATE(YEAR($A$1)-1,1,1),$2:$2,40:40):
    _xlfn.XLOOKUP(EDATE($A$1,-12),$2:$2,40:40)
  ),"")</f>
        <v>0</v>
      </c>
      <c r="BO40" s="590">
        <f t="shared" si="11"/>
        <v>0</v>
      </c>
    </row>
    <row r="41" spans="1:67" x14ac:dyDescent="0.55000000000000004">
      <c r="A41" s="7469"/>
      <c r="B41" s="1284"/>
      <c r="C41" s="559" t="s">
        <v>69</v>
      </c>
      <c r="D41" s="1860">
        <v>2</v>
      </c>
      <c r="E41" s="1860">
        <v>0</v>
      </c>
      <c r="F41" s="559">
        <v>1</v>
      </c>
      <c r="G41" s="559">
        <v>2</v>
      </c>
      <c r="H41" s="559">
        <v>0</v>
      </c>
      <c r="I41" s="559">
        <v>5</v>
      </c>
      <c r="J41" s="559">
        <v>1</v>
      </c>
      <c r="K41" s="559">
        <v>4</v>
      </c>
      <c r="L41" s="559">
        <v>0</v>
      </c>
      <c r="M41" s="559">
        <v>3</v>
      </c>
      <c r="N41" s="559">
        <v>2</v>
      </c>
      <c r="O41" s="559">
        <v>3</v>
      </c>
      <c r="P41" s="559">
        <v>23</v>
      </c>
      <c r="Q41" s="590">
        <v>1.9166666666666667</v>
      </c>
      <c r="S41" s="2882">
        <v>4</v>
      </c>
      <c r="T41" s="1102">
        <v>2</v>
      </c>
      <c r="U41" s="1102">
        <v>3</v>
      </c>
      <c r="V41" s="1102">
        <v>0</v>
      </c>
      <c r="W41" s="1102">
        <v>2</v>
      </c>
      <c r="X41" s="1102">
        <v>1</v>
      </c>
      <c r="Y41" s="559">
        <v>2</v>
      </c>
      <c r="Z41" s="1102">
        <v>1</v>
      </c>
      <c r="AA41" s="559">
        <v>1</v>
      </c>
      <c r="AB41" s="559">
        <v>1</v>
      </c>
      <c r="AC41" s="559">
        <v>0</v>
      </c>
      <c r="AD41" s="559">
        <v>0</v>
      </c>
      <c r="AE41" s="559">
        <v>17</v>
      </c>
      <c r="AF41" s="590">
        <v>1.4166666666666667</v>
      </c>
      <c r="AH41" s="2882">
        <v>4</v>
      </c>
      <c r="AI41" s="1102">
        <v>0</v>
      </c>
      <c r="AJ41" s="1102">
        <v>2</v>
      </c>
      <c r="AK41" s="1102">
        <v>0</v>
      </c>
      <c r="AL41" s="1102">
        <v>1</v>
      </c>
      <c r="AM41" s="1102">
        <v>0</v>
      </c>
      <c r="AN41" s="559">
        <v>3</v>
      </c>
      <c r="AO41" s="1102">
        <v>0</v>
      </c>
      <c r="AP41" s="559">
        <v>1</v>
      </c>
      <c r="AQ41" s="559">
        <v>1</v>
      </c>
      <c r="AR41" s="559">
        <v>0</v>
      </c>
      <c r="AS41" s="559">
        <v>1</v>
      </c>
      <c r="AT41" s="559">
        <f t="shared" ref="AT41:AT57" si="23">SUM(AH41:AS41)</f>
        <v>13</v>
      </c>
      <c r="AU41" s="590">
        <f t="shared" si="20"/>
        <v>1.0833333333333333</v>
      </c>
      <c r="AW41" s="2882">
        <v>0</v>
      </c>
      <c r="AX41" s="1102">
        <v>1</v>
      </c>
      <c r="AY41" s="1102"/>
      <c r="AZ41" s="1102"/>
      <c r="BA41" s="1102"/>
      <c r="BB41" s="1102"/>
      <c r="BD41" s="1102"/>
      <c r="BI41" s="559">
        <f t="shared" ref="BI41:BI57" si="24">SUM(AW41:BH41)</f>
        <v>1</v>
      </c>
      <c r="BJ41" s="590">
        <f t="shared" si="22"/>
        <v>0.5</v>
      </c>
      <c r="BL41" s="2860">
        <f t="shared" si="10"/>
        <v>1</v>
      </c>
      <c r="BM41" s="2860">
        <f t="shared" si="6"/>
        <v>-0.58333333333333326</v>
      </c>
      <c r="BN41" s="2860">
        <f>IFERROR(
  SUM(
    _xlfn.XLOOKUP(DATE(YEAR($A$1),1,1),$2:$2,41:41):
    _xlfn.XLOOKUP($A$1,$2:$2,41:41)
  )
 -SUM(
    _xlfn.XLOOKUP(DATE(YEAR($A$1)-1,1,1),$2:$2,41:41):
    _xlfn.XLOOKUP(EDATE($A$1,-12),$2:$2,41:41)
  ),"")</f>
        <v>-3</v>
      </c>
      <c r="BO41" s="590">
        <f t="shared" si="11"/>
        <v>1</v>
      </c>
    </row>
    <row r="42" spans="1:67" x14ac:dyDescent="0.55000000000000004">
      <c r="A42" s="7469"/>
      <c r="B42" s="1284"/>
      <c r="C42" s="559" t="s">
        <v>71</v>
      </c>
      <c r="D42" s="1860">
        <v>0</v>
      </c>
      <c r="E42" s="1860">
        <v>1</v>
      </c>
      <c r="F42" s="559">
        <v>1</v>
      </c>
      <c r="G42" s="559">
        <v>0</v>
      </c>
      <c r="H42" s="559">
        <v>2</v>
      </c>
      <c r="I42" s="559">
        <v>0</v>
      </c>
      <c r="J42" s="559">
        <v>0</v>
      </c>
      <c r="K42" s="559">
        <v>1</v>
      </c>
      <c r="L42" s="559">
        <v>0</v>
      </c>
      <c r="M42" s="559">
        <v>0</v>
      </c>
      <c r="N42" s="559">
        <v>1</v>
      </c>
      <c r="O42" s="559">
        <v>0</v>
      </c>
      <c r="P42" s="559">
        <v>6</v>
      </c>
      <c r="Q42" s="590">
        <v>0.5</v>
      </c>
      <c r="S42" s="2882">
        <v>0</v>
      </c>
      <c r="T42" s="1102">
        <v>0</v>
      </c>
      <c r="U42" s="1102">
        <v>2</v>
      </c>
      <c r="V42" s="1102">
        <v>1</v>
      </c>
      <c r="W42" s="1102">
        <v>0</v>
      </c>
      <c r="X42" s="1102">
        <v>1</v>
      </c>
      <c r="Y42" s="559">
        <v>1</v>
      </c>
      <c r="Z42" s="1102">
        <v>1</v>
      </c>
      <c r="AA42" s="559">
        <v>0</v>
      </c>
      <c r="AB42" s="559">
        <v>0</v>
      </c>
      <c r="AC42" s="559">
        <v>2</v>
      </c>
      <c r="AD42" s="559">
        <v>0</v>
      </c>
      <c r="AE42" s="559">
        <v>8</v>
      </c>
      <c r="AF42" s="590">
        <v>0.66666666666666663</v>
      </c>
      <c r="AH42" s="2882">
        <v>0</v>
      </c>
      <c r="AI42" s="1102">
        <v>1</v>
      </c>
      <c r="AJ42" s="1102">
        <v>0</v>
      </c>
      <c r="AK42" s="1102">
        <v>1</v>
      </c>
      <c r="AL42" s="1102">
        <v>0</v>
      </c>
      <c r="AM42" s="1102">
        <v>0</v>
      </c>
      <c r="AN42" s="559">
        <v>1</v>
      </c>
      <c r="AO42" s="1102">
        <v>0</v>
      </c>
      <c r="AP42" s="559">
        <v>1</v>
      </c>
      <c r="AQ42" s="559">
        <v>0</v>
      </c>
      <c r="AR42" s="559">
        <v>0</v>
      </c>
      <c r="AS42" s="559">
        <v>0</v>
      </c>
      <c r="AT42" s="559">
        <f t="shared" si="23"/>
        <v>4</v>
      </c>
      <c r="AU42" s="590">
        <f t="shared" si="20"/>
        <v>0.33333333333333331</v>
      </c>
      <c r="AW42" s="2882">
        <v>0</v>
      </c>
      <c r="AX42" s="1102">
        <v>1</v>
      </c>
      <c r="AY42" s="1102"/>
      <c r="AZ42" s="1102"/>
      <c r="BA42" s="1102"/>
      <c r="BB42" s="1102"/>
      <c r="BD42" s="1102"/>
      <c r="BI42" s="559">
        <f t="shared" si="24"/>
        <v>1</v>
      </c>
      <c r="BJ42" s="590">
        <f t="shared" si="22"/>
        <v>0.5</v>
      </c>
      <c r="BL42" s="2860">
        <f t="shared" si="10"/>
        <v>0</v>
      </c>
      <c r="BM42" s="2860">
        <f t="shared" si="6"/>
        <v>0.16666666666666669</v>
      </c>
      <c r="BN42" s="2860">
        <f>IFERROR(
  SUM(
    _xlfn.XLOOKUP(DATE(YEAR($A$1),1,1),$2:$2,42:42):
    _xlfn.XLOOKUP($A$1,$2:$2,42:42)
  )
 -SUM(
    _xlfn.XLOOKUP(DATE(YEAR($A$1)-1,1,1),$2:$2,42:42):
    _xlfn.XLOOKUP(EDATE($A$1,-12),$2:$2,42:42)
  ),"")</f>
        <v>0</v>
      </c>
      <c r="BO42" s="590">
        <f t="shared" si="11"/>
        <v>1</v>
      </c>
    </row>
    <row r="43" spans="1:67" x14ac:dyDescent="0.55000000000000004">
      <c r="A43" s="7469"/>
      <c r="B43" s="1284"/>
      <c r="C43" s="559" t="s">
        <v>72</v>
      </c>
      <c r="D43" s="1860">
        <v>0</v>
      </c>
      <c r="E43" s="1860">
        <v>0</v>
      </c>
      <c r="F43" s="559">
        <v>1</v>
      </c>
      <c r="G43" s="559">
        <v>0</v>
      </c>
      <c r="H43" s="559">
        <v>2</v>
      </c>
      <c r="I43" s="559">
        <v>0</v>
      </c>
      <c r="J43" s="559">
        <v>0</v>
      </c>
      <c r="K43" s="559">
        <v>2</v>
      </c>
      <c r="L43" s="559">
        <v>1</v>
      </c>
      <c r="M43" s="559">
        <v>0</v>
      </c>
      <c r="N43" s="559">
        <v>0</v>
      </c>
      <c r="O43" s="559">
        <v>2</v>
      </c>
      <c r="P43" s="559">
        <v>8</v>
      </c>
      <c r="Q43" s="590">
        <v>0.66666666666666663</v>
      </c>
      <c r="S43" s="2882">
        <v>0</v>
      </c>
      <c r="T43" s="1102">
        <v>1</v>
      </c>
      <c r="U43" s="1102">
        <v>0</v>
      </c>
      <c r="V43" s="1102">
        <v>1</v>
      </c>
      <c r="W43" s="1102">
        <v>1</v>
      </c>
      <c r="X43" s="1102">
        <v>0</v>
      </c>
      <c r="Y43" s="559">
        <v>4</v>
      </c>
      <c r="Z43" s="1102">
        <v>2</v>
      </c>
      <c r="AA43" s="559">
        <v>1</v>
      </c>
      <c r="AB43" s="559">
        <v>3</v>
      </c>
      <c r="AC43" s="559">
        <v>2</v>
      </c>
      <c r="AD43" s="559">
        <v>1</v>
      </c>
      <c r="AE43" s="559">
        <v>16</v>
      </c>
      <c r="AF43" s="590">
        <v>1.3333333333333333</v>
      </c>
      <c r="AH43" s="2882">
        <v>2</v>
      </c>
      <c r="AI43" s="1102">
        <v>0</v>
      </c>
      <c r="AJ43" s="1102">
        <v>0</v>
      </c>
      <c r="AK43" s="1102">
        <v>0</v>
      </c>
      <c r="AL43" s="1102">
        <v>1</v>
      </c>
      <c r="AM43" s="1102">
        <v>1</v>
      </c>
      <c r="AN43" s="559">
        <v>1</v>
      </c>
      <c r="AO43" s="1102">
        <v>2</v>
      </c>
      <c r="AP43" s="559">
        <v>0</v>
      </c>
      <c r="AQ43" s="559">
        <v>2</v>
      </c>
      <c r="AR43" s="559">
        <v>1</v>
      </c>
      <c r="AS43" s="559">
        <v>2</v>
      </c>
      <c r="AT43" s="559">
        <f t="shared" si="23"/>
        <v>12</v>
      </c>
      <c r="AU43" s="590">
        <f t="shared" si="20"/>
        <v>1</v>
      </c>
      <c r="AW43" s="2882">
        <v>1</v>
      </c>
      <c r="AX43" s="1102">
        <v>0</v>
      </c>
      <c r="AY43" s="1102"/>
      <c r="AZ43" s="1102"/>
      <c r="BA43" s="1102"/>
      <c r="BB43" s="1102"/>
      <c r="BD43" s="1102"/>
      <c r="BI43" s="559">
        <f t="shared" si="24"/>
        <v>1</v>
      </c>
      <c r="BJ43" s="590">
        <f t="shared" si="22"/>
        <v>0.5</v>
      </c>
      <c r="BL43" s="2860">
        <f t="shared" si="10"/>
        <v>0</v>
      </c>
      <c r="BM43" s="2860">
        <f t="shared" si="6"/>
        <v>-0.5</v>
      </c>
      <c r="BN43" s="2860">
        <f>IFERROR(
  SUM(
    _xlfn.XLOOKUP(DATE(YEAR($A$1),1,1),$2:$2,43:43):
    _xlfn.XLOOKUP($A$1,$2:$2,43:43)
  )
 -SUM(
    _xlfn.XLOOKUP(DATE(YEAR($A$1)-1,1,1),$2:$2,43:43):
    _xlfn.XLOOKUP(EDATE($A$1,-12),$2:$2,43:43)
  ),"")</f>
        <v>-1</v>
      </c>
      <c r="BO43" s="590">
        <f t="shared" si="11"/>
        <v>-1</v>
      </c>
    </row>
    <row r="44" spans="1:67" x14ac:dyDescent="0.55000000000000004">
      <c r="A44" s="7469"/>
      <c r="B44" s="1284"/>
      <c r="C44" s="559" t="s">
        <v>73</v>
      </c>
      <c r="D44" s="1860">
        <v>0</v>
      </c>
      <c r="E44" s="1860">
        <v>2</v>
      </c>
      <c r="F44" s="559">
        <v>0</v>
      </c>
      <c r="G44" s="559">
        <v>1</v>
      </c>
      <c r="H44" s="559">
        <v>0</v>
      </c>
      <c r="I44" s="559">
        <v>1</v>
      </c>
      <c r="J44" s="559">
        <v>1</v>
      </c>
      <c r="K44" s="559">
        <v>0</v>
      </c>
      <c r="L44" s="559">
        <v>1</v>
      </c>
      <c r="M44" s="559">
        <v>0</v>
      </c>
      <c r="N44" s="559">
        <v>1</v>
      </c>
      <c r="O44" s="559">
        <v>1</v>
      </c>
      <c r="P44" s="559">
        <v>8</v>
      </c>
      <c r="Q44" s="590">
        <v>0.66666666666666663</v>
      </c>
      <c r="S44" s="2882">
        <v>0</v>
      </c>
      <c r="T44" s="1102">
        <v>1</v>
      </c>
      <c r="U44" s="1102">
        <v>2</v>
      </c>
      <c r="V44" s="1102">
        <v>1</v>
      </c>
      <c r="W44" s="1102">
        <v>0</v>
      </c>
      <c r="X44" s="1102">
        <v>0</v>
      </c>
      <c r="Y44" s="559">
        <v>2</v>
      </c>
      <c r="Z44" s="1102">
        <v>1</v>
      </c>
      <c r="AA44" s="559">
        <v>0</v>
      </c>
      <c r="AB44" s="559">
        <v>1</v>
      </c>
      <c r="AC44" s="559">
        <v>1</v>
      </c>
      <c r="AD44" s="559">
        <v>0</v>
      </c>
      <c r="AE44" s="559">
        <v>9</v>
      </c>
      <c r="AF44" s="590">
        <v>0.75</v>
      </c>
      <c r="AH44" s="2882">
        <v>0</v>
      </c>
      <c r="AI44" s="1102">
        <v>0</v>
      </c>
      <c r="AJ44" s="1102">
        <v>1</v>
      </c>
      <c r="AK44" s="1102">
        <v>0</v>
      </c>
      <c r="AL44" s="1102">
        <v>0</v>
      </c>
      <c r="AM44" s="1102">
        <v>1</v>
      </c>
      <c r="AN44" s="559">
        <v>1</v>
      </c>
      <c r="AO44" s="1102">
        <v>2</v>
      </c>
      <c r="AP44" s="559">
        <v>1</v>
      </c>
      <c r="AQ44" s="559">
        <v>1</v>
      </c>
      <c r="AR44" s="559">
        <v>0</v>
      </c>
      <c r="AS44" s="559">
        <v>0</v>
      </c>
      <c r="AT44" s="559">
        <f t="shared" si="23"/>
        <v>7</v>
      </c>
      <c r="AU44" s="590">
        <f t="shared" si="20"/>
        <v>0.58333333333333337</v>
      </c>
      <c r="AW44" s="2882">
        <v>2</v>
      </c>
      <c r="AX44" s="1102">
        <v>0</v>
      </c>
      <c r="AY44" s="1102"/>
      <c r="AZ44" s="1102"/>
      <c r="BA44" s="1102"/>
      <c r="BB44" s="1102"/>
      <c r="BD44" s="1102"/>
      <c r="BI44" s="559">
        <f t="shared" si="24"/>
        <v>2</v>
      </c>
      <c r="BJ44" s="590">
        <f t="shared" si="22"/>
        <v>1</v>
      </c>
      <c r="BL44" s="2860">
        <f t="shared" si="10"/>
        <v>0</v>
      </c>
      <c r="BM44" s="2860">
        <f t="shared" si="6"/>
        <v>0.41666666666666663</v>
      </c>
      <c r="BN44" s="2860">
        <f>IFERROR(
  SUM(
    _xlfn.XLOOKUP(DATE(YEAR($A$1),1,1),$2:$2,44:44):
    _xlfn.XLOOKUP($A$1,$2:$2,44:44)
  )
 -SUM(
    _xlfn.XLOOKUP(DATE(YEAR($A$1)-1,1,1),$2:$2,44:44):
    _xlfn.XLOOKUP(EDATE($A$1,-12),$2:$2,44:44)
  ),"")</f>
        <v>2</v>
      </c>
      <c r="BO44" s="590">
        <f t="shared" si="11"/>
        <v>-2</v>
      </c>
    </row>
    <row r="45" spans="1:67" x14ac:dyDescent="0.55000000000000004">
      <c r="A45" s="7469"/>
      <c r="B45" s="1284"/>
      <c r="C45" s="559" t="s">
        <v>74</v>
      </c>
      <c r="D45" s="1860">
        <v>2</v>
      </c>
      <c r="E45" s="1860">
        <v>2</v>
      </c>
      <c r="F45" s="559">
        <v>2</v>
      </c>
      <c r="G45" s="559">
        <v>2</v>
      </c>
      <c r="H45" s="559">
        <v>0</v>
      </c>
      <c r="I45" s="559">
        <v>1</v>
      </c>
      <c r="J45" s="559">
        <v>1</v>
      </c>
      <c r="K45" s="559">
        <v>1</v>
      </c>
      <c r="L45" s="559">
        <v>0</v>
      </c>
      <c r="M45" s="559">
        <v>0</v>
      </c>
      <c r="N45" s="559">
        <v>1</v>
      </c>
      <c r="O45" s="559">
        <v>1</v>
      </c>
      <c r="P45" s="559">
        <v>13</v>
      </c>
      <c r="Q45" s="590">
        <v>1.0833333333333333</v>
      </c>
      <c r="S45" s="2882">
        <v>1</v>
      </c>
      <c r="T45" s="1102">
        <v>0</v>
      </c>
      <c r="U45" s="1102">
        <v>0</v>
      </c>
      <c r="V45" s="1102">
        <v>2</v>
      </c>
      <c r="W45" s="1102">
        <v>1</v>
      </c>
      <c r="X45" s="1102">
        <v>1</v>
      </c>
      <c r="Y45" s="559">
        <v>3</v>
      </c>
      <c r="Z45" s="1102">
        <v>1</v>
      </c>
      <c r="AA45" s="559">
        <v>0</v>
      </c>
      <c r="AB45" s="559">
        <v>0</v>
      </c>
      <c r="AC45" s="559">
        <v>1</v>
      </c>
      <c r="AD45" s="559">
        <v>0</v>
      </c>
      <c r="AE45" s="559">
        <v>10</v>
      </c>
      <c r="AF45" s="590">
        <v>0.83333333333333337</v>
      </c>
      <c r="AH45" s="2882">
        <v>1</v>
      </c>
      <c r="AI45" s="1102">
        <v>0</v>
      </c>
      <c r="AJ45" s="1102">
        <v>1</v>
      </c>
      <c r="AK45" s="1102">
        <v>0</v>
      </c>
      <c r="AL45" s="1102">
        <v>1</v>
      </c>
      <c r="AM45" s="1102">
        <v>1</v>
      </c>
      <c r="AN45" s="559">
        <v>0</v>
      </c>
      <c r="AO45" s="1102">
        <v>0</v>
      </c>
      <c r="AP45" s="559">
        <v>0</v>
      </c>
      <c r="AQ45" s="559">
        <v>0</v>
      </c>
      <c r="AR45" s="559">
        <v>0</v>
      </c>
      <c r="AS45" s="559">
        <v>2</v>
      </c>
      <c r="AT45" s="559">
        <f t="shared" si="23"/>
        <v>6</v>
      </c>
      <c r="AU45" s="590">
        <f t="shared" si="20"/>
        <v>0.5</v>
      </c>
      <c r="AW45" s="2882">
        <v>0</v>
      </c>
      <c r="AX45" s="1102">
        <v>0</v>
      </c>
      <c r="AY45" s="1102"/>
      <c r="AZ45" s="1102"/>
      <c r="BA45" s="1102"/>
      <c r="BB45" s="1102"/>
      <c r="BD45" s="1102"/>
      <c r="BI45" s="559">
        <f t="shared" si="24"/>
        <v>0</v>
      </c>
      <c r="BJ45" s="590">
        <f t="shared" si="22"/>
        <v>0</v>
      </c>
      <c r="BL45" s="2860">
        <f t="shared" si="10"/>
        <v>0</v>
      </c>
      <c r="BM45" s="2860">
        <f t="shared" si="6"/>
        <v>-0.5</v>
      </c>
      <c r="BN45" s="2860">
        <f>IFERROR(
  SUM(
    _xlfn.XLOOKUP(DATE(YEAR($A$1),1,1),$2:$2,45:45):
    _xlfn.XLOOKUP($A$1,$2:$2,45:45)
  )
 -SUM(
    _xlfn.XLOOKUP(DATE(YEAR($A$1)-1,1,1),$2:$2,45:45):
    _xlfn.XLOOKUP(EDATE($A$1,-12),$2:$2,45:45)
  ),"")</f>
        <v>-1</v>
      </c>
      <c r="BO45" s="590">
        <f t="shared" si="11"/>
        <v>0</v>
      </c>
    </row>
    <row r="46" spans="1:67" x14ac:dyDescent="0.55000000000000004">
      <c r="A46" s="7469"/>
      <c r="B46" s="5748"/>
      <c r="C46" s="5749" t="s">
        <v>75</v>
      </c>
      <c r="D46" s="5750">
        <v>1</v>
      </c>
      <c r="E46" s="5750">
        <v>0</v>
      </c>
      <c r="F46" s="5749">
        <v>1</v>
      </c>
      <c r="G46" s="5749">
        <v>1</v>
      </c>
      <c r="H46" s="5749">
        <v>1</v>
      </c>
      <c r="I46" s="5749">
        <v>0</v>
      </c>
      <c r="J46" s="5749">
        <v>0</v>
      </c>
      <c r="K46" s="5749">
        <v>1</v>
      </c>
      <c r="L46" s="5749">
        <v>0</v>
      </c>
      <c r="M46" s="5749">
        <v>2</v>
      </c>
      <c r="N46" s="5749">
        <v>0</v>
      </c>
      <c r="O46" s="5749">
        <v>0</v>
      </c>
      <c r="P46" s="559">
        <v>7</v>
      </c>
      <c r="Q46" s="590">
        <v>0.58333333333333337</v>
      </c>
      <c r="S46" s="5751">
        <v>1</v>
      </c>
      <c r="T46" s="5752">
        <v>2</v>
      </c>
      <c r="U46" s="5752">
        <v>0</v>
      </c>
      <c r="V46" s="5752">
        <v>0</v>
      </c>
      <c r="W46" s="5752">
        <v>2</v>
      </c>
      <c r="X46" s="5752">
        <v>0</v>
      </c>
      <c r="Y46" s="5749">
        <v>0</v>
      </c>
      <c r="Z46" s="5752">
        <v>0</v>
      </c>
      <c r="AA46" s="5753">
        <v>0</v>
      </c>
      <c r="AB46" s="5753">
        <v>2</v>
      </c>
      <c r="AC46" s="5753">
        <v>1</v>
      </c>
      <c r="AD46" s="5753">
        <v>0</v>
      </c>
      <c r="AE46" s="5754">
        <v>8</v>
      </c>
      <c r="AF46" s="5755">
        <v>0.66666666666666663</v>
      </c>
      <c r="AH46" s="5751">
        <v>0</v>
      </c>
      <c r="AI46" s="5752">
        <v>1</v>
      </c>
      <c r="AJ46" s="5752">
        <v>1</v>
      </c>
      <c r="AK46" s="5752">
        <v>1</v>
      </c>
      <c r="AL46" s="5752">
        <v>0</v>
      </c>
      <c r="AM46" s="5752">
        <v>1</v>
      </c>
      <c r="AN46" s="5749">
        <v>0</v>
      </c>
      <c r="AO46" s="5752">
        <v>1</v>
      </c>
      <c r="AP46" s="5749">
        <v>0</v>
      </c>
      <c r="AQ46" s="5749">
        <v>1</v>
      </c>
      <c r="AR46" s="5749">
        <v>1</v>
      </c>
      <c r="AS46" s="5749">
        <v>2</v>
      </c>
      <c r="AT46" s="5754">
        <f t="shared" si="23"/>
        <v>9</v>
      </c>
      <c r="AU46" s="5755">
        <f t="shared" si="20"/>
        <v>0.75</v>
      </c>
      <c r="AW46" s="5751">
        <v>0</v>
      </c>
      <c r="AX46" s="5752">
        <v>1</v>
      </c>
      <c r="AY46" s="5752"/>
      <c r="AZ46" s="5752"/>
      <c r="BA46" s="5752"/>
      <c r="BB46" s="5752"/>
      <c r="BC46" s="5749"/>
      <c r="BD46" s="5752"/>
      <c r="BE46" s="5749"/>
      <c r="BF46" s="5749"/>
      <c r="BG46" s="5749"/>
      <c r="BH46" s="5749"/>
      <c r="BI46" s="5754">
        <f t="shared" si="24"/>
        <v>1</v>
      </c>
      <c r="BJ46" s="5755">
        <f t="shared" si="22"/>
        <v>0.5</v>
      </c>
      <c r="BL46" s="2860">
        <f t="shared" si="10"/>
        <v>0</v>
      </c>
      <c r="BM46" s="2860">
        <f t="shared" si="6"/>
        <v>-0.25</v>
      </c>
      <c r="BN46" s="2860">
        <f>IFERROR(
  SUM(
    _xlfn.XLOOKUP(DATE(YEAR($A$1),1,1),$2:$2,46:46):
    _xlfn.XLOOKUP($A$1,$2:$2,46:46)
  )
 -SUM(
    _xlfn.XLOOKUP(DATE(YEAR($A$1)-1,1,1),$2:$2,46:46):
    _xlfn.XLOOKUP(EDATE($A$1,-12),$2:$2,46:46)
  ),"")</f>
        <v>0</v>
      </c>
      <c r="BO46" s="590">
        <f t="shared" si="11"/>
        <v>1</v>
      </c>
    </row>
    <row r="47" spans="1:67" x14ac:dyDescent="0.55000000000000004">
      <c r="A47" s="7469"/>
      <c r="B47" s="5756" t="s">
        <v>20</v>
      </c>
      <c r="C47" s="4848"/>
      <c r="D47" s="5757">
        <v>3</v>
      </c>
      <c r="E47" s="5757">
        <v>5</v>
      </c>
      <c r="F47" s="2961">
        <v>10</v>
      </c>
      <c r="G47" s="2961">
        <v>9</v>
      </c>
      <c r="H47" s="2961">
        <v>5</v>
      </c>
      <c r="I47" s="2961">
        <v>5</v>
      </c>
      <c r="J47" s="2961">
        <v>8</v>
      </c>
      <c r="K47" s="2961">
        <v>6</v>
      </c>
      <c r="L47" s="2961">
        <v>5</v>
      </c>
      <c r="M47" s="2961">
        <v>5</v>
      </c>
      <c r="N47" s="2961">
        <v>5</v>
      </c>
      <c r="O47" s="2961">
        <v>3</v>
      </c>
      <c r="P47" s="2961">
        <v>69</v>
      </c>
      <c r="Q47" s="2961">
        <v>5.7499999999999991</v>
      </c>
      <c r="S47" s="2965">
        <v>13</v>
      </c>
      <c r="T47" s="2961">
        <v>10</v>
      </c>
      <c r="U47" s="2961">
        <v>5</v>
      </c>
      <c r="V47" s="2961">
        <v>6</v>
      </c>
      <c r="W47" s="2961">
        <v>9</v>
      </c>
      <c r="X47" s="2961">
        <v>6</v>
      </c>
      <c r="Y47" s="2961">
        <v>3</v>
      </c>
      <c r="Z47" s="2961">
        <v>1</v>
      </c>
      <c r="AA47" s="5758">
        <v>6</v>
      </c>
      <c r="AB47" s="5758">
        <v>2</v>
      </c>
      <c r="AC47" s="5759">
        <v>2</v>
      </c>
      <c r="AD47" s="5759">
        <v>1</v>
      </c>
      <c r="AE47" s="4848">
        <v>64</v>
      </c>
      <c r="AF47" s="5670">
        <v>5.333333333333333</v>
      </c>
      <c r="AH47" s="2965">
        <v>8</v>
      </c>
      <c r="AI47" s="2961">
        <v>8</v>
      </c>
      <c r="AJ47" s="2961">
        <v>10</v>
      </c>
      <c r="AK47" s="2961">
        <v>7</v>
      </c>
      <c r="AL47" s="2961">
        <v>9</v>
      </c>
      <c r="AM47" s="2961">
        <v>13</v>
      </c>
      <c r="AN47" s="2961">
        <v>10</v>
      </c>
      <c r="AO47" s="2961">
        <v>6</v>
      </c>
      <c r="AP47" s="2961">
        <v>7</v>
      </c>
      <c r="AQ47" s="2961">
        <v>2</v>
      </c>
      <c r="AR47" s="4848">
        <v>13</v>
      </c>
      <c r="AS47" s="4848">
        <v>5</v>
      </c>
      <c r="AT47" s="4848">
        <f t="shared" si="23"/>
        <v>98</v>
      </c>
      <c r="AU47" s="5670">
        <f t="shared" si="20"/>
        <v>8.1666666666666661</v>
      </c>
      <c r="AW47" s="2965">
        <v>7</v>
      </c>
      <c r="AX47" s="2961">
        <v>3</v>
      </c>
      <c r="AY47" s="2961"/>
      <c r="AZ47" s="2961"/>
      <c r="BA47" s="2961"/>
      <c r="BB47" s="2961"/>
      <c r="BC47" s="2961"/>
      <c r="BD47" s="2961"/>
      <c r="BE47" s="2961"/>
      <c r="BF47" s="2961"/>
      <c r="BG47" s="4848"/>
      <c r="BH47" s="4848"/>
      <c r="BI47" s="4848">
        <f t="shared" si="24"/>
        <v>10</v>
      </c>
      <c r="BJ47" s="5670">
        <f t="shared" si="22"/>
        <v>5</v>
      </c>
      <c r="BL47" s="2860">
        <f t="shared" si="10"/>
        <v>-5</v>
      </c>
      <c r="BM47" s="2860">
        <f t="shared" si="6"/>
        <v>-3.1666666666666661</v>
      </c>
      <c r="BN47" s="2860">
        <f>IFERROR(
  SUM(
    _xlfn.XLOOKUP(DATE(YEAR($A$1),1,1),$2:$2,47:47):
    _xlfn.XLOOKUP($A$1,$2:$2,47:47)
  )
 -SUM(
    _xlfn.XLOOKUP(DATE(YEAR($A$1)-1,1,1),$2:$2,47:47):
    _xlfn.XLOOKUP(EDATE($A$1,-12),$2:$2,47:47)
  ),"")</f>
        <v>-6</v>
      </c>
      <c r="BO47" s="590">
        <f t="shared" si="11"/>
        <v>-4</v>
      </c>
    </row>
    <row r="48" spans="1:67" x14ac:dyDescent="0.55000000000000004">
      <c r="A48" s="7469"/>
      <c r="B48" s="5760"/>
      <c r="C48" s="559" t="s">
        <v>67</v>
      </c>
      <c r="D48" s="1860">
        <v>1</v>
      </c>
      <c r="E48" s="1860">
        <v>2</v>
      </c>
      <c r="F48" s="559">
        <v>4</v>
      </c>
      <c r="G48" s="559">
        <v>4</v>
      </c>
      <c r="H48" s="559">
        <v>1</v>
      </c>
      <c r="I48" s="559">
        <v>0</v>
      </c>
      <c r="J48" s="559">
        <v>2</v>
      </c>
      <c r="K48" s="559">
        <v>2</v>
      </c>
      <c r="L48" s="559">
        <v>0</v>
      </c>
      <c r="M48" s="559">
        <v>1</v>
      </c>
      <c r="N48" s="559">
        <v>2</v>
      </c>
      <c r="O48" s="559">
        <v>1</v>
      </c>
      <c r="P48" s="2860">
        <v>20</v>
      </c>
      <c r="Q48" s="590">
        <v>1.6666666666666667</v>
      </c>
      <c r="S48" s="2882">
        <v>1</v>
      </c>
      <c r="T48" s="1102">
        <v>2</v>
      </c>
      <c r="U48" s="1102">
        <v>1</v>
      </c>
      <c r="V48" s="1102">
        <v>2</v>
      </c>
      <c r="W48" s="1102">
        <v>0</v>
      </c>
      <c r="X48" s="1102">
        <v>0</v>
      </c>
      <c r="Y48" s="559">
        <v>0</v>
      </c>
      <c r="Z48" s="1102">
        <v>0</v>
      </c>
      <c r="AA48" s="559">
        <v>1</v>
      </c>
      <c r="AB48" s="559">
        <v>0</v>
      </c>
      <c r="AC48" s="559">
        <v>0</v>
      </c>
      <c r="AD48" s="559">
        <v>0</v>
      </c>
      <c r="AE48" s="2860">
        <v>7</v>
      </c>
      <c r="AF48" s="590">
        <v>0.58333333333333337</v>
      </c>
      <c r="AH48" s="2882">
        <v>4</v>
      </c>
      <c r="AI48" s="1102">
        <v>4</v>
      </c>
      <c r="AJ48" s="1102">
        <v>3</v>
      </c>
      <c r="AK48" s="1102">
        <v>3</v>
      </c>
      <c r="AL48" s="1102">
        <v>2</v>
      </c>
      <c r="AM48" s="1102">
        <v>3</v>
      </c>
      <c r="AN48" s="559">
        <v>2</v>
      </c>
      <c r="AO48" s="1102">
        <v>0</v>
      </c>
      <c r="AP48" s="559">
        <v>1</v>
      </c>
      <c r="AQ48" s="559">
        <v>0</v>
      </c>
      <c r="AR48" s="559">
        <v>3</v>
      </c>
      <c r="AS48" s="559">
        <v>1</v>
      </c>
      <c r="AT48" s="2860">
        <f t="shared" si="23"/>
        <v>26</v>
      </c>
      <c r="AU48" s="590">
        <f t="shared" si="20"/>
        <v>2.1666666666666665</v>
      </c>
      <c r="AW48" s="2882">
        <v>3</v>
      </c>
      <c r="AX48" s="1102">
        <v>0</v>
      </c>
      <c r="AY48" s="1102"/>
      <c r="AZ48" s="1102"/>
      <c r="BA48" s="1102"/>
      <c r="BB48" s="1102"/>
      <c r="BD48" s="1102"/>
      <c r="BI48" s="2860">
        <f t="shared" si="24"/>
        <v>3</v>
      </c>
      <c r="BJ48" s="590">
        <f t="shared" si="22"/>
        <v>1.5</v>
      </c>
      <c r="BL48" s="2860">
        <f t="shared" si="10"/>
        <v>-4</v>
      </c>
      <c r="BM48" s="2860">
        <f t="shared" si="6"/>
        <v>-0.66666666666666652</v>
      </c>
      <c r="BN48" s="2860">
        <f>IFERROR(
  SUM(
    _xlfn.XLOOKUP(DATE(YEAR($A$1),1,1),$2:$2,48:48):
    _xlfn.XLOOKUP($A$1,$2:$2,48:48)
  )
 -SUM(
    _xlfn.XLOOKUP(DATE(YEAR($A$1)-1,1,1),$2:$2,48:48):
    _xlfn.XLOOKUP(EDATE($A$1,-12),$2:$2,48:48)
  ),"")</f>
        <v>-5</v>
      </c>
      <c r="BO48" s="590">
        <f t="shared" si="11"/>
        <v>-3</v>
      </c>
    </row>
    <row r="49" spans="1:67" x14ac:dyDescent="0.55000000000000004">
      <c r="A49" s="7469"/>
      <c r="B49" s="5760"/>
      <c r="C49" s="559" t="s">
        <v>68</v>
      </c>
      <c r="D49" s="1860">
        <v>2</v>
      </c>
      <c r="E49" s="1860">
        <v>1</v>
      </c>
      <c r="F49" s="559">
        <v>1</v>
      </c>
      <c r="G49" s="559">
        <v>1</v>
      </c>
      <c r="H49" s="559">
        <v>1</v>
      </c>
      <c r="I49" s="559">
        <v>2</v>
      </c>
      <c r="J49" s="559">
        <v>0</v>
      </c>
      <c r="K49" s="559">
        <v>0</v>
      </c>
      <c r="L49" s="559">
        <v>1</v>
      </c>
      <c r="M49" s="559">
        <v>0</v>
      </c>
      <c r="N49" s="559">
        <v>3</v>
      </c>
      <c r="O49" s="559">
        <v>1</v>
      </c>
      <c r="P49" s="2860">
        <v>13</v>
      </c>
      <c r="Q49" s="590">
        <v>1.0833333333333333</v>
      </c>
      <c r="S49" s="2882">
        <v>2</v>
      </c>
      <c r="T49" s="1102">
        <v>2</v>
      </c>
      <c r="U49" s="1102">
        <v>0</v>
      </c>
      <c r="V49" s="1102">
        <v>1</v>
      </c>
      <c r="W49" s="1102">
        <v>1</v>
      </c>
      <c r="X49" s="1102">
        <v>0</v>
      </c>
      <c r="Y49" s="559">
        <v>0</v>
      </c>
      <c r="Z49" s="1102">
        <v>0</v>
      </c>
      <c r="AA49" s="559">
        <v>1</v>
      </c>
      <c r="AB49" s="559">
        <v>0</v>
      </c>
      <c r="AC49" s="559">
        <v>0</v>
      </c>
      <c r="AD49" s="559">
        <v>0</v>
      </c>
      <c r="AE49" s="559">
        <v>7</v>
      </c>
      <c r="AF49" s="590">
        <v>0.58333333333333337</v>
      </c>
      <c r="AH49" s="2882">
        <v>0</v>
      </c>
      <c r="AI49" s="1102">
        <v>2</v>
      </c>
      <c r="AJ49" s="1102">
        <v>2</v>
      </c>
      <c r="AK49" s="1102">
        <v>0</v>
      </c>
      <c r="AL49" s="1102">
        <v>0</v>
      </c>
      <c r="AM49" s="1102">
        <v>1</v>
      </c>
      <c r="AN49" s="559">
        <v>3</v>
      </c>
      <c r="AO49" s="1102">
        <v>1</v>
      </c>
      <c r="AP49" s="559">
        <v>1</v>
      </c>
      <c r="AQ49" s="559">
        <v>0</v>
      </c>
      <c r="AR49" s="559">
        <v>1</v>
      </c>
      <c r="AS49" s="559">
        <v>2</v>
      </c>
      <c r="AT49" s="559">
        <f t="shared" si="23"/>
        <v>13</v>
      </c>
      <c r="AU49" s="590">
        <f t="shared" si="20"/>
        <v>1.0833333333333333</v>
      </c>
      <c r="AW49" s="2882">
        <v>0</v>
      </c>
      <c r="AX49" s="1102">
        <v>0</v>
      </c>
      <c r="AY49" s="1102"/>
      <c r="AZ49" s="1102"/>
      <c r="BA49" s="1102"/>
      <c r="BB49" s="1102"/>
      <c r="BD49" s="1102"/>
      <c r="BI49" s="559">
        <f t="shared" si="24"/>
        <v>0</v>
      </c>
      <c r="BJ49" s="590">
        <f t="shared" si="22"/>
        <v>0</v>
      </c>
      <c r="BL49" s="2860">
        <f t="shared" si="10"/>
        <v>-2</v>
      </c>
      <c r="BM49" s="2860">
        <f t="shared" si="6"/>
        <v>-1.0833333333333333</v>
      </c>
      <c r="BN49" s="2860">
        <f>IFERROR(
  SUM(
    _xlfn.XLOOKUP(DATE(YEAR($A$1),1,1),$2:$2,49:49):
    _xlfn.XLOOKUP($A$1,$2:$2,49:49)
  )
 -SUM(
    _xlfn.XLOOKUP(DATE(YEAR($A$1)-1,1,1),$2:$2,49:49):
    _xlfn.XLOOKUP(EDATE($A$1,-12),$2:$2,49:49)
  ),"")</f>
        <v>-2</v>
      </c>
      <c r="BO49" s="590">
        <f t="shared" si="11"/>
        <v>0</v>
      </c>
    </row>
    <row r="50" spans="1:67" x14ac:dyDescent="0.55000000000000004">
      <c r="A50" s="7469"/>
      <c r="B50" s="5760"/>
      <c r="C50" s="559" t="s">
        <v>69</v>
      </c>
      <c r="D50" s="1860">
        <v>0</v>
      </c>
      <c r="E50" s="1860">
        <v>0</v>
      </c>
      <c r="F50" s="559">
        <v>2</v>
      </c>
      <c r="G50" s="559">
        <v>0</v>
      </c>
      <c r="H50" s="559">
        <v>0</v>
      </c>
      <c r="I50" s="559">
        <v>1</v>
      </c>
      <c r="J50" s="559">
        <v>0</v>
      </c>
      <c r="K50" s="559">
        <v>2</v>
      </c>
      <c r="L50" s="559">
        <v>1</v>
      </c>
      <c r="M50" s="559">
        <v>0</v>
      </c>
      <c r="N50" s="559">
        <v>0</v>
      </c>
      <c r="O50" s="559">
        <v>1</v>
      </c>
      <c r="P50" s="2860">
        <v>7</v>
      </c>
      <c r="Q50" s="590">
        <v>0.58333333333333337</v>
      </c>
      <c r="S50" s="2882">
        <v>2</v>
      </c>
      <c r="T50" s="1102">
        <v>4</v>
      </c>
      <c r="U50" s="1102">
        <v>2</v>
      </c>
      <c r="V50" s="1102">
        <v>1</v>
      </c>
      <c r="W50" s="1102">
        <v>1</v>
      </c>
      <c r="X50" s="1102">
        <v>0</v>
      </c>
      <c r="Y50" s="559">
        <v>1</v>
      </c>
      <c r="Z50" s="1102">
        <v>0</v>
      </c>
      <c r="AA50" s="559">
        <v>0</v>
      </c>
      <c r="AB50" s="559">
        <v>0</v>
      </c>
      <c r="AC50" s="559">
        <v>0</v>
      </c>
      <c r="AD50" s="559">
        <v>1</v>
      </c>
      <c r="AE50" s="559">
        <v>12</v>
      </c>
      <c r="AF50" s="590">
        <v>1</v>
      </c>
      <c r="AH50" s="2882">
        <v>1</v>
      </c>
      <c r="AI50" s="1102">
        <v>1</v>
      </c>
      <c r="AJ50" s="1102">
        <v>1</v>
      </c>
      <c r="AK50" s="1102">
        <v>2</v>
      </c>
      <c r="AL50" s="1102">
        <v>4</v>
      </c>
      <c r="AM50" s="1102">
        <v>4</v>
      </c>
      <c r="AN50" s="559">
        <v>2</v>
      </c>
      <c r="AO50" s="1102">
        <v>1</v>
      </c>
      <c r="AP50" s="559">
        <v>1</v>
      </c>
      <c r="AQ50" s="559">
        <v>2</v>
      </c>
      <c r="AR50" s="559">
        <v>1</v>
      </c>
      <c r="AS50" s="559">
        <v>0</v>
      </c>
      <c r="AT50" s="559">
        <f t="shared" si="23"/>
        <v>20</v>
      </c>
      <c r="AU50" s="590">
        <f t="shared" si="20"/>
        <v>1.6666666666666667</v>
      </c>
      <c r="AW50" s="2882">
        <v>1</v>
      </c>
      <c r="AX50" s="1102">
        <v>2</v>
      </c>
      <c r="AY50" s="1102"/>
      <c r="AZ50" s="1102"/>
      <c r="BA50" s="1102"/>
      <c r="BB50" s="1102"/>
      <c r="BD50" s="1102"/>
      <c r="BI50" s="559">
        <f t="shared" si="24"/>
        <v>3</v>
      </c>
      <c r="BJ50" s="590">
        <f t="shared" si="22"/>
        <v>1.5</v>
      </c>
      <c r="BL50" s="2860">
        <f t="shared" si="10"/>
        <v>1</v>
      </c>
      <c r="BM50" s="2860">
        <f t="shared" si="6"/>
        <v>-0.16666666666666674</v>
      </c>
      <c r="BN50" s="2860">
        <f>IFERROR(
  SUM(
    _xlfn.XLOOKUP(DATE(YEAR($A$1),1,1),$2:$2,50:50):
    _xlfn.XLOOKUP($A$1,$2:$2,50:50)
  )
 -SUM(
    _xlfn.XLOOKUP(DATE(YEAR($A$1)-1,1,1),$2:$2,50:50):
    _xlfn.XLOOKUP(EDATE($A$1,-12),$2:$2,50:50)
  ),"")</f>
        <v>1</v>
      </c>
      <c r="BO50" s="590">
        <f t="shared" si="11"/>
        <v>1</v>
      </c>
    </row>
    <row r="51" spans="1:67" x14ac:dyDescent="0.55000000000000004">
      <c r="A51" s="7469"/>
      <c r="B51" s="5760"/>
      <c r="C51" s="559" t="s">
        <v>72</v>
      </c>
      <c r="D51" s="1860">
        <v>0</v>
      </c>
      <c r="E51" s="1860">
        <v>0</v>
      </c>
      <c r="F51" s="559">
        <v>2</v>
      </c>
      <c r="G51" s="559">
        <v>2</v>
      </c>
      <c r="H51" s="559">
        <v>0</v>
      </c>
      <c r="I51" s="559">
        <v>2</v>
      </c>
      <c r="J51" s="559">
        <v>3</v>
      </c>
      <c r="K51" s="559">
        <v>1</v>
      </c>
      <c r="L51" s="559">
        <v>1</v>
      </c>
      <c r="M51" s="559">
        <v>1</v>
      </c>
      <c r="N51" s="559">
        <v>0</v>
      </c>
      <c r="O51" s="559">
        <v>0</v>
      </c>
      <c r="P51" s="2860">
        <v>12</v>
      </c>
      <c r="Q51" s="590">
        <v>1</v>
      </c>
      <c r="S51" s="2882">
        <v>4</v>
      </c>
      <c r="T51" s="1102">
        <v>1</v>
      </c>
      <c r="U51" s="1102">
        <v>1</v>
      </c>
      <c r="V51" s="1102">
        <v>1</v>
      </c>
      <c r="W51" s="1102">
        <v>1</v>
      </c>
      <c r="X51" s="1102">
        <v>1</v>
      </c>
      <c r="Y51" s="559">
        <v>1</v>
      </c>
      <c r="Z51" s="1102">
        <v>1</v>
      </c>
      <c r="AA51" s="559">
        <v>3</v>
      </c>
      <c r="AB51" s="559">
        <v>0</v>
      </c>
      <c r="AC51" s="559">
        <v>1</v>
      </c>
      <c r="AD51" s="559">
        <v>0</v>
      </c>
      <c r="AE51" s="559">
        <v>15</v>
      </c>
      <c r="AF51" s="590">
        <v>1.25</v>
      </c>
      <c r="AH51" s="2882">
        <v>1</v>
      </c>
      <c r="AI51" s="1102">
        <v>1</v>
      </c>
      <c r="AJ51" s="1102">
        <v>1</v>
      </c>
      <c r="AK51" s="1102">
        <v>0</v>
      </c>
      <c r="AL51" s="1102">
        <v>3</v>
      </c>
      <c r="AM51" s="1102">
        <v>1</v>
      </c>
      <c r="AN51" s="559">
        <v>2</v>
      </c>
      <c r="AO51" s="1102">
        <v>1</v>
      </c>
      <c r="AP51" s="559">
        <v>3</v>
      </c>
      <c r="AQ51" s="559">
        <v>0</v>
      </c>
      <c r="AR51" s="559">
        <v>3</v>
      </c>
      <c r="AS51" s="559">
        <v>0</v>
      </c>
      <c r="AT51" s="559">
        <f t="shared" si="23"/>
        <v>16</v>
      </c>
      <c r="AU51" s="590">
        <f t="shared" si="20"/>
        <v>1.3333333333333333</v>
      </c>
      <c r="AW51" s="2882">
        <v>1</v>
      </c>
      <c r="AX51" s="1102">
        <v>0</v>
      </c>
      <c r="AY51" s="1102"/>
      <c r="AZ51" s="1102"/>
      <c r="BA51" s="1102"/>
      <c r="BB51" s="1102"/>
      <c r="BD51" s="1102"/>
      <c r="BI51" s="559">
        <f t="shared" si="24"/>
        <v>1</v>
      </c>
      <c r="BJ51" s="590">
        <f t="shared" si="22"/>
        <v>0.5</v>
      </c>
      <c r="BL51" s="2860">
        <f t="shared" si="10"/>
        <v>-1</v>
      </c>
      <c r="BM51" s="2860">
        <f t="shared" si="6"/>
        <v>-0.83333333333333326</v>
      </c>
      <c r="BN51" s="2860">
        <f>IFERROR(
  SUM(
    _xlfn.XLOOKUP(DATE(YEAR($A$1),1,1),$2:$2,51:51):
    _xlfn.XLOOKUP($A$1,$2:$2,51:51)
  )
 -SUM(
    _xlfn.XLOOKUP(DATE(YEAR($A$1)-1,1,1),$2:$2,51:51):
    _xlfn.XLOOKUP(EDATE($A$1,-12),$2:$2,51:51)
  ),"")</f>
        <v>-1</v>
      </c>
      <c r="BO51" s="590">
        <f t="shared" si="11"/>
        <v>-1</v>
      </c>
    </row>
    <row r="52" spans="1:67" x14ac:dyDescent="0.55000000000000004">
      <c r="A52" s="7469"/>
      <c r="B52" s="5760"/>
      <c r="C52" s="559" t="s">
        <v>73</v>
      </c>
      <c r="D52" s="1860">
        <v>0</v>
      </c>
      <c r="E52" s="1860">
        <v>2</v>
      </c>
      <c r="F52" s="559">
        <v>0</v>
      </c>
      <c r="G52" s="559">
        <v>1</v>
      </c>
      <c r="H52" s="559">
        <v>0</v>
      </c>
      <c r="I52" s="559">
        <v>0</v>
      </c>
      <c r="J52" s="559">
        <v>0</v>
      </c>
      <c r="K52" s="559">
        <v>0</v>
      </c>
      <c r="L52" s="559">
        <v>0</v>
      </c>
      <c r="M52" s="559">
        <v>0</v>
      </c>
      <c r="N52" s="559">
        <v>0</v>
      </c>
      <c r="O52" s="559">
        <v>0</v>
      </c>
      <c r="P52" s="2860">
        <v>3</v>
      </c>
      <c r="Q52" s="590">
        <v>0.25</v>
      </c>
      <c r="S52" s="2882">
        <v>0</v>
      </c>
      <c r="T52" s="1102">
        <v>0</v>
      </c>
      <c r="U52" s="1102">
        <v>0</v>
      </c>
      <c r="V52" s="1102">
        <v>0</v>
      </c>
      <c r="W52" s="1102">
        <v>1</v>
      </c>
      <c r="X52" s="1102">
        <v>1</v>
      </c>
      <c r="Y52" s="559">
        <v>0</v>
      </c>
      <c r="Z52" s="1102">
        <v>0</v>
      </c>
      <c r="AA52" s="559">
        <v>0</v>
      </c>
      <c r="AB52" s="559">
        <v>1</v>
      </c>
      <c r="AC52" s="559">
        <v>0</v>
      </c>
      <c r="AD52" s="559">
        <v>0</v>
      </c>
      <c r="AE52" s="559">
        <v>3</v>
      </c>
      <c r="AF52" s="590">
        <v>0.25</v>
      </c>
      <c r="AH52" s="2882">
        <v>1</v>
      </c>
      <c r="AI52" s="1102">
        <v>0</v>
      </c>
      <c r="AJ52" s="1102">
        <v>1</v>
      </c>
      <c r="AK52" s="1102">
        <v>0</v>
      </c>
      <c r="AL52" s="1102">
        <v>0</v>
      </c>
      <c r="AM52" s="1102">
        <v>1</v>
      </c>
      <c r="AN52" s="559">
        <v>0</v>
      </c>
      <c r="AO52" s="1102">
        <v>0</v>
      </c>
      <c r="AP52" s="559">
        <v>1</v>
      </c>
      <c r="AQ52" s="559">
        <v>0</v>
      </c>
      <c r="AR52" s="559">
        <v>1</v>
      </c>
      <c r="AS52" s="559">
        <v>0</v>
      </c>
      <c r="AT52" s="559">
        <f t="shared" si="23"/>
        <v>5</v>
      </c>
      <c r="AU52" s="590">
        <f>AVERAGE(AH52:AS52)</f>
        <v>0.41666666666666669</v>
      </c>
      <c r="AW52" s="2882">
        <v>0</v>
      </c>
      <c r="AX52" s="1102">
        <v>0</v>
      </c>
      <c r="AY52" s="1102"/>
      <c r="AZ52" s="1102"/>
      <c r="BA52" s="1102"/>
      <c r="BB52" s="1102"/>
      <c r="BD52" s="1102"/>
      <c r="BI52" s="559">
        <f t="shared" si="24"/>
        <v>0</v>
      </c>
      <c r="BJ52" s="590">
        <f>AVERAGE(AW52:BH52)</f>
        <v>0</v>
      </c>
      <c r="BL52" s="2860">
        <f t="shared" ref="BL52:BL83" si="25">IFERROR(_xlfn.XLOOKUP($A$1,$2:$2,52:52)-_xlfn.XLOOKUP(EDATE($A$1,-12),$2:$2,52:52),"")</f>
        <v>0</v>
      </c>
      <c r="BM52" s="2860">
        <f t="shared" si="6"/>
        <v>-0.41666666666666669</v>
      </c>
      <c r="BN52" s="2860">
        <f>IFERROR(
  SUM(
    _xlfn.XLOOKUP(DATE(YEAR($A$1),1,1),$2:$2,52:52):
    _xlfn.XLOOKUP($A$1,$2:$2,52:52)
  )
 -SUM(
    _xlfn.XLOOKUP(DATE(YEAR($A$1)-1,1,1),$2:$2,52:52):
    _xlfn.XLOOKUP(EDATE($A$1,-12),$2:$2,52:52)
  ),"")</f>
        <v>-1</v>
      </c>
      <c r="BO52" s="590">
        <f t="shared" ref="BO52:BO83" si="26">IFERROR(
  _xlfn.XLOOKUP($A$1,$2:$2,52:52)
 -_xlfn.XLOOKUP(EDATE($A$1,-1),$2:$2,52:52),"")</f>
        <v>0</v>
      </c>
    </row>
    <row r="53" spans="1:67" x14ac:dyDescent="0.55000000000000004">
      <c r="A53" s="7469"/>
      <c r="B53" s="5760"/>
      <c r="C53" s="559" t="s">
        <v>74</v>
      </c>
      <c r="D53" s="1860">
        <v>0</v>
      </c>
      <c r="E53" s="1860">
        <v>0</v>
      </c>
      <c r="F53" s="559">
        <v>1</v>
      </c>
      <c r="G53" s="559">
        <v>1</v>
      </c>
      <c r="H53" s="559">
        <v>1</v>
      </c>
      <c r="I53" s="559">
        <v>0</v>
      </c>
      <c r="J53" s="559">
        <v>2</v>
      </c>
      <c r="K53" s="559">
        <v>0</v>
      </c>
      <c r="L53" s="559">
        <v>0</v>
      </c>
      <c r="M53" s="559">
        <v>1</v>
      </c>
      <c r="N53" s="559">
        <v>0</v>
      </c>
      <c r="O53" s="559">
        <v>0</v>
      </c>
      <c r="P53" s="2860">
        <v>6</v>
      </c>
      <c r="Q53" s="590">
        <v>0.5</v>
      </c>
      <c r="S53" s="2882">
        <v>3</v>
      </c>
      <c r="T53" s="1102">
        <v>0</v>
      </c>
      <c r="U53" s="1102">
        <v>0</v>
      </c>
      <c r="V53" s="1102">
        <v>1</v>
      </c>
      <c r="W53" s="1102">
        <v>2</v>
      </c>
      <c r="X53" s="1102">
        <v>0</v>
      </c>
      <c r="Y53" s="559">
        <v>0</v>
      </c>
      <c r="Z53" s="1102">
        <v>0</v>
      </c>
      <c r="AA53" s="559">
        <v>0</v>
      </c>
      <c r="AB53" s="559">
        <v>0</v>
      </c>
      <c r="AC53" s="559">
        <v>0</v>
      </c>
      <c r="AD53" s="559">
        <v>0</v>
      </c>
      <c r="AE53" s="559">
        <v>6</v>
      </c>
      <c r="AF53" s="590">
        <v>0.5</v>
      </c>
      <c r="AH53" s="2882">
        <v>1</v>
      </c>
      <c r="AI53" s="1102">
        <v>0</v>
      </c>
      <c r="AJ53" s="1102">
        <v>1</v>
      </c>
      <c r="AK53" s="1102">
        <v>0</v>
      </c>
      <c r="AL53" s="1102">
        <v>0</v>
      </c>
      <c r="AM53" s="1102">
        <v>0</v>
      </c>
      <c r="AN53" s="559">
        <v>1</v>
      </c>
      <c r="AO53" s="1102">
        <v>2</v>
      </c>
      <c r="AP53" s="559">
        <v>0</v>
      </c>
      <c r="AQ53" s="559">
        <v>0</v>
      </c>
      <c r="AR53" s="559">
        <v>4</v>
      </c>
      <c r="AS53" s="559">
        <v>2</v>
      </c>
      <c r="AT53" s="559">
        <f t="shared" si="23"/>
        <v>11</v>
      </c>
      <c r="AU53" s="590">
        <f t="shared" ref="AU53:AU57" si="27">AVERAGE(AH53:AS53)</f>
        <v>0.91666666666666663</v>
      </c>
      <c r="AW53" s="2882">
        <v>1</v>
      </c>
      <c r="AX53" s="1102">
        <v>1</v>
      </c>
      <c r="AY53" s="1102"/>
      <c r="AZ53" s="1102"/>
      <c r="BA53" s="1102"/>
      <c r="BB53" s="1102"/>
      <c r="BD53" s="1102"/>
      <c r="BI53" s="559">
        <f t="shared" si="24"/>
        <v>2</v>
      </c>
      <c r="BJ53" s="590">
        <f t="shared" ref="BJ53:BJ57" si="28">AVERAGE(AW53:BH53)</f>
        <v>1</v>
      </c>
      <c r="BL53" s="2860">
        <f t="shared" si="25"/>
        <v>1</v>
      </c>
      <c r="BM53" s="2860">
        <f t="shared" si="6"/>
        <v>8.333333333333337E-2</v>
      </c>
      <c r="BN53" s="2860">
        <f>IFERROR(
  SUM(
    _xlfn.XLOOKUP(DATE(YEAR($A$1),1,1),$2:$2,53:53):
    _xlfn.XLOOKUP($A$1,$2:$2,53:53)
  )
 -SUM(
    _xlfn.XLOOKUP(DATE(YEAR($A$1)-1,1,1),$2:$2,53:53):
    _xlfn.XLOOKUP(EDATE($A$1,-12),$2:$2,53:53)
  ),"")</f>
        <v>1</v>
      </c>
      <c r="BO53" s="590">
        <f t="shared" si="26"/>
        <v>0</v>
      </c>
    </row>
    <row r="54" spans="1:67" x14ac:dyDescent="0.55000000000000004">
      <c r="A54" s="7469"/>
      <c r="B54" s="5761"/>
      <c r="C54" s="5749" t="s">
        <v>75</v>
      </c>
      <c r="D54" s="5750">
        <v>0</v>
      </c>
      <c r="E54" s="5750">
        <v>0</v>
      </c>
      <c r="F54" s="5749">
        <v>0</v>
      </c>
      <c r="G54" s="5749">
        <v>0</v>
      </c>
      <c r="H54" s="5749">
        <v>0</v>
      </c>
      <c r="I54" s="5749">
        <v>0</v>
      </c>
      <c r="J54" s="5749">
        <v>0</v>
      </c>
      <c r="K54" s="5749">
        <v>0</v>
      </c>
      <c r="L54" s="5749">
        <v>1</v>
      </c>
      <c r="M54" s="5749">
        <v>0</v>
      </c>
      <c r="N54" s="5749">
        <v>0</v>
      </c>
      <c r="O54" s="5749">
        <v>0</v>
      </c>
      <c r="P54" s="2860">
        <v>1</v>
      </c>
      <c r="Q54" s="590">
        <v>8.3333333333333329E-2</v>
      </c>
      <c r="S54" s="5751">
        <v>0</v>
      </c>
      <c r="T54" s="5752">
        <v>0</v>
      </c>
      <c r="U54" s="5752">
        <v>1</v>
      </c>
      <c r="V54" s="5752">
        <v>0</v>
      </c>
      <c r="W54" s="5752">
        <v>3</v>
      </c>
      <c r="X54" s="5752">
        <v>0</v>
      </c>
      <c r="Y54" s="5749">
        <v>1</v>
      </c>
      <c r="Z54" s="5752">
        <v>0</v>
      </c>
      <c r="AA54" s="5753">
        <v>1</v>
      </c>
      <c r="AB54" s="5753">
        <v>1</v>
      </c>
      <c r="AC54" s="5753">
        <v>0</v>
      </c>
      <c r="AD54" s="5753">
        <v>0</v>
      </c>
      <c r="AE54" s="5749">
        <v>7</v>
      </c>
      <c r="AF54" s="5755">
        <v>0.58333333333333337</v>
      </c>
      <c r="AH54" s="5751">
        <v>0</v>
      </c>
      <c r="AI54" s="5752">
        <v>0</v>
      </c>
      <c r="AJ54" s="5752">
        <v>0</v>
      </c>
      <c r="AK54" s="5752">
        <v>0</v>
      </c>
      <c r="AL54" s="5752">
        <v>0</v>
      </c>
      <c r="AM54" s="5752">
        <v>2</v>
      </c>
      <c r="AN54" s="5749">
        <v>2</v>
      </c>
      <c r="AO54" s="5752">
        <v>1</v>
      </c>
      <c r="AP54" s="5749">
        <v>0</v>
      </c>
      <c r="AQ54" s="5749">
        <v>0</v>
      </c>
      <c r="AR54" s="5749">
        <v>0</v>
      </c>
      <c r="AS54" s="5749">
        <v>0</v>
      </c>
      <c r="AT54" s="5749">
        <f t="shared" si="23"/>
        <v>5</v>
      </c>
      <c r="AU54" s="5755">
        <f t="shared" si="27"/>
        <v>0.41666666666666669</v>
      </c>
      <c r="AW54" s="5751">
        <v>1</v>
      </c>
      <c r="AX54" s="5752">
        <v>0</v>
      </c>
      <c r="AY54" s="5752"/>
      <c r="AZ54" s="5752"/>
      <c r="BA54" s="5752"/>
      <c r="BB54" s="5752"/>
      <c r="BC54" s="5749"/>
      <c r="BD54" s="5752"/>
      <c r="BE54" s="5749"/>
      <c r="BF54" s="5749"/>
      <c r="BG54" s="5749"/>
      <c r="BH54" s="5749"/>
      <c r="BI54" s="5749">
        <f t="shared" si="24"/>
        <v>1</v>
      </c>
      <c r="BJ54" s="5755">
        <f t="shared" si="28"/>
        <v>0.5</v>
      </c>
      <c r="BL54" s="2860">
        <f t="shared" si="25"/>
        <v>0</v>
      </c>
      <c r="BM54" s="2860">
        <f t="shared" si="6"/>
        <v>8.3333333333333315E-2</v>
      </c>
      <c r="BN54" s="2860">
        <f>IFERROR(
  SUM(
    _xlfn.XLOOKUP(DATE(YEAR($A$1),1,1),$2:$2,54:54):
    _xlfn.XLOOKUP($A$1,$2:$2,54:54)
  )
 -SUM(
    _xlfn.XLOOKUP(DATE(YEAR($A$1)-1,1,1),$2:$2,54:54):
    _xlfn.XLOOKUP(EDATE($A$1,-12),$2:$2,54:54)
  ),"")</f>
        <v>1</v>
      </c>
      <c r="BO54" s="590">
        <f t="shared" si="26"/>
        <v>-1</v>
      </c>
    </row>
    <row r="55" spans="1:67" x14ac:dyDescent="0.55000000000000004">
      <c r="A55" s="7469"/>
      <c r="B55" s="7499" t="s">
        <v>534</v>
      </c>
      <c r="C55" s="5762"/>
      <c r="D55" s="5763">
        <v>2</v>
      </c>
      <c r="E55" s="5764">
        <v>4</v>
      </c>
      <c r="F55" s="5765">
        <v>5</v>
      </c>
      <c r="G55" s="5765">
        <v>0</v>
      </c>
      <c r="H55" s="5765">
        <v>1</v>
      </c>
      <c r="I55" s="5765">
        <v>0</v>
      </c>
      <c r="J55" s="5765">
        <v>4</v>
      </c>
      <c r="K55" s="5765">
        <v>3</v>
      </c>
      <c r="L55" s="5765">
        <v>5</v>
      </c>
      <c r="M55" s="5765">
        <v>3</v>
      </c>
      <c r="N55" s="5765">
        <v>13</v>
      </c>
      <c r="O55" s="5765">
        <v>7</v>
      </c>
      <c r="P55" s="5765">
        <v>47</v>
      </c>
      <c r="Q55" s="5765">
        <v>3.9166666666666665</v>
      </c>
      <c r="S55" s="2965">
        <v>11</v>
      </c>
      <c r="T55" s="2961">
        <v>4</v>
      </c>
      <c r="U55" s="2961">
        <v>5</v>
      </c>
      <c r="V55" s="2961">
        <v>3</v>
      </c>
      <c r="W55" s="2961">
        <v>5</v>
      </c>
      <c r="X55" s="2961">
        <v>8</v>
      </c>
      <c r="Y55" s="2961">
        <v>4</v>
      </c>
      <c r="Z55" s="2961">
        <v>2</v>
      </c>
      <c r="AA55" s="5758">
        <v>5</v>
      </c>
      <c r="AB55" s="5758">
        <v>7</v>
      </c>
      <c r="AC55" s="5766">
        <v>4</v>
      </c>
      <c r="AD55" s="5766">
        <v>0</v>
      </c>
      <c r="AE55" s="5767">
        <v>58</v>
      </c>
      <c r="AF55" s="5768">
        <v>4.833333333333333</v>
      </c>
      <c r="AH55" s="2965">
        <v>5</v>
      </c>
      <c r="AI55" s="2961">
        <v>1</v>
      </c>
      <c r="AJ55" s="2961">
        <v>2</v>
      </c>
      <c r="AK55" s="2961">
        <v>3</v>
      </c>
      <c r="AL55" s="2961">
        <v>2</v>
      </c>
      <c r="AM55" s="2961">
        <v>1</v>
      </c>
      <c r="AN55" s="2961">
        <v>2</v>
      </c>
      <c r="AO55" s="2961">
        <v>4</v>
      </c>
      <c r="AP55" s="2961">
        <v>4</v>
      </c>
      <c r="AQ55" s="2961">
        <v>0</v>
      </c>
      <c r="AR55" s="5762">
        <v>3</v>
      </c>
      <c r="AS55" s="5762">
        <v>0</v>
      </c>
      <c r="AT55" s="5767">
        <f t="shared" si="23"/>
        <v>27</v>
      </c>
      <c r="AU55" s="5768">
        <f t="shared" si="27"/>
        <v>2.25</v>
      </c>
      <c r="AW55" s="2965">
        <v>6</v>
      </c>
      <c r="AX55" s="2961">
        <v>3</v>
      </c>
      <c r="AY55" s="2961"/>
      <c r="AZ55" s="2961"/>
      <c r="BA55" s="2961"/>
      <c r="BB55" s="2961"/>
      <c r="BC55" s="2961"/>
      <c r="BD55" s="2961"/>
      <c r="BE55" s="2961"/>
      <c r="BF55" s="2961"/>
      <c r="BG55" s="5762"/>
      <c r="BH55" s="5762"/>
      <c r="BI55" s="5767">
        <f t="shared" si="24"/>
        <v>9</v>
      </c>
      <c r="BJ55" s="5768">
        <f t="shared" si="28"/>
        <v>4.5</v>
      </c>
      <c r="BL55" s="2860">
        <f t="shared" si="25"/>
        <v>2</v>
      </c>
      <c r="BM55" s="2860">
        <f t="shared" si="6"/>
        <v>2.25</v>
      </c>
      <c r="BN55" s="2860">
        <f>IFERROR(
  SUM(
    _xlfn.XLOOKUP(DATE(YEAR($A$1),1,1),$2:$2,55:55):
    _xlfn.XLOOKUP($A$1,$2:$2,55:55)
  )
 -SUM(
    _xlfn.XLOOKUP(DATE(YEAR($A$1)-1,1,1),$2:$2,55:55):
    _xlfn.XLOOKUP(EDATE($A$1,-12),$2:$2,55:55)
  ),"")</f>
        <v>3</v>
      </c>
      <c r="BO55" s="590">
        <f t="shared" si="26"/>
        <v>-3</v>
      </c>
    </row>
    <row r="56" spans="1:67" x14ac:dyDescent="0.55000000000000004">
      <c r="A56" s="7469"/>
      <c r="B56" s="7500"/>
      <c r="C56" s="3989" t="s">
        <v>869</v>
      </c>
      <c r="D56" s="5769">
        <v>0</v>
      </c>
      <c r="E56" s="5770">
        <v>0</v>
      </c>
      <c r="F56" s="555">
        <v>3</v>
      </c>
      <c r="G56" s="555">
        <v>0</v>
      </c>
      <c r="H56" s="555">
        <v>1</v>
      </c>
      <c r="I56" s="555">
        <v>0</v>
      </c>
      <c r="J56" s="555">
        <v>2</v>
      </c>
      <c r="K56" s="555">
        <v>3</v>
      </c>
      <c r="L56" s="555">
        <v>3</v>
      </c>
      <c r="M56" s="555">
        <v>2</v>
      </c>
      <c r="N56" s="555">
        <v>7</v>
      </c>
      <c r="O56" s="555">
        <v>5</v>
      </c>
      <c r="P56" s="5771">
        <v>26</v>
      </c>
      <c r="Q56" s="5772">
        <v>2.1666666666666665</v>
      </c>
      <c r="S56" s="2882">
        <v>5</v>
      </c>
      <c r="T56" s="1102">
        <v>2</v>
      </c>
      <c r="U56" s="1102">
        <v>2</v>
      </c>
      <c r="V56" s="1102">
        <v>2</v>
      </c>
      <c r="W56" s="1102">
        <v>4</v>
      </c>
      <c r="X56" s="1102">
        <v>0</v>
      </c>
      <c r="Y56" s="555">
        <v>2</v>
      </c>
      <c r="Z56" s="1102">
        <v>1</v>
      </c>
      <c r="AA56" s="5773">
        <v>5</v>
      </c>
      <c r="AB56" s="5773">
        <v>7</v>
      </c>
      <c r="AC56" s="5774">
        <v>3</v>
      </c>
      <c r="AD56" s="5774">
        <v>0</v>
      </c>
      <c r="AE56" s="5770">
        <v>33</v>
      </c>
      <c r="AF56" s="5772">
        <v>2.75</v>
      </c>
      <c r="AH56" s="2882">
        <v>5</v>
      </c>
      <c r="AI56" s="1102">
        <v>1</v>
      </c>
      <c r="AJ56" s="1102">
        <v>1</v>
      </c>
      <c r="AK56" s="1102">
        <v>3</v>
      </c>
      <c r="AL56" s="1102">
        <v>2</v>
      </c>
      <c r="AM56" s="1102">
        <v>1</v>
      </c>
      <c r="AN56" s="555">
        <v>2</v>
      </c>
      <c r="AO56" s="1102">
        <v>4</v>
      </c>
      <c r="AP56" s="555">
        <v>3</v>
      </c>
      <c r="AQ56" s="555">
        <v>0</v>
      </c>
      <c r="AR56" s="3989">
        <v>3</v>
      </c>
      <c r="AS56" s="3989">
        <v>0</v>
      </c>
      <c r="AT56" s="5770">
        <f t="shared" si="23"/>
        <v>25</v>
      </c>
      <c r="AU56" s="5772">
        <f t="shared" si="27"/>
        <v>2.0833333333333335</v>
      </c>
      <c r="AW56" s="2882">
        <v>5</v>
      </c>
      <c r="AX56" s="1102">
        <v>3</v>
      </c>
      <c r="AY56" s="1102"/>
      <c r="AZ56" s="1102"/>
      <c r="BA56" s="1102"/>
      <c r="BB56" s="1102"/>
      <c r="BC56" s="555"/>
      <c r="BD56" s="1102"/>
      <c r="BE56" s="555"/>
      <c r="BF56" s="555"/>
      <c r="BG56" s="3989"/>
      <c r="BH56" s="3989"/>
      <c r="BI56" s="5770">
        <f t="shared" si="24"/>
        <v>8</v>
      </c>
      <c r="BJ56" s="5772">
        <f t="shared" si="28"/>
        <v>4</v>
      </c>
      <c r="BL56" s="2860">
        <f t="shared" si="25"/>
        <v>2</v>
      </c>
      <c r="BM56" s="2860">
        <f t="shared" si="6"/>
        <v>1.9166666666666665</v>
      </c>
      <c r="BN56" s="2860">
        <f>IFERROR(
  SUM(
    _xlfn.XLOOKUP(DATE(YEAR($A$1),1,1),$2:$2,56:56):
    _xlfn.XLOOKUP($A$1,$2:$2,56:56)
  )
 -SUM(
    _xlfn.XLOOKUP(DATE(YEAR($A$1)-1,1,1),$2:$2,56:56):
    _xlfn.XLOOKUP(EDATE($A$1,-12),$2:$2,56:56)
  ),"")</f>
        <v>2</v>
      </c>
      <c r="BO56" s="590">
        <f t="shared" si="26"/>
        <v>-2</v>
      </c>
    </row>
    <row r="57" spans="1:67" ht="15.45" thickBot="1" x14ac:dyDescent="0.6">
      <c r="A57" s="7470"/>
      <c r="B57" s="7501"/>
      <c r="C57" s="5775" t="s">
        <v>22</v>
      </c>
      <c r="D57" s="5776">
        <v>2</v>
      </c>
      <c r="E57" s="5777">
        <v>4</v>
      </c>
      <c r="F57" s="5778">
        <v>2</v>
      </c>
      <c r="G57" s="5778">
        <v>0</v>
      </c>
      <c r="H57" s="5778">
        <v>0</v>
      </c>
      <c r="I57" s="5778">
        <v>0</v>
      </c>
      <c r="J57" s="5778">
        <v>2</v>
      </c>
      <c r="K57" s="5778">
        <v>0</v>
      </c>
      <c r="L57" s="5778">
        <v>2</v>
      </c>
      <c r="M57" s="5778">
        <v>1</v>
      </c>
      <c r="N57" s="5778">
        <v>6</v>
      </c>
      <c r="O57" s="5778">
        <v>2</v>
      </c>
      <c r="P57" s="5779">
        <v>21</v>
      </c>
      <c r="Q57" s="5780">
        <v>1.75</v>
      </c>
      <c r="S57" s="5781">
        <v>6</v>
      </c>
      <c r="T57" s="3679">
        <v>2</v>
      </c>
      <c r="U57" s="3679">
        <v>3</v>
      </c>
      <c r="V57" s="3679">
        <v>1</v>
      </c>
      <c r="W57" s="3679">
        <v>1</v>
      </c>
      <c r="X57" s="3679">
        <v>2</v>
      </c>
      <c r="Y57" s="5778">
        <v>2</v>
      </c>
      <c r="Z57" s="3679">
        <v>1</v>
      </c>
      <c r="AA57" s="5782">
        <v>0</v>
      </c>
      <c r="AB57" s="5782">
        <v>0</v>
      </c>
      <c r="AC57" s="5783">
        <v>1</v>
      </c>
      <c r="AD57" s="5783">
        <v>0</v>
      </c>
      <c r="AE57" s="5784">
        <v>19</v>
      </c>
      <c r="AF57" s="5780">
        <v>1.5833333333333333</v>
      </c>
      <c r="AH57" s="5781">
        <v>0</v>
      </c>
      <c r="AI57" s="3679">
        <v>0</v>
      </c>
      <c r="AJ57" s="3679">
        <v>1</v>
      </c>
      <c r="AK57" s="3679">
        <v>0</v>
      </c>
      <c r="AL57" s="3679">
        <v>0</v>
      </c>
      <c r="AM57" s="3679">
        <v>0</v>
      </c>
      <c r="AN57" s="3679">
        <v>0</v>
      </c>
      <c r="AO57" s="3679">
        <v>0</v>
      </c>
      <c r="AP57" s="5778">
        <v>1</v>
      </c>
      <c r="AQ57" s="5778">
        <v>0</v>
      </c>
      <c r="AR57" s="5775">
        <v>0</v>
      </c>
      <c r="AS57" s="5775">
        <v>0</v>
      </c>
      <c r="AT57" s="5784">
        <f t="shared" si="23"/>
        <v>2</v>
      </c>
      <c r="AU57" s="5780">
        <f t="shared" si="27"/>
        <v>0.16666666666666666</v>
      </c>
      <c r="AW57" s="5781">
        <v>1</v>
      </c>
      <c r="AX57" s="3679">
        <v>0</v>
      </c>
      <c r="AY57" s="3679"/>
      <c r="AZ57" s="3679"/>
      <c r="BA57" s="3679"/>
      <c r="BB57" s="3679"/>
      <c r="BC57" s="3679"/>
      <c r="BD57" s="3679"/>
      <c r="BE57" s="5778"/>
      <c r="BF57" s="5778"/>
      <c r="BG57" s="5775"/>
      <c r="BH57" s="5775"/>
      <c r="BI57" s="5784">
        <f t="shared" si="24"/>
        <v>1</v>
      </c>
      <c r="BJ57" s="5780">
        <f t="shared" si="28"/>
        <v>0.5</v>
      </c>
      <c r="BL57" s="2860">
        <f t="shared" si="25"/>
        <v>0</v>
      </c>
      <c r="BM57" s="2860">
        <f t="shared" si="6"/>
        <v>0.33333333333333337</v>
      </c>
      <c r="BN57" s="2860">
        <f>IFERROR(
  SUM(
    _xlfn.XLOOKUP(DATE(YEAR($A$1),1,1),$2:$2,57:57):
    _xlfn.XLOOKUP($A$1,$2:$2,57:57)
  )
 -SUM(
    _xlfn.XLOOKUP(DATE(YEAR($A$1)-1,1,1),$2:$2,57:57):
    _xlfn.XLOOKUP(EDATE($A$1,-12),$2:$2,57:57)
  ),"")</f>
        <v>1</v>
      </c>
      <c r="BO57" s="590">
        <f t="shared" si="26"/>
        <v>-1</v>
      </c>
    </row>
    <row r="58" spans="1:67" ht="15.45" thickBot="1" x14ac:dyDescent="0.6">
      <c r="AE58" s="5785" t="s">
        <v>865</v>
      </c>
      <c r="AF58" s="3989"/>
      <c r="AT58" s="5785" t="s">
        <v>865</v>
      </c>
      <c r="AU58" s="3989"/>
      <c r="BI58" s="5785" t="s">
        <v>865</v>
      </c>
      <c r="BJ58" s="3989"/>
      <c r="BL58" s="559">
        <f t="shared" si="25"/>
        <v>0</v>
      </c>
      <c r="BM58" s="559">
        <f t="shared" si="6"/>
        <v>0</v>
      </c>
      <c r="BN58" s="559">
        <f>IFERROR(
  SUM(
    _xlfn.XLOOKUP(DATE(YEAR($A$1),1,1),$2:$2,58:58):
    _xlfn.XLOOKUP($A$1,$2:$2,58:58)
  )
 -SUM(
    _xlfn.XLOOKUP(DATE(YEAR($A$1)-1,1,1),$2:$2,58:58):
    _xlfn.XLOOKUP(EDATE($A$1,-12),$2:$2,58:58)
  ),"")</f>
        <v>0</v>
      </c>
      <c r="BO58" s="590">
        <f t="shared" si="26"/>
        <v>0</v>
      </c>
    </row>
    <row r="59" spans="1:67" x14ac:dyDescent="0.55000000000000004">
      <c r="A59" s="7473" t="s">
        <v>135</v>
      </c>
      <c r="B59" s="5131" t="s">
        <v>519</v>
      </c>
      <c r="C59" s="5786" t="s">
        <v>526</v>
      </c>
      <c r="D59" s="3680">
        <v>1167</v>
      </c>
      <c r="E59" s="3680">
        <v>1063</v>
      </c>
      <c r="F59" s="3680">
        <v>997</v>
      </c>
      <c r="G59" s="3680">
        <v>859</v>
      </c>
      <c r="H59" s="3680">
        <v>921</v>
      </c>
      <c r="I59" s="3680">
        <v>868</v>
      </c>
      <c r="J59" s="3680">
        <v>858</v>
      </c>
      <c r="K59" s="3680">
        <v>1007</v>
      </c>
      <c r="L59" s="3680">
        <v>723</v>
      </c>
      <c r="M59" s="3680">
        <v>935</v>
      </c>
      <c r="N59" s="3680">
        <v>849</v>
      </c>
      <c r="O59" s="3680">
        <v>730</v>
      </c>
      <c r="P59" s="3680">
        <v>10042</v>
      </c>
      <c r="Q59" s="3680">
        <v>836.83333333333337</v>
      </c>
      <c r="S59" s="5787">
        <v>843</v>
      </c>
      <c r="T59" s="3680">
        <v>619</v>
      </c>
      <c r="U59" s="3680">
        <v>635</v>
      </c>
      <c r="V59" s="3680">
        <v>652</v>
      </c>
      <c r="W59" s="3680">
        <v>679</v>
      </c>
      <c r="X59" s="3680">
        <v>646</v>
      </c>
      <c r="Y59" s="3680">
        <v>692</v>
      </c>
      <c r="Z59" s="5132">
        <v>505</v>
      </c>
      <c r="AA59" s="5788">
        <v>398</v>
      </c>
      <c r="AB59" s="5788">
        <v>1401</v>
      </c>
      <c r="AC59" s="5788">
        <v>1224</v>
      </c>
      <c r="AD59" s="5788">
        <v>1039</v>
      </c>
      <c r="AE59" s="5789">
        <v>9333</v>
      </c>
      <c r="AF59" s="5790">
        <v>777.75</v>
      </c>
      <c r="AH59" s="5787">
        <v>918</v>
      </c>
      <c r="AI59" s="3680">
        <v>1169</v>
      </c>
      <c r="AJ59" s="3680">
        <v>1065</v>
      </c>
      <c r="AK59" s="3680">
        <v>1220</v>
      </c>
      <c r="AL59" s="3680">
        <v>1429</v>
      </c>
      <c r="AM59" s="3680">
        <v>1211</v>
      </c>
      <c r="AN59" s="3680">
        <v>1365</v>
      </c>
      <c r="AO59" s="5132">
        <v>974</v>
      </c>
      <c r="AP59" s="5132">
        <v>1134</v>
      </c>
      <c r="AQ59" s="5132">
        <v>947</v>
      </c>
      <c r="AR59" s="5132">
        <v>953</v>
      </c>
      <c r="AS59" s="5132">
        <v>1049</v>
      </c>
      <c r="AT59" s="5789">
        <f>SUM(AH59:AS59)</f>
        <v>13434</v>
      </c>
      <c r="AU59" s="5790">
        <f t="shared" ref="AU59:AU60" si="29">AVERAGE(AH59:AS59)</f>
        <v>1119.5</v>
      </c>
      <c r="AW59" s="5787">
        <v>1200</v>
      </c>
      <c r="AX59" s="3680"/>
      <c r="AY59" s="3680"/>
      <c r="AZ59" s="3680"/>
      <c r="BA59" s="3680"/>
      <c r="BB59" s="3680"/>
      <c r="BC59" s="3680"/>
      <c r="BD59" s="5132"/>
      <c r="BE59" s="5132"/>
      <c r="BF59" s="5132"/>
      <c r="BG59" s="5786"/>
      <c r="BH59" s="5786"/>
      <c r="BI59" s="5789">
        <f>SUM(AW59:BH59)</f>
        <v>1200</v>
      </c>
      <c r="BJ59" s="5790">
        <f t="shared" ref="BJ59:BJ60" si="30">AVERAGE(AW59:BH59)</f>
        <v>1200</v>
      </c>
      <c r="BL59" s="2860">
        <f t="shared" si="25"/>
        <v>-1169</v>
      </c>
      <c r="BM59" s="868">
        <f t="shared" si="6"/>
        <v>80.5</v>
      </c>
      <c r="BN59" s="2860">
        <f>IFERROR(
  SUM(
    _xlfn.XLOOKUP(DATE(YEAR($A$1),1,1),$2:$2,59:59):
    _xlfn.XLOOKUP($A$1,$2:$2,59:59)
  )
 -SUM(
    _xlfn.XLOOKUP(DATE(YEAR($A$1)-1,1,1),$2:$2,59:59):
    _xlfn.XLOOKUP(EDATE($A$1,-12),$2:$2,59:59)
  ),"")</f>
        <v>-887</v>
      </c>
      <c r="BO59" s="590">
        <f t="shared" si="26"/>
        <v>-1200</v>
      </c>
    </row>
    <row r="60" spans="1:67" x14ac:dyDescent="0.55000000000000004">
      <c r="A60" s="7474"/>
      <c r="B60" s="1338"/>
      <c r="C60" s="2886" t="s">
        <v>527</v>
      </c>
      <c r="D60" s="2888">
        <v>34949</v>
      </c>
      <c r="E60" s="2888">
        <v>43655</v>
      </c>
      <c r="F60" s="2888">
        <v>34105</v>
      </c>
      <c r="G60" s="2888">
        <v>32849</v>
      </c>
      <c r="H60" s="2888">
        <v>34598</v>
      </c>
      <c r="I60" s="2888">
        <v>32171</v>
      </c>
      <c r="J60" s="2888">
        <v>32681</v>
      </c>
      <c r="K60" s="2888">
        <v>48035</v>
      </c>
      <c r="L60" s="2888">
        <v>28013</v>
      </c>
      <c r="M60" s="2888">
        <v>43911</v>
      </c>
      <c r="N60" s="2888">
        <v>30684</v>
      </c>
      <c r="O60" s="2888">
        <v>25817</v>
      </c>
      <c r="P60" s="2888">
        <v>377557</v>
      </c>
      <c r="Q60" s="2888">
        <v>31463.083333333332</v>
      </c>
      <c r="S60" s="2887">
        <v>42296</v>
      </c>
      <c r="T60" s="2888">
        <v>26423</v>
      </c>
      <c r="U60" s="2888">
        <v>25101</v>
      </c>
      <c r="V60" s="2888">
        <v>25199</v>
      </c>
      <c r="W60" s="2888">
        <v>25539</v>
      </c>
      <c r="X60" s="2888">
        <v>23363</v>
      </c>
      <c r="Y60" s="2888">
        <v>33983</v>
      </c>
      <c r="Z60" s="2888">
        <v>22849</v>
      </c>
      <c r="AA60" s="5791">
        <v>23087</v>
      </c>
      <c r="AB60" s="5791">
        <v>40829</v>
      </c>
      <c r="AC60" s="5792">
        <v>36332</v>
      </c>
      <c r="AD60" s="5792">
        <v>31481</v>
      </c>
      <c r="AE60" s="5793">
        <v>356482</v>
      </c>
      <c r="AF60" s="5793">
        <v>29706.833333333332</v>
      </c>
      <c r="AH60" s="2887">
        <v>29169</v>
      </c>
      <c r="AI60" s="2888">
        <v>50490</v>
      </c>
      <c r="AJ60" s="2888">
        <v>36930</v>
      </c>
      <c r="AK60" s="2888">
        <v>47164</v>
      </c>
      <c r="AL60" s="2888">
        <v>65652</v>
      </c>
      <c r="AM60" s="2888">
        <v>46406</v>
      </c>
      <c r="AN60" s="2888">
        <v>61987</v>
      </c>
      <c r="AO60" s="2888">
        <v>42366</v>
      </c>
      <c r="AP60" s="2888">
        <v>50287</v>
      </c>
      <c r="AQ60" s="2888">
        <v>42205</v>
      </c>
      <c r="AR60" s="5794">
        <v>36266</v>
      </c>
      <c r="AS60" s="5794">
        <v>36957</v>
      </c>
      <c r="AT60" s="5793">
        <f>SUM(AH60:AS60)</f>
        <v>545879</v>
      </c>
      <c r="AU60" s="5793">
        <f t="shared" si="29"/>
        <v>45489.916666666664</v>
      </c>
      <c r="AW60" s="2887">
        <v>57365</v>
      </c>
      <c r="AX60" s="2888"/>
      <c r="AY60" s="2888"/>
      <c r="AZ60" s="2888"/>
      <c r="BA60" s="2888"/>
      <c r="BB60" s="2888"/>
      <c r="BC60" s="2888"/>
      <c r="BD60" s="2888"/>
      <c r="BE60" s="2888"/>
      <c r="BF60" s="2888"/>
      <c r="BG60" s="5794"/>
      <c r="BH60" s="2886"/>
      <c r="BI60" s="5793">
        <f>SUM(AW60:BH60)</f>
        <v>57365</v>
      </c>
      <c r="BJ60" s="5793">
        <f t="shared" si="30"/>
        <v>57365</v>
      </c>
      <c r="BL60" s="2860">
        <f t="shared" si="25"/>
        <v>-50490</v>
      </c>
      <c r="BM60" s="4564">
        <f t="shared" si="6"/>
        <v>11875.083333333336</v>
      </c>
      <c r="BN60" s="2860">
        <f>IFERROR(
  SUM(
    _xlfn.XLOOKUP(DATE(YEAR($A$1),1,1),$2:$2,60:60):
    _xlfn.XLOOKUP($A$1,$2:$2,60:60)
  )
 -SUM(
    _xlfn.XLOOKUP(DATE(YEAR($A$1)-1,1,1),$2:$2,60:60):
    _xlfn.XLOOKUP(EDATE($A$1,-12),$2:$2,60:60)
  ),"")</f>
        <v>-22294</v>
      </c>
      <c r="BO60" s="590">
        <f t="shared" si="26"/>
        <v>-57365</v>
      </c>
    </row>
    <row r="61" spans="1:67" x14ac:dyDescent="0.55000000000000004">
      <c r="A61" s="7474"/>
      <c r="B61" s="1338"/>
      <c r="C61" s="2886" t="s">
        <v>528</v>
      </c>
      <c r="D61" s="5795">
        <v>3.3391513348021401E-2</v>
      </c>
      <c r="E61" s="5795">
        <v>2.435001718016264E-2</v>
      </c>
      <c r="F61" s="5795">
        <v>2.9233250256560622E-2</v>
      </c>
      <c r="G61" s="5795">
        <v>2.6149958902858535E-2</v>
      </c>
      <c r="H61" s="5795">
        <v>2.6620035840221979E-2</v>
      </c>
      <c r="I61" s="5795">
        <v>2.698082123651736E-2</v>
      </c>
      <c r="J61" s="5795">
        <v>2.6253786603837093E-2</v>
      </c>
      <c r="K61" s="5795">
        <v>2.0963880503799312E-2</v>
      </c>
      <c r="L61" s="5795">
        <v>2.580944561453611E-2</v>
      </c>
      <c r="M61" s="5795">
        <v>2.1293070073557879E-2</v>
      </c>
      <c r="N61" s="5795">
        <v>2.7669143527571372E-2</v>
      </c>
      <c r="O61" s="5795">
        <v>2.8275942208622225E-2</v>
      </c>
      <c r="P61" s="5795">
        <v>2.6597308485871007E-2</v>
      </c>
      <c r="Q61" s="5795">
        <v>2.6597308485871007E-2</v>
      </c>
      <c r="S61" s="5796">
        <v>1.9930962738793266E-2</v>
      </c>
      <c r="T61" s="5795">
        <v>2.3426560193770578E-2</v>
      </c>
      <c r="U61" s="5795">
        <v>2.5297796900521891E-2</v>
      </c>
      <c r="V61" s="5795">
        <v>2.5874042620738918E-2</v>
      </c>
      <c r="W61" s="5795">
        <v>2.6586788832765575E-2</v>
      </c>
      <c r="X61" s="5795">
        <v>2.7650558575525404E-2</v>
      </c>
      <c r="Y61" s="5797">
        <v>2.0363122737839509E-2</v>
      </c>
      <c r="Z61" s="5797">
        <v>2.2101623703444352E-2</v>
      </c>
      <c r="AA61" s="5798">
        <v>1.7239138909342921E-2</v>
      </c>
      <c r="AB61" s="5798">
        <v>3.4313845550956429E-2</v>
      </c>
      <c r="AC61" s="5799">
        <v>3.4313845550956429E-2</v>
      </c>
      <c r="AD61" s="5799">
        <v>3.3004034179346275E-2</v>
      </c>
      <c r="AE61" s="5797">
        <v>2.6180845035653974E-2</v>
      </c>
      <c r="AF61" s="5800">
        <v>2.6180845035653974E-2</v>
      </c>
      <c r="AH61" s="5796">
        <v>3.1471767972847883E-2</v>
      </c>
      <c r="AI61" s="5795">
        <v>2.3153099623687858E-2</v>
      </c>
      <c r="AJ61" s="5795">
        <v>2.8838342810722988E-2</v>
      </c>
      <c r="AK61" s="5795">
        <v>2.5867186837418371E-2</v>
      </c>
      <c r="AL61" s="5795">
        <v>2.1766282824590266E-2</v>
      </c>
      <c r="AM61" s="5795">
        <v>2.6095763478860494E-2</v>
      </c>
      <c r="AN61" s="5797">
        <v>2.202074628551148E-2</v>
      </c>
      <c r="AO61" s="5797">
        <v>2.2990133597696267E-2</v>
      </c>
      <c r="AP61" s="5797">
        <v>2.2550559786823632E-2</v>
      </c>
      <c r="AQ61" s="5797">
        <v>2.2438099751214313E-2</v>
      </c>
      <c r="AR61" s="5800">
        <v>2.6278056581922463E-2</v>
      </c>
      <c r="AS61" s="5800">
        <v>2.8384338555618692E-2</v>
      </c>
      <c r="AT61" s="5797">
        <f>AT59/AT60</f>
        <v>2.460984943549761E-2</v>
      </c>
      <c r="AU61" s="5800">
        <f>AT61</f>
        <v>2.460984943549761E-2</v>
      </c>
      <c r="AW61" s="5796">
        <v>2.0918678636799443E-2</v>
      </c>
      <c r="AX61" s="5795"/>
      <c r="AY61" s="5795"/>
      <c r="AZ61" s="5795"/>
      <c r="BA61" s="5795"/>
      <c r="BB61" s="5795"/>
      <c r="BC61" s="5797"/>
      <c r="BD61" s="5797"/>
      <c r="BE61" s="5797"/>
      <c r="BF61" s="5797"/>
      <c r="BG61" s="5800"/>
      <c r="BH61" s="2886"/>
      <c r="BI61" s="5797">
        <f>BI59/BI60</f>
        <v>2.0918678636799443E-2</v>
      </c>
      <c r="BJ61" s="5800">
        <f>BI61</f>
        <v>2.0918678636799443E-2</v>
      </c>
      <c r="BL61" s="5686">
        <f t="shared" si="25"/>
        <v>-2.3153099623687858E-2</v>
      </c>
      <c r="BM61" s="5686">
        <f t="shared" si="6"/>
        <v>-3.6911707986981672E-3</v>
      </c>
      <c r="BN61" s="5686">
        <f t="shared" ref="BN61" si="31">BM61</f>
        <v>-3.6911707986981672E-3</v>
      </c>
      <c r="BO61" s="2978">
        <f t="shared" si="26"/>
        <v>-2.0918678636799443E-2</v>
      </c>
    </row>
    <row r="62" spans="1:67" x14ac:dyDescent="0.55000000000000004">
      <c r="A62" s="7474"/>
      <c r="B62" s="1338"/>
      <c r="C62" s="5801" t="s">
        <v>530</v>
      </c>
      <c r="D62" s="2888">
        <v>624</v>
      </c>
      <c r="E62" s="2888">
        <v>481</v>
      </c>
      <c r="F62" s="2888">
        <v>518</v>
      </c>
      <c r="G62" s="2888">
        <v>492</v>
      </c>
      <c r="H62" s="2888">
        <v>664</v>
      </c>
      <c r="I62" s="2888">
        <v>435</v>
      </c>
      <c r="J62" s="2888">
        <v>476</v>
      </c>
      <c r="K62" s="2888">
        <v>373</v>
      </c>
      <c r="L62" s="2888">
        <v>373</v>
      </c>
      <c r="M62" s="2888">
        <v>321</v>
      </c>
      <c r="N62" s="2888">
        <v>383</v>
      </c>
      <c r="O62" s="2888">
        <v>424</v>
      </c>
      <c r="P62" s="2888">
        <v>5564</v>
      </c>
      <c r="Q62" s="2888">
        <v>464</v>
      </c>
      <c r="S62" s="2887">
        <v>336</v>
      </c>
      <c r="T62" s="2888">
        <v>332</v>
      </c>
      <c r="U62" s="2888">
        <v>342</v>
      </c>
      <c r="V62" s="2888">
        <v>398</v>
      </c>
      <c r="W62" s="2888">
        <v>428</v>
      </c>
      <c r="X62" s="2888">
        <v>402</v>
      </c>
      <c r="Y62" s="2888">
        <v>273</v>
      </c>
      <c r="Z62" s="5801">
        <v>279</v>
      </c>
      <c r="AA62" s="5802">
        <v>169</v>
      </c>
      <c r="AB62" s="5802">
        <v>755</v>
      </c>
      <c r="AC62" s="5803">
        <v>757</v>
      </c>
      <c r="AD62" s="5803">
        <v>633</v>
      </c>
      <c r="AE62" s="5804">
        <v>5104</v>
      </c>
      <c r="AF62" s="5793">
        <v>425.33333333333331</v>
      </c>
      <c r="AH62" s="2887">
        <v>535</v>
      </c>
      <c r="AI62" s="2888">
        <v>621</v>
      </c>
      <c r="AJ62" s="2888">
        <v>597</v>
      </c>
      <c r="AK62" s="2888">
        <v>736</v>
      </c>
      <c r="AL62" s="2888">
        <v>890</v>
      </c>
      <c r="AM62" s="2888">
        <v>740</v>
      </c>
      <c r="AN62" s="2888">
        <v>751</v>
      </c>
      <c r="AO62" s="5801">
        <v>522</v>
      </c>
      <c r="AP62" s="5801">
        <v>554</v>
      </c>
      <c r="AQ62" s="5801">
        <v>491</v>
      </c>
      <c r="AR62" s="5801">
        <v>511</v>
      </c>
      <c r="AS62" s="5801">
        <v>563</v>
      </c>
      <c r="AT62" s="5804">
        <f>SUM(AH62:AS62)</f>
        <v>7511</v>
      </c>
      <c r="AU62" s="5793">
        <f t="shared" ref="AU62:AU65" si="32">AVERAGE(AH62:AS62)</f>
        <v>625.91666666666663</v>
      </c>
      <c r="AW62" s="2887">
        <v>835</v>
      </c>
      <c r="AX62" s="2888"/>
      <c r="AY62" s="2888"/>
      <c r="AZ62" s="2888"/>
      <c r="BA62" s="2888"/>
      <c r="BB62" s="2888"/>
      <c r="BC62" s="2888"/>
      <c r="BD62" s="5801"/>
      <c r="BE62" s="5801"/>
      <c r="BF62" s="5801"/>
      <c r="BG62" s="5801"/>
      <c r="BH62" s="5801"/>
      <c r="BI62" s="5804">
        <f>SUM(AW62:BH62)</f>
        <v>835</v>
      </c>
      <c r="BJ62" s="5793">
        <f t="shared" ref="BJ62:BJ65" si="33">AVERAGE(AW62:BH62)</f>
        <v>835</v>
      </c>
      <c r="BL62" s="2860">
        <f t="shared" si="25"/>
        <v>-621</v>
      </c>
      <c r="BM62" s="5805">
        <f t="shared" si="6"/>
        <v>209.08333333333337</v>
      </c>
      <c r="BN62" s="2860">
        <f>IFERROR(
  SUM(
    _xlfn.XLOOKUP(DATE(YEAR($A$1),1,1),$2:$2,62:62):
    _xlfn.XLOOKUP($A$1,$2:$2,62:62)
  )
 -SUM(
    _xlfn.XLOOKUP(DATE(YEAR($A$1)-1,1,1),$2:$2,62:62):
    _xlfn.XLOOKUP(EDATE($A$1,-12),$2:$2,62:62)
  ),"")</f>
        <v>-321</v>
      </c>
      <c r="BO62" s="590">
        <f t="shared" si="26"/>
        <v>-835</v>
      </c>
    </row>
    <row r="63" spans="1:67" x14ac:dyDescent="0.55000000000000004">
      <c r="A63" s="7474"/>
      <c r="B63" s="1338"/>
      <c r="C63" s="5801" t="s">
        <v>529</v>
      </c>
      <c r="D63" s="2888">
        <v>348</v>
      </c>
      <c r="E63" s="2888">
        <v>444</v>
      </c>
      <c r="F63" s="2888">
        <v>370</v>
      </c>
      <c r="G63" s="2888">
        <v>268</v>
      </c>
      <c r="H63" s="2888">
        <v>248</v>
      </c>
      <c r="I63" s="2888">
        <v>252</v>
      </c>
      <c r="J63" s="2888">
        <v>228</v>
      </c>
      <c r="K63" s="2888">
        <v>425</v>
      </c>
      <c r="L63" s="2888">
        <v>201</v>
      </c>
      <c r="M63" s="2888">
        <v>477</v>
      </c>
      <c r="N63" s="2888">
        <v>317</v>
      </c>
      <c r="O63" s="2888">
        <v>265</v>
      </c>
      <c r="P63" s="2888">
        <v>3843</v>
      </c>
      <c r="Q63" s="2888">
        <v>320</v>
      </c>
      <c r="S63" s="2887">
        <v>352</v>
      </c>
      <c r="T63" s="2888">
        <v>177</v>
      </c>
      <c r="U63" s="2888">
        <v>202</v>
      </c>
      <c r="V63" s="2888">
        <v>147</v>
      </c>
      <c r="W63" s="2888">
        <v>140</v>
      </c>
      <c r="X63" s="2888">
        <v>132</v>
      </c>
      <c r="Y63" s="2888">
        <v>286</v>
      </c>
      <c r="Z63" s="5801">
        <v>144</v>
      </c>
      <c r="AA63" s="5802">
        <v>165</v>
      </c>
      <c r="AB63" s="5802">
        <v>432</v>
      </c>
      <c r="AC63" s="5803">
        <v>301</v>
      </c>
      <c r="AD63" s="5803">
        <v>285</v>
      </c>
      <c r="AE63" s="5804">
        <v>2763</v>
      </c>
      <c r="AF63" s="5793">
        <v>230.25</v>
      </c>
      <c r="AH63" s="2887">
        <v>273</v>
      </c>
      <c r="AI63" s="2888">
        <v>420</v>
      </c>
      <c r="AJ63" s="2888">
        <v>310</v>
      </c>
      <c r="AK63" s="2888">
        <v>318</v>
      </c>
      <c r="AL63" s="2888">
        <v>321</v>
      </c>
      <c r="AM63" s="2888">
        <v>309</v>
      </c>
      <c r="AN63" s="2888">
        <v>392</v>
      </c>
      <c r="AO63" s="5801">
        <v>303</v>
      </c>
      <c r="AP63" s="5801">
        <v>428</v>
      </c>
      <c r="AQ63" s="5801">
        <v>339</v>
      </c>
      <c r="AR63" s="5801">
        <v>359</v>
      </c>
      <c r="AS63" s="5801">
        <v>388</v>
      </c>
      <c r="AT63" s="5804">
        <f>SUM(AH63:AS63)</f>
        <v>4160</v>
      </c>
      <c r="AU63" s="5793">
        <f t="shared" si="32"/>
        <v>346.66666666666669</v>
      </c>
      <c r="AW63" s="2887">
        <v>277</v>
      </c>
      <c r="AX63" s="2888"/>
      <c r="AY63" s="2888"/>
      <c r="AZ63" s="2888"/>
      <c r="BA63" s="2888"/>
      <c r="BB63" s="2888"/>
      <c r="BC63" s="2888"/>
      <c r="BD63" s="5801"/>
      <c r="BE63" s="5801"/>
      <c r="BF63" s="5801"/>
      <c r="BG63" s="5801"/>
      <c r="BH63" s="5801"/>
      <c r="BI63" s="5804">
        <f>SUM(AW63:BH63)</f>
        <v>277</v>
      </c>
      <c r="BJ63" s="5793">
        <f t="shared" si="33"/>
        <v>277</v>
      </c>
      <c r="BL63" s="2860">
        <f t="shared" si="25"/>
        <v>-420</v>
      </c>
      <c r="BM63" s="5805">
        <f t="shared" si="6"/>
        <v>-69.666666666666686</v>
      </c>
      <c r="BN63" s="2860">
        <f>IFERROR(
  SUM(
    _xlfn.XLOOKUP(DATE(YEAR($A$1),1,1),$2:$2,63:63):
    _xlfn.XLOOKUP($A$1,$2:$2,63:63)
  )
 -SUM(
    _xlfn.XLOOKUP(DATE(YEAR($A$1)-1,1,1),$2:$2,63:63):
    _xlfn.XLOOKUP(EDATE($A$1,-12),$2:$2,63:63)
  ),"")</f>
        <v>-416</v>
      </c>
      <c r="BO63" s="590">
        <f t="shared" si="26"/>
        <v>-277</v>
      </c>
    </row>
    <row r="64" spans="1:67" x14ac:dyDescent="0.55000000000000004">
      <c r="A64" s="7474"/>
      <c r="B64" s="1338"/>
      <c r="C64" s="5801" t="s">
        <v>531</v>
      </c>
      <c r="D64" s="2888">
        <v>195</v>
      </c>
      <c r="E64" s="2888">
        <v>138</v>
      </c>
      <c r="F64" s="2888">
        <v>109</v>
      </c>
      <c r="G64" s="2888">
        <v>99</v>
      </c>
      <c r="H64" s="2888">
        <v>19</v>
      </c>
      <c r="I64" s="2888">
        <v>181</v>
      </c>
      <c r="J64" s="2888">
        <v>154</v>
      </c>
      <c r="K64" s="2888">
        <v>221</v>
      </c>
      <c r="L64" s="2888">
        <v>149</v>
      </c>
      <c r="M64" s="2888">
        <v>137</v>
      </c>
      <c r="N64" s="2888">
        <v>149</v>
      </c>
      <c r="O64" s="2888">
        <v>139</v>
      </c>
      <c r="P64" s="2888">
        <v>1690</v>
      </c>
      <c r="Q64" s="2888">
        <v>141</v>
      </c>
      <c r="S64" s="2887">
        <v>155</v>
      </c>
      <c r="T64" s="2888">
        <v>110</v>
      </c>
      <c r="U64" s="2888">
        <v>91</v>
      </c>
      <c r="V64" s="2888">
        <v>107</v>
      </c>
      <c r="W64" s="2888">
        <v>111</v>
      </c>
      <c r="X64" s="2888">
        <v>112</v>
      </c>
      <c r="Y64" s="2888">
        <v>133</v>
      </c>
      <c r="Z64" s="5801">
        <v>82</v>
      </c>
      <c r="AA64" s="5802">
        <v>64</v>
      </c>
      <c r="AB64" s="5802">
        <v>215</v>
      </c>
      <c r="AC64" s="5803">
        <v>166</v>
      </c>
      <c r="AD64" s="5803">
        <v>130</v>
      </c>
      <c r="AE64" s="5804">
        <v>1476</v>
      </c>
      <c r="AF64" s="5793">
        <v>123</v>
      </c>
      <c r="AH64" s="2887">
        <v>110</v>
      </c>
      <c r="AI64" s="2888">
        <v>128</v>
      </c>
      <c r="AJ64" s="2888">
        <v>158</v>
      </c>
      <c r="AK64" s="2888">
        <v>166</v>
      </c>
      <c r="AL64" s="2888">
        <v>218</v>
      </c>
      <c r="AM64" s="2888">
        <v>162</v>
      </c>
      <c r="AN64" s="2888">
        <v>222</v>
      </c>
      <c r="AO64" s="5801">
        <v>149</v>
      </c>
      <c r="AP64" s="5801">
        <v>152</v>
      </c>
      <c r="AQ64" s="5801">
        <v>117</v>
      </c>
      <c r="AR64" s="5801">
        <v>83</v>
      </c>
      <c r="AS64" s="5801">
        <v>116</v>
      </c>
      <c r="AT64" s="5804">
        <f>SUM(AH64:AS64)</f>
        <v>1781</v>
      </c>
      <c r="AU64" s="5793">
        <f t="shared" si="32"/>
        <v>148.41666666666666</v>
      </c>
      <c r="AW64" s="2887">
        <v>88</v>
      </c>
      <c r="AX64" s="2888"/>
      <c r="AY64" s="2888"/>
      <c r="AZ64" s="2888"/>
      <c r="BA64" s="2888"/>
      <c r="BB64" s="2888"/>
      <c r="BC64" s="2888"/>
      <c r="BD64" s="5801"/>
      <c r="BE64" s="5801"/>
      <c r="BF64" s="5801"/>
      <c r="BG64" s="5801"/>
      <c r="BH64" s="5801"/>
      <c r="BI64" s="5804">
        <f>SUM(AW64:BH64)</f>
        <v>88</v>
      </c>
      <c r="BJ64" s="5793">
        <f t="shared" si="33"/>
        <v>88</v>
      </c>
      <c r="BL64" s="2860">
        <f t="shared" si="25"/>
        <v>-128</v>
      </c>
      <c r="BM64" s="5805">
        <f t="shared" si="6"/>
        <v>-60.416666666666657</v>
      </c>
      <c r="BN64" s="2860">
        <f>IFERROR(
  SUM(
    _xlfn.XLOOKUP(DATE(YEAR($A$1),1,1),$2:$2,64:64):
    _xlfn.XLOOKUP($A$1,$2:$2,64:64)
  )
 -SUM(
    _xlfn.XLOOKUP(DATE(YEAR($A$1)-1,1,1),$2:$2,64:64):
    _xlfn.XLOOKUP(EDATE($A$1,-12),$2:$2,64:64)
  ),"")</f>
        <v>-150</v>
      </c>
      <c r="BO64" s="590">
        <f t="shared" si="26"/>
        <v>-88</v>
      </c>
    </row>
    <row r="65" spans="1:67" x14ac:dyDescent="0.55000000000000004">
      <c r="A65" s="7474"/>
      <c r="B65" s="5806" t="s">
        <v>19</v>
      </c>
      <c r="C65" s="5807" t="s">
        <v>532</v>
      </c>
      <c r="D65" s="4869">
        <v>728</v>
      </c>
      <c r="E65" s="4869">
        <v>650</v>
      </c>
      <c r="F65" s="4869">
        <v>492</v>
      </c>
      <c r="G65" s="4869">
        <v>450</v>
      </c>
      <c r="H65" s="4869">
        <v>443</v>
      </c>
      <c r="I65" s="4869">
        <v>454</v>
      </c>
      <c r="J65" s="4869">
        <v>390</v>
      </c>
      <c r="K65" s="4869">
        <v>453</v>
      </c>
      <c r="L65" s="4869">
        <v>261</v>
      </c>
      <c r="M65" s="4869">
        <v>432</v>
      </c>
      <c r="N65" s="4869">
        <v>364</v>
      </c>
      <c r="O65" s="4869">
        <v>307</v>
      </c>
      <c r="P65" s="4869">
        <v>5424</v>
      </c>
      <c r="Q65" s="4869">
        <v>452</v>
      </c>
      <c r="S65" s="5808">
        <v>426</v>
      </c>
      <c r="T65" s="4869">
        <v>301</v>
      </c>
      <c r="U65" s="4869">
        <v>364</v>
      </c>
      <c r="V65" s="4869">
        <v>370</v>
      </c>
      <c r="W65" s="4869">
        <v>403</v>
      </c>
      <c r="X65" s="4869">
        <v>358</v>
      </c>
      <c r="Y65" s="4869">
        <v>428</v>
      </c>
      <c r="Z65" s="4886">
        <v>350</v>
      </c>
      <c r="AA65" s="5809">
        <v>333</v>
      </c>
      <c r="AB65" s="5809">
        <v>399</v>
      </c>
      <c r="AC65" s="5809">
        <v>379</v>
      </c>
      <c r="AD65" s="5809">
        <v>319</v>
      </c>
      <c r="AE65" s="5810">
        <v>4430</v>
      </c>
      <c r="AF65" s="5811">
        <v>369.16666666666669</v>
      </c>
      <c r="AH65" s="5808">
        <v>284</v>
      </c>
      <c r="AI65" s="4869">
        <v>433</v>
      </c>
      <c r="AJ65" s="4869">
        <v>423</v>
      </c>
      <c r="AK65" s="4869">
        <v>532</v>
      </c>
      <c r="AL65" s="4869">
        <v>588</v>
      </c>
      <c r="AM65" s="4869">
        <v>446</v>
      </c>
      <c r="AN65" s="4869">
        <v>554</v>
      </c>
      <c r="AO65" s="4886">
        <v>438</v>
      </c>
      <c r="AP65" s="4886">
        <v>437</v>
      </c>
      <c r="AQ65" s="4886">
        <v>381</v>
      </c>
      <c r="AR65" s="4886">
        <v>406</v>
      </c>
      <c r="AS65" s="4886">
        <v>375</v>
      </c>
      <c r="AT65" s="5810">
        <f>SUM(AH65:AS65)</f>
        <v>5297</v>
      </c>
      <c r="AU65" s="5811">
        <f t="shared" si="32"/>
        <v>441.41666666666669</v>
      </c>
      <c r="AW65" s="5808">
        <v>470</v>
      </c>
      <c r="AX65" s="4869"/>
      <c r="AY65" s="4869"/>
      <c r="AZ65" s="4869"/>
      <c r="BA65" s="4869"/>
      <c r="BB65" s="4869"/>
      <c r="BC65" s="4869"/>
      <c r="BD65" s="4886"/>
      <c r="BE65" s="4886"/>
      <c r="BF65" s="4886"/>
      <c r="BG65" s="5807"/>
      <c r="BH65" s="5807"/>
      <c r="BI65" s="5810">
        <f>SUM(AW65:BH65)</f>
        <v>470</v>
      </c>
      <c r="BJ65" s="5811">
        <f t="shared" si="33"/>
        <v>470</v>
      </c>
      <c r="BL65" s="2860">
        <f t="shared" si="25"/>
        <v>-433</v>
      </c>
      <c r="BM65" s="5805">
        <f t="shared" si="6"/>
        <v>28.583333333333314</v>
      </c>
      <c r="BN65" s="2860">
        <f>IFERROR(
  SUM(
    _xlfn.XLOOKUP(DATE(YEAR($A$1),1,1),$2:$2,65:65):
    _xlfn.XLOOKUP($A$1,$2:$2,65:65)
  )
 -SUM(
    _xlfn.XLOOKUP(DATE(YEAR($A$1)-1,1,1),$2:$2,65:65):
    _xlfn.XLOOKUP(EDATE($A$1,-12),$2:$2,65:65)
  ),"")</f>
        <v>-247</v>
      </c>
      <c r="BO65" s="590">
        <f t="shared" si="26"/>
        <v>-470</v>
      </c>
    </row>
    <row r="66" spans="1:67" x14ac:dyDescent="0.55000000000000004">
      <c r="A66" s="7474"/>
      <c r="B66" s="5812"/>
      <c r="C66" s="5813" t="s">
        <v>137</v>
      </c>
      <c r="D66" s="5814">
        <v>4.4999999999999998E-2</v>
      </c>
      <c r="E66" s="5814">
        <v>0.03</v>
      </c>
      <c r="F66" s="5814">
        <v>2.9000000000000001E-2</v>
      </c>
      <c r="G66" s="5814">
        <v>2.9000000000000001E-2</v>
      </c>
      <c r="H66" s="5814">
        <v>2.5806827449609694E-2</v>
      </c>
      <c r="I66" s="5814">
        <v>2.8000000000000001E-2</v>
      </c>
      <c r="J66" s="5814">
        <v>2.736266049252789E-2</v>
      </c>
      <c r="K66" s="5814">
        <v>1.8650417884639139E-2</v>
      </c>
      <c r="L66" s="5814">
        <v>2.2644456012493493E-2</v>
      </c>
      <c r="M66" s="5814">
        <v>1.9840176357123176E-2</v>
      </c>
      <c r="N66" s="5814">
        <v>2.5603151157065487E-2</v>
      </c>
      <c r="O66" s="5814">
        <v>2.504078303425775E-2</v>
      </c>
      <c r="P66" s="5814">
        <v>2.6875034064502101E-2</v>
      </c>
      <c r="Q66" s="5814">
        <v>2.6875034064502066E-2</v>
      </c>
      <c r="S66" s="5815">
        <v>1.885122577219223E-2</v>
      </c>
      <c r="T66" s="5814">
        <v>2.1748554913294797E-2</v>
      </c>
      <c r="U66" s="5814">
        <v>2.4104363949407324E-2</v>
      </c>
      <c r="V66" s="5814">
        <v>2.425116340040637E-2</v>
      </c>
      <c r="W66" s="5814">
        <v>2.6267761699908746E-2</v>
      </c>
      <c r="X66" s="5814">
        <v>2.5777649769585253E-2</v>
      </c>
      <c r="Y66" s="5814">
        <v>1.8617599721605985E-2</v>
      </c>
      <c r="Z66" s="5814">
        <v>2.0739511732638067E-2</v>
      </c>
      <c r="AA66" s="5816">
        <v>1.6876140279748632E-2</v>
      </c>
      <c r="AB66" s="5816">
        <v>1.9532971067704508E-2</v>
      </c>
      <c r="AC66" s="5817">
        <v>2.4823159549384334E-2</v>
      </c>
      <c r="AD66" s="5817">
        <v>2.3298276365761029E-2</v>
      </c>
      <c r="AE66" s="5818">
        <v>2.2074031518469771E-2</v>
      </c>
      <c r="AF66" s="5819">
        <v>2.2074031518469771E-2</v>
      </c>
      <c r="AH66" s="5815">
        <v>2.3805532271584242E-2</v>
      </c>
      <c r="AI66" s="5814">
        <v>1.7623117623117624E-2</v>
      </c>
      <c r="AJ66" s="5814">
        <v>2.4671916010498687E-2</v>
      </c>
      <c r="AK66" s="5814">
        <v>2.3295529185094366E-2</v>
      </c>
      <c r="AL66" s="5814">
        <v>2.0140435005994176E-2</v>
      </c>
      <c r="AM66" s="5814">
        <v>2.4709141274238226E-2</v>
      </c>
      <c r="AN66" s="5814">
        <v>1.9001886468873262E-2</v>
      </c>
      <c r="AO66" s="5814">
        <v>2.4910424842177103E-2</v>
      </c>
      <c r="AP66" s="5814">
        <v>1.8894029140905357E-2</v>
      </c>
      <c r="AQ66" s="5814">
        <v>2.4819230017588432E-2</v>
      </c>
      <c r="AR66" s="5818">
        <v>2.9691385110428549E-2</v>
      </c>
      <c r="AS66" s="5818">
        <v>2.9258016696574862E-2</v>
      </c>
      <c r="AT66" s="5818">
        <f>AVERAGE(AH66:AS66)</f>
        <v>2.3401720303922905E-2</v>
      </c>
      <c r="AU66" s="5819">
        <f>AT66</f>
        <v>2.3401720303922905E-2</v>
      </c>
      <c r="AW66" s="5815">
        <v>2.3838506796510447E-2</v>
      </c>
      <c r="AX66" s="5814"/>
      <c r="AY66" s="5814"/>
      <c r="AZ66" s="5814"/>
      <c r="BA66" s="5814"/>
      <c r="BB66" s="5814"/>
      <c r="BC66" s="5814"/>
      <c r="BD66" s="5814"/>
      <c r="BE66" s="5814"/>
      <c r="BF66" s="5814"/>
      <c r="BG66" s="5818"/>
      <c r="BH66" s="5813"/>
      <c r="BI66" s="5818">
        <f>AVERAGE(AW66:BH66)</f>
        <v>2.3838506796510447E-2</v>
      </c>
      <c r="BJ66" s="5819">
        <f>BI66</f>
        <v>2.3838506796510447E-2</v>
      </c>
      <c r="BL66" s="5686">
        <f t="shared" si="25"/>
        <v>-1.7623117623117624E-2</v>
      </c>
      <c r="BM66" s="5686">
        <f t="shared" si="6"/>
        <v>4.3678649258754171E-4</v>
      </c>
      <c r="BN66" s="5686">
        <f t="shared" ref="BN66:BN76" si="34">BM66</f>
        <v>4.3678649258754171E-4</v>
      </c>
      <c r="BO66" s="2978">
        <f t="shared" si="26"/>
        <v>-2.3838506796510447E-2</v>
      </c>
    </row>
    <row r="67" spans="1:67" x14ac:dyDescent="0.55000000000000004">
      <c r="A67" s="7474"/>
      <c r="B67" s="1822"/>
      <c r="C67" s="559" t="s">
        <v>67</v>
      </c>
      <c r="D67" s="5820">
        <v>4.2823156225218081E-2</v>
      </c>
      <c r="E67" s="5820">
        <v>2.68817204301075E-2</v>
      </c>
      <c r="F67" s="5820">
        <v>2.8551034975017844E-2</v>
      </c>
      <c r="G67" s="5820">
        <v>2.7716994894237783E-2</v>
      </c>
      <c r="H67" s="5820">
        <v>2.729181245626312E-2</v>
      </c>
      <c r="I67" s="5820">
        <v>3.3858267716535433E-2</v>
      </c>
      <c r="J67" s="5820">
        <v>3.6912751677852351E-2</v>
      </c>
      <c r="K67" s="5820">
        <v>2.1989528795811519E-2</v>
      </c>
      <c r="L67" s="5820">
        <v>2.714440825190011E-2</v>
      </c>
      <c r="M67" s="5820">
        <v>2.2371364653243849E-2</v>
      </c>
      <c r="N67" s="5820">
        <v>2.5943396226415096E-2</v>
      </c>
      <c r="O67" s="5820">
        <v>2.6395173453996983E-2</v>
      </c>
      <c r="P67" s="5820">
        <v>2.8410093523910357E-2</v>
      </c>
      <c r="Q67" s="5820">
        <v>2.8410093523910357E-2</v>
      </c>
      <c r="S67" s="5821">
        <v>2.3622047244094488E-2</v>
      </c>
      <c r="T67" s="5820">
        <v>2.3858921161825725E-2</v>
      </c>
      <c r="U67" s="5820">
        <v>2.8037383177570093E-2</v>
      </c>
      <c r="V67" s="5820">
        <v>2.5244299674267102E-2</v>
      </c>
      <c r="W67" s="5820">
        <v>3.6649214659685861E-2</v>
      </c>
      <c r="X67" s="5820">
        <v>2.35626767200754E-2</v>
      </c>
      <c r="Y67" s="5820">
        <v>3.2443746729461015E-2</v>
      </c>
      <c r="Z67" s="5694">
        <v>2.2895125553914326E-2</v>
      </c>
      <c r="AA67" s="5822">
        <v>1.9002375296912115E-2</v>
      </c>
      <c r="AB67" s="5822">
        <v>1.0368663594470046E-2</v>
      </c>
      <c r="AC67" s="5823">
        <v>2.0108275328692964E-2</v>
      </c>
      <c r="AD67" s="5823">
        <v>1.7751479289940829E-2</v>
      </c>
      <c r="AE67" s="5824">
        <v>2.3628684035909162E-2</v>
      </c>
      <c r="AF67" s="5695">
        <v>2.3628684035909162E-2</v>
      </c>
      <c r="AH67" s="5821">
        <v>2.9182879377431907E-2</v>
      </c>
      <c r="AI67" s="5820">
        <v>1.962809917355372E-2</v>
      </c>
      <c r="AJ67" s="5820">
        <v>3.0102790014684289E-2</v>
      </c>
      <c r="AK67" s="5820">
        <v>2.1729079981507166E-2</v>
      </c>
      <c r="AL67" s="5820">
        <v>1.2486228424531766E-2</v>
      </c>
      <c r="AM67" s="5820">
        <v>2.6060606060606062E-2</v>
      </c>
      <c r="AN67" s="5820">
        <v>1.994415636218588E-2</v>
      </c>
      <c r="AO67" s="5694">
        <v>1.3783597518952447E-2</v>
      </c>
      <c r="AP67" s="5694">
        <v>1.1020603737422138E-2</v>
      </c>
      <c r="AQ67" s="5694">
        <v>2.3640661938534278E-2</v>
      </c>
      <c r="AR67" s="5695">
        <v>1.5845070422535211E-2</v>
      </c>
      <c r="AS67" s="5695">
        <v>1.9178082191780823E-2</v>
      </c>
      <c r="AT67" s="5824">
        <f>AVERAGE(AH67:AS67)</f>
        <v>2.0216821266977141E-2</v>
      </c>
      <c r="AU67" s="5695">
        <f t="shared" ref="AU67:AU76" si="35">AT67</f>
        <v>2.0216821266977141E-2</v>
      </c>
      <c r="AW67" s="5821">
        <v>2.0266357845975681E-2</v>
      </c>
      <c r="AX67" s="5820"/>
      <c r="AY67" s="5820"/>
      <c r="AZ67" s="5820"/>
      <c r="BA67" s="5820"/>
      <c r="BB67" s="5820"/>
      <c r="BC67" s="5820"/>
      <c r="BD67" s="5694"/>
      <c r="BE67" s="5694"/>
      <c r="BF67" s="5694"/>
      <c r="BG67" s="5695"/>
      <c r="BI67" s="5824">
        <f>AVERAGE(AW67:BH67)</f>
        <v>2.0266357845975681E-2</v>
      </c>
      <c r="BJ67" s="5695">
        <f t="shared" ref="BJ67:BJ76" si="36">BI67</f>
        <v>2.0266357845975681E-2</v>
      </c>
      <c r="BL67" s="5686">
        <f t="shared" si="25"/>
        <v>-1.962809917355372E-2</v>
      </c>
      <c r="BM67" s="5686">
        <f t="shared" ref="BM67:BM115" si="37">BJ67-AU67</f>
        <v>4.9536578998539416E-5</v>
      </c>
      <c r="BN67" s="5686">
        <f t="shared" si="34"/>
        <v>4.9536578998539416E-5</v>
      </c>
      <c r="BO67" s="2978">
        <f t="shared" si="26"/>
        <v>-2.0266357845975681E-2</v>
      </c>
    </row>
    <row r="68" spans="1:67" x14ac:dyDescent="0.55000000000000004">
      <c r="A68" s="7474"/>
      <c r="B68" s="1822"/>
      <c r="C68" s="559" t="s">
        <v>70</v>
      </c>
      <c r="D68" s="5820">
        <v>4.0205303678357569E-2</v>
      </c>
      <c r="E68" s="5820">
        <v>3.9312039312039311E-2</v>
      </c>
      <c r="F68" s="5820">
        <v>2.0270270270270271E-2</v>
      </c>
      <c r="G68" s="5820">
        <v>3.6846615252784917E-2</v>
      </c>
      <c r="H68" s="5820">
        <v>2.8222730739893211E-2</v>
      </c>
      <c r="I68" s="5820">
        <v>2.7977617905675458E-2</v>
      </c>
      <c r="J68" s="5820">
        <v>2.185792349726776E-2</v>
      </c>
      <c r="K68" s="5820">
        <v>2.0474137931034482E-2</v>
      </c>
      <c r="L68" s="5820">
        <v>1.3953488372093023E-2</v>
      </c>
      <c r="M68" s="5820">
        <v>2.4361259655377301E-2</v>
      </c>
      <c r="N68" s="5820">
        <v>1.5567765567765568E-2</v>
      </c>
      <c r="O68" s="5820">
        <v>3.4990791896869246E-2</v>
      </c>
      <c r="P68" s="5820">
        <v>2.7017922112922785E-2</v>
      </c>
      <c r="Q68" s="5820">
        <v>2.7017922112922785E-2</v>
      </c>
      <c r="S68" s="5821">
        <v>2.5316455696202531E-2</v>
      </c>
      <c r="T68" s="5820">
        <v>1.8633540372670808E-2</v>
      </c>
      <c r="U68" s="5820">
        <v>2.891566265060241E-2</v>
      </c>
      <c r="V68" s="5820">
        <v>3.2098765432098768E-2</v>
      </c>
      <c r="W68" s="5820">
        <v>2.8853454821564161E-2</v>
      </c>
      <c r="X68" s="5820">
        <v>2.0050125313283207E-2</v>
      </c>
      <c r="Y68" s="5820">
        <v>1.8419777023751818E-2</v>
      </c>
      <c r="Z68" s="5694">
        <v>1.171875E-2</v>
      </c>
      <c r="AA68" s="5822">
        <v>1.5020219526285385E-2</v>
      </c>
      <c r="AB68" s="5822">
        <v>2.2751895991332611E-2</v>
      </c>
      <c r="AC68" s="5823">
        <v>2.2962962962962963E-2</v>
      </c>
      <c r="AD68" s="5823">
        <v>1.5347334410339256E-2</v>
      </c>
      <c r="AE68" s="5824">
        <v>2.1674078683424493E-2</v>
      </c>
      <c r="AF68" s="5695">
        <v>2.1674078683424493E-2</v>
      </c>
      <c r="AH68" s="5821">
        <v>2.4505183788878417E-2</v>
      </c>
      <c r="AI68" s="5820">
        <v>1.5632183908045976E-2</v>
      </c>
      <c r="AJ68" s="5820">
        <v>1.7325017325017324E-2</v>
      </c>
      <c r="AK68" s="5820">
        <v>2.3601847101077475E-2</v>
      </c>
      <c r="AL68" s="5820">
        <v>1.5473887814313346E-2</v>
      </c>
      <c r="AM68" s="5820">
        <v>2.1625163826998691E-2</v>
      </c>
      <c r="AN68" s="5820">
        <v>1.7254901960784313E-2</v>
      </c>
      <c r="AO68" s="5694">
        <v>1.471529110684581E-2</v>
      </c>
      <c r="AP68" s="5694">
        <v>1.8734177215189874E-2</v>
      </c>
      <c r="AQ68" s="5694">
        <v>1.7790956263899184E-2</v>
      </c>
      <c r="AR68" s="5695">
        <v>1.380991064175467E-2</v>
      </c>
      <c r="AS68" s="5695">
        <v>1.4842300556586271E-2</v>
      </c>
      <c r="AT68" s="5824">
        <f t="shared" ref="AT68:AT76" si="38">AVERAGE(AH68:AS68)</f>
        <v>1.7942568459115946E-2</v>
      </c>
      <c r="AU68" s="5695">
        <f t="shared" si="35"/>
        <v>1.7942568459115946E-2</v>
      </c>
      <c r="AW68" s="5821">
        <v>1.1621150493898896E-2</v>
      </c>
      <c r="AX68" s="5820"/>
      <c r="AY68" s="5820"/>
      <c r="AZ68" s="5820"/>
      <c r="BA68" s="5820"/>
      <c r="BB68" s="5820"/>
      <c r="BC68" s="5820"/>
      <c r="BD68" s="5694"/>
      <c r="BE68" s="5694"/>
      <c r="BF68" s="5694"/>
      <c r="BG68" s="5695"/>
      <c r="BI68" s="5824">
        <f t="shared" ref="BI68:BI76" si="39">AVERAGE(AW68:BH68)</f>
        <v>1.1621150493898896E-2</v>
      </c>
      <c r="BJ68" s="5695">
        <f t="shared" si="36"/>
        <v>1.1621150493898896E-2</v>
      </c>
      <c r="BL68" s="5686">
        <f t="shared" si="25"/>
        <v>-1.5632183908045976E-2</v>
      </c>
      <c r="BM68" s="5686">
        <f t="shared" si="37"/>
        <v>-6.3214179652170497E-3</v>
      </c>
      <c r="BN68" s="5686">
        <f t="shared" si="34"/>
        <v>-6.3214179652170497E-3</v>
      </c>
      <c r="BO68" s="2978">
        <f t="shared" si="26"/>
        <v>-1.1621150493898896E-2</v>
      </c>
    </row>
    <row r="69" spans="1:67" x14ac:dyDescent="0.55000000000000004">
      <c r="A69" s="7474"/>
      <c r="B69" s="1822"/>
      <c r="C69" s="559" t="s">
        <v>68</v>
      </c>
      <c r="D69" s="5820">
        <v>6.3279857397504455E-2</v>
      </c>
      <c r="E69" s="5820">
        <v>2.5053686471009307E-2</v>
      </c>
      <c r="F69" s="5820">
        <v>3.6231884057971016E-2</v>
      </c>
      <c r="G69" s="5820">
        <v>2.8815368196371399E-2</v>
      </c>
      <c r="H69" s="5820">
        <v>4.3929712460063899E-2</v>
      </c>
      <c r="I69" s="5820">
        <v>4.1553748870822041E-2</v>
      </c>
      <c r="J69" s="5820">
        <v>3.2258064516129031E-2</v>
      </c>
      <c r="K69" s="5820">
        <v>2.6925485284909206E-2</v>
      </c>
      <c r="L69" s="5820">
        <v>2.0858895705521473E-2</v>
      </c>
      <c r="M69" s="5820">
        <v>2.3738872403560832E-2</v>
      </c>
      <c r="N69" s="5820">
        <v>2.4074074074074074E-2</v>
      </c>
      <c r="O69" s="5820">
        <v>2.5959367945823927E-2</v>
      </c>
      <c r="P69" s="5820">
        <v>3.2559800071403071E-2</v>
      </c>
      <c r="Q69" s="5820">
        <v>3.2559800071403071E-2</v>
      </c>
      <c r="S69" s="5821">
        <v>2.4193548387096774E-2</v>
      </c>
      <c r="T69" s="5820">
        <v>2.8955532574974147E-2</v>
      </c>
      <c r="U69" s="5820">
        <v>2.9245283018867925E-2</v>
      </c>
      <c r="V69" s="5820">
        <v>2.8258887876025523E-2</v>
      </c>
      <c r="W69" s="5820">
        <v>2.4975984630163303E-2</v>
      </c>
      <c r="X69" s="5820">
        <v>3.6525172754195458E-2</v>
      </c>
      <c r="Y69" s="5820">
        <v>2.3131672597864767E-2</v>
      </c>
      <c r="Z69" s="5694">
        <v>3.3281733746130034E-2</v>
      </c>
      <c r="AA69" s="5822">
        <v>1.968503937007874E-2</v>
      </c>
      <c r="AB69" s="5822">
        <v>2.4346793349168647E-2</v>
      </c>
      <c r="AC69" s="5823">
        <v>2.8475711892797319E-2</v>
      </c>
      <c r="AD69" s="5823">
        <v>2.8873917228103944E-2</v>
      </c>
      <c r="AE69" s="5824">
        <v>2.7495773118788883E-2</v>
      </c>
      <c r="AF69" s="5695">
        <v>2.7495773118788883E-2</v>
      </c>
      <c r="AH69" s="5821">
        <v>2.391304347826087E-2</v>
      </c>
      <c r="AI69" s="5820">
        <v>2.5928108426635239E-2</v>
      </c>
      <c r="AJ69" s="5820">
        <v>2.6984126984126985E-2</v>
      </c>
      <c r="AK69" s="5820">
        <v>2.4929444967074318E-2</v>
      </c>
      <c r="AL69" s="5820">
        <v>1.7843866171003718E-2</v>
      </c>
      <c r="AM69" s="5820">
        <v>2.3874488403819918E-2</v>
      </c>
      <c r="AN69" s="5820">
        <v>3.1195840554592721E-2</v>
      </c>
      <c r="AO69" s="5694">
        <v>3.5687732342007436E-2</v>
      </c>
      <c r="AP69" s="5694">
        <v>2.3454157782515993E-2</v>
      </c>
      <c r="AQ69" s="5694">
        <v>2.9055690072639227E-2</v>
      </c>
      <c r="AR69" s="5695">
        <v>3.5999999999999997E-2</v>
      </c>
      <c r="AS69" s="5695">
        <v>4.7486033519553071E-2</v>
      </c>
      <c r="AT69" s="5824">
        <f t="shared" si="38"/>
        <v>2.8862711058519123E-2</v>
      </c>
      <c r="AU69" s="5695">
        <f t="shared" si="35"/>
        <v>2.8862711058519123E-2</v>
      </c>
      <c r="AW69" s="5821">
        <v>4.5303131245836112E-2</v>
      </c>
      <c r="AX69" s="5820"/>
      <c r="AY69" s="5820"/>
      <c r="AZ69" s="5820"/>
      <c r="BA69" s="5820"/>
      <c r="BB69" s="5820"/>
      <c r="BC69" s="5820"/>
      <c r="BD69" s="5694"/>
      <c r="BE69" s="5694"/>
      <c r="BF69" s="5694"/>
      <c r="BG69" s="5695"/>
      <c r="BI69" s="5824">
        <f t="shared" si="39"/>
        <v>4.5303131245836112E-2</v>
      </c>
      <c r="BJ69" s="5695">
        <f t="shared" si="36"/>
        <v>4.5303131245836112E-2</v>
      </c>
      <c r="BL69" s="5686">
        <f t="shared" si="25"/>
        <v>-2.5928108426635239E-2</v>
      </c>
      <c r="BM69" s="5686">
        <f t="shared" si="37"/>
        <v>1.6440420187316989E-2</v>
      </c>
      <c r="BN69" s="5686">
        <f t="shared" si="34"/>
        <v>1.6440420187316989E-2</v>
      </c>
      <c r="BO69" s="2978">
        <f t="shared" si="26"/>
        <v>-4.5303131245836112E-2</v>
      </c>
    </row>
    <row r="70" spans="1:67" x14ac:dyDescent="0.55000000000000004">
      <c r="A70" s="7474"/>
      <c r="B70" s="1822"/>
      <c r="C70" s="559" t="s">
        <v>143</v>
      </c>
      <c r="D70" s="5820">
        <v>6.4375000000000002E-2</v>
      </c>
      <c r="E70" s="5820">
        <v>2.5142314990512334E-2</v>
      </c>
      <c r="F70" s="5820">
        <v>2.5949367088607594E-2</v>
      </c>
      <c r="G70" s="5820">
        <v>1.8241042345276872E-2</v>
      </c>
      <c r="H70" s="5820">
        <v>1.2422360248447204E-2</v>
      </c>
      <c r="I70" s="5820">
        <v>1.5121630506245891E-2</v>
      </c>
      <c r="J70" s="5820">
        <v>1.87125748502994E-2</v>
      </c>
      <c r="K70" s="5820">
        <v>1.2444444444444444E-2</v>
      </c>
      <c r="L70" s="5820">
        <v>2.5519848771266541E-2</v>
      </c>
      <c r="M70" s="5820">
        <v>1.5384615384615385E-2</v>
      </c>
      <c r="N70" s="5820">
        <v>2.8257456828885402E-2</v>
      </c>
      <c r="O70" s="5820">
        <v>2.147766323024055E-2</v>
      </c>
      <c r="P70" s="5820">
        <v>2.3069679849340868E-2</v>
      </c>
      <c r="Q70" s="5820">
        <v>2.3069679849340868E-2</v>
      </c>
      <c r="S70" s="5821">
        <v>1.3691931540342298E-2</v>
      </c>
      <c r="T70" s="5820">
        <v>1.6693163751987282E-2</v>
      </c>
      <c r="U70" s="5820">
        <v>2.1536252692031587E-2</v>
      </c>
      <c r="V70" s="5820">
        <v>2.710413694721826E-2</v>
      </c>
      <c r="W70" s="5820">
        <v>3.5040431266846361E-2</v>
      </c>
      <c r="X70" s="5820">
        <v>2.4213075060532687E-2</v>
      </c>
      <c r="Y70" s="5820">
        <v>1.709819247679531E-2</v>
      </c>
      <c r="Z70" s="5639">
        <v>2.2020725388601035E-2</v>
      </c>
      <c r="AA70" s="5822">
        <v>1.891891891891892E-2</v>
      </c>
      <c r="AB70" s="5822">
        <v>1.8085106382978722E-2</v>
      </c>
      <c r="AC70" s="5823">
        <v>1.963439404197698E-2</v>
      </c>
      <c r="AD70" s="5823">
        <v>2.4590163934426229E-2</v>
      </c>
      <c r="AE70" s="5824">
        <v>2.1552207700221305E-2</v>
      </c>
      <c r="AF70" s="5695">
        <v>2.1552207700221305E-2</v>
      </c>
      <c r="AH70" s="5821">
        <v>2.1097046413502109E-2</v>
      </c>
      <c r="AI70" s="5820">
        <v>1.2925463162429988E-2</v>
      </c>
      <c r="AJ70" s="5820">
        <v>2.6747720364741642E-2</v>
      </c>
      <c r="AK70" s="5820">
        <v>2.7629233511586453E-2</v>
      </c>
      <c r="AL70" s="5820">
        <v>1.4174822814714817E-2</v>
      </c>
      <c r="AM70" s="5820">
        <v>2.3809523809523808E-2</v>
      </c>
      <c r="AN70" s="5820">
        <v>2.0096762188314105E-2</v>
      </c>
      <c r="AO70" s="5639">
        <v>3.5005834305717617E-2</v>
      </c>
      <c r="AP70" s="5639">
        <v>1.5996343692870202E-2</v>
      </c>
      <c r="AQ70" s="5639">
        <v>2.615278733654508E-2</v>
      </c>
      <c r="AR70" s="5695">
        <v>2.3455824863174355E-2</v>
      </c>
      <c r="AS70" s="5695">
        <v>3.3437013996889579E-2</v>
      </c>
      <c r="AT70" s="5824">
        <f t="shared" si="38"/>
        <v>2.3377364705000816E-2</v>
      </c>
      <c r="AU70" s="5695">
        <f t="shared" si="35"/>
        <v>2.3377364705000816E-2</v>
      </c>
      <c r="AW70" s="5821">
        <v>3.1118143459915613E-2</v>
      </c>
      <c r="AX70" s="5820"/>
      <c r="AY70" s="5820"/>
      <c r="AZ70" s="5820"/>
      <c r="BA70" s="5820"/>
      <c r="BB70" s="5820"/>
      <c r="BC70" s="5820"/>
      <c r="BD70" s="5639"/>
      <c r="BE70" s="5639"/>
      <c r="BF70" s="5639"/>
      <c r="BG70" s="5695"/>
      <c r="BI70" s="5824">
        <f>AVERAGE(AW70:BH70)</f>
        <v>3.1118143459915613E-2</v>
      </c>
      <c r="BJ70" s="5695">
        <f t="shared" si="36"/>
        <v>3.1118143459915613E-2</v>
      </c>
      <c r="BL70" s="5686">
        <f t="shared" si="25"/>
        <v>-1.2925463162429988E-2</v>
      </c>
      <c r="BM70" s="5686">
        <f t="shared" si="37"/>
        <v>7.7407787549147976E-3</v>
      </c>
      <c r="BN70" s="5686">
        <f t="shared" si="34"/>
        <v>7.7407787549147976E-3</v>
      </c>
      <c r="BO70" s="2978">
        <f t="shared" si="26"/>
        <v>-3.1118143459915613E-2</v>
      </c>
    </row>
    <row r="71" spans="1:67" x14ac:dyDescent="0.55000000000000004">
      <c r="A71" s="7474"/>
      <c r="B71" s="1822"/>
      <c r="C71" s="559" t="s">
        <v>69</v>
      </c>
      <c r="D71" s="5820">
        <v>6.5512400561534859E-2</v>
      </c>
      <c r="E71" s="5820">
        <v>4.0744643484369514E-2</v>
      </c>
      <c r="F71" s="5820">
        <v>4.0326234707748071E-2</v>
      </c>
      <c r="G71" s="5820">
        <v>4.2622950819672129E-2</v>
      </c>
      <c r="H71" s="5820">
        <v>3.7656903765690378E-2</v>
      </c>
      <c r="I71" s="5820">
        <v>3.9794007490636704E-2</v>
      </c>
      <c r="J71" s="5820">
        <v>3.7392622536634661E-2</v>
      </c>
      <c r="K71" s="5820">
        <v>2.0040760869565216E-2</v>
      </c>
      <c r="L71" s="5820">
        <v>3.4689793195463642E-2</v>
      </c>
      <c r="M71" s="5820">
        <v>2.046479361775928E-2</v>
      </c>
      <c r="N71" s="5820">
        <v>3.3248081841432228E-2</v>
      </c>
      <c r="O71" s="5820">
        <v>4.0184453227931488E-2</v>
      </c>
      <c r="P71" s="5820">
        <v>3.6830737751506193E-2</v>
      </c>
      <c r="Q71" s="5820">
        <v>3.6830737751506193E-2</v>
      </c>
      <c r="S71" s="5821">
        <v>2.003577817531306E-2</v>
      </c>
      <c r="T71" s="5820">
        <v>3.3854166666666664E-2</v>
      </c>
      <c r="U71" s="5820">
        <v>2.8660760812923399E-2</v>
      </c>
      <c r="V71" s="5820">
        <v>3.0241935483870969E-2</v>
      </c>
      <c r="W71" s="5820">
        <v>3.4533793783917119E-2</v>
      </c>
      <c r="X71" s="5820">
        <v>4.707170224411604E-2</v>
      </c>
      <c r="Y71" s="5820">
        <v>2.04560697518444E-2</v>
      </c>
      <c r="Z71" s="5639">
        <v>3.8395168248490076E-2</v>
      </c>
      <c r="AA71" s="5822">
        <v>2.0534676481983729E-2</v>
      </c>
      <c r="AB71" s="5822">
        <v>2.3402025847013622E-2</v>
      </c>
      <c r="AC71" s="5823">
        <v>3.9374053508329128E-2</v>
      </c>
      <c r="AD71" s="5823">
        <v>3.1019978969505785E-2</v>
      </c>
      <c r="AE71" s="5824">
        <v>3.0631675831164495E-2</v>
      </c>
      <c r="AF71" s="5695">
        <v>3.0631675831164495E-2</v>
      </c>
      <c r="AH71" s="5821">
        <v>3.2886723507917173E-2</v>
      </c>
      <c r="AI71" s="5820">
        <v>3.0816640986132512E-2</v>
      </c>
      <c r="AJ71" s="5820">
        <v>3.214285714285714E-2</v>
      </c>
      <c r="AK71" s="5820">
        <v>3.572643756379721E-2</v>
      </c>
      <c r="AL71" s="5820">
        <v>3.0333928116237575E-2</v>
      </c>
      <c r="AM71" s="5820">
        <v>3.6794766966475878E-2</v>
      </c>
      <c r="AN71" s="5820">
        <v>2.3107569721115537E-2</v>
      </c>
      <c r="AO71" s="5639">
        <v>4.1684210526315789E-2</v>
      </c>
      <c r="AP71" s="5639">
        <v>2.9789902790843526E-2</v>
      </c>
      <c r="AQ71" s="5639">
        <v>4.1191066997518608E-2</v>
      </c>
      <c r="AR71" s="5695">
        <v>4.5404208194905871E-2</v>
      </c>
      <c r="AS71" s="5695">
        <v>4.0524433849821219E-2</v>
      </c>
      <c r="AT71" s="5824">
        <f t="shared" si="38"/>
        <v>3.5033562196994841E-2</v>
      </c>
      <c r="AU71" s="5695">
        <f t="shared" si="35"/>
        <v>3.5033562196994841E-2</v>
      </c>
      <c r="AW71" s="5821">
        <v>4.4685990338164248E-2</v>
      </c>
      <c r="AX71" s="5820"/>
      <c r="AY71" s="5820"/>
      <c r="AZ71" s="5820"/>
      <c r="BA71" s="5820"/>
      <c r="BB71" s="5820"/>
      <c r="BC71" s="5820"/>
      <c r="BD71" s="5639"/>
      <c r="BE71" s="5639"/>
      <c r="BF71" s="5639"/>
      <c r="BG71" s="5695"/>
      <c r="BI71" s="5824">
        <f t="shared" si="39"/>
        <v>4.4685990338164248E-2</v>
      </c>
      <c r="BJ71" s="5695">
        <f t="shared" si="36"/>
        <v>4.4685990338164248E-2</v>
      </c>
      <c r="BL71" s="5686">
        <f t="shared" si="25"/>
        <v>-3.0816640986132512E-2</v>
      </c>
      <c r="BM71" s="5686">
        <f t="shared" si="37"/>
        <v>9.6524281411694071E-3</v>
      </c>
      <c r="BN71" s="5686">
        <f t="shared" si="34"/>
        <v>9.6524281411694071E-3</v>
      </c>
      <c r="BO71" s="2978">
        <f t="shared" si="26"/>
        <v>-4.4685990338164248E-2</v>
      </c>
    </row>
    <row r="72" spans="1:67" x14ac:dyDescent="0.55000000000000004">
      <c r="A72" s="7474"/>
      <c r="B72" s="1822"/>
      <c r="C72" s="559" t="s">
        <v>71</v>
      </c>
      <c r="D72" s="5820">
        <v>2.4566473988439308E-2</v>
      </c>
      <c r="E72" s="5820">
        <v>2.326934264107039E-2</v>
      </c>
      <c r="F72" s="5820">
        <v>2.2095959595959596E-2</v>
      </c>
      <c r="G72" s="5820">
        <v>2.2017045454545456E-2</v>
      </c>
      <c r="H72" s="5820">
        <v>1.6483516483516484E-2</v>
      </c>
      <c r="I72" s="5820">
        <v>1.9914651493598862E-2</v>
      </c>
      <c r="J72" s="5820">
        <v>3.7574722459436376E-2</v>
      </c>
      <c r="K72" s="5820">
        <v>1.5006821282401092E-2</v>
      </c>
      <c r="L72" s="5820">
        <v>2.48015873015873E-2</v>
      </c>
      <c r="M72" s="5820">
        <v>1.5633423180592992E-2</v>
      </c>
      <c r="N72" s="5820">
        <v>2.809917355371901E-2</v>
      </c>
      <c r="O72" s="5820">
        <v>2.0353982300884955E-2</v>
      </c>
      <c r="P72" s="5820">
        <v>2.167712492869367E-2</v>
      </c>
      <c r="Q72" s="5820">
        <v>2.167712492869367E-2</v>
      </c>
      <c r="S72" s="5821">
        <v>1.2351778656126482E-2</v>
      </c>
      <c r="T72" s="5820">
        <v>2.379182156133829E-2</v>
      </c>
      <c r="U72" s="5820">
        <v>2.1961932650073207E-2</v>
      </c>
      <c r="V72" s="5820">
        <v>1.9940915805022157E-2</v>
      </c>
      <c r="W72" s="5820">
        <v>3.403330919623461E-2</v>
      </c>
      <c r="X72" s="5820">
        <v>2.097902097902098E-2</v>
      </c>
      <c r="Y72" s="5820">
        <v>1.7970401691331923E-2</v>
      </c>
      <c r="Z72" s="5639">
        <v>1.8995929443690638E-2</v>
      </c>
      <c r="AA72" s="5822">
        <v>1.7262638717632551E-2</v>
      </c>
      <c r="AB72" s="5822">
        <v>2.19017094017094E-2</v>
      </c>
      <c r="AC72" s="5823">
        <v>3.5384615384615382E-2</v>
      </c>
      <c r="AD72" s="5823">
        <v>2.5664527956003668E-2</v>
      </c>
      <c r="AE72" s="5824">
        <v>2.2519883453566609E-2</v>
      </c>
      <c r="AF72" s="5695">
        <v>2.2519883453566609E-2</v>
      </c>
      <c r="AH72" s="5821">
        <v>2.2914757103574702E-2</v>
      </c>
      <c r="AI72" s="5820">
        <v>1.405152224824356E-2</v>
      </c>
      <c r="AJ72" s="5820">
        <v>3.2235939643347047E-2</v>
      </c>
      <c r="AK72" s="5820">
        <v>2.692713833157339E-2</v>
      </c>
      <c r="AL72" s="5820">
        <v>2.5758205234732032E-2</v>
      </c>
      <c r="AM72" s="5820">
        <v>2.4346793349168647E-2</v>
      </c>
      <c r="AN72" s="5820">
        <v>2.2123893805309734E-2</v>
      </c>
      <c r="AO72" s="5639">
        <v>3.206806282722513E-2</v>
      </c>
      <c r="AP72" s="5639">
        <v>2.0788912579957356E-2</v>
      </c>
      <c r="AQ72" s="5639">
        <v>2.9295328582739508E-2</v>
      </c>
      <c r="AR72" s="5695">
        <v>3.8493723849372385E-2</v>
      </c>
      <c r="AS72" s="5695">
        <v>4.105839416058394E-2</v>
      </c>
      <c r="AT72" s="5824">
        <f t="shared" si="38"/>
        <v>2.7505222642985619E-2</v>
      </c>
      <c r="AU72" s="5695">
        <f t="shared" si="35"/>
        <v>2.7505222642985619E-2</v>
      </c>
      <c r="AW72" s="5821">
        <v>1.9503546099290781E-2</v>
      </c>
      <c r="AX72" s="5820"/>
      <c r="AY72" s="5820"/>
      <c r="AZ72" s="5820"/>
      <c r="BA72" s="5820"/>
      <c r="BB72" s="5820"/>
      <c r="BC72" s="5820"/>
      <c r="BD72" s="5639"/>
      <c r="BE72" s="5639"/>
      <c r="BF72" s="5639"/>
      <c r="BG72" s="5695"/>
      <c r="BI72" s="5824">
        <f t="shared" si="39"/>
        <v>1.9503546099290781E-2</v>
      </c>
      <c r="BJ72" s="5695">
        <f t="shared" si="36"/>
        <v>1.9503546099290781E-2</v>
      </c>
      <c r="BL72" s="5686">
        <f t="shared" si="25"/>
        <v>-1.405152224824356E-2</v>
      </c>
      <c r="BM72" s="5686">
        <f t="shared" si="37"/>
        <v>-8.0016765436948384E-3</v>
      </c>
      <c r="BN72" s="5686">
        <f t="shared" si="34"/>
        <v>-8.0016765436948384E-3</v>
      </c>
      <c r="BO72" s="2978">
        <f t="shared" si="26"/>
        <v>-1.9503546099290781E-2</v>
      </c>
    </row>
    <row r="73" spans="1:67" x14ac:dyDescent="0.55000000000000004">
      <c r="A73" s="7474"/>
      <c r="B73" s="1822"/>
      <c r="C73" s="559" t="s">
        <v>72</v>
      </c>
      <c r="D73" s="5820">
        <v>3.6775106082036775E-2</v>
      </c>
      <c r="E73" s="5820">
        <v>2.4335574767851424E-2</v>
      </c>
      <c r="F73" s="5820">
        <v>2.5454545454545455E-2</v>
      </c>
      <c r="G73" s="5820">
        <v>2.7255639097744359E-2</v>
      </c>
      <c r="H73" s="5820">
        <v>1.5534842432312472E-2</v>
      </c>
      <c r="I73" s="5820">
        <v>1.3365155131264916E-2</v>
      </c>
      <c r="J73" s="5820">
        <v>1.5426997245179064E-2</v>
      </c>
      <c r="K73" s="5820">
        <v>1.3603553581343698E-2</v>
      </c>
      <c r="L73" s="5820">
        <v>1.9333333333333334E-2</v>
      </c>
      <c r="M73" s="5820">
        <v>1.5239477503628448E-2</v>
      </c>
      <c r="N73" s="5820">
        <v>1.9241341396371632E-2</v>
      </c>
      <c r="O73" s="5820">
        <v>1.9206939281288724E-2</v>
      </c>
      <c r="P73" s="5820">
        <v>2.0165766299119366E-2</v>
      </c>
      <c r="Q73" s="5820">
        <v>2.0165766299119366E-2</v>
      </c>
      <c r="S73" s="5821">
        <v>1.5146733985484381E-2</v>
      </c>
      <c r="T73" s="5820">
        <v>1.3492475350285417E-2</v>
      </c>
      <c r="U73" s="5820">
        <v>1.6417910447761194E-2</v>
      </c>
      <c r="V73" s="5820">
        <v>1.8831482375663931E-2</v>
      </c>
      <c r="W73" s="5820">
        <v>1.0128913443830571E-2</v>
      </c>
      <c r="X73" s="5820">
        <v>1.3835085777531821E-2</v>
      </c>
      <c r="Y73" s="5820">
        <v>9.7300690521029496E-3</v>
      </c>
      <c r="Z73" s="5639">
        <v>1.1075219197046609E-2</v>
      </c>
      <c r="AA73" s="5822">
        <v>1.0040160642570281E-2</v>
      </c>
      <c r="AB73" s="5822">
        <v>1.2298232129131437E-2</v>
      </c>
      <c r="AC73" s="5823">
        <v>1.276595744680851E-2</v>
      </c>
      <c r="AD73" s="5823">
        <v>1.5789473684210527E-2</v>
      </c>
      <c r="AE73" s="5824">
        <v>1.3295976127702301E-2</v>
      </c>
      <c r="AF73" s="5695">
        <v>1.3295976127702301E-2</v>
      </c>
      <c r="AH73" s="5821">
        <v>1.9425019425019424E-2</v>
      </c>
      <c r="AI73" s="5820">
        <v>1.1141222523336344E-2</v>
      </c>
      <c r="AJ73" s="5820">
        <v>1.4222222222222223E-2</v>
      </c>
      <c r="AK73" s="5820">
        <v>1.1785714285714287E-2</v>
      </c>
      <c r="AL73" s="5820">
        <v>1.3888888888888888E-2</v>
      </c>
      <c r="AM73" s="5820">
        <v>1.6799292661361626E-2</v>
      </c>
      <c r="AN73" s="5820">
        <v>1.0844892812105928E-2</v>
      </c>
      <c r="AO73" s="5639">
        <v>1.1286681715575621E-2</v>
      </c>
      <c r="AP73" s="5639">
        <v>1.4503006720905553E-2</v>
      </c>
      <c r="AQ73" s="5639">
        <v>1.1437095972153158E-2</v>
      </c>
      <c r="AR73" s="5695">
        <v>2.3923444976076555E-2</v>
      </c>
      <c r="AS73" s="5695">
        <v>1.1409395973154362E-2</v>
      </c>
      <c r="AT73" s="5824">
        <f t="shared" si="38"/>
        <v>1.422223984804283E-2</v>
      </c>
      <c r="AU73" s="5695">
        <f t="shared" si="35"/>
        <v>1.422223984804283E-2</v>
      </c>
      <c r="AW73" s="5821">
        <v>9.6882898062342036E-3</v>
      </c>
      <c r="AX73" s="5820"/>
      <c r="AY73" s="5820"/>
      <c r="AZ73" s="5820"/>
      <c r="BA73" s="5820"/>
      <c r="BB73" s="5820"/>
      <c r="BC73" s="5820"/>
      <c r="BD73" s="5639"/>
      <c r="BE73" s="5639"/>
      <c r="BF73" s="5639"/>
      <c r="BG73" s="5695"/>
      <c r="BI73" s="5824">
        <f t="shared" si="39"/>
        <v>9.6882898062342036E-3</v>
      </c>
      <c r="BJ73" s="5695">
        <f t="shared" si="36"/>
        <v>9.6882898062342036E-3</v>
      </c>
      <c r="BL73" s="5686">
        <f t="shared" si="25"/>
        <v>-1.1141222523336344E-2</v>
      </c>
      <c r="BM73" s="5686">
        <f t="shared" si="37"/>
        <v>-4.5339500418086261E-3</v>
      </c>
      <c r="BN73" s="5686">
        <f t="shared" si="34"/>
        <v>-4.5339500418086261E-3</v>
      </c>
      <c r="BO73" s="2978">
        <f t="shared" si="26"/>
        <v>-9.6882898062342036E-3</v>
      </c>
    </row>
    <row r="74" spans="1:67" x14ac:dyDescent="0.55000000000000004">
      <c r="A74" s="7474"/>
      <c r="B74" s="1822"/>
      <c r="C74" s="559" t="s">
        <v>73</v>
      </c>
      <c r="D74" s="5820">
        <v>4.2502387774594079E-2</v>
      </c>
      <c r="E74" s="5820">
        <v>3.025830258302583E-2</v>
      </c>
      <c r="F74" s="5820">
        <v>3.0753968253968252E-2</v>
      </c>
      <c r="G74" s="5820">
        <v>2.5160599571734475E-2</v>
      </c>
      <c r="H74" s="5820">
        <v>2.8349336991312299E-2</v>
      </c>
      <c r="I74" s="5820">
        <v>3.7864077669902914E-2</v>
      </c>
      <c r="J74" s="5820">
        <v>2.9073288915808602E-2</v>
      </c>
      <c r="K74" s="5820">
        <v>2.726970402394413E-2</v>
      </c>
      <c r="L74" s="5820">
        <v>2.3411371237458192E-2</v>
      </c>
      <c r="M74" s="5820">
        <v>2.3367952522255191E-2</v>
      </c>
      <c r="N74" s="5820">
        <v>3.0921459492888066E-2</v>
      </c>
      <c r="O74" s="5820">
        <v>1.4765100671140939E-2</v>
      </c>
      <c r="P74" s="5820">
        <v>2.8926117873930336E-2</v>
      </c>
      <c r="Q74" s="5820">
        <v>2.8926117873930336E-2</v>
      </c>
      <c r="S74" s="5821">
        <v>2.1587512454334108E-2</v>
      </c>
      <c r="T74" s="5820">
        <v>2.0606060606060607E-2</v>
      </c>
      <c r="U74" s="5820">
        <v>2.5491237387148168E-2</v>
      </c>
      <c r="V74" s="5820">
        <v>2.0585048754062838E-2</v>
      </c>
      <c r="W74" s="5820">
        <v>2.3743787962451683E-2</v>
      </c>
      <c r="X74" s="5820">
        <v>2.5813692480359147E-2</v>
      </c>
      <c r="Y74" s="5820">
        <v>1.8008085262771041E-2</v>
      </c>
      <c r="Z74" s="5639">
        <v>1.8238665971860343E-2</v>
      </c>
      <c r="AA74" s="5822">
        <v>1.8494623655913978E-2</v>
      </c>
      <c r="AB74" s="5822">
        <v>2.502360717658168E-2</v>
      </c>
      <c r="AC74" s="5823">
        <v>2.6271660145332588E-2</v>
      </c>
      <c r="AD74" s="5823">
        <v>2.8747433264887063E-2</v>
      </c>
      <c r="AE74" s="5824">
        <v>2.2717617926813597E-2</v>
      </c>
      <c r="AF74" s="5695">
        <v>2.2717617926813597E-2</v>
      </c>
      <c r="AH74" s="5821">
        <v>3.3948339483394832E-2</v>
      </c>
      <c r="AI74" s="5820">
        <v>2.0161290322580645E-2</v>
      </c>
      <c r="AJ74" s="5820">
        <v>3.4778465936160075E-2</v>
      </c>
      <c r="AK74" s="5820">
        <v>2.9045643153526972E-2</v>
      </c>
      <c r="AL74" s="5820">
        <v>3.456E-2</v>
      </c>
      <c r="AM74" s="5820">
        <v>3.5474592521572389E-2</v>
      </c>
      <c r="AN74" s="5820">
        <v>2.052349791790601E-2</v>
      </c>
      <c r="AO74" s="5639">
        <v>3.3560311284046691E-2</v>
      </c>
      <c r="AP74" s="5639">
        <v>1.9556224144415192E-2</v>
      </c>
      <c r="AQ74" s="5639">
        <v>2.7896995708154508E-2</v>
      </c>
      <c r="AR74" s="5695">
        <v>4.2553191489361701E-2</v>
      </c>
      <c r="AS74" s="5695">
        <v>4.0429564118761842E-2</v>
      </c>
      <c r="AT74" s="5824">
        <f t="shared" si="38"/>
        <v>3.1040676339990077E-2</v>
      </c>
      <c r="AU74" s="5695">
        <f t="shared" si="35"/>
        <v>3.1040676339990077E-2</v>
      </c>
      <c r="AW74" s="5821">
        <v>2.3089840470193114E-2</v>
      </c>
      <c r="AX74" s="5820"/>
      <c r="AY74" s="5820"/>
      <c r="AZ74" s="5820"/>
      <c r="BA74" s="5820"/>
      <c r="BB74" s="5820"/>
      <c r="BC74" s="5820"/>
      <c r="BD74" s="5639"/>
      <c r="BE74" s="5639"/>
      <c r="BF74" s="5639"/>
      <c r="BG74" s="5695"/>
      <c r="BI74" s="5824">
        <f t="shared" si="39"/>
        <v>2.3089840470193114E-2</v>
      </c>
      <c r="BJ74" s="5695">
        <f t="shared" si="36"/>
        <v>2.3089840470193114E-2</v>
      </c>
      <c r="BL74" s="5686">
        <f t="shared" si="25"/>
        <v>-2.0161290322580645E-2</v>
      </c>
      <c r="BM74" s="5686">
        <f t="shared" si="37"/>
        <v>-7.9508358697969635E-3</v>
      </c>
      <c r="BN74" s="5686">
        <f t="shared" si="34"/>
        <v>-7.9508358697969635E-3</v>
      </c>
      <c r="BO74" s="2978">
        <f t="shared" si="26"/>
        <v>-2.3089840470193114E-2</v>
      </c>
    </row>
    <row r="75" spans="1:67" x14ac:dyDescent="0.55000000000000004">
      <c r="A75" s="7474"/>
      <c r="B75" s="1822"/>
      <c r="C75" s="559" t="s">
        <v>74</v>
      </c>
      <c r="D75" s="5820">
        <v>4.1322314049586778E-2</v>
      </c>
      <c r="E75" s="5820">
        <v>3.2967032967032968E-2</v>
      </c>
      <c r="F75" s="5820">
        <v>4.1346721795629059E-2</v>
      </c>
      <c r="G75" s="5820">
        <v>3.7082818294190356E-2</v>
      </c>
      <c r="H75" s="5820">
        <v>3.0839520274129069E-2</v>
      </c>
      <c r="I75" s="5820">
        <v>3.5669586983729663E-2</v>
      </c>
      <c r="J75" s="5820">
        <v>2.7278775781769793E-2</v>
      </c>
      <c r="K75" s="5820">
        <v>1.7905799922148698E-2</v>
      </c>
      <c r="L75" s="5820">
        <v>1.6820857863751051E-2</v>
      </c>
      <c r="M75" s="5820">
        <v>2.5134649910233394E-2</v>
      </c>
      <c r="N75" s="5820">
        <v>2.7700831024930747E-2</v>
      </c>
      <c r="O75" s="5820">
        <v>2.4031007751937984E-2</v>
      </c>
      <c r="P75" s="5820">
        <v>2.9665718006849646E-2</v>
      </c>
      <c r="Q75" s="5820">
        <v>2.9665718006849646E-2</v>
      </c>
      <c r="S75" s="5821">
        <v>2.3989898989898988E-2</v>
      </c>
      <c r="T75" s="5820">
        <v>2.1674140508221227E-2</v>
      </c>
      <c r="U75" s="5820">
        <v>2.8439153439153438E-2</v>
      </c>
      <c r="V75" s="5820">
        <v>3.1592520954223081E-2</v>
      </c>
      <c r="W75" s="5820">
        <v>1.9151846785225718E-2</v>
      </c>
      <c r="X75" s="5820">
        <v>2.4426350851221319E-2</v>
      </c>
      <c r="Y75" s="5820">
        <v>1.8867924528301886E-2</v>
      </c>
      <c r="Z75" s="5639">
        <v>8.8663711209626354E-3</v>
      </c>
      <c r="AA75" s="5822">
        <v>1.8418201516793065E-2</v>
      </c>
      <c r="AB75" s="5822">
        <v>1.8286311389759665E-2</v>
      </c>
      <c r="AC75" s="5823">
        <v>2.2132796780684104E-2</v>
      </c>
      <c r="AD75" s="5823">
        <v>1.9299499642601858E-2</v>
      </c>
      <c r="AE75" s="5824">
        <v>2.1262084708920586E-2</v>
      </c>
      <c r="AF75" s="5695">
        <v>2.1262084708920586E-2</v>
      </c>
      <c r="AH75" s="5821">
        <v>1.3157894736842105E-2</v>
      </c>
      <c r="AI75" s="5820">
        <v>1.4036580178647383E-2</v>
      </c>
      <c r="AJ75" s="5820">
        <v>1.8474374255065554E-2</v>
      </c>
      <c r="AK75" s="5820">
        <v>1.2844036697247707E-2</v>
      </c>
      <c r="AL75" s="5820">
        <v>1.5286171347316033E-2</v>
      </c>
      <c r="AM75" s="5820">
        <v>1.5644555694618274E-2</v>
      </c>
      <c r="AN75" s="5820">
        <v>1.3036020583190394E-2</v>
      </c>
      <c r="AO75" s="5639">
        <v>1.3805522208883553E-2</v>
      </c>
      <c r="AP75" s="5639">
        <v>1.6358157554885924E-2</v>
      </c>
      <c r="AQ75" s="5639">
        <v>2.0408163265306121E-2</v>
      </c>
      <c r="AR75" s="5695">
        <v>2.0061728395061727E-2</v>
      </c>
      <c r="AS75" s="5695">
        <v>2.5376685170499604E-2</v>
      </c>
      <c r="AT75" s="5824">
        <f t="shared" si="38"/>
        <v>1.6540824173963697E-2</v>
      </c>
      <c r="AU75" s="5695">
        <f t="shared" si="35"/>
        <v>1.6540824173963697E-2</v>
      </c>
      <c r="AW75" s="5821">
        <v>1.5923566878980892E-2</v>
      </c>
      <c r="AX75" s="5820"/>
      <c r="AY75" s="5820"/>
      <c r="AZ75" s="5820"/>
      <c r="BA75" s="5820"/>
      <c r="BB75" s="5820"/>
      <c r="BC75" s="5820"/>
      <c r="BD75" s="5639"/>
      <c r="BE75" s="5639"/>
      <c r="BF75" s="5639"/>
      <c r="BG75" s="5695"/>
      <c r="BI75" s="5824">
        <f t="shared" si="39"/>
        <v>1.5923566878980892E-2</v>
      </c>
      <c r="BJ75" s="5695">
        <f t="shared" si="36"/>
        <v>1.5923566878980892E-2</v>
      </c>
      <c r="BL75" s="5686">
        <f t="shared" si="25"/>
        <v>-1.4036580178647383E-2</v>
      </c>
      <c r="BM75" s="5686">
        <f t="shared" si="37"/>
        <v>-6.1725729498280507E-4</v>
      </c>
      <c r="BN75" s="5686">
        <f t="shared" si="34"/>
        <v>-6.1725729498280507E-4</v>
      </c>
      <c r="BO75" s="2978">
        <f t="shared" si="26"/>
        <v>-1.5923566878980892E-2</v>
      </c>
    </row>
    <row r="76" spans="1:67" x14ac:dyDescent="0.55000000000000004">
      <c r="A76" s="7474"/>
      <c r="B76" s="5825"/>
      <c r="C76" s="5826" t="s">
        <v>75</v>
      </c>
      <c r="D76" s="5827">
        <v>3.0440414507772021E-2</v>
      </c>
      <c r="E76" s="5827">
        <v>2.637460885113992E-2</v>
      </c>
      <c r="F76" s="5827">
        <v>2.0011435105774727E-2</v>
      </c>
      <c r="G76" s="5827">
        <v>1.729660474055093E-2</v>
      </c>
      <c r="H76" s="5827">
        <v>2.0385050962627407E-2</v>
      </c>
      <c r="I76" s="5827">
        <v>2.014294996751137E-2</v>
      </c>
      <c r="J76" s="5827">
        <v>1.9528619528619527E-2</v>
      </c>
      <c r="K76" s="5827">
        <v>1.4012738853503185E-2</v>
      </c>
      <c r="L76" s="5827">
        <v>1.6088060965283656E-2</v>
      </c>
      <c r="M76" s="5827">
        <v>1.4150943396226415E-2</v>
      </c>
      <c r="N76" s="5827">
        <v>1.9257221458046769E-2</v>
      </c>
      <c r="O76" s="5827">
        <v>2.848344880677444E-2</v>
      </c>
      <c r="P76" s="5827">
        <v>2.0256283883686547E-2</v>
      </c>
      <c r="Q76" s="5827">
        <v>2.0256283883686547E-2</v>
      </c>
      <c r="S76" s="5828">
        <v>1.09628217349857E-2</v>
      </c>
      <c r="T76" s="5827">
        <v>1.636904761904762E-2</v>
      </c>
      <c r="U76" s="5827">
        <v>1.6276041666666668E-2</v>
      </c>
      <c r="V76" s="5827">
        <v>1.1928429423459244E-2</v>
      </c>
      <c r="W76" s="5827">
        <v>2.3317788141239172E-2</v>
      </c>
      <c r="X76" s="5827">
        <v>1.9086571233810499E-2</v>
      </c>
      <c r="Y76" s="5827">
        <v>1.6323024054982819E-2</v>
      </c>
      <c r="Z76" s="5829">
        <v>2.008269344359126E-2</v>
      </c>
      <c r="AA76" s="5830">
        <v>1.2987012987012988E-2</v>
      </c>
      <c r="AB76" s="5830">
        <v>1.8828451882845189E-2</v>
      </c>
      <c r="AC76" s="5831">
        <v>2.0489094514210177E-2</v>
      </c>
      <c r="AD76" s="5831">
        <v>2.4868123587038434E-2</v>
      </c>
      <c r="AE76" s="5824">
        <v>1.7626591690740812E-2</v>
      </c>
      <c r="AF76" s="5832">
        <v>1.7626591690740812E-2</v>
      </c>
      <c r="AH76" s="5828">
        <v>1.3100436681222707E-2</v>
      </c>
      <c r="AI76" s="5827">
        <v>1.1189390799834231E-2</v>
      </c>
      <c r="AJ76" s="5827">
        <v>1.4035087719298246E-2</v>
      </c>
      <c r="AK76" s="5827">
        <v>1.5864621893178214E-2</v>
      </c>
      <c r="AL76" s="5827">
        <v>1.752988047808765E-2</v>
      </c>
      <c r="AM76" s="5827">
        <v>1.5943877551020409E-2</v>
      </c>
      <c r="AN76" s="5827">
        <v>1.6091954022988506E-2</v>
      </c>
      <c r="AO76" s="5829">
        <v>1.3173652694610778E-2</v>
      </c>
      <c r="AP76" s="5829">
        <v>1.5500234852043212E-2</v>
      </c>
      <c r="AQ76" s="5829">
        <v>1.9768234492160874E-2</v>
      </c>
      <c r="AR76" s="5832">
        <v>2.8529626920263351E-2</v>
      </c>
      <c r="AS76" s="5832">
        <v>1.5306122448979591E-2</v>
      </c>
      <c r="AT76" s="5824">
        <f t="shared" si="38"/>
        <v>1.6336093379473979E-2</v>
      </c>
      <c r="AU76" s="5832">
        <f t="shared" si="35"/>
        <v>1.6336093379473979E-2</v>
      </c>
      <c r="AW76" s="5828">
        <v>1.7518248175182483E-2</v>
      </c>
      <c r="AX76" s="5827"/>
      <c r="AY76" s="5827"/>
      <c r="AZ76" s="5827"/>
      <c r="BA76" s="5827"/>
      <c r="BB76" s="5827"/>
      <c r="BC76" s="5827"/>
      <c r="BD76" s="5829"/>
      <c r="BE76" s="5829"/>
      <c r="BF76" s="5829"/>
      <c r="BG76" s="5832"/>
      <c r="BH76" s="5826"/>
      <c r="BI76" s="5824">
        <f t="shared" si="39"/>
        <v>1.7518248175182483E-2</v>
      </c>
      <c r="BJ76" s="5832">
        <f t="shared" si="36"/>
        <v>1.7518248175182483E-2</v>
      </c>
      <c r="BL76" s="5686">
        <f t="shared" si="25"/>
        <v>-1.1189390799834231E-2</v>
      </c>
      <c r="BM76" s="5686">
        <f t="shared" si="37"/>
        <v>1.1821547957085038E-3</v>
      </c>
      <c r="BN76" s="5686">
        <f t="shared" si="34"/>
        <v>1.1821547957085038E-3</v>
      </c>
      <c r="BO76" s="2978">
        <f t="shared" si="26"/>
        <v>-1.7518248175182483E-2</v>
      </c>
    </row>
    <row r="77" spans="1:67" x14ac:dyDescent="0.55000000000000004">
      <c r="A77" s="7474"/>
      <c r="B77" s="5806" t="s">
        <v>20</v>
      </c>
      <c r="C77" s="5807" t="s">
        <v>526</v>
      </c>
      <c r="D77" s="4869">
        <v>439</v>
      </c>
      <c r="E77" s="4869">
        <v>413</v>
      </c>
      <c r="F77" s="4869">
        <v>505</v>
      </c>
      <c r="G77" s="4869">
        <v>409</v>
      </c>
      <c r="H77" s="4869">
        <v>478</v>
      </c>
      <c r="I77" s="4869">
        <v>414</v>
      </c>
      <c r="J77" s="4869">
        <v>468</v>
      </c>
      <c r="K77" s="4869">
        <v>554</v>
      </c>
      <c r="L77" s="4869">
        <v>462</v>
      </c>
      <c r="M77" s="4869">
        <v>503</v>
      </c>
      <c r="N77" s="4869">
        <v>485</v>
      </c>
      <c r="O77" s="4869">
        <v>423</v>
      </c>
      <c r="P77" s="4869">
        <v>5553</v>
      </c>
      <c r="Q77" s="4869">
        <v>462.75</v>
      </c>
      <c r="S77" s="5808">
        <v>417</v>
      </c>
      <c r="T77" s="4869">
        <v>318</v>
      </c>
      <c r="U77" s="4869">
        <v>271</v>
      </c>
      <c r="V77" s="4869">
        <v>282</v>
      </c>
      <c r="W77" s="4869">
        <v>276</v>
      </c>
      <c r="X77" s="4869">
        <v>288</v>
      </c>
      <c r="Y77" s="4869">
        <v>264</v>
      </c>
      <c r="Z77" s="4886">
        <v>155</v>
      </c>
      <c r="AA77" s="5809">
        <v>65</v>
      </c>
      <c r="AB77" s="5809">
        <v>1002</v>
      </c>
      <c r="AC77" s="5809">
        <v>845</v>
      </c>
      <c r="AD77" s="5809">
        <v>720</v>
      </c>
      <c r="AE77" s="5811">
        <v>4903</v>
      </c>
      <c r="AF77" s="5811">
        <v>408.58333333333331</v>
      </c>
      <c r="AH77" s="5808">
        <v>634</v>
      </c>
      <c r="AI77" s="4869">
        <v>736</v>
      </c>
      <c r="AJ77" s="4869">
        <v>642</v>
      </c>
      <c r="AK77" s="4869">
        <v>688</v>
      </c>
      <c r="AL77" s="4869">
        <v>841</v>
      </c>
      <c r="AM77" s="4869">
        <v>765</v>
      </c>
      <c r="AN77" s="4869">
        <v>811</v>
      </c>
      <c r="AO77" s="4886">
        <v>536</v>
      </c>
      <c r="AP77" s="4886">
        <v>697</v>
      </c>
      <c r="AQ77" s="4886">
        <v>566</v>
      </c>
      <c r="AR77" s="4886">
        <v>547</v>
      </c>
      <c r="AS77" s="4886">
        <v>674</v>
      </c>
      <c r="AT77" s="5811">
        <f>SUM(AH77:AS77)</f>
        <v>8137</v>
      </c>
      <c r="AU77" s="5811">
        <f>AVERAGE(AH77:AS77)</f>
        <v>678.08333333333337</v>
      </c>
      <c r="AW77" s="5808">
        <v>730</v>
      </c>
      <c r="AX77" s="4869"/>
      <c r="AY77" s="4869"/>
      <c r="AZ77" s="4869"/>
      <c r="BA77" s="4869"/>
      <c r="BB77" s="4869"/>
      <c r="BC77" s="4869"/>
      <c r="BD77" s="4886"/>
      <c r="BE77" s="4886"/>
      <c r="BF77" s="4886"/>
      <c r="BG77" s="4886"/>
      <c r="BH77" s="5807"/>
      <c r="BI77" s="5811">
        <f>SUM(AW77:BH77)</f>
        <v>730</v>
      </c>
      <c r="BJ77" s="5811">
        <f>AVERAGE(AW77:BH77)</f>
        <v>730</v>
      </c>
      <c r="BL77" s="2860">
        <f t="shared" si="25"/>
        <v>-736</v>
      </c>
      <c r="BM77" s="2775">
        <f t="shared" si="37"/>
        <v>51.916666666666629</v>
      </c>
      <c r="BN77" s="2860">
        <f>IFERROR(
  SUM(
    _xlfn.XLOOKUP(DATE(YEAR($A$1),1,1),$2:$2,77:77):
    _xlfn.XLOOKUP($A$1,$2:$2,77:77)
  )
 -SUM(
    _xlfn.XLOOKUP(DATE(YEAR($A$1)-1,1,1),$2:$2,77:77):
    _xlfn.XLOOKUP(EDATE($A$1,-12),$2:$2,77:77)
  ),"")</f>
        <v>-640</v>
      </c>
      <c r="BO77" s="590">
        <f t="shared" si="26"/>
        <v>-730</v>
      </c>
    </row>
    <row r="78" spans="1:67" x14ac:dyDescent="0.55000000000000004">
      <c r="A78" s="7474"/>
      <c r="B78" s="5812"/>
      <c r="C78" s="5813" t="s">
        <v>533</v>
      </c>
      <c r="D78" s="5833">
        <v>2.3E-2</v>
      </c>
      <c r="E78" s="5833">
        <v>1.9E-2</v>
      </c>
      <c r="F78" s="5833">
        <v>2.9000000000000001E-2</v>
      </c>
      <c r="G78" s="5833">
        <v>2.4E-2</v>
      </c>
      <c r="H78" s="5833">
        <v>2.7342409335316325E-2</v>
      </c>
      <c r="I78" s="5833">
        <v>2.5000000000000001E-2</v>
      </c>
      <c r="J78" s="5833">
        <v>2.5396136314304318E-2</v>
      </c>
      <c r="K78" s="5833">
        <v>2.3330245093910552E-2</v>
      </c>
      <c r="L78" s="5833">
        <v>2.8022078000849153E-2</v>
      </c>
      <c r="M78" s="5833">
        <v>2.2722139404616704E-2</v>
      </c>
      <c r="N78" s="5833">
        <v>2.9452845084107608E-2</v>
      </c>
      <c r="O78" s="5833">
        <v>3.1201593272847977E-2</v>
      </c>
      <c r="P78" s="5833">
        <v>2.5275950749903273E-2</v>
      </c>
      <c r="Q78" s="5833">
        <v>2.5275950749903273E-2</v>
      </c>
      <c r="S78" s="5834">
        <v>2.1169661894608591E-2</v>
      </c>
      <c r="T78" s="5833">
        <v>2.5272192640864659E-2</v>
      </c>
      <c r="U78" s="5833">
        <v>2.7099999999999999E-2</v>
      </c>
      <c r="V78" s="5833">
        <v>2.8364514182257092E-2</v>
      </c>
      <c r="W78" s="5833">
        <v>2.7066784348337748E-2</v>
      </c>
      <c r="X78" s="5833">
        <v>3.0395778364116097E-2</v>
      </c>
      <c r="Y78" s="5833">
        <v>2.4013098053483718E-2</v>
      </c>
      <c r="Z78" s="5833">
        <v>2.5950108823036999E-2</v>
      </c>
      <c r="AA78" s="5835">
        <v>1.8507972665148063E-2</v>
      </c>
      <c r="AB78" s="5835">
        <v>4.9112832075286737E-2</v>
      </c>
      <c r="AC78" s="5817">
        <v>4.0115837447778198E-2</v>
      </c>
      <c r="AD78" s="5817">
        <v>4.0474450503119909E-2</v>
      </c>
      <c r="AE78" s="5818">
        <v>2.9795269249836488E-2</v>
      </c>
      <c r="AF78" s="5819">
        <v>2.9795269249836488E-2</v>
      </c>
      <c r="AH78" s="5834">
        <v>3.6777075236382621E-2</v>
      </c>
      <c r="AI78" s="5833">
        <v>2.8395061728395062E-2</v>
      </c>
      <c r="AJ78" s="5833">
        <v>3.2448824867323728E-2</v>
      </c>
      <c r="AK78" s="5833">
        <v>2.828133349775969E-2</v>
      </c>
      <c r="AL78" s="5833">
        <v>2.3068272211098004E-2</v>
      </c>
      <c r="AM78" s="5833">
        <v>2.6978417266187049E-2</v>
      </c>
      <c r="AN78" s="5833">
        <v>2.4701510721247565E-2</v>
      </c>
      <c r="AO78" s="5833">
        <v>2.1627728684985675E-2</v>
      </c>
      <c r="AP78" s="5833">
        <v>2.5664629206863538E-2</v>
      </c>
      <c r="AQ78" s="5833">
        <v>2.1076934534892382E-2</v>
      </c>
      <c r="AR78" s="5818">
        <v>2.4212110481586401E-2</v>
      </c>
      <c r="AS78" s="5818">
        <v>2.792046396023198E-2</v>
      </c>
      <c r="AT78" s="5818">
        <f>AVERAGE(AH78:AS78)</f>
        <v>2.6762696866412805E-2</v>
      </c>
      <c r="AU78" s="5819">
        <f t="shared" ref="AU78:AU88" si="40">AT78</f>
        <v>2.6762696866412805E-2</v>
      </c>
      <c r="AW78" s="5834">
        <v>1.9389625222449469E-2</v>
      </c>
      <c r="AX78" s="5833"/>
      <c r="AY78" s="5833"/>
      <c r="AZ78" s="5833"/>
      <c r="BA78" s="5833"/>
      <c r="BB78" s="5833"/>
      <c r="BC78" s="5833"/>
      <c r="BD78" s="5833"/>
      <c r="BE78" s="5833"/>
      <c r="BF78" s="5833"/>
      <c r="BG78" s="5818"/>
      <c r="BH78" s="5813"/>
      <c r="BI78" s="5818">
        <f>AVERAGE(AW78:BH78)</f>
        <v>1.9389625222449469E-2</v>
      </c>
      <c r="BJ78" s="5819">
        <f t="shared" ref="BJ78:BJ88" si="41">BI78</f>
        <v>1.9389625222449469E-2</v>
      </c>
      <c r="BL78" s="5686">
        <f t="shared" si="25"/>
        <v>-2.8395061728395062E-2</v>
      </c>
      <c r="BM78" s="5686">
        <f t="shared" si="37"/>
        <v>-7.3730716439633359E-3</v>
      </c>
      <c r="BN78" s="5686">
        <f t="shared" ref="BN78:BN88" si="42">BM78</f>
        <v>-7.3730716439633359E-3</v>
      </c>
      <c r="BO78" s="2978">
        <f t="shared" si="26"/>
        <v>-1.9389625222449469E-2</v>
      </c>
    </row>
    <row r="79" spans="1:67" x14ac:dyDescent="0.55000000000000004">
      <c r="A79" s="7474"/>
      <c r="B79" s="1822"/>
      <c r="C79" s="559" t="s">
        <v>67</v>
      </c>
      <c r="D79" s="5836">
        <v>2.1000000000000001E-2</v>
      </c>
      <c r="E79" s="5836">
        <v>1.7000000000000001E-2</v>
      </c>
      <c r="F79" s="5836">
        <v>2.3E-2</v>
      </c>
      <c r="G79" s="5836">
        <v>2.5000000000000001E-2</v>
      </c>
      <c r="H79" s="5836">
        <v>2.6086956521739129E-2</v>
      </c>
      <c r="I79" s="5836">
        <v>1.7999999999999999E-2</v>
      </c>
      <c r="J79" s="5836">
        <v>1.7735849056603775E-2</v>
      </c>
      <c r="K79" s="5836">
        <v>2.1726010863005431E-2</v>
      </c>
      <c r="L79" s="5836">
        <v>2.8663892741562644E-2</v>
      </c>
      <c r="M79" s="5836">
        <v>2.1642266072565246E-2</v>
      </c>
      <c r="N79" s="5836">
        <v>2.1642266072565246E-2</v>
      </c>
      <c r="O79" s="5836">
        <v>2.1642266072565246E-2</v>
      </c>
      <c r="P79" s="5836">
        <v>2.2399999999999996E-2</v>
      </c>
      <c r="Q79" s="5836">
        <v>2.2399999999999996E-2</v>
      </c>
      <c r="S79" s="5837">
        <v>1.7154389505549948E-2</v>
      </c>
      <c r="T79" s="5836">
        <v>2.3181454836131096E-2</v>
      </c>
      <c r="U79" s="5836"/>
      <c r="V79" s="5836"/>
      <c r="W79" s="5836"/>
      <c r="X79" s="5836"/>
      <c r="Y79" s="5836"/>
      <c r="Z79" s="5836"/>
      <c r="AA79" s="5838"/>
      <c r="AB79" s="5838">
        <v>4.3211976862878532E-2</v>
      </c>
      <c r="AC79" s="5838">
        <v>3.5637918745545262E-2</v>
      </c>
      <c r="AD79" s="5838">
        <v>3.3240997229916899E-2</v>
      </c>
      <c r="AE79" s="5839">
        <v>3.048534743600435E-2</v>
      </c>
      <c r="AF79" s="5695">
        <v>3.048534743600435E-2</v>
      </c>
      <c r="AH79" s="5837">
        <v>3.0014292520247739E-2</v>
      </c>
      <c r="AI79" s="5836">
        <v>2.3116181326928852E-2</v>
      </c>
      <c r="AJ79" s="5836">
        <v>3.0723905723905723E-2</v>
      </c>
      <c r="AK79" s="5836">
        <v>3.3648790746582544E-2</v>
      </c>
      <c r="AL79" s="5836">
        <v>2.2659256092347157E-2</v>
      </c>
      <c r="AM79" s="5836">
        <v>2.5856496444731737E-2</v>
      </c>
      <c r="AN79" s="5836">
        <v>2.8964252978918425E-2</v>
      </c>
      <c r="AO79" s="5836">
        <v>2.3227383863080684E-2</v>
      </c>
      <c r="AP79" s="5836">
        <v>2.4749306592703222E-2</v>
      </c>
      <c r="AQ79" s="5836">
        <v>2.1850302185030219E-2</v>
      </c>
      <c r="AR79" s="5836">
        <v>2.3727137913989126E-2</v>
      </c>
      <c r="AS79" s="5836">
        <v>2.7506654835847383E-2</v>
      </c>
      <c r="AT79" s="5839">
        <f t="shared" ref="AT79:AT88" si="43">AVERAGE(AH79:AS79)</f>
        <v>2.6336996768692732E-2</v>
      </c>
      <c r="AU79" s="5695">
        <f t="shared" si="40"/>
        <v>2.6336996768692732E-2</v>
      </c>
      <c r="AW79" s="5837">
        <v>3.0789825970548863E-2</v>
      </c>
      <c r="AX79" s="5836"/>
      <c r="AY79" s="5836"/>
      <c r="AZ79" s="5836"/>
      <c r="BA79" s="5836"/>
      <c r="BB79" s="5836"/>
      <c r="BC79" s="5836"/>
      <c r="BD79" s="5836"/>
      <c r="BE79" s="5836"/>
      <c r="BF79" s="5836"/>
      <c r="BG79" s="5836"/>
      <c r="BI79" s="5839">
        <f t="shared" ref="BI79:BI88" si="44">AVERAGE(AW79:BH79)</f>
        <v>3.0789825970548863E-2</v>
      </c>
      <c r="BJ79" s="5695">
        <f t="shared" si="41"/>
        <v>3.0789825970548863E-2</v>
      </c>
      <c r="BL79" s="5686">
        <f t="shared" si="25"/>
        <v>-2.3116181326928852E-2</v>
      </c>
      <c r="BM79" s="5686">
        <f t="shared" si="37"/>
        <v>4.4528292018561309E-3</v>
      </c>
      <c r="BN79" s="5686">
        <f t="shared" si="42"/>
        <v>4.4528292018561309E-3</v>
      </c>
      <c r="BO79" s="2978">
        <f t="shared" si="26"/>
        <v>-3.0789825970548863E-2</v>
      </c>
    </row>
    <row r="80" spans="1:67" x14ac:dyDescent="0.55000000000000004">
      <c r="A80" s="7474"/>
      <c r="B80" s="1822"/>
      <c r="C80" s="559" t="s">
        <v>68</v>
      </c>
      <c r="D80" s="5836">
        <v>2.5999999999999999E-2</v>
      </c>
      <c r="E80" s="5836">
        <v>1.7999999999999999E-2</v>
      </c>
      <c r="F80" s="5836">
        <v>2.3E-2</v>
      </c>
      <c r="G80" s="5836">
        <v>2.5999999999999999E-2</v>
      </c>
      <c r="H80" s="5836">
        <v>2.9582929194956354E-2</v>
      </c>
      <c r="I80" s="5836">
        <v>2.8000000000000001E-2</v>
      </c>
      <c r="J80" s="5836">
        <v>3.4452296819787988E-2</v>
      </c>
      <c r="K80" s="5836">
        <v>2.7615334632878491E-2</v>
      </c>
      <c r="L80" s="5836">
        <v>2.8705882352941175E-2</v>
      </c>
      <c r="M80" s="5836">
        <v>2.1540469973890339E-2</v>
      </c>
      <c r="N80" s="5836">
        <v>2.1540469973890339E-2</v>
      </c>
      <c r="O80" s="5836">
        <v>2.1540469973890339E-2</v>
      </c>
      <c r="P80" s="5836">
        <v>2.6433755514444282E-2</v>
      </c>
      <c r="Q80" s="5836">
        <v>2.6433755514444282E-2</v>
      </c>
      <c r="S80" s="5837">
        <v>1.9237749546279492E-2</v>
      </c>
      <c r="T80" s="5836">
        <v>3.563636363636364E-2</v>
      </c>
      <c r="U80" s="5836"/>
      <c r="V80" s="5836"/>
      <c r="W80" s="5836"/>
      <c r="X80" s="5836"/>
      <c r="Y80" s="5836"/>
      <c r="Z80" s="5836"/>
      <c r="AA80" s="5838"/>
      <c r="AB80" s="5838">
        <v>5.3466712659537771E-2</v>
      </c>
      <c r="AC80" s="5838">
        <v>4.0520446096654276E-2</v>
      </c>
      <c r="AD80" s="5838">
        <v>4.4666088464874243E-2</v>
      </c>
      <c r="AE80" s="5839">
        <v>3.870547208074189E-2</v>
      </c>
      <c r="AF80" s="5695">
        <v>3.870547208074189E-2</v>
      </c>
      <c r="AH80" s="5837">
        <v>3.8928210313447925E-2</v>
      </c>
      <c r="AI80" s="5836">
        <v>3.2334618807475526E-2</v>
      </c>
      <c r="AJ80" s="5836">
        <v>4.1559554413024849E-2</v>
      </c>
      <c r="AK80" s="5836">
        <v>3.7485800833017793E-2</v>
      </c>
      <c r="AL80" s="5836">
        <v>2.8464254192409531E-2</v>
      </c>
      <c r="AM80" s="5836">
        <v>2.9808597427047379E-2</v>
      </c>
      <c r="AN80" s="5836">
        <v>2.4622271964185788E-2</v>
      </c>
      <c r="AO80" s="5836">
        <v>2.0563112938943372E-2</v>
      </c>
      <c r="AP80" s="5836">
        <v>3.1277150304083408E-2</v>
      </c>
      <c r="AQ80" s="5836">
        <v>2.2253521126760562E-2</v>
      </c>
      <c r="AR80" s="5836">
        <v>2.7304756312389902E-2</v>
      </c>
      <c r="AS80" s="5836">
        <v>3.0234802187198456E-2</v>
      </c>
      <c r="AT80" s="5839">
        <f t="shared" si="43"/>
        <v>3.04030542349987E-2</v>
      </c>
      <c r="AU80" s="5695">
        <f t="shared" si="40"/>
        <v>3.04030542349987E-2</v>
      </c>
      <c r="AW80" s="5837">
        <v>2.387934645999162E-2</v>
      </c>
      <c r="AX80" s="5836"/>
      <c r="AY80" s="5836"/>
      <c r="AZ80" s="5836"/>
      <c r="BA80" s="5836"/>
      <c r="BB80" s="5836"/>
      <c r="BC80" s="5836"/>
      <c r="BD80" s="5836"/>
      <c r="BE80" s="5836"/>
      <c r="BF80" s="5836"/>
      <c r="BG80" s="5836"/>
      <c r="BI80" s="5839">
        <f t="shared" si="44"/>
        <v>2.387934645999162E-2</v>
      </c>
      <c r="BJ80" s="5695">
        <f t="shared" si="41"/>
        <v>2.387934645999162E-2</v>
      </c>
      <c r="BL80" s="5686">
        <f t="shared" si="25"/>
        <v>-3.2334618807475526E-2</v>
      </c>
      <c r="BM80" s="5686">
        <f t="shared" si="37"/>
        <v>-6.5237077750070795E-3</v>
      </c>
      <c r="BN80" s="5686">
        <f t="shared" si="42"/>
        <v>-6.5237077750070795E-3</v>
      </c>
      <c r="BO80" s="2978">
        <f t="shared" si="26"/>
        <v>-2.387934645999162E-2</v>
      </c>
    </row>
    <row r="81" spans="1:67" x14ac:dyDescent="0.55000000000000004">
      <c r="A81" s="7474"/>
      <c r="B81" s="1822"/>
      <c r="C81" s="559" t="s">
        <v>69</v>
      </c>
      <c r="D81" s="5836">
        <v>3.3000000000000002E-2</v>
      </c>
      <c r="E81" s="5836">
        <v>2.4E-2</v>
      </c>
      <c r="F81" s="5836">
        <v>4.1000000000000002E-2</v>
      </c>
      <c r="G81" s="5836">
        <v>3.2000000000000001E-2</v>
      </c>
      <c r="H81" s="5836">
        <v>3.100088573959256E-2</v>
      </c>
      <c r="I81" s="5836">
        <v>0.03</v>
      </c>
      <c r="J81" s="5836">
        <v>3.6826119969627945E-2</v>
      </c>
      <c r="K81" s="5836">
        <v>3.0864197530864196E-2</v>
      </c>
      <c r="L81" s="5836">
        <v>4.4812469556746226E-2</v>
      </c>
      <c r="M81" s="5836">
        <v>3.4686090877558098E-2</v>
      </c>
      <c r="N81" s="5836">
        <v>3.4686090877558098E-2</v>
      </c>
      <c r="O81" s="5836">
        <v>3.4686090877558098E-2</v>
      </c>
      <c r="P81" s="5836">
        <v>3.5171975421993074E-2</v>
      </c>
      <c r="Q81" s="5836">
        <v>3.5171975421993074E-2</v>
      </c>
      <c r="S81" s="5837">
        <v>4.7178538390379277E-2</v>
      </c>
      <c r="T81" s="5836"/>
      <c r="U81" s="5836"/>
      <c r="V81" s="5836"/>
      <c r="W81" s="5836"/>
      <c r="X81" s="5836"/>
      <c r="Y81" s="5836"/>
      <c r="Z81" s="5836"/>
      <c r="AA81" s="5838"/>
      <c r="AB81" s="5838">
        <v>7.3908174692049272E-2</v>
      </c>
      <c r="AC81" s="5838">
        <v>5.8711399161265727E-2</v>
      </c>
      <c r="AD81" s="5838">
        <v>8.3410565338276177E-2</v>
      </c>
      <c r="AE81" s="5839">
        <v>6.5802169395492605E-2</v>
      </c>
      <c r="AF81" s="5695">
        <v>6.5802169395492605E-2</v>
      </c>
      <c r="AH81" s="5837">
        <v>6.1329588014981271E-2</v>
      </c>
      <c r="AI81" s="5836">
        <v>4.3623144501666163E-2</v>
      </c>
      <c r="AJ81" s="5836">
        <v>4.4468160796869438E-2</v>
      </c>
      <c r="AK81" s="5836">
        <v>3.3203125E-2</v>
      </c>
      <c r="AL81" s="5836">
        <v>2.4329896907216497E-2</v>
      </c>
      <c r="AM81" s="5836">
        <v>3.2499280989358642E-2</v>
      </c>
      <c r="AN81" s="5836">
        <v>3.3038065597318651E-2</v>
      </c>
      <c r="AO81" s="5836">
        <v>2.8968014484007241E-2</v>
      </c>
      <c r="AP81" s="5836">
        <v>3.4015486725663714E-2</v>
      </c>
      <c r="AQ81" s="5836">
        <v>2.6788106080900081E-2</v>
      </c>
      <c r="AR81" s="5836">
        <v>3.1871144619602471E-2</v>
      </c>
      <c r="AS81" s="5836">
        <v>2.9753471238311135E-2</v>
      </c>
      <c r="AT81" s="5839">
        <f t="shared" si="43"/>
        <v>3.532395707965795E-2</v>
      </c>
      <c r="AU81" s="5695">
        <f t="shared" si="40"/>
        <v>3.532395707965795E-2</v>
      </c>
      <c r="AW81" s="5837">
        <v>2.4572260647979613E-2</v>
      </c>
      <c r="AX81" s="5836"/>
      <c r="AY81" s="5836"/>
      <c r="AZ81" s="5836"/>
      <c r="BA81" s="5836"/>
      <c r="BB81" s="5836"/>
      <c r="BC81" s="5836"/>
      <c r="BD81" s="5836"/>
      <c r="BE81" s="5836"/>
      <c r="BF81" s="5836"/>
      <c r="BG81" s="5836"/>
      <c r="BI81" s="5839">
        <f t="shared" si="44"/>
        <v>2.4572260647979613E-2</v>
      </c>
      <c r="BJ81" s="5695">
        <f t="shared" si="41"/>
        <v>2.4572260647979613E-2</v>
      </c>
      <c r="BL81" s="5686">
        <f t="shared" si="25"/>
        <v>-4.3623144501666163E-2</v>
      </c>
      <c r="BM81" s="5686">
        <f t="shared" si="37"/>
        <v>-1.0751696431678337E-2</v>
      </c>
      <c r="BN81" s="5686">
        <f t="shared" si="42"/>
        <v>-1.0751696431678337E-2</v>
      </c>
      <c r="BO81" s="2978">
        <f t="shared" si="26"/>
        <v>-2.4572260647979613E-2</v>
      </c>
    </row>
    <row r="82" spans="1:67" x14ac:dyDescent="0.55000000000000004">
      <c r="A82" s="7474"/>
      <c r="B82" s="1822"/>
      <c r="C82" s="559" t="s">
        <v>72</v>
      </c>
      <c r="D82" s="5836">
        <v>2.1999999999999999E-2</v>
      </c>
      <c r="E82" s="5836">
        <v>1.7000000000000001E-2</v>
      </c>
      <c r="F82" s="5836">
        <v>2.4E-2</v>
      </c>
      <c r="G82" s="5836">
        <v>2.1000000000000001E-2</v>
      </c>
      <c r="H82" s="5836">
        <v>2.0322085889570553E-2</v>
      </c>
      <c r="I82" s="5836">
        <v>2.5999999999999999E-2</v>
      </c>
      <c r="J82" s="5836">
        <v>2.3309132594573938E-2</v>
      </c>
      <c r="K82" s="5836">
        <v>2.2747680335228972E-2</v>
      </c>
      <c r="L82" s="5836">
        <v>2.2718521370812476E-2</v>
      </c>
      <c r="M82" s="5836">
        <v>1.7351598173515982E-2</v>
      </c>
      <c r="N82" s="5836">
        <v>1.7351598173515982E-2</v>
      </c>
      <c r="O82" s="5836">
        <v>1.7351598173515982E-2</v>
      </c>
      <c r="P82" s="5836">
        <v>2.1975637727427704E-2</v>
      </c>
      <c r="Q82" s="5836">
        <v>2.1975637727427704E-2</v>
      </c>
      <c r="S82" s="5837">
        <v>1.607142857142857E-2</v>
      </c>
      <c r="T82" s="5836">
        <v>2.5103034844511051E-2</v>
      </c>
      <c r="U82" s="5836">
        <v>2.2793053545586108E-2</v>
      </c>
      <c r="V82" s="5836">
        <v>2.2793053545586108E-2</v>
      </c>
      <c r="W82" s="5836">
        <v>2.7976799727055614E-2</v>
      </c>
      <c r="X82" s="5836">
        <v>2.2819285977180713E-2</v>
      </c>
      <c r="Y82" s="5836">
        <v>2.1039209435766655E-2</v>
      </c>
      <c r="Z82" s="5639">
        <v>2.9214850882531954E-2</v>
      </c>
      <c r="AA82" s="5822">
        <v>1.7806267806267807E-2</v>
      </c>
      <c r="AB82" s="5822">
        <v>3.5087719298245612E-2</v>
      </c>
      <c r="AC82" s="5823">
        <v>2.7777777777777776E-2</v>
      </c>
      <c r="AD82" s="5823">
        <v>2.4691358024691357E-2</v>
      </c>
      <c r="AE82" s="5839">
        <v>2.4431153286385777E-2</v>
      </c>
      <c r="AF82" s="5695">
        <v>2.4431153286385777E-2</v>
      </c>
      <c r="AH82" s="5837">
        <v>2.5544267053701015E-2</v>
      </c>
      <c r="AI82" s="5836">
        <v>1.8514870986803229E-2</v>
      </c>
      <c r="AJ82" s="5836">
        <v>2.1897810218978103E-2</v>
      </c>
      <c r="AK82" s="5836">
        <v>1.8802482657904344E-2</v>
      </c>
      <c r="AL82" s="5836">
        <v>1.7592227911251149E-2</v>
      </c>
      <c r="AM82" s="5836">
        <v>1.9702984855168356E-2</v>
      </c>
      <c r="AN82" s="5836">
        <v>1.9286657859973581E-2</v>
      </c>
      <c r="AO82" s="5639">
        <v>1.2883324260569769E-2</v>
      </c>
      <c r="AP82" s="5639">
        <v>1.6266040122898971E-2</v>
      </c>
      <c r="AQ82" s="5639">
        <v>1.4964788732394365E-2</v>
      </c>
      <c r="AR82" s="5695">
        <v>1.4853857211308098E-2</v>
      </c>
      <c r="AS82" s="5695">
        <v>1.7226341037941562E-2</v>
      </c>
      <c r="AT82" s="5839">
        <f t="shared" si="43"/>
        <v>1.8127971075741049E-2</v>
      </c>
      <c r="AU82" s="5695">
        <f t="shared" si="40"/>
        <v>1.8127971075741049E-2</v>
      </c>
      <c r="AW82" s="5837">
        <v>1.0361938120256859E-2</v>
      </c>
      <c r="AX82" s="5836"/>
      <c r="AY82" s="5836"/>
      <c r="AZ82" s="5836"/>
      <c r="BA82" s="5836"/>
      <c r="BB82" s="5836"/>
      <c r="BC82" s="5836"/>
      <c r="BD82" s="5639"/>
      <c r="BE82" s="5639"/>
      <c r="BF82" s="5639"/>
      <c r="BG82" s="5695"/>
      <c r="BI82" s="5839">
        <f t="shared" si="44"/>
        <v>1.0361938120256859E-2</v>
      </c>
      <c r="BJ82" s="5695">
        <f t="shared" si="41"/>
        <v>1.0361938120256859E-2</v>
      </c>
      <c r="BL82" s="5686">
        <f t="shared" si="25"/>
        <v>-1.8514870986803229E-2</v>
      </c>
      <c r="BM82" s="5686">
        <f t="shared" si="37"/>
        <v>-7.7660329554841891E-3</v>
      </c>
      <c r="BN82" s="5686">
        <f t="shared" si="42"/>
        <v>-7.7660329554841891E-3</v>
      </c>
      <c r="BO82" s="2978">
        <f t="shared" si="26"/>
        <v>-1.0361938120256859E-2</v>
      </c>
    </row>
    <row r="83" spans="1:67" x14ac:dyDescent="0.55000000000000004">
      <c r="A83" s="7474"/>
      <c r="B83" s="1822"/>
      <c r="C83" s="559" t="s">
        <v>73</v>
      </c>
      <c r="D83" s="5836">
        <v>1.7000000000000001E-2</v>
      </c>
      <c r="E83" s="5836">
        <v>1.6E-2</v>
      </c>
      <c r="F83" s="5836">
        <v>3.5999999999999997E-2</v>
      </c>
      <c r="G83" s="5836">
        <v>2.5000000000000001E-2</v>
      </c>
      <c r="H83" s="5836">
        <v>2.7654320987654323E-2</v>
      </c>
      <c r="I83" s="5836">
        <v>2.3E-2</v>
      </c>
      <c r="J83" s="5836">
        <v>1.8329938900203666E-2</v>
      </c>
      <c r="K83" s="5836">
        <v>1.5878744135691087E-2</v>
      </c>
      <c r="L83" s="5836">
        <v>2.2714366837024418E-2</v>
      </c>
      <c r="M83" s="5836">
        <v>2.0605550883095038E-2</v>
      </c>
      <c r="N83" s="5836">
        <v>2.0605550883095038E-2</v>
      </c>
      <c r="O83" s="5836">
        <v>2.0605550883095038E-2</v>
      </c>
      <c r="P83" s="5836">
        <v>2.210609265480486E-2</v>
      </c>
      <c r="Q83" s="5836">
        <v>2.210609265480486E-2</v>
      </c>
      <c r="S83" s="5837">
        <v>1.8404907975460124E-2</v>
      </c>
      <c r="T83" s="5836">
        <v>2.0936639118457299E-2</v>
      </c>
      <c r="U83" s="5836">
        <v>2.0985846754514398E-2</v>
      </c>
      <c r="V83" s="5836">
        <v>2.0985846754514398E-2</v>
      </c>
      <c r="W83" s="5836">
        <v>2.6315789473684209E-2</v>
      </c>
      <c r="X83" s="5836">
        <v>2.9395452024403773E-2</v>
      </c>
      <c r="Y83" s="5836">
        <v>2.2841480127912289E-2</v>
      </c>
      <c r="Z83" s="5639">
        <v>2.19017094017094E-2</v>
      </c>
      <c r="AA83" s="5822">
        <v>1.8975332068311195E-2</v>
      </c>
      <c r="AB83" s="5822">
        <v>2.268041237113402E-2</v>
      </c>
      <c r="AC83" s="5823">
        <v>2.75049115913556E-2</v>
      </c>
      <c r="AD83" s="5823">
        <v>2.9681597409606044E-2</v>
      </c>
      <c r="AE83" s="5839">
        <v>2.3384160422588562E-2</v>
      </c>
      <c r="AF83" s="5695">
        <v>2.3384160422588562E-2</v>
      </c>
      <c r="AH83" s="5837">
        <v>2.2410358565737053E-2</v>
      </c>
      <c r="AI83" s="5836">
        <v>2.2156084656084655E-2</v>
      </c>
      <c r="AJ83" s="5836">
        <v>2.8492647058823529E-2</v>
      </c>
      <c r="AK83" s="5836">
        <v>2.3304347826086955E-2</v>
      </c>
      <c r="AL83" s="5836">
        <v>1.8155757286192068E-2</v>
      </c>
      <c r="AM83" s="5836">
        <v>2.2887821418479795E-2</v>
      </c>
      <c r="AN83" s="5836">
        <v>2.0295202952029519E-2</v>
      </c>
      <c r="AO83" s="5639">
        <v>2.0274689339437543E-2</v>
      </c>
      <c r="AP83" s="5639">
        <v>2.0646319569120289E-2</v>
      </c>
      <c r="AQ83" s="5639">
        <v>1.452003226673837E-2</v>
      </c>
      <c r="AR83" s="5695">
        <v>1.8275862068965518E-2</v>
      </c>
      <c r="AS83" s="5695">
        <v>2.0864832174175989E-2</v>
      </c>
      <c r="AT83" s="5839">
        <f t="shared" si="43"/>
        <v>2.1023662931822607E-2</v>
      </c>
      <c r="AU83" s="5695">
        <f t="shared" si="40"/>
        <v>2.1023662931822607E-2</v>
      </c>
      <c r="AW83" s="5837">
        <v>1.7293997965412006E-2</v>
      </c>
      <c r="AX83" s="5836"/>
      <c r="AY83" s="5836"/>
      <c r="AZ83" s="5836"/>
      <c r="BA83" s="5836"/>
      <c r="BB83" s="5836"/>
      <c r="BC83" s="5836"/>
      <c r="BD83" s="5639"/>
      <c r="BE83" s="5639"/>
      <c r="BF83" s="5639"/>
      <c r="BG83" s="5695"/>
      <c r="BI83" s="5839">
        <f t="shared" si="44"/>
        <v>1.7293997965412006E-2</v>
      </c>
      <c r="BJ83" s="5695">
        <f t="shared" si="41"/>
        <v>1.7293997965412006E-2</v>
      </c>
      <c r="BL83" s="5686">
        <f t="shared" si="25"/>
        <v>-2.2156084656084655E-2</v>
      </c>
      <c r="BM83" s="5686">
        <f t="shared" si="37"/>
        <v>-3.7296649664106014E-3</v>
      </c>
      <c r="BN83" s="5686">
        <f t="shared" si="42"/>
        <v>-3.7296649664106014E-3</v>
      </c>
      <c r="BO83" s="2978">
        <f t="shared" si="26"/>
        <v>-1.7293997965412006E-2</v>
      </c>
    </row>
    <row r="84" spans="1:67" x14ac:dyDescent="0.55000000000000004">
      <c r="A84" s="7474"/>
      <c r="B84" s="1822"/>
      <c r="C84" s="559" t="s">
        <v>74</v>
      </c>
      <c r="D84" s="5836">
        <v>0.02</v>
      </c>
      <c r="E84" s="5836">
        <v>1.9E-2</v>
      </c>
      <c r="F84" s="5836">
        <v>2.8000000000000001E-2</v>
      </c>
      <c r="G84" s="5836">
        <v>2.1000000000000001E-2</v>
      </c>
      <c r="H84" s="5836">
        <v>2.9018584936419956E-2</v>
      </c>
      <c r="I84" s="5836">
        <v>2.5999999999999999E-2</v>
      </c>
      <c r="J84" s="5836">
        <v>2.5908372827804109E-2</v>
      </c>
      <c r="K84" s="5836">
        <v>2.0792079207920793E-2</v>
      </c>
      <c r="L84" s="5836">
        <v>3.0715532286212915E-2</v>
      </c>
      <c r="M84" s="5836">
        <v>1.8035516093229745E-2</v>
      </c>
      <c r="N84" s="5836">
        <v>1.8035516093229745E-2</v>
      </c>
      <c r="O84" s="5836">
        <v>1.8035516093229745E-2</v>
      </c>
      <c r="P84" s="5836">
        <v>2.468973149587626E-2</v>
      </c>
      <c r="Q84" s="5836">
        <v>2.468973149587626E-2</v>
      </c>
      <c r="S84" s="5837">
        <v>2.4471635150166853E-2</v>
      </c>
      <c r="T84" s="5836">
        <v>2.2572554639914009E-2</v>
      </c>
      <c r="U84" s="5836">
        <v>3.0006523157208087E-2</v>
      </c>
      <c r="V84" s="5836">
        <v>3.0006523157208087E-2</v>
      </c>
      <c r="W84" s="5836">
        <v>2.556299452221546E-2</v>
      </c>
      <c r="X84" s="5836">
        <v>3.1479538300104928E-2</v>
      </c>
      <c r="Y84" s="5836">
        <v>2.5162818235642391E-2</v>
      </c>
      <c r="Z84" s="5639">
        <v>2.6851098454027666E-2</v>
      </c>
      <c r="AA84" s="5838"/>
      <c r="AB84" s="5838">
        <v>3.724053724053724E-2</v>
      </c>
      <c r="AC84" s="5838">
        <v>3.331385154880187E-2</v>
      </c>
      <c r="AD84" s="5838">
        <v>3.6585365853658534E-2</v>
      </c>
      <c r="AE84" s="5839">
        <v>2.9386676387225922E-2</v>
      </c>
      <c r="AF84" s="5695">
        <v>2.9386676387225922E-2</v>
      </c>
      <c r="AH84" s="5837">
        <v>3.6720142602495544E-2</v>
      </c>
      <c r="AI84" s="5836">
        <v>2.9754204398447608E-2</v>
      </c>
      <c r="AJ84" s="5836">
        <v>3.0094043887147336E-2</v>
      </c>
      <c r="AK84" s="5836">
        <v>2.6175213675213676E-2</v>
      </c>
      <c r="AL84" s="5836">
        <v>2.2610294117647058E-2</v>
      </c>
      <c r="AM84" s="5836">
        <v>2.825361512791991E-2</v>
      </c>
      <c r="AN84" s="5836">
        <v>2.2753567296567682E-2</v>
      </c>
      <c r="AO84" s="5639">
        <v>3.0356100408639813E-2</v>
      </c>
      <c r="AP84" s="5836">
        <v>2.4222335543090261E-2</v>
      </c>
      <c r="AQ84" s="5836">
        <v>2.5167785234899327E-2</v>
      </c>
      <c r="AR84" s="5836">
        <v>3.1488549618320608E-2</v>
      </c>
      <c r="AS84" s="5836">
        <v>4.2526579111944969E-2</v>
      </c>
      <c r="AT84" s="5839">
        <f t="shared" si="43"/>
        <v>2.9176869251861148E-2</v>
      </c>
      <c r="AU84" s="5695">
        <f t="shared" si="40"/>
        <v>2.9176869251861148E-2</v>
      </c>
      <c r="AW84" s="5837">
        <v>2.1922767497988736E-2</v>
      </c>
      <c r="AX84" s="5836"/>
      <c r="AY84" s="5836"/>
      <c r="AZ84" s="5836"/>
      <c r="BA84" s="5836"/>
      <c r="BB84" s="5836"/>
      <c r="BC84" s="5836"/>
      <c r="BD84" s="5639"/>
      <c r="BE84" s="5836"/>
      <c r="BF84" s="5836"/>
      <c r="BG84" s="5836"/>
      <c r="BI84" s="5839">
        <f t="shared" si="44"/>
        <v>2.1922767497988736E-2</v>
      </c>
      <c r="BJ84" s="5695">
        <f t="shared" si="41"/>
        <v>2.1922767497988736E-2</v>
      </c>
      <c r="BL84" s="5686">
        <f t="shared" ref="BL84:BL115" si="45">IFERROR(_xlfn.XLOOKUP($A$1,$2:$2,84:84)-_xlfn.XLOOKUP(EDATE($A$1,-12),$2:$2,84:84),"")</f>
        <v>-2.9754204398447608E-2</v>
      </c>
      <c r="BM84" s="5686">
        <f t="shared" si="37"/>
        <v>-7.2541017538724113E-3</v>
      </c>
      <c r="BN84" s="5686">
        <f t="shared" si="42"/>
        <v>-7.2541017538724113E-3</v>
      </c>
      <c r="BO84" s="2978">
        <f t="shared" ref="BO84:BO115" si="46">IFERROR(
  _xlfn.XLOOKUP($A$1,$2:$2,84:84)
 -_xlfn.XLOOKUP(EDATE($A$1,-1),$2:$2,84:84),"")</f>
        <v>-2.1922767497988736E-2</v>
      </c>
    </row>
    <row r="85" spans="1:67" x14ac:dyDescent="0.55000000000000004">
      <c r="A85" s="7474"/>
      <c r="B85" s="5840"/>
      <c r="C85" s="5841" t="s">
        <v>75</v>
      </c>
      <c r="D85" s="5842">
        <v>2.3E-2</v>
      </c>
      <c r="E85" s="5842">
        <v>0.02</v>
      </c>
      <c r="F85" s="5842">
        <v>0.03</v>
      </c>
      <c r="G85" s="5842">
        <v>2.1999999999999999E-2</v>
      </c>
      <c r="H85" s="5842">
        <v>2.9273392577104027E-2</v>
      </c>
      <c r="I85" s="5842">
        <v>2.5000000000000001E-2</v>
      </c>
      <c r="J85" s="5842">
        <v>2.587890625E-2</v>
      </c>
      <c r="K85" s="5842">
        <v>2.3728813559322035E-2</v>
      </c>
      <c r="L85" s="5842">
        <v>1.8537074148296594E-2</v>
      </c>
      <c r="M85" s="5842">
        <v>2.0683832840861123E-2</v>
      </c>
      <c r="N85" s="5842">
        <v>2.0683832840861123E-2</v>
      </c>
      <c r="O85" s="5842">
        <v>2.0683832840861123E-2</v>
      </c>
      <c r="P85" s="5842">
        <v>2.4345829539606505E-2</v>
      </c>
      <c r="Q85" s="5842">
        <v>2.4345829539606505E-2</v>
      </c>
      <c r="S85" s="5843">
        <v>2.6747195858498704E-2</v>
      </c>
      <c r="T85" s="5842">
        <v>2.9571217348447511E-2</v>
      </c>
      <c r="U85" s="5842">
        <v>3.4417727487034415E-2</v>
      </c>
      <c r="V85" s="5842">
        <v>3.4417727487034415E-2</v>
      </c>
      <c r="W85" s="5842">
        <v>2.9100529100529099E-2</v>
      </c>
      <c r="X85" s="5842">
        <v>3.9599236641221371E-2</v>
      </c>
      <c r="Y85" s="5842">
        <v>2.7510917030567687E-2</v>
      </c>
      <c r="Z85" s="5836">
        <v>0</v>
      </c>
      <c r="AA85" s="5838"/>
      <c r="AB85" s="5838">
        <v>8.5783132530120487E-2</v>
      </c>
      <c r="AC85" s="5844">
        <v>7.1825566481402314E-2</v>
      </c>
      <c r="AD85" s="5844">
        <v>5.0051599587203302E-2</v>
      </c>
      <c r="AE85" s="5839">
        <v>3.9002259050187206E-2</v>
      </c>
      <c r="AF85" s="5845">
        <v>3.9002259050187206E-2</v>
      </c>
      <c r="AH85" s="5843">
        <v>5.1794871794871793E-2</v>
      </c>
      <c r="AI85" s="5842">
        <v>3.6809815950920248E-2</v>
      </c>
      <c r="AJ85" s="5842">
        <v>3.8167938931297711E-2</v>
      </c>
      <c r="AK85" s="5842">
        <v>3.4950657894736843E-2</v>
      </c>
      <c r="AL85" s="5842">
        <v>3.1798608810864527E-2</v>
      </c>
      <c r="AM85" s="5842">
        <v>3.3004714959279896E-2</v>
      </c>
      <c r="AN85" s="5842">
        <v>2.7958387516254877E-2</v>
      </c>
      <c r="AO85" s="5836">
        <v>1.9343229869545658E-2</v>
      </c>
      <c r="AP85" s="5836">
        <v>3.6852207293666027E-2</v>
      </c>
      <c r="AQ85" s="5836">
        <v>2.7898866608544029E-2</v>
      </c>
      <c r="AR85" s="5842">
        <v>2.5449101796407185E-2</v>
      </c>
      <c r="AS85" s="5842">
        <v>3.5207566999474513E-2</v>
      </c>
      <c r="AT85" s="5839">
        <f t="shared" si="43"/>
        <v>3.3269664035488609E-2</v>
      </c>
      <c r="AU85" s="5845">
        <f t="shared" si="40"/>
        <v>3.3269664035488609E-2</v>
      </c>
      <c r="AW85" s="5843">
        <v>2.617637893424743E-2</v>
      </c>
      <c r="AX85" s="5842"/>
      <c r="AY85" s="5842"/>
      <c r="AZ85" s="5842"/>
      <c r="BA85" s="5842"/>
      <c r="BB85" s="5842"/>
      <c r="BC85" s="5842"/>
      <c r="BD85" s="5836"/>
      <c r="BE85" s="5836"/>
      <c r="BF85" s="5836"/>
      <c r="BG85" s="5842"/>
      <c r="BH85" s="5841"/>
      <c r="BI85" s="5839">
        <f t="shared" si="44"/>
        <v>2.617637893424743E-2</v>
      </c>
      <c r="BJ85" s="5845">
        <f t="shared" si="41"/>
        <v>2.617637893424743E-2</v>
      </c>
      <c r="BL85" s="5686">
        <f t="shared" si="45"/>
        <v>-3.6809815950920248E-2</v>
      </c>
      <c r="BM85" s="5686">
        <f t="shared" si="37"/>
        <v>-7.0932851012411799E-3</v>
      </c>
      <c r="BN85" s="5686">
        <f t="shared" si="42"/>
        <v>-7.0932851012411799E-3</v>
      </c>
      <c r="BO85" s="2978">
        <f t="shared" si="46"/>
        <v>-2.617637893424743E-2</v>
      </c>
    </row>
    <row r="86" spans="1:67" x14ac:dyDescent="0.55000000000000004">
      <c r="A86" s="7474"/>
      <c r="B86" s="7499" t="s">
        <v>534</v>
      </c>
      <c r="C86" s="5762"/>
      <c r="D86" s="5679">
        <v>7.4546773023930382E-2</v>
      </c>
      <c r="E86" s="5679">
        <v>4.7979797979797977E-2</v>
      </c>
      <c r="F86" s="5679">
        <v>4.7410008779631259E-2</v>
      </c>
      <c r="G86" s="5679">
        <v>6.7354882382805889E-2</v>
      </c>
      <c r="H86" s="5679">
        <v>5.6459107806691451E-2</v>
      </c>
      <c r="I86" s="5679">
        <v>5.6325604838709679E-2</v>
      </c>
      <c r="J86" s="5679">
        <v>6.3156315631563154E-2</v>
      </c>
      <c r="K86" s="5679">
        <v>4.9375441904312985E-2</v>
      </c>
      <c r="L86" s="5679">
        <v>9.1325362503179852E-2</v>
      </c>
      <c r="M86" s="5679">
        <v>1.8892471293625205E-2</v>
      </c>
      <c r="N86" s="5679">
        <v>9.7301406309388064E-2</v>
      </c>
      <c r="O86" s="5679">
        <v>2.3728813559322035E-2</v>
      </c>
      <c r="P86" s="5679">
        <v>5.9916313429377532E-2</v>
      </c>
      <c r="Q86" s="5679">
        <v>5.9916313429377532E-2</v>
      </c>
      <c r="S86" s="5678">
        <v>9.4311818449749479E-3</v>
      </c>
      <c r="T86" s="5679">
        <v>8.3102493074792248E-3</v>
      </c>
      <c r="U86" s="5679">
        <v>9.2217723796671168E-3</v>
      </c>
      <c r="V86" s="5679">
        <v>5.4499534760069123E-3</v>
      </c>
      <c r="W86" s="5679">
        <v>6.6944361797084198E-3</v>
      </c>
      <c r="X86" s="5679">
        <v>5.5955235811350921E-3</v>
      </c>
      <c r="Y86" s="5679">
        <v>4.8470160557406846E-3</v>
      </c>
      <c r="Z86" s="5846">
        <v>6.6045417533701261E-3</v>
      </c>
      <c r="AA86" s="5847">
        <v>2.7960079220224459E-3</v>
      </c>
      <c r="AB86" s="5847">
        <v>2.5505685642424458E-3</v>
      </c>
      <c r="AC86" s="5848">
        <v>1.3290017720023627E-2</v>
      </c>
      <c r="AD86" s="5848">
        <v>9.9469496021220159E-4</v>
      </c>
      <c r="AE86" s="5849">
        <v>6.3154969787152715E-3</v>
      </c>
      <c r="AF86" s="5850">
        <v>6.3154969787152715E-3</v>
      </c>
      <c r="AH86" s="5678">
        <v>3.549035845262037E-4</v>
      </c>
      <c r="AI86" s="5679">
        <v>1.7094747638787982E-3</v>
      </c>
      <c r="AJ86" s="5679">
        <v>1.4429022949017452E-3</v>
      </c>
      <c r="AK86" s="5679">
        <v>9.2715999304630002E-4</v>
      </c>
      <c r="AL86" s="5679">
        <v>5.6862393008918414E-4</v>
      </c>
      <c r="AM86" s="5679">
        <v>5.6862393008918414E-4</v>
      </c>
      <c r="AN86" s="5679">
        <v>1.5289832261546072E-3</v>
      </c>
      <c r="AO86" s="5846">
        <v>9.8535111344675826E-4</v>
      </c>
      <c r="AP86" s="5846">
        <v>7.7497246808337075E-4</v>
      </c>
      <c r="AQ86" s="5846">
        <v>8.0424642110342611E-4</v>
      </c>
      <c r="AR86" s="6206">
        <v>7.0425999999999996E-4</v>
      </c>
      <c r="AS86" s="5846">
        <v>1.1634993628455901E-3</v>
      </c>
      <c r="AT86" s="5849">
        <f t="shared" si="43"/>
        <v>9.6108342401376404E-4</v>
      </c>
      <c r="AU86" s="5850">
        <f t="shared" si="40"/>
        <v>9.6108342401376404E-4</v>
      </c>
      <c r="AW86" s="5678">
        <v>1.2200765703226893E-3</v>
      </c>
      <c r="AX86" s="5679"/>
      <c r="AY86" s="5679"/>
      <c r="AZ86" s="5679"/>
      <c r="BA86" s="5679"/>
      <c r="BB86" s="5679"/>
      <c r="BC86" s="5679"/>
      <c r="BD86" s="5846"/>
      <c r="BE86" s="5846"/>
      <c r="BF86" s="5846"/>
      <c r="BG86" s="5851"/>
      <c r="BH86" s="5852"/>
      <c r="BI86" s="5849">
        <f t="shared" si="44"/>
        <v>1.2200765703226893E-3</v>
      </c>
      <c r="BJ86" s="5850">
        <f t="shared" si="41"/>
        <v>1.2200765703226893E-3</v>
      </c>
      <c r="BL86" s="5686">
        <f t="shared" si="45"/>
        <v>-1.7094747638787982E-3</v>
      </c>
      <c r="BM86" s="5686">
        <f t="shared" si="37"/>
        <v>2.5899314630892527E-4</v>
      </c>
      <c r="BN86" s="5686">
        <f t="shared" si="42"/>
        <v>2.5899314630892527E-4</v>
      </c>
      <c r="BO86" s="2978">
        <f t="shared" si="46"/>
        <v>-1.2200765703226893E-3</v>
      </c>
    </row>
    <row r="87" spans="1:67" x14ac:dyDescent="0.55000000000000004">
      <c r="A87" s="7474"/>
      <c r="B87" s="7500"/>
      <c r="C87" s="3989" t="s">
        <v>21</v>
      </c>
      <c r="D87" s="5853">
        <v>0.13200000000000001</v>
      </c>
      <c r="E87" s="5853">
        <v>7.5999999999999998E-2</v>
      </c>
      <c r="F87" s="5853">
        <v>6.9000000000000006E-2</v>
      </c>
      <c r="G87" s="5853">
        <v>0.10299999999999999</v>
      </c>
      <c r="H87" s="5853">
        <v>7.1999999999999995E-2</v>
      </c>
      <c r="I87" s="5853">
        <v>0.09</v>
      </c>
      <c r="J87" s="5853">
        <v>9.6437880104257162E-2</v>
      </c>
      <c r="K87" s="5853">
        <v>6.5000000000000002E-2</v>
      </c>
      <c r="L87" s="5853">
        <v>0.16866812227074235</v>
      </c>
      <c r="M87" s="5853">
        <v>1.7560707916037865E-2</v>
      </c>
      <c r="N87" s="5853">
        <v>0.15030885380919698</v>
      </c>
      <c r="O87" s="5853">
        <v>9.017132551848512E-3</v>
      </c>
      <c r="P87" s="5853">
        <v>9.0106591365844965E-2</v>
      </c>
      <c r="Q87" s="5853">
        <v>9.0106591365844965E-2</v>
      </c>
      <c r="S87" s="5854">
        <v>1.6823687752355317E-2</v>
      </c>
      <c r="T87" s="5853">
        <v>5.9288537549407111E-3</v>
      </c>
      <c r="U87" s="5853">
        <v>1.0596427490160459E-2</v>
      </c>
      <c r="V87" s="5853">
        <v>6.6568047337278108E-3</v>
      </c>
      <c r="W87" s="5853">
        <v>6.974248927038627E-3</v>
      </c>
      <c r="X87" s="5853">
        <v>6.2597809076682318E-3</v>
      </c>
      <c r="Y87" s="5853">
        <v>1.9193857965451055E-3</v>
      </c>
      <c r="Z87" s="5855">
        <v>2.8320016182866391E-3</v>
      </c>
      <c r="AA87" s="5856">
        <v>2.8320016182866391E-3</v>
      </c>
      <c r="AB87" s="5856">
        <v>2.7485774905969718E-3</v>
      </c>
      <c r="AC87" s="5857">
        <v>0</v>
      </c>
      <c r="AD87" s="5857">
        <v>0</v>
      </c>
      <c r="AE87" s="5839">
        <v>5.2976475074672088E-3</v>
      </c>
      <c r="AF87" s="5858">
        <v>5.2976475074672088E-3</v>
      </c>
      <c r="AH87" s="5854">
        <v>0</v>
      </c>
      <c r="AI87" s="5853">
        <v>0</v>
      </c>
      <c r="AJ87" s="5853">
        <v>0</v>
      </c>
      <c r="AK87" s="5853">
        <v>0</v>
      </c>
      <c r="AL87" s="5853">
        <v>0</v>
      </c>
      <c r="AM87" s="5853">
        <v>0</v>
      </c>
      <c r="AN87" s="5853">
        <v>0</v>
      </c>
      <c r="AO87" s="5855">
        <v>0</v>
      </c>
      <c r="AP87" s="5855">
        <v>0</v>
      </c>
      <c r="AQ87" s="5855">
        <v>0</v>
      </c>
      <c r="AR87" s="6207">
        <v>0</v>
      </c>
      <c r="AS87" s="5855">
        <v>0</v>
      </c>
      <c r="AT87" s="5839">
        <f t="shared" si="43"/>
        <v>0</v>
      </c>
      <c r="AU87" s="5858">
        <f t="shared" si="40"/>
        <v>0</v>
      </c>
      <c r="AW87" s="5854">
        <v>0</v>
      </c>
      <c r="AX87" s="5853"/>
      <c r="AY87" s="5853"/>
      <c r="AZ87" s="5853"/>
      <c r="BA87" s="5853"/>
      <c r="BB87" s="5853"/>
      <c r="BC87" s="5853"/>
      <c r="BD87" s="5855"/>
      <c r="BE87" s="5855"/>
      <c r="BF87" s="5855"/>
      <c r="BG87" s="5859"/>
      <c r="BH87" s="3989"/>
      <c r="BI87" s="5839">
        <f t="shared" si="44"/>
        <v>0</v>
      </c>
      <c r="BJ87" s="5858">
        <f t="shared" si="41"/>
        <v>0</v>
      </c>
      <c r="BL87" s="5686">
        <f t="shared" si="45"/>
        <v>0</v>
      </c>
      <c r="BM87" s="5686">
        <f t="shared" si="37"/>
        <v>0</v>
      </c>
      <c r="BN87" s="5686">
        <f t="shared" si="42"/>
        <v>0</v>
      </c>
      <c r="BO87" s="2978">
        <f t="shared" si="46"/>
        <v>0</v>
      </c>
    </row>
    <row r="88" spans="1:67" ht="15.45" thickBot="1" x14ac:dyDescent="0.6">
      <c r="A88" s="7474"/>
      <c r="B88" s="7501"/>
      <c r="C88" s="5775" t="s">
        <v>22</v>
      </c>
      <c r="D88" s="5860">
        <v>0.01</v>
      </c>
      <c r="E88" s="5860">
        <v>1.4999999999999999E-2</v>
      </c>
      <c r="F88" s="5860">
        <v>2.9000000000000001E-2</v>
      </c>
      <c r="G88" s="5860">
        <v>0.03</v>
      </c>
      <c r="H88" s="5860">
        <v>3.7999999999999999E-2</v>
      </c>
      <c r="I88" s="5860">
        <v>1.7999999999999999E-2</v>
      </c>
      <c r="J88" s="5860">
        <v>2.7388733271086211E-2</v>
      </c>
      <c r="K88" s="5860">
        <v>1.9E-2</v>
      </c>
      <c r="L88" s="5860">
        <v>2.3820867079561697E-2</v>
      </c>
      <c r="M88" s="5860">
        <v>2.5153176394711384E-2</v>
      </c>
      <c r="N88" s="5860">
        <v>3.1516183986371377E-2</v>
      </c>
      <c r="O88" s="5860">
        <v>4.079497907949791E-2</v>
      </c>
      <c r="P88" s="5860">
        <v>2.5073399882560188E-2</v>
      </c>
      <c r="Q88" s="5860">
        <v>2.5073399882560188E-2</v>
      </c>
      <c r="S88" s="5861">
        <v>3.6706869428421605E-3</v>
      </c>
      <c r="T88" s="5860">
        <v>1.5638575152041704E-2</v>
      </c>
      <c r="U88" s="5860">
        <v>5.2493438320209973E-3</v>
      </c>
      <c r="V88" s="5860">
        <v>2.3640661938534278E-3</v>
      </c>
      <c r="W88" s="5860">
        <v>5.3097345132743362E-3</v>
      </c>
      <c r="X88" s="5860">
        <v>4.4223327805417356E-3</v>
      </c>
      <c r="Y88" s="5860">
        <v>1.5804597701149427E-2</v>
      </c>
      <c r="Z88" s="5862">
        <v>3.8593481989708404E-2</v>
      </c>
      <c r="AA88" s="5863">
        <v>3.8593481989708404E-2</v>
      </c>
      <c r="AB88" s="5863">
        <v>2.0024028834601522E-3</v>
      </c>
      <c r="AC88" s="5864">
        <v>1.3290017720023627E-2</v>
      </c>
      <c r="AD88" s="5864">
        <v>1.2145748987854251E-2</v>
      </c>
      <c r="AE88" s="5839">
        <v>1.3090372557206555E-2</v>
      </c>
      <c r="AF88" s="5865">
        <v>1.3090372557206555E-2</v>
      </c>
      <c r="AH88" s="5861">
        <v>2.0732550103662751E-3</v>
      </c>
      <c r="AI88" s="5860">
        <v>7.3787124146836381E-3</v>
      </c>
      <c r="AJ88" s="5860">
        <v>5.6833558863328823E-3</v>
      </c>
      <c r="AK88" s="5860">
        <v>5.3547523427041497E-3</v>
      </c>
      <c r="AL88" s="5860">
        <v>5.1130247578040902E-3</v>
      </c>
      <c r="AM88" s="5860">
        <v>5.6121388484722508E-3</v>
      </c>
      <c r="AN88" s="5860">
        <v>8.5923679555218596E-3</v>
      </c>
      <c r="AO88" s="5862">
        <v>6.9188191881918819E-3</v>
      </c>
      <c r="AP88" s="5862">
        <v>7.4803149606299212E-3</v>
      </c>
      <c r="AQ88" s="5862">
        <v>5.6796667928814843E-3</v>
      </c>
      <c r="AR88" s="6208">
        <v>7.1942446043165471E-3</v>
      </c>
      <c r="AS88" s="5862">
        <v>3.9142590866728796E-3</v>
      </c>
      <c r="AT88" s="5839">
        <f t="shared" si="43"/>
        <v>5.9162426540481554E-3</v>
      </c>
      <c r="AU88" s="5865">
        <f t="shared" si="40"/>
        <v>5.9162426540481554E-3</v>
      </c>
      <c r="AW88" s="5861">
        <v>6.7599067599067603E-3</v>
      </c>
      <c r="AX88" s="5860"/>
      <c r="AY88" s="5860"/>
      <c r="AZ88" s="5860"/>
      <c r="BA88" s="5860"/>
      <c r="BB88" s="5860"/>
      <c r="BC88" s="5860"/>
      <c r="BD88" s="5862"/>
      <c r="BE88" s="5862"/>
      <c r="BF88" s="5862"/>
      <c r="BG88" s="5866"/>
      <c r="BH88" s="5775"/>
      <c r="BI88" s="5839">
        <f t="shared" si="44"/>
        <v>6.7599067599067603E-3</v>
      </c>
      <c r="BJ88" s="5865">
        <f t="shared" si="41"/>
        <v>6.7599067599067603E-3</v>
      </c>
      <c r="BL88" s="5686">
        <f t="shared" si="45"/>
        <v>-7.3787124146836381E-3</v>
      </c>
      <c r="BM88" s="5686">
        <f t="shared" si="37"/>
        <v>8.4366410585860491E-4</v>
      </c>
      <c r="BN88" s="5686">
        <f t="shared" si="42"/>
        <v>8.4366410585860491E-4</v>
      </c>
      <c r="BO88" s="2978">
        <f t="shared" si="46"/>
        <v>-6.7599067599067603E-3</v>
      </c>
    </row>
    <row r="89" spans="1:67" x14ac:dyDescent="0.55000000000000004">
      <c r="A89" s="7474"/>
      <c r="B89" s="5867" t="s">
        <v>539</v>
      </c>
      <c r="C89" s="5868" t="s">
        <v>535</v>
      </c>
      <c r="D89" s="5869">
        <v>208</v>
      </c>
      <c r="E89" s="5869">
        <v>299</v>
      </c>
      <c r="F89" s="5869">
        <v>144</v>
      </c>
      <c r="G89" s="5869">
        <v>222</v>
      </c>
      <c r="H89" s="5869">
        <v>227</v>
      </c>
      <c r="I89" s="5869">
        <v>225</v>
      </c>
      <c r="J89" s="5869">
        <v>149</v>
      </c>
      <c r="K89" s="5869">
        <v>195</v>
      </c>
      <c r="L89" s="5869">
        <v>65</v>
      </c>
      <c r="M89" s="5869">
        <v>156</v>
      </c>
      <c r="N89" s="5869">
        <v>142</v>
      </c>
      <c r="O89" s="5869">
        <v>81</v>
      </c>
      <c r="P89" s="5869">
        <v>2113</v>
      </c>
      <c r="Q89" s="5869">
        <v>176.08333333333334</v>
      </c>
      <c r="S89" s="5870">
        <v>138</v>
      </c>
      <c r="T89" s="5869">
        <v>85</v>
      </c>
      <c r="U89" s="5869">
        <v>65</v>
      </c>
      <c r="V89" s="5869">
        <v>60</v>
      </c>
      <c r="W89" s="5869">
        <v>95</v>
      </c>
      <c r="X89" s="5869">
        <v>70</v>
      </c>
      <c r="Y89" s="5869">
        <v>58</v>
      </c>
      <c r="Z89" s="5869">
        <v>55</v>
      </c>
      <c r="AA89" s="5871">
        <v>55</v>
      </c>
      <c r="AB89" s="5871">
        <v>59</v>
      </c>
      <c r="AC89" s="5871">
        <v>27</v>
      </c>
      <c r="AD89" s="5871">
        <v>50</v>
      </c>
      <c r="AE89" s="5872">
        <v>817</v>
      </c>
      <c r="AF89" s="5872">
        <v>68.083333333333329</v>
      </c>
      <c r="AH89" s="5870">
        <v>37</v>
      </c>
      <c r="AI89" s="5869">
        <v>59</v>
      </c>
      <c r="AJ89" s="5869">
        <v>37</v>
      </c>
      <c r="AK89" s="5869">
        <v>22</v>
      </c>
      <c r="AL89" s="5869">
        <v>55</v>
      </c>
      <c r="AM89" s="5869">
        <v>69</v>
      </c>
      <c r="AN89" s="5869">
        <v>46</v>
      </c>
      <c r="AO89" s="5869">
        <v>55</v>
      </c>
      <c r="AP89" s="6222">
        <v>62</v>
      </c>
      <c r="AQ89" s="6222">
        <v>34</v>
      </c>
      <c r="AR89" s="5869">
        <v>33</v>
      </c>
      <c r="AS89" s="5868"/>
      <c r="AT89" s="5872">
        <f>SUM(AH89:AS89)</f>
        <v>509</v>
      </c>
      <c r="AU89" s="5872">
        <f>AVERAGE(AH89:AS89)</f>
        <v>46.272727272727273</v>
      </c>
      <c r="AW89" s="5870"/>
      <c r="AX89" s="5869"/>
      <c r="AY89" s="5869"/>
      <c r="AZ89" s="5869"/>
      <c r="BA89" s="5869"/>
      <c r="BB89" s="5869"/>
      <c r="BC89" s="5869"/>
      <c r="BD89" s="5869"/>
      <c r="BE89" s="5873"/>
      <c r="BF89" s="5873"/>
      <c r="BG89" s="5868"/>
      <c r="BH89" s="5868"/>
      <c r="BI89" s="5872">
        <f>SUM(AW89:BH89)</f>
        <v>0</v>
      </c>
      <c r="BJ89" s="5872" t="e">
        <f>AVERAGE(AW89:BH89)</f>
        <v>#DIV/0!</v>
      </c>
      <c r="BL89" s="2860">
        <f t="shared" si="45"/>
        <v>-59</v>
      </c>
      <c r="BM89" s="5805" t="e">
        <f t="shared" si="37"/>
        <v>#DIV/0!</v>
      </c>
      <c r="BN89" s="2860">
        <f>IFERROR(
  SUM(
    _xlfn.XLOOKUP(DATE(YEAR($A$1),1,1),$2:$2,89:89):
    _xlfn.XLOOKUP($A$1,$2:$2,89:89)
  )
 -SUM(
    _xlfn.XLOOKUP(DATE(YEAR($A$1)-1,1,1),$2:$2,89:89):
    _xlfn.XLOOKUP(EDATE($A$1,-12),$2:$2,89:89)
  ),"")</f>
        <v>-96</v>
      </c>
      <c r="BO89" s="590">
        <f t="shared" si="46"/>
        <v>0</v>
      </c>
    </row>
    <row r="90" spans="1:67" x14ac:dyDescent="0.55000000000000004">
      <c r="A90" s="7474"/>
      <c r="B90" s="5460" t="s">
        <v>1015</v>
      </c>
      <c r="C90" s="5874" t="s">
        <v>536</v>
      </c>
      <c r="D90" s="2888">
        <v>6964</v>
      </c>
      <c r="E90" s="2888">
        <v>8431</v>
      </c>
      <c r="F90" s="2888">
        <v>8004</v>
      </c>
      <c r="G90" s="2888">
        <v>7698</v>
      </c>
      <c r="H90" s="2888">
        <v>8516</v>
      </c>
      <c r="I90" s="2888">
        <v>8032</v>
      </c>
      <c r="J90" s="2888">
        <v>6776</v>
      </c>
      <c r="K90" s="2888">
        <v>9085</v>
      </c>
      <c r="L90" s="2888">
        <v>7124</v>
      </c>
      <c r="M90" s="2888">
        <v>8483</v>
      </c>
      <c r="N90" s="2888">
        <v>7896</v>
      </c>
      <c r="O90" s="2888">
        <v>5865</v>
      </c>
      <c r="P90" s="2888">
        <v>92874</v>
      </c>
      <c r="Q90" s="2888">
        <v>7739.5</v>
      </c>
      <c r="S90" s="2887">
        <v>7998</v>
      </c>
      <c r="T90" s="2888">
        <v>6450</v>
      </c>
      <c r="U90" s="2888">
        <v>7753</v>
      </c>
      <c r="V90" s="2888">
        <v>7779</v>
      </c>
      <c r="W90" s="2888">
        <v>8814</v>
      </c>
      <c r="X90" s="2888">
        <v>7618</v>
      </c>
      <c r="Y90" s="2888">
        <v>8785</v>
      </c>
      <c r="Z90" s="2888">
        <v>7947</v>
      </c>
      <c r="AA90" s="5875">
        <v>8076</v>
      </c>
      <c r="AB90" s="5875">
        <v>8428</v>
      </c>
      <c r="AC90" s="5875">
        <v>8138</v>
      </c>
      <c r="AD90" s="5875">
        <v>7402</v>
      </c>
      <c r="AE90" s="5793">
        <v>95188</v>
      </c>
      <c r="AF90" s="5793">
        <v>7932.333333333333</v>
      </c>
      <c r="AH90" s="2887">
        <v>6785</v>
      </c>
      <c r="AI90" s="2888">
        <v>10150</v>
      </c>
      <c r="AJ90" s="2888">
        <v>8741</v>
      </c>
      <c r="AK90" s="2888">
        <v>9631</v>
      </c>
      <c r="AL90" s="2888">
        <v>16790</v>
      </c>
      <c r="AM90" s="2888">
        <v>11328</v>
      </c>
      <c r="AN90" s="2888">
        <v>13507</v>
      </c>
      <c r="AO90" s="2888">
        <v>10090</v>
      </c>
      <c r="AP90" s="5794">
        <v>9466</v>
      </c>
      <c r="AQ90" s="5794">
        <v>7342</v>
      </c>
      <c r="AR90" s="2888">
        <v>7462</v>
      </c>
      <c r="AS90" s="5874"/>
      <c r="AT90" s="5793">
        <f>SUM(AH90:AS90)</f>
        <v>111292</v>
      </c>
      <c r="AU90" s="5793">
        <f>AVERAGE(AH90:AS90)</f>
        <v>10117.454545454546</v>
      </c>
      <c r="AW90" s="2887"/>
      <c r="AX90" s="2888"/>
      <c r="AY90" s="2888"/>
      <c r="AZ90" s="2888"/>
      <c r="BA90" s="2888"/>
      <c r="BB90" s="2888"/>
      <c r="BC90" s="2888"/>
      <c r="BD90" s="2888"/>
      <c r="BE90" s="5876"/>
      <c r="BF90" s="5876"/>
      <c r="BG90" s="5874"/>
      <c r="BH90" s="5874"/>
      <c r="BI90" s="5793">
        <f>SUM(AW90:BH90)</f>
        <v>0</v>
      </c>
      <c r="BJ90" s="5793" t="e">
        <f>AVERAGE(AW90:BH90)</f>
        <v>#DIV/0!</v>
      </c>
      <c r="BL90" s="2860">
        <f t="shared" si="45"/>
        <v>-10150</v>
      </c>
      <c r="BM90" s="5805" t="e">
        <f t="shared" si="37"/>
        <v>#DIV/0!</v>
      </c>
      <c r="BN90" s="2860">
        <f>IFERROR(
  SUM(
    _xlfn.XLOOKUP(DATE(YEAR($A$1),1,1),$2:$2,90:90):
    _xlfn.XLOOKUP($A$1,$2:$2,90:90)
  )
 -SUM(
    _xlfn.XLOOKUP(DATE(YEAR($A$1)-1,1,1),$2:$2,90:90):
    _xlfn.XLOOKUP(EDATE($A$1,-12),$2:$2,90:90)
  ),"")</f>
        <v>-16935</v>
      </c>
      <c r="BO90" s="590">
        <f t="shared" si="46"/>
        <v>0</v>
      </c>
    </row>
    <row r="91" spans="1:67" x14ac:dyDescent="0.55000000000000004">
      <c r="A91" s="7474"/>
      <c r="B91" s="1338"/>
      <c r="C91" s="5877" t="s">
        <v>537</v>
      </c>
      <c r="D91" s="5795">
        <v>3.2118591723285982E-2</v>
      </c>
      <c r="E91" s="5795">
        <v>3.8249968018421392E-2</v>
      </c>
      <c r="F91" s="5795">
        <v>1.9179541822056473E-2</v>
      </c>
      <c r="G91" s="5795">
        <v>3.0477759472817133E-2</v>
      </c>
      <c r="H91" s="5795">
        <v>2.8080158337456706E-2</v>
      </c>
      <c r="I91" s="5795">
        <v>3.0048076923076924E-2</v>
      </c>
      <c r="J91" s="5795">
        <v>2.4E-2</v>
      </c>
      <c r="K91" s="5795">
        <v>2.3E-2</v>
      </c>
      <c r="L91" s="5795">
        <v>0.01</v>
      </c>
      <c r="M91" s="5795">
        <v>1.7999999999999999E-2</v>
      </c>
      <c r="N91" s="5795">
        <v>1.7999999999999999E-2</v>
      </c>
      <c r="O91" s="5795">
        <v>1.4E-2</v>
      </c>
      <c r="P91" s="5795">
        <v>2.3E-2</v>
      </c>
      <c r="Q91" s="5795">
        <v>2.3E-2</v>
      </c>
      <c r="S91" s="5796">
        <v>1.72543135783946E-2</v>
      </c>
      <c r="T91" s="5795">
        <v>1.3178294573643411E-2</v>
      </c>
      <c r="U91" s="5795">
        <v>8.3838514123565078E-3</v>
      </c>
      <c r="V91" s="5795">
        <v>7.7130736598534514E-3</v>
      </c>
      <c r="W91" s="5795">
        <v>1.0800000000000001E-2</v>
      </c>
      <c r="X91" s="5795">
        <v>9.1887634549750585E-3</v>
      </c>
      <c r="Y91" s="5795">
        <v>6.6021627774615821E-3</v>
      </c>
      <c r="Z91" s="5795">
        <v>6.9208506354599218E-3</v>
      </c>
      <c r="AA91" s="5878">
        <v>6.8103021297672116E-3</v>
      </c>
      <c r="AB91" s="5878">
        <v>7.0004746084480303E-3</v>
      </c>
      <c r="AC91" s="5878">
        <v>3.3177684934873435E-3</v>
      </c>
      <c r="AD91" s="5878">
        <v>6.754931099702783E-3</v>
      </c>
      <c r="AE91" s="5879">
        <v>8.6603988686291596E-3</v>
      </c>
      <c r="AF91" s="5800">
        <v>8.6603988686291596E-3</v>
      </c>
      <c r="AH91" s="5796">
        <v>6.1901252763448787E-3</v>
      </c>
      <c r="AI91" s="5795">
        <v>6.0098522167487687E-3</v>
      </c>
      <c r="AJ91" s="5795">
        <v>4.23292529458872E-3</v>
      </c>
      <c r="AK91" s="5795">
        <v>2.2842903125324474E-3</v>
      </c>
      <c r="AL91" s="5795">
        <v>3.2757593805836809E-3</v>
      </c>
      <c r="AM91" s="5795">
        <v>6.0911016949152545E-3</v>
      </c>
      <c r="AN91" s="5795">
        <v>3.4056415192122605E-3</v>
      </c>
      <c r="AO91" s="5795">
        <v>5.4509415262636272E-3</v>
      </c>
      <c r="AP91" s="5879">
        <v>7.1836044791886754E-3</v>
      </c>
      <c r="AQ91" s="5879">
        <v>4.630890765459003E-3</v>
      </c>
      <c r="AR91" s="5795">
        <v>4.4224068614312521E-3</v>
      </c>
      <c r="AS91" s="5877"/>
      <c r="AT91" s="5879">
        <f>AVERAGE(AH91:AS91)</f>
        <v>4.8343217570244144E-3</v>
      </c>
      <c r="AU91" s="5800">
        <f>AT91</f>
        <v>4.8343217570244144E-3</v>
      </c>
      <c r="AW91" s="5796"/>
      <c r="AX91" s="5795"/>
      <c r="AY91" s="5795"/>
      <c r="AZ91" s="5795"/>
      <c r="BA91" s="5795"/>
      <c r="BB91" s="5795"/>
      <c r="BC91" s="5795"/>
      <c r="BD91" s="5795"/>
      <c r="BE91" s="5879"/>
      <c r="BF91" s="5879"/>
      <c r="BG91" s="5877"/>
      <c r="BH91" s="5877"/>
      <c r="BI91" s="5879" t="e">
        <f>AVERAGE(AW91:BH91)</f>
        <v>#DIV/0!</v>
      </c>
      <c r="BJ91" s="5800" t="e">
        <f>BI91</f>
        <v>#DIV/0!</v>
      </c>
      <c r="BL91" s="5686">
        <f t="shared" si="45"/>
        <v>-6.0098522167487687E-3</v>
      </c>
      <c r="BM91" s="5686" t="e">
        <f t="shared" si="37"/>
        <v>#DIV/0!</v>
      </c>
      <c r="BN91" s="5686" t="e">
        <f t="shared" ref="BN91:BN92" si="47">BM91</f>
        <v>#DIV/0!</v>
      </c>
      <c r="BO91" s="2978">
        <f t="shared" si="46"/>
        <v>0</v>
      </c>
    </row>
    <row r="92" spans="1:67" x14ac:dyDescent="0.55000000000000004">
      <c r="A92" s="7474"/>
      <c r="B92" s="5880"/>
      <c r="C92" s="5877" t="s">
        <v>538</v>
      </c>
      <c r="D92" s="5795">
        <v>0.36814159292035398</v>
      </c>
      <c r="E92" s="5795">
        <v>0.47235387045813587</v>
      </c>
      <c r="F92" s="5795">
        <v>0.26716141001855287</v>
      </c>
      <c r="G92" s="5795">
        <v>0.34796238244514105</v>
      </c>
      <c r="H92" s="5795">
        <v>0.36146496815286622</v>
      </c>
      <c r="I92" s="5795">
        <v>0.39893617021276595</v>
      </c>
      <c r="J92" s="5795">
        <v>0.27100000000000002</v>
      </c>
      <c r="K92" s="5795">
        <v>0.30299999999999999</v>
      </c>
      <c r="L92" s="5795">
        <v>0.16700000000000001</v>
      </c>
      <c r="M92" s="5795">
        <v>0.29099999999999998</v>
      </c>
      <c r="N92" s="5795">
        <v>0.247</v>
      </c>
      <c r="O92" s="5795">
        <v>0.19900000000000001</v>
      </c>
      <c r="P92" s="5795">
        <v>0.317</v>
      </c>
      <c r="Q92" s="5795">
        <v>0.317</v>
      </c>
      <c r="S92" s="5796">
        <v>0.20799999999999999</v>
      </c>
      <c r="T92" s="5795">
        <v>0.18240343347639484</v>
      </c>
      <c r="U92" s="5795">
        <v>0.11423550087873462</v>
      </c>
      <c r="V92" s="5795">
        <v>0.14117647058823529</v>
      </c>
      <c r="W92" s="5795">
        <v>0.21</v>
      </c>
      <c r="X92" s="5795">
        <v>0.16393442622950818</v>
      </c>
      <c r="Y92" s="5795">
        <v>0.13457076566125289</v>
      </c>
      <c r="Z92" s="5795">
        <v>0.14102564102564102</v>
      </c>
      <c r="AA92" s="5878">
        <v>0.12087912087912088</v>
      </c>
      <c r="AB92" s="5878">
        <v>0.12660944206008584</v>
      </c>
      <c r="AC92" s="5878">
        <v>8.6538461538461536E-2</v>
      </c>
      <c r="AD92" s="5878">
        <v>0.13966480446927373</v>
      </c>
      <c r="AE92" s="5879">
        <v>0.14741983890055904</v>
      </c>
      <c r="AF92" s="5800">
        <v>0.14741983890055904</v>
      </c>
      <c r="AH92" s="5796">
        <v>7.0116861435726208E-2</v>
      </c>
      <c r="AI92" s="5795">
        <v>9.8865478119935166E-2</v>
      </c>
      <c r="AJ92" s="5795">
        <v>9.711286089238845E-2</v>
      </c>
      <c r="AK92" s="5795">
        <v>0.14193548387096774</v>
      </c>
      <c r="AL92" s="5795">
        <v>0.13924050632911392</v>
      </c>
      <c r="AM92" s="5795">
        <v>0.11004784688995216</v>
      </c>
      <c r="AN92" s="5795">
        <v>0.10383747178329571</v>
      </c>
      <c r="AO92" s="5795">
        <v>0.19366197183098591</v>
      </c>
      <c r="AP92" s="5879">
        <v>0.14977973568281938</v>
      </c>
      <c r="AQ92" s="5879">
        <v>8.2725060827250604E-2</v>
      </c>
      <c r="AR92" s="5795">
        <v>9.0659340659340656E-2</v>
      </c>
      <c r="AS92" s="5877"/>
      <c r="AT92" s="5879">
        <f>AVERAGE(AH92:AS92)</f>
        <v>0.11618023802925234</v>
      </c>
      <c r="AU92" s="5800">
        <f>AT92</f>
        <v>0.11618023802925234</v>
      </c>
      <c r="AW92" s="5796"/>
      <c r="AX92" s="5795"/>
      <c r="AY92" s="5795"/>
      <c r="AZ92" s="5795"/>
      <c r="BA92" s="5795"/>
      <c r="BB92" s="5795"/>
      <c r="BC92" s="5795"/>
      <c r="BD92" s="5795"/>
      <c r="BE92" s="5879"/>
      <c r="BF92" s="5879"/>
      <c r="BG92" s="5877"/>
      <c r="BH92" s="5877"/>
      <c r="BI92" s="5879" t="e">
        <f>AVERAGE(AW92:BH92)</f>
        <v>#DIV/0!</v>
      </c>
      <c r="BJ92" s="5800" t="e">
        <f>BI92</f>
        <v>#DIV/0!</v>
      </c>
      <c r="BL92" s="5686">
        <f t="shared" si="45"/>
        <v>-9.8865478119935166E-2</v>
      </c>
      <c r="BM92" s="5686" t="e">
        <f t="shared" si="37"/>
        <v>#DIV/0!</v>
      </c>
      <c r="BN92" s="5686" t="e">
        <f t="shared" si="47"/>
        <v>#DIV/0!</v>
      </c>
      <c r="BO92" s="2978">
        <f t="shared" si="46"/>
        <v>0</v>
      </c>
    </row>
    <row r="93" spans="1:67" x14ac:dyDescent="0.55000000000000004">
      <c r="A93" s="7474"/>
      <c r="B93" s="5881" t="s">
        <v>19</v>
      </c>
      <c r="C93" s="5882" t="s">
        <v>136</v>
      </c>
      <c r="D93" s="5883">
        <v>164</v>
      </c>
      <c r="E93" s="5883">
        <v>241</v>
      </c>
      <c r="F93" s="5883">
        <v>104</v>
      </c>
      <c r="G93" s="5883">
        <v>169</v>
      </c>
      <c r="H93" s="5883">
        <v>147</v>
      </c>
      <c r="I93" s="5883">
        <v>134</v>
      </c>
      <c r="J93" s="5883">
        <v>85</v>
      </c>
      <c r="K93" s="5883">
        <v>113</v>
      </c>
      <c r="L93" s="5883">
        <v>43</v>
      </c>
      <c r="M93" s="5883">
        <v>96</v>
      </c>
      <c r="N93" s="5883">
        <v>66</v>
      </c>
      <c r="O93" s="5883">
        <v>29</v>
      </c>
      <c r="P93" s="5883">
        <v>1391</v>
      </c>
      <c r="Q93" s="5883">
        <v>115.91666666666667</v>
      </c>
      <c r="S93" s="5884">
        <v>74</v>
      </c>
      <c r="T93" s="5883">
        <v>42</v>
      </c>
      <c r="U93" s="5883">
        <v>25</v>
      </c>
      <c r="V93" s="5883">
        <v>26</v>
      </c>
      <c r="W93" s="5883">
        <v>38</v>
      </c>
      <c r="X93" s="5883">
        <v>100</v>
      </c>
      <c r="Y93" s="5883">
        <v>27</v>
      </c>
      <c r="Z93" s="5883">
        <v>31</v>
      </c>
      <c r="AA93" s="5885">
        <v>33</v>
      </c>
      <c r="AB93" s="5885">
        <v>44</v>
      </c>
      <c r="AC93" s="5885">
        <v>14</v>
      </c>
      <c r="AD93" s="5885">
        <v>43</v>
      </c>
      <c r="AE93" s="5886">
        <v>497</v>
      </c>
      <c r="AF93" s="5886">
        <v>41.416666666666664</v>
      </c>
      <c r="AH93" s="5884">
        <v>37</v>
      </c>
      <c r="AI93" s="5883">
        <v>59</v>
      </c>
      <c r="AJ93" s="5883">
        <v>35</v>
      </c>
      <c r="AK93" s="5883">
        <v>22</v>
      </c>
      <c r="AL93" s="5883">
        <v>39</v>
      </c>
      <c r="AM93" s="5883">
        <v>54</v>
      </c>
      <c r="AN93" s="5883">
        <v>27</v>
      </c>
      <c r="AO93" s="5883">
        <v>36</v>
      </c>
      <c r="AP93" s="5894">
        <v>50</v>
      </c>
      <c r="AQ93" s="5894">
        <v>32</v>
      </c>
      <c r="AR93" s="5883">
        <v>27</v>
      </c>
      <c r="AS93" s="5882"/>
      <c r="AT93" s="5886">
        <f>SUM(AH93:AS93)</f>
        <v>418</v>
      </c>
      <c r="AU93" s="5886">
        <f t="shared" ref="AU93" si="48">AVERAGE(AH93:AS93)</f>
        <v>38</v>
      </c>
      <c r="AW93" s="5884"/>
      <c r="AX93" s="5883"/>
      <c r="AY93" s="5883"/>
      <c r="AZ93" s="5883"/>
      <c r="BA93" s="5883"/>
      <c r="BB93" s="5883"/>
      <c r="BC93" s="5883"/>
      <c r="BD93" s="5883"/>
      <c r="BE93" s="5887"/>
      <c r="BF93" s="5887"/>
      <c r="BG93" s="5882"/>
      <c r="BH93" s="5882"/>
      <c r="BI93" s="5886">
        <f>SUM(AW93:BH93)</f>
        <v>0</v>
      </c>
      <c r="BJ93" s="5886" t="e">
        <f t="shared" ref="BJ93" si="49">AVERAGE(AW93:BH93)</f>
        <v>#DIV/0!</v>
      </c>
      <c r="BL93" s="2860">
        <f t="shared" si="45"/>
        <v>-59</v>
      </c>
      <c r="BM93" s="868" t="e">
        <f t="shared" si="37"/>
        <v>#DIV/0!</v>
      </c>
      <c r="BN93" s="2860">
        <f>IFERROR(
  SUM(
    _xlfn.XLOOKUP(DATE(YEAR($A$1),1,1),$2:$2,93:93):
    _xlfn.XLOOKUP($A$1,$2:$2,93:93)
  )
 -SUM(
    _xlfn.XLOOKUP(DATE(YEAR($A$1)-1,1,1),$2:$2,93:93):
    _xlfn.XLOOKUP(EDATE($A$1,-12),$2:$2,93:93)
  ),"")</f>
        <v>-96</v>
      </c>
      <c r="BO93" s="590">
        <f t="shared" si="46"/>
        <v>0</v>
      </c>
    </row>
    <row r="94" spans="1:67" x14ac:dyDescent="0.55000000000000004">
      <c r="A94" s="7474"/>
      <c r="B94" s="5812"/>
      <c r="C94" s="5813" t="s">
        <v>533</v>
      </c>
      <c r="D94" s="5888">
        <v>4.0245398773006133E-2</v>
      </c>
      <c r="E94" s="5888">
        <v>4.9023596419853536E-2</v>
      </c>
      <c r="F94" s="5888">
        <v>2.1821233738984473E-2</v>
      </c>
      <c r="G94" s="5888">
        <v>3.4286873605193752E-2</v>
      </c>
      <c r="H94" s="5888">
        <v>2.891424075531078E-2</v>
      </c>
      <c r="I94" s="5888">
        <v>2.7241309209188859E-2</v>
      </c>
      <c r="J94" s="5888">
        <v>2.1410579345088162E-2</v>
      </c>
      <c r="K94" s="5888">
        <v>2.1172943601274124E-2</v>
      </c>
      <c r="L94" s="5888">
        <v>1.1646803900325027E-2</v>
      </c>
      <c r="M94" s="5888">
        <v>2.57441673370877E-2</v>
      </c>
      <c r="N94" s="5888">
        <v>1.5511163337250293E-2</v>
      </c>
      <c r="O94" s="5888">
        <v>7.1960297766749384E-3</v>
      </c>
      <c r="P94" s="5888">
        <v>2.5804656339857155E-2</v>
      </c>
      <c r="Q94" s="5888">
        <v>2.5804656339857155E-2</v>
      </c>
      <c r="S94" s="5889">
        <v>2.0498614958448753E-2</v>
      </c>
      <c r="T94" s="5888">
        <v>1.5102481121898598E-2</v>
      </c>
      <c r="U94" s="5888">
        <v>7.2611094975312228E-3</v>
      </c>
      <c r="V94" s="5888">
        <v>5.2324411350372305E-3</v>
      </c>
      <c r="W94" s="5888">
        <v>1.0540915395284327E-2</v>
      </c>
      <c r="X94" s="5888">
        <v>1.3483146067415731E-2</v>
      </c>
      <c r="Y94" s="5888">
        <v>6.7516879219804947E-3</v>
      </c>
      <c r="Z94" s="5888">
        <v>1.0045366169799093E-2</v>
      </c>
      <c r="AA94" s="5817">
        <v>1.0085574572127139E-2</v>
      </c>
      <c r="AB94" s="5817">
        <v>1.3484523444682808E-2</v>
      </c>
      <c r="AC94" s="5817">
        <v>4.3023970497848806E-3</v>
      </c>
      <c r="AD94" s="5817">
        <v>1.4726027397260274E-2</v>
      </c>
      <c r="AE94" s="5818">
        <v>1.0959523727604212E-2</v>
      </c>
      <c r="AF94" s="5819">
        <v>1.0959523727604212E-2</v>
      </c>
      <c r="AH94" s="5889"/>
      <c r="AI94" s="5888"/>
      <c r="AJ94" s="5888">
        <v>1.9754955590237629E-3</v>
      </c>
      <c r="AK94" s="5888">
        <v>8.0596518230412445E-4</v>
      </c>
      <c r="AL94" s="5888">
        <v>5.1566838556128518E-3</v>
      </c>
      <c r="AM94" s="5888">
        <v>1.3206162876008804E-2</v>
      </c>
      <c r="AN94" s="5888">
        <v>4.7186298497029011E-3</v>
      </c>
      <c r="AO94" s="5888">
        <v>9.3506493506493506E-3</v>
      </c>
      <c r="AP94" s="5818">
        <v>1.2431626056688214E-2</v>
      </c>
      <c r="AQ94" s="5818">
        <v>1.1573236889692586E-2</v>
      </c>
      <c r="AR94" s="5833">
        <v>9.5507605235231694E-3</v>
      </c>
      <c r="AS94" s="5813"/>
      <c r="AT94" s="5818">
        <f>AVERAGE(AH94:AS94)</f>
        <v>7.6410233492450845E-3</v>
      </c>
      <c r="AU94" s="5819">
        <f>AT94</f>
        <v>7.6410233492450845E-3</v>
      </c>
      <c r="AW94" s="5889"/>
      <c r="AX94" s="5888"/>
      <c r="AY94" s="5888"/>
      <c r="AZ94" s="5888"/>
      <c r="BA94" s="5888"/>
      <c r="BB94" s="5888"/>
      <c r="BC94" s="5888"/>
      <c r="BD94" s="5888"/>
      <c r="BE94" s="5818"/>
      <c r="BF94" s="5818"/>
      <c r="BG94" s="5813"/>
      <c r="BH94" s="5813"/>
      <c r="BI94" s="5818" t="e">
        <f>AVERAGE(AW94:BH94)</f>
        <v>#DIV/0!</v>
      </c>
      <c r="BJ94" s="5819" t="e">
        <f>BI94</f>
        <v>#DIV/0!</v>
      </c>
      <c r="BL94" s="5686">
        <f t="shared" si="45"/>
        <v>0</v>
      </c>
      <c r="BM94" s="5686" t="e">
        <f t="shared" si="37"/>
        <v>#DIV/0!</v>
      </c>
      <c r="BN94" s="5686" t="e">
        <f t="shared" ref="BN94" si="50">BM94</f>
        <v>#DIV/0!</v>
      </c>
      <c r="BO94" s="2978">
        <f t="shared" si="46"/>
        <v>0</v>
      </c>
    </row>
    <row r="95" spans="1:67" x14ac:dyDescent="0.55000000000000004">
      <c r="A95" s="7474"/>
      <c r="B95" s="1822"/>
      <c r="C95" s="559" t="s">
        <v>67</v>
      </c>
      <c r="D95" s="1102">
        <v>22</v>
      </c>
      <c r="E95" s="1102">
        <v>24</v>
      </c>
      <c r="F95" s="1102">
        <v>6</v>
      </c>
      <c r="G95" s="1102">
        <v>18</v>
      </c>
      <c r="H95" s="1102">
        <v>5</v>
      </c>
      <c r="I95" s="1102">
        <v>11</v>
      </c>
      <c r="J95" s="1102">
        <v>20</v>
      </c>
      <c r="K95" s="1102">
        <v>13</v>
      </c>
      <c r="L95" s="1102">
        <v>3</v>
      </c>
      <c r="M95" s="1102">
        <v>2</v>
      </c>
      <c r="N95" s="1102">
        <v>4</v>
      </c>
      <c r="O95" s="1102"/>
      <c r="P95" s="1102">
        <v>128</v>
      </c>
      <c r="Q95" s="1102">
        <v>10.666666666666666</v>
      </c>
      <c r="S95" s="2882">
        <v>0</v>
      </c>
      <c r="T95" s="1102">
        <v>2</v>
      </c>
      <c r="U95" s="1102">
        <v>2</v>
      </c>
      <c r="V95" s="1102">
        <v>0</v>
      </c>
      <c r="W95" s="1102">
        <v>0</v>
      </c>
      <c r="X95" s="1102">
        <v>0</v>
      </c>
      <c r="Y95" s="1102">
        <v>0</v>
      </c>
      <c r="Z95" s="559">
        <v>2</v>
      </c>
      <c r="AA95" s="2860">
        <v>0</v>
      </c>
      <c r="AB95" s="2860">
        <v>0</v>
      </c>
      <c r="AC95" s="2860">
        <v>0</v>
      </c>
      <c r="AD95" s="2860">
        <v>0</v>
      </c>
      <c r="AE95" s="590">
        <v>6</v>
      </c>
      <c r="AF95" s="5628">
        <v>0.5</v>
      </c>
      <c r="AH95" s="2882">
        <v>6</v>
      </c>
      <c r="AI95" s="1102">
        <v>0</v>
      </c>
      <c r="AJ95" s="1102"/>
      <c r="AK95" s="1102"/>
      <c r="AL95" s="1102">
        <v>2</v>
      </c>
      <c r="AM95" s="1102">
        <v>2</v>
      </c>
      <c r="AN95" s="1102">
        <v>1</v>
      </c>
      <c r="AQ95" s="559">
        <v>4</v>
      </c>
      <c r="AT95" s="590">
        <f>SUM(AH95:AS95)</f>
        <v>15</v>
      </c>
      <c r="AU95" s="5628">
        <f t="shared" ref="AU95:AU105" si="51">AVERAGE(AH95:AS95)</f>
        <v>2.5</v>
      </c>
      <c r="AW95" s="2882"/>
      <c r="AX95" s="1102"/>
      <c r="AY95" s="1102"/>
      <c r="AZ95" s="1102"/>
      <c r="BA95" s="1102"/>
      <c r="BB95" s="1102"/>
      <c r="BC95" s="1102"/>
      <c r="BI95" s="590">
        <f>SUM(AW95:BH95)</f>
        <v>0</v>
      </c>
      <c r="BJ95" s="5628" t="e">
        <f t="shared" ref="BJ95:BJ105" si="52">AVERAGE(AW95:BH95)</f>
        <v>#DIV/0!</v>
      </c>
      <c r="BL95" s="2860">
        <f t="shared" si="45"/>
        <v>0</v>
      </c>
      <c r="BM95" s="868" t="e">
        <f t="shared" si="37"/>
        <v>#DIV/0!</v>
      </c>
      <c r="BN95" s="2860">
        <f>IFERROR(
  SUM(
    _xlfn.XLOOKUP(DATE(YEAR($A$1),1,1),$2:$2,95:95):
    _xlfn.XLOOKUP($A$1,$2:$2,95:95)
  )
 -SUM(
    _xlfn.XLOOKUP(DATE(YEAR($A$1)-1,1,1),$2:$2,95:95):
    _xlfn.XLOOKUP(EDATE($A$1,-12),$2:$2,95:95)
  ),"")</f>
        <v>-6</v>
      </c>
      <c r="BO95" s="590">
        <f t="shared" si="46"/>
        <v>0</v>
      </c>
    </row>
    <row r="96" spans="1:67" x14ac:dyDescent="0.55000000000000004">
      <c r="A96" s="7474"/>
      <c r="B96" s="1822"/>
      <c r="C96" s="559" t="s">
        <v>70</v>
      </c>
      <c r="D96" s="1102">
        <v>28</v>
      </c>
      <c r="E96" s="1102">
        <v>52</v>
      </c>
      <c r="F96" s="1102">
        <v>24</v>
      </c>
      <c r="G96" s="1102">
        <v>30</v>
      </c>
      <c r="H96" s="1102">
        <v>40</v>
      </c>
      <c r="I96" s="1102">
        <v>21</v>
      </c>
      <c r="J96" s="1102">
        <v>6</v>
      </c>
      <c r="K96" s="1102">
        <v>18</v>
      </c>
      <c r="L96" s="1102"/>
      <c r="M96" s="1102">
        <v>24</v>
      </c>
      <c r="N96" s="1102">
        <v>4</v>
      </c>
      <c r="O96" s="1102"/>
      <c r="P96" s="1102">
        <v>247</v>
      </c>
      <c r="Q96" s="1102">
        <v>20.583333333333332</v>
      </c>
      <c r="S96" s="2882">
        <v>12</v>
      </c>
      <c r="T96" s="1102">
        <v>4</v>
      </c>
      <c r="U96" s="1102">
        <v>4</v>
      </c>
      <c r="V96" s="1102">
        <v>0</v>
      </c>
      <c r="W96" s="1102">
        <v>2</v>
      </c>
      <c r="X96" s="1102">
        <v>2</v>
      </c>
      <c r="Y96" s="1102"/>
      <c r="Z96" s="559">
        <v>4</v>
      </c>
      <c r="AA96" s="2860">
        <v>5</v>
      </c>
      <c r="AB96" s="2860">
        <v>4</v>
      </c>
      <c r="AC96" s="2860">
        <v>0</v>
      </c>
      <c r="AD96" s="2860">
        <v>2</v>
      </c>
      <c r="AE96" s="590">
        <v>39</v>
      </c>
      <c r="AF96" s="5628">
        <v>3.5454545454545454</v>
      </c>
      <c r="AH96" s="2882">
        <v>2</v>
      </c>
      <c r="AI96" s="1102">
        <v>2</v>
      </c>
      <c r="AJ96" s="1102"/>
      <c r="AK96" s="1102">
        <v>8</v>
      </c>
      <c r="AL96" s="1102">
        <v>4</v>
      </c>
      <c r="AM96" s="1102">
        <v>2</v>
      </c>
      <c r="AN96" s="1102">
        <v>2</v>
      </c>
      <c r="AP96" s="559">
        <v>2</v>
      </c>
      <c r="AR96" s="559">
        <v>2</v>
      </c>
      <c r="AT96" s="590">
        <f t="shared" ref="AT96:AT104" si="53">SUM(AH96:AS96)</f>
        <v>24</v>
      </c>
      <c r="AU96" s="5628">
        <f t="shared" si="51"/>
        <v>3</v>
      </c>
      <c r="AW96" s="2882"/>
      <c r="AX96" s="1102"/>
      <c r="AY96" s="1102"/>
      <c r="AZ96" s="1102"/>
      <c r="BA96" s="1102"/>
      <c r="BB96" s="1102"/>
      <c r="BC96" s="1102"/>
      <c r="BI96" s="590">
        <f t="shared" ref="BI96:BI104" si="54">SUM(AW96:BH96)</f>
        <v>0</v>
      </c>
      <c r="BJ96" s="5628" t="e">
        <f t="shared" si="52"/>
        <v>#DIV/0!</v>
      </c>
      <c r="BL96" s="2860">
        <f t="shared" si="45"/>
        <v>-2</v>
      </c>
      <c r="BM96" s="868" t="e">
        <f t="shared" si="37"/>
        <v>#DIV/0!</v>
      </c>
      <c r="BN96" s="2860">
        <f>IFERROR(
  SUM(
    _xlfn.XLOOKUP(DATE(YEAR($A$1),1,1),$2:$2,96:96):
    _xlfn.XLOOKUP($A$1,$2:$2,96:96)
  )
 -SUM(
    _xlfn.XLOOKUP(DATE(YEAR($A$1)-1,1,1),$2:$2,96:96):
    _xlfn.XLOOKUP(EDATE($A$1,-12),$2:$2,96:96)
  ),"")</f>
        <v>-4</v>
      </c>
      <c r="BO96" s="590">
        <f t="shared" si="46"/>
        <v>0</v>
      </c>
    </row>
    <row r="97" spans="1:67" x14ac:dyDescent="0.55000000000000004">
      <c r="A97" s="7474"/>
      <c r="B97" s="1822"/>
      <c r="C97" s="559" t="s">
        <v>68</v>
      </c>
      <c r="D97" s="1102">
        <v>6</v>
      </c>
      <c r="E97" s="1102">
        <v>2</v>
      </c>
      <c r="F97" s="1102">
        <v>6</v>
      </c>
      <c r="G97" s="1102">
        <v>6</v>
      </c>
      <c r="H97" s="1102">
        <v>14</v>
      </c>
      <c r="I97" s="1102">
        <v>12</v>
      </c>
      <c r="J97" s="1102">
        <v>8</v>
      </c>
      <c r="K97" s="1102">
        <v>7</v>
      </c>
      <c r="L97" s="1102">
        <v>4</v>
      </c>
      <c r="M97" s="1102">
        <v>4</v>
      </c>
      <c r="N97" s="1102"/>
      <c r="O97" s="1102">
        <v>2</v>
      </c>
      <c r="P97" s="1102">
        <v>71</v>
      </c>
      <c r="Q97" s="1102">
        <v>5.916666666666667</v>
      </c>
      <c r="S97" s="2882">
        <v>4</v>
      </c>
      <c r="T97" s="1102">
        <v>0</v>
      </c>
      <c r="U97" s="1102">
        <v>2</v>
      </c>
      <c r="V97" s="1102">
        <v>6</v>
      </c>
      <c r="W97" s="1102">
        <v>2</v>
      </c>
      <c r="X97" s="1102">
        <v>6</v>
      </c>
      <c r="Y97" s="1102">
        <v>4</v>
      </c>
      <c r="Z97" s="559">
        <v>2</v>
      </c>
      <c r="AA97" s="2860">
        <v>0</v>
      </c>
      <c r="AB97" s="2860">
        <v>2</v>
      </c>
      <c r="AC97" s="2860">
        <v>0</v>
      </c>
      <c r="AD97" s="2860">
        <v>6</v>
      </c>
      <c r="AE97" s="590">
        <v>34</v>
      </c>
      <c r="AF97" s="5628">
        <v>2.8333333333333335</v>
      </c>
      <c r="AH97" s="2882">
        <v>0</v>
      </c>
      <c r="AI97" s="1102">
        <v>2</v>
      </c>
      <c r="AJ97" s="1102">
        <v>6</v>
      </c>
      <c r="AK97" s="1102"/>
      <c r="AL97" s="1102">
        <v>4</v>
      </c>
      <c r="AM97" s="1102">
        <v>8</v>
      </c>
      <c r="AN97" s="1102">
        <v>2</v>
      </c>
      <c r="AO97" s="559">
        <v>4</v>
      </c>
      <c r="AP97" s="559">
        <v>4</v>
      </c>
      <c r="AQ97" s="559">
        <v>2</v>
      </c>
      <c r="AT97" s="590">
        <f t="shared" si="53"/>
        <v>32</v>
      </c>
      <c r="AU97" s="5628">
        <f t="shared" si="51"/>
        <v>3.5555555555555554</v>
      </c>
      <c r="AW97" s="2882"/>
      <c r="AX97" s="1102"/>
      <c r="AY97" s="1102"/>
      <c r="AZ97" s="1102"/>
      <c r="BA97" s="1102"/>
      <c r="BB97" s="1102"/>
      <c r="BC97" s="1102"/>
      <c r="BI97" s="590">
        <f t="shared" si="54"/>
        <v>0</v>
      </c>
      <c r="BJ97" s="5628" t="e">
        <f t="shared" si="52"/>
        <v>#DIV/0!</v>
      </c>
      <c r="BL97" s="2860">
        <f t="shared" si="45"/>
        <v>-2</v>
      </c>
      <c r="BM97" s="868" t="e">
        <f t="shared" si="37"/>
        <v>#DIV/0!</v>
      </c>
      <c r="BN97" s="2860">
        <f>IFERROR(
  SUM(
    _xlfn.XLOOKUP(DATE(YEAR($A$1),1,1),$2:$2,97:97):
    _xlfn.XLOOKUP($A$1,$2:$2,97:97)
  )
 -SUM(
    _xlfn.XLOOKUP(DATE(YEAR($A$1)-1,1,1),$2:$2,97:97):
    _xlfn.XLOOKUP(EDATE($A$1,-12),$2:$2,97:97)
  ),"")</f>
        <v>-2</v>
      </c>
      <c r="BO97" s="590">
        <f t="shared" si="46"/>
        <v>0</v>
      </c>
    </row>
    <row r="98" spans="1:67" x14ac:dyDescent="0.55000000000000004">
      <c r="A98" s="7474"/>
      <c r="B98" s="1822"/>
      <c r="C98" s="559" t="s">
        <v>143</v>
      </c>
      <c r="D98" s="1102">
        <v>26</v>
      </c>
      <c r="E98" s="1102">
        <v>37</v>
      </c>
      <c r="F98" s="1102">
        <v>14</v>
      </c>
      <c r="G98" s="1102">
        <v>26</v>
      </c>
      <c r="H98" s="1102">
        <v>22</v>
      </c>
      <c r="I98" s="1102">
        <v>19</v>
      </c>
      <c r="J98" s="1102">
        <v>2</v>
      </c>
      <c r="K98" s="1102">
        <v>14</v>
      </c>
      <c r="L98" s="1102">
        <v>3</v>
      </c>
      <c r="M98" s="1102">
        <v>16</v>
      </c>
      <c r="N98" s="1102">
        <v>4</v>
      </c>
      <c r="O98" s="1102">
        <v>4</v>
      </c>
      <c r="P98" s="1102">
        <v>187</v>
      </c>
      <c r="Q98" s="1102">
        <v>15.583333333333334</v>
      </c>
      <c r="S98" s="2882">
        <v>10</v>
      </c>
      <c r="T98" s="1102">
        <v>2</v>
      </c>
      <c r="U98" s="1102">
        <v>2</v>
      </c>
      <c r="V98" s="1102">
        <v>2</v>
      </c>
      <c r="W98" s="1102">
        <v>6</v>
      </c>
      <c r="X98" s="1102">
        <v>6</v>
      </c>
      <c r="Y98" s="1102">
        <v>0</v>
      </c>
      <c r="Z98" s="559">
        <v>1</v>
      </c>
      <c r="AA98" s="2860">
        <v>4</v>
      </c>
      <c r="AB98" s="2860">
        <v>2</v>
      </c>
      <c r="AC98" s="2860">
        <v>0</v>
      </c>
      <c r="AD98" s="2860">
        <v>4</v>
      </c>
      <c r="AE98" s="590">
        <v>39</v>
      </c>
      <c r="AF98" s="5628">
        <v>3.25</v>
      </c>
      <c r="AH98" s="2882">
        <v>4</v>
      </c>
      <c r="AI98" s="1102">
        <v>14</v>
      </c>
      <c r="AJ98" s="1102"/>
      <c r="AK98" s="1102">
        <v>2</v>
      </c>
      <c r="AL98" s="1102">
        <v>6</v>
      </c>
      <c r="AM98" s="1102">
        <v>6</v>
      </c>
      <c r="AN98" s="1102">
        <v>2</v>
      </c>
      <c r="AO98" s="559">
        <v>5</v>
      </c>
      <c r="AP98" s="559">
        <v>6</v>
      </c>
      <c r="AQ98" s="559">
        <v>2</v>
      </c>
      <c r="AT98" s="590">
        <f t="shared" si="53"/>
        <v>47</v>
      </c>
      <c r="AU98" s="5628">
        <f t="shared" si="51"/>
        <v>5.2222222222222223</v>
      </c>
      <c r="AW98" s="2882"/>
      <c r="AX98" s="1102"/>
      <c r="AY98" s="1102"/>
      <c r="AZ98" s="1102"/>
      <c r="BA98" s="1102"/>
      <c r="BB98" s="1102"/>
      <c r="BC98" s="1102"/>
      <c r="BI98" s="590">
        <f t="shared" si="54"/>
        <v>0</v>
      </c>
      <c r="BJ98" s="5628" t="e">
        <f t="shared" si="52"/>
        <v>#DIV/0!</v>
      </c>
      <c r="BL98" s="2860">
        <f t="shared" si="45"/>
        <v>-14</v>
      </c>
      <c r="BM98" s="868" t="e">
        <f t="shared" si="37"/>
        <v>#DIV/0!</v>
      </c>
      <c r="BN98" s="2860">
        <f>IFERROR(
  SUM(
    _xlfn.XLOOKUP(DATE(YEAR($A$1),1,1),$2:$2,98:98):
    _xlfn.XLOOKUP($A$1,$2:$2,98:98)
  )
 -SUM(
    _xlfn.XLOOKUP(DATE(YEAR($A$1)-1,1,1),$2:$2,98:98):
    _xlfn.XLOOKUP(EDATE($A$1,-12),$2:$2,98:98)
  ),"")</f>
        <v>-18</v>
      </c>
      <c r="BO98" s="590">
        <f t="shared" si="46"/>
        <v>0</v>
      </c>
    </row>
    <row r="99" spans="1:67" x14ac:dyDescent="0.55000000000000004">
      <c r="A99" s="7474"/>
      <c r="B99" s="1822"/>
      <c r="C99" s="559" t="s">
        <v>69</v>
      </c>
      <c r="D99" s="1102">
        <v>16</v>
      </c>
      <c r="E99" s="1102">
        <v>26</v>
      </c>
      <c r="F99" s="1102">
        <v>13</v>
      </c>
      <c r="G99" s="1102">
        <v>7</v>
      </c>
      <c r="H99" s="1102">
        <v>4</v>
      </c>
      <c r="I99" s="1102">
        <v>6</v>
      </c>
      <c r="J99" s="1102">
        <v>8</v>
      </c>
      <c r="K99" s="1102">
        <v>14</v>
      </c>
      <c r="L99" s="1102">
        <v>6</v>
      </c>
      <c r="M99" s="1102">
        <v>4</v>
      </c>
      <c r="N99" s="1102">
        <v>21</v>
      </c>
      <c r="O99" s="1102"/>
      <c r="P99" s="1102">
        <v>125</v>
      </c>
      <c r="Q99" s="1102">
        <v>10.416666666666666</v>
      </c>
      <c r="S99" s="2882">
        <v>22</v>
      </c>
      <c r="T99" s="1102">
        <v>13</v>
      </c>
      <c r="U99" s="1102">
        <v>4</v>
      </c>
      <c r="V99" s="1102">
        <v>4</v>
      </c>
      <c r="W99" s="1102">
        <v>3</v>
      </c>
      <c r="X99" s="1102">
        <v>4</v>
      </c>
      <c r="Y99" s="1102">
        <v>6</v>
      </c>
      <c r="Z99" s="559">
        <v>8</v>
      </c>
      <c r="AA99" s="2860">
        <v>8</v>
      </c>
      <c r="AB99" s="2860">
        <v>2</v>
      </c>
      <c r="AC99" s="2860">
        <v>1</v>
      </c>
      <c r="AD99" s="2860">
        <v>8</v>
      </c>
      <c r="AE99" s="590">
        <v>83</v>
      </c>
      <c r="AF99" s="5628">
        <v>6.916666666666667</v>
      </c>
      <c r="AH99" s="2882">
        <v>8</v>
      </c>
      <c r="AI99" s="1102">
        <v>11</v>
      </c>
      <c r="AJ99" s="1102">
        <v>5</v>
      </c>
      <c r="AK99" s="1102"/>
      <c r="AL99" s="1102">
        <v>6</v>
      </c>
      <c r="AM99" s="1102">
        <v>4</v>
      </c>
      <c r="AN99" s="1102">
        <v>8</v>
      </c>
      <c r="AO99" s="559">
        <v>8</v>
      </c>
      <c r="AP99" s="559">
        <v>8</v>
      </c>
      <c r="AQ99" s="559">
        <v>6</v>
      </c>
      <c r="AT99" s="590">
        <f t="shared" si="53"/>
        <v>64</v>
      </c>
      <c r="AU99" s="5628">
        <f t="shared" si="51"/>
        <v>7.1111111111111107</v>
      </c>
      <c r="AW99" s="2882"/>
      <c r="AX99" s="1102"/>
      <c r="AY99" s="1102"/>
      <c r="AZ99" s="1102"/>
      <c r="BA99" s="1102"/>
      <c r="BB99" s="1102"/>
      <c r="BC99" s="1102"/>
      <c r="BI99" s="590">
        <f t="shared" si="54"/>
        <v>0</v>
      </c>
      <c r="BJ99" s="5628" t="e">
        <f t="shared" si="52"/>
        <v>#DIV/0!</v>
      </c>
      <c r="BL99" s="2860">
        <f t="shared" si="45"/>
        <v>-11</v>
      </c>
      <c r="BM99" s="868" t="e">
        <f t="shared" si="37"/>
        <v>#DIV/0!</v>
      </c>
      <c r="BN99" s="2860">
        <f>IFERROR(
  SUM(
    _xlfn.XLOOKUP(DATE(YEAR($A$1),1,1),$2:$2,99:99):
    _xlfn.XLOOKUP($A$1,$2:$2,99:99)
  )
 -SUM(
    _xlfn.XLOOKUP(DATE(YEAR($A$1)-1,1,1),$2:$2,99:99):
    _xlfn.XLOOKUP(EDATE($A$1,-12),$2:$2,99:99)
  ),"")</f>
        <v>-19</v>
      </c>
      <c r="BO99" s="590">
        <f t="shared" si="46"/>
        <v>0</v>
      </c>
    </row>
    <row r="100" spans="1:67" x14ac:dyDescent="0.55000000000000004">
      <c r="A100" s="7474"/>
      <c r="B100" s="1822"/>
      <c r="C100" s="559" t="s">
        <v>71</v>
      </c>
      <c r="D100" s="1102">
        <v>12</v>
      </c>
      <c r="E100" s="1102">
        <v>28</v>
      </c>
      <c r="F100" s="1102">
        <v>10</v>
      </c>
      <c r="G100" s="1102">
        <v>34</v>
      </c>
      <c r="H100" s="1102">
        <v>22</v>
      </c>
      <c r="I100" s="1102">
        <v>24</v>
      </c>
      <c r="J100" s="1102">
        <v>16</v>
      </c>
      <c r="K100" s="1102">
        <v>10</v>
      </c>
      <c r="L100" s="1102">
        <v>8</v>
      </c>
      <c r="M100" s="1102">
        <v>12</v>
      </c>
      <c r="N100" s="1102">
        <v>2</v>
      </c>
      <c r="O100" s="1102">
        <v>7</v>
      </c>
      <c r="P100" s="1102">
        <v>185</v>
      </c>
      <c r="Q100" s="1102">
        <v>15.416666666666666</v>
      </c>
      <c r="S100" s="2882">
        <v>0</v>
      </c>
      <c r="T100" s="1102">
        <v>2</v>
      </c>
      <c r="U100" s="1102">
        <v>2</v>
      </c>
      <c r="V100" s="1102">
        <v>2</v>
      </c>
      <c r="W100" s="1102">
        <v>4</v>
      </c>
      <c r="X100" s="1102">
        <v>0</v>
      </c>
      <c r="Y100" s="1102">
        <v>2</v>
      </c>
      <c r="Z100" s="559">
        <v>4</v>
      </c>
      <c r="AA100" s="2860">
        <v>8</v>
      </c>
      <c r="AB100" s="2860">
        <v>14</v>
      </c>
      <c r="AC100" s="2860">
        <v>0</v>
      </c>
      <c r="AD100" s="2860">
        <v>7</v>
      </c>
      <c r="AE100" s="590">
        <v>45</v>
      </c>
      <c r="AF100" s="5628">
        <v>3.75</v>
      </c>
      <c r="AH100" s="2882">
        <v>8</v>
      </c>
      <c r="AI100" s="1102">
        <v>14</v>
      </c>
      <c r="AJ100" s="1102">
        <v>4</v>
      </c>
      <c r="AK100" s="1102">
        <v>4</v>
      </c>
      <c r="AL100" s="1102">
        <v>4</v>
      </c>
      <c r="AM100" s="1102">
        <v>2</v>
      </c>
      <c r="AN100" s="1102"/>
      <c r="AP100" s="559">
        <v>12</v>
      </c>
      <c r="AQ100" s="559">
        <v>4</v>
      </c>
      <c r="AR100" s="559">
        <v>2</v>
      </c>
      <c r="AT100" s="590">
        <f t="shared" si="53"/>
        <v>54</v>
      </c>
      <c r="AU100" s="5628">
        <f t="shared" si="51"/>
        <v>6</v>
      </c>
      <c r="AW100" s="2882"/>
      <c r="AX100" s="1102"/>
      <c r="AY100" s="1102"/>
      <c r="AZ100" s="1102"/>
      <c r="BA100" s="1102"/>
      <c r="BB100" s="1102"/>
      <c r="BC100" s="1102"/>
      <c r="BI100" s="590">
        <f t="shared" si="54"/>
        <v>0</v>
      </c>
      <c r="BJ100" s="5628" t="e">
        <f t="shared" si="52"/>
        <v>#DIV/0!</v>
      </c>
      <c r="BL100" s="2860">
        <f t="shared" si="45"/>
        <v>-14</v>
      </c>
      <c r="BM100" s="868" t="e">
        <f t="shared" si="37"/>
        <v>#DIV/0!</v>
      </c>
      <c r="BN100" s="2860">
        <f>IFERROR(
  SUM(
    _xlfn.XLOOKUP(DATE(YEAR($A$1),1,1),$2:$2,100:100):
    _xlfn.XLOOKUP($A$1,$2:$2,100:100)
  )
 -SUM(
    _xlfn.XLOOKUP(DATE(YEAR($A$1)-1,1,1),$2:$2,100:100):
    _xlfn.XLOOKUP(EDATE($A$1,-12),$2:$2,100:100)
  ),"")</f>
        <v>-22</v>
      </c>
      <c r="BO100" s="590">
        <f t="shared" si="46"/>
        <v>0</v>
      </c>
    </row>
    <row r="101" spans="1:67" x14ac:dyDescent="0.55000000000000004">
      <c r="A101" s="7474"/>
      <c r="B101" s="1822"/>
      <c r="C101" s="559" t="s">
        <v>72</v>
      </c>
      <c r="D101" s="1102">
        <v>22</v>
      </c>
      <c r="E101" s="1102">
        <v>31</v>
      </c>
      <c r="F101" s="1102">
        <v>6</v>
      </c>
      <c r="G101" s="1102">
        <v>8</v>
      </c>
      <c r="H101" s="1102">
        <v>4</v>
      </c>
      <c r="I101" s="1102">
        <v>10</v>
      </c>
      <c r="J101" s="1102"/>
      <c r="K101" s="1102">
        <v>8</v>
      </c>
      <c r="L101" s="1102">
        <v>8</v>
      </c>
      <c r="M101" s="1102">
        <v>6</v>
      </c>
      <c r="N101" s="1102">
        <v>6</v>
      </c>
      <c r="O101" s="1102">
        <v>2</v>
      </c>
      <c r="P101" s="1102">
        <v>111</v>
      </c>
      <c r="Q101" s="1102">
        <v>9.25</v>
      </c>
      <c r="S101" s="2882">
        <v>4</v>
      </c>
      <c r="T101" s="1102">
        <v>3</v>
      </c>
      <c r="U101" s="1102">
        <v>2</v>
      </c>
      <c r="V101" s="1102">
        <v>0</v>
      </c>
      <c r="W101" s="1102">
        <v>4</v>
      </c>
      <c r="X101" s="1102">
        <v>6</v>
      </c>
      <c r="Y101" s="1102">
        <v>2</v>
      </c>
      <c r="Z101" s="559">
        <v>2</v>
      </c>
      <c r="AA101" s="2860">
        <v>4</v>
      </c>
      <c r="AB101" s="2860">
        <v>13</v>
      </c>
      <c r="AC101" s="2860">
        <v>8</v>
      </c>
      <c r="AD101" s="2860">
        <v>4</v>
      </c>
      <c r="AE101" s="590">
        <v>52</v>
      </c>
      <c r="AF101" s="5628">
        <v>4.333333333333333</v>
      </c>
      <c r="AH101" s="2882">
        <v>4</v>
      </c>
      <c r="AI101" s="1102">
        <v>4</v>
      </c>
      <c r="AJ101" s="1102">
        <v>2</v>
      </c>
      <c r="AK101" s="1102">
        <v>2</v>
      </c>
      <c r="AL101" s="1102">
        <v>5</v>
      </c>
      <c r="AM101" s="1102">
        <v>12</v>
      </c>
      <c r="AN101" s="1102">
        <v>8</v>
      </c>
      <c r="AO101" s="559">
        <v>5</v>
      </c>
      <c r="AP101" s="559">
        <v>4</v>
      </c>
      <c r="AQ101" s="559">
        <v>4</v>
      </c>
      <c r="AR101" s="559">
        <v>10</v>
      </c>
      <c r="AT101" s="590">
        <f t="shared" si="53"/>
        <v>60</v>
      </c>
      <c r="AU101" s="5628">
        <f t="shared" si="51"/>
        <v>5.4545454545454541</v>
      </c>
      <c r="AW101" s="2882"/>
      <c r="AX101" s="1102"/>
      <c r="AY101" s="1102"/>
      <c r="AZ101" s="1102"/>
      <c r="BA101" s="1102"/>
      <c r="BB101" s="1102"/>
      <c r="BC101" s="1102"/>
      <c r="BI101" s="590">
        <f t="shared" si="54"/>
        <v>0</v>
      </c>
      <c r="BJ101" s="5628" t="e">
        <f t="shared" si="52"/>
        <v>#DIV/0!</v>
      </c>
      <c r="BL101" s="2860">
        <f t="shared" si="45"/>
        <v>-4</v>
      </c>
      <c r="BM101" s="868" t="e">
        <f t="shared" si="37"/>
        <v>#DIV/0!</v>
      </c>
      <c r="BN101" s="2860">
        <f>IFERROR(
  SUM(
    _xlfn.XLOOKUP(DATE(YEAR($A$1),1,1),$2:$2,101:101):
    _xlfn.XLOOKUP($A$1,$2:$2,101:101)
  )
 -SUM(
    _xlfn.XLOOKUP(DATE(YEAR($A$1)-1,1,1),$2:$2,101:101):
    _xlfn.XLOOKUP(EDATE($A$1,-12),$2:$2,101:101)
  ),"")</f>
        <v>-8</v>
      </c>
      <c r="BO101" s="590">
        <f t="shared" si="46"/>
        <v>0</v>
      </c>
    </row>
    <row r="102" spans="1:67" x14ac:dyDescent="0.55000000000000004">
      <c r="A102" s="7474"/>
      <c r="B102" s="1822"/>
      <c r="C102" s="559" t="s">
        <v>73</v>
      </c>
      <c r="D102" s="1102">
        <v>12</v>
      </c>
      <c r="E102" s="1102">
        <v>22</v>
      </c>
      <c r="F102" s="1102">
        <v>6</v>
      </c>
      <c r="G102" s="1102">
        <v>12</v>
      </c>
      <c r="H102" s="1102">
        <v>4</v>
      </c>
      <c r="I102" s="1102">
        <v>8</v>
      </c>
      <c r="J102" s="1102">
        <v>5</v>
      </c>
      <c r="K102" s="1102">
        <v>10</v>
      </c>
      <c r="L102" s="1102">
        <v>2</v>
      </c>
      <c r="M102" s="1102">
        <v>12</v>
      </c>
      <c r="N102" s="1102">
        <v>4</v>
      </c>
      <c r="O102" s="1102">
        <v>7</v>
      </c>
      <c r="P102" s="1102">
        <v>104</v>
      </c>
      <c r="Q102" s="1102">
        <v>8.6666666666666661</v>
      </c>
      <c r="S102" s="2882">
        <v>14</v>
      </c>
      <c r="T102" s="1102">
        <v>14</v>
      </c>
      <c r="U102" s="1102">
        <v>3</v>
      </c>
      <c r="V102" s="1102">
        <v>6</v>
      </c>
      <c r="W102" s="1102">
        <v>6</v>
      </c>
      <c r="X102" s="1102">
        <v>14</v>
      </c>
      <c r="Y102" s="1102">
        <v>6</v>
      </c>
      <c r="Z102" s="559">
        <v>2</v>
      </c>
      <c r="AA102" s="2860">
        <v>2</v>
      </c>
      <c r="AB102" s="2860">
        <v>7</v>
      </c>
      <c r="AC102" s="2860">
        <v>2</v>
      </c>
      <c r="AD102" s="2860">
        <v>8</v>
      </c>
      <c r="AE102" s="590">
        <v>84</v>
      </c>
      <c r="AF102" s="5628">
        <v>7</v>
      </c>
      <c r="AH102" s="2882">
        <v>4</v>
      </c>
      <c r="AI102" s="1102">
        <v>8</v>
      </c>
      <c r="AJ102" s="1102">
        <v>6</v>
      </c>
      <c r="AK102" s="1102"/>
      <c r="AL102" s="1102">
        <v>6</v>
      </c>
      <c r="AM102" s="1102">
        <v>6</v>
      </c>
      <c r="AN102" s="1102">
        <v>2</v>
      </c>
      <c r="AO102" s="559">
        <v>8</v>
      </c>
      <c r="AP102" s="559">
        <v>10</v>
      </c>
      <c r="AQ102" s="559">
        <v>8</v>
      </c>
      <c r="AR102" s="559">
        <v>12</v>
      </c>
      <c r="AT102" s="590">
        <f t="shared" si="53"/>
        <v>70</v>
      </c>
      <c r="AU102" s="5628">
        <f t="shared" si="51"/>
        <v>7</v>
      </c>
      <c r="AW102" s="2882"/>
      <c r="AX102" s="1102"/>
      <c r="AY102" s="1102"/>
      <c r="AZ102" s="1102"/>
      <c r="BA102" s="1102"/>
      <c r="BB102" s="1102"/>
      <c r="BC102" s="1102"/>
      <c r="BI102" s="590">
        <f t="shared" si="54"/>
        <v>0</v>
      </c>
      <c r="BJ102" s="5628" t="e">
        <f t="shared" si="52"/>
        <v>#DIV/0!</v>
      </c>
      <c r="BL102" s="2860">
        <f t="shared" si="45"/>
        <v>-8</v>
      </c>
      <c r="BM102" s="868" t="e">
        <f t="shared" si="37"/>
        <v>#DIV/0!</v>
      </c>
      <c r="BN102" s="2860">
        <f>IFERROR(
  SUM(
    _xlfn.XLOOKUP(DATE(YEAR($A$1),1,1),$2:$2,102:102):
    _xlfn.XLOOKUP($A$1,$2:$2,102:102)
  )
 -SUM(
    _xlfn.XLOOKUP(DATE(YEAR($A$1)-1,1,1),$2:$2,102:102):
    _xlfn.XLOOKUP(EDATE($A$1,-12),$2:$2,102:102)
  ),"")</f>
        <v>-12</v>
      </c>
      <c r="BO102" s="590">
        <f t="shared" si="46"/>
        <v>0</v>
      </c>
    </row>
    <row r="103" spans="1:67" x14ac:dyDescent="0.55000000000000004">
      <c r="A103" s="7474"/>
      <c r="B103" s="1822"/>
      <c r="C103" s="559" t="s">
        <v>74</v>
      </c>
      <c r="D103" s="1102">
        <v>16</v>
      </c>
      <c r="E103" s="1102">
        <v>16</v>
      </c>
      <c r="F103" s="1102">
        <v>19</v>
      </c>
      <c r="G103" s="1102">
        <v>24</v>
      </c>
      <c r="H103" s="1102">
        <v>28</v>
      </c>
      <c r="I103" s="1102">
        <v>18</v>
      </c>
      <c r="J103" s="1102">
        <v>20</v>
      </c>
      <c r="K103" s="1102">
        <v>14</v>
      </c>
      <c r="L103" s="1102">
        <v>6</v>
      </c>
      <c r="M103" s="1102">
        <v>12</v>
      </c>
      <c r="N103" s="1102">
        <v>4</v>
      </c>
      <c r="O103" s="1102"/>
      <c r="P103" s="1102">
        <v>177</v>
      </c>
      <c r="Q103" s="1102">
        <v>14.75</v>
      </c>
      <c r="S103" s="2882">
        <v>0</v>
      </c>
      <c r="T103" s="1102">
        <v>0</v>
      </c>
      <c r="U103" s="1102">
        <v>0</v>
      </c>
      <c r="V103" s="1102">
        <v>4</v>
      </c>
      <c r="W103" s="1102">
        <v>3</v>
      </c>
      <c r="X103" s="1102">
        <v>4</v>
      </c>
      <c r="Y103" s="1102">
        <v>7</v>
      </c>
      <c r="Z103" s="559">
        <v>4</v>
      </c>
      <c r="AA103" s="2860">
        <v>2</v>
      </c>
      <c r="AB103" s="2860">
        <v>0</v>
      </c>
      <c r="AC103" s="2860">
        <v>0</v>
      </c>
      <c r="AD103" s="2860">
        <v>2</v>
      </c>
      <c r="AE103" s="590">
        <v>26</v>
      </c>
      <c r="AF103" s="5628">
        <v>2.1666666666666665</v>
      </c>
      <c r="AH103" s="2882">
        <v>1</v>
      </c>
      <c r="AI103" s="1102">
        <v>2</v>
      </c>
      <c r="AJ103" s="1102">
        <v>6</v>
      </c>
      <c r="AK103" s="1102">
        <v>4</v>
      </c>
      <c r="AL103" s="1102">
        <v>0</v>
      </c>
      <c r="AM103" s="1102">
        <v>4</v>
      </c>
      <c r="AN103" s="1102">
        <v>2</v>
      </c>
      <c r="AO103" s="559">
        <v>2</v>
      </c>
      <c r="AP103" s="559">
        <v>2</v>
      </c>
      <c r="AR103" s="559">
        <v>1</v>
      </c>
      <c r="AT103" s="590">
        <f t="shared" si="53"/>
        <v>24</v>
      </c>
      <c r="AU103" s="5628">
        <f t="shared" si="51"/>
        <v>2.4</v>
      </c>
      <c r="AW103" s="2882"/>
      <c r="AX103" s="1102"/>
      <c r="AY103" s="1102"/>
      <c r="AZ103" s="1102"/>
      <c r="BA103" s="1102"/>
      <c r="BB103" s="1102"/>
      <c r="BC103" s="1102"/>
      <c r="BI103" s="590">
        <f t="shared" si="54"/>
        <v>0</v>
      </c>
      <c r="BJ103" s="5628" t="e">
        <f t="shared" si="52"/>
        <v>#DIV/0!</v>
      </c>
      <c r="BL103" s="2860">
        <f t="shared" si="45"/>
        <v>-2</v>
      </c>
      <c r="BM103" s="868" t="e">
        <f t="shared" si="37"/>
        <v>#DIV/0!</v>
      </c>
      <c r="BN103" s="2860">
        <f>IFERROR(
  SUM(
    _xlfn.XLOOKUP(DATE(YEAR($A$1),1,1),$2:$2,103:103):
    _xlfn.XLOOKUP($A$1,$2:$2,103:103)
  )
 -SUM(
    _xlfn.XLOOKUP(DATE(YEAR($A$1)-1,1,1),$2:$2,103:103):
    _xlfn.XLOOKUP(EDATE($A$1,-12),$2:$2,103:103)
  ),"")</f>
        <v>-3</v>
      </c>
      <c r="BO103" s="590">
        <f t="shared" si="46"/>
        <v>0</v>
      </c>
    </row>
    <row r="104" spans="1:67" x14ac:dyDescent="0.55000000000000004">
      <c r="A104" s="7474"/>
      <c r="B104" s="5825"/>
      <c r="C104" s="5826" t="s">
        <v>75</v>
      </c>
      <c r="D104" s="5890">
        <v>4</v>
      </c>
      <c r="E104" s="5890">
        <v>3</v>
      </c>
      <c r="F104" s="5890"/>
      <c r="G104" s="5890">
        <v>4</v>
      </c>
      <c r="H104" s="5890">
        <v>4</v>
      </c>
      <c r="I104" s="5890">
        <v>5</v>
      </c>
      <c r="J104" s="5890"/>
      <c r="K104" s="5890">
        <v>5</v>
      </c>
      <c r="L104" s="5890">
        <v>3</v>
      </c>
      <c r="M104" s="5890">
        <v>4</v>
      </c>
      <c r="N104" s="5890">
        <v>17</v>
      </c>
      <c r="O104" s="5890">
        <v>7</v>
      </c>
      <c r="P104" s="5890">
        <v>56</v>
      </c>
      <c r="Q104" s="5890">
        <v>4.666666666666667</v>
      </c>
      <c r="S104" s="5891">
        <v>8</v>
      </c>
      <c r="T104" s="5890">
        <v>2</v>
      </c>
      <c r="U104" s="5890">
        <v>4</v>
      </c>
      <c r="V104" s="5890">
        <v>2</v>
      </c>
      <c r="W104" s="5890">
        <v>8</v>
      </c>
      <c r="X104" s="5890">
        <v>0</v>
      </c>
      <c r="Y104" s="1102">
        <v>0</v>
      </c>
      <c r="Z104" s="5826">
        <v>2</v>
      </c>
      <c r="AA104" s="5892">
        <v>0</v>
      </c>
      <c r="AB104" s="5892">
        <v>0</v>
      </c>
      <c r="AC104" s="5892">
        <v>3</v>
      </c>
      <c r="AD104" s="5892">
        <v>2</v>
      </c>
      <c r="AE104" s="590">
        <v>31</v>
      </c>
      <c r="AF104" s="5893">
        <v>2.5833333333333335</v>
      </c>
      <c r="AH104" s="5891">
        <v>0</v>
      </c>
      <c r="AI104" s="5890">
        <v>2</v>
      </c>
      <c r="AJ104" s="5890">
        <v>6</v>
      </c>
      <c r="AK104" s="5890">
        <v>2</v>
      </c>
      <c r="AL104" s="5890">
        <v>2</v>
      </c>
      <c r="AM104" s="5890">
        <v>8</v>
      </c>
      <c r="AN104" s="1102"/>
      <c r="AO104" s="5826">
        <v>4</v>
      </c>
      <c r="AP104" s="5826">
        <v>2</v>
      </c>
      <c r="AQ104" s="5826">
        <v>2</v>
      </c>
      <c r="AR104" s="5826"/>
      <c r="AS104" s="5826"/>
      <c r="AT104" s="590">
        <f t="shared" si="53"/>
        <v>28</v>
      </c>
      <c r="AU104" s="5893">
        <f t="shared" si="51"/>
        <v>3.1111111111111112</v>
      </c>
      <c r="AW104" s="5891"/>
      <c r="AX104" s="5890"/>
      <c r="AY104" s="5890"/>
      <c r="AZ104" s="5890"/>
      <c r="BA104" s="5890"/>
      <c r="BB104" s="5890"/>
      <c r="BC104" s="1102"/>
      <c r="BD104" s="5826"/>
      <c r="BE104" s="5826"/>
      <c r="BF104" s="5826"/>
      <c r="BG104" s="5826"/>
      <c r="BH104" s="5826"/>
      <c r="BI104" s="590">
        <f t="shared" si="54"/>
        <v>0</v>
      </c>
      <c r="BJ104" s="5893" t="e">
        <f t="shared" si="52"/>
        <v>#DIV/0!</v>
      </c>
      <c r="BL104" s="2860">
        <f t="shared" si="45"/>
        <v>-2</v>
      </c>
      <c r="BM104" s="868" t="e">
        <f t="shared" si="37"/>
        <v>#DIV/0!</v>
      </c>
      <c r="BN104" s="2860">
        <f>IFERROR(
  SUM(
    _xlfn.XLOOKUP(DATE(YEAR($A$1),1,1),$2:$2,104:104):
    _xlfn.XLOOKUP($A$1,$2:$2,104:104)
  )
 -SUM(
    _xlfn.XLOOKUP(DATE(YEAR($A$1)-1,1,1),$2:$2,104:104):
    _xlfn.XLOOKUP(EDATE($A$1,-12),$2:$2,104:104)
  ),"")</f>
        <v>-2</v>
      </c>
      <c r="BO104" s="590">
        <f t="shared" si="46"/>
        <v>0</v>
      </c>
    </row>
    <row r="105" spans="1:67" x14ac:dyDescent="0.55000000000000004">
      <c r="A105" s="7474"/>
      <c r="B105" s="5806" t="s">
        <v>20</v>
      </c>
      <c r="C105" s="5882" t="s">
        <v>136</v>
      </c>
      <c r="D105" s="4869">
        <v>44</v>
      </c>
      <c r="E105" s="4869">
        <v>58</v>
      </c>
      <c r="F105" s="4869">
        <v>40</v>
      </c>
      <c r="G105" s="4869">
        <v>53</v>
      </c>
      <c r="H105" s="4869">
        <v>80</v>
      </c>
      <c r="I105" s="4869">
        <v>91</v>
      </c>
      <c r="J105" s="4869">
        <v>64</v>
      </c>
      <c r="K105" s="4869">
        <v>82</v>
      </c>
      <c r="L105" s="4869">
        <v>22</v>
      </c>
      <c r="M105" s="4869">
        <v>60</v>
      </c>
      <c r="N105" s="4869">
        <v>76</v>
      </c>
      <c r="O105" s="4869">
        <v>50</v>
      </c>
      <c r="P105" s="4869">
        <v>720</v>
      </c>
      <c r="Q105" s="4869">
        <v>60.000000000000007</v>
      </c>
      <c r="S105" s="5808">
        <v>56</v>
      </c>
      <c r="T105" s="4869">
        <v>43</v>
      </c>
      <c r="U105" s="4869">
        <v>38</v>
      </c>
      <c r="V105" s="4869">
        <v>34</v>
      </c>
      <c r="W105" s="5883">
        <v>54</v>
      </c>
      <c r="X105" s="4869">
        <v>23</v>
      </c>
      <c r="Y105" s="4869">
        <v>20</v>
      </c>
      <c r="Z105" s="4869">
        <v>20</v>
      </c>
      <c r="AA105" s="5885">
        <v>19</v>
      </c>
      <c r="AB105" s="5885">
        <v>12</v>
      </c>
      <c r="AC105" s="5885">
        <v>13</v>
      </c>
      <c r="AD105" s="5885">
        <v>6</v>
      </c>
      <c r="AE105" s="5894">
        <v>338</v>
      </c>
      <c r="AF105" s="5895">
        <v>28.166666666666668</v>
      </c>
      <c r="AH105" s="5808">
        <v>0</v>
      </c>
      <c r="AI105" s="4869">
        <v>0</v>
      </c>
      <c r="AJ105" s="4869">
        <v>0</v>
      </c>
      <c r="AK105" s="4869">
        <v>0</v>
      </c>
      <c r="AL105" s="5883">
        <v>16</v>
      </c>
      <c r="AM105" s="5883">
        <v>12</v>
      </c>
      <c r="AN105" s="4869">
        <v>19</v>
      </c>
      <c r="AO105" s="4869">
        <v>12</v>
      </c>
      <c r="AP105" s="5887">
        <v>12</v>
      </c>
      <c r="AQ105" s="5887">
        <v>2</v>
      </c>
      <c r="AR105" s="4869">
        <v>6</v>
      </c>
      <c r="AS105" s="5882"/>
      <c r="AT105" s="5894">
        <f>SUM(AH105:AS105)</f>
        <v>79</v>
      </c>
      <c r="AU105" s="5895">
        <f t="shared" si="51"/>
        <v>7.1818181818181817</v>
      </c>
      <c r="AW105" s="5808"/>
      <c r="AX105" s="4869"/>
      <c r="AY105" s="4869"/>
      <c r="AZ105" s="4869"/>
      <c r="BA105" s="5883"/>
      <c r="BB105" s="5883"/>
      <c r="BC105" s="4869"/>
      <c r="BD105" s="4869"/>
      <c r="BE105" s="5887"/>
      <c r="BF105" s="5887"/>
      <c r="BG105" s="5882"/>
      <c r="BH105" s="5882"/>
      <c r="BI105" s="5894">
        <f>SUM(AW105:BH105)</f>
        <v>0</v>
      </c>
      <c r="BJ105" s="5895" t="e">
        <f t="shared" si="52"/>
        <v>#DIV/0!</v>
      </c>
      <c r="BL105" s="2860">
        <f t="shared" si="45"/>
        <v>0</v>
      </c>
      <c r="BM105" s="868" t="e">
        <f t="shared" si="37"/>
        <v>#DIV/0!</v>
      </c>
      <c r="BN105" s="2860">
        <f>IFERROR(
  SUM(
    _xlfn.XLOOKUP(DATE(YEAR($A$1),1,1),$2:$2,105:105):
    _xlfn.XLOOKUP($A$1,$2:$2,105:105)
  )
 -SUM(
    _xlfn.XLOOKUP(DATE(YEAR($A$1)-1,1,1),$2:$2,105:105):
    _xlfn.XLOOKUP(EDATE($A$1,-12),$2:$2,105:105)
  ),"")</f>
        <v>0</v>
      </c>
      <c r="BO105" s="590">
        <f t="shared" si="46"/>
        <v>0</v>
      </c>
    </row>
    <row r="106" spans="1:67" x14ac:dyDescent="0.55000000000000004">
      <c r="A106" s="7474"/>
      <c r="B106" s="5812"/>
      <c r="C106" s="5813" t="s">
        <v>533</v>
      </c>
      <c r="D106" s="5833">
        <v>1.8325697625989172E-2</v>
      </c>
      <c r="E106" s="5833">
        <v>1.9993105825577388E-2</v>
      </c>
      <c r="F106" s="5833">
        <v>1.4587892049598834E-2</v>
      </c>
      <c r="G106" s="5833">
        <v>2.2505307855626325E-2</v>
      </c>
      <c r="H106" s="5833">
        <v>2.6666666666666668E-2</v>
      </c>
      <c r="I106" s="5833">
        <v>3.5422343324250684E-2</v>
      </c>
      <c r="J106" s="5833">
        <v>2.7550581145071029E-2</v>
      </c>
      <c r="K106" s="5833">
        <v>2.5545171339563862E-2</v>
      </c>
      <c r="L106" s="5833">
        <v>7.9825834542815669E-3</v>
      </c>
      <c r="M106" s="5833">
        <v>2.0782819535850365E-2</v>
      </c>
      <c r="N106" s="5833">
        <v>2.6788861473387382E-2</v>
      </c>
      <c r="O106" s="5833">
        <v>2.5826446280991736E-2</v>
      </c>
      <c r="P106" s="5833">
        <v>2.2558511138264875E-2</v>
      </c>
      <c r="Q106" s="5833">
        <v>2.2558511138264875E-2</v>
      </c>
      <c r="S106" s="5834">
        <v>1.8641810918774968E-2</v>
      </c>
      <c r="T106" s="5833">
        <v>1.6889238020424194E-2</v>
      </c>
      <c r="U106" s="5833">
        <v>1.2637179913535085E-2</v>
      </c>
      <c r="V106" s="5833">
        <v>1.2014134275618375E-2</v>
      </c>
      <c r="W106" s="5833">
        <v>1.2887828162291169E-2</v>
      </c>
      <c r="X106" s="5833">
        <v>7.4097938144329894E-3</v>
      </c>
      <c r="Y106" s="5833">
        <v>5.8668231152830741E-3</v>
      </c>
      <c r="Z106" s="5833">
        <v>5.8892815076560662E-3</v>
      </c>
      <c r="AA106" s="5817">
        <v>5.5506865322816241E-3</v>
      </c>
      <c r="AB106" s="5817">
        <v>3.0785017957927143E-3</v>
      </c>
      <c r="AC106" s="5817">
        <v>3.3171727481500382E-3</v>
      </c>
      <c r="AD106" s="5817">
        <v>1.6375545851528383E-3</v>
      </c>
      <c r="AE106" s="5818">
        <v>8.8183337824494275E-3</v>
      </c>
      <c r="AF106" s="5819">
        <v>8.8183337824494275E-3</v>
      </c>
      <c r="AH106" s="5834">
        <v>0</v>
      </c>
      <c r="AI106" s="5833">
        <v>0</v>
      </c>
      <c r="AJ106" s="5833">
        <v>0</v>
      </c>
      <c r="AK106" s="5833">
        <v>0</v>
      </c>
      <c r="AL106" s="5833">
        <v>2.0639834881320948E-3</v>
      </c>
      <c r="AM106" s="5833">
        <v>1.9749835418038184E-3</v>
      </c>
      <c r="AN106" s="5833">
        <v>3.5107169253510719E-3</v>
      </c>
      <c r="AO106" s="5833">
        <v>3.0249558860599951E-3</v>
      </c>
      <c r="AP106" s="5818">
        <v>2.9090909090909089E-3</v>
      </c>
      <c r="AQ106" s="5818">
        <v>5.2521008403361342E-4</v>
      </c>
      <c r="AR106" s="5833">
        <v>1.6155088852988692E-3</v>
      </c>
      <c r="AS106" s="5813"/>
      <c r="AT106" s="5818">
        <f>AVERAGE(AH106:AS106)</f>
        <v>1.4204045199791245E-3</v>
      </c>
      <c r="AU106" s="5819">
        <f>AT106</f>
        <v>1.4204045199791245E-3</v>
      </c>
      <c r="AW106" s="5834"/>
      <c r="AX106" s="5833"/>
      <c r="AY106" s="5833"/>
      <c r="AZ106" s="5833"/>
      <c r="BA106" s="5833"/>
      <c r="BB106" s="5833"/>
      <c r="BC106" s="5833"/>
      <c r="BD106" s="5833"/>
      <c r="BE106" s="5818"/>
      <c r="BF106" s="5818"/>
      <c r="BG106" s="5813"/>
      <c r="BH106" s="5813"/>
      <c r="BI106" s="5818" t="e">
        <f>AVERAGE(AW106:BH106)</f>
        <v>#DIV/0!</v>
      </c>
      <c r="BJ106" s="5819" t="e">
        <f>BI106</f>
        <v>#DIV/0!</v>
      </c>
      <c r="BL106" s="5686">
        <f t="shared" si="45"/>
        <v>0</v>
      </c>
      <c r="BM106" s="5686" t="e">
        <f t="shared" si="37"/>
        <v>#DIV/0!</v>
      </c>
      <c r="BN106" s="5686" t="e">
        <f t="shared" ref="BN106" si="55">BM106</f>
        <v>#DIV/0!</v>
      </c>
      <c r="BO106" s="2978">
        <f t="shared" si="46"/>
        <v>0</v>
      </c>
    </row>
    <row r="107" spans="1:67" x14ac:dyDescent="0.55000000000000004">
      <c r="A107" s="7474"/>
      <c r="B107" s="1822"/>
      <c r="C107" s="559" t="s">
        <v>67</v>
      </c>
      <c r="D107" s="1102">
        <v>18</v>
      </c>
      <c r="E107" s="1102">
        <v>40</v>
      </c>
      <c r="F107" s="1102">
        <v>22</v>
      </c>
      <c r="G107" s="1102">
        <v>24</v>
      </c>
      <c r="H107" s="1102">
        <v>42</v>
      </c>
      <c r="I107" s="1102">
        <v>44</v>
      </c>
      <c r="J107" s="1102">
        <v>30</v>
      </c>
      <c r="K107" s="1102">
        <v>44</v>
      </c>
      <c r="L107" s="1102">
        <v>4</v>
      </c>
      <c r="M107" s="1102">
        <v>10</v>
      </c>
      <c r="N107" s="1102">
        <v>12</v>
      </c>
      <c r="O107" s="1102">
        <v>8</v>
      </c>
      <c r="P107" s="1102">
        <v>298</v>
      </c>
      <c r="Q107" s="1102">
        <v>24.833333333333332</v>
      </c>
      <c r="S107" s="2882">
        <v>10</v>
      </c>
      <c r="T107" s="1102">
        <v>12</v>
      </c>
      <c r="U107" s="1102">
        <v>4</v>
      </c>
      <c r="V107" s="1102">
        <v>14</v>
      </c>
      <c r="W107" s="1102">
        <v>2</v>
      </c>
      <c r="X107" s="1102">
        <v>2</v>
      </c>
      <c r="Y107" s="1102">
        <v>2</v>
      </c>
      <c r="Z107" s="559">
        <v>2</v>
      </c>
      <c r="AA107" s="2860">
        <v>2</v>
      </c>
      <c r="AB107" s="2860">
        <v>2</v>
      </c>
      <c r="AC107" s="2860">
        <v>2</v>
      </c>
      <c r="AD107" s="2860">
        <v>0</v>
      </c>
      <c r="AE107" s="2860">
        <v>54</v>
      </c>
      <c r="AF107" s="5628">
        <v>4.5</v>
      </c>
      <c r="AH107" s="2882">
        <v>0</v>
      </c>
      <c r="AI107" s="1102">
        <v>0</v>
      </c>
      <c r="AJ107" s="1102">
        <v>0</v>
      </c>
      <c r="AK107" s="1102">
        <v>0</v>
      </c>
      <c r="AL107" s="1102">
        <v>8</v>
      </c>
      <c r="AM107" s="1102">
        <v>2</v>
      </c>
      <c r="AN107" s="1102">
        <v>2</v>
      </c>
      <c r="AO107" s="2860">
        <v>4</v>
      </c>
      <c r="AP107" s="2860">
        <v>4</v>
      </c>
      <c r="AQ107" s="2860"/>
      <c r="AR107" s="1102">
        <v>2</v>
      </c>
      <c r="AT107" s="2860">
        <f>SUM(AH107:AS107)</f>
        <v>22</v>
      </c>
      <c r="AU107" s="5628">
        <f t="shared" ref="AU107:AU113" si="56">AVERAGE(AH107:AS107)</f>
        <v>2.2000000000000002</v>
      </c>
      <c r="AW107" s="2882"/>
      <c r="AX107" s="1102"/>
      <c r="AY107" s="1102"/>
      <c r="AZ107" s="1102"/>
      <c r="BA107" s="1102"/>
      <c r="BB107" s="1102"/>
      <c r="BC107" s="1102"/>
      <c r="BD107" s="2860"/>
      <c r="BE107" s="2860"/>
      <c r="BF107" s="2860"/>
      <c r="BI107" s="2860">
        <f>SUM(AW107:BH107)</f>
        <v>0</v>
      </c>
      <c r="BJ107" s="5628" t="e">
        <f t="shared" ref="BJ107:BJ113" si="57">AVERAGE(AW107:BH107)</f>
        <v>#DIV/0!</v>
      </c>
      <c r="BL107" s="2860">
        <f t="shared" si="45"/>
        <v>0</v>
      </c>
      <c r="BM107" s="868" t="e">
        <f t="shared" si="37"/>
        <v>#DIV/0!</v>
      </c>
      <c r="BN107" s="2860">
        <f>IFERROR(
  SUM(
    _xlfn.XLOOKUP(DATE(YEAR($A$1),1,1),$2:$2,107:107):
    _xlfn.XLOOKUP($A$1,$2:$2,107:107)
  )
 -SUM(
    _xlfn.XLOOKUP(DATE(YEAR($A$1)-1,1,1),$2:$2,107:107):
    _xlfn.XLOOKUP(EDATE($A$1,-12),$2:$2,107:107)
  ),"")</f>
        <v>0</v>
      </c>
      <c r="BO107" s="590">
        <f t="shared" si="46"/>
        <v>0</v>
      </c>
    </row>
    <row r="108" spans="1:67" x14ac:dyDescent="0.55000000000000004">
      <c r="A108" s="7474"/>
      <c r="B108" s="1822"/>
      <c r="C108" s="559" t="s">
        <v>68</v>
      </c>
      <c r="D108" s="1102">
        <v>12</v>
      </c>
      <c r="E108" s="1102">
        <v>10</v>
      </c>
      <c r="F108" s="1102">
        <v>12</v>
      </c>
      <c r="G108" s="1102">
        <v>8</v>
      </c>
      <c r="H108" s="1102">
        <v>2</v>
      </c>
      <c r="I108" s="1102">
        <v>6</v>
      </c>
      <c r="J108" s="1102">
        <v>6</v>
      </c>
      <c r="K108" s="1102">
        <v>4</v>
      </c>
      <c r="L108" s="1102"/>
      <c r="M108" s="1102"/>
      <c r="N108" s="1102">
        <v>4</v>
      </c>
      <c r="O108" s="1102"/>
      <c r="P108" s="1102">
        <v>64</v>
      </c>
      <c r="Q108" s="1102">
        <v>5.333333333333333</v>
      </c>
      <c r="S108" s="2882">
        <v>0</v>
      </c>
      <c r="T108" s="1102">
        <v>0</v>
      </c>
      <c r="U108" s="1102">
        <v>20</v>
      </c>
      <c r="V108" s="1102">
        <v>12</v>
      </c>
      <c r="W108" s="1102">
        <v>48</v>
      </c>
      <c r="X108" s="1102">
        <v>19</v>
      </c>
      <c r="Y108" s="1102">
        <v>12</v>
      </c>
      <c r="Z108" s="559">
        <v>8</v>
      </c>
      <c r="AA108" s="2860">
        <v>9</v>
      </c>
      <c r="AB108" s="2860">
        <v>2</v>
      </c>
      <c r="AC108" s="2860">
        <v>4</v>
      </c>
      <c r="AD108" s="2860">
        <v>4</v>
      </c>
      <c r="AE108" s="2860">
        <v>138</v>
      </c>
      <c r="AF108" s="5628">
        <v>11.5</v>
      </c>
      <c r="AH108" s="2882">
        <v>0</v>
      </c>
      <c r="AI108" s="1102">
        <v>0</v>
      </c>
      <c r="AJ108" s="1102">
        <v>0</v>
      </c>
      <c r="AK108" s="1102">
        <v>0</v>
      </c>
      <c r="AL108" s="1102">
        <v>0</v>
      </c>
      <c r="AM108" s="1102">
        <v>0</v>
      </c>
      <c r="AN108" s="1102"/>
      <c r="AT108" s="2860">
        <f t="shared" ref="AT108:AT113" si="58">SUM(AH108:AS108)</f>
        <v>0</v>
      </c>
      <c r="AU108" s="5628">
        <f t="shared" si="56"/>
        <v>0</v>
      </c>
      <c r="AW108" s="2882"/>
      <c r="AX108" s="1102"/>
      <c r="AY108" s="1102"/>
      <c r="AZ108" s="1102"/>
      <c r="BA108" s="1102"/>
      <c r="BB108" s="1102"/>
      <c r="BC108" s="1102"/>
      <c r="BI108" s="2860">
        <f t="shared" ref="BI108:BI113" si="59">SUM(AW108:BH108)</f>
        <v>0</v>
      </c>
      <c r="BJ108" s="5628" t="e">
        <f t="shared" si="57"/>
        <v>#DIV/0!</v>
      </c>
      <c r="BL108" s="2860">
        <f t="shared" si="45"/>
        <v>0</v>
      </c>
      <c r="BM108" s="868" t="e">
        <f t="shared" si="37"/>
        <v>#DIV/0!</v>
      </c>
      <c r="BN108" s="2860">
        <f>IFERROR(
  SUM(
    _xlfn.XLOOKUP(DATE(YEAR($A$1),1,1),$2:$2,108:108):
    _xlfn.XLOOKUP($A$1,$2:$2,108:108)
  )
 -SUM(
    _xlfn.XLOOKUP(DATE(YEAR($A$1)-1,1,1),$2:$2,108:108):
    _xlfn.XLOOKUP(EDATE($A$1,-12),$2:$2,108:108)
  ),"")</f>
        <v>0</v>
      </c>
      <c r="BO108" s="590">
        <f t="shared" si="46"/>
        <v>0</v>
      </c>
    </row>
    <row r="109" spans="1:67" ht="17.600000000000001" x14ac:dyDescent="0.55000000000000004">
      <c r="A109" s="7474"/>
      <c r="B109" s="1822"/>
      <c r="C109" s="559" t="s">
        <v>69</v>
      </c>
      <c r="D109" s="1102">
        <v>4</v>
      </c>
      <c r="E109" s="1102">
        <v>2</v>
      </c>
      <c r="F109" s="1102">
        <v>2</v>
      </c>
      <c r="G109" s="1102">
        <v>2</v>
      </c>
      <c r="H109" s="1102">
        <v>4</v>
      </c>
      <c r="I109" s="1102">
        <v>4</v>
      </c>
      <c r="J109" s="1102">
        <v>2</v>
      </c>
      <c r="K109" s="1102">
        <v>2</v>
      </c>
      <c r="L109" s="1102"/>
      <c r="M109" s="1102"/>
      <c r="N109" s="1102">
        <v>2</v>
      </c>
      <c r="O109" s="1102"/>
      <c r="P109" s="1102">
        <v>24</v>
      </c>
      <c r="Q109" s="1102">
        <v>2</v>
      </c>
      <c r="S109" s="2882">
        <v>2</v>
      </c>
      <c r="T109" s="1102">
        <v>0</v>
      </c>
      <c r="U109" s="1102">
        <v>2</v>
      </c>
      <c r="V109" s="1102">
        <v>0</v>
      </c>
      <c r="W109" s="1102">
        <v>2</v>
      </c>
      <c r="X109" s="1102">
        <v>0</v>
      </c>
      <c r="Y109" s="1102">
        <v>0</v>
      </c>
      <c r="Z109" s="559">
        <v>0</v>
      </c>
      <c r="AA109" s="2860">
        <v>0</v>
      </c>
      <c r="AB109" s="2860">
        <v>2</v>
      </c>
      <c r="AC109" s="2860">
        <v>3</v>
      </c>
      <c r="AD109" s="2860">
        <v>0</v>
      </c>
      <c r="AE109" s="2860">
        <v>11</v>
      </c>
      <c r="AF109" s="5628">
        <v>0.91666666666666663</v>
      </c>
      <c r="AH109" s="2882">
        <v>0</v>
      </c>
      <c r="AI109" s="1102">
        <v>0</v>
      </c>
      <c r="AJ109" s="1102">
        <v>0</v>
      </c>
      <c r="AK109" s="1102">
        <v>0</v>
      </c>
      <c r="AL109" s="1102">
        <v>2</v>
      </c>
      <c r="AM109" s="1102">
        <v>6</v>
      </c>
      <c r="AN109" s="1102">
        <v>4</v>
      </c>
      <c r="AO109" s="559">
        <v>4</v>
      </c>
      <c r="AP109" s="559">
        <v>8</v>
      </c>
      <c r="AR109" s="6209">
        <v>4</v>
      </c>
      <c r="AT109" s="2860">
        <f t="shared" si="58"/>
        <v>28</v>
      </c>
      <c r="AU109" s="5628">
        <f t="shared" si="56"/>
        <v>2.8</v>
      </c>
      <c r="AW109" s="2882"/>
      <c r="AX109" s="1102"/>
      <c r="AY109" s="1102"/>
      <c r="AZ109" s="1102"/>
      <c r="BA109" s="1102"/>
      <c r="BB109" s="1102"/>
      <c r="BC109" s="1102"/>
      <c r="BI109" s="2860">
        <f t="shared" si="59"/>
        <v>0</v>
      </c>
      <c r="BJ109" s="5628" t="e">
        <f t="shared" si="57"/>
        <v>#DIV/0!</v>
      </c>
      <c r="BL109" s="2860">
        <f t="shared" si="45"/>
        <v>0</v>
      </c>
      <c r="BM109" s="868" t="e">
        <f t="shared" si="37"/>
        <v>#DIV/0!</v>
      </c>
      <c r="BN109" s="2860">
        <f>IFERROR(
  SUM(
    _xlfn.XLOOKUP(DATE(YEAR($A$1),1,1),$2:$2,109:109):
    _xlfn.XLOOKUP($A$1,$2:$2,109:109)
  )
 -SUM(
    _xlfn.XLOOKUP(DATE(YEAR($A$1)-1,1,1),$2:$2,109:109):
    _xlfn.XLOOKUP(EDATE($A$1,-12),$2:$2,109:109)
  ),"")</f>
        <v>0</v>
      </c>
      <c r="BO109" s="590">
        <f t="shared" si="46"/>
        <v>0</v>
      </c>
    </row>
    <row r="110" spans="1:67" x14ac:dyDescent="0.55000000000000004">
      <c r="A110" s="7474"/>
      <c r="B110" s="1822"/>
      <c r="C110" s="559" t="s">
        <v>72</v>
      </c>
      <c r="D110" s="1102"/>
      <c r="E110" s="1102"/>
      <c r="F110" s="1102"/>
      <c r="G110" s="1102"/>
      <c r="H110" s="1102"/>
      <c r="I110" s="1102">
        <v>4</v>
      </c>
      <c r="J110" s="1102"/>
      <c r="K110" s="1102"/>
      <c r="L110" s="1102"/>
      <c r="M110" s="1102"/>
      <c r="N110" s="1102">
        <v>2</v>
      </c>
      <c r="O110" s="1102"/>
      <c r="P110" s="1102">
        <v>6</v>
      </c>
      <c r="Q110" s="1102">
        <v>0.5</v>
      </c>
      <c r="S110" s="2882">
        <v>0</v>
      </c>
      <c r="T110" s="1102">
        <v>4</v>
      </c>
      <c r="U110" s="1102">
        <v>0</v>
      </c>
      <c r="V110" s="1102">
        <v>0</v>
      </c>
      <c r="W110" s="1102">
        <v>0</v>
      </c>
      <c r="X110" s="1102">
        <v>0</v>
      </c>
      <c r="Y110" s="1102">
        <v>0</v>
      </c>
      <c r="Z110" s="559">
        <v>4</v>
      </c>
      <c r="AA110" s="2860">
        <v>0</v>
      </c>
      <c r="AB110" s="2860">
        <v>0</v>
      </c>
      <c r="AC110" s="2860">
        <v>0</v>
      </c>
      <c r="AD110" s="2860">
        <v>0</v>
      </c>
      <c r="AE110" s="2860">
        <v>8</v>
      </c>
      <c r="AF110" s="5628">
        <v>0.66666666666666663</v>
      </c>
      <c r="AH110" s="2882">
        <v>0</v>
      </c>
      <c r="AI110" s="1102">
        <v>0</v>
      </c>
      <c r="AJ110" s="1102">
        <v>0</v>
      </c>
      <c r="AK110" s="1102">
        <v>0</v>
      </c>
      <c r="AL110" s="1102">
        <v>0</v>
      </c>
      <c r="AM110" s="1102">
        <v>0</v>
      </c>
      <c r="AN110" s="1102"/>
      <c r="AT110" s="2860">
        <f t="shared" si="58"/>
        <v>0</v>
      </c>
      <c r="AU110" s="5628">
        <f t="shared" si="56"/>
        <v>0</v>
      </c>
      <c r="AW110" s="2882"/>
      <c r="AX110" s="1102"/>
      <c r="AY110" s="1102"/>
      <c r="AZ110" s="1102"/>
      <c r="BA110" s="1102"/>
      <c r="BB110" s="1102"/>
      <c r="BC110" s="1102"/>
      <c r="BI110" s="2860">
        <f t="shared" si="59"/>
        <v>0</v>
      </c>
      <c r="BJ110" s="5628" t="e">
        <f t="shared" si="57"/>
        <v>#DIV/0!</v>
      </c>
      <c r="BL110" s="2860">
        <f t="shared" si="45"/>
        <v>0</v>
      </c>
      <c r="BM110" s="868" t="e">
        <f t="shared" si="37"/>
        <v>#DIV/0!</v>
      </c>
      <c r="BN110" s="2860">
        <f>IFERROR(
  SUM(
    _xlfn.XLOOKUP(DATE(YEAR($A$1),1,1),$2:$2,110:110):
    _xlfn.XLOOKUP($A$1,$2:$2,110:110)
  )
 -SUM(
    _xlfn.XLOOKUP(DATE(YEAR($A$1)-1,1,1),$2:$2,110:110):
    _xlfn.XLOOKUP(EDATE($A$1,-12),$2:$2,110:110)
  ),"")</f>
        <v>0</v>
      </c>
      <c r="BO110" s="590">
        <f t="shared" si="46"/>
        <v>0</v>
      </c>
    </row>
    <row r="111" spans="1:67" x14ac:dyDescent="0.55000000000000004">
      <c r="A111" s="7474"/>
      <c r="B111" s="1822"/>
      <c r="C111" s="559" t="s">
        <v>73</v>
      </c>
      <c r="D111" s="1102">
        <v>2</v>
      </c>
      <c r="E111" s="1102"/>
      <c r="F111" s="1102"/>
      <c r="G111" s="1102">
        <v>10</v>
      </c>
      <c r="H111" s="1102">
        <v>8</v>
      </c>
      <c r="I111" s="1102">
        <v>6</v>
      </c>
      <c r="J111" s="1102">
        <v>4</v>
      </c>
      <c r="K111" s="1102">
        <v>2</v>
      </c>
      <c r="L111" s="1102"/>
      <c r="M111" s="1102">
        <v>2</v>
      </c>
      <c r="N111" s="1102">
        <v>8</v>
      </c>
      <c r="O111" s="1102">
        <v>6</v>
      </c>
      <c r="P111" s="1102">
        <v>48</v>
      </c>
      <c r="Q111" s="1102">
        <v>4</v>
      </c>
      <c r="S111" s="2882">
        <v>6</v>
      </c>
      <c r="T111" s="1102">
        <v>4</v>
      </c>
      <c r="U111" s="1102">
        <v>0</v>
      </c>
      <c r="V111" s="1102">
        <v>2</v>
      </c>
      <c r="W111" s="1102">
        <v>2</v>
      </c>
      <c r="X111" s="1102">
        <v>0</v>
      </c>
      <c r="Y111" s="1102">
        <v>2</v>
      </c>
      <c r="Z111" s="559">
        <v>0</v>
      </c>
      <c r="AA111" s="2860">
        <v>2</v>
      </c>
      <c r="AB111" s="2860">
        <v>0</v>
      </c>
      <c r="AC111" s="2860">
        <v>0</v>
      </c>
      <c r="AD111" s="2860">
        <v>0</v>
      </c>
      <c r="AE111" s="2860">
        <v>18</v>
      </c>
      <c r="AF111" s="5628">
        <v>1.5</v>
      </c>
      <c r="AH111" s="2882">
        <v>0</v>
      </c>
      <c r="AI111" s="1102">
        <v>0</v>
      </c>
      <c r="AJ111" s="1102">
        <v>0</v>
      </c>
      <c r="AK111" s="1102">
        <v>0</v>
      </c>
      <c r="AL111" s="1102">
        <v>0</v>
      </c>
      <c r="AM111" s="1102">
        <v>0</v>
      </c>
      <c r="AN111" s="1102"/>
      <c r="AT111" s="2860">
        <f t="shared" si="58"/>
        <v>0</v>
      </c>
      <c r="AU111" s="5628">
        <f t="shared" si="56"/>
        <v>0</v>
      </c>
      <c r="AW111" s="2882"/>
      <c r="AX111" s="1102"/>
      <c r="AY111" s="1102"/>
      <c r="AZ111" s="1102"/>
      <c r="BA111" s="1102"/>
      <c r="BB111" s="1102"/>
      <c r="BC111" s="1102"/>
      <c r="BI111" s="2860">
        <f t="shared" si="59"/>
        <v>0</v>
      </c>
      <c r="BJ111" s="5628" t="e">
        <f t="shared" si="57"/>
        <v>#DIV/0!</v>
      </c>
      <c r="BL111" s="2860">
        <f t="shared" si="45"/>
        <v>0</v>
      </c>
      <c r="BM111" s="868" t="e">
        <f t="shared" si="37"/>
        <v>#DIV/0!</v>
      </c>
      <c r="BN111" s="2860">
        <f>IFERROR(
  SUM(
    _xlfn.XLOOKUP(DATE(YEAR($A$1),1,1),$2:$2,111:111):
    _xlfn.XLOOKUP($A$1,$2:$2,111:111)
  )
 -SUM(
    _xlfn.XLOOKUP(DATE(YEAR($A$1)-1,1,1),$2:$2,111:111):
    _xlfn.XLOOKUP(EDATE($A$1,-12),$2:$2,111:111)
  ),"")</f>
        <v>0</v>
      </c>
      <c r="BO111" s="590">
        <f t="shared" si="46"/>
        <v>0</v>
      </c>
    </row>
    <row r="112" spans="1:67" x14ac:dyDescent="0.55000000000000004">
      <c r="A112" s="7474"/>
      <c r="B112" s="1822"/>
      <c r="C112" s="559" t="s">
        <v>74</v>
      </c>
      <c r="D112" s="1102">
        <v>8</v>
      </c>
      <c r="E112" s="1102">
        <v>6</v>
      </c>
      <c r="F112" s="1102">
        <v>4</v>
      </c>
      <c r="G112" s="1102"/>
      <c r="H112" s="1102">
        <v>16</v>
      </c>
      <c r="I112" s="1102">
        <v>23</v>
      </c>
      <c r="J112" s="1102">
        <v>8</v>
      </c>
      <c r="K112" s="1102">
        <v>20</v>
      </c>
      <c r="L112" s="1102">
        <v>12</v>
      </c>
      <c r="M112" s="1102">
        <v>34</v>
      </c>
      <c r="N112" s="1102">
        <v>36</v>
      </c>
      <c r="O112" s="1102">
        <v>26</v>
      </c>
      <c r="P112" s="1102">
        <v>193</v>
      </c>
      <c r="Q112" s="1102">
        <v>16.083333333333332</v>
      </c>
      <c r="S112" s="2882">
        <v>32</v>
      </c>
      <c r="T112" s="1102">
        <v>15</v>
      </c>
      <c r="U112" s="1102">
        <v>7</v>
      </c>
      <c r="V112" s="1102">
        <v>2</v>
      </c>
      <c r="W112" s="1102">
        <v>0</v>
      </c>
      <c r="X112" s="1102">
        <v>0</v>
      </c>
      <c r="Y112" s="1102">
        <v>0</v>
      </c>
      <c r="Z112" s="559">
        <v>2</v>
      </c>
      <c r="AA112" s="2860">
        <v>0</v>
      </c>
      <c r="AB112" s="2860">
        <v>0</v>
      </c>
      <c r="AC112" s="2860">
        <v>2</v>
      </c>
      <c r="AD112" s="2860">
        <v>0</v>
      </c>
      <c r="AE112" s="2860">
        <v>60</v>
      </c>
      <c r="AF112" s="5628">
        <v>5</v>
      </c>
      <c r="AH112" s="2882">
        <v>0</v>
      </c>
      <c r="AI112" s="1102">
        <v>0</v>
      </c>
      <c r="AJ112" s="1102">
        <v>0</v>
      </c>
      <c r="AK112" s="1102">
        <v>0</v>
      </c>
      <c r="AL112" s="1102">
        <v>2</v>
      </c>
      <c r="AM112" s="1102">
        <v>0</v>
      </c>
      <c r="AN112" s="1102">
        <v>4</v>
      </c>
      <c r="AO112" s="559">
        <v>4</v>
      </c>
      <c r="AT112" s="2860">
        <f t="shared" si="58"/>
        <v>10</v>
      </c>
      <c r="AU112" s="5628">
        <f t="shared" si="56"/>
        <v>1.25</v>
      </c>
      <c r="AW112" s="2882"/>
      <c r="AX112" s="1102"/>
      <c r="AY112" s="1102"/>
      <c r="AZ112" s="1102"/>
      <c r="BA112" s="1102"/>
      <c r="BB112" s="1102"/>
      <c r="BC112" s="1102"/>
      <c r="BI112" s="2860">
        <f t="shared" si="59"/>
        <v>0</v>
      </c>
      <c r="BJ112" s="5628" t="e">
        <f t="shared" si="57"/>
        <v>#DIV/0!</v>
      </c>
      <c r="BL112" s="2860">
        <f t="shared" si="45"/>
        <v>0</v>
      </c>
      <c r="BM112" s="868" t="e">
        <f t="shared" si="37"/>
        <v>#DIV/0!</v>
      </c>
      <c r="BN112" s="2860">
        <f>IFERROR(
  SUM(
    _xlfn.XLOOKUP(DATE(YEAR($A$1),1,1),$2:$2,112:112):
    _xlfn.XLOOKUP($A$1,$2:$2,112:112)
  )
 -SUM(
    _xlfn.XLOOKUP(DATE(YEAR($A$1)-1,1,1),$2:$2,112:112):
    _xlfn.XLOOKUP(EDATE($A$1,-12),$2:$2,112:112)
  ),"")</f>
        <v>0</v>
      </c>
      <c r="BO112" s="590">
        <f t="shared" si="46"/>
        <v>0</v>
      </c>
    </row>
    <row r="113" spans="1:67" x14ac:dyDescent="0.55000000000000004">
      <c r="A113" s="7474"/>
      <c r="B113" s="5825"/>
      <c r="C113" s="5826" t="s">
        <v>75</v>
      </c>
      <c r="D113" s="5890"/>
      <c r="E113" s="5890"/>
      <c r="F113" s="5890"/>
      <c r="G113" s="5890">
        <v>4</v>
      </c>
      <c r="H113" s="5890">
        <v>4</v>
      </c>
      <c r="I113" s="5890">
        <v>2</v>
      </c>
      <c r="J113" s="5890">
        <v>4</v>
      </c>
      <c r="K113" s="5890">
        <v>2</v>
      </c>
      <c r="L113" s="5890"/>
      <c r="M113" s="5890">
        <v>2</v>
      </c>
      <c r="N113" s="5890">
        <v>2</v>
      </c>
      <c r="O113" s="5890">
        <v>2</v>
      </c>
      <c r="P113" s="5890">
        <v>22</v>
      </c>
      <c r="Q113" s="5890">
        <v>1.8333333333333333</v>
      </c>
      <c r="S113" s="5891">
        <v>2</v>
      </c>
      <c r="T113" s="5890">
        <v>2</v>
      </c>
      <c r="U113" s="5890">
        <v>5</v>
      </c>
      <c r="V113" s="5890">
        <v>2</v>
      </c>
      <c r="W113" s="5890">
        <v>0</v>
      </c>
      <c r="X113" s="5890">
        <v>2</v>
      </c>
      <c r="Y113" s="5890">
        <v>4</v>
      </c>
      <c r="Z113" s="5826">
        <v>2</v>
      </c>
      <c r="AA113" s="5892">
        <v>6</v>
      </c>
      <c r="AB113" s="5892">
        <v>6</v>
      </c>
      <c r="AC113" s="5892">
        <v>2</v>
      </c>
      <c r="AD113" s="5892">
        <v>2</v>
      </c>
      <c r="AE113" s="2860">
        <v>35</v>
      </c>
      <c r="AF113" s="5628">
        <v>2.9166666666666665</v>
      </c>
      <c r="AH113" s="5891">
        <v>0</v>
      </c>
      <c r="AI113" s="5890">
        <v>0</v>
      </c>
      <c r="AJ113" s="5890">
        <v>0</v>
      </c>
      <c r="AK113" s="5890">
        <v>0</v>
      </c>
      <c r="AL113" s="5890">
        <v>4</v>
      </c>
      <c r="AM113" s="1102">
        <v>4</v>
      </c>
      <c r="AN113" s="5890">
        <v>9</v>
      </c>
      <c r="AO113" s="5826"/>
      <c r="AP113" s="5826"/>
      <c r="AQ113" s="5826">
        <v>2</v>
      </c>
      <c r="AR113" s="5826"/>
      <c r="AS113" s="5826"/>
      <c r="AT113" s="2860">
        <f t="shared" si="58"/>
        <v>19</v>
      </c>
      <c r="AU113" s="5628">
        <f t="shared" si="56"/>
        <v>2.375</v>
      </c>
      <c r="AW113" s="5891"/>
      <c r="AX113" s="5890"/>
      <c r="AY113" s="5890"/>
      <c r="AZ113" s="5890"/>
      <c r="BA113" s="5890"/>
      <c r="BB113" s="1102"/>
      <c r="BC113" s="5890"/>
      <c r="BD113" s="5826"/>
      <c r="BE113" s="5826"/>
      <c r="BF113" s="5826"/>
      <c r="BG113" s="5826"/>
      <c r="BH113" s="5826"/>
      <c r="BI113" s="2860">
        <f t="shared" si="59"/>
        <v>0</v>
      </c>
      <c r="BJ113" s="5628" t="e">
        <f t="shared" si="57"/>
        <v>#DIV/0!</v>
      </c>
      <c r="BL113" s="2860">
        <f t="shared" si="45"/>
        <v>0</v>
      </c>
      <c r="BM113" s="868" t="e">
        <f t="shared" si="37"/>
        <v>#DIV/0!</v>
      </c>
      <c r="BN113" s="2860">
        <f>IFERROR(
  SUM(
    _xlfn.XLOOKUP(DATE(YEAR($A$1),1,1),$2:$2,113:113):
    _xlfn.XLOOKUP($A$1,$2:$2,113:113)
  )
 -SUM(
    _xlfn.XLOOKUP(DATE(YEAR($A$1)-1,1,1),$2:$2,113:113):
    _xlfn.XLOOKUP(EDATE($A$1,-12),$2:$2,113:113)
  ),"")</f>
        <v>0</v>
      </c>
      <c r="BO113" s="590">
        <f t="shared" si="46"/>
        <v>0</v>
      </c>
    </row>
    <row r="114" spans="1:67" ht="17.600000000000001" x14ac:dyDescent="0.55000000000000004">
      <c r="A114" s="7474"/>
      <c r="B114" s="7479" t="s">
        <v>540</v>
      </c>
      <c r="C114" s="7502"/>
      <c r="D114" s="5896">
        <v>2.4398411711237622E-3</v>
      </c>
      <c r="E114" s="5896">
        <v>2.0359274137016696E-3</v>
      </c>
      <c r="F114" s="5896">
        <v>2.143896137730401E-3</v>
      </c>
      <c r="G114" s="5896">
        <v>2.5497695400608024E-3</v>
      </c>
      <c r="H114" s="5896">
        <v>2.440597916058039E-3</v>
      </c>
      <c r="I114" s="5896">
        <v>1.9463742320721135E-3</v>
      </c>
      <c r="J114" s="5896">
        <v>3.0000000000000001E-3</v>
      </c>
      <c r="K114" s="5896">
        <v>3.0000000000000001E-3</v>
      </c>
      <c r="L114" s="5896">
        <v>2E-3</v>
      </c>
      <c r="M114" s="5896">
        <v>2E-3</v>
      </c>
      <c r="N114" s="5896">
        <v>3.0000000000000001E-3</v>
      </c>
      <c r="O114" s="5896">
        <v>2E-3</v>
      </c>
      <c r="P114" s="5896">
        <v>2E-3</v>
      </c>
      <c r="Q114" s="5896">
        <v>2E-3</v>
      </c>
      <c r="S114" s="5897">
        <v>3.0000000000000001E-3</v>
      </c>
      <c r="T114" s="5896">
        <v>2.4089986532369735E-3</v>
      </c>
      <c r="U114" s="5896">
        <v>3.9152625323358734E-3</v>
      </c>
      <c r="V114" s="5896">
        <v>2.079037604948679E-3</v>
      </c>
      <c r="W114" s="5896">
        <v>2.1752098384560229E-3</v>
      </c>
      <c r="X114" s="5896">
        <v>2.2692168341564805E-3</v>
      </c>
      <c r="Y114" s="5896">
        <v>2.1817203420563154E-3</v>
      </c>
      <c r="Z114" s="5896">
        <v>2.0491928626918442E-3</v>
      </c>
      <c r="AA114" s="5898">
        <v>2.7392382178516154E-3</v>
      </c>
      <c r="AB114" s="5898">
        <v>2.4797718853577697E-3</v>
      </c>
      <c r="AC114" s="5898">
        <v>1.8154253828318089E-3</v>
      </c>
      <c r="AD114" s="5898">
        <v>1.9248195481673593E-3</v>
      </c>
      <c r="AE114" s="5899">
        <v>2.4198244751742286E-3</v>
      </c>
      <c r="AF114" s="5716">
        <v>2.4198244751742286E-3</v>
      </c>
      <c r="AH114" s="5897">
        <v>3.7476367012723127E-3</v>
      </c>
      <c r="AI114" s="5896">
        <v>3.154466747608619E-3</v>
      </c>
      <c r="AJ114" s="5896">
        <v>1.8683264357328294E-3</v>
      </c>
      <c r="AK114" s="5896">
        <v>7.2802912116484665E-4</v>
      </c>
      <c r="AL114" s="5896">
        <v>1.5300153001530014E-3</v>
      </c>
      <c r="AM114" s="5896">
        <v>3.0010326133723432E-3</v>
      </c>
      <c r="AN114" s="5896">
        <v>1.9212714267739094E-3</v>
      </c>
      <c r="AO114" s="5896">
        <v>1.367678589559058E-3</v>
      </c>
      <c r="AP114" s="5900">
        <v>2.2647000152544563E-3</v>
      </c>
      <c r="AQ114" s="5900">
        <v>2.5790474626824831E-3</v>
      </c>
      <c r="AR114" s="6210">
        <v>2.1636956706476054E-3</v>
      </c>
      <c r="AS114" s="6201"/>
      <c r="AT114" s="5899">
        <f>AVERAGE(AH114:AS114)</f>
        <v>2.2114454622019514E-3</v>
      </c>
      <c r="AU114" s="5716">
        <f>AT114</f>
        <v>2.2114454622019514E-3</v>
      </c>
      <c r="AW114" s="5897"/>
      <c r="AX114" s="5896"/>
      <c r="AY114" s="5896"/>
      <c r="AZ114" s="5896"/>
      <c r="BA114" s="5896"/>
      <c r="BB114" s="5896"/>
      <c r="BC114" s="5896"/>
      <c r="BD114" s="5896"/>
      <c r="BE114" s="5900"/>
      <c r="BF114" s="5900"/>
      <c r="BG114" s="5901"/>
      <c r="BH114" s="5901"/>
      <c r="BI114" s="5899" t="e">
        <f>AVERAGE(AW114:BH114)</f>
        <v>#DIV/0!</v>
      </c>
      <c r="BJ114" s="5716" t="e">
        <f>BI114</f>
        <v>#DIV/0!</v>
      </c>
      <c r="BL114" s="5686">
        <f t="shared" si="45"/>
        <v>-3.154466747608619E-3</v>
      </c>
      <c r="BM114" s="5686" t="e">
        <f t="shared" si="37"/>
        <v>#DIV/0!</v>
      </c>
      <c r="BN114" s="5686" t="e">
        <f t="shared" ref="BN114:BN115" si="60">BM114</f>
        <v>#DIV/0!</v>
      </c>
      <c r="BO114" s="590">
        <f t="shared" si="46"/>
        <v>0</v>
      </c>
    </row>
    <row r="115" spans="1:67" ht="18" thickBot="1" x14ac:dyDescent="0.6">
      <c r="A115" s="7475"/>
      <c r="B115" s="7485" t="s">
        <v>541</v>
      </c>
      <c r="C115" s="7503"/>
      <c r="D115" s="5902">
        <v>2.9678750552162219E-2</v>
      </c>
      <c r="E115" s="5902">
        <v>3.6214040604719722E-2</v>
      </c>
      <c r="F115" s="5902">
        <v>1.703564568432607E-2</v>
      </c>
      <c r="G115" s="5902">
        <v>2.7927989932756331E-2</v>
      </c>
      <c r="H115" s="5902">
        <v>2.5639560421398668E-2</v>
      </c>
      <c r="I115" s="5902">
        <v>2.8101702691004812E-2</v>
      </c>
      <c r="J115" s="5902">
        <v>2.1000000000000001E-2</v>
      </c>
      <c r="K115" s="5902">
        <v>0.02</v>
      </c>
      <c r="L115" s="5902">
        <v>8.0000000000000002E-3</v>
      </c>
      <c r="M115" s="5902">
        <v>1.6E-2</v>
      </c>
      <c r="N115" s="5902">
        <v>1.4999999999999999E-2</v>
      </c>
      <c r="O115" s="5902">
        <v>1.2E-2</v>
      </c>
      <c r="P115" s="5902">
        <v>2.0999999999999998E-2</v>
      </c>
      <c r="Q115" s="5902">
        <v>2.0999999999999998E-2</v>
      </c>
      <c r="S115" s="5903">
        <v>1.4254313578394601E-2</v>
      </c>
      <c r="T115" s="5902">
        <v>1.0769295920406437E-2</v>
      </c>
      <c r="U115" s="5902">
        <v>4.4685888800206344E-3</v>
      </c>
      <c r="V115" s="5902">
        <v>5.634036054904772E-3</v>
      </c>
      <c r="W115" s="5902">
        <v>8.6030974000282073E-3</v>
      </c>
      <c r="X115" s="5902">
        <v>6.9195466208185775E-3</v>
      </c>
      <c r="Y115" s="5902">
        <v>4.4204424354052666E-3</v>
      </c>
      <c r="Z115" s="5902">
        <v>4.8716577727680776E-3</v>
      </c>
      <c r="AA115" s="5904">
        <v>4.0710639119155966E-3</v>
      </c>
      <c r="AB115" s="5904">
        <v>4.520702723090261E-3</v>
      </c>
      <c r="AC115" s="5904">
        <v>1.5023431106555346E-3</v>
      </c>
      <c r="AD115" s="5904">
        <v>4.8301115515354239E-3</v>
      </c>
      <c r="AE115" s="5905">
        <v>6.2387666633286149E-3</v>
      </c>
      <c r="AF115" s="5906">
        <v>6.2387666633286149E-3</v>
      </c>
      <c r="AH115" s="5903">
        <v>2.442488575072566E-3</v>
      </c>
      <c r="AI115" s="5902">
        <v>2.8553854691401497E-3</v>
      </c>
      <c r="AJ115" s="5902">
        <v>2.3645988588558908E-3</v>
      </c>
      <c r="AK115" s="5902">
        <v>1.5562611913676008E-3</v>
      </c>
      <c r="AL115" s="5902">
        <v>1.5562611913676008E-3</v>
      </c>
      <c r="AM115" s="5902">
        <v>3.0900690815429113E-3</v>
      </c>
      <c r="AN115" s="5902">
        <v>1.4843700924383511E-3</v>
      </c>
      <c r="AO115" s="5902">
        <v>1.4843700924383511E-3</v>
      </c>
      <c r="AP115" s="5907">
        <v>4.9189044639342192E-3</v>
      </c>
      <c r="AQ115" s="5907">
        <v>2.0518433027765198E-3</v>
      </c>
      <c r="AR115" s="6211">
        <v>2.2587111907836467E-3</v>
      </c>
      <c r="AS115" s="6200"/>
      <c r="AT115" s="5905">
        <f>AVERAGE(AH115:AS115)</f>
        <v>2.3693875917925279E-3</v>
      </c>
      <c r="AU115" s="5906">
        <f>AT115</f>
        <v>2.3693875917925279E-3</v>
      </c>
      <c r="AW115" s="5903"/>
      <c r="AX115" s="5902"/>
      <c r="AY115" s="5902"/>
      <c r="AZ115" s="5902"/>
      <c r="BA115" s="5902"/>
      <c r="BB115" s="5902"/>
      <c r="BC115" s="5902"/>
      <c r="BD115" s="5902"/>
      <c r="BE115" s="5907"/>
      <c r="BF115" s="5907"/>
      <c r="BG115" s="5908"/>
      <c r="BH115" s="5908"/>
      <c r="BI115" s="5905" t="e">
        <f>AVERAGE(AW115:BH115)</f>
        <v>#DIV/0!</v>
      </c>
      <c r="BJ115" s="5906" t="e">
        <f>BI115</f>
        <v>#DIV/0!</v>
      </c>
      <c r="BL115" s="5686">
        <f t="shared" si="45"/>
        <v>-2.8553854691401497E-3</v>
      </c>
      <c r="BM115" s="5686" t="e">
        <f t="shared" si="37"/>
        <v>#DIV/0!</v>
      </c>
      <c r="BN115" s="5686" t="e">
        <f t="shared" si="60"/>
        <v>#DIV/0!</v>
      </c>
      <c r="BO115" s="590">
        <f t="shared" si="46"/>
        <v>0</v>
      </c>
    </row>
    <row r="116" spans="1:67" x14ac:dyDescent="0.55000000000000004">
      <c r="A116" s="559" t="s">
        <v>603</v>
      </c>
    </row>
    <row r="117" spans="1:67" ht="15.45" hidden="1" thickBot="1" x14ac:dyDescent="0.6"/>
    <row r="118" spans="1:67" hidden="1" x14ac:dyDescent="0.55000000000000004">
      <c r="A118" s="7496" t="s">
        <v>1176</v>
      </c>
      <c r="B118" s="5929" t="s">
        <v>539</v>
      </c>
      <c r="C118" s="5930"/>
      <c r="D118" s="5930"/>
      <c r="E118" s="5930"/>
      <c r="F118" s="5930"/>
      <c r="G118" s="5930"/>
      <c r="H118" s="5930"/>
      <c r="I118" s="5930"/>
      <c r="J118" s="5930"/>
      <c r="K118" s="5930"/>
      <c r="L118" s="5930"/>
      <c r="M118" s="5930"/>
      <c r="N118" s="5930"/>
      <c r="O118" s="5930"/>
      <c r="P118" s="5930"/>
      <c r="Q118" s="5931"/>
      <c r="S118" s="5932"/>
      <c r="T118" s="5930"/>
      <c r="U118" s="5930"/>
      <c r="V118" s="5930"/>
      <c r="W118" s="5930"/>
      <c r="X118" s="5930"/>
      <c r="Y118" s="5930"/>
      <c r="Z118" s="5930"/>
      <c r="AA118" s="5930"/>
      <c r="AB118" s="5930"/>
      <c r="AC118" s="5930"/>
      <c r="AD118" s="5930"/>
      <c r="AE118" s="5930"/>
      <c r="AF118" s="5931"/>
      <c r="AH118" s="5932"/>
      <c r="AI118" s="5930"/>
      <c r="AJ118" s="5930"/>
      <c r="AK118" s="5930"/>
      <c r="AL118" s="5930"/>
      <c r="AM118" s="5930"/>
      <c r="AN118" s="5930"/>
      <c r="AO118" s="5930"/>
      <c r="AP118" s="5930"/>
      <c r="AQ118" s="5930"/>
      <c r="AR118" s="5930"/>
      <c r="AS118" s="5930"/>
      <c r="AT118" s="5930" t="e">
        <f>AVERAGE(AH118:AS118)</f>
        <v>#DIV/0!</v>
      </c>
      <c r="AU118" s="5931" t="e">
        <f>AT118</f>
        <v>#DIV/0!</v>
      </c>
      <c r="AW118" s="5932"/>
      <c r="AX118" s="5930"/>
      <c r="AY118" s="5930"/>
      <c r="AZ118" s="5930"/>
      <c r="BA118" s="5930"/>
      <c r="BB118" s="5930"/>
      <c r="BC118" s="5930"/>
      <c r="BD118" s="5930"/>
      <c r="BE118" s="5930"/>
      <c r="BF118" s="5930"/>
      <c r="BG118" s="5930"/>
      <c r="BH118" s="5930"/>
      <c r="BI118" s="5930" t="e">
        <f>AVERAGE(AW118:BH118)</f>
        <v>#DIV/0!</v>
      </c>
      <c r="BJ118" s="5931" t="e">
        <f>BI118</f>
        <v>#DIV/0!</v>
      </c>
    </row>
    <row r="119" spans="1:67" hidden="1" x14ac:dyDescent="0.55000000000000004">
      <c r="A119" s="7497"/>
      <c r="B119" s="5881" t="s">
        <v>19</v>
      </c>
      <c r="C119" s="5882" t="s">
        <v>1177</v>
      </c>
      <c r="D119" s="5883"/>
      <c r="E119" s="5883"/>
      <c r="F119" s="5883"/>
      <c r="G119" s="5883"/>
      <c r="H119" s="5883"/>
      <c r="I119" s="5883"/>
      <c r="J119" s="5883"/>
      <c r="K119" s="5883"/>
      <c r="L119" s="5883"/>
      <c r="M119" s="5883"/>
      <c r="N119" s="5883"/>
      <c r="O119" s="5883"/>
      <c r="P119" s="5883"/>
      <c r="Q119" s="5909"/>
      <c r="S119" s="5917"/>
      <c r="T119" s="5883"/>
      <c r="U119" s="5883"/>
      <c r="V119" s="5883"/>
      <c r="W119" s="5883"/>
      <c r="X119" s="5883"/>
      <c r="Y119" s="5883"/>
      <c r="Z119" s="5883"/>
      <c r="AA119" s="5885"/>
      <c r="AB119" s="5885"/>
      <c r="AC119" s="5885"/>
      <c r="AD119" s="5885"/>
      <c r="AE119" s="5886"/>
      <c r="AF119" s="5918"/>
      <c r="AH119" s="5917"/>
      <c r="AI119" s="5883"/>
      <c r="AJ119" s="5883"/>
      <c r="AK119" s="5883"/>
      <c r="AL119" s="5883"/>
      <c r="AM119" s="5883"/>
      <c r="AN119" s="5883"/>
      <c r="AO119" s="5883"/>
      <c r="AP119" s="5887"/>
      <c r="AQ119" s="5887"/>
      <c r="AR119" s="5882"/>
      <c r="AS119" s="5882"/>
      <c r="AT119" s="5886" t="e">
        <f t="shared" ref="AT119:AT137" si="61">AVERAGE(AH119:AS119)</f>
        <v>#DIV/0!</v>
      </c>
      <c r="AU119" s="5918" t="e">
        <f t="shared" ref="AU119:AU137" si="62">AT119</f>
        <v>#DIV/0!</v>
      </c>
      <c r="AW119" s="5917"/>
      <c r="AX119" s="5883"/>
      <c r="AY119" s="5883"/>
      <c r="AZ119" s="5883"/>
      <c r="BA119" s="5883"/>
      <c r="BB119" s="5883"/>
      <c r="BC119" s="5883"/>
      <c r="BD119" s="5883"/>
      <c r="BE119" s="5887"/>
      <c r="BF119" s="5887"/>
      <c r="BG119" s="5882"/>
      <c r="BH119" s="5882"/>
      <c r="BI119" s="5886" t="e">
        <f t="shared" ref="BI119:BI137" si="63">AVERAGE(AW119:BH119)</f>
        <v>#DIV/0!</v>
      </c>
      <c r="BJ119" s="5918" t="e">
        <f t="shared" ref="BJ119:BJ137" si="64">BI119</f>
        <v>#DIV/0!</v>
      </c>
      <c r="BL119" s="2860">
        <f t="shared" ref="BL119:BL137" si="65">IFERROR(_xlfn.XLOOKUP($A$1,$2:$2,119:119)-_xlfn.XLOOKUP(EDATE($A$1,-12),$2:$2,119:119),"")</f>
        <v>0</v>
      </c>
      <c r="BM119" s="868" t="e">
        <f t="shared" ref="BM119:BM137" si="66">BJ119-AU119</f>
        <v>#DIV/0!</v>
      </c>
      <c r="BN119" s="2860">
        <f>IFERROR(
  SUM(
    _xlfn.XLOOKUP(DATE(YEAR($A$1),1,1),$2:$2,119:119):
    _xlfn.XLOOKUP($A$1,$2:$2,119:119)
  )
 -SUM(
    _xlfn.XLOOKUP(DATE(YEAR($A$1)-1,1,1),$2:$2,119:119):
    _xlfn.XLOOKUP(EDATE($A$1,-12),$2:$2,119:119)
  ),"")</f>
        <v>0</v>
      </c>
      <c r="BO119" s="590">
        <f t="shared" ref="BO119:BO137" si="67">IFERROR(
  _xlfn.XLOOKUP($A$1,$2:$2,119:119)
 -_xlfn.XLOOKUP(EDATE($A$1,-1),$2:$2,119:119),"")</f>
        <v>0</v>
      </c>
    </row>
    <row r="120" spans="1:67" hidden="1" x14ac:dyDescent="0.55000000000000004">
      <c r="A120" s="7497"/>
      <c r="B120" s="1822"/>
      <c r="C120" s="594" t="s">
        <v>67</v>
      </c>
      <c r="D120" s="1102"/>
      <c r="E120" s="1102"/>
      <c r="F120" s="1102"/>
      <c r="G120" s="1102"/>
      <c r="H120" s="1102"/>
      <c r="I120" s="1102"/>
      <c r="J120" s="1102"/>
      <c r="K120" s="1102"/>
      <c r="L120" s="1102"/>
      <c r="M120" s="1102"/>
      <c r="N120" s="1102"/>
      <c r="O120" s="1102"/>
      <c r="P120" s="1102"/>
      <c r="Q120" s="5910"/>
      <c r="S120" s="5919"/>
      <c r="T120" s="1102"/>
      <c r="U120" s="1102"/>
      <c r="V120" s="1102"/>
      <c r="W120" s="1102"/>
      <c r="X120" s="1102"/>
      <c r="Y120" s="1102"/>
      <c r="Z120" s="594"/>
      <c r="AA120" s="4490"/>
      <c r="AB120" s="4490"/>
      <c r="AC120" s="4490"/>
      <c r="AD120" s="4490"/>
      <c r="AE120" s="5920"/>
      <c r="AF120" s="5921"/>
      <c r="AH120" s="5919"/>
      <c r="AI120" s="1102"/>
      <c r="AJ120" s="1102"/>
      <c r="AK120" s="1102"/>
      <c r="AL120" s="1102"/>
      <c r="AM120" s="1102"/>
      <c r="AN120" s="1102"/>
      <c r="AO120" s="594"/>
      <c r="AP120" s="594"/>
      <c r="AQ120" s="594"/>
      <c r="AT120" s="5920" t="e">
        <f t="shared" si="61"/>
        <v>#DIV/0!</v>
      </c>
      <c r="AU120" s="5921" t="e">
        <f t="shared" si="62"/>
        <v>#DIV/0!</v>
      </c>
      <c r="AW120" s="5919"/>
      <c r="AX120" s="1102"/>
      <c r="AY120" s="1102"/>
      <c r="AZ120" s="1102"/>
      <c r="BA120" s="1102"/>
      <c r="BB120" s="1102"/>
      <c r="BC120" s="1102"/>
      <c r="BD120" s="594"/>
      <c r="BE120" s="594"/>
      <c r="BF120" s="594"/>
      <c r="BG120" s="594"/>
      <c r="BH120" s="594"/>
      <c r="BI120" s="5920" t="e">
        <f t="shared" si="63"/>
        <v>#DIV/0!</v>
      </c>
      <c r="BJ120" s="5921" t="e">
        <f t="shared" si="64"/>
        <v>#DIV/0!</v>
      </c>
      <c r="BL120" s="2860">
        <f t="shared" si="65"/>
        <v>0</v>
      </c>
      <c r="BM120" s="868" t="e">
        <f t="shared" si="66"/>
        <v>#DIV/0!</v>
      </c>
      <c r="BN120" s="2860">
        <f>IFERROR(
  SUM(
    _xlfn.XLOOKUP(DATE(YEAR($A$1),1,1),$2:$2,120:120):
    _xlfn.XLOOKUP($A$1,$2:$2,120:120)
  )
 -SUM(
    _xlfn.XLOOKUP(DATE(YEAR($A$1)-1,1,1),$2:$2,120:120):
    _xlfn.XLOOKUP(EDATE($A$1,-12),$2:$2,120:120)
  ),"")</f>
        <v>0</v>
      </c>
      <c r="BO120" s="590">
        <f t="shared" si="67"/>
        <v>0</v>
      </c>
    </row>
    <row r="121" spans="1:67" hidden="1" x14ac:dyDescent="0.55000000000000004">
      <c r="A121" s="7497"/>
      <c r="B121" s="1822"/>
      <c r="C121" s="594" t="s">
        <v>70</v>
      </c>
      <c r="D121" s="1102"/>
      <c r="E121" s="1102"/>
      <c r="F121" s="1102"/>
      <c r="G121" s="1102"/>
      <c r="H121" s="1102"/>
      <c r="I121" s="1102"/>
      <c r="J121" s="1102"/>
      <c r="K121" s="1102"/>
      <c r="L121" s="1102"/>
      <c r="M121" s="1102"/>
      <c r="N121" s="1102"/>
      <c r="O121" s="1102"/>
      <c r="P121" s="1102"/>
      <c r="Q121" s="5910"/>
      <c r="S121" s="5919"/>
      <c r="T121" s="1102"/>
      <c r="U121" s="1102"/>
      <c r="V121" s="1102"/>
      <c r="W121" s="1102"/>
      <c r="X121" s="1102"/>
      <c r="Y121" s="1102"/>
      <c r="Z121" s="594"/>
      <c r="AA121" s="4490"/>
      <c r="AB121" s="4490"/>
      <c r="AC121" s="4490"/>
      <c r="AD121" s="4490"/>
      <c r="AE121" s="5920"/>
      <c r="AF121" s="5921"/>
      <c r="AH121" s="5919"/>
      <c r="AI121" s="1102"/>
      <c r="AJ121" s="1102"/>
      <c r="AK121" s="1102"/>
      <c r="AL121" s="1102"/>
      <c r="AM121" s="1102"/>
      <c r="AN121" s="1102"/>
      <c r="AO121" s="594"/>
      <c r="AP121" s="594"/>
      <c r="AQ121" s="594"/>
      <c r="AT121" s="5920" t="e">
        <f t="shared" si="61"/>
        <v>#DIV/0!</v>
      </c>
      <c r="AU121" s="5921" t="e">
        <f t="shared" si="62"/>
        <v>#DIV/0!</v>
      </c>
      <c r="AW121" s="5919"/>
      <c r="AX121" s="1102"/>
      <c r="AY121" s="1102"/>
      <c r="AZ121" s="1102"/>
      <c r="BA121" s="1102"/>
      <c r="BB121" s="1102"/>
      <c r="BC121" s="1102"/>
      <c r="BD121" s="594"/>
      <c r="BE121" s="594"/>
      <c r="BF121" s="594"/>
      <c r="BG121" s="594"/>
      <c r="BH121" s="594"/>
      <c r="BI121" s="5920" t="e">
        <f t="shared" si="63"/>
        <v>#DIV/0!</v>
      </c>
      <c r="BJ121" s="5921" t="e">
        <f t="shared" si="64"/>
        <v>#DIV/0!</v>
      </c>
      <c r="BL121" s="2860">
        <f t="shared" si="65"/>
        <v>0</v>
      </c>
      <c r="BM121" s="868" t="e">
        <f t="shared" si="66"/>
        <v>#DIV/0!</v>
      </c>
      <c r="BN121" s="2860">
        <f>IFERROR(
  SUM(
    _xlfn.XLOOKUP(DATE(YEAR($A$1),1,1),$2:$2,121:121):
    _xlfn.XLOOKUP($A$1,$2:$2,121:121)
  )
 -SUM(
    _xlfn.XLOOKUP(DATE(YEAR($A$1)-1,1,1),$2:$2,121:121):
    _xlfn.XLOOKUP(EDATE($A$1,-12),$2:$2,121:121)
  ),"")</f>
        <v>0</v>
      </c>
      <c r="BO121" s="590">
        <f t="shared" si="67"/>
        <v>0</v>
      </c>
    </row>
    <row r="122" spans="1:67" hidden="1" x14ac:dyDescent="0.55000000000000004">
      <c r="A122" s="7497"/>
      <c r="B122" s="1822"/>
      <c r="C122" s="594" t="s">
        <v>68</v>
      </c>
      <c r="D122" s="1102"/>
      <c r="E122" s="1102"/>
      <c r="F122" s="1102"/>
      <c r="G122" s="1102"/>
      <c r="H122" s="1102"/>
      <c r="I122" s="1102"/>
      <c r="J122" s="1102"/>
      <c r="K122" s="1102"/>
      <c r="L122" s="1102"/>
      <c r="M122" s="1102"/>
      <c r="N122" s="1102"/>
      <c r="O122" s="1102"/>
      <c r="P122" s="1102"/>
      <c r="Q122" s="5910"/>
      <c r="S122" s="5919"/>
      <c r="T122" s="1102"/>
      <c r="U122" s="1102"/>
      <c r="V122" s="1102"/>
      <c r="W122" s="1102"/>
      <c r="X122" s="1102"/>
      <c r="Y122" s="1102"/>
      <c r="Z122" s="594"/>
      <c r="AA122" s="4490"/>
      <c r="AB122" s="4490"/>
      <c r="AC122" s="4490"/>
      <c r="AD122" s="4490"/>
      <c r="AE122" s="5920"/>
      <c r="AF122" s="5921"/>
      <c r="AH122" s="5919"/>
      <c r="AI122" s="1102"/>
      <c r="AJ122" s="1102"/>
      <c r="AK122" s="1102"/>
      <c r="AL122" s="1102"/>
      <c r="AM122" s="1102"/>
      <c r="AN122" s="1102"/>
      <c r="AO122" s="594"/>
      <c r="AP122" s="594"/>
      <c r="AQ122" s="594"/>
      <c r="AT122" s="5920" t="e">
        <f t="shared" si="61"/>
        <v>#DIV/0!</v>
      </c>
      <c r="AU122" s="5921" t="e">
        <f t="shared" si="62"/>
        <v>#DIV/0!</v>
      </c>
      <c r="AW122" s="5919"/>
      <c r="AX122" s="1102"/>
      <c r="AY122" s="1102"/>
      <c r="AZ122" s="1102"/>
      <c r="BA122" s="1102"/>
      <c r="BB122" s="1102"/>
      <c r="BC122" s="1102"/>
      <c r="BD122" s="594"/>
      <c r="BE122" s="594"/>
      <c r="BF122" s="594"/>
      <c r="BG122" s="594"/>
      <c r="BH122" s="594"/>
      <c r="BI122" s="5920" t="e">
        <f t="shared" si="63"/>
        <v>#DIV/0!</v>
      </c>
      <c r="BJ122" s="5921" t="e">
        <f t="shared" si="64"/>
        <v>#DIV/0!</v>
      </c>
      <c r="BL122" s="2860">
        <f t="shared" si="65"/>
        <v>0</v>
      </c>
      <c r="BM122" s="868" t="e">
        <f t="shared" si="66"/>
        <v>#DIV/0!</v>
      </c>
      <c r="BN122" s="2860">
        <f>IFERROR(
  SUM(
    _xlfn.XLOOKUP(DATE(YEAR($A$1),1,1),$2:$2,122:122):
    _xlfn.XLOOKUP($A$1,$2:$2,122:122)
  )
 -SUM(
    _xlfn.XLOOKUP(DATE(YEAR($A$1)-1,1,1),$2:$2,122:122):
    _xlfn.XLOOKUP(EDATE($A$1,-12),$2:$2,122:122)
  ),"")</f>
        <v>0</v>
      </c>
      <c r="BO122" s="590">
        <f t="shared" si="67"/>
        <v>0</v>
      </c>
    </row>
    <row r="123" spans="1:67" hidden="1" x14ac:dyDescent="0.55000000000000004">
      <c r="A123" s="7497"/>
      <c r="B123" s="1822"/>
      <c r="C123" s="594" t="s">
        <v>143</v>
      </c>
      <c r="D123" s="1102"/>
      <c r="E123" s="1102"/>
      <c r="F123" s="1102"/>
      <c r="G123" s="1102"/>
      <c r="H123" s="1102"/>
      <c r="I123" s="1102"/>
      <c r="J123" s="1102"/>
      <c r="K123" s="1102"/>
      <c r="L123" s="1102"/>
      <c r="M123" s="1102"/>
      <c r="N123" s="1102"/>
      <c r="O123" s="1102"/>
      <c r="P123" s="1102"/>
      <c r="Q123" s="5910"/>
      <c r="S123" s="5919"/>
      <c r="T123" s="1102"/>
      <c r="U123" s="1102"/>
      <c r="V123" s="1102"/>
      <c r="W123" s="1102"/>
      <c r="X123" s="1102"/>
      <c r="Y123" s="1102"/>
      <c r="Z123" s="594"/>
      <c r="AA123" s="4490"/>
      <c r="AB123" s="4490"/>
      <c r="AC123" s="4490"/>
      <c r="AD123" s="4490"/>
      <c r="AE123" s="5920"/>
      <c r="AF123" s="5921"/>
      <c r="AH123" s="5919"/>
      <c r="AI123" s="1102"/>
      <c r="AJ123" s="1102"/>
      <c r="AK123" s="1102"/>
      <c r="AL123" s="1102"/>
      <c r="AM123" s="1102"/>
      <c r="AN123" s="1102"/>
      <c r="AO123" s="594"/>
      <c r="AP123" s="594"/>
      <c r="AQ123" s="594"/>
      <c r="AT123" s="5920" t="e">
        <f t="shared" si="61"/>
        <v>#DIV/0!</v>
      </c>
      <c r="AU123" s="5921" t="e">
        <f t="shared" si="62"/>
        <v>#DIV/0!</v>
      </c>
      <c r="AW123" s="5919"/>
      <c r="AX123" s="1102"/>
      <c r="AY123" s="1102"/>
      <c r="AZ123" s="1102"/>
      <c r="BA123" s="1102"/>
      <c r="BB123" s="1102"/>
      <c r="BC123" s="1102"/>
      <c r="BD123" s="594"/>
      <c r="BE123" s="594"/>
      <c r="BF123" s="594"/>
      <c r="BG123" s="594"/>
      <c r="BH123" s="594"/>
      <c r="BI123" s="5920" t="e">
        <f t="shared" si="63"/>
        <v>#DIV/0!</v>
      </c>
      <c r="BJ123" s="5921" t="e">
        <f t="shared" si="64"/>
        <v>#DIV/0!</v>
      </c>
      <c r="BL123" s="2860">
        <f t="shared" si="65"/>
        <v>0</v>
      </c>
      <c r="BM123" s="868" t="e">
        <f t="shared" si="66"/>
        <v>#DIV/0!</v>
      </c>
      <c r="BN123" s="2860">
        <f>IFERROR(
  SUM(
    _xlfn.XLOOKUP(DATE(YEAR($A$1),1,1),$2:$2,123:123):
    _xlfn.XLOOKUP($A$1,$2:$2,123:123)
  )
 -SUM(
    _xlfn.XLOOKUP(DATE(YEAR($A$1)-1,1,1),$2:$2,123:123):
    _xlfn.XLOOKUP(EDATE($A$1,-12),$2:$2,123:123)
  ),"")</f>
        <v>0</v>
      </c>
      <c r="BO123" s="590">
        <f t="shared" si="67"/>
        <v>0</v>
      </c>
    </row>
    <row r="124" spans="1:67" hidden="1" x14ac:dyDescent="0.55000000000000004">
      <c r="A124" s="7497"/>
      <c r="B124" s="1822"/>
      <c r="C124" s="594" t="s">
        <v>69</v>
      </c>
      <c r="D124" s="1102"/>
      <c r="E124" s="1102"/>
      <c r="F124" s="1102"/>
      <c r="G124" s="1102"/>
      <c r="H124" s="1102"/>
      <c r="I124" s="1102"/>
      <c r="J124" s="1102"/>
      <c r="K124" s="1102"/>
      <c r="L124" s="1102"/>
      <c r="M124" s="1102"/>
      <c r="N124" s="1102"/>
      <c r="O124" s="1102"/>
      <c r="P124" s="1102"/>
      <c r="Q124" s="5910"/>
      <c r="S124" s="5919"/>
      <c r="T124" s="1102"/>
      <c r="U124" s="1102"/>
      <c r="V124" s="1102"/>
      <c r="W124" s="1102"/>
      <c r="X124" s="1102"/>
      <c r="Y124" s="1102"/>
      <c r="Z124" s="594"/>
      <c r="AA124" s="4490"/>
      <c r="AB124" s="4490"/>
      <c r="AC124" s="4490"/>
      <c r="AD124" s="4490"/>
      <c r="AE124" s="5920"/>
      <c r="AF124" s="5921"/>
      <c r="AH124" s="5919"/>
      <c r="AI124" s="1102"/>
      <c r="AJ124" s="1102"/>
      <c r="AK124" s="1102"/>
      <c r="AL124" s="1102"/>
      <c r="AM124" s="1102"/>
      <c r="AN124" s="1102"/>
      <c r="AO124" s="594"/>
      <c r="AP124" s="594"/>
      <c r="AQ124" s="594"/>
      <c r="AT124" s="5920" t="e">
        <f t="shared" si="61"/>
        <v>#DIV/0!</v>
      </c>
      <c r="AU124" s="5921" t="e">
        <f t="shared" si="62"/>
        <v>#DIV/0!</v>
      </c>
      <c r="AW124" s="5919"/>
      <c r="AX124" s="1102"/>
      <c r="AY124" s="1102"/>
      <c r="AZ124" s="1102"/>
      <c r="BA124" s="1102"/>
      <c r="BB124" s="1102"/>
      <c r="BC124" s="1102"/>
      <c r="BD124" s="594"/>
      <c r="BE124" s="594"/>
      <c r="BF124" s="594"/>
      <c r="BG124" s="594"/>
      <c r="BH124" s="594"/>
      <c r="BI124" s="5920" t="e">
        <f t="shared" si="63"/>
        <v>#DIV/0!</v>
      </c>
      <c r="BJ124" s="5921" t="e">
        <f t="shared" si="64"/>
        <v>#DIV/0!</v>
      </c>
      <c r="BL124" s="2860">
        <f t="shared" si="65"/>
        <v>0</v>
      </c>
      <c r="BM124" s="868" t="e">
        <f t="shared" si="66"/>
        <v>#DIV/0!</v>
      </c>
      <c r="BN124" s="2860">
        <f>IFERROR(
  SUM(
    _xlfn.XLOOKUP(DATE(YEAR($A$1),1,1),$2:$2,124:124):
    _xlfn.XLOOKUP($A$1,$2:$2,124:124)
  )
 -SUM(
    _xlfn.XLOOKUP(DATE(YEAR($A$1)-1,1,1),$2:$2,124:124):
    _xlfn.XLOOKUP(EDATE($A$1,-12),$2:$2,124:124)
  ),"")</f>
        <v>0</v>
      </c>
      <c r="BO124" s="590">
        <f t="shared" si="67"/>
        <v>0</v>
      </c>
    </row>
    <row r="125" spans="1:67" hidden="1" x14ac:dyDescent="0.55000000000000004">
      <c r="A125" s="7497"/>
      <c r="B125" s="1822"/>
      <c r="C125" s="594" t="s">
        <v>71</v>
      </c>
      <c r="D125" s="1102"/>
      <c r="E125" s="1102"/>
      <c r="F125" s="1102"/>
      <c r="G125" s="1102"/>
      <c r="H125" s="1102"/>
      <c r="I125" s="1102"/>
      <c r="J125" s="1102"/>
      <c r="K125" s="1102"/>
      <c r="L125" s="1102"/>
      <c r="M125" s="1102"/>
      <c r="N125" s="1102"/>
      <c r="O125" s="1102"/>
      <c r="P125" s="1102"/>
      <c r="Q125" s="5910"/>
      <c r="S125" s="5919"/>
      <c r="T125" s="1102"/>
      <c r="U125" s="1102"/>
      <c r="V125" s="1102"/>
      <c r="W125" s="1102"/>
      <c r="X125" s="1102"/>
      <c r="Y125" s="1102"/>
      <c r="Z125" s="594"/>
      <c r="AA125" s="4490"/>
      <c r="AB125" s="4490"/>
      <c r="AC125" s="4490"/>
      <c r="AD125" s="4490"/>
      <c r="AE125" s="5920"/>
      <c r="AF125" s="5921"/>
      <c r="AH125" s="5919"/>
      <c r="AI125" s="1102"/>
      <c r="AJ125" s="1102"/>
      <c r="AK125" s="1102"/>
      <c r="AL125" s="1102"/>
      <c r="AM125" s="1102"/>
      <c r="AN125" s="1102"/>
      <c r="AO125" s="594"/>
      <c r="AP125" s="594"/>
      <c r="AQ125" s="594"/>
      <c r="AT125" s="5920" t="e">
        <f t="shared" si="61"/>
        <v>#DIV/0!</v>
      </c>
      <c r="AU125" s="5921" t="e">
        <f t="shared" si="62"/>
        <v>#DIV/0!</v>
      </c>
      <c r="AW125" s="5919"/>
      <c r="AX125" s="1102"/>
      <c r="AY125" s="1102"/>
      <c r="AZ125" s="1102"/>
      <c r="BA125" s="1102"/>
      <c r="BB125" s="1102"/>
      <c r="BC125" s="1102"/>
      <c r="BD125" s="594"/>
      <c r="BE125" s="594"/>
      <c r="BF125" s="594"/>
      <c r="BG125" s="594"/>
      <c r="BH125" s="594"/>
      <c r="BI125" s="5920" t="e">
        <f t="shared" si="63"/>
        <v>#DIV/0!</v>
      </c>
      <c r="BJ125" s="5921" t="e">
        <f t="shared" si="64"/>
        <v>#DIV/0!</v>
      </c>
      <c r="BL125" s="2860">
        <f t="shared" si="65"/>
        <v>0</v>
      </c>
      <c r="BM125" s="868" t="e">
        <f t="shared" si="66"/>
        <v>#DIV/0!</v>
      </c>
      <c r="BN125" s="2860">
        <f>IFERROR(
  SUM(
    _xlfn.XLOOKUP(DATE(YEAR($A$1),1,1),$2:$2,125:125):
    _xlfn.XLOOKUP($A$1,$2:$2,125:125)
  )
 -SUM(
    _xlfn.XLOOKUP(DATE(YEAR($A$1)-1,1,1),$2:$2,125:125):
    _xlfn.XLOOKUP(EDATE($A$1,-12),$2:$2,125:125)
  ),"")</f>
        <v>0</v>
      </c>
      <c r="BO125" s="590">
        <f t="shared" si="67"/>
        <v>0</v>
      </c>
    </row>
    <row r="126" spans="1:67" hidden="1" x14ac:dyDescent="0.55000000000000004">
      <c r="A126" s="7497"/>
      <c r="B126" s="1822"/>
      <c r="C126" s="594" t="s">
        <v>72</v>
      </c>
      <c r="D126" s="1102"/>
      <c r="E126" s="1102"/>
      <c r="F126" s="1102"/>
      <c r="G126" s="1102"/>
      <c r="H126" s="1102"/>
      <c r="I126" s="1102"/>
      <c r="J126" s="1102"/>
      <c r="K126" s="1102"/>
      <c r="L126" s="1102"/>
      <c r="M126" s="1102"/>
      <c r="N126" s="1102"/>
      <c r="O126" s="1102"/>
      <c r="P126" s="1102"/>
      <c r="Q126" s="5910"/>
      <c r="S126" s="5919"/>
      <c r="T126" s="1102"/>
      <c r="U126" s="1102"/>
      <c r="V126" s="1102"/>
      <c r="W126" s="1102"/>
      <c r="X126" s="1102"/>
      <c r="Y126" s="1102"/>
      <c r="Z126" s="594"/>
      <c r="AA126" s="4490"/>
      <c r="AB126" s="4490"/>
      <c r="AC126" s="4490"/>
      <c r="AD126" s="4490"/>
      <c r="AE126" s="5920"/>
      <c r="AF126" s="5921"/>
      <c r="AH126" s="5919"/>
      <c r="AI126" s="1102"/>
      <c r="AJ126" s="1102"/>
      <c r="AK126" s="1102"/>
      <c r="AL126" s="1102"/>
      <c r="AM126" s="1102"/>
      <c r="AN126" s="1102"/>
      <c r="AO126" s="594"/>
      <c r="AP126" s="594"/>
      <c r="AQ126" s="594"/>
      <c r="AT126" s="5920" t="e">
        <f t="shared" si="61"/>
        <v>#DIV/0!</v>
      </c>
      <c r="AU126" s="5921" t="e">
        <f t="shared" si="62"/>
        <v>#DIV/0!</v>
      </c>
      <c r="AW126" s="5919"/>
      <c r="AX126" s="1102"/>
      <c r="AY126" s="1102"/>
      <c r="AZ126" s="1102"/>
      <c r="BA126" s="1102"/>
      <c r="BB126" s="1102"/>
      <c r="BC126" s="1102"/>
      <c r="BD126" s="594"/>
      <c r="BE126" s="594"/>
      <c r="BF126" s="594"/>
      <c r="BG126" s="594"/>
      <c r="BH126" s="594"/>
      <c r="BI126" s="5920" t="e">
        <f t="shared" si="63"/>
        <v>#DIV/0!</v>
      </c>
      <c r="BJ126" s="5921" t="e">
        <f t="shared" si="64"/>
        <v>#DIV/0!</v>
      </c>
      <c r="BL126" s="2860">
        <f t="shared" si="65"/>
        <v>0</v>
      </c>
      <c r="BM126" s="868" t="e">
        <f t="shared" si="66"/>
        <v>#DIV/0!</v>
      </c>
      <c r="BN126" s="2860">
        <f>IFERROR(
  SUM(
    _xlfn.XLOOKUP(DATE(YEAR($A$1),1,1),$2:$2,126:126):
    _xlfn.XLOOKUP($A$1,$2:$2,126:126)
  )
 -SUM(
    _xlfn.XLOOKUP(DATE(YEAR($A$1)-1,1,1),$2:$2,126:126):
    _xlfn.XLOOKUP(EDATE($A$1,-12),$2:$2,126:126)
  ),"")</f>
        <v>0</v>
      </c>
      <c r="BO126" s="590">
        <f t="shared" si="67"/>
        <v>0</v>
      </c>
    </row>
    <row r="127" spans="1:67" hidden="1" x14ac:dyDescent="0.55000000000000004">
      <c r="A127" s="7497"/>
      <c r="B127" s="1822"/>
      <c r="C127" s="594" t="s">
        <v>73</v>
      </c>
      <c r="D127" s="1102"/>
      <c r="E127" s="1102"/>
      <c r="F127" s="1102"/>
      <c r="G127" s="1102"/>
      <c r="H127" s="1102"/>
      <c r="I127" s="1102"/>
      <c r="J127" s="1102"/>
      <c r="K127" s="1102"/>
      <c r="L127" s="1102"/>
      <c r="M127" s="1102"/>
      <c r="N127" s="1102"/>
      <c r="O127" s="1102"/>
      <c r="P127" s="1102"/>
      <c r="Q127" s="5910"/>
      <c r="S127" s="5919"/>
      <c r="T127" s="1102"/>
      <c r="U127" s="1102"/>
      <c r="V127" s="1102"/>
      <c r="W127" s="1102"/>
      <c r="X127" s="1102"/>
      <c r="Y127" s="1102"/>
      <c r="Z127" s="594"/>
      <c r="AA127" s="4490"/>
      <c r="AB127" s="4490"/>
      <c r="AC127" s="4490"/>
      <c r="AD127" s="4490"/>
      <c r="AE127" s="5920"/>
      <c r="AF127" s="5921"/>
      <c r="AH127" s="5919"/>
      <c r="AI127" s="1102"/>
      <c r="AJ127" s="1102"/>
      <c r="AK127" s="1102"/>
      <c r="AL127" s="1102"/>
      <c r="AM127" s="1102"/>
      <c r="AN127" s="1102"/>
      <c r="AO127" s="594"/>
      <c r="AP127" s="594"/>
      <c r="AQ127" s="594"/>
      <c r="AT127" s="5920" t="e">
        <f t="shared" si="61"/>
        <v>#DIV/0!</v>
      </c>
      <c r="AU127" s="5921" t="e">
        <f t="shared" si="62"/>
        <v>#DIV/0!</v>
      </c>
      <c r="AW127" s="5919"/>
      <c r="AX127" s="1102"/>
      <c r="AY127" s="1102"/>
      <c r="AZ127" s="1102"/>
      <c r="BA127" s="1102"/>
      <c r="BB127" s="1102"/>
      <c r="BC127" s="1102"/>
      <c r="BD127" s="594"/>
      <c r="BE127" s="594"/>
      <c r="BF127" s="594"/>
      <c r="BG127" s="594"/>
      <c r="BH127" s="594"/>
      <c r="BI127" s="5920" t="e">
        <f t="shared" si="63"/>
        <v>#DIV/0!</v>
      </c>
      <c r="BJ127" s="5921" t="e">
        <f t="shared" si="64"/>
        <v>#DIV/0!</v>
      </c>
      <c r="BL127" s="2860">
        <f t="shared" si="65"/>
        <v>0</v>
      </c>
      <c r="BM127" s="868" t="e">
        <f t="shared" si="66"/>
        <v>#DIV/0!</v>
      </c>
      <c r="BN127" s="2860">
        <f>IFERROR(
  SUM(
    _xlfn.XLOOKUP(DATE(YEAR($A$1),1,1),$2:$2,127:127):
    _xlfn.XLOOKUP($A$1,$2:$2,127:127)
  )
 -SUM(
    _xlfn.XLOOKUP(DATE(YEAR($A$1)-1,1,1),$2:$2,127:127):
    _xlfn.XLOOKUP(EDATE($A$1,-12),$2:$2,127:127)
  ),"")</f>
        <v>0</v>
      </c>
      <c r="BO127" s="590">
        <f t="shared" si="67"/>
        <v>0</v>
      </c>
    </row>
    <row r="128" spans="1:67" hidden="1" x14ac:dyDescent="0.55000000000000004">
      <c r="A128" s="7497"/>
      <c r="B128" s="1822"/>
      <c r="C128" s="594" t="s">
        <v>74</v>
      </c>
      <c r="D128" s="1102"/>
      <c r="E128" s="1102"/>
      <c r="F128" s="1102"/>
      <c r="G128" s="1102"/>
      <c r="H128" s="1102"/>
      <c r="I128" s="1102"/>
      <c r="J128" s="1102"/>
      <c r="K128" s="1102"/>
      <c r="L128" s="1102"/>
      <c r="M128" s="1102"/>
      <c r="N128" s="1102"/>
      <c r="O128" s="1102"/>
      <c r="P128" s="1102"/>
      <c r="Q128" s="5910"/>
      <c r="S128" s="5919"/>
      <c r="T128" s="1102"/>
      <c r="U128" s="1102"/>
      <c r="V128" s="1102"/>
      <c r="W128" s="1102"/>
      <c r="X128" s="1102"/>
      <c r="Y128" s="1102"/>
      <c r="Z128" s="594"/>
      <c r="AA128" s="4490"/>
      <c r="AB128" s="4490"/>
      <c r="AC128" s="4490"/>
      <c r="AD128" s="4490"/>
      <c r="AE128" s="5920"/>
      <c r="AF128" s="5921"/>
      <c r="AH128" s="5919"/>
      <c r="AI128" s="1102"/>
      <c r="AJ128" s="1102"/>
      <c r="AK128" s="1102"/>
      <c r="AL128" s="1102"/>
      <c r="AM128" s="1102"/>
      <c r="AN128" s="1102"/>
      <c r="AO128" s="594"/>
      <c r="AP128" s="594"/>
      <c r="AQ128" s="594"/>
      <c r="AT128" s="5920" t="e">
        <f t="shared" si="61"/>
        <v>#DIV/0!</v>
      </c>
      <c r="AU128" s="5921" t="e">
        <f t="shared" si="62"/>
        <v>#DIV/0!</v>
      </c>
      <c r="AW128" s="5919"/>
      <c r="AX128" s="1102"/>
      <c r="AY128" s="1102"/>
      <c r="AZ128" s="1102"/>
      <c r="BA128" s="1102"/>
      <c r="BB128" s="1102"/>
      <c r="BC128" s="1102"/>
      <c r="BD128" s="594"/>
      <c r="BE128" s="594"/>
      <c r="BF128" s="594"/>
      <c r="BG128" s="594"/>
      <c r="BH128" s="594"/>
      <c r="BI128" s="5920" t="e">
        <f t="shared" si="63"/>
        <v>#DIV/0!</v>
      </c>
      <c r="BJ128" s="5921" t="e">
        <f t="shared" si="64"/>
        <v>#DIV/0!</v>
      </c>
      <c r="BL128" s="2860">
        <f t="shared" si="65"/>
        <v>0</v>
      </c>
      <c r="BM128" s="868" t="e">
        <f t="shared" si="66"/>
        <v>#DIV/0!</v>
      </c>
      <c r="BN128" s="2860">
        <f>IFERROR(
  SUM(
    _xlfn.XLOOKUP(DATE(YEAR($A$1),1,1),$2:$2,128:128):
    _xlfn.XLOOKUP($A$1,$2:$2,128:128)
  )
 -SUM(
    _xlfn.XLOOKUP(DATE(YEAR($A$1)-1,1,1),$2:$2,128:128):
    _xlfn.XLOOKUP(EDATE($A$1,-12),$2:$2,128:128)
  ),"")</f>
        <v>0</v>
      </c>
      <c r="BO128" s="590">
        <f t="shared" si="67"/>
        <v>0</v>
      </c>
    </row>
    <row r="129" spans="1:67" hidden="1" x14ac:dyDescent="0.55000000000000004">
      <c r="A129" s="7497"/>
      <c r="B129" s="5825"/>
      <c r="C129" s="5826" t="s">
        <v>75</v>
      </c>
      <c r="D129" s="5890"/>
      <c r="E129" s="5890"/>
      <c r="F129" s="5890"/>
      <c r="G129" s="5890"/>
      <c r="H129" s="5890"/>
      <c r="I129" s="5890"/>
      <c r="J129" s="5890"/>
      <c r="K129" s="5890"/>
      <c r="L129" s="5890"/>
      <c r="M129" s="5890"/>
      <c r="N129" s="5890"/>
      <c r="O129" s="5890"/>
      <c r="P129" s="5890"/>
      <c r="Q129" s="5911"/>
      <c r="S129" s="5922"/>
      <c r="T129" s="5890"/>
      <c r="U129" s="5890"/>
      <c r="V129" s="5890"/>
      <c r="W129" s="5890"/>
      <c r="X129" s="5890"/>
      <c r="Y129" s="1102"/>
      <c r="Z129" s="5826"/>
      <c r="AA129" s="5892"/>
      <c r="AB129" s="5892"/>
      <c r="AC129" s="5892"/>
      <c r="AD129" s="5892"/>
      <c r="AE129" s="5920"/>
      <c r="AF129" s="5923"/>
      <c r="AH129" s="5922"/>
      <c r="AI129" s="5890"/>
      <c r="AJ129" s="5890"/>
      <c r="AK129" s="5890"/>
      <c r="AL129" s="5890"/>
      <c r="AM129" s="5890"/>
      <c r="AN129" s="1102"/>
      <c r="AO129" s="5826"/>
      <c r="AP129" s="5826"/>
      <c r="AQ129" s="5826"/>
      <c r="AR129" s="5826"/>
      <c r="AS129" s="5826"/>
      <c r="AT129" s="5920" t="e">
        <f t="shared" si="61"/>
        <v>#DIV/0!</v>
      </c>
      <c r="AU129" s="5923" t="e">
        <f t="shared" si="62"/>
        <v>#DIV/0!</v>
      </c>
      <c r="AW129" s="5922"/>
      <c r="AX129" s="5890"/>
      <c r="AY129" s="5890"/>
      <c r="AZ129" s="5890"/>
      <c r="BA129" s="5890"/>
      <c r="BB129" s="5890"/>
      <c r="BC129" s="1102"/>
      <c r="BD129" s="5826"/>
      <c r="BE129" s="5826"/>
      <c r="BF129" s="5826"/>
      <c r="BG129" s="5826"/>
      <c r="BH129" s="5826"/>
      <c r="BI129" s="5920" t="e">
        <f t="shared" si="63"/>
        <v>#DIV/0!</v>
      </c>
      <c r="BJ129" s="5923" t="e">
        <f t="shared" si="64"/>
        <v>#DIV/0!</v>
      </c>
      <c r="BL129" s="2860">
        <f t="shared" si="65"/>
        <v>0</v>
      </c>
      <c r="BM129" s="868" t="e">
        <f t="shared" si="66"/>
        <v>#DIV/0!</v>
      </c>
      <c r="BN129" s="2860">
        <f>IFERROR(
  SUM(
    _xlfn.XLOOKUP(DATE(YEAR($A$1),1,1),$2:$2,129:129):
    _xlfn.XLOOKUP($A$1,$2:$2,129:129)
  )
 -SUM(
    _xlfn.XLOOKUP(DATE(YEAR($A$1)-1,1,1),$2:$2,129:129):
    _xlfn.XLOOKUP(EDATE($A$1,-12),$2:$2,129:129)
  ),"")</f>
        <v>0</v>
      </c>
      <c r="BO129" s="590">
        <f t="shared" si="67"/>
        <v>0</v>
      </c>
    </row>
    <row r="130" spans="1:67" hidden="1" x14ac:dyDescent="0.55000000000000004">
      <c r="A130" s="7497"/>
      <c r="B130" s="5806" t="s">
        <v>20</v>
      </c>
      <c r="C130" s="5882" t="s">
        <v>136</v>
      </c>
      <c r="D130" s="4869"/>
      <c r="E130" s="4869"/>
      <c r="F130" s="4869"/>
      <c r="G130" s="4869"/>
      <c r="H130" s="4869"/>
      <c r="I130" s="4869"/>
      <c r="J130" s="4869"/>
      <c r="K130" s="4869"/>
      <c r="L130" s="4869"/>
      <c r="M130" s="4869"/>
      <c r="N130" s="4869"/>
      <c r="O130" s="4869"/>
      <c r="P130" s="4869"/>
      <c r="Q130" s="5912"/>
      <c r="S130" s="5924"/>
      <c r="T130" s="4869"/>
      <c r="U130" s="4869"/>
      <c r="V130" s="4869"/>
      <c r="W130" s="5883"/>
      <c r="X130" s="4869"/>
      <c r="Y130" s="4869"/>
      <c r="Z130" s="4869"/>
      <c r="AA130" s="5885"/>
      <c r="AB130" s="5885"/>
      <c r="AC130" s="5885"/>
      <c r="AD130" s="5885"/>
      <c r="AE130" s="5894"/>
      <c r="AF130" s="5925"/>
      <c r="AH130" s="5924">
        <v>75.677531350306992</v>
      </c>
      <c r="AI130" s="4869">
        <v>79.085648148148152</v>
      </c>
      <c r="AJ130" s="4869">
        <v>75.001297151455404</v>
      </c>
      <c r="AK130" s="4869">
        <v>80</v>
      </c>
      <c r="AL130" s="5883">
        <v>83.83305875892367</v>
      </c>
      <c r="AM130" s="5883">
        <v>80.357268940196292</v>
      </c>
      <c r="AN130" s="4869">
        <v>80.402805362462757</v>
      </c>
      <c r="AO130" s="4869">
        <v>82.45228215767635</v>
      </c>
      <c r="AP130" s="5887">
        <v>80.812283673319101</v>
      </c>
      <c r="AQ130" s="5887">
        <v>81.726629478492015</v>
      </c>
      <c r="AR130" s="5882"/>
      <c r="AS130" s="5882"/>
      <c r="AT130" s="5894">
        <f t="shared" si="61"/>
        <v>79.934880502098082</v>
      </c>
      <c r="AU130" s="5925">
        <f t="shared" si="62"/>
        <v>79.934880502098082</v>
      </c>
      <c r="AW130" s="5924"/>
      <c r="AX130" s="4869"/>
      <c r="AY130" s="4869"/>
      <c r="AZ130" s="4869"/>
      <c r="BA130" s="5883"/>
      <c r="BB130" s="5883"/>
      <c r="BC130" s="4869"/>
      <c r="BD130" s="4869"/>
      <c r="BE130" s="5887"/>
      <c r="BF130" s="5887"/>
      <c r="BG130" s="5882"/>
      <c r="BH130" s="5882"/>
      <c r="BI130" s="5894" t="e">
        <f t="shared" si="63"/>
        <v>#DIV/0!</v>
      </c>
      <c r="BJ130" s="5925" t="e">
        <f t="shared" si="64"/>
        <v>#DIV/0!</v>
      </c>
      <c r="BL130" s="2860">
        <f t="shared" si="65"/>
        <v>-79.085648148148152</v>
      </c>
      <c r="BM130" s="868" t="e">
        <f t="shared" si="66"/>
        <v>#DIV/0!</v>
      </c>
      <c r="BN130" s="2860">
        <f>IFERROR(
  SUM(
    _xlfn.XLOOKUP(DATE(YEAR($A$1),1,1),$2:$2,130:130):
    _xlfn.XLOOKUP($A$1,$2:$2,130:130)
  )
 -SUM(
    _xlfn.XLOOKUP(DATE(YEAR($A$1)-1,1,1),$2:$2,130:130):
    _xlfn.XLOOKUP(EDATE($A$1,-12),$2:$2,130:130)
  ),"")</f>
        <v>-154.76317949845514</v>
      </c>
      <c r="BO130" s="590">
        <f t="shared" si="67"/>
        <v>0</v>
      </c>
    </row>
    <row r="131" spans="1:67" hidden="1" x14ac:dyDescent="0.55000000000000004">
      <c r="A131" s="7497"/>
      <c r="B131" s="1822"/>
      <c r="C131" s="594" t="s">
        <v>67</v>
      </c>
      <c r="D131" s="1102"/>
      <c r="E131" s="1102"/>
      <c r="F131" s="1102"/>
      <c r="G131" s="1102"/>
      <c r="H131" s="1102"/>
      <c r="I131" s="1102"/>
      <c r="J131" s="1102"/>
      <c r="K131" s="1102"/>
      <c r="L131" s="1102"/>
      <c r="M131" s="1102"/>
      <c r="N131" s="1102"/>
      <c r="O131" s="1102"/>
      <c r="P131" s="1102"/>
      <c r="Q131" s="5910"/>
      <c r="S131" s="5919"/>
      <c r="T131" s="1102"/>
      <c r="U131" s="1102"/>
      <c r="V131" s="1102"/>
      <c r="W131" s="1102"/>
      <c r="X131" s="1102"/>
      <c r="Y131" s="1102"/>
      <c r="Z131" s="594"/>
      <c r="AA131" s="4490"/>
      <c r="AB131" s="4490"/>
      <c r="AC131" s="4490"/>
      <c r="AD131" s="4490"/>
      <c r="AE131" s="4490"/>
      <c r="AF131" s="5921"/>
      <c r="AH131" s="5919">
        <v>80.591133004926107</v>
      </c>
      <c r="AI131" s="1102">
        <v>81.636205395996512</v>
      </c>
      <c r="AJ131" s="1102">
        <v>74.86772486772486</v>
      </c>
      <c r="AK131" s="1102">
        <v>73.957237995092882</v>
      </c>
      <c r="AL131" s="1102">
        <v>85.827411167512693</v>
      </c>
      <c r="AM131" s="1102">
        <v>77.851901267511678</v>
      </c>
      <c r="AN131" s="1102">
        <v>76.833333333333343</v>
      </c>
      <c r="AO131" s="4564">
        <v>79.471343873517782</v>
      </c>
      <c r="AP131" s="4564">
        <v>79.005760614465544</v>
      </c>
      <c r="AQ131" s="4564">
        <v>77.009429726088911</v>
      </c>
      <c r="AT131" s="4490">
        <f t="shared" si="61"/>
        <v>78.705148124617025</v>
      </c>
      <c r="AU131" s="5921">
        <f t="shared" si="62"/>
        <v>78.705148124617025</v>
      </c>
      <c r="AW131" s="5919"/>
      <c r="AX131" s="1102"/>
      <c r="AY131" s="1102"/>
      <c r="AZ131" s="1102"/>
      <c r="BA131" s="1102"/>
      <c r="BB131" s="1102"/>
      <c r="BC131" s="1102"/>
      <c r="BD131" s="4490"/>
      <c r="BE131" s="4490"/>
      <c r="BF131" s="4490"/>
      <c r="BG131" s="594"/>
      <c r="BH131" s="594"/>
      <c r="BI131" s="4490" t="e">
        <f t="shared" si="63"/>
        <v>#DIV/0!</v>
      </c>
      <c r="BJ131" s="5921" t="e">
        <f t="shared" si="64"/>
        <v>#DIV/0!</v>
      </c>
      <c r="BL131" s="2860">
        <f t="shared" si="65"/>
        <v>-81.636205395996512</v>
      </c>
      <c r="BM131" s="868" t="e">
        <f t="shared" si="66"/>
        <v>#DIV/0!</v>
      </c>
      <c r="BN131" s="2860">
        <f>IFERROR(
  SUM(
    _xlfn.XLOOKUP(DATE(YEAR($A$1),1,1),$2:$2,131:131):
    _xlfn.XLOOKUP($A$1,$2:$2,131:131)
  )
 -SUM(
    _xlfn.XLOOKUP(DATE(YEAR($A$1)-1,1,1),$2:$2,131:131):
    _xlfn.XLOOKUP(EDATE($A$1,-12),$2:$2,131:131)
  ),"")</f>
        <v>-162.22733840092263</v>
      </c>
      <c r="BO131" s="590">
        <f t="shared" si="67"/>
        <v>0</v>
      </c>
    </row>
    <row r="132" spans="1:67" hidden="1" x14ac:dyDescent="0.55000000000000004">
      <c r="A132" s="7497"/>
      <c r="B132" s="1822"/>
      <c r="C132" s="594" t="s">
        <v>68</v>
      </c>
      <c r="D132" s="1102"/>
      <c r="E132" s="1102"/>
      <c r="F132" s="1102"/>
      <c r="G132" s="1102"/>
      <c r="H132" s="1102"/>
      <c r="I132" s="1102"/>
      <c r="J132" s="1102"/>
      <c r="K132" s="1102"/>
      <c r="L132" s="1102"/>
      <c r="M132" s="1102"/>
      <c r="N132" s="1102"/>
      <c r="O132" s="1102"/>
      <c r="P132" s="1102"/>
      <c r="Q132" s="5910"/>
      <c r="S132" s="5919"/>
      <c r="T132" s="1102"/>
      <c r="U132" s="1102"/>
      <c r="V132" s="1102"/>
      <c r="W132" s="1102"/>
      <c r="X132" s="1102"/>
      <c r="Y132" s="1102"/>
      <c r="Z132" s="594"/>
      <c r="AA132" s="4490"/>
      <c r="AB132" s="4490"/>
      <c r="AC132" s="4490"/>
      <c r="AD132" s="4490"/>
      <c r="AE132" s="4490"/>
      <c r="AF132" s="5921"/>
      <c r="AH132" s="5919">
        <v>72.230652503793621</v>
      </c>
      <c r="AI132" s="1102">
        <v>74.043310590329284</v>
      </c>
      <c r="AJ132" s="1102">
        <v>67.481449148843296</v>
      </c>
      <c r="AK132" s="1102">
        <v>74.706550549034461</v>
      </c>
      <c r="AL132" s="1102">
        <v>78.998203054806822</v>
      </c>
      <c r="AM132" s="1102">
        <v>77.429467084639498</v>
      </c>
      <c r="AN132" s="1102">
        <v>79.307408458699967</v>
      </c>
      <c r="AO132" s="4564">
        <v>83.754045307443363</v>
      </c>
      <c r="AP132" s="4564">
        <v>76.31045467709238</v>
      </c>
      <c r="AQ132" s="4564">
        <v>77.761149356480104</v>
      </c>
      <c r="AT132" s="4490">
        <f t="shared" si="61"/>
        <v>76.202269073116284</v>
      </c>
      <c r="AU132" s="5921">
        <f t="shared" si="62"/>
        <v>76.202269073116284</v>
      </c>
      <c r="AW132" s="5919"/>
      <c r="AX132" s="1102"/>
      <c r="AY132" s="1102"/>
      <c r="AZ132" s="1102"/>
      <c r="BA132" s="1102"/>
      <c r="BB132" s="1102"/>
      <c r="BC132" s="1102"/>
      <c r="BD132" s="594"/>
      <c r="BE132" s="594"/>
      <c r="BF132" s="594"/>
      <c r="BG132" s="594"/>
      <c r="BH132" s="594"/>
      <c r="BI132" s="4490" t="e">
        <f t="shared" si="63"/>
        <v>#DIV/0!</v>
      </c>
      <c r="BJ132" s="5921" t="e">
        <f t="shared" si="64"/>
        <v>#DIV/0!</v>
      </c>
      <c r="BL132" s="2860">
        <f t="shared" si="65"/>
        <v>-74.043310590329284</v>
      </c>
      <c r="BM132" s="868" t="e">
        <f t="shared" si="66"/>
        <v>#DIV/0!</v>
      </c>
      <c r="BN132" s="2860">
        <f>IFERROR(
  SUM(
    _xlfn.XLOOKUP(DATE(YEAR($A$1),1,1),$2:$2,132:132):
    _xlfn.XLOOKUP($A$1,$2:$2,132:132)
  )
 -SUM(
    _xlfn.XLOOKUP(DATE(YEAR($A$1)-1,1,1),$2:$2,132:132):
    _xlfn.XLOOKUP(EDATE($A$1,-12),$2:$2,132:132)
  ),"")</f>
        <v>-146.27396309412291</v>
      </c>
      <c r="BO132" s="590">
        <f t="shared" si="67"/>
        <v>0</v>
      </c>
    </row>
    <row r="133" spans="1:67" hidden="1" x14ac:dyDescent="0.55000000000000004">
      <c r="A133" s="7497"/>
      <c r="B133" s="1822"/>
      <c r="C133" s="594" t="s">
        <v>69</v>
      </c>
      <c r="D133" s="1102"/>
      <c r="E133" s="1102"/>
      <c r="F133" s="1102"/>
      <c r="G133" s="1102"/>
      <c r="H133" s="1102"/>
      <c r="I133" s="1102"/>
      <c r="J133" s="1102"/>
      <c r="K133" s="1102"/>
      <c r="L133" s="1102"/>
      <c r="M133" s="1102"/>
      <c r="N133" s="1102"/>
      <c r="O133" s="1102"/>
      <c r="P133" s="1102"/>
      <c r="Q133" s="5910"/>
      <c r="S133" s="5919"/>
      <c r="T133" s="1102"/>
      <c r="U133" s="1102"/>
      <c r="V133" s="1102"/>
      <c r="W133" s="1102"/>
      <c r="X133" s="1102"/>
      <c r="Y133" s="1102"/>
      <c r="Z133" s="594"/>
      <c r="AA133" s="4490"/>
      <c r="AB133" s="4490"/>
      <c r="AC133" s="4490"/>
      <c r="AD133" s="4490"/>
      <c r="AE133" s="4490"/>
      <c r="AF133" s="5921"/>
      <c r="AH133" s="5919">
        <v>61.09550561797753</v>
      </c>
      <c r="AI133" s="1102">
        <v>67.827930930021211</v>
      </c>
      <c r="AJ133" s="1102">
        <v>67.883211678832112</v>
      </c>
      <c r="AK133" s="1102">
        <v>76.171875</v>
      </c>
      <c r="AL133" s="1102">
        <v>83.478802992518695</v>
      </c>
      <c r="AM133" s="1102">
        <v>76.215127983894163</v>
      </c>
      <c r="AN133" s="1102">
        <v>74.649927571221639</v>
      </c>
      <c r="AO133" s="4564">
        <v>77.855619859884257</v>
      </c>
      <c r="AP133" s="4564">
        <v>77.240044247787608</v>
      </c>
      <c r="AQ133" s="4564">
        <v>80.369961347321919</v>
      </c>
      <c r="AT133" s="4490">
        <f t="shared" si="61"/>
        <v>74.278800722945917</v>
      </c>
      <c r="AU133" s="5921">
        <f t="shared" si="62"/>
        <v>74.278800722945917</v>
      </c>
      <c r="AW133" s="5919"/>
      <c r="AX133" s="1102"/>
      <c r="AY133" s="1102"/>
      <c r="AZ133" s="1102"/>
      <c r="BA133" s="1102"/>
      <c r="BB133" s="1102"/>
      <c r="BC133" s="1102"/>
      <c r="BD133" s="594"/>
      <c r="BE133" s="594"/>
      <c r="BF133" s="594"/>
      <c r="BG133" s="594"/>
      <c r="BH133" s="594"/>
      <c r="BI133" s="4490" t="e">
        <f t="shared" si="63"/>
        <v>#DIV/0!</v>
      </c>
      <c r="BJ133" s="5921" t="e">
        <f t="shared" si="64"/>
        <v>#DIV/0!</v>
      </c>
      <c r="BL133" s="2860">
        <f t="shared" si="65"/>
        <v>-67.827930930021211</v>
      </c>
      <c r="BM133" s="868" t="e">
        <f t="shared" si="66"/>
        <v>#DIV/0!</v>
      </c>
      <c r="BN133" s="2860">
        <f>IFERROR(
  SUM(
    _xlfn.XLOOKUP(DATE(YEAR($A$1),1,1),$2:$2,133:133):
    _xlfn.XLOOKUP($A$1,$2:$2,133:133)
  )
 -SUM(
    _xlfn.XLOOKUP(DATE(YEAR($A$1)-1,1,1),$2:$2,133:133):
    _xlfn.XLOOKUP(EDATE($A$1,-12),$2:$2,133:133)
  ),"")</f>
        <v>-128.92343654799873</v>
      </c>
      <c r="BO133" s="590">
        <f t="shared" si="67"/>
        <v>0</v>
      </c>
    </row>
    <row r="134" spans="1:67" hidden="1" x14ac:dyDescent="0.55000000000000004">
      <c r="A134" s="7497"/>
      <c r="B134" s="1822"/>
      <c r="C134" s="594" t="s">
        <v>72</v>
      </c>
      <c r="D134" s="1102"/>
      <c r="E134" s="1102"/>
      <c r="F134" s="1102"/>
      <c r="G134" s="1102"/>
      <c r="H134" s="1102"/>
      <c r="I134" s="1102"/>
      <c r="J134" s="1102"/>
      <c r="K134" s="1102"/>
      <c r="L134" s="1102"/>
      <c r="M134" s="1102"/>
      <c r="N134" s="1102"/>
      <c r="O134" s="1102"/>
      <c r="P134" s="1102"/>
      <c r="Q134" s="5910"/>
      <c r="S134" s="5919"/>
      <c r="T134" s="1102"/>
      <c r="U134" s="1102"/>
      <c r="V134" s="1102"/>
      <c r="W134" s="1102"/>
      <c r="X134" s="1102"/>
      <c r="Y134" s="1102"/>
      <c r="Z134" s="594"/>
      <c r="AA134" s="4490"/>
      <c r="AB134" s="4490"/>
      <c r="AC134" s="4490"/>
      <c r="AD134" s="4490"/>
      <c r="AE134" s="4490"/>
      <c r="AF134" s="5921"/>
      <c r="AH134" s="5919">
        <v>80.870827285921621</v>
      </c>
      <c r="AI134" s="1102">
        <v>85.700216663383884</v>
      </c>
      <c r="AJ134" s="1102">
        <v>81.893113533634676</v>
      </c>
      <c r="AK134" s="1102">
        <v>85.651697699890477</v>
      </c>
      <c r="AL134" s="1102">
        <v>86.442719486081373</v>
      </c>
      <c r="AM134" s="1102">
        <v>85.432607416127141</v>
      </c>
      <c r="AN134" s="1102">
        <v>84.034893381334811</v>
      </c>
      <c r="AO134" s="4564">
        <v>86.902410114579212</v>
      </c>
      <c r="AP134" s="4564">
        <v>86.210012651364536</v>
      </c>
      <c r="AQ134" s="4564">
        <v>85.569620253164558</v>
      </c>
      <c r="AT134" s="4490">
        <f t="shared" si="61"/>
        <v>84.870811848548229</v>
      </c>
      <c r="AU134" s="5921">
        <f t="shared" si="62"/>
        <v>84.870811848548229</v>
      </c>
      <c r="AW134" s="5919"/>
      <c r="AX134" s="1102"/>
      <c r="AY134" s="1102"/>
      <c r="AZ134" s="1102"/>
      <c r="BA134" s="1102"/>
      <c r="BB134" s="1102"/>
      <c r="BC134" s="1102"/>
      <c r="BD134" s="594"/>
      <c r="BE134" s="594"/>
      <c r="BF134" s="594"/>
      <c r="BG134" s="594"/>
      <c r="BH134" s="594"/>
      <c r="BI134" s="4490" t="e">
        <f t="shared" si="63"/>
        <v>#DIV/0!</v>
      </c>
      <c r="BJ134" s="5921" t="e">
        <f t="shared" si="64"/>
        <v>#DIV/0!</v>
      </c>
      <c r="BL134" s="2860">
        <f t="shared" si="65"/>
        <v>-85.700216663383884</v>
      </c>
      <c r="BM134" s="868" t="e">
        <f t="shared" si="66"/>
        <v>#DIV/0!</v>
      </c>
      <c r="BN134" s="2860">
        <f>IFERROR(
  SUM(
    _xlfn.XLOOKUP(DATE(YEAR($A$1),1,1),$2:$2,134:134):
    _xlfn.XLOOKUP($A$1,$2:$2,134:134)
  )
 -SUM(
    _xlfn.XLOOKUP(DATE(YEAR($A$1)-1,1,1),$2:$2,134:134):
    _xlfn.XLOOKUP(EDATE($A$1,-12),$2:$2,134:134)
  ),"")</f>
        <v>-166.5710439493055</v>
      </c>
      <c r="BO134" s="590">
        <f t="shared" si="67"/>
        <v>0</v>
      </c>
    </row>
    <row r="135" spans="1:67" hidden="1" x14ac:dyDescent="0.55000000000000004">
      <c r="A135" s="7497"/>
      <c r="B135" s="1822"/>
      <c r="C135" s="594" t="s">
        <v>73</v>
      </c>
      <c r="D135" s="1102"/>
      <c r="E135" s="1102"/>
      <c r="F135" s="1102"/>
      <c r="G135" s="1102"/>
      <c r="H135" s="1102"/>
      <c r="I135" s="1102"/>
      <c r="J135" s="1102"/>
      <c r="K135" s="1102"/>
      <c r="L135" s="1102"/>
      <c r="M135" s="1102"/>
      <c r="N135" s="1102"/>
      <c r="O135" s="1102"/>
      <c r="P135" s="1102"/>
      <c r="Q135" s="5910"/>
      <c r="S135" s="5919"/>
      <c r="T135" s="1102"/>
      <c r="U135" s="1102"/>
      <c r="V135" s="1102"/>
      <c r="W135" s="1102"/>
      <c r="X135" s="1102"/>
      <c r="Y135" s="1102"/>
      <c r="Z135" s="594"/>
      <c r="AA135" s="4490"/>
      <c r="AB135" s="4490"/>
      <c r="AC135" s="4490"/>
      <c r="AD135" s="4490"/>
      <c r="AE135" s="4490"/>
      <c r="AF135" s="5921"/>
      <c r="AH135" s="5919">
        <v>86.454183266932276</v>
      </c>
      <c r="AI135" s="1102">
        <v>84.689153439153444</v>
      </c>
      <c r="AJ135" s="1102">
        <v>79.298751200768493</v>
      </c>
      <c r="AK135" s="1102">
        <v>83.9304347826087</v>
      </c>
      <c r="AL135" s="1102">
        <v>87.186229978484334</v>
      </c>
      <c r="AM135" s="1102">
        <v>81.87729714447272</v>
      </c>
      <c r="AN135" s="1102">
        <v>83.693931398416879</v>
      </c>
      <c r="AO135" s="4564">
        <v>85.049180327868854</v>
      </c>
      <c r="AP135" s="4564">
        <v>86.086175942549374</v>
      </c>
      <c r="AQ135" s="4564">
        <v>91.158267020335984</v>
      </c>
      <c r="AT135" s="4490">
        <f t="shared" si="61"/>
        <v>84.9423604501591</v>
      </c>
      <c r="AU135" s="5921">
        <f t="shared" si="62"/>
        <v>84.9423604501591</v>
      </c>
      <c r="AW135" s="5919"/>
      <c r="AX135" s="1102"/>
      <c r="AY135" s="1102"/>
      <c r="AZ135" s="1102"/>
      <c r="BA135" s="1102"/>
      <c r="BB135" s="1102"/>
      <c r="BC135" s="1102"/>
      <c r="BD135" s="594"/>
      <c r="BE135" s="594"/>
      <c r="BF135" s="594"/>
      <c r="BG135" s="594"/>
      <c r="BH135" s="594"/>
      <c r="BI135" s="4490" t="e">
        <f t="shared" si="63"/>
        <v>#DIV/0!</v>
      </c>
      <c r="BJ135" s="5921" t="e">
        <f t="shared" si="64"/>
        <v>#DIV/0!</v>
      </c>
      <c r="BL135" s="2860">
        <f t="shared" si="65"/>
        <v>-84.689153439153444</v>
      </c>
      <c r="BM135" s="868" t="e">
        <f t="shared" si="66"/>
        <v>#DIV/0!</v>
      </c>
      <c r="BN135" s="2860">
        <f>IFERROR(
  SUM(
    _xlfn.XLOOKUP(DATE(YEAR($A$1),1,1),$2:$2,135:135):
    _xlfn.XLOOKUP($A$1,$2:$2,135:135)
  )
 -SUM(
    _xlfn.XLOOKUP(DATE(YEAR($A$1)-1,1,1),$2:$2,135:135):
    _xlfn.XLOOKUP(EDATE($A$1,-12),$2:$2,135:135)
  ),"")</f>
        <v>-171.14333670608573</v>
      </c>
      <c r="BO135" s="590">
        <f t="shared" si="67"/>
        <v>0</v>
      </c>
    </row>
    <row r="136" spans="1:67" hidden="1" x14ac:dyDescent="0.55000000000000004">
      <c r="A136" s="7497"/>
      <c r="B136" s="1822"/>
      <c r="C136" s="594" t="s">
        <v>74</v>
      </c>
      <c r="D136" s="1102"/>
      <c r="E136" s="1102"/>
      <c r="F136" s="1102"/>
      <c r="G136" s="1102"/>
      <c r="H136" s="1102"/>
      <c r="I136" s="1102"/>
      <c r="J136" s="1102"/>
      <c r="K136" s="1102"/>
      <c r="L136" s="1102"/>
      <c r="M136" s="1102"/>
      <c r="N136" s="1102"/>
      <c r="O136" s="1102"/>
      <c r="P136" s="1102"/>
      <c r="Q136" s="5910"/>
      <c r="S136" s="5919"/>
      <c r="T136" s="1102"/>
      <c r="U136" s="1102"/>
      <c r="V136" s="1102"/>
      <c r="W136" s="1102"/>
      <c r="X136" s="1102"/>
      <c r="Y136" s="1102"/>
      <c r="Z136" s="594"/>
      <c r="AA136" s="4490"/>
      <c r="AB136" s="4490"/>
      <c r="AC136" s="4490"/>
      <c r="AD136" s="4490"/>
      <c r="AE136" s="4490"/>
      <c r="AF136" s="5921"/>
      <c r="AH136" s="5919">
        <v>74.260249554367206</v>
      </c>
      <c r="AI136" s="1102">
        <v>78.137128072445023</v>
      </c>
      <c r="AJ136" s="1102">
        <v>77.251034043907097</v>
      </c>
      <c r="AK136" s="1102">
        <v>82.345085470085465</v>
      </c>
      <c r="AL136" s="1102">
        <v>84.319852941176464</v>
      </c>
      <c r="AM136" s="1102">
        <v>80.516014234875442</v>
      </c>
      <c r="AN136" s="1102">
        <v>82.252021297574444</v>
      </c>
      <c r="AO136" s="4564">
        <v>78.020334928229659</v>
      </c>
      <c r="AP136" s="4564">
        <v>81.616522182559919</v>
      </c>
      <c r="AQ136" s="4564">
        <v>79.309414620987326</v>
      </c>
      <c r="AT136" s="4490">
        <f t="shared" si="61"/>
        <v>79.802765734620806</v>
      </c>
      <c r="AU136" s="5921">
        <f t="shared" si="62"/>
        <v>79.802765734620806</v>
      </c>
      <c r="AW136" s="5919"/>
      <c r="AX136" s="1102"/>
      <c r="AY136" s="1102"/>
      <c r="AZ136" s="1102"/>
      <c r="BA136" s="1102"/>
      <c r="BB136" s="1102"/>
      <c r="BC136" s="1102"/>
      <c r="BD136" s="594"/>
      <c r="BE136" s="594"/>
      <c r="BF136" s="594"/>
      <c r="BG136" s="594"/>
      <c r="BH136" s="594"/>
      <c r="BI136" s="4490" t="e">
        <f t="shared" si="63"/>
        <v>#DIV/0!</v>
      </c>
      <c r="BJ136" s="5921" t="e">
        <f t="shared" si="64"/>
        <v>#DIV/0!</v>
      </c>
      <c r="BL136" s="2860">
        <f t="shared" si="65"/>
        <v>-78.137128072445023</v>
      </c>
      <c r="BM136" s="868" t="e">
        <f t="shared" si="66"/>
        <v>#DIV/0!</v>
      </c>
      <c r="BN136" s="2860">
        <f>IFERROR(
  SUM(
    _xlfn.XLOOKUP(DATE(YEAR($A$1),1,1),$2:$2,136:136):
    _xlfn.XLOOKUP($A$1,$2:$2,136:136)
  )
 -SUM(
    _xlfn.XLOOKUP(DATE(YEAR($A$1)-1,1,1),$2:$2,136:136):
    _xlfn.XLOOKUP(EDATE($A$1,-12),$2:$2,136:136)
  ),"")</f>
        <v>-152.39737762681222</v>
      </c>
      <c r="BO136" s="590">
        <f t="shared" si="67"/>
        <v>0</v>
      </c>
    </row>
    <row r="137" spans="1:67" ht="15.45" hidden="1" thickBot="1" x14ac:dyDescent="0.6">
      <c r="A137" s="7498"/>
      <c r="B137" s="5913"/>
      <c r="C137" s="5914" t="s">
        <v>75</v>
      </c>
      <c r="D137" s="5915"/>
      <c r="E137" s="5915"/>
      <c r="F137" s="5915"/>
      <c r="G137" s="5915"/>
      <c r="H137" s="5915"/>
      <c r="I137" s="5915"/>
      <c r="J137" s="5915"/>
      <c r="K137" s="5915"/>
      <c r="L137" s="5915"/>
      <c r="M137" s="5915"/>
      <c r="N137" s="5915"/>
      <c r="O137" s="5915"/>
      <c r="P137" s="5915"/>
      <c r="Q137" s="5916"/>
      <c r="S137" s="5926"/>
      <c r="T137" s="5915"/>
      <c r="U137" s="5915"/>
      <c r="V137" s="5915"/>
      <c r="W137" s="5915"/>
      <c r="X137" s="5915"/>
      <c r="Y137" s="5915"/>
      <c r="Z137" s="5914"/>
      <c r="AA137" s="5927"/>
      <c r="AB137" s="5927"/>
      <c r="AC137" s="5927"/>
      <c r="AD137" s="5927"/>
      <c r="AE137" s="5927"/>
      <c r="AF137" s="5928"/>
      <c r="AH137" s="5926">
        <v>72.778059928897918</v>
      </c>
      <c r="AI137" s="5915">
        <v>82.170245398773005</v>
      </c>
      <c r="AJ137" s="5915">
        <v>72.199170124481327</v>
      </c>
      <c r="AK137" s="5915">
        <v>78.82401315789474</v>
      </c>
      <c r="AL137" s="5915">
        <v>79.595892679695254</v>
      </c>
      <c r="AM137" s="5915">
        <v>77.96828118302615</v>
      </c>
      <c r="AN137" s="5915">
        <v>80.039011703511051</v>
      </c>
      <c r="AO137" s="6212">
        <v>85.829959514170042</v>
      </c>
      <c r="AP137" s="6212">
        <v>75.316698656429935</v>
      </c>
      <c r="AQ137" s="6212">
        <v>78.801234023799026</v>
      </c>
      <c r="AR137" s="5914"/>
      <c r="AS137" s="5914"/>
      <c r="AT137" s="5927">
        <f t="shared" si="61"/>
        <v>78.352256637067825</v>
      </c>
      <c r="AU137" s="5928">
        <f t="shared" si="62"/>
        <v>78.352256637067825</v>
      </c>
      <c r="AW137" s="5926"/>
      <c r="AX137" s="5915"/>
      <c r="AY137" s="5915"/>
      <c r="AZ137" s="5915"/>
      <c r="BA137" s="5915"/>
      <c r="BB137" s="5915"/>
      <c r="BC137" s="5915"/>
      <c r="BD137" s="5914"/>
      <c r="BE137" s="5914"/>
      <c r="BF137" s="5914"/>
      <c r="BG137" s="5914"/>
      <c r="BH137" s="5914"/>
      <c r="BI137" s="5927" t="e">
        <f t="shared" si="63"/>
        <v>#DIV/0!</v>
      </c>
      <c r="BJ137" s="5928" t="e">
        <f t="shared" si="64"/>
        <v>#DIV/0!</v>
      </c>
      <c r="BL137" s="2860">
        <f t="shared" si="65"/>
        <v>-82.170245398773005</v>
      </c>
      <c r="BM137" s="868" t="e">
        <f t="shared" si="66"/>
        <v>#DIV/0!</v>
      </c>
      <c r="BN137" s="2860">
        <f>IFERROR(
  SUM(
    _xlfn.XLOOKUP(DATE(YEAR($A$1),1,1),$2:$2,137:137):
    _xlfn.XLOOKUP($A$1,$2:$2,137:137)
  )
 -SUM(
    _xlfn.XLOOKUP(DATE(YEAR($A$1)-1,1,1),$2:$2,137:137):
    _xlfn.XLOOKUP(EDATE($A$1,-12),$2:$2,137:137)
  ),"")</f>
        <v>-154.94830532767094</v>
      </c>
      <c r="BO137" s="590">
        <f t="shared" si="67"/>
        <v>0</v>
      </c>
    </row>
    <row r="138" spans="1:67" hidden="1" x14ac:dyDescent="0.55000000000000004"/>
    <row r="139" spans="1:67" hidden="1" x14ac:dyDescent="0.55000000000000004"/>
  </sheetData>
  <mergeCells count="10">
    <mergeCell ref="A4:A31"/>
    <mergeCell ref="B30:C30"/>
    <mergeCell ref="B31:C31"/>
    <mergeCell ref="A33:A57"/>
    <mergeCell ref="B55:B57"/>
    <mergeCell ref="A118:A137"/>
    <mergeCell ref="A59:A115"/>
    <mergeCell ref="B86:B88"/>
    <mergeCell ref="B114:C114"/>
    <mergeCell ref="B115:C115"/>
  </mergeCells>
  <phoneticPr fontId="1" type="noConversion"/>
  <conditionalFormatting sqref="BO119:BO137 BO5:BO115">
    <cfRule type="containsBlanks" dxfId="0" priority="5">
      <formula>LEN(TRIM(BO5))=0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4352-3DBB-48EE-9734-C4A471CEBF98}">
  <sheetPr codeName="Sheet18">
    <pageSetUpPr fitToPage="1"/>
  </sheetPr>
  <dimension ref="A1:BF116"/>
  <sheetViews>
    <sheetView showGridLines="0" view="pageBreakPreview" zoomScale="55" zoomScaleNormal="70" zoomScaleSheetLayoutView="55" workbookViewId="0">
      <pane xSplit="3" topLeftCell="D1" activePane="topRight" state="frozen"/>
      <selection activeCell="F34" sqref="F34:Q34"/>
      <selection pane="topRight" activeCell="O13" sqref="O13"/>
    </sheetView>
  </sheetViews>
  <sheetFormatPr defaultColWidth="8.5703125" defaultRowHeight="15" outlineLevelCol="1" x14ac:dyDescent="0.55000000000000004"/>
  <cols>
    <col min="1" max="1" width="10.140625" style="555" customWidth="1"/>
    <col min="2" max="2" width="18.7109375" style="555" bestFit="1" customWidth="1"/>
    <col min="3" max="3" width="17.140625" style="555" customWidth="1"/>
    <col min="4" max="5" width="12.0703125" style="555" customWidth="1"/>
    <col min="6" max="6" width="12.5" style="555" customWidth="1"/>
    <col min="7" max="11" width="12.5" style="555" customWidth="1" outlineLevel="1"/>
    <col min="12" max="12" width="12.0703125" style="555" customWidth="1"/>
    <col min="13" max="14" width="12.5" style="555" customWidth="1" outlineLevel="1"/>
    <col min="15" max="15" width="14.35546875" style="555" customWidth="1"/>
    <col min="16" max="16" width="12.2109375" style="555" customWidth="1"/>
    <col min="17" max="17" width="13.0703125" style="555" customWidth="1"/>
    <col min="18" max="19" width="11" style="555" customWidth="1"/>
    <col min="20" max="20" width="8.640625" style="555" bestFit="1" customWidth="1"/>
    <col min="21" max="16384" width="8.5703125" style="555"/>
  </cols>
  <sheetData>
    <row r="1" spans="1:58" x14ac:dyDescent="0.55000000000000004">
      <c r="D1" s="840" t="s">
        <v>619</v>
      </c>
      <c r="E1" s="840" t="s">
        <v>449</v>
      </c>
      <c r="F1" s="841" t="s">
        <v>440</v>
      </c>
      <c r="G1" s="841" t="s">
        <v>439</v>
      </c>
      <c r="H1" s="841" t="s">
        <v>441</v>
      </c>
      <c r="I1" s="841" t="s">
        <v>620</v>
      </c>
      <c r="J1" s="841" t="s">
        <v>601</v>
      </c>
      <c r="K1" s="841" t="s">
        <v>605</v>
      </c>
      <c r="L1" s="840" t="s">
        <v>449</v>
      </c>
      <c r="M1" s="843" t="s">
        <v>685</v>
      </c>
      <c r="N1" s="843" t="s">
        <v>446</v>
      </c>
      <c r="O1" s="6239" t="s">
        <v>1215</v>
      </c>
      <c r="P1" s="840" t="s">
        <v>1208</v>
      </c>
      <c r="Q1" s="840" t="s">
        <v>1216</v>
      </c>
      <c r="R1" s="840" t="s">
        <v>1217</v>
      </c>
      <c r="S1" s="840" t="s">
        <v>1218</v>
      </c>
    </row>
    <row r="2" spans="1:58" ht="15.45" thickBot="1" x14ac:dyDescent="0.6">
      <c r="F2" s="841"/>
      <c r="G2" s="841"/>
      <c r="H2" s="841"/>
      <c r="I2" s="841"/>
      <c r="J2" s="841"/>
      <c r="K2" s="841"/>
      <c r="M2" s="843" t="s">
        <v>685</v>
      </c>
      <c r="N2" s="843" t="s">
        <v>446</v>
      </c>
      <c r="P2" s="841"/>
    </row>
    <row r="3" spans="1:58" s="1006" customFormat="1" ht="60" customHeight="1" thickTop="1" thickBot="1" x14ac:dyDescent="0.6">
      <c r="A3" s="7061" t="s">
        <v>843</v>
      </c>
      <c r="B3" s="7061"/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4374"/>
    </row>
    <row r="4" spans="1:58" s="561" customFormat="1" ht="15.55" customHeight="1" thickTop="1" thickBot="1" x14ac:dyDescent="0.6">
      <c r="A4" s="564"/>
      <c r="B4" s="845"/>
      <c r="C4" s="845"/>
      <c r="D4" s="845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AC4" s="562"/>
      <c r="AE4" s="562"/>
      <c r="AF4" s="562"/>
      <c r="AG4" s="563"/>
      <c r="AI4" s="562"/>
      <c r="AJ4" s="563"/>
      <c r="BB4" s="566"/>
      <c r="BC4" s="566"/>
      <c r="BD4" s="566"/>
      <c r="BE4" s="566"/>
      <c r="BF4" s="566"/>
    </row>
    <row r="5" spans="1:58" ht="18" customHeight="1" thickBot="1" x14ac:dyDescent="0.6">
      <c r="B5" s="1007"/>
      <c r="C5" s="1008" t="s">
        <v>800</v>
      </c>
      <c r="D5" s="1007"/>
      <c r="E5" s="1007"/>
      <c r="F5" s="7325" t="s">
        <v>1219</v>
      </c>
      <c r="G5" s="7279"/>
      <c r="H5" s="7279"/>
      <c r="I5" s="7279"/>
      <c r="J5" s="7279"/>
      <c r="K5" s="7326"/>
      <c r="L5" s="1007"/>
      <c r="M5" s="6302"/>
      <c r="N5" s="6189"/>
      <c r="O5" s="6301"/>
      <c r="P5" s="7071" t="str">
        <f>"연간누적실적(~"&amp;MONTH('※ 재고 세부데이터'!A1)&amp;"월)"</f>
        <v>연간누적실적(~2월)</v>
      </c>
      <c r="Q5" s="7072"/>
      <c r="R5" s="7072"/>
      <c r="S5" s="7073"/>
      <c r="T5" s="1009" t="s">
        <v>453</v>
      </c>
    </row>
    <row r="6" spans="1:58" ht="16.75" thickBot="1" x14ac:dyDescent="0.6">
      <c r="A6" s="7508" t="s">
        <v>124</v>
      </c>
      <c r="B6" s="7442"/>
      <c r="C6" s="7509"/>
      <c r="D6" s="847" t="s">
        <v>829</v>
      </c>
      <c r="E6" s="848" t="s">
        <v>1213</v>
      </c>
      <c r="F6" s="1010" t="str" cm="1">
        <f t="array" aca="1" ref="F6" ca="1">INDIRECT("'※ 재고 세부데이터'!"&amp;F$1&amp;$T6, TRUE)</f>
        <v>'25.1월</v>
      </c>
      <c r="G6" s="1010" t="str" cm="1">
        <f t="array" aca="1" ref="G6" ca="1">INDIRECT("'※ 재고 세부데이터'!"&amp;G$1&amp;$T6, TRUE)</f>
        <v>'25.2월</v>
      </c>
      <c r="H6" s="1010" t="str" cm="1">
        <f t="array" aca="1" ref="H6" ca="1">INDIRECT("'※ 재고 세부데이터'!"&amp;H$1&amp;$T6, TRUE)</f>
        <v>'25.3월</v>
      </c>
      <c r="I6" s="1010" t="str" cm="1">
        <f t="array" aca="1" ref="I6" ca="1">INDIRECT("'※ 재고 세부데이터'!"&amp;I$1&amp;$T6, TRUE)</f>
        <v>'25.4월</v>
      </c>
      <c r="J6" s="1010" t="str" cm="1">
        <f t="array" aca="1" ref="J6" ca="1">INDIRECT("'※ 재고 세부데이터'!"&amp;J$1&amp;$T6, TRUE)</f>
        <v>'25.5월</v>
      </c>
      <c r="K6" s="1010" t="str" cm="1">
        <f t="array" aca="1" ref="K6" ca="1">INDIRECT("'※ 재고 세부데이터'!"&amp;K$1&amp;$T6, TRUE)</f>
        <v>'25.6월</v>
      </c>
      <c r="L6" s="6334" t="s">
        <v>1210</v>
      </c>
      <c r="M6" s="1010" t="str" cm="1">
        <f t="array" aca="1" ref="M6" ca="1">INDIRECT("'※ 재고 세부데이터'!"&amp;M$1&amp;$T6, TRUE)</f>
        <v>'26.1월</v>
      </c>
      <c r="N6" s="1010" t="str" cm="1">
        <f t="array" aca="1" ref="N6" ca="1">INDIRECT("'※ 재고 세부데이터'!"&amp;N$1&amp;$T6, TRUE)</f>
        <v>'26.2월</v>
      </c>
      <c r="O6" s="850" t="s">
        <v>444</v>
      </c>
      <c r="P6" s="852" t="s">
        <v>44</v>
      </c>
      <c r="Q6" s="1011" t="s">
        <v>569</v>
      </c>
      <c r="R6" s="853" t="s">
        <v>45</v>
      </c>
      <c r="S6" s="854" t="s">
        <v>11</v>
      </c>
      <c r="T6" s="1012">
        <f>ROW('※ 재고 세부데이터'!J3)</f>
        <v>3</v>
      </c>
    </row>
    <row r="7" spans="1:58" x14ac:dyDescent="0.55000000000000004">
      <c r="A7" s="7459" t="s">
        <v>870</v>
      </c>
      <c r="B7" s="1013" t="s">
        <v>871</v>
      </c>
      <c r="C7" s="1014" t="s">
        <v>264</v>
      </c>
      <c r="D7" s="1015" cm="1">
        <f t="array" aca="1" ref="D7" ca="1">INDIRECT("'※ 재고 세부데이터'!"&amp;D$1&amp;$T7, TRUE)</f>
        <v>70806.75</v>
      </c>
      <c r="E7" s="1016" cm="1">
        <f t="array" aca="1" ref="E7" ca="1">INDIRECT("'※ 재고 세부데이터'!"&amp;E$1&amp;$T7, TRUE)</f>
        <v>62750.416666666664</v>
      </c>
      <c r="F7" s="1017" cm="1">
        <f t="array" aca="1" ref="F7" ca="1">INDIRECT("'※ 재고 세부데이터'!"&amp;F$1&amp;$T7, TRUE)</f>
        <v>64963</v>
      </c>
      <c r="G7" s="1018" cm="1">
        <f t="array" aca="1" ref="G7" ca="1">INDIRECT("'※ 재고 세부데이터'!"&amp;G$1&amp;$T7, TRUE)</f>
        <v>98658</v>
      </c>
      <c r="H7" s="1018" cm="1">
        <f t="array" aca="1" ref="H7" ca="1">INDIRECT("'※ 재고 세부데이터'!"&amp;H$1&amp;$T7, TRUE)</f>
        <v>64234</v>
      </c>
      <c r="I7" s="1018" cm="1">
        <f t="array" aca="1" ref="I7" ca="1">INDIRECT("'※ 재고 세부데이터'!"&amp;I$1&amp;$T7, TRUE)</f>
        <v>52069</v>
      </c>
      <c r="J7" s="1018" cm="1">
        <f t="array" aca="1" ref="J7" ca="1">INDIRECT("'※ 재고 세부데이터'!"&amp;J$1&amp;$T7, TRUE)</f>
        <v>47488</v>
      </c>
      <c r="K7" s="1018" cm="1">
        <f t="array" aca="1" ref="K7" ca="1">INDIRECT("'※ 재고 세부데이터'!"&amp;K$1&amp;$T7, TRUE)</f>
        <v>45328</v>
      </c>
      <c r="L7" s="6335" cm="1">
        <f t="array" aca="1" ref="L7" ca="1">INDIRECT("'※ 재고 세부데이터'!"&amp;L$1&amp;$T7, TRUE)</f>
        <v>62750.416666666664</v>
      </c>
      <c r="M7" s="1018" cm="1">
        <f t="array" aca="1" ref="M7" ca="1">INDIRECT("'※ 재고 세부데이터'!"&amp;M$1&amp;$T7, TRUE)</f>
        <v>59783</v>
      </c>
      <c r="N7" s="1018" cm="1">
        <f t="array" aca="1" ref="N7" ca="1">INDIRECT("'※ 재고 세부데이터'!"&amp;N$1&amp;$T7, TRUE)</f>
        <v>66014</v>
      </c>
      <c r="O7" s="1018" cm="1">
        <f t="array" aca="1" ref="O7" ca="1">INDIRECT("'※ 재고 세부데이터'!"&amp;O$1&amp;$T7, TRUE)</f>
        <v>-32644</v>
      </c>
      <c r="P7" s="1019" cm="1">
        <f t="array" aca="1" ref="P7" ca="1">INDIRECT("'※ 재고 세부데이터'!"&amp;P$1&amp;$T7, TRUE)</f>
        <v>125797</v>
      </c>
      <c r="Q7" s="1018" cm="1">
        <f t="array" aca="1" ref="Q7" ca="1">INDIRECT("'※ 재고 세부데이터'!"&amp;Q$1&amp;$T7, TRUE)</f>
        <v>-37824</v>
      </c>
      <c r="R7" s="1018" cm="1">
        <f t="array" aca="1" ref="R7" ca="1">INDIRECT("'※ 재고 세부데이터'!"&amp;R$1&amp;$T7, TRUE)</f>
        <v>62898.5</v>
      </c>
      <c r="S7" s="1020" cm="1">
        <f t="array" aca="1" ref="S7" ca="1">INDIRECT("'※ 재고 세부데이터'!"&amp;S$1&amp;$T7, TRUE)</f>
        <v>148.08333333333576</v>
      </c>
      <c r="T7" s="1012">
        <f>ROW('※ 재고 세부데이터'!J4)</f>
        <v>4</v>
      </c>
    </row>
    <row r="8" spans="1:58" x14ac:dyDescent="0.55000000000000004">
      <c r="A8" s="7439"/>
      <c r="B8" s="1021"/>
      <c r="C8" s="559" t="s">
        <v>872</v>
      </c>
      <c r="D8" s="1022" cm="1">
        <f t="array" aca="1" ref="D8" ca="1">INDIRECT("'※ 재고 세부데이터'!"&amp;D$1&amp;$T8, TRUE)</f>
        <v>40918.583333333336</v>
      </c>
      <c r="E8" s="1023" cm="1">
        <f t="array" aca="1" ref="E8" ca="1">INDIRECT("'※ 재고 세부데이터'!"&amp;E$1&amp;$T8, TRUE)</f>
        <v>35637.083333333336</v>
      </c>
      <c r="F8" s="1024" cm="1">
        <f t="array" aca="1" ref="F8" ca="1">INDIRECT("'※ 재고 세부데이터'!"&amp;F$1&amp;$T8, TRUE)</f>
        <v>59797</v>
      </c>
      <c r="G8" s="1025" cm="1">
        <f t="array" aca="1" ref="G8" ca="1">INDIRECT("'※ 재고 세부데이터'!"&amp;G$1&amp;$T8, TRUE)</f>
        <v>18164</v>
      </c>
      <c r="H8" s="1025" cm="1">
        <f t="array" aca="1" ref="H8" ca="1">INDIRECT("'※ 재고 세부데이터'!"&amp;H$1&amp;$T8, TRUE)</f>
        <v>18551</v>
      </c>
      <c r="I8" s="1025" cm="1">
        <f t="array" aca="1" ref="I8" ca="1">INDIRECT("'※ 재고 세부데이터'!"&amp;I$1&amp;$T8, TRUE)</f>
        <v>26411</v>
      </c>
      <c r="J8" s="1025" cm="1">
        <f t="array" aca="1" ref="J8" ca="1">INDIRECT("'※ 재고 세부데이터'!"&amp;J$1&amp;$T8, TRUE)</f>
        <v>34238</v>
      </c>
      <c r="K8" s="1025" cm="1">
        <f t="array" aca="1" ref="K8" ca="1">INDIRECT("'※ 재고 세부데이터'!"&amp;K$1&amp;$T8, TRUE)</f>
        <v>35621</v>
      </c>
      <c r="L8" s="6336" cm="1">
        <f t="array" aca="1" ref="L8" ca="1">INDIRECT("'※ 재고 세부데이터'!"&amp;L$1&amp;$T8, TRUE)</f>
        <v>35637.083333333336</v>
      </c>
      <c r="M8" s="1025" cm="1">
        <f t="array" aca="1" ref="M8" ca="1">INDIRECT("'※ 재고 세부데이터'!"&amp;M$1&amp;$T8, TRUE)</f>
        <v>50504</v>
      </c>
      <c r="N8" s="1025" cm="1">
        <f t="array" aca="1" ref="N8" ca="1">INDIRECT("'※ 재고 세부데이터'!"&amp;N$1&amp;$T8, TRUE)</f>
        <v>37055</v>
      </c>
      <c r="O8" s="1025" cm="1">
        <f t="array" aca="1" ref="O8" ca="1">INDIRECT("'※ 재고 세부데이터'!"&amp;O$1&amp;$T8, TRUE)</f>
        <v>18891</v>
      </c>
      <c r="P8" s="1026" cm="1">
        <f t="array" aca="1" ref="P8" ca="1">INDIRECT("'※ 재고 세부데이터'!"&amp;P$1&amp;$T8, TRUE)</f>
        <v>87559</v>
      </c>
      <c r="Q8" s="1025" cm="1">
        <f t="array" aca="1" ref="Q8" ca="1">INDIRECT("'※ 재고 세부데이터'!"&amp;Q$1&amp;$T8, TRUE)</f>
        <v>9598</v>
      </c>
      <c r="R8" s="1025" cm="1">
        <f t="array" aca="1" ref="R8" ca="1">INDIRECT("'※ 재고 세부데이터'!"&amp;R$1&amp;$T8, TRUE)</f>
        <v>43779.5</v>
      </c>
      <c r="S8" s="1027" cm="1">
        <f t="array" aca="1" ref="S8" ca="1">INDIRECT("'※ 재고 세부데이터'!"&amp;S$1&amp;$T8, TRUE)</f>
        <v>8142.4166666666642</v>
      </c>
      <c r="T8" s="1012">
        <f>ROW('※ 재고 세부데이터'!J5)</f>
        <v>5</v>
      </c>
    </row>
    <row r="9" spans="1:58" x14ac:dyDescent="0.55000000000000004">
      <c r="A9" s="7439"/>
      <c r="B9" s="1021"/>
      <c r="C9" s="559" t="s">
        <v>873</v>
      </c>
      <c r="D9" s="1022" cm="1">
        <f t="array" aca="1" ref="D9" ca="1">INDIRECT("'※ 재고 세부데이터'!"&amp;D$1&amp;$T9, TRUE)</f>
        <v>41000.5</v>
      </c>
      <c r="E9" s="1023" cm="1">
        <f t="array" aca="1" ref="E9" ca="1">INDIRECT("'※ 재고 세부데이터'!"&amp;E$1&amp;$T9, TRUE)</f>
        <v>36213.333333333336</v>
      </c>
      <c r="F9" s="1024" cm="1">
        <f t="array" aca="1" ref="F9" ca="1">INDIRECT("'※ 재고 세부데이터'!"&amp;F$1&amp;$T9, TRUE)</f>
        <v>26102</v>
      </c>
      <c r="G9" s="1025" cm="1">
        <f t="array" aca="1" ref="G9" ca="1">INDIRECT("'※ 재고 세부데이터'!"&amp;G$1&amp;$T9, TRUE)</f>
        <v>52588</v>
      </c>
      <c r="H9" s="1025" cm="1">
        <f t="array" aca="1" ref="H9" ca="1">INDIRECT("'※ 재고 세부데이터'!"&amp;H$1&amp;$T9, TRUE)</f>
        <v>30716</v>
      </c>
      <c r="I9" s="1025" cm="1">
        <f t="array" aca="1" ref="I9" ca="1">INDIRECT("'※ 재고 세부데이터'!"&amp;I$1&amp;$T9, TRUE)</f>
        <v>30992</v>
      </c>
      <c r="J9" s="1025" cm="1">
        <f t="array" aca="1" ref="J9" ca="1">INDIRECT("'※ 재고 세부데이터'!"&amp;J$1&amp;$T9, TRUE)</f>
        <v>36398</v>
      </c>
      <c r="K9" s="1025" cm="1">
        <f t="array" aca="1" ref="K9" ca="1">INDIRECT("'※ 재고 세부데이터'!"&amp;K$1&amp;$T9, TRUE)</f>
        <v>28979</v>
      </c>
      <c r="L9" s="6336" cm="1">
        <f t="array" aca="1" ref="L9" ca="1">INDIRECT("'※ 재고 세부데이터'!"&amp;L$1&amp;$T9, TRUE)</f>
        <v>36213.333333333336</v>
      </c>
      <c r="M9" s="1025" cm="1">
        <f t="array" aca="1" ref="M9" ca="1">INDIRECT("'※ 재고 세부데이터'!"&amp;M$1&amp;$T9, TRUE)</f>
        <v>48130</v>
      </c>
      <c r="N9" s="1025" cm="1">
        <f t="array" aca="1" ref="N9" ca="1">INDIRECT("'※ 재고 세부데이터'!"&amp;N$1&amp;$T9, TRUE)</f>
        <v>33198</v>
      </c>
      <c r="O9" s="1025" cm="1">
        <f t="array" aca="1" ref="O9" ca="1">INDIRECT("'※ 재고 세부데이터'!"&amp;O$1&amp;$T9, TRUE)</f>
        <v>-19390</v>
      </c>
      <c r="P9" s="1026" cm="1">
        <f t="array" aca="1" ref="P9" ca="1">INDIRECT("'※ 재고 세부데이터'!"&amp;P$1&amp;$T9, TRUE)</f>
        <v>81328</v>
      </c>
      <c r="Q9" s="1025" cm="1">
        <f t="array" aca="1" ref="Q9" ca="1">INDIRECT("'※ 재고 세부데이터'!"&amp;Q$1&amp;$T9, TRUE)</f>
        <v>2638</v>
      </c>
      <c r="R9" s="1025" cm="1">
        <f t="array" aca="1" ref="R9" ca="1">INDIRECT("'※ 재고 세부데이터'!"&amp;R$1&amp;$T9, TRUE)</f>
        <v>40664</v>
      </c>
      <c r="S9" s="1027" cm="1">
        <f t="array" aca="1" ref="S9" ca="1">INDIRECT("'※ 재고 세부데이터'!"&amp;S$1&amp;$T9, TRUE)</f>
        <v>4450.6666666666642</v>
      </c>
      <c r="T9" s="1012">
        <f>ROW('※ 재고 세부데이터'!J6)</f>
        <v>6</v>
      </c>
    </row>
    <row r="10" spans="1:58" x14ac:dyDescent="0.55000000000000004">
      <c r="A10" s="7439"/>
      <c r="B10" s="1021"/>
      <c r="C10" s="1028" t="s">
        <v>269</v>
      </c>
      <c r="D10" s="1029" cm="1">
        <f t="array" aca="1" ref="D10" ca="1">INDIRECT("'※ 재고 세부데이터'!"&amp;D$1&amp;$T10, TRUE)</f>
        <v>70724.833333333328</v>
      </c>
      <c r="E10" s="1030" cm="1">
        <f t="array" aca="1" ref="E10" ca="1">INDIRECT("'※ 재고 세부데이터'!"&amp;E$1&amp;$T10, TRUE)</f>
        <v>62174.166666666664</v>
      </c>
      <c r="F10" s="1031" cm="1">
        <f t="array" aca="1" ref="F10" ca="1">INDIRECT("'※ 재고 세부데이터'!"&amp;F$1&amp;$T10, TRUE)</f>
        <v>98658</v>
      </c>
      <c r="G10" s="1032" cm="1">
        <f t="array" aca="1" ref="G10" ca="1">INDIRECT("'※ 재고 세부데이터'!"&amp;G$1&amp;$T10, TRUE)</f>
        <v>64234</v>
      </c>
      <c r="H10" s="1032" cm="1">
        <f t="array" aca="1" ref="H10" ca="1">INDIRECT("'※ 재고 세부데이터'!"&amp;H$1&amp;$T10, TRUE)</f>
        <v>52069</v>
      </c>
      <c r="I10" s="1032" cm="1">
        <f t="array" aca="1" ref="I10" ca="1">INDIRECT("'※ 재고 세부데이터'!"&amp;I$1&amp;$T10, TRUE)</f>
        <v>47488</v>
      </c>
      <c r="J10" s="1032" cm="1">
        <f t="array" aca="1" ref="J10" ca="1">INDIRECT("'※ 재고 세부데이터'!"&amp;J$1&amp;$T10, TRUE)</f>
        <v>45328</v>
      </c>
      <c r="K10" s="1032" cm="1">
        <f t="array" aca="1" ref="K10" ca="1">INDIRECT("'※ 재고 세부데이터'!"&amp;K$1&amp;$T10, TRUE)</f>
        <v>51970</v>
      </c>
      <c r="L10" s="6337" cm="1">
        <f t="array" aca="1" ref="L10" ca="1">INDIRECT("'※ 재고 세부데이터'!"&amp;L$1&amp;$T10, TRUE)</f>
        <v>62174.166666666664</v>
      </c>
      <c r="M10" s="1032" cm="1">
        <f t="array" aca="1" ref="M10" ca="1">INDIRECT("'※ 재고 세부데이터'!"&amp;M$1&amp;$T10, TRUE)</f>
        <v>62157</v>
      </c>
      <c r="N10" s="1032" cm="1">
        <f t="array" aca="1" ref="N10" ca="1">INDIRECT("'※ 재고 세부데이터'!"&amp;N$1&amp;$T10, TRUE)</f>
        <v>69871</v>
      </c>
      <c r="O10" s="1032" cm="1">
        <f t="array" aca="1" ref="O10" ca="1">INDIRECT("'※ 재고 세부데이터'!"&amp;O$1&amp;$T10, TRUE)</f>
        <v>5637</v>
      </c>
      <c r="P10" s="1033" cm="1">
        <f t="array" aca="1" ref="P10" ca="1">INDIRECT("'※ 재고 세부데이터'!"&amp;P$1&amp;$T10, TRUE)</f>
        <v>132028</v>
      </c>
      <c r="Q10" s="1032" cm="1">
        <f t="array" aca="1" ref="Q10" ca="1">INDIRECT("'※ 재고 세부데이터'!"&amp;Q$1&amp;$T10, TRUE)</f>
        <v>-30864</v>
      </c>
      <c r="R10" s="1032" cm="1">
        <f t="array" aca="1" ref="R10" ca="1">INDIRECT("'※ 재고 세부데이터'!"&amp;R$1&amp;$T10, TRUE)</f>
        <v>66014</v>
      </c>
      <c r="S10" s="1034" cm="1">
        <f t="array" aca="1" ref="S10" ca="1">INDIRECT("'※ 재고 세부데이터'!"&amp;S$1&amp;$T10, TRUE)</f>
        <v>3839.8333333333358</v>
      </c>
      <c r="T10" s="1012">
        <f>ROW('※ 재고 세부데이터'!J7)</f>
        <v>7</v>
      </c>
    </row>
    <row r="11" spans="1:58" x14ac:dyDescent="0.55000000000000004">
      <c r="A11" s="7439"/>
      <c r="B11" s="1035"/>
      <c r="C11" s="559" t="s">
        <v>270</v>
      </c>
      <c r="D11" s="1022" cm="1">
        <f t="array" aca="1" ref="D11" ca="1">INDIRECT("'※ 재고 세부데이터'!"&amp;D$1&amp;$T11, TRUE)</f>
        <v>55.749250580985624</v>
      </c>
      <c r="E11" s="1023" cm="1">
        <f t="array" aca="1" ref="E11" ca="1">INDIRECT("'※ 재고 세부데이터'!"&amp;E$1&amp;$T11, TRUE)</f>
        <v>54.709934573491132</v>
      </c>
      <c r="F11" s="1024" cm="1">
        <f t="array" aca="1" ref="F11" ca="1">INDIRECT("'※ 재고 세부데이터'!"&amp;F$1&amp;$T11, TRUE)</f>
        <v>117.17102137767222</v>
      </c>
      <c r="G11" s="1025" cm="1">
        <f t="array" aca="1" ref="G11" ca="1">INDIRECT("'※ 재고 세부데이터'!"&amp;G$1&amp;$T11, TRUE)</f>
        <v>34.248193504221497</v>
      </c>
      <c r="H11" s="1025" cm="1">
        <f t="array" aca="1" ref="H11" ca="1">INDIRECT("'※ 재고 세부데이터'!"&amp;H$1&amp;$T11, TRUE)</f>
        <v>51.7</v>
      </c>
      <c r="I11" s="1025" cm="1">
        <f t="array" aca="1" ref="I11" ca="1">INDIRECT("'※ 재고 세부데이터'!"&amp;I$1&amp;$T11, TRUE)</f>
        <v>41</v>
      </c>
      <c r="J11" s="1025" cm="1">
        <f t="array" aca="1" ref="J11" ca="1">INDIRECT("'※ 재고 세부데이터'!"&amp;J$1&amp;$T11, TRUE)</f>
        <v>38.5</v>
      </c>
      <c r="K11" s="1025" cm="1">
        <f t="array" aca="1" ref="K11" ca="1">INDIRECT("'※ 재고 세부데이터'!"&amp;K$1&amp;$T11, TRUE)</f>
        <v>54</v>
      </c>
      <c r="L11" s="6336" cm="1">
        <f t="array" aca="1" ref="L11" ca="1">INDIRECT("'※ 재고 세부데이터'!"&amp;L$1&amp;$T11, TRUE)</f>
        <v>54.709934573491132</v>
      </c>
      <c r="M11" s="1025" cm="1">
        <f t="array" aca="1" ref="M11" ca="1">INDIRECT("'※ 재고 세부데이터'!"&amp;M$1&amp;$T11, TRUE)</f>
        <v>51.108360234174093</v>
      </c>
      <c r="N11" s="1025" cm="1">
        <f t="array" aca="1" ref="N11" ca="1">INDIRECT("'※ 재고 세부데이터'!"&amp;N$1&amp;$T11, TRUE)</f>
        <v>54.2</v>
      </c>
      <c r="O11" s="1025" cm="1">
        <f t="array" aca="1" ref="O11" ca="1">INDIRECT("'※ 재고 세부데이터'!"&amp;O$1&amp;$T11, TRUE)</f>
        <v>19.951806495778506</v>
      </c>
      <c r="P11" s="1026" cm="1">
        <f t="array" aca="1" ref="P11" ca="1">INDIRECT("'※ 재고 세부데이터'!"&amp;P$1&amp;$T11, TRUE)</f>
        <v>105.3083602341741</v>
      </c>
      <c r="Q11" s="1025" cm="1">
        <f t="array" aca="1" ref="Q11" ca="1">INDIRECT("'※ 재고 세부데이터'!"&amp;Q$1&amp;$T11, TRUE)</f>
        <v>-46.110854647719606</v>
      </c>
      <c r="R11" s="1025" cm="1">
        <f t="array" aca="1" ref="R11" ca="1">INDIRECT("'※ 재고 세부데이터'!"&amp;R$1&amp;$T11, TRUE)</f>
        <v>52.654180117087051</v>
      </c>
      <c r="S11" s="1027" cm="1">
        <f t="array" aca="1" ref="S11" ca="1">INDIRECT("'※ 재고 세부데이터'!"&amp;S$1&amp;$T11, TRUE)</f>
        <v>-2.0557544564040811</v>
      </c>
      <c r="T11" s="1012">
        <f>ROW('※ 재고 세부데이터'!J8)</f>
        <v>8</v>
      </c>
    </row>
    <row r="12" spans="1:58" x14ac:dyDescent="0.55000000000000004">
      <c r="A12" s="7439"/>
      <c r="B12" s="1036"/>
      <c r="C12" s="1037" t="s">
        <v>276</v>
      </c>
      <c r="D12" s="1038" cm="1">
        <f t="array" aca="1" ref="D12" ca="1">INDIRECT("'※ 재고 세부데이터'!"&amp;D$1&amp;$T12, TRUE)</f>
        <v>756.61814575816652</v>
      </c>
      <c r="E12" s="1039" cm="1">
        <f t="array" aca="1" ref="E12" ca="1">INDIRECT("'※ 재고 세부데이터'!"&amp;E$1&amp;$T12, TRUE)</f>
        <v>662.82144665716669</v>
      </c>
      <c r="F12" s="1040" cm="1">
        <f t="array" aca="1" ref="F12" ca="1">INDIRECT("'※ 재고 세부데이터'!"&amp;F$1&amp;$T12, TRUE)</f>
        <v>1234.7164789850001</v>
      </c>
      <c r="G12" s="1041" cm="1">
        <f t="array" aca="1" ref="G12" ca="1">INDIRECT("'※ 재고 세부데이터'!"&amp;G$1&amp;$T12, TRUE)</f>
        <v>758.88436597600003</v>
      </c>
      <c r="H12" s="1041" cm="1">
        <f t="array" aca="1" ref="H12" ca="1">INDIRECT("'※ 재고 세부데이터'!"&amp;H$1&amp;$T12, TRUE)</f>
        <v>590.29999999999995</v>
      </c>
      <c r="I12" s="1041" cm="1">
        <f t="array" aca="1" ref="I12" ca="1">INDIRECT("'※ 재고 세부데이터'!"&amp;I$1&amp;$T12, TRUE)</f>
        <v>495.2</v>
      </c>
      <c r="J12" s="1041" cm="1">
        <f t="array" aca="1" ref="J12" ca="1">INDIRECT("'※ 재고 세부데이터'!"&amp;J$1&amp;$T12, TRUE)</f>
        <v>462.6</v>
      </c>
      <c r="K12" s="1041" cm="1">
        <f t="array" aca="1" ref="K12" ca="1">INDIRECT("'※ 재고 세부데이터'!"&amp;K$1&amp;$T12, TRUE)</f>
        <v>449.5</v>
      </c>
      <c r="L12" s="6338" cm="1">
        <f t="array" aca="1" ref="L12" ca="1">INDIRECT("'※ 재고 세부데이터'!"&amp;L$1&amp;$T12, TRUE)</f>
        <v>662.82144665716669</v>
      </c>
      <c r="M12" s="1041" cm="1">
        <f t="array" aca="1" ref="M12" ca="1">INDIRECT("'※ 재고 세부데이터'!"&amp;M$1&amp;$T12, TRUE)</f>
        <v>539.32841397599998</v>
      </c>
      <c r="N12" s="1041" cm="1">
        <f t="array" aca="1" ref="N12" ca="1">INDIRECT("'※ 재고 세부데이터'!"&amp;N$1&amp;$T12, TRUE)</f>
        <v>418.89825797599997</v>
      </c>
      <c r="O12" s="1041" cm="1">
        <f t="array" aca="1" ref="O12" ca="1">INDIRECT("'※ 재고 세부데이터'!"&amp;O$1&amp;$T12, TRUE)</f>
        <v>-339.98610800000006</v>
      </c>
      <c r="P12" s="1042" cm="1">
        <f t="array" aca="1" ref="P12" ca="1">INDIRECT("'※ 재고 세부데이터'!"&amp;P$1&amp;$T12, TRUE)</f>
        <v>958.22667195199995</v>
      </c>
      <c r="Q12" s="1041" cm="1">
        <f t="array" aca="1" ref="Q12" ca="1">INDIRECT("'※ 재고 세부데이터'!"&amp;Q$1&amp;$T12, TRUE)</f>
        <v>-1035.3741730090001</v>
      </c>
      <c r="R12" s="1041" cm="1">
        <f t="array" aca="1" ref="R12" ca="1">INDIRECT("'※ 재고 세부데이터'!"&amp;R$1&amp;$T12, TRUE)</f>
        <v>479.11333597599997</v>
      </c>
      <c r="S12" s="1043" cm="1">
        <f t="array" aca="1" ref="S12" ca="1">INDIRECT("'※ 재고 세부데이터'!"&amp;S$1&amp;$T12, TRUE)</f>
        <v>-183.70811068116672</v>
      </c>
      <c r="T12" s="1012">
        <f>ROW('※ 재고 세부데이터'!J9)</f>
        <v>9</v>
      </c>
    </row>
    <row r="13" spans="1:58" x14ac:dyDescent="0.55000000000000004">
      <c r="A13" s="7439"/>
      <c r="B13" s="1044" t="s">
        <v>779</v>
      </c>
      <c r="C13" s="594" t="s">
        <v>797</v>
      </c>
      <c r="D13" s="1022" cm="1">
        <f t="array" aca="1" ref="D13" ca="1">INDIRECT("'※ 재고 세부데이터'!"&amp;D$1&amp;$T13, TRUE)</f>
        <v>209043.91666666666</v>
      </c>
      <c r="E13" s="1023" cm="1">
        <f t="array" aca="1" ref="E13" ca="1">INDIRECT("'※ 재고 세부데이터'!"&amp;E$1&amp;$T13, TRUE)</f>
        <v>486713.75</v>
      </c>
      <c r="F13" s="1024" cm="1">
        <f t="array" aca="1" ref="F13" ca="1">INDIRECT("'※ 재고 세부데이터'!"&amp;F$1&amp;$T13, TRUE)</f>
        <v>349281</v>
      </c>
      <c r="G13" s="1025" cm="1">
        <f t="array" aca="1" ref="G13" ca="1">INDIRECT("'※ 재고 세부데이터'!"&amp;G$1&amp;$T13, TRUE)</f>
        <v>293011</v>
      </c>
      <c r="H13" s="1025" cm="1">
        <f t="array" aca="1" ref="H13" ca="1">INDIRECT("'※ 재고 세부데이터'!"&amp;H$1&amp;$T13, TRUE)</f>
        <v>242534</v>
      </c>
      <c r="I13" s="1025" cm="1">
        <f t="array" aca="1" ref="I13" ca="1">INDIRECT("'※ 재고 세부데이터'!"&amp;I$1&amp;$T13, TRUE)</f>
        <v>369716</v>
      </c>
      <c r="J13" s="1025" cm="1">
        <f t="array" aca="1" ref="J13" ca="1">INDIRECT("'※ 재고 세부데이터'!"&amp;J$1&amp;$T13, TRUE)</f>
        <v>252570</v>
      </c>
      <c r="K13" s="1025" cm="1">
        <f t="array" aca="1" ref="K13" ca="1">INDIRECT("'※ 재고 세부데이터'!"&amp;K$1&amp;$T13, TRUE)</f>
        <v>395000</v>
      </c>
      <c r="L13" s="6336" cm="1">
        <f t="array" aca="1" ref="L13" ca="1">INDIRECT("'※ 재고 세부데이터'!"&amp;L$1&amp;$T13, TRUE)</f>
        <v>486713.75</v>
      </c>
      <c r="M13" s="1025" cm="1">
        <f t="array" aca="1" ref="M13" ca="1">INDIRECT("'※ 재고 세부데이터'!"&amp;M$1&amp;$T13, TRUE)</f>
        <v>786586</v>
      </c>
      <c r="N13" s="1025" cm="1">
        <f t="array" aca="1" ref="N13" ca="1">INDIRECT("'※ 재고 세부데이터'!"&amp;N$1&amp;$T13, TRUE)</f>
        <v>760264</v>
      </c>
      <c r="O13" s="1025" cm="1">
        <f t="array" aca="1" ref="O13" ca="1">INDIRECT("'※ 재고 세부데이터'!"&amp;O$1&amp;$T13, TRUE)</f>
        <v>467253</v>
      </c>
      <c r="P13" s="1026" cm="1">
        <f t="array" aca="1" ref="P13" ca="1">INDIRECT("'※ 재고 세부데이터'!"&amp;P$1&amp;$T13, TRUE)</f>
        <v>1546850</v>
      </c>
      <c r="Q13" s="1025" cm="1">
        <f t="array" aca="1" ref="Q13" ca="1">INDIRECT("'※ 재고 세부데이터'!"&amp;Q$1&amp;$T13, TRUE)</f>
        <v>904558</v>
      </c>
      <c r="R13" s="1025" cm="1">
        <f t="array" aca="1" ref="R13" ca="1">INDIRECT("'※ 재고 세부데이터'!"&amp;R$1&amp;$T13, TRUE)</f>
        <v>773425</v>
      </c>
      <c r="S13" s="1027" cm="1">
        <f t="array" aca="1" ref="S13" ca="1">INDIRECT("'※ 재고 세부데이터'!"&amp;S$1&amp;$T13, TRUE)</f>
        <v>286711.25</v>
      </c>
      <c r="T13" s="1012">
        <f>ROW('※ 재고 세부데이터'!J10)</f>
        <v>10</v>
      </c>
    </row>
    <row r="14" spans="1:58" ht="15.45" thickBot="1" x14ac:dyDescent="0.6">
      <c r="A14" s="7460"/>
      <c r="B14" s="1045"/>
      <c r="C14" s="1046" t="s">
        <v>780</v>
      </c>
      <c r="D14" s="1047" cm="1">
        <f t="array" aca="1" ref="D14" ca="1">INDIRECT("'※ 재고 세부데이터'!"&amp;D$1&amp;$T14, TRUE)</f>
        <v>16.086742833333336</v>
      </c>
      <c r="E14" s="1048" cm="1">
        <f t="array" aca="1" ref="E14" ca="1">INDIRECT("'※ 재고 세부데이터'!"&amp;E$1&amp;$T14, TRUE)</f>
        <v>37.475844666666667</v>
      </c>
      <c r="F14" s="1049" cm="1">
        <f t="array" aca="1" ref="F14" ca="1">INDIRECT("'※ 재고 세부데이터'!"&amp;F$1&amp;$T14, TRUE)</f>
        <v>26.885000999999999</v>
      </c>
      <c r="G14" s="1050" cm="1">
        <f t="array" aca="1" ref="G14" ca="1">INDIRECT("'※ 재고 세부데이터'!"&amp;G$1&amp;$T14, TRUE)</f>
        <v>22.552211</v>
      </c>
      <c r="H14" s="1050" cm="1">
        <f t="array" aca="1" ref="H14" ca="1">INDIRECT("'※ 재고 세부데이터'!"&amp;H$1&amp;$T14, TRUE)</f>
        <v>18.7</v>
      </c>
      <c r="I14" s="1050" cm="1">
        <f t="array" aca="1" ref="I14" ca="1">INDIRECT("'※ 재고 세부데이터'!"&amp;I$1&amp;$T14, TRUE)</f>
        <v>28.5</v>
      </c>
      <c r="J14" s="1050" cm="1">
        <f t="array" aca="1" ref="J14" ca="1">INDIRECT("'※ 재고 세부데이터'!"&amp;J$1&amp;$T14, TRUE)</f>
        <v>19.399999999999999</v>
      </c>
      <c r="K14" s="1050" cm="1">
        <f t="array" aca="1" ref="K14" ca="1">INDIRECT("'※ 재고 세부데이터'!"&amp;K$1&amp;$T14, TRUE)</f>
        <v>30.4</v>
      </c>
      <c r="L14" s="6339" cm="1">
        <f t="array" aca="1" ref="L14" ca="1">INDIRECT("'※ 재고 세부데이터'!"&amp;L$1&amp;$T14, TRUE)</f>
        <v>37.475844666666667</v>
      </c>
      <c r="M14" s="1050" cm="1">
        <f t="array" aca="1" ref="M14" ca="1">INDIRECT("'※ 재고 세부데이터'!"&amp;M$1&amp;$T14, TRUE)</f>
        <v>60.557453000000002</v>
      </c>
      <c r="N14" s="1050" cm="1">
        <f t="array" aca="1" ref="N14" ca="1">INDIRECT("'※ 재고 세부데이터'!"&amp;N$1&amp;$T14, TRUE)</f>
        <v>58.530659</v>
      </c>
      <c r="O14" s="1050" cm="1">
        <f t="array" aca="1" ref="O14" ca="1">INDIRECT("'※ 재고 세부데이터'!"&amp;O$1&amp;$T14, TRUE)</f>
        <v>35.978448</v>
      </c>
      <c r="P14" s="1051" cm="1">
        <f t="array" aca="1" ref="P14" ca="1">INDIRECT("'※ 재고 세부데이터'!"&amp;P$1&amp;$T14, TRUE)</f>
        <v>119.088112</v>
      </c>
      <c r="Q14" s="1050" cm="1">
        <f t="array" aca="1" ref="Q14" ca="1">INDIRECT("'※ 재고 세부데이터'!"&amp;Q$1&amp;$T14, TRUE)</f>
        <v>69.650899999999993</v>
      </c>
      <c r="R14" s="1050" cm="1">
        <f t="array" aca="1" ref="R14" ca="1">INDIRECT("'※ 재고 세부데이터'!"&amp;R$1&amp;$T14, TRUE)</f>
        <v>59.544055999999998</v>
      </c>
      <c r="S14" s="1052" cm="1">
        <f t="array" aca="1" ref="S14" ca="1">INDIRECT("'※ 재고 세부데이터'!"&amp;S$1&amp;$T14, TRUE)</f>
        <v>22.068211333333331</v>
      </c>
      <c r="T14" s="1012">
        <f>ROW('※ 재고 세부데이터'!J11)</f>
        <v>11</v>
      </c>
    </row>
    <row r="15" spans="1:58" ht="10.5" customHeight="1" thickBot="1" x14ac:dyDescent="0.6">
      <c r="A15" s="1053"/>
      <c r="B15" s="594"/>
      <c r="C15" s="594"/>
      <c r="D15" s="1054"/>
      <c r="E15" s="1055"/>
      <c r="F15" s="1056"/>
      <c r="G15" s="594"/>
      <c r="H15" s="594"/>
      <c r="I15" s="594"/>
      <c r="J15" s="594"/>
      <c r="K15" s="594"/>
      <c r="L15" s="6340"/>
      <c r="M15" s="594"/>
      <c r="N15" s="594"/>
      <c r="O15" s="1057"/>
      <c r="P15" s="1058"/>
      <c r="Q15" s="1057"/>
      <c r="R15" s="1057"/>
      <c r="S15" s="1059"/>
      <c r="T15" s="1012">
        <f>ROW('※ 재고 세부데이터'!J12)</f>
        <v>12</v>
      </c>
    </row>
    <row r="16" spans="1:58" ht="16.5" customHeight="1" x14ac:dyDescent="0.55000000000000004">
      <c r="A16" s="7506" t="s">
        <v>781</v>
      </c>
      <c r="B16" s="1013" t="s">
        <v>782</v>
      </c>
      <c r="C16" s="1060" t="s">
        <v>783</v>
      </c>
      <c r="D16" s="1061" cm="1">
        <f t="array" aca="1" ref="D16" ca="1">INDIRECT("'※ 재고 세부데이터'!"&amp;D$1&amp;$T16, TRUE)</f>
        <v>156.26902118683333</v>
      </c>
      <c r="E16" s="1062" cm="1">
        <f t="array" aca="1" ref="E16" ca="1">INDIRECT("'※ 재고 세부데이터'!"&amp;E$1&amp;$T16, TRUE)</f>
        <v>136.36749999999998</v>
      </c>
      <c r="F16" s="1063" cm="1">
        <f t="array" aca="1" ref="F16" ca="1">INDIRECT("'※ 재고 세부데이터'!"&amp;F$1&amp;$T16, TRUE)</f>
        <v>313.3</v>
      </c>
      <c r="G16" s="1064" cm="1">
        <f t="array" aca="1" ref="G16" ca="1">INDIRECT("'※ 재고 세부데이터'!"&amp;G$1&amp;$T16, TRUE)</f>
        <v>94.699999999999989</v>
      </c>
      <c r="H16" s="1064" cm="1">
        <f t="array" aca="1" ref="H16" ca="1">INDIRECT("'※ 재고 세부데이터'!"&amp;H$1&amp;$T16, TRUE)</f>
        <v>27.69</v>
      </c>
      <c r="I16" s="1064" cm="1">
        <f t="array" aca="1" ref="I16" ca="1">INDIRECT("'※ 재고 세부데이터'!"&amp;I$1&amp;$T16, TRUE)</f>
        <v>60.4</v>
      </c>
      <c r="J16" s="1064" cm="1">
        <f t="array" aca="1" ref="J16" ca="1">INDIRECT("'※ 재고 세부데이터'!"&amp;J$1&amp;$T16, TRUE)</f>
        <v>42</v>
      </c>
      <c r="K16" s="1064" cm="1">
        <f t="array" aca="1" ref="K16" ca="1">INDIRECT("'※ 재고 세부데이터'!"&amp;K$1&amp;$T16, TRUE)</f>
        <v>106.4</v>
      </c>
      <c r="L16" s="6341" cm="1">
        <f t="array" aca="1" ref="L16" ca="1">INDIRECT("'※ 재고 세부데이터'!"&amp;L$1&amp;$T16, TRUE)</f>
        <v>136.36749999999998</v>
      </c>
      <c r="M16" s="1064" cm="1">
        <f t="array" aca="1" ref="M16" ca="1">INDIRECT("'※ 재고 세부데이터'!"&amp;M$1&amp;$T16, TRUE)</f>
        <v>120.4</v>
      </c>
      <c r="N16" s="1064" cm="1">
        <f t="array" aca="1" ref="N16" ca="1">INDIRECT("'※ 재고 세부데이터'!"&amp;N$1&amp;$T16, TRUE)</f>
        <v>282.60000000000002</v>
      </c>
      <c r="O16" s="1064" cm="1">
        <f t="array" aca="1" ref="O16" ca="1">INDIRECT("'※ 재고 세부데이터'!"&amp;O$1&amp;$T16, TRUE)</f>
        <v>187.90000000000003</v>
      </c>
      <c r="P16" s="1065" cm="1">
        <f t="array" aca="1" ref="P16" ca="1">INDIRECT("'※ 재고 세부데이터'!"&amp;P$1&amp;$T16, TRUE)</f>
        <v>403</v>
      </c>
      <c r="Q16" s="1064" cm="1">
        <f t="array" aca="1" ref="Q16" ca="1">INDIRECT("'※ 재고 세부데이터'!"&amp;Q$1&amp;$T16, TRUE)</f>
        <v>-5</v>
      </c>
      <c r="R16" s="1064" cm="1">
        <f t="array" aca="1" ref="R16" ca="1">INDIRECT("'※ 재고 세부데이터'!"&amp;R$1&amp;$T16, TRUE)</f>
        <v>201.5</v>
      </c>
      <c r="S16" s="1066" cm="1">
        <f t="array" aca="1" ref="S16" ca="1">INDIRECT("'※ 재고 세부데이터'!"&amp;S$1&amp;$T16, TRUE)</f>
        <v>65.132500000000022</v>
      </c>
      <c r="T16" s="1012">
        <f>ROW('※ 재고 세부데이터'!J13)</f>
        <v>13</v>
      </c>
    </row>
    <row r="17" spans="1:20" x14ac:dyDescent="0.55000000000000004">
      <c r="A17" s="7328"/>
      <c r="B17" s="1067"/>
      <c r="C17" s="786" t="s">
        <v>784</v>
      </c>
      <c r="D17" s="1068" cm="1">
        <f t="array" aca="1" ref="D17" ca="1">INDIRECT("'※ 재고 세부데이터'!"&amp;D$1&amp;$T17, TRUE)</f>
        <v>5.3675538131666656</v>
      </c>
      <c r="E17" s="1069" cm="1">
        <f t="array" aca="1" ref="E17" ca="1">INDIRECT("'※ 재고 세부데이터'!"&amp;E$1&amp;$T17, TRUE)</f>
        <v>4.3862142499999992</v>
      </c>
      <c r="F17" s="1070" cm="1">
        <f t="array" aca="1" ref="F17" ca="1">INDIRECT("'※ 재고 세부데이터'!"&amp;F$1&amp;$T17, TRUE)</f>
        <v>7.9125799999999993</v>
      </c>
      <c r="G17" s="1071" cm="1">
        <f t="array" aca="1" ref="G17" ca="1">INDIRECT("'※ 재고 세부데이터'!"&amp;G$1&amp;$T17, TRUE)</f>
        <v>3.5977399999999995</v>
      </c>
      <c r="H17" s="1071" cm="1">
        <f t="array" aca="1" ref="H17" ca="1">INDIRECT("'※ 재고 세부데이터'!"&amp;H$1&amp;$T17, TRUE)</f>
        <v>0.91479999999999995</v>
      </c>
      <c r="I17" s="1071" cm="1">
        <f t="array" aca="1" ref="I17" ca="1">INDIRECT("'※ 재고 세부데이터'!"&amp;I$1&amp;$T17, TRUE)</f>
        <v>1.4083999999999999</v>
      </c>
      <c r="J17" s="1071" cm="1">
        <f t="array" aca="1" ref="J17" ca="1">INDIRECT("'※ 재고 세부데이터'!"&amp;J$1&amp;$T17, TRUE)</f>
        <v>1.1219599999999998</v>
      </c>
      <c r="K17" s="1071" cm="1">
        <f t="array" aca="1" ref="K17" ca="1">INDIRECT("'※ 재고 세부데이터'!"&amp;K$1&amp;$T17, TRUE)</f>
        <v>2.7713199999999998</v>
      </c>
      <c r="L17" s="6342" cm="1">
        <f t="array" aca="1" ref="L17" ca="1">INDIRECT("'※ 재고 세부데이터'!"&amp;L$1&amp;$T17, TRUE)</f>
        <v>4.3862142499999992</v>
      </c>
      <c r="M17" s="1071" cm="1">
        <f t="array" aca="1" ref="M17" ca="1">INDIRECT("'※ 재고 세부데이터'!"&amp;M$1&amp;$T17, TRUE)</f>
        <v>3.69</v>
      </c>
      <c r="N17" s="1071" cm="1">
        <f t="array" aca="1" ref="N17" ca="1">INDIRECT("'※ 재고 세부데이터'!"&amp;N$1&amp;$T17, TRUE)</f>
        <v>6.7840000000000007</v>
      </c>
      <c r="O17" s="1071" cm="1">
        <f t="array" aca="1" ref="O17" ca="1">INDIRECT("'※ 재고 세부데이터'!"&amp;O$1&amp;$T17, TRUE)</f>
        <v>3.1862600000000012</v>
      </c>
      <c r="P17" s="1072" cm="1">
        <f t="array" aca="1" ref="P17" ca="1">INDIRECT("'※ 재고 세부데이터'!"&amp;P$1&amp;$T17, TRUE)</f>
        <v>10.474</v>
      </c>
      <c r="Q17" s="1071" cm="1">
        <f t="array" aca="1" ref="Q17" ca="1">INDIRECT("'※ 재고 세부데이터'!"&amp;Q$1&amp;$T17, TRUE)</f>
        <v>-1.0363199999999981</v>
      </c>
      <c r="R17" s="1071" cm="1">
        <f t="array" aca="1" ref="R17" ca="1">INDIRECT("'※ 재고 세부데이터'!"&amp;R$1&amp;$T17, TRUE)</f>
        <v>5.2370000000000001</v>
      </c>
      <c r="S17" s="1073" cm="1">
        <f t="array" aca="1" ref="S17" ca="1">INDIRECT("'※ 재고 세부데이터'!"&amp;S$1&amp;$T17, TRUE)</f>
        <v>0.8507857500000009</v>
      </c>
      <c r="T17" s="1012">
        <f>ROW('※ 재고 세부데이터'!J14)</f>
        <v>14</v>
      </c>
    </row>
    <row r="18" spans="1:20" x14ac:dyDescent="0.55000000000000004">
      <c r="A18" s="7328"/>
      <c r="B18" s="1074" t="s">
        <v>257</v>
      </c>
      <c r="C18" s="1075" t="s">
        <v>785</v>
      </c>
      <c r="D18" s="1076" cm="1">
        <f t="array" aca="1" ref="D18" ca="1">INDIRECT("'※ 재고 세부데이터'!"&amp;D$1&amp;$T18, TRUE)</f>
        <v>16229.75</v>
      </c>
      <c r="E18" s="1077" cm="1">
        <f t="array" aca="1" ref="E18" ca="1">INDIRECT("'※ 재고 세부데이터'!"&amp;E$1&amp;$T18, TRUE)</f>
        <v>23144.25</v>
      </c>
      <c r="F18" s="1078" cm="1">
        <f t="array" aca="1" ref="F18" ca="1">INDIRECT("'※ 재고 세부데이터'!"&amp;F$1&amp;$T18, TRUE)</f>
        <v>28284</v>
      </c>
      <c r="G18" s="1079" cm="1">
        <f t="array" aca="1" ref="G18" ca="1">INDIRECT("'※ 재고 세부데이터'!"&amp;G$1&amp;$T18, TRUE)</f>
        <v>10167</v>
      </c>
      <c r="H18" s="1079" cm="1">
        <f t="array" aca="1" ref="H18" ca="1">INDIRECT("'※ 재고 세부데이터'!"&amp;H$1&amp;$T18, TRUE)</f>
        <v>6161</v>
      </c>
      <c r="I18" s="1079" cm="1">
        <f t="array" aca="1" ref="I18" ca="1">INDIRECT("'※ 재고 세부데이터'!"&amp;I$1&amp;$T18, TRUE)</f>
        <v>7981</v>
      </c>
      <c r="J18" s="1079" cm="1">
        <f t="array" aca="1" ref="J18" ca="1">INDIRECT("'※ 재고 세부데이터'!"&amp;J$1&amp;$T18, TRUE)</f>
        <v>7816</v>
      </c>
      <c r="K18" s="1079" cm="1">
        <f t="array" aca="1" ref="K18" ca="1">INDIRECT("'※ 재고 세부데이터'!"&amp;K$1&amp;$T18, TRUE)</f>
        <v>18188</v>
      </c>
      <c r="L18" s="6343" cm="1">
        <f t="array" aca="1" ref="L18" ca="1">INDIRECT("'※ 재고 세부데이터'!"&amp;L$1&amp;$T18, TRUE)</f>
        <v>23144.25</v>
      </c>
      <c r="M18" s="1079" cm="1">
        <f t="array" aca="1" ref="M18" ca="1">INDIRECT("'※ 재고 세부데이터'!"&amp;M$1&amp;$T18, TRUE)</f>
        <v>20763</v>
      </c>
      <c r="N18" s="1079" cm="1">
        <f t="array" aca="1" ref="N18" ca="1">INDIRECT("'※ 재고 세부데이터'!"&amp;N$1&amp;$T18, TRUE)</f>
        <v>41738</v>
      </c>
      <c r="O18" s="1079" cm="1">
        <f t="array" aca="1" ref="O18" ca="1">INDIRECT("'※ 재고 세부데이터'!"&amp;O$1&amp;$T18, TRUE)</f>
        <v>31571</v>
      </c>
      <c r="P18" s="1080" cm="1">
        <f t="array" aca="1" ref="P18" ca="1">INDIRECT("'※ 재고 세부데이터'!"&amp;P$1&amp;$T18, TRUE)</f>
        <v>62501</v>
      </c>
      <c r="Q18" s="1079" cm="1">
        <f t="array" aca="1" ref="Q18" ca="1">INDIRECT("'※ 재고 세부데이터'!"&amp;Q$1&amp;$T18, TRUE)</f>
        <v>24050</v>
      </c>
      <c r="R18" s="1079" cm="1">
        <f t="array" aca="1" ref="R18" ca="1">INDIRECT("'※ 재고 세부데이터'!"&amp;R$1&amp;$T18, TRUE)</f>
        <v>31250.5</v>
      </c>
      <c r="S18" s="1081" cm="1">
        <f t="array" aca="1" ref="S18" ca="1">INDIRECT("'※ 재고 세부데이터'!"&amp;S$1&amp;$T18, TRUE)</f>
        <v>8106.25</v>
      </c>
      <c r="T18" s="1012">
        <f>ROW('※ 재고 세부데이터'!J15)</f>
        <v>15</v>
      </c>
    </row>
    <row r="19" spans="1:20" x14ac:dyDescent="0.55000000000000004">
      <c r="A19" s="7328"/>
      <c r="B19" s="1067"/>
      <c r="C19" s="594" t="s">
        <v>786</v>
      </c>
      <c r="D19" s="1082" cm="1">
        <f t="array" aca="1" ref="D19" ca="1">INDIRECT("'※ 재고 세부데이터'!"&amp;D$1&amp;$T19, TRUE)</f>
        <v>15300.166666666666</v>
      </c>
      <c r="E19" s="1083" cm="1">
        <f t="array" aca="1" ref="E19" ca="1">INDIRECT("'※ 재고 세부데이터'!"&amp;E$1&amp;$T19, TRUE)</f>
        <v>14074.75</v>
      </c>
      <c r="F19" s="1084" cm="1">
        <f t="array" aca="1" ref="F19" ca="1">INDIRECT("'※ 재고 세부데이터'!"&amp;F$1&amp;$T19, TRUE)</f>
        <v>28558</v>
      </c>
      <c r="G19" s="1085" cm="1">
        <f t="array" aca="1" ref="G19" ca="1">INDIRECT("'※ 재고 세부데이터'!"&amp;G$1&amp;$T19, TRUE)</f>
        <v>9237</v>
      </c>
      <c r="H19" s="1085" cm="1">
        <f t="array" aca="1" ref="H19" ca="1">INDIRECT("'※ 재고 세부데이터'!"&amp;H$1&amp;$T19, TRUE)</f>
        <v>5229</v>
      </c>
      <c r="I19" s="1085" cm="1">
        <f t="array" aca="1" ref="I19" ca="1">INDIRECT("'※ 재고 세부데이터'!"&amp;I$1&amp;$T19, TRUE)</f>
        <v>7352</v>
      </c>
      <c r="J19" s="1085" cm="1">
        <f t="array" aca="1" ref="J19" ca="1">INDIRECT("'※ 재고 세부데이터'!"&amp;J$1&amp;$T19, TRUE)</f>
        <v>6441</v>
      </c>
      <c r="K19" s="1085" cm="1">
        <f t="array" aca="1" ref="K19" ca="1">INDIRECT("'※ 재고 세부데이터'!"&amp;K$1&amp;$T19, TRUE)</f>
        <v>18201</v>
      </c>
      <c r="L19" s="6344" cm="1">
        <f t="array" aca="1" ref="L19" ca="1">INDIRECT("'※ 재고 세부데이터'!"&amp;L$1&amp;$T19, TRUE)</f>
        <v>14074.75</v>
      </c>
      <c r="M19" s="1085" cm="1">
        <f t="array" aca="1" ref="M19" ca="1">INDIRECT("'※ 재고 세부데이터'!"&amp;M$1&amp;$T19, TRUE)</f>
        <v>19520</v>
      </c>
      <c r="N19" s="1085" cm="1">
        <f t="array" aca="1" ref="N19" ca="1">INDIRECT("'※ 재고 세부데이터'!"&amp;N$1&amp;$T19, TRUE)</f>
        <v>41738</v>
      </c>
      <c r="O19" s="1085" cm="1">
        <f t="array" aca="1" ref="O19" ca="1">INDIRECT("'※ 재고 세부데이터'!"&amp;O$1&amp;$T19, TRUE)</f>
        <v>32501</v>
      </c>
      <c r="P19" s="1086" cm="1">
        <f t="array" aca="1" ref="P19" ca="1">INDIRECT("'※ 재고 세부데이터'!"&amp;P$1&amp;$T19, TRUE)</f>
        <v>61258</v>
      </c>
      <c r="Q19" s="1085" cm="1">
        <f t="array" aca="1" ref="Q19" ca="1">INDIRECT("'※ 재고 세부데이터'!"&amp;Q$1&amp;$T19, TRUE)</f>
        <v>23463</v>
      </c>
      <c r="R19" s="1085" cm="1">
        <f t="array" aca="1" ref="R19" ca="1">INDIRECT("'※ 재고 세부데이터'!"&amp;R$1&amp;$T19, TRUE)</f>
        <v>30629</v>
      </c>
      <c r="S19" s="1087" cm="1">
        <f t="array" aca="1" ref="S19" ca="1">INDIRECT("'※ 재고 세부데이터'!"&amp;S$1&amp;$T19, TRUE)</f>
        <v>16554.25</v>
      </c>
      <c r="T19" s="1012">
        <f>ROW('※ 재고 세부데이터'!J16)</f>
        <v>16</v>
      </c>
    </row>
    <row r="20" spans="1:20" x14ac:dyDescent="0.55000000000000004">
      <c r="A20" s="7328"/>
      <c r="B20" s="1067"/>
      <c r="C20" s="594" t="s">
        <v>783</v>
      </c>
      <c r="D20" s="1088" cm="1">
        <f t="array" aca="1" ref="D20" ca="1">INDIRECT("'※ 재고 세부데이터'!"&amp;D$1&amp;$T20, TRUE)</f>
        <v>93.041666666666643</v>
      </c>
      <c r="E20" s="1089" cm="1">
        <f t="array" aca="1" ref="E20" ca="1">INDIRECT("'※ 재고 세부데이터'!"&amp;E$1&amp;$T20, TRUE)</f>
        <v>94.723333333333315</v>
      </c>
      <c r="F20" s="1090" cm="1">
        <f t="array" aca="1" ref="F20" ca="1">INDIRECT("'※ 재고 세부데이터'!"&amp;F$1&amp;$T20, TRUE)</f>
        <v>293.7</v>
      </c>
      <c r="G20" s="1091" cm="1">
        <f t="array" aca="1" ref="G20" ca="1">INDIRECT("'※ 재고 세부데이터'!"&amp;G$1&amp;$T20, TRUE)</f>
        <v>81.099999999999994</v>
      </c>
      <c r="H20" s="1091" cm="1">
        <f t="array" aca="1" ref="H20" ca="1">INDIRECT("'※ 재고 세부데이터'!"&amp;H$1&amp;$T20, TRUE)</f>
        <v>22</v>
      </c>
      <c r="I20" s="1091" cm="1">
        <f t="array" aca="1" ref="I20" ca="1">INDIRECT("'※ 재고 세부데이터'!"&amp;I$1&amp;$T20, TRUE)</f>
        <v>26</v>
      </c>
      <c r="J20" s="1091" cm="1">
        <f t="array" aca="1" ref="J20" ca="1">INDIRECT("'※ 재고 세부데이터'!"&amp;J$1&amp;$T20, TRUE)</f>
        <v>39.4</v>
      </c>
      <c r="K20" s="1091" cm="1">
        <f t="array" aca="1" ref="K20" ca="1">INDIRECT("'※ 재고 세부데이터'!"&amp;K$1&amp;$T20, TRUE)</f>
        <v>89.8</v>
      </c>
      <c r="L20" s="6345" cm="1">
        <f t="array" aca="1" ref="L20" ca="1">INDIRECT("'※ 재고 세부데이터'!"&amp;L$1&amp;$T20, TRUE)</f>
        <v>94.723333333333315</v>
      </c>
      <c r="M20" s="1091" cm="1">
        <f t="array" aca="1" ref="M20" ca="1">INDIRECT("'※ 재고 세부데이터'!"&amp;M$1&amp;$T20, TRUE)</f>
        <v>93.2</v>
      </c>
      <c r="N20" s="1091" cm="1">
        <f t="array" aca="1" ref="N20" ca="1">INDIRECT("'※ 재고 세부데이터'!"&amp;N$1&amp;$T20, TRUE)</f>
        <v>260</v>
      </c>
      <c r="O20" s="1091" cm="1">
        <f t="array" aca="1" ref="O20" ca="1">INDIRECT("'※ 재고 세부데이터'!"&amp;O$1&amp;$T20, TRUE)</f>
        <v>178.9</v>
      </c>
      <c r="P20" s="1065" cm="1">
        <f t="array" aca="1" ref="P20" ca="1">INDIRECT("'※ 재고 세부데이터'!"&amp;P$1&amp;$T20, TRUE)</f>
        <v>353.2</v>
      </c>
      <c r="Q20" s="1091" cm="1">
        <f t="array" aca="1" ref="Q20" ca="1">INDIRECT("'※ 재고 세부데이터'!"&amp;Q$1&amp;$T20, TRUE)</f>
        <v>-21.599999999999966</v>
      </c>
      <c r="R20" s="1091" cm="1">
        <f t="array" aca="1" ref="R20" ca="1">INDIRECT("'※ 재고 세부데이터'!"&amp;R$1&amp;$T20, TRUE)</f>
        <v>176.6</v>
      </c>
      <c r="S20" s="1092" cm="1">
        <f t="array" aca="1" ref="S20" ca="1">INDIRECT("'※ 재고 세부데이터'!"&amp;S$1&amp;$T20, TRUE)</f>
        <v>81.876666666666679</v>
      </c>
      <c r="T20" s="1012">
        <f>ROW('※ 재고 세부데이터'!J17)</f>
        <v>17</v>
      </c>
    </row>
    <row r="21" spans="1:20" x14ac:dyDescent="0.55000000000000004">
      <c r="A21" s="7328"/>
      <c r="B21" s="1093"/>
      <c r="C21" s="1094" t="s">
        <v>784</v>
      </c>
      <c r="D21" s="1095" cm="1">
        <f t="array" aca="1" ref="D21" ca="1">INDIRECT("'※ 재고 세부데이터'!"&amp;D$1&amp;$T21, TRUE)</f>
        <v>2.1316349999999997</v>
      </c>
      <c r="E21" s="1096" cm="1">
        <f t="array" aca="1" ref="E21" ca="1">INDIRECT("'※ 재고 세부데이터'!"&amp;E$1&amp;$T21, TRUE)</f>
        <v>2.2048268333333332</v>
      </c>
      <c r="F21" s="1097" cm="1">
        <f t="array" aca="1" ref="F21" ca="1">INDIRECT("'※ 재고 세부데이터'!"&amp;F$1&amp;$T21, TRUE)</f>
        <v>6.8725799999999992</v>
      </c>
      <c r="G21" s="1098" cm="1">
        <f t="array" aca="1" ref="G21" ca="1">INDIRECT("'※ 재고 세부데이터'!"&amp;G$1&amp;$T21, TRUE)</f>
        <v>1.8977399999999995</v>
      </c>
      <c r="H21" s="1098" cm="1">
        <f t="array" aca="1" ref="H21" ca="1">INDIRECT("'※ 재고 세부데이터'!"&amp;H$1&amp;$T21, TRUE)</f>
        <v>0.51479999999999992</v>
      </c>
      <c r="I21" s="1098" cm="1">
        <f t="array" aca="1" ref="I21" ca="1">INDIRECT("'※ 재고 세부데이터'!"&amp;I$1&amp;$T21, TRUE)</f>
        <v>0.60839999999999994</v>
      </c>
      <c r="J21" s="1098" cm="1">
        <f t="array" aca="1" ref="J21" ca="1">INDIRECT("'※ 재고 세부데이터'!"&amp;J$1&amp;$T21, TRUE)</f>
        <v>0.92195999999999989</v>
      </c>
      <c r="K21" s="1098" cm="1">
        <f t="array" aca="1" ref="K21" ca="1">INDIRECT("'※ 재고 세부데이터'!"&amp;K$1&amp;$T21, TRUE)</f>
        <v>2.1013199999999999</v>
      </c>
      <c r="L21" s="6346" cm="1">
        <f t="array" aca="1" ref="L21" ca="1">INDIRECT("'※ 재고 세부데이터'!"&amp;L$1&amp;$T21, TRUE)</f>
        <v>2.2048268333333332</v>
      </c>
      <c r="M21" s="1098" cm="1">
        <f t="array" aca="1" ref="M21" ca="1">INDIRECT("'※ 재고 세부데이터'!"&amp;M$1&amp;$T21, TRUE)</f>
        <v>2.09</v>
      </c>
      <c r="N21" s="1098" cm="1">
        <f t="array" aca="1" ref="N21" ca="1">INDIRECT("'※ 재고 세부데이터'!"&amp;N$1&amp;$T21, TRUE)</f>
        <v>5.8240000000000007</v>
      </c>
      <c r="O21" s="1098" cm="1">
        <f t="array" aca="1" ref="O21" ca="1">INDIRECT("'※ 재고 세부데이터'!"&amp;O$1&amp;$T21, TRUE)</f>
        <v>3.926260000000001</v>
      </c>
      <c r="P21" s="1099" cm="1">
        <f t="array" aca="1" ref="P21" ca="1">INDIRECT("'※ 재고 세부데이터'!"&amp;P$1&amp;$T21, TRUE)</f>
        <v>7.9140000000000006</v>
      </c>
      <c r="Q21" s="1098" cm="1">
        <f t="array" aca="1" ref="Q21" ca="1">INDIRECT("'※ 재고 세부데이터'!"&amp;Q$1&amp;$T21, TRUE)</f>
        <v>-0.85631999999999753</v>
      </c>
      <c r="R21" s="1098" cm="1">
        <f t="array" aca="1" ref="R21" ca="1">INDIRECT("'※ 재고 세부데이터'!"&amp;R$1&amp;$T21, TRUE)</f>
        <v>3.9570000000000003</v>
      </c>
      <c r="S21" s="1100" cm="1">
        <f t="array" aca="1" ref="S21" ca="1">INDIRECT("'※ 재고 세부데이터'!"&amp;S$1&amp;$T21, TRUE)</f>
        <v>1.7521731666666671</v>
      </c>
      <c r="T21" s="1012">
        <f>ROW('※ 재고 세부데이터'!J18)</f>
        <v>18</v>
      </c>
    </row>
    <row r="22" spans="1:20" x14ac:dyDescent="0.55000000000000004">
      <c r="A22" s="7328"/>
      <c r="B22" s="1067" t="s">
        <v>258</v>
      </c>
      <c r="C22" s="594" t="s">
        <v>787</v>
      </c>
      <c r="D22" s="1082" cm="1">
        <f t="array" aca="1" ref="D22" ca="1">INDIRECT("'※ 재고 세부데이터'!"&amp;D$1&amp;$T22, TRUE)</f>
        <v>4836.666666666667</v>
      </c>
      <c r="E22" s="1083" cm="1">
        <f t="array" aca="1" ref="E22" ca="1">INDIRECT("'※ 재고 세부데이터'!"&amp;E$1&amp;$T22, TRUE)</f>
        <v>2716.6666666666665</v>
      </c>
      <c r="F22" s="1101" cm="1">
        <f t="array" aca="1" ref="F22" ca="1">INDIRECT("'※ 재고 세부데이터'!"&amp;F$1&amp;$T22, TRUE)</f>
        <v>0</v>
      </c>
      <c r="G22" s="1102" cm="1">
        <f t="array" aca="1" ref="G22" ca="1">INDIRECT("'※ 재고 세부데이터'!"&amp;G$1&amp;$T22, TRUE)</f>
        <v>0</v>
      </c>
      <c r="H22" s="1102" cm="1">
        <f t="array" aca="1" ref="H22" ca="1">INDIRECT("'※ 재고 세부데이터'!"&amp;H$1&amp;$T22, TRUE)</f>
        <v>0</v>
      </c>
      <c r="I22" s="1102" cm="1">
        <f t="array" aca="1" ref="I22" ca="1">INDIRECT("'※ 재고 세부데이터'!"&amp;I$1&amp;$T22, TRUE)</f>
        <v>0</v>
      </c>
      <c r="J22" s="1102" cm="1">
        <f t="array" aca="1" ref="J22" ca="1">INDIRECT("'※ 재고 세부데이터'!"&amp;J$1&amp;$T22, TRUE)</f>
        <v>500</v>
      </c>
      <c r="K22" s="1102" cm="1">
        <f t="array" aca="1" ref="K22" ca="1">INDIRECT("'※ 재고 세부데이터'!"&amp;K$1&amp;$T22, TRUE)</f>
        <v>0</v>
      </c>
      <c r="L22" s="6344" cm="1">
        <f t="array" aca="1" ref="L22" ca="1">INDIRECT("'※ 재고 세부데이터'!"&amp;L$1&amp;$T22, TRUE)</f>
        <v>2716.6666666666665</v>
      </c>
      <c r="M22" s="1102" cm="1">
        <f t="array" aca="1" ref="M22" ca="1">INDIRECT("'※ 재고 세부데이터'!"&amp;M$1&amp;$T22, TRUE)</f>
        <v>0</v>
      </c>
      <c r="N22" s="1102" cm="1">
        <f t="array" aca="1" ref="N22" ca="1">INDIRECT("'※ 재고 세부데이터'!"&amp;N$1&amp;$T22, TRUE)</f>
        <v>500</v>
      </c>
      <c r="O22" s="1102" cm="1">
        <f t="array" aca="1" ref="O22" ca="1">INDIRECT("'※ 재고 세부데이터'!"&amp;O$1&amp;$T22, TRUE)</f>
        <v>500</v>
      </c>
      <c r="P22" s="1086" cm="1">
        <f t="array" aca="1" ref="P22" ca="1">INDIRECT("'※ 재고 세부데이터'!"&amp;P$1&amp;$T22, TRUE)</f>
        <v>500</v>
      </c>
      <c r="Q22" s="1085" cm="1">
        <f t="array" aca="1" ref="Q22" ca="1">INDIRECT("'※ 재고 세부데이터'!"&amp;Q$1&amp;$T22, TRUE)</f>
        <v>500</v>
      </c>
      <c r="R22" s="1085" cm="1">
        <f t="array" aca="1" ref="R22" ca="1">INDIRECT("'※ 재고 세부데이터'!"&amp;R$1&amp;$T22, TRUE)</f>
        <v>250</v>
      </c>
      <c r="S22" s="1087" cm="1">
        <f t="array" aca="1" ref="S22" ca="1">INDIRECT("'※ 재고 세부데이터'!"&amp;S$1&amp;$T22, TRUE)</f>
        <v>-2466.6666666666665</v>
      </c>
      <c r="T22" s="1012">
        <f>ROW('※ 재고 세부데이터'!J19)</f>
        <v>19</v>
      </c>
    </row>
    <row r="23" spans="1:20" x14ac:dyDescent="0.55000000000000004">
      <c r="A23" s="7328"/>
      <c r="B23" s="1067"/>
      <c r="C23" s="594" t="s">
        <v>786</v>
      </c>
      <c r="D23" s="1082" cm="1">
        <f t="array" aca="1" ref="D23" ca="1">INDIRECT("'※ 재고 세부데이터'!"&amp;D$1&amp;$T23, TRUE)</f>
        <v>5009.5</v>
      </c>
      <c r="E23" s="1083" cm="1">
        <f t="array" aca="1" ref="E23" ca="1">INDIRECT("'※ 재고 세부데이터'!"&amp;E$1&amp;$T23, TRUE)</f>
        <v>3187.5833333333335</v>
      </c>
      <c r="F23" s="1084" cm="1">
        <f t="array" aca="1" ref="F23" ca="1">INDIRECT("'※ 재고 세부데이터'!"&amp;F$1&amp;$T23, TRUE)</f>
        <v>1260</v>
      </c>
      <c r="G23" s="1085" cm="1">
        <f t="array" aca="1" ref="G23" ca="1">INDIRECT("'※ 재고 세부데이터'!"&amp;G$1&amp;$T23, TRUE)</f>
        <v>1350</v>
      </c>
      <c r="H23" s="1085" cm="1">
        <f t="array" aca="1" ref="H23" ca="1">INDIRECT("'※ 재고 세부데이터'!"&amp;H$1&amp;$T23, TRUE)</f>
        <v>358</v>
      </c>
      <c r="I23" s="1085" cm="1">
        <f t="array" aca="1" ref="I23" ca="1">INDIRECT("'※ 재고 세부데이터'!"&amp;I$1&amp;$T23, TRUE)</f>
        <v>3371</v>
      </c>
      <c r="J23" s="1085" cm="1">
        <f t="array" aca="1" ref="J23" ca="1">INDIRECT("'※ 재고 세부데이터'!"&amp;J$1&amp;$T23, TRUE)</f>
        <v>160</v>
      </c>
      <c r="K23" s="1085" cm="1">
        <f t="array" aca="1" ref="K23" ca="1">INDIRECT("'※ 재고 세부데이터'!"&amp;K$1&amp;$T23, TRUE)</f>
        <v>3160</v>
      </c>
      <c r="L23" s="6344" cm="1">
        <f t="array" aca="1" ref="L23" ca="1">INDIRECT("'※ 재고 세부데이터'!"&amp;L$1&amp;$T23, TRUE)</f>
        <v>3187.5833333333335</v>
      </c>
      <c r="M23" s="1085" cm="1">
        <f t="array" aca="1" ref="M23" ca="1">INDIRECT("'※ 재고 세부데이터'!"&amp;M$1&amp;$T23, TRUE)</f>
        <v>1679</v>
      </c>
      <c r="N23" s="1085" cm="1">
        <f t="array" aca="1" ref="N23" ca="1">INDIRECT("'※ 재고 세부데이터'!"&amp;N$1&amp;$T23, TRUE)</f>
        <v>1899</v>
      </c>
      <c r="O23" s="1085" cm="1">
        <f t="array" aca="1" ref="O23" ca="1">INDIRECT("'※ 재고 세부데이터'!"&amp;O$1&amp;$T23, TRUE)</f>
        <v>549</v>
      </c>
      <c r="P23" s="1086" cm="1">
        <f t="array" aca="1" ref="P23" ca="1">INDIRECT("'※ 재고 세부데이터'!"&amp;P$1&amp;$T23, TRUE)</f>
        <v>3578</v>
      </c>
      <c r="Q23" s="1085" cm="1">
        <f t="array" aca="1" ref="Q23" ca="1">INDIRECT("'※ 재고 세부데이터'!"&amp;Q$1&amp;$T23, TRUE)</f>
        <v>968</v>
      </c>
      <c r="R23" s="1085" cm="1">
        <f t="array" aca="1" ref="R23" ca="1">INDIRECT("'※ 재고 세부데이터'!"&amp;R$1&amp;$T23, TRUE)</f>
        <v>1789</v>
      </c>
      <c r="S23" s="1087" cm="1">
        <f t="array" aca="1" ref="S23" ca="1">INDIRECT("'※ 재고 세부데이터'!"&amp;S$1&amp;$T23, TRUE)</f>
        <v>-1398.5833333333335</v>
      </c>
      <c r="T23" s="1012">
        <f>ROW('※ 재고 세부데이터'!J20)</f>
        <v>20</v>
      </c>
    </row>
    <row r="24" spans="1:20" x14ac:dyDescent="0.55000000000000004">
      <c r="A24" s="7329"/>
      <c r="B24" s="594"/>
      <c r="C24" s="594" t="s">
        <v>783</v>
      </c>
      <c r="D24" s="1088" cm="1">
        <f t="array" aca="1" ref="D24" ca="1">INDIRECT("'※ 재고 세부데이터'!"&amp;D$1&amp;$T24, TRUE)</f>
        <v>63.227354520166664</v>
      </c>
      <c r="E24" s="1089" cm="1">
        <f t="array" aca="1" ref="E24" ca="1">INDIRECT("'※ 재고 세부데이터'!"&amp;E$1&amp;$T24, TRUE)</f>
        <v>41.644166666666663</v>
      </c>
      <c r="F24" s="1090" cm="1">
        <f t="array" aca="1" ref="F24" ca="1">INDIRECT("'※ 재고 세부데이터'!"&amp;F$1&amp;$T24, TRUE)</f>
        <v>19.600000000000001</v>
      </c>
      <c r="G24" s="1091" cm="1">
        <f t="array" aca="1" ref="G24" ca="1">INDIRECT("'※ 재고 세부데이터'!"&amp;G$1&amp;$T24, TRUE)</f>
        <v>13.6</v>
      </c>
      <c r="H24" s="1091" cm="1">
        <f t="array" aca="1" ref="H24" ca="1">INDIRECT("'※ 재고 세부데이터'!"&amp;H$1&amp;$T24, TRUE)</f>
        <v>5.69</v>
      </c>
      <c r="I24" s="1091" cm="1">
        <f t="array" aca="1" ref="I24" ca="1">INDIRECT("'※ 재고 세부데이터'!"&amp;I$1&amp;$T24, TRUE)</f>
        <v>34.4</v>
      </c>
      <c r="J24" s="1091" cm="1">
        <f t="array" aca="1" ref="J24" ca="1">INDIRECT("'※ 재고 세부데이터'!"&amp;J$1&amp;$T24, TRUE)</f>
        <v>2.6</v>
      </c>
      <c r="K24" s="1091" cm="1">
        <f t="array" aca="1" ref="K24" ca="1">INDIRECT("'※ 재고 세부데이터'!"&amp;K$1&amp;$T24, TRUE)</f>
        <v>16.600000000000001</v>
      </c>
      <c r="L24" s="6345" cm="1">
        <f t="array" aca="1" ref="L24" ca="1">INDIRECT("'※ 재고 세부데이터'!"&amp;L$1&amp;$T24, TRUE)</f>
        <v>41.644166666666663</v>
      </c>
      <c r="M24" s="1091" cm="1">
        <f t="array" aca="1" ref="M24" ca="1">INDIRECT("'※ 재고 세부데이터'!"&amp;M$1&amp;$T24, TRUE)</f>
        <v>27.2</v>
      </c>
      <c r="N24" s="1091" cm="1">
        <f t="array" aca="1" ref="N24" ca="1">INDIRECT("'※ 재고 세부데이터'!"&amp;N$1&amp;$T24, TRUE)</f>
        <v>22.6</v>
      </c>
      <c r="O24" s="1091" cm="1">
        <f t="array" aca="1" ref="O24" ca="1">INDIRECT("'※ 재고 세부데이터'!"&amp;O$1&amp;$T24, TRUE)</f>
        <v>9.0000000000000018</v>
      </c>
      <c r="P24" s="1065" cm="1">
        <f t="array" aca="1" ref="P24" ca="1">INDIRECT("'※ 재고 세부데이터'!"&amp;P$1&amp;$T24, TRUE)</f>
        <v>49.8</v>
      </c>
      <c r="Q24" s="1091" cm="1">
        <f t="array" aca="1" ref="Q24" ca="1">INDIRECT("'※ 재고 세부데이터'!"&amp;Q$1&amp;$T24, TRUE)</f>
        <v>16.599999999999994</v>
      </c>
      <c r="R24" s="1091" cm="1">
        <f t="array" aca="1" ref="R24" ca="1">INDIRECT("'※ 재고 세부데이터'!"&amp;R$1&amp;$T24, TRUE)</f>
        <v>24.9</v>
      </c>
      <c r="S24" s="1092" cm="1">
        <f t="array" aca="1" ref="S24" ca="1">INDIRECT("'※ 재고 세부데이터'!"&amp;S$1&amp;$T24, TRUE)</f>
        <v>-16.744166666666665</v>
      </c>
      <c r="T24" s="1012">
        <f>ROW('※ 재고 세부데이터'!J21)</f>
        <v>21</v>
      </c>
    </row>
    <row r="25" spans="1:20" ht="15.45" thickBot="1" x14ac:dyDescent="0.6">
      <c r="A25" s="7507"/>
      <c r="B25" s="1045"/>
      <c r="C25" s="1103" t="s">
        <v>784</v>
      </c>
      <c r="D25" s="1104" cm="1">
        <f t="array" aca="1" ref="D25" ca="1">INDIRECT("'※ 재고 세부데이터'!"&amp;D$1&amp;$T25, TRUE)</f>
        <v>3.2359188131666663</v>
      </c>
      <c r="E25" s="1105" cm="1">
        <f t="array" aca="1" ref="E25" ca="1">INDIRECT("'※ 재고 세부데이터'!"&amp;E$1&amp;$T25, TRUE)</f>
        <v>2.1797740833333337</v>
      </c>
      <c r="F25" s="1106" cm="1">
        <f t="array" aca="1" ref="F25" ca="1">INDIRECT("'※ 재고 세부데이터'!"&amp;F$1&amp;$T25, TRUE)</f>
        <v>1.04</v>
      </c>
      <c r="G25" s="1107" cm="1">
        <f t="array" aca="1" ref="G25" ca="1">INDIRECT("'※ 재고 세부데이터'!"&amp;G$1&amp;$T25, TRUE)</f>
        <v>1.7</v>
      </c>
      <c r="H25" s="1107" cm="1">
        <f t="array" aca="1" ref="H25" ca="1">INDIRECT("'※ 재고 세부데이터'!"&amp;H$1&amp;$T25, TRUE)</f>
        <v>0.4</v>
      </c>
      <c r="I25" s="1107" cm="1">
        <f t="array" aca="1" ref="I25" ca="1">INDIRECT("'※ 재고 세부데이터'!"&amp;I$1&amp;$T25, TRUE)</f>
        <v>0.8</v>
      </c>
      <c r="J25" s="1107" cm="1">
        <f t="array" aca="1" ref="J25" ca="1">INDIRECT("'※ 재고 세부데이터'!"&amp;J$1&amp;$T25, TRUE)</f>
        <v>0.2</v>
      </c>
      <c r="K25" s="1107" cm="1">
        <f t="array" aca="1" ref="K25" ca="1">INDIRECT("'※ 재고 세부데이터'!"&amp;K$1&amp;$T25, TRUE)</f>
        <v>0.67</v>
      </c>
      <c r="L25" s="6347" cm="1">
        <f t="array" aca="1" ref="L25" ca="1">INDIRECT("'※ 재고 세부데이터'!"&amp;L$1&amp;$T25, TRUE)</f>
        <v>2.1797740833333337</v>
      </c>
      <c r="M25" s="1107" cm="1">
        <f t="array" aca="1" ref="M25" ca="1">INDIRECT("'※ 재고 세부데이터'!"&amp;M$1&amp;$T25, TRUE)</f>
        <v>1.6</v>
      </c>
      <c r="N25" s="1107" cm="1">
        <f t="array" aca="1" ref="N25" ca="1">INDIRECT("'※ 재고 세부데이터'!"&amp;N$1&amp;$T25, TRUE)</f>
        <v>0.96</v>
      </c>
      <c r="O25" s="1107" cm="1">
        <f t="array" aca="1" ref="O25" ca="1">INDIRECT("'※ 재고 세부데이터'!"&amp;O$1&amp;$T25, TRUE)</f>
        <v>-0.74</v>
      </c>
      <c r="P25" s="1051" cm="1">
        <f t="array" aca="1" ref="P25" ca="1">INDIRECT("'※ 재고 세부데이터'!"&amp;P$1&amp;$T25, TRUE)</f>
        <v>2.56</v>
      </c>
      <c r="Q25" s="1107" cm="1">
        <f t="array" aca="1" ref="Q25" ca="1">INDIRECT("'※ 재고 세부데이터'!"&amp;Q$1&amp;$T25, TRUE)</f>
        <v>-0.18000000000000016</v>
      </c>
      <c r="R25" s="1107" cm="1">
        <f t="array" aca="1" ref="R25" ca="1">INDIRECT("'※ 재고 세부데이터'!"&amp;R$1&amp;$T25, TRUE)</f>
        <v>1.28</v>
      </c>
      <c r="S25" s="1108" cm="1">
        <f t="array" aca="1" ref="S25" ca="1">INDIRECT("'※ 재고 세부데이터'!"&amp;S$1&amp;$T25, TRUE)</f>
        <v>-0.89977408333333364</v>
      </c>
      <c r="T25" s="1012">
        <f>ROW('※ 재고 세부데이터'!J22)</f>
        <v>22</v>
      </c>
    </row>
    <row r="26" spans="1:20" ht="10.5" customHeight="1" thickBot="1" x14ac:dyDescent="0.6">
      <c r="A26" s="1053"/>
      <c r="B26" s="594"/>
      <c r="C26" s="594"/>
      <c r="D26" s="1054"/>
      <c r="E26" s="1055"/>
      <c r="F26" s="1056"/>
      <c r="G26" s="594"/>
      <c r="H26" s="594"/>
      <c r="I26" s="594"/>
      <c r="J26" s="594"/>
      <c r="K26" s="594"/>
      <c r="L26" s="6340"/>
      <c r="M26" s="594"/>
      <c r="N26" s="594"/>
      <c r="O26" s="1057"/>
      <c r="P26" s="1109"/>
      <c r="Q26" s="1057"/>
      <c r="R26" s="1057"/>
      <c r="S26" s="1059"/>
      <c r="T26" s="1012">
        <f>ROW('※ 재고 세부데이터'!J23)</f>
        <v>23</v>
      </c>
    </row>
    <row r="27" spans="1:20" x14ac:dyDescent="0.55000000000000004">
      <c r="A27" s="7506" t="s">
        <v>788</v>
      </c>
      <c r="B27" s="1013" t="s">
        <v>789</v>
      </c>
      <c r="C27" s="1014" t="s">
        <v>790</v>
      </c>
      <c r="D27" s="1110" cm="1">
        <f t="array" aca="1" ref="D27" ca="1">INDIRECT("'※ 재고 세부데이터'!"&amp;D$1&amp;$T27, TRUE)</f>
        <v>45782.75</v>
      </c>
      <c r="E27" s="1111" cm="1">
        <f t="array" aca="1" ref="E27" ca="1">INDIRECT("'※ 재고 세부데이터'!"&amp;E$1&amp;$T27, TRUE)</f>
        <v>53577.833333333336</v>
      </c>
      <c r="F27" s="1112" cm="1">
        <f t="array" aca="1" ref="F27" ca="1">INDIRECT("'※ 재고 세부데이터'!"&amp;F$1&amp;$T27, TRUE)</f>
        <v>33725</v>
      </c>
      <c r="G27" s="1113" cm="1">
        <f t="array" aca="1" ref="G27" ca="1">INDIRECT("'※ 재고 세부데이터'!"&amp;G$1&amp;$T27, TRUE)</f>
        <v>67573</v>
      </c>
      <c r="H27" s="1113" cm="1">
        <f t="array" aca="1" ref="H27" ca="1">INDIRECT("'※ 재고 세부데이터'!"&amp;H$1&amp;$T27, TRUE)</f>
        <v>43042</v>
      </c>
      <c r="I27" s="1113" cm="1">
        <f t="array" aca="1" ref="I27" ca="1">INDIRECT("'※ 재고 세부데이터'!"&amp;I$1&amp;$T27, TRUE)</f>
        <v>46783</v>
      </c>
      <c r="J27" s="1113" cm="1">
        <f t="array" aca="1" ref="J27" ca="1">INDIRECT("'※ 재고 세부데이터'!"&amp;J$1&amp;$T27, TRUE)</f>
        <v>63245</v>
      </c>
      <c r="K27" s="1113" cm="1">
        <f t="array" aca="1" ref="K27" ca="1">INDIRECT("'※ 재고 세부데이터'!"&amp;K$1&amp;$T27, TRUE)</f>
        <v>51217</v>
      </c>
      <c r="L27" s="6348" cm="1">
        <f t="array" aca="1" ref="L27" ca="1">INDIRECT("'※ 재고 세부데이터'!"&amp;L$1&amp;$T27, TRUE)</f>
        <v>53577.833333333336</v>
      </c>
      <c r="M27" s="1113" cm="1">
        <f t="array" aca="1" ref="M27" ca="1">INDIRECT("'※ 재고 세부데이터'!"&amp;M$1&amp;$T27, TRUE)</f>
        <v>69719</v>
      </c>
      <c r="N27" s="1113" cm="1">
        <f t="array" aca="1" ref="N27" ca="1">INDIRECT("'※ 재고 세부데이터'!"&amp;N$1&amp;$T27, TRUE)</f>
        <v>36417</v>
      </c>
      <c r="O27" s="1113" cm="1">
        <f t="array" aca="1" ref="O27" ca="1">INDIRECT("'※ 재고 세부데이터'!"&amp;O$1&amp;$T27, TRUE)</f>
        <v>-31156</v>
      </c>
      <c r="P27" s="1033" cm="1">
        <f t="array" aca="1" ref="P27" ca="1">INDIRECT("'※ 재고 세부데이터'!"&amp;P$1&amp;$T27, TRUE)</f>
        <v>106136</v>
      </c>
      <c r="Q27" s="1113" cm="1">
        <f t="array" aca="1" ref="Q27" ca="1">INDIRECT("'※ 재고 세부데이터'!"&amp;Q$1&amp;$T27, TRUE)</f>
        <v>4838</v>
      </c>
      <c r="R27" s="1113" cm="1">
        <f t="array" aca="1" ref="R27" ca="1">INDIRECT("'※ 재고 세부데이터'!"&amp;R$1&amp;$T27, TRUE)</f>
        <v>53068</v>
      </c>
      <c r="S27" s="1114" cm="1">
        <f t="array" aca="1" ref="S27" ca="1">INDIRECT("'※ 재고 세부데이터'!"&amp;S$1&amp;$T27, TRUE)</f>
        <v>-509.83333333333576</v>
      </c>
      <c r="T27" s="1012">
        <f>ROW('※ 재고 세부데이터'!J24)</f>
        <v>24</v>
      </c>
    </row>
    <row r="28" spans="1:20" x14ac:dyDescent="0.55000000000000004">
      <c r="A28" s="7328"/>
      <c r="B28" s="1067"/>
      <c r="C28" s="1115" t="s">
        <v>791</v>
      </c>
      <c r="D28" s="1082" cm="1">
        <f t="array" aca="1" ref="D28" ca="1">INDIRECT("'※ 재고 세부데이터'!"&amp;D$1&amp;$T28, TRUE)</f>
        <v>30039.25</v>
      </c>
      <c r="E28" s="1083" cm="1">
        <f t="array" aca="1" ref="E28" ca="1">INDIRECT("'※ 재고 세부데이터'!"&amp;E$1&amp;$T28, TRUE)</f>
        <v>36675.666666666664</v>
      </c>
      <c r="F28" s="1084" cm="1">
        <f t="array" aca="1" ref="F28" ca="1">INDIRECT("'※ 재고 세부데이터'!"&amp;F$1&amp;$T28, TRUE)</f>
        <v>18825</v>
      </c>
      <c r="G28" s="1085" cm="1">
        <f t="array" aca="1" ref="G28" ca="1">INDIRECT("'※ 재고 세부데이터'!"&amp;G$1&amp;$T28, TRUE)</f>
        <v>52112</v>
      </c>
      <c r="H28" s="1085" cm="1">
        <f t="array" aca="1" ref="H28" ca="1">INDIRECT("'※ 재고 세부데이터'!"&amp;H$1&amp;$T28, TRUE)</f>
        <v>29071</v>
      </c>
      <c r="I28" s="1085" cm="1">
        <f t="array" aca="1" ref="I28" ca="1">INDIRECT("'※ 재고 세부데이터'!"&amp;I$1&amp;$T28, TRUE)</f>
        <v>33608</v>
      </c>
      <c r="J28" s="1085" cm="1">
        <f t="array" aca="1" ref="J28" ca="1">INDIRECT("'※ 재고 세부데이터'!"&amp;J$1&amp;$T28, TRUE)</f>
        <v>46831</v>
      </c>
      <c r="K28" s="1085" cm="1">
        <f t="array" aca="1" ref="K28" ca="1">INDIRECT("'※ 재고 세부데이터'!"&amp;K$1&amp;$T28, TRUE)</f>
        <v>38015</v>
      </c>
      <c r="L28" s="6344" cm="1">
        <f t="array" aca="1" ref="L28" ca="1">INDIRECT("'※ 재고 세부데이터'!"&amp;L$1&amp;$T28, TRUE)</f>
        <v>36675.666666666664</v>
      </c>
      <c r="M28" s="1085" cm="1">
        <f t="array" aca="1" ref="M28" ca="1">INDIRECT("'※ 재고 세부데이터'!"&amp;M$1&amp;$T28, TRUE)</f>
        <v>47301</v>
      </c>
      <c r="N28" s="1085" cm="1">
        <f t="array" aca="1" ref="N28" ca="1">INDIRECT("'※ 재고 세부데이터'!"&amp;N$1&amp;$T28, TRUE)</f>
        <v>22856</v>
      </c>
      <c r="O28" s="1085" cm="1">
        <f t="array" aca="1" ref="O28" ca="1">INDIRECT("'※ 재고 세부데이터'!"&amp;O$1&amp;$T28, TRUE)</f>
        <v>-29256</v>
      </c>
      <c r="P28" s="1086" cm="1">
        <f t="array" aca="1" ref="P28" ca="1">INDIRECT("'※ 재고 세부데이터'!"&amp;P$1&amp;$T28, TRUE)</f>
        <v>70157</v>
      </c>
      <c r="Q28" s="1085" cm="1">
        <f t="array" aca="1" ref="Q28" ca="1">INDIRECT("'※ 재고 세부데이터'!"&amp;Q$1&amp;$T28, TRUE)</f>
        <v>-780</v>
      </c>
      <c r="R28" s="1085" cm="1">
        <f t="array" aca="1" ref="R28" ca="1">INDIRECT("'※ 재고 세부데이터'!"&amp;R$1&amp;$T28, TRUE)</f>
        <v>35078.5</v>
      </c>
      <c r="S28" s="1087" cm="1">
        <f t="array" aca="1" ref="S28" ca="1">INDIRECT("'※ 재고 세부데이터'!"&amp;S$1&amp;$T28, TRUE)</f>
        <v>-1597.1666666666642</v>
      </c>
      <c r="T28" s="1012">
        <f>ROW('※ 재고 세부데이터'!J25)</f>
        <v>25</v>
      </c>
    </row>
    <row r="29" spans="1:20" x14ac:dyDescent="0.55000000000000004">
      <c r="A29" s="7328"/>
      <c r="B29" s="1067"/>
      <c r="C29" s="594" t="s">
        <v>792</v>
      </c>
      <c r="D29" s="1082" cm="1">
        <f t="array" aca="1" ref="D29" ca="1">INDIRECT("'※ 재고 세부데이터'!"&amp;D$1&amp;$T29, TRUE)</f>
        <v>12776.5</v>
      </c>
      <c r="E29" s="1083" cm="1">
        <f t="array" aca="1" ref="E29" ca="1">INDIRECT("'※ 재고 세부데이터'!"&amp;E$1&amp;$T29, TRUE)</f>
        <v>14153.416666666666</v>
      </c>
      <c r="F29" s="1084" cm="1">
        <f t="array" aca="1" ref="F29" ca="1">INDIRECT("'※ 재고 세부데이터'!"&amp;F$1&amp;$T29, TRUE)</f>
        <v>11359</v>
      </c>
      <c r="G29" s="1085" cm="1">
        <f t="array" aca="1" ref="G29" ca="1">INDIRECT("'※ 재고 세부데이터'!"&amp;G$1&amp;$T29, TRUE)</f>
        <v>11001</v>
      </c>
      <c r="H29" s="1085" cm="1">
        <f t="array" aca="1" ref="H29" ca="1">INDIRECT("'※ 재고 세부데이터'!"&amp;H$1&amp;$T29, TRUE)</f>
        <v>10507</v>
      </c>
      <c r="I29" s="1085" cm="1">
        <f t="array" aca="1" ref="I29" ca="1">INDIRECT("'※ 재고 세부데이터'!"&amp;I$1&amp;$T29, TRUE)</f>
        <v>10969</v>
      </c>
      <c r="J29" s="1085" cm="1">
        <f t="array" aca="1" ref="J29" ca="1">INDIRECT("'※ 재고 세부데이터'!"&amp;J$1&amp;$T29, TRUE)</f>
        <v>13331</v>
      </c>
      <c r="K29" s="1085" cm="1">
        <f t="array" aca="1" ref="K29" ca="1">INDIRECT("'※ 재고 세부데이터'!"&amp;K$1&amp;$T29, TRUE)</f>
        <v>11529</v>
      </c>
      <c r="L29" s="6344" cm="1">
        <f t="array" aca="1" ref="L29" ca="1">INDIRECT("'※ 재고 세부데이터'!"&amp;L$1&amp;$T29, TRUE)</f>
        <v>14153.416666666666</v>
      </c>
      <c r="M29" s="1085" cm="1">
        <f t="array" aca="1" ref="M29" ca="1">INDIRECT("'※ 재고 세부데이터'!"&amp;M$1&amp;$T29, TRUE)</f>
        <v>20033</v>
      </c>
      <c r="N29" s="1085" cm="1">
        <f t="array" aca="1" ref="N29" ca="1">INDIRECT("'※ 재고 세부데이터'!"&amp;N$1&amp;$T29, TRUE)</f>
        <v>10975</v>
      </c>
      <c r="O29" s="1085" cm="1">
        <f t="array" aca="1" ref="O29" ca="1">INDIRECT("'※ 재고 세부데이터'!"&amp;O$1&amp;$T29, TRUE)</f>
        <v>-26</v>
      </c>
      <c r="P29" s="1086" cm="1">
        <f t="array" aca="1" ref="P29" ca="1">INDIRECT("'※ 재고 세부데이터'!"&amp;P$1&amp;$T29, TRUE)</f>
        <v>31008</v>
      </c>
      <c r="Q29" s="1085" cm="1">
        <f t="array" aca="1" ref="Q29" ca="1">INDIRECT("'※ 재고 세부데이터'!"&amp;Q$1&amp;$T29, TRUE)</f>
        <v>8648</v>
      </c>
      <c r="R29" s="1085" cm="1">
        <f t="array" aca="1" ref="R29" ca="1">INDIRECT("'※ 재고 세부데이터'!"&amp;R$1&amp;$T29, TRUE)</f>
        <v>15504</v>
      </c>
      <c r="S29" s="1087" cm="1">
        <f t="array" aca="1" ref="S29" ca="1">INDIRECT("'※ 재고 세부데이터'!"&amp;S$1&amp;$T29, TRUE)</f>
        <v>1350.5833333333339</v>
      </c>
      <c r="T29" s="1012">
        <f>ROW('※ 재고 세부데이터'!J26)</f>
        <v>26</v>
      </c>
    </row>
    <row r="30" spans="1:20" x14ac:dyDescent="0.55000000000000004">
      <c r="A30" s="7328"/>
      <c r="B30" s="1067"/>
      <c r="C30" s="594" t="s">
        <v>409</v>
      </c>
      <c r="D30" s="1082" cm="1">
        <f t="array" aca="1" ref="D30" ca="1">INDIRECT("'※ 재고 세부데이터'!"&amp;D$1&amp;$T30, TRUE)</f>
        <v>2967</v>
      </c>
      <c r="E30" s="1083" cm="1">
        <f t="array" aca="1" ref="E30" ca="1">INDIRECT("'※ 재고 세부데이터'!"&amp;E$1&amp;$T30, TRUE)</f>
        <v>2748.75</v>
      </c>
      <c r="F30" s="1084" cm="1">
        <f t="array" aca="1" ref="F30" ca="1">INDIRECT("'※ 재고 세부데이터'!"&amp;F$1&amp;$T30, TRUE)</f>
        <v>3541</v>
      </c>
      <c r="G30" s="1085" cm="1">
        <f t="array" aca="1" ref="G30" ca="1">INDIRECT("'※ 재고 세부데이터'!"&amp;G$1&amp;$T30, TRUE)</f>
        <v>4460</v>
      </c>
      <c r="H30" s="1085" cm="1">
        <f t="array" aca="1" ref="H30" ca="1">INDIRECT("'※ 재고 세부데이터'!"&amp;H$1&amp;$T30, TRUE)</f>
        <v>3464</v>
      </c>
      <c r="I30" s="1085" cm="1">
        <f t="array" aca="1" ref="I30" ca="1">INDIRECT("'※ 재고 세부데이터'!"&amp;I$1&amp;$T30, TRUE)</f>
        <v>2206</v>
      </c>
      <c r="J30" s="1085" cm="1">
        <f t="array" aca="1" ref="J30" ca="1">INDIRECT("'※ 재고 세부데이터'!"&amp;J$1&amp;$T30, TRUE)</f>
        <v>3083</v>
      </c>
      <c r="K30" s="1085" cm="1">
        <f t="array" aca="1" ref="K30" ca="1">INDIRECT("'※ 재고 세부데이터'!"&amp;K$1&amp;$T30, TRUE)</f>
        <v>1673</v>
      </c>
      <c r="L30" s="6344" cm="1">
        <f t="array" aca="1" ref="L30" ca="1">INDIRECT("'※ 재고 세부데이터'!"&amp;L$1&amp;$T30, TRUE)</f>
        <v>2748.75</v>
      </c>
      <c r="M30" s="1085" cm="1">
        <f t="array" aca="1" ref="M30" ca="1">INDIRECT("'※ 재고 세부데이터'!"&amp;M$1&amp;$T30, TRUE)</f>
        <v>2385</v>
      </c>
      <c r="N30" s="1085" cm="1">
        <f t="array" aca="1" ref="N30" ca="1">INDIRECT("'※ 재고 세부데이터'!"&amp;N$1&amp;$T30, TRUE)</f>
        <v>2586</v>
      </c>
      <c r="O30" s="1085" cm="1">
        <f t="array" aca="1" ref="O30" ca="1">INDIRECT("'※ 재고 세부데이터'!"&amp;O$1&amp;$T30, TRUE)</f>
        <v>-1874</v>
      </c>
      <c r="P30" s="1086" cm="1">
        <f t="array" aca="1" ref="P30" ca="1">INDIRECT("'※ 재고 세부데이터'!"&amp;P$1&amp;$T30, TRUE)</f>
        <v>4971</v>
      </c>
      <c r="Q30" s="1085" cm="1">
        <f t="array" aca="1" ref="Q30" ca="1">INDIRECT("'※ 재고 세부데이터'!"&amp;Q$1&amp;$T30, TRUE)</f>
        <v>-3030</v>
      </c>
      <c r="R30" s="1085" cm="1">
        <f t="array" aca="1" ref="R30" ca="1">INDIRECT("'※ 재고 세부데이터'!"&amp;R$1&amp;$T30, TRUE)</f>
        <v>2485.5</v>
      </c>
      <c r="S30" s="1087" cm="1">
        <f t="array" aca="1" ref="S30" ca="1">INDIRECT("'※ 재고 세부데이터'!"&amp;S$1&amp;$T30, TRUE)</f>
        <v>-263.25</v>
      </c>
      <c r="T30" s="1012">
        <f>ROW('※ 재고 세부데이터'!J27)</f>
        <v>27</v>
      </c>
    </row>
    <row r="31" spans="1:20" x14ac:dyDescent="0.55000000000000004">
      <c r="A31" s="7328"/>
      <c r="B31" s="1074" t="s">
        <v>793</v>
      </c>
      <c r="C31" s="1116" t="s">
        <v>790</v>
      </c>
      <c r="D31" s="1117" cm="1">
        <f t="array" aca="1" ref="D31" ca="1">INDIRECT("'※ 재고 세부데이터'!"&amp;D$1&amp;$T31, TRUE)</f>
        <v>246958.16666666666</v>
      </c>
      <c r="E31" s="1118" cm="1">
        <f t="array" aca="1" ref="E31" ca="1">INDIRECT("'※ 재고 세부데이터'!"&amp;E$1&amp;$T31, TRUE)</f>
        <v>275855.83333333331</v>
      </c>
      <c r="F31" s="1119" cm="1">
        <f t="array" aca="1" ref="F31" ca="1">INDIRECT("'※ 재고 세부데이터'!"&amp;F$1&amp;$T31, TRUE)</f>
        <v>191324</v>
      </c>
      <c r="G31" s="1120" cm="1">
        <f t="array" aca="1" ref="G31" ca="1">INDIRECT("'※ 재고 세부데이터'!"&amp;G$1&amp;$T31, TRUE)</f>
        <v>322683</v>
      </c>
      <c r="H31" s="1120" cm="1">
        <f t="array" aca="1" ref="H31" ca="1">INDIRECT("'※ 재고 세부데이터'!"&amp;H$1&amp;$T31, TRUE)</f>
        <v>236817</v>
      </c>
      <c r="I31" s="1120" cm="1">
        <f t="array" aca="1" ref="I31" ca="1">INDIRECT("'※ 재고 세부데이터'!"&amp;I$1&amp;$T31, TRUE)</f>
        <v>252716</v>
      </c>
      <c r="J31" s="1120" cm="1">
        <f t="array" aca="1" ref="J31" ca="1">INDIRECT("'※ 재고 세부데이터'!"&amp;J$1&amp;$T31, TRUE)</f>
        <v>335340</v>
      </c>
      <c r="K31" s="1120" cm="1">
        <f t="array" aca="1" ref="K31" ca="1">INDIRECT("'※ 재고 세부데이터'!"&amp;K$1&amp;$T31, TRUE)</f>
        <v>277684</v>
      </c>
      <c r="L31" s="6349" cm="1">
        <f t="array" aca="1" ref="L31" ca="1">INDIRECT("'※ 재고 세부데이터'!"&amp;L$1&amp;$T31, TRUE)</f>
        <v>275855.83333333331</v>
      </c>
      <c r="M31" s="1120" cm="1">
        <f t="array" aca="1" ref="M31" ca="1">INDIRECT("'※ 재고 세부데이터'!"&amp;M$1&amp;$T31, TRUE)</f>
        <v>329995</v>
      </c>
      <c r="N31" s="1120" cm="1">
        <f t="array" aca="1" ref="N31" ca="1">INDIRECT("'※ 재고 세부데이터'!"&amp;N$1&amp;$T31, TRUE)</f>
        <v>183728</v>
      </c>
      <c r="O31" s="1120" cm="1">
        <f t="array" aca="1" ref="O31" ca="1">INDIRECT("'※ 재고 세부데이터'!"&amp;O$1&amp;$T31, TRUE)</f>
        <v>-138955</v>
      </c>
      <c r="P31" s="1121" cm="1">
        <f t="array" aca="1" ref="P31" ca="1">INDIRECT("'※ 재고 세부데이터'!"&amp;P$1&amp;$T31, TRUE)</f>
        <v>513723</v>
      </c>
      <c r="Q31" s="1120" cm="1">
        <f t="array" aca="1" ref="Q31" ca="1">INDIRECT("'※ 재고 세부데이터'!"&amp;Q$1&amp;$T31, TRUE)</f>
        <v>-284</v>
      </c>
      <c r="R31" s="1120" cm="1">
        <f t="array" aca="1" ref="R31" ca="1">INDIRECT("'※ 재고 세부데이터'!"&amp;R$1&amp;$T31, TRUE)</f>
        <v>256861.5</v>
      </c>
      <c r="S31" s="1122" cm="1">
        <f t="array" aca="1" ref="S31" ca="1">INDIRECT("'※ 재고 세부데이터'!"&amp;S$1&amp;$T31, TRUE)</f>
        <v>-18994.333333333314</v>
      </c>
      <c r="T31" s="1012">
        <f>ROW('※ 재고 세부데이터'!J28)</f>
        <v>28</v>
      </c>
    </row>
    <row r="32" spans="1:20" x14ac:dyDescent="0.55000000000000004">
      <c r="A32" s="7328"/>
      <c r="B32" s="1067"/>
      <c r="C32" s="594" t="s">
        <v>791</v>
      </c>
      <c r="D32" s="1082" cm="1">
        <f t="array" aca="1" ref="D32" ca="1">INDIRECT("'※ 재고 세부데이터'!"&amp;D$1&amp;$T32, TRUE)</f>
        <v>179273.41666666666</v>
      </c>
      <c r="E32" s="1083" cm="1">
        <f t="array" aca="1" ref="E32" ca="1">INDIRECT("'※ 재고 세부데이터'!"&amp;E$1&amp;$T32, TRUE)</f>
        <v>204930.58333333334</v>
      </c>
      <c r="F32" s="1084" cm="1">
        <f t="array" aca="1" ref="F32" ca="1">INDIRECT("'※ 재고 세부데이터'!"&amp;F$1&amp;$T32, TRUE)</f>
        <v>125207</v>
      </c>
      <c r="G32" s="1085" cm="1">
        <f t="array" aca="1" ref="G32" ca="1">INDIRECT("'※ 재고 세부데이터'!"&amp;G$1&amp;$T32, TRUE)</f>
        <v>255630</v>
      </c>
      <c r="H32" s="1085" cm="1">
        <f t="array" aca="1" ref="H32" ca="1">INDIRECT("'※ 재고 세부데이터'!"&amp;H$1&amp;$T32, TRUE)</f>
        <v>173218</v>
      </c>
      <c r="I32" s="1085" cm="1">
        <f t="array" aca="1" ref="I32" ca="1">INDIRECT("'※ 재고 세부데이터'!"&amp;I$1&amp;$T32, TRUE)</f>
        <v>194811</v>
      </c>
      <c r="J32" s="1085" cm="1">
        <f t="array" aca="1" ref="J32" ca="1">INDIRECT("'※ 재고 세부데이터'!"&amp;J$1&amp;$T32, TRUE)</f>
        <v>262757</v>
      </c>
      <c r="K32" s="1085" cm="1">
        <f t="array" aca="1" ref="K32" ca="1">INDIRECT("'※ 재고 세부데이터'!"&amp;K$1&amp;$T32, TRUE)</f>
        <v>218670</v>
      </c>
      <c r="L32" s="6344" cm="1">
        <f t="array" aca="1" ref="L32" ca="1">INDIRECT("'※ 재고 세부데이터'!"&amp;L$1&amp;$T32, TRUE)</f>
        <v>204930.58333333334</v>
      </c>
      <c r="M32" s="1085" cm="1">
        <f t="array" aca="1" ref="M32" ca="1">INDIRECT("'※ 재고 세부데이터'!"&amp;M$1&amp;$T32, TRUE)</f>
        <v>235943</v>
      </c>
      <c r="N32" s="1085" cm="1">
        <f t="array" aca="1" ref="N32" ca="1">INDIRECT("'※ 재고 세부데이터'!"&amp;N$1&amp;$T32, TRUE)</f>
        <v>123643</v>
      </c>
      <c r="O32" s="1085" cm="1">
        <f t="array" aca="1" ref="O32" ca="1">INDIRECT("'※ 재고 세부데이터'!"&amp;O$1&amp;$T32, TRUE)</f>
        <v>-131987</v>
      </c>
      <c r="P32" s="1086" cm="1">
        <f t="array" aca="1" ref="P32" ca="1">INDIRECT("'※ 재고 세부데이터'!"&amp;P$1&amp;$T32, TRUE)</f>
        <v>359586</v>
      </c>
      <c r="Q32" s="1085" cm="1">
        <f t="array" aca="1" ref="Q32" ca="1">INDIRECT("'※ 재고 세부데이터'!"&amp;Q$1&amp;$T32, TRUE)</f>
        <v>-21251</v>
      </c>
      <c r="R32" s="1085" cm="1">
        <f t="array" aca="1" ref="R32" ca="1">INDIRECT("'※ 재고 세부데이터'!"&amp;R$1&amp;$T32, TRUE)</f>
        <v>179793</v>
      </c>
      <c r="S32" s="1087" cm="1">
        <f t="array" aca="1" ref="S32" ca="1">INDIRECT("'※ 재고 세부데이터'!"&amp;S$1&amp;$T32, TRUE)</f>
        <v>-25137.583333333343</v>
      </c>
      <c r="T32" s="1012">
        <f>ROW('※ 재고 세부데이터'!J29)</f>
        <v>29</v>
      </c>
    </row>
    <row r="33" spans="1:21" x14ac:dyDescent="0.55000000000000004">
      <c r="A33" s="7328"/>
      <c r="B33" s="1067"/>
      <c r="C33" s="594" t="s">
        <v>792</v>
      </c>
      <c r="D33" s="1082" cm="1">
        <f t="array" aca="1" ref="D33" ca="1">INDIRECT("'※ 재고 세부데이터'!"&amp;D$1&amp;$T33, TRUE)</f>
        <v>54152.083333333336</v>
      </c>
      <c r="E33" s="1083" cm="1">
        <f t="array" aca="1" ref="E33" ca="1">INDIRECT("'※ 재고 세부데이터'!"&amp;E$1&amp;$T33, TRUE)</f>
        <v>57930</v>
      </c>
      <c r="F33" s="1084" cm="1">
        <f t="array" aca="1" ref="F33" ca="1">INDIRECT("'※ 재고 세부데이터'!"&amp;F$1&amp;$T33, TRUE)</f>
        <v>51092</v>
      </c>
      <c r="G33" s="1085" cm="1">
        <f t="array" aca="1" ref="G33" ca="1">INDIRECT("'※ 재고 세부데이터'!"&amp;G$1&amp;$T33, TRUE)</f>
        <v>46633</v>
      </c>
      <c r="H33" s="1085" cm="1">
        <f t="array" aca="1" ref="H33" ca="1">INDIRECT("'※ 재고 세부데이터'!"&amp;H$1&amp;$T33, TRUE)</f>
        <v>45585</v>
      </c>
      <c r="I33" s="1085" cm="1">
        <f t="array" aca="1" ref="I33" ca="1">INDIRECT("'※ 재고 세부데이터'!"&amp;I$1&amp;$T33, TRUE)</f>
        <v>43888</v>
      </c>
      <c r="J33" s="1085" cm="1">
        <f t="array" aca="1" ref="J33" ca="1">INDIRECT("'※ 재고 세부데이터'!"&amp;J$1&amp;$T33, TRUE)</f>
        <v>57921</v>
      </c>
      <c r="K33" s="1085" cm="1">
        <f t="array" aca="1" ref="K33" ca="1">INDIRECT("'※ 재고 세부데이터'!"&amp;K$1&amp;$T33, TRUE)</f>
        <v>50853</v>
      </c>
      <c r="L33" s="6344" cm="1">
        <f t="array" aca="1" ref="L33" ca="1">INDIRECT("'※ 재고 세부데이터'!"&amp;L$1&amp;$T33, TRUE)</f>
        <v>57930</v>
      </c>
      <c r="M33" s="1085" cm="1">
        <f t="array" aca="1" ref="M33" ca="1">INDIRECT("'※ 재고 세부데이터'!"&amp;M$1&amp;$T33, TRUE)</f>
        <v>81449</v>
      </c>
      <c r="N33" s="1085" cm="1">
        <f t="array" aca="1" ref="N33" ca="1">INDIRECT("'※ 재고 세부데이터'!"&amp;N$1&amp;$T33, TRUE)</f>
        <v>43793</v>
      </c>
      <c r="O33" s="1085" cm="1">
        <f t="array" aca="1" ref="O33" ca="1">INDIRECT("'※ 재고 세부데이터'!"&amp;O$1&amp;$T33, TRUE)</f>
        <v>-2840</v>
      </c>
      <c r="P33" s="1086" cm="1">
        <f t="array" aca="1" ref="P33" ca="1">INDIRECT("'※ 재고 세부데이터'!"&amp;P$1&amp;$T33, TRUE)</f>
        <v>125242</v>
      </c>
      <c r="Q33" s="1085" cm="1">
        <f t="array" aca="1" ref="Q33" ca="1">INDIRECT("'※ 재고 세부데이터'!"&amp;Q$1&amp;$T33, TRUE)</f>
        <v>27517</v>
      </c>
      <c r="R33" s="1085" cm="1">
        <f t="array" aca="1" ref="R33" ca="1">INDIRECT("'※ 재고 세부데이터'!"&amp;R$1&amp;$T33, TRUE)</f>
        <v>62621</v>
      </c>
      <c r="S33" s="1087" cm="1">
        <f t="array" aca="1" ref="S33" ca="1">INDIRECT("'※ 재고 세부데이터'!"&amp;S$1&amp;$T33, TRUE)</f>
        <v>4691</v>
      </c>
      <c r="T33" s="1012">
        <f>ROW('※ 재고 세부데이터'!J30)</f>
        <v>30</v>
      </c>
    </row>
    <row r="34" spans="1:21" x14ac:dyDescent="0.55000000000000004">
      <c r="A34" s="7328"/>
      <c r="B34" s="1093"/>
      <c r="C34" s="594" t="s">
        <v>409</v>
      </c>
      <c r="D34" s="1082" cm="1">
        <f t="array" aca="1" ref="D34" ca="1">INDIRECT("'※ 재고 세부데이터'!"&amp;D$1&amp;$T34, TRUE)</f>
        <v>13532.666666666666</v>
      </c>
      <c r="E34" s="1083" cm="1">
        <f t="array" aca="1" ref="E34" ca="1">INDIRECT("'※ 재고 세부데이터'!"&amp;E$1&amp;$T34, TRUE)</f>
        <v>12995.25</v>
      </c>
      <c r="F34" s="1084" cm="1">
        <f t="array" aca="1" ref="F34" ca="1">INDIRECT("'※ 재고 세부데이터'!"&amp;F$1&amp;$T34, TRUE)</f>
        <v>15025</v>
      </c>
      <c r="G34" s="1085" cm="1">
        <f t="array" aca="1" ref="G34" ca="1">INDIRECT("'※ 재고 세부데이터'!"&amp;G$1&amp;$T34, TRUE)</f>
        <v>20420</v>
      </c>
      <c r="H34" s="1085" cm="1">
        <f t="array" aca="1" ref="H34" ca="1">INDIRECT("'※ 재고 세부데이터'!"&amp;H$1&amp;$T34, TRUE)</f>
        <v>18014</v>
      </c>
      <c r="I34" s="1085" cm="1">
        <f t="array" aca="1" ref="I34" ca="1">INDIRECT("'※ 재고 세부데이터'!"&amp;I$1&amp;$T34, TRUE)</f>
        <v>14017</v>
      </c>
      <c r="J34" s="1085" cm="1">
        <f t="array" aca="1" ref="J34" ca="1">INDIRECT("'※ 재고 세부데이터'!"&amp;J$1&amp;$T34, TRUE)</f>
        <v>14662</v>
      </c>
      <c r="K34" s="1085" cm="1">
        <f t="array" aca="1" ref="K34" ca="1">INDIRECT("'※ 재고 세부데이터'!"&amp;K$1&amp;$T34, TRUE)</f>
        <v>8161</v>
      </c>
      <c r="L34" s="6344" cm="1">
        <f t="array" aca="1" ref="L34" ca="1">INDIRECT("'※ 재고 세부데이터'!"&amp;L$1&amp;$T34, TRUE)</f>
        <v>12995.25</v>
      </c>
      <c r="M34" s="1085" cm="1">
        <f t="array" aca="1" ref="M34" ca="1">INDIRECT("'※ 재고 세부데이터'!"&amp;M$1&amp;$T34, TRUE)</f>
        <v>12603</v>
      </c>
      <c r="N34" s="1085" cm="1">
        <f t="array" aca="1" ref="N34" ca="1">INDIRECT("'※ 재고 세부데이터'!"&amp;N$1&amp;$T34, TRUE)</f>
        <v>16292</v>
      </c>
      <c r="O34" s="1085" cm="1">
        <f t="array" aca="1" ref="O34" ca="1">INDIRECT("'※ 재고 세부데이터'!"&amp;O$1&amp;$T34, TRUE)</f>
        <v>-4128</v>
      </c>
      <c r="P34" s="1086" cm="1">
        <f t="array" aca="1" ref="P34" ca="1">INDIRECT("'※ 재고 세부데이터'!"&amp;P$1&amp;$T34, TRUE)</f>
        <v>28895</v>
      </c>
      <c r="Q34" s="1085" cm="1">
        <f t="array" aca="1" ref="Q34" ca="1">INDIRECT("'※ 재고 세부데이터'!"&amp;Q$1&amp;$T34, TRUE)</f>
        <v>-6550</v>
      </c>
      <c r="R34" s="1085" cm="1">
        <f t="array" aca="1" ref="R34" ca="1">INDIRECT("'※ 재고 세부데이터'!"&amp;R$1&amp;$T34, TRUE)</f>
        <v>14447.5</v>
      </c>
      <c r="S34" s="1087" cm="1">
        <f t="array" aca="1" ref="S34" ca="1">INDIRECT("'※ 재고 세부데이터'!"&amp;S$1&amp;$T34, TRUE)</f>
        <v>1452.25</v>
      </c>
      <c r="T34" s="1012">
        <f>ROW('※ 재고 세부데이터'!J31)</f>
        <v>31</v>
      </c>
    </row>
    <row r="35" spans="1:21" x14ac:dyDescent="0.55000000000000004">
      <c r="A35" s="7328"/>
      <c r="B35" s="1067" t="s">
        <v>794</v>
      </c>
      <c r="C35" s="1116" t="s">
        <v>790</v>
      </c>
      <c r="D35" s="1123" cm="1">
        <f t="array" aca="1" ref="D35" ca="1">INDIRECT("'※ 재고 세부데이터'!"&amp;D$1&amp;$T35, TRUE)</f>
        <v>0.18444948639597503</v>
      </c>
      <c r="E35" s="1124" cm="1">
        <f t="array" aca="1" ref="E35" ca="1">INDIRECT("'※ 재고 세부데이터'!"&amp;E$1&amp;$T35, TRUE)</f>
        <v>0.19296867097154802</v>
      </c>
      <c r="F35" s="1125" cm="1">
        <f t="array" aca="1" ref="F35" ca="1">INDIRECT("'※ 재고 세부데이터'!"&amp;F$1&amp;$T35, TRUE)</f>
        <v>0.17627166481988668</v>
      </c>
      <c r="G35" s="1126" cm="1">
        <f t="array" aca="1" ref="G35" ca="1">INDIRECT("'※ 재고 세부데이터'!"&amp;G$1&amp;$T35, TRUE)</f>
        <v>0.20940985425324546</v>
      </c>
      <c r="H35" s="1126" cm="1">
        <f t="array" aca="1" ref="H35" ca="1">INDIRECT("'※ 재고 세부데이터'!"&amp;H$1&amp;$T35, TRUE)</f>
        <v>0.18175215461727831</v>
      </c>
      <c r="I35" s="1126" cm="1">
        <f t="array" aca="1" ref="I35" ca="1">INDIRECT("'※ 재고 세부데이터'!"&amp;I$1&amp;$T35, TRUE)</f>
        <v>0.18512084711692176</v>
      </c>
      <c r="J35" s="1126" cm="1">
        <f t="array" aca="1" ref="J35" ca="1">INDIRECT("'※ 재고 세부데이터'!"&amp;J$1&amp;$T35, TRUE)</f>
        <v>0.18859963022603923</v>
      </c>
      <c r="K35" s="1126" cm="1">
        <f t="array" aca="1" ref="K35" ca="1">INDIRECT("'※ 재고 세부데이터'!"&amp;K$1&amp;$T35, TRUE)</f>
        <v>0.18444346811483556</v>
      </c>
      <c r="L35" s="6350" cm="1">
        <f t="array" aca="1" ref="L35" ca="1">INDIRECT("'※ 재고 세부데이터'!"&amp;L$1&amp;$T35, TRUE)</f>
        <v>0.19296867097154802</v>
      </c>
      <c r="M35" s="1126" cm="1">
        <f t="array" aca="1" ref="M35" ca="1">INDIRECT("'※ 재고 세부데이터'!"&amp;M$1&amp;$T35, TRUE)</f>
        <v>0.21127289807421323</v>
      </c>
      <c r="N35" s="1126" cm="1">
        <f t="array" aca="1" ref="N35" ca="1">INDIRECT("'※ 재고 세부데이터'!"&amp;N$1&amp;$T35, TRUE)</f>
        <v>0.19821148654532789</v>
      </c>
      <c r="O35" s="1126" cm="1">
        <f t="array" aca="1" ref="O35" ca="1">INDIRECT("'※ 재고 세부데이터'!"&amp;O$1&amp;$T35, TRUE)</f>
        <v>-1.1198367707917573E-2</v>
      </c>
      <c r="P35" s="1127" cm="1">
        <f t="array" aca="1" ref="P35" ca="1">INDIRECT("'※ 재고 세부데이터'!"&amp;P$1&amp;$T35, TRUE)</f>
        <v>0.40948438461954112</v>
      </c>
      <c r="Q35" s="1126" cm="1">
        <f t="array" aca="1" ref="Q35" ca="1">INDIRECT("'※ 재고 세부데이터'!"&amp;Q$1&amp;$T35, TRUE)</f>
        <v>2.380286554640898E-2</v>
      </c>
      <c r="R35" s="1126" cm="1">
        <f t="array" aca="1" ref="R35" ca="1">INDIRECT("'※ 재고 세부데이터'!"&amp;R$1&amp;$T35, TRUE)</f>
        <v>0.20474219230977056</v>
      </c>
      <c r="S35" s="1128" cm="1">
        <f t="array" aca="1" ref="S35" ca="1">INDIRECT("'※ 재고 세부데이터'!"&amp;S$1&amp;$T35, TRUE)</f>
        <v>1.1773521338222542E-2</v>
      </c>
      <c r="T35" s="1012">
        <f>ROW('※ 재고 세부데이터'!J32)</f>
        <v>32</v>
      </c>
    </row>
    <row r="36" spans="1:21" x14ac:dyDescent="0.55000000000000004">
      <c r="A36" s="7328"/>
      <c r="B36" s="1067"/>
      <c r="C36" s="594" t="s">
        <v>791</v>
      </c>
      <c r="D36" s="1129" cm="1">
        <f t="array" aca="1" ref="D36" ca="1">INDIRECT("'※ 재고 세부데이터'!"&amp;D$1&amp;$T36, TRUE)</f>
        <v>0.16647218871181005</v>
      </c>
      <c r="E36" s="1130" cm="1">
        <f t="array" aca="1" ref="E36" ca="1">INDIRECT("'※ 재고 세부데이터'!"&amp;E$1&amp;$T36, TRUE)</f>
        <v>0.17642976926354512</v>
      </c>
      <c r="F36" s="1131" cm="1">
        <f t="array" aca="1" ref="F36" ca="1">INDIRECT("'※ 재고 세부데이터'!"&amp;F$1&amp;$T36, TRUE)</f>
        <v>0.15035101871301126</v>
      </c>
      <c r="G36" s="1132" cm="1">
        <f t="array" aca="1" ref="G36" ca="1">INDIRECT("'※ 재고 세부데이터'!"&amp;G$1&amp;$T36, TRUE)</f>
        <v>0.20385713726870869</v>
      </c>
      <c r="H36" s="1132" cm="1">
        <f t="array" aca="1" ref="H36" ca="1">INDIRECT("'※ 재고 세부데이터'!"&amp;H$1&amp;$T36, TRUE)</f>
        <v>0.16782897851262571</v>
      </c>
      <c r="I36" s="1132" cm="1">
        <f t="array" aca="1" ref="I36" ca="1">INDIRECT("'※ 재고 세부데이터'!"&amp;I$1&amp;$T36, TRUE)</f>
        <v>0.17251592569208105</v>
      </c>
      <c r="J36" s="1132" cm="1">
        <f t="array" aca="1" ref="J36" ca="1">INDIRECT("'※ 재고 세부데이터'!"&amp;J$1&amp;$T36, TRUE)</f>
        <v>0.17822931453776683</v>
      </c>
      <c r="K36" s="1132" cm="1">
        <f t="array" aca="1" ref="K36" ca="1">INDIRECT("'※ 재고 세부데이터'!"&amp;K$1&amp;$T36, TRUE)</f>
        <v>0.17384643526775506</v>
      </c>
      <c r="L36" s="6351" cm="1">
        <f t="array" aca="1" ref="L36" ca="1">INDIRECT("'※ 재고 세부데이터'!"&amp;L$1&amp;$T36, TRUE)</f>
        <v>0.17642976926354512</v>
      </c>
      <c r="M36" s="1132" cm="1">
        <f t="array" aca="1" ref="M36" ca="1">INDIRECT("'※ 재고 세부데이터'!"&amp;M$1&amp;$T36, TRUE)</f>
        <v>0.20047638624583056</v>
      </c>
      <c r="N36" s="1132" cm="1">
        <f t="array" aca="1" ref="N36" ca="1">INDIRECT("'※ 재고 세부데이터'!"&amp;N$1&amp;$T36, TRUE)</f>
        <v>0.1848547835300017</v>
      </c>
      <c r="O36" s="1132" cm="1">
        <f t="array" aca="1" ref="O36" ca="1">INDIRECT("'※ 재고 세부데이터'!"&amp;O$1&amp;$T36, TRUE)</f>
        <v>-1.9002353738706984E-2</v>
      </c>
      <c r="P36" s="1133" cm="1">
        <f t="array" aca="1" ref="P36" ca="1">INDIRECT("'※ 재고 세부데이터'!"&amp;P$1&amp;$T36, TRUE)</f>
        <v>0.38533116977583226</v>
      </c>
      <c r="Q36" s="1132" cm="1">
        <f t="array" aca="1" ref="Q36" ca="1">INDIRECT("'※ 재고 세부데이터'!"&amp;Q$1&amp;$T36, TRUE)</f>
        <v>3.1123013794112309E-2</v>
      </c>
      <c r="R36" s="1132" cm="1">
        <f t="array" aca="1" ref="R36" ca="1">INDIRECT("'※ 재고 세부데이터'!"&amp;R$1&amp;$T36, TRUE)</f>
        <v>0.19266558488791613</v>
      </c>
      <c r="S36" s="1134" cm="1">
        <f t="array" aca="1" ref="S36" ca="1">INDIRECT("'※ 재고 세부데이터'!"&amp;S$1&amp;$T36, TRUE)</f>
        <v>1.6235815624371014E-2</v>
      </c>
      <c r="T36" s="1012">
        <f>ROW('※ 재고 세부데이터'!J33)</f>
        <v>33</v>
      </c>
    </row>
    <row r="37" spans="1:21" x14ac:dyDescent="0.55000000000000004">
      <c r="A37" s="7329"/>
      <c r="B37" s="594"/>
      <c r="C37" s="594" t="s">
        <v>792</v>
      </c>
      <c r="D37" s="1129" cm="1">
        <f t="array" aca="1" ref="D37" ca="1">INDIRECT("'※ 재고 세부데이터'!"&amp;D$1&amp;$T37, TRUE)</f>
        <v>0.22281544660194261</v>
      </c>
      <c r="E37" s="1130" cm="1">
        <f t="array" aca="1" ref="E37" ca="1">INDIRECT("'※ 재고 세부데이터'!"&amp;E$1&amp;$T37, TRUE)</f>
        <v>0.23700140949747439</v>
      </c>
      <c r="F37" s="1131" cm="1">
        <f t="array" aca="1" ref="F37" ca="1">INDIRECT("'※ 재고 세부데이터'!"&amp;F$1&amp;$T37, TRUE)</f>
        <v>0.22232443435371488</v>
      </c>
      <c r="G37" s="1132" cm="1">
        <f t="array" aca="1" ref="G37" ca="1">INDIRECT("'※ 재고 세부데이터'!"&amp;G$1&amp;$T37, TRUE)</f>
        <v>0.23590590354470012</v>
      </c>
      <c r="H37" s="1132" cm="1">
        <f t="array" aca="1" ref="H37" ca="1">INDIRECT("'※ 재고 세부데이터'!"&amp;H$1&amp;$T37, TRUE)</f>
        <v>0.23049248656356258</v>
      </c>
      <c r="I37" s="1132" cm="1">
        <f t="array" aca="1" ref="I37" ca="1">INDIRECT("'※ 재고 세부데이터'!"&amp;I$1&amp;$T37, TRUE)</f>
        <v>0.2499316441851987</v>
      </c>
      <c r="J37" s="1132" cm="1">
        <f t="array" aca="1" ref="J37" ca="1">INDIRECT("'※ 재고 세부데이터'!"&amp;J$1&amp;$T37, TRUE)</f>
        <v>0.23015831908979473</v>
      </c>
      <c r="K37" s="1132" cm="1">
        <f t="array" aca="1" ref="K37" ca="1">INDIRECT("'※ 재고 세부데이터'!"&amp;K$1&amp;$T37, TRUE)</f>
        <v>0.2267122883605687</v>
      </c>
      <c r="L37" s="6351" cm="1">
        <f t="array" aca="1" ref="L37" ca="1">INDIRECT("'※ 재고 세부데이터'!"&amp;L$1&amp;$T37, TRUE)</f>
        <v>0.23700140949747439</v>
      </c>
      <c r="M37" s="1132" cm="1">
        <f t="array" aca="1" ref="M37" ca="1">INDIRECT("'※ 재고 세부데이터'!"&amp;M$1&amp;$T37, TRUE)</f>
        <v>0.24595759309506562</v>
      </c>
      <c r="N37" s="1132" cm="1">
        <f t="array" aca="1" ref="N37" ca="1">INDIRECT("'※ 재고 세부데이터'!"&amp;N$1&amp;$T37, TRUE)</f>
        <v>0.25061082821455483</v>
      </c>
      <c r="O37" s="1132" cm="1">
        <f t="array" aca="1" ref="O37" ca="1">INDIRECT("'※ 재고 세부데이터'!"&amp;O$1&amp;$T37, TRUE)</f>
        <v>1.4704924669854708E-2</v>
      </c>
      <c r="P37" s="1133" cm="1">
        <f t="array" aca="1" ref="P37" ca="1">INDIRECT("'※ 재고 세부데이터'!"&amp;P$1&amp;$T37, TRUE)</f>
        <v>0.49656842130962042</v>
      </c>
      <c r="Q37" s="1132" cm="1">
        <f t="array" aca="1" ref="Q37" ca="1">INDIRECT("'※ 재고 세부데이터'!"&amp;Q$1&amp;$T37, TRUE)</f>
        <v>3.8338083411205426E-2</v>
      </c>
      <c r="R37" s="1132" cm="1">
        <f t="array" aca="1" ref="R37" ca="1">INDIRECT("'※ 재고 세부데이터'!"&amp;R$1&amp;$T37, TRUE)</f>
        <v>0.24828421065481021</v>
      </c>
      <c r="S37" s="1134" cm="1">
        <f t="array" aca="1" ref="S37" ca="1">INDIRECT("'※ 재고 세부데이터'!"&amp;S$1&amp;$T37, TRUE)</f>
        <v>1.128280115733582E-2</v>
      </c>
      <c r="T37" s="1012">
        <f>ROW('※ 재고 세부데이터'!J34)</f>
        <v>34</v>
      </c>
    </row>
    <row r="38" spans="1:21" ht="15.45" thickBot="1" x14ac:dyDescent="0.6">
      <c r="A38" s="7507"/>
      <c r="B38" s="1045"/>
      <c r="C38" s="1045" t="s">
        <v>409</v>
      </c>
      <c r="D38" s="1135" cm="1">
        <f t="array" aca="1" ref="D38" ca="1">INDIRECT("'※ 재고 세부데이터'!"&amp;D$1&amp;$T38, TRUE)</f>
        <v>0.22204483649849829</v>
      </c>
      <c r="E38" s="1136" cm="1">
        <f t="array" aca="1" ref="E38" ca="1">INDIRECT("'※ 재고 세부데이터'!"&amp;E$1&amp;$T38, TRUE)</f>
        <v>0.20983518874209306</v>
      </c>
      <c r="F38" s="1137" cm="1">
        <f t="array" aca="1" ref="F38" ca="1">INDIRECT("'※ 재고 세부데이터'!"&amp;F$1&amp;$T38, TRUE)</f>
        <v>0.23567387687188021</v>
      </c>
      <c r="G38" s="1138" cm="1">
        <f t="array" aca="1" ref="G38" ca="1">INDIRECT("'※ 재고 세부데이터'!"&amp;G$1&amp;$T38, TRUE)</f>
        <v>0.21841332027424093</v>
      </c>
      <c r="H38" s="1138" cm="1">
        <f t="array" aca="1" ref="H38" ca="1">INDIRECT("'※ 재고 세부데이터'!"&amp;H$1&amp;$T38, TRUE)</f>
        <v>0.19229488175863219</v>
      </c>
      <c r="I38" s="1138" cm="1">
        <f t="array" aca="1" ref="I38" ca="1">INDIRECT("'※ 재고 세부데이터'!"&amp;I$1&amp;$T38, TRUE)</f>
        <v>0.15738032389241635</v>
      </c>
      <c r="J38" s="1138" cm="1">
        <f t="array" aca="1" ref="J38" ca="1">INDIRECT("'※ 재고 세부데이터'!"&amp;J$1&amp;$T38, TRUE)</f>
        <v>0.21027145000682035</v>
      </c>
      <c r="K38" s="1138" cm="1">
        <f t="array" aca="1" ref="K38" ca="1">INDIRECT("'※ 재고 세부데이터'!"&amp;K$1&amp;$T38, TRUE)</f>
        <v>0.20499938732998407</v>
      </c>
      <c r="L38" s="6352" cm="1">
        <f t="array" aca="1" ref="L38" ca="1">INDIRECT("'※ 재고 세부데이터'!"&amp;L$1&amp;$T38, TRUE)</f>
        <v>0.20983518874209306</v>
      </c>
      <c r="M38" s="1138" cm="1">
        <f t="array" aca="1" ref="M38" ca="1">INDIRECT("'※ 재고 세부데이터'!"&amp;M$1&amp;$T38, TRUE)</f>
        <v>0.1892406569864318</v>
      </c>
      <c r="N38" s="1138" cm="1">
        <f t="array" aca="1" ref="N38" ca="1">INDIRECT("'※ 재고 세부데이터'!"&amp;N$1&amp;$T38, TRUE)</f>
        <v>0.15872821016449792</v>
      </c>
      <c r="O38" s="1139" t="s">
        <v>462</v>
      </c>
      <c r="P38" s="1140" cm="1">
        <f t="array" aca="1" ref="P38" ca="1">INDIRECT("'※ 재고 세부데이터'!"&amp;P$1&amp;$T38, TRUE)</f>
        <v>0.34796886715092973</v>
      </c>
      <c r="Q38" s="1139" t="s">
        <v>462</v>
      </c>
      <c r="R38" s="1138" cm="1">
        <f t="array" aca="1" ref="R38" ca="1">INDIRECT("'※ 재고 세부데이터'!"&amp;R$1&amp;$T38, TRUE)</f>
        <v>0.17398443357546486</v>
      </c>
      <c r="S38" s="1141" t="s">
        <v>462</v>
      </c>
      <c r="T38" s="1012">
        <f>ROW('※ 재고 세부데이터'!J35)</f>
        <v>35</v>
      </c>
    </row>
    <row r="39" spans="1:21" ht="10.5" customHeight="1" thickBot="1" x14ac:dyDescent="0.6">
      <c r="A39" s="1053"/>
      <c r="B39" s="594"/>
      <c r="C39" s="594"/>
      <c r="D39" s="1054"/>
      <c r="E39" s="1055"/>
      <c r="F39" s="1056"/>
      <c r="G39" s="594"/>
      <c r="H39" s="594"/>
      <c r="I39" s="594"/>
      <c r="J39" s="594"/>
      <c r="K39" s="594"/>
      <c r="L39" s="6340"/>
      <c r="M39" s="594"/>
      <c r="N39" s="594"/>
      <c r="O39" s="1057"/>
      <c r="P39" s="1109"/>
      <c r="Q39" s="1057"/>
      <c r="R39" s="1057"/>
      <c r="S39" s="1059"/>
      <c r="T39" s="1012">
        <f>ROW('※ 재고 세부데이터'!J36)</f>
        <v>36</v>
      </c>
    </row>
    <row r="40" spans="1:21" x14ac:dyDescent="0.55000000000000004">
      <c r="A40" s="7505" t="s">
        <v>874</v>
      </c>
      <c r="B40" s="1013" t="s">
        <v>796</v>
      </c>
      <c r="C40" s="1142" t="s">
        <v>797</v>
      </c>
      <c r="D40" s="1143" cm="1">
        <f t="array" aca="1" ref="D40" ca="1">INDIRECT("'※ 재고 세부데이터'!"&amp;D$1&amp;$T40, TRUE)</f>
        <v>1312.9166666666667</v>
      </c>
      <c r="E40" s="1144" cm="1">
        <f t="array" aca="1" ref="E40" ca="1">INDIRECT("'※ 재고 세부데이터'!"&amp;E$1&amp;$T40, TRUE)</f>
        <v>68.166666666666671</v>
      </c>
      <c r="F40" s="1145" cm="1">
        <f t="array" aca="1" ref="F40" ca="1">INDIRECT("'※ 재고 세부데이터'!"&amp;F$1&amp;$T40, TRUE)</f>
        <v>818</v>
      </c>
      <c r="G40" s="1146" cm="1">
        <f t="array" aca="1" ref="G40" ca="1">INDIRECT("'※ 재고 세부데이터'!"&amp;G$1&amp;$T40, TRUE)</f>
        <v>0</v>
      </c>
      <c r="H40" s="1146" cm="1">
        <f t="array" aca="1" ref="H40" ca="1">INDIRECT("'※ 재고 세부데이터'!"&amp;H$1&amp;$T40, TRUE)</f>
        <v>0</v>
      </c>
      <c r="I40" s="1146" cm="1">
        <f t="array" aca="1" ref="I40" ca="1">INDIRECT("'※ 재고 세부데이터'!"&amp;I$1&amp;$T40, TRUE)</f>
        <v>0</v>
      </c>
      <c r="J40" s="1146" cm="1">
        <f t="array" aca="1" ref="J40" ca="1">INDIRECT("'※ 재고 세부데이터'!"&amp;J$1&amp;$T40, TRUE)</f>
        <v>0</v>
      </c>
      <c r="K40" s="1146" cm="1">
        <f t="array" aca="1" ref="K40" ca="1">INDIRECT("'※ 재고 세부데이터'!"&amp;K$1&amp;$T40, TRUE)</f>
        <v>0</v>
      </c>
      <c r="L40" s="6353" cm="1">
        <f t="array" aca="1" ref="L40" ca="1">INDIRECT("'※ 재고 세부데이터'!"&amp;L$1&amp;$T40, TRUE)</f>
        <v>68.166666666666671</v>
      </c>
      <c r="M40" s="1146" cm="1">
        <f t="array" aca="1" ref="M40" ca="1">INDIRECT("'※ 재고 세부데이터'!"&amp;M$1&amp;$T40, TRUE)</f>
        <v>4190</v>
      </c>
      <c r="N40" s="1146" cm="1">
        <f t="array" aca="1" ref="N40" ca="1">INDIRECT("'※ 재고 세부데이터'!"&amp;N$1&amp;$T40, TRUE)</f>
        <v>430</v>
      </c>
      <c r="O40" s="1146" cm="1">
        <f t="array" aca="1" ref="O40" ca="1">INDIRECT("'※ 재고 세부데이터'!"&amp;O$1&amp;$T40, TRUE)</f>
        <v>430</v>
      </c>
      <c r="P40" s="1086" cm="1">
        <f t="array" aca="1" ref="P40" ca="1">INDIRECT("'※ 재고 세부데이터'!"&amp;P$1&amp;$T40, TRUE)</f>
        <v>4620</v>
      </c>
      <c r="Q40" s="1146" cm="1">
        <f t="array" aca="1" ref="Q40" ca="1">INDIRECT("'※ 재고 세부데이터'!"&amp;Q$1&amp;$T40, TRUE)</f>
        <v>3802</v>
      </c>
      <c r="R40" s="1146" cm="1">
        <f t="array" aca="1" ref="R40" ca="1">INDIRECT("'※ 재고 세부데이터'!"&amp;R$1&amp;$T40, TRUE)</f>
        <v>2310</v>
      </c>
      <c r="S40" s="1147" cm="1">
        <f t="array" aca="1" ref="S40" ca="1">INDIRECT("'※ 재고 세부데이터'!"&amp;S$1&amp;$T40, TRUE)</f>
        <v>2241.8333333333335</v>
      </c>
      <c r="T40" s="1012">
        <f>ROW('※ 재고 세부데이터'!J37)</f>
        <v>37</v>
      </c>
    </row>
    <row r="41" spans="1:21" ht="15.45" thickBot="1" x14ac:dyDescent="0.6">
      <c r="A41" s="7434"/>
      <c r="B41" s="1148"/>
      <c r="C41" s="1046" t="s">
        <v>798</v>
      </c>
      <c r="D41" s="1047" cm="1">
        <f t="array" aca="1" ref="D41" ca="1">INDIRECT("'※ 재고 세부데이터'!"&amp;D$1&amp;$T41, TRUE)</f>
        <v>0.37707132856060571</v>
      </c>
      <c r="E41" s="1048" cm="1">
        <f t="array" aca="1" ref="E41" ca="1">INDIRECT("'※ 재고 세부데이터'!"&amp;E$1&amp;$T41, TRUE)</f>
        <v>3.6822525151515142E-2</v>
      </c>
      <c r="F41" s="1049" cm="1">
        <f t="array" aca="1" ref="F41" ca="1">INDIRECT("'※ 재고 세부데이터'!"&amp;F$1&amp;$T41, TRUE)</f>
        <v>0.44187030181818171</v>
      </c>
      <c r="G41" s="1050" cm="1">
        <f t="array" aca="1" ref="G41" ca="1">INDIRECT("'※ 재고 세부데이터'!"&amp;G$1&amp;$T41, TRUE)</f>
        <v>0</v>
      </c>
      <c r="H41" s="1050" cm="1">
        <f t="array" aca="1" ref="H41" ca="1">INDIRECT("'※ 재고 세부데이터'!"&amp;H$1&amp;$T41, TRUE)</f>
        <v>0</v>
      </c>
      <c r="I41" s="1050" cm="1">
        <f t="array" aca="1" ref="I41" ca="1">INDIRECT("'※ 재고 세부데이터'!"&amp;I$1&amp;$T41, TRUE)</f>
        <v>0</v>
      </c>
      <c r="J41" s="1050" cm="1">
        <f t="array" aca="1" ref="J41" ca="1">INDIRECT("'※ 재고 세부데이터'!"&amp;J$1&amp;$T41, TRUE)</f>
        <v>0</v>
      </c>
      <c r="K41" s="1050" cm="1">
        <f t="array" aca="1" ref="K41" ca="1">INDIRECT("'※ 재고 세부데이터'!"&amp;K$1&amp;$T41, TRUE)</f>
        <v>0</v>
      </c>
      <c r="L41" s="6339" cm="1">
        <f t="array" aca="1" ref="L41" ca="1">INDIRECT("'※ 재고 세부데이터'!"&amp;L$1&amp;$T41, TRUE)</f>
        <v>3.6822525151515142E-2</v>
      </c>
      <c r="M41" s="1050" cm="1">
        <f t="array" aca="1" ref="M41" ca="1">INDIRECT("'※ 재고 세부데이터'!"&amp;M$1&amp;$T41, TRUE)</f>
        <v>1.77</v>
      </c>
      <c r="N41" s="1050" cm="1">
        <f t="array" aca="1" ref="N41" ca="1">INDIRECT("'※ 재고 세부데이터'!"&amp;N$1&amp;$T41, TRUE)</f>
        <v>0.14000000000000001</v>
      </c>
      <c r="O41" s="1050" cm="1">
        <f t="array" aca="1" ref="O41" ca="1">INDIRECT("'※ 재고 세부데이터'!"&amp;O$1&amp;$T41, TRUE)</f>
        <v>0.14000000000000001</v>
      </c>
      <c r="P41" s="1051" cm="1">
        <f t="array" aca="1" ref="P41" ca="1">INDIRECT("'※ 재고 세부데이터'!"&amp;P$1&amp;$T41, TRUE)</f>
        <v>1.9100000000000001</v>
      </c>
      <c r="Q41" s="1050" cm="1">
        <f t="array" aca="1" ref="Q41" ca="1">INDIRECT("'※ 재고 세부데이터'!"&amp;Q$1&amp;$T41, TRUE)</f>
        <v>1.4681296981818184</v>
      </c>
      <c r="R41" s="1050" cm="1">
        <f t="array" aca="1" ref="R41" ca="1">INDIRECT("'※ 재고 세부데이터'!"&amp;R$1&amp;$T41, TRUE)</f>
        <v>0.95500000000000007</v>
      </c>
      <c r="S41" s="1052" cm="1">
        <f t="array" aca="1" ref="S41" ca="1">INDIRECT("'※ 재고 세부데이터'!"&amp;S$1&amp;$T41, TRUE)</f>
        <v>0.91817747484848489</v>
      </c>
      <c r="T41" s="1012">
        <f>ROW('※ 재고 세부데이터'!J38)</f>
        <v>38</v>
      </c>
    </row>
    <row r="42" spans="1:21" ht="16.5" customHeight="1" x14ac:dyDescent="0.55000000000000004">
      <c r="F42" s="559"/>
      <c r="G42" s="559"/>
      <c r="H42" s="559"/>
      <c r="I42" s="559"/>
      <c r="J42" s="559"/>
      <c r="K42" s="559"/>
      <c r="M42" s="559"/>
      <c r="N42" s="559"/>
    </row>
    <row r="45" spans="1:21" x14ac:dyDescent="0.55000000000000004">
      <c r="B45" s="1149"/>
      <c r="C45" s="1149"/>
      <c r="D45" s="1149"/>
      <c r="E45" s="1149"/>
      <c r="F45" s="1149"/>
      <c r="G45" s="1149"/>
      <c r="H45" s="1149"/>
      <c r="I45" s="1149"/>
      <c r="J45" s="1149"/>
      <c r="K45" s="1149"/>
      <c r="L45" s="1149"/>
      <c r="M45" s="1149"/>
      <c r="N45" s="1149"/>
      <c r="O45" s="1149"/>
      <c r="P45" s="1149"/>
      <c r="Q45" s="1149"/>
      <c r="R45" s="1149"/>
      <c r="S45" s="1149"/>
      <c r="T45" s="1149"/>
      <c r="U45" s="1149"/>
    </row>
    <row r="46" spans="1:21" x14ac:dyDescent="0.55000000000000004">
      <c r="B46" s="1149"/>
      <c r="C46" s="1149"/>
      <c r="D46" s="1149"/>
      <c r="E46" s="1149"/>
      <c r="F46" s="1149"/>
      <c r="G46" s="1149"/>
      <c r="H46" s="1149"/>
      <c r="I46" s="1149"/>
      <c r="J46" s="1149"/>
      <c r="K46" s="1149"/>
      <c r="L46" s="1149"/>
      <c r="M46" s="1149"/>
      <c r="N46" s="1149"/>
      <c r="O46" s="1149"/>
      <c r="P46" s="1149"/>
      <c r="Q46" s="1149"/>
      <c r="R46" s="1149"/>
      <c r="S46" s="1149"/>
      <c r="T46" s="1149"/>
      <c r="U46" s="1149"/>
    </row>
    <row r="47" spans="1:21" x14ac:dyDescent="0.55000000000000004">
      <c r="B47" s="1149"/>
      <c r="C47" s="1149"/>
      <c r="D47" s="1149"/>
      <c r="E47" s="1149"/>
      <c r="F47" s="1149"/>
      <c r="G47" s="1149"/>
      <c r="H47" s="1149"/>
      <c r="I47" s="1149"/>
      <c r="J47" s="1149"/>
      <c r="K47" s="1149"/>
      <c r="L47" s="1149"/>
      <c r="M47" s="1149"/>
      <c r="N47" s="1149"/>
      <c r="O47" s="1149"/>
      <c r="P47" s="1149"/>
      <c r="Q47" s="1149"/>
      <c r="R47" s="1149"/>
      <c r="S47" s="1149"/>
      <c r="T47" s="1149"/>
      <c r="U47" s="1149"/>
    </row>
    <row r="48" spans="1:21" x14ac:dyDescent="0.55000000000000004">
      <c r="B48" s="1149"/>
      <c r="C48" s="1149"/>
      <c r="D48" s="1149"/>
      <c r="E48" s="1149"/>
      <c r="F48" s="1149"/>
      <c r="G48" s="1149"/>
      <c r="H48" s="1149"/>
      <c r="I48" s="1149"/>
      <c r="J48" s="1149"/>
      <c r="K48" s="1149"/>
      <c r="L48" s="1149"/>
      <c r="M48" s="1149"/>
      <c r="N48" s="1149"/>
      <c r="O48" s="1149"/>
      <c r="P48" s="1149"/>
      <c r="Q48" s="1149"/>
      <c r="R48" s="1149"/>
      <c r="S48" s="1149"/>
      <c r="T48" s="1149"/>
      <c r="U48" s="1149"/>
    </row>
    <row r="49" spans="2:21" x14ac:dyDescent="0.55000000000000004">
      <c r="B49" s="1149"/>
      <c r="C49" s="1149"/>
      <c r="D49" s="1149"/>
      <c r="E49" s="1149"/>
      <c r="F49" s="1149"/>
      <c r="G49" s="1149"/>
      <c r="H49" s="1149"/>
      <c r="I49" s="1149"/>
      <c r="J49" s="1149"/>
      <c r="K49" s="1149"/>
      <c r="L49" s="1149"/>
      <c r="M49" s="1149"/>
      <c r="N49" s="1149"/>
      <c r="O49" s="1149"/>
      <c r="P49" s="1149"/>
      <c r="Q49" s="1149"/>
      <c r="R49" s="1149"/>
      <c r="S49" s="1149"/>
      <c r="T49" s="1149"/>
      <c r="U49" s="1149"/>
    </row>
    <row r="50" spans="2:21" x14ac:dyDescent="0.55000000000000004">
      <c r="B50" s="1149"/>
      <c r="C50" s="1149"/>
      <c r="D50" s="1149"/>
      <c r="E50" s="1149"/>
      <c r="F50" s="1149"/>
      <c r="G50" s="1149"/>
      <c r="H50" s="1149"/>
      <c r="I50" s="1149"/>
      <c r="J50" s="1149"/>
      <c r="K50" s="1149"/>
      <c r="L50" s="1149"/>
      <c r="M50" s="1149"/>
      <c r="N50" s="1149"/>
      <c r="O50" s="1149"/>
      <c r="P50" s="1149"/>
      <c r="Q50" s="1149"/>
      <c r="R50" s="1149"/>
      <c r="S50" s="1149"/>
      <c r="T50" s="1149"/>
      <c r="U50" s="1149"/>
    </row>
    <row r="51" spans="2:21" x14ac:dyDescent="0.55000000000000004">
      <c r="B51" s="1149"/>
      <c r="C51" s="1149"/>
      <c r="D51" s="1149"/>
      <c r="E51" s="1149"/>
      <c r="F51" s="1149"/>
      <c r="G51" s="1149"/>
      <c r="H51" s="1149"/>
      <c r="I51" s="1149"/>
      <c r="J51" s="1149"/>
      <c r="K51" s="1149"/>
      <c r="L51" s="1149"/>
      <c r="M51" s="1149"/>
      <c r="N51" s="1149"/>
      <c r="O51" s="1149"/>
      <c r="P51" s="1149"/>
      <c r="Q51" s="1149"/>
      <c r="R51" s="1149"/>
      <c r="S51" s="1149"/>
      <c r="T51" s="1149"/>
      <c r="U51" s="1149"/>
    </row>
    <row r="52" spans="2:21" x14ac:dyDescent="0.55000000000000004">
      <c r="B52" s="1149"/>
      <c r="C52" s="1149"/>
      <c r="D52" s="1149"/>
      <c r="E52" s="1149"/>
      <c r="F52" s="1149"/>
      <c r="G52" s="1149"/>
      <c r="H52" s="1149"/>
      <c r="I52" s="1149"/>
      <c r="J52" s="1149"/>
      <c r="K52" s="1149"/>
      <c r="L52" s="1149"/>
      <c r="M52" s="1149"/>
      <c r="N52" s="1149"/>
      <c r="O52" s="1149"/>
      <c r="P52" s="1149"/>
      <c r="Q52" s="1149"/>
      <c r="R52" s="1149"/>
      <c r="S52" s="1149"/>
      <c r="T52" s="1149"/>
      <c r="U52" s="1149"/>
    </row>
    <row r="53" spans="2:21" x14ac:dyDescent="0.55000000000000004">
      <c r="B53" s="1149"/>
      <c r="C53" s="1149"/>
      <c r="D53" s="1149"/>
      <c r="E53" s="1149"/>
      <c r="F53" s="1149"/>
      <c r="G53" s="1149"/>
      <c r="H53" s="1149"/>
      <c r="I53" s="1149"/>
      <c r="J53" s="1149"/>
      <c r="K53" s="1149"/>
      <c r="L53" s="1149"/>
      <c r="M53" s="1149"/>
      <c r="N53" s="1149"/>
      <c r="O53" s="1149"/>
      <c r="P53" s="1149"/>
      <c r="Q53" s="1149"/>
      <c r="R53" s="1149"/>
      <c r="S53" s="1149"/>
      <c r="T53" s="1149"/>
      <c r="U53" s="1149"/>
    </row>
    <row r="54" spans="2:21" x14ac:dyDescent="0.55000000000000004">
      <c r="B54" s="1149"/>
      <c r="C54" s="1149"/>
      <c r="D54" s="1149"/>
      <c r="E54" s="1149"/>
      <c r="F54" s="1149"/>
      <c r="G54" s="1149"/>
      <c r="H54" s="1149"/>
      <c r="I54" s="1149"/>
      <c r="J54" s="1149"/>
      <c r="K54" s="1149"/>
      <c r="L54" s="1149"/>
      <c r="M54" s="1149"/>
      <c r="N54" s="1149"/>
      <c r="O54" s="1149"/>
      <c r="P54" s="1149"/>
      <c r="Q54" s="1149"/>
      <c r="R54" s="1149"/>
      <c r="S54" s="1149"/>
      <c r="T54" s="1149"/>
      <c r="U54" s="1149"/>
    </row>
    <row r="55" spans="2:21" x14ac:dyDescent="0.55000000000000004">
      <c r="B55" s="1149"/>
      <c r="C55" s="1149"/>
      <c r="D55" s="1149"/>
      <c r="E55" s="1149"/>
      <c r="F55" s="1149"/>
      <c r="G55" s="1149"/>
      <c r="H55" s="1149"/>
      <c r="I55" s="1149"/>
      <c r="J55" s="1149"/>
      <c r="K55" s="1149"/>
      <c r="L55" s="1149"/>
      <c r="M55" s="1149"/>
      <c r="N55" s="1149"/>
      <c r="O55" s="1149"/>
      <c r="P55" s="1149"/>
      <c r="Q55" s="1149"/>
      <c r="R55" s="1149"/>
      <c r="S55" s="1149"/>
      <c r="T55" s="1149"/>
      <c r="U55" s="1149"/>
    </row>
    <row r="56" spans="2:21" x14ac:dyDescent="0.55000000000000004">
      <c r="B56" s="1149"/>
      <c r="C56" s="1149"/>
      <c r="D56" s="1149"/>
      <c r="E56" s="1149"/>
      <c r="F56" s="1149"/>
      <c r="G56" s="1149"/>
      <c r="H56" s="1149"/>
      <c r="I56" s="1149"/>
      <c r="J56" s="1149"/>
      <c r="K56" s="1149"/>
      <c r="L56" s="1149"/>
      <c r="M56" s="1149"/>
      <c r="N56" s="1149"/>
      <c r="O56" s="1149"/>
      <c r="P56" s="1149"/>
      <c r="Q56" s="1149"/>
      <c r="R56" s="1149"/>
      <c r="S56" s="1149"/>
      <c r="T56" s="1149"/>
      <c r="U56" s="1149"/>
    </row>
    <row r="57" spans="2:21" x14ac:dyDescent="0.55000000000000004">
      <c r="B57" s="1149"/>
      <c r="C57" s="1149"/>
      <c r="D57" s="1149"/>
      <c r="E57" s="1149"/>
      <c r="F57" s="1149"/>
      <c r="G57" s="1149"/>
      <c r="H57" s="1149"/>
      <c r="I57" s="1149"/>
      <c r="J57" s="1149"/>
      <c r="K57" s="1149"/>
      <c r="L57" s="1149"/>
      <c r="M57" s="1149"/>
      <c r="N57" s="1149"/>
      <c r="O57" s="1149"/>
      <c r="P57" s="1149"/>
      <c r="Q57" s="1149"/>
      <c r="R57" s="1149"/>
      <c r="S57" s="1149"/>
      <c r="T57" s="1149"/>
      <c r="U57" s="1149"/>
    </row>
    <row r="58" spans="2:21" x14ac:dyDescent="0.55000000000000004">
      <c r="B58" s="1149"/>
      <c r="C58" s="1149"/>
      <c r="D58" s="1149"/>
      <c r="E58" s="1149"/>
      <c r="F58" s="1149"/>
      <c r="G58" s="1149"/>
      <c r="H58" s="1149"/>
      <c r="I58" s="1149"/>
      <c r="J58" s="1149"/>
      <c r="K58" s="1149"/>
      <c r="L58" s="1149"/>
      <c r="M58" s="1149"/>
      <c r="N58" s="1149"/>
      <c r="O58" s="1149"/>
      <c r="P58" s="1149"/>
      <c r="Q58" s="1149"/>
      <c r="R58" s="1149"/>
      <c r="S58" s="1149"/>
      <c r="T58" s="1149"/>
      <c r="U58" s="1149"/>
    </row>
    <row r="59" spans="2:21" x14ac:dyDescent="0.55000000000000004">
      <c r="B59" s="1149"/>
      <c r="C59" s="1149"/>
      <c r="D59" s="1149"/>
      <c r="E59" s="1149"/>
      <c r="F59" s="1149"/>
      <c r="G59" s="1149"/>
      <c r="H59" s="1149"/>
      <c r="I59" s="1149"/>
      <c r="J59" s="1149"/>
      <c r="K59" s="1149"/>
      <c r="L59" s="1149"/>
      <c r="M59" s="1149"/>
      <c r="N59" s="1149"/>
      <c r="O59" s="1149"/>
      <c r="P59" s="1149"/>
      <c r="Q59" s="1149"/>
      <c r="R59" s="1149"/>
      <c r="S59" s="1149"/>
      <c r="T59" s="1149"/>
      <c r="U59" s="1149"/>
    </row>
    <row r="60" spans="2:21" x14ac:dyDescent="0.55000000000000004">
      <c r="B60" s="1149"/>
      <c r="C60" s="1149"/>
      <c r="D60" s="1149"/>
      <c r="E60" s="1149"/>
      <c r="F60" s="1149"/>
      <c r="G60" s="1149"/>
      <c r="H60" s="1149"/>
      <c r="I60" s="1149"/>
      <c r="J60" s="1149"/>
      <c r="K60" s="1149"/>
      <c r="L60" s="1149"/>
      <c r="M60" s="1149"/>
      <c r="N60" s="1149"/>
      <c r="O60" s="1149"/>
      <c r="P60" s="1149"/>
      <c r="Q60" s="1149"/>
      <c r="R60" s="1149"/>
      <c r="S60" s="1149"/>
      <c r="T60" s="1149"/>
      <c r="U60" s="1149"/>
    </row>
    <row r="62" spans="2:21" x14ac:dyDescent="0.55000000000000004">
      <c r="B62" s="1149"/>
      <c r="C62" s="1149"/>
      <c r="D62" s="1149"/>
      <c r="E62" s="1149"/>
      <c r="F62" s="1149"/>
      <c r="G62" s="1149"/>
      <c r="H62" s="1149"/>
      <c r="I62" s="1149"/>
      <c r="J62" s="1149"/>
      <c r="K62" s="1149"/>
      <c r="L62" s="1149"/>
      <c r="M62" s="1149"/>
      <c r="N62" s="1149"/>
      <c r="O62" s="1149"/>
      <c r="P62" s="1149"/>
      <c r="Q62" s="1149"/>
      <c r="R62" s="1149"/>
      <c r="S62" s="1149"/>
      <c r="T62" s="1149"/>
      <c r="U62" s="1149"/>
    </row>
    <row r="63" spans="2:21" x14ac:dyDescent="0.55000000000000004">
      <c r="B63" s="1149"/>
      <c r="C63" s="1149"/>
      <c r="D63" s="1149"/>
      <c r="E63" s="1149"/>
      <c r="F63" s="1149"/>
      <c r="G63" s="1149"/>
      <c r="H63" s="1149"/>
      <c r="I63" s="1149"/>
      <c r="J63" s="1149"/>
      <c r="K63" s="1149"/>
      <c r="L63" s="1149"/>
      <c r="M63" s="1149"/>
      <c r="N63" s="1149"/>
      <c r="O63" s="1149"/>
      <c r="P63" s="1149"/>
      <c r="Q63" s="1149"/>
      <c r="R63" s="1149"/>
      <c r="S63" s="1149"/>
      <c r="T63" s="1149"/>
      <c r="U63" s="1149"/>
    </row>
    <row r="64" spans="2:21" x14ac:dyDescent="0.55000000000000004">
      <c r="B64" s="1149"/>
      <c r="C64" s="1149"/>
      <c r="D64" s="1149"/>
      <c r="E64" s="1149"/>
      <c r="F64" s="1149"/>
      <c r="G64" s="1149"/>
      <c r="H64" s="1149"/>
      <c r="I64" s="1149"/>
      <c r="J64" s="1149"/>
      <c r="K64" s="1149"/>
      <c r="L64" s="1149"/>
      <c r="M64" s="1149"/>
      <c r="N64" s="1149"/>
      <c r="O64" s="1149"/>
      <c r="P64" s="1149"/>
      <c r="Q64" s="1149"/>
      <c r="R64" s="1149"/>
      <c r="S64" s="1149"/>
      <c r="T64" s="1149"/>
      <c r="U64" s="1149"/>
    </row>
    <row r="65" spans="2:21" x14ac:dyDescent="0.55000000000000004">
      <c r="B65" s="1149"/>
      <c r="C65" s="1149"/>
      <c r="D65" s="1149"/>
      <c r="E65" s="1149"/>
      <c r="F65" s="1149"/>
      <c r="G65" s="1149"/>
      <c r="H65" s="1149"/>
      <c r="I65" s="1149"/>
      <c r="J65" s="1149"/>
      <c r="K65" s="1149"/>
      <c r="L65" s="1149"/>
      <c r="M65" s="1149"/>
      <c r="N65" s="1149"/>
      <c r="O65" s="1149"/>
      <c r="P65" s="1149"/>
      <c r="Q65" s="1149"/>
      <c r="R65" s="1149"/>
      <c r="S65" s="1149"/>
      <c r="T65" s="1149"/>
      <c r="U65" s="1149"/>
    </row>
    <row r="66" spans="2:21" x14ac:dyDescent="0.55000000000000004">
      <c r="B66" s="1149"/>
      <c r="C66" s="1149"/>
      <c r="D66" s="1149"/>
      <c r="E66" s="1149"/>
      <c r="F66" s="1149"/>
      <c r="G66" s="1149"/>
      <c r="H66" s="1149"/>
      <c r="I66" s="1149"/>
      <c r="J66" s="1149"/>
      <c r="K66" s="1149"/>
      <c r="L66" s="1149"/>
      <c r="M66" s="1149"/>
      <c r="N66" s="1149"/>
      <c r="O66" s="1149"/>
      <c r="P66" s="1149"/>
      <c r="Q66" s="1149"/>
      <c r="R66" s="1149"/>
      <c r="S66" s="1149"/>
      <c r="T66" s="1149"/>
      <c r="U66" s="1149"/>
    </row>
    <row r="67" spans="2:21" x14ac:dyDescent="0.55000000000000004">
      <c r="B67" s="1149"/>
      <c r="C67" s="1149"/>
      <c r="D67" s="1149"/>
      <c r="E67" s="1149"/>
      <c r="F67" s="1149"/>
      <c r="G67" s="1149"/>
      <c r="H67" s="1149"/>
      <c r="I67" s="1149"/>
      <c r="J67" s="1149"/>
      <c r="K67" s="1149"/>
      <c r="L67" s="1149"/>
      <c r="M67" s="1149"/>
      <c r="N67" s="1149"/>
      <c r="O67" s="1149"/>
      <c r="P67" s="1149"/>
      <c r="Q67" s="1149"/>
      <c r="R67" s="1149"/>
      <c r="S67" s="1149"/>
      <c r="T67" s="1149"/>
      <c r="U67" s="1149"/>
    </row>
    <row r="68" spans="2:21" x14ac:dyDescent="0.55000000000000004">
      <c r="B68" s="1149"/>
      <c r="C68" s="1149"/>
      <c r="D68" s="1149"/>
      <c r="E68" s="1149"/>
      <c r="F68" s="1149"/>
      <c r="G68" s="1149"/>
      <c r="H68" s="1149"/>
      <c r="I68" s="1149"/>
      <c r="J68" s="1149"/>
      <c r="K68" s="1149"/>
      <c r="L68" s="1149"/>
      <c r="M68" s="1149"/>
      <c r="N68" s="1149"/>
      <c r="O68" s="1149"/>
      <c r="P68" s="1149"/>
      <c r="Q68" s="1149"/>
      <c r="R68" s="1149"/>
      <c r="S68" s="1149"/>
      <c r="T68" s="1149"/>
      <c r="U68" s="1149"/>
    </row>
    <row r="69" spans="2:21" x14ac:dyDescent="0.55000000000000004">
      <c r="B69" s="1149"/>
      <c r="C69" s="1149"/>
      <c r="D69" s="1149"/>
      <c r="E69" s="1149"/>
      <c r="F69" s="1149"/>
      <c r="G69" s="1149"/>
      <c r="H69" s="1149"/>
      <c r="I69" s="1149"/>
      <c r="J69" s="1149"/>
      <c r="K69" s="1149"/>
      <c r="L69" s="1149"/>
      <c r="M69" s="1149"/>
      <c r="N69" s="1149"/>
      <c r="O69" s="1149"/>
      <c r="P69" s="1149"/>
      <c r="Q69" s="1149"/>
      <c r="R69" s="1149"/>
      <c r="S69" s="1149"/>
      <c r="T69" s="1149"/>
      <c r="U69" s="1149"/>
    </row>
    <row r="70" spans="2:21" x14ac:dyDescent="0.55000000000000004">
      <c r="B70" s="1149"/>
      <c r="C70" s="1149"/>
      <c r="D70" s="1149"/>
      <c r="E70" s="1149"/>
      <c r="F70" s="1149"/>
      <c r="G70" s="1149"/>
      <c r="H70" s="1149"/>
      <c r="I70" s="1149"/>
      <c r="J70" s="1149"/>
      <c r="K70" s="1149"/>
      <c r="L70" s="1149"/>
      <c r="M70" s="1149"/>
      <c r="N70" s="1149"/>
      <c r="O70" s="1149"/>
      <c r="P70" s="1149"/>
      <c r="Q70" s="1149"/>
      <c r="R70" s="1149"/>
      <c r="S70" s="1149"/>
      <c r="T70" s="1149"/>
      <c r="U70" s="1149"/>
    </row>
    <row r="71" spans="2:21" x14ac:dyDescent="0.55000000000000004">
      <c r="B71" s="1149"/>
      <c r="C71" s="1149"/>
      <c r="D71" s="1149"/>
      <c r="E71" s="1149"/>
      <c r="F71" s="1149"/>
      <c r="G71" s="1149"/>
      <c r="H71" s="1149"/>
      <c r="I71" s="1149"/>
      <c r="J71" s="1149"/>
      <c r="K71" s="1149"/>
      <c r="L71" s="1149"/>
      <c r="M71" s="1149"/>
      <c r="N71" s="1149"/>
      <c r="O71" s="1149"/>
      <c r="P71" s="1149"/>
      <c r="Q71" s="1149"/>
      <c r="R71" s="1149"/>
      <c r="S71" s="1149"/>
      <c r="T71" s="1149"/>
      <c r="U71" s="1149"/>
    </row>
    <row r="72" spans="2:21" x14ac:dyDescent="0.55000000000000004">
      <c r="B72" s="1149"/>
      <c r="C72" s="1149"/>
      <c r="D72" s="1149"/>
      <c r="E72" s="1149"/>
      <c r="F72" s="1149"/>
      <c r="G72" s="1149"/>
      <c r="H72" s="1149"/>
      <c r="I72" s="1149"/>
      <c r="J72" s="1149"/>
      <c r="K72" s="1149"/>
      <c r="L72" s="1149"/>
      <c r="M72" s="1149"/>
      <c r="N72" s="1149"/>
      <c r="O72" s="1149"/>
      <c r="P72" s="1149"/>
      <c r="Q72" s="1149"/>
      <c r="R72" s="1149"/>
      <c r="S72" s="1149"/>
      <c r="T72" s="1149"/>
      <c r="U72" s="1149"/>
    </row>
    <row r="73" spans="2:21" x14ac:dyDescent="0.55000000000000004">
      <c r="B73" s="1149"/>
      <c r="C73" s="1149"/>
      <c r="D73" s="1149"/>
      <c r="E73" s="1149"/>
      <c r="F73" s="1149"/>
      <c r="G73" s="1149"/>
      <c r="H73" s="1149"/>
      <c r="I73" s="1149"/>
      <c r="J73" s="1149"/>
      <c r="K73" s="1149"/>
      <c r="L73" s="1149"/>
      <c r="M73" s="1149"/>
      <c r="N73" s="1149"/>
      <c r="O73" s="1149"/>
      <c r="P73" s="1149"/>
      <c r="Q73" s="1149"/>
      <c r="R73" s="1149"/>
      <c r="S73" s="1149"/>
      <c r="T73" s="1149"/>
      <c r="U73" s="1149"/>
    </row>
    <row r="74" spans="2:21" x14ac:dyDescent="0.55000000000000004">
      <c r="B74" s="1149"/>
      <c r="C74" s="1149"/>
      <c r="D74" s="1149"/>
      <c r="E74" s="1149"/>
      <c r="F74" s="1149"/>
      <c r="G74" s="1149"/>
      <c r="H74" s="1149"/>
      <c r="I74" s="1149"/>
      <c r="J74" s="1149"/>
      <c r="K74" s="1149"/>
      <c r="L74" s="1149"/>
      <c r="M74" s="1149"/>
      <c r="N74" s="1149"/>
      <c r="O74" s="1149"/>
      <c r="P74" s="1149"/>
      <c r="Q74" s="1149"/>
      <c r="R74" s="1149"/>
      <c r="S74" s="1149"/>
      <c r="T74" s="1149"/>
      <c r="U74" s="1149"/>
    </row>
    <row r="75" spans="2:21" x14ac:dyDescent="0.55000000000000004">
      <c r="B75" s="1149"/>
      <c r="C75" s="1149"/>
      <c r="D75" s="1149"/>
      <c r="E75" s="1149"/>
      <c r="F75" s="1149"/>
      <c r="G75" s="1149"/>
      <c r="H75" s="1149"/>
      <c r="I75" s="1149"/>
      <c r="J75" s="1149"/>
      <c r="K75" s="1149"/>
      <c r="L75" s="1149"/>
      <c r="M75" s="1149"/>
      <c r="N75" s="1149"/>
      <c r="O75" s="1149"/>
      <c r="P75" s="1149"/>
      <c r="Q75" s="1149"/>
      <c r="R75" s="1149"/>
      <c r="S75" s="1149"/>
      <c r="T75" s="1149"/>
      <c r="U75" s="1149"/>
    </row>
    <row r="76" spans="2:21" x14ac:dyDescent="0.55000000000000004">
      <c r="B76" s="1149"/>
      <c r="C76" s="1149"/>
      <c r="D76" s="1149"/>
      <c r="E76" s="1149"/>
      <c r="F76" s="1149"/>
      <c r="G76" s="1149"/>
      <c r="H76" s="1149"/>
      <c r="I76" s="1149"/>
      <c r="J76" s="1149"/>
      <c r="K76" s="1149"/>
      <c r="L76" s="1149"/>
      <c r="M76" s="1149"/>
      <c r="N76" s="1149"/>
      <c r="O76" s="1149"/>
      <c r="P76" s="1149"/>
      <c r="Q76" s="1149"/>
      <c r="R76" s="1149"/>
      <c r="S76" s="1149"/>
      <c r="T76" s="1149"/>
      <c r="U76" s="1149"/>
    </row>
    <row r="77" spans="2:21" x14ac:dyDescent="0.55000000000000004">
      <c r="B77" s="1149"/>
      <c r="C77" s="1149"/>
      <c r="D77" s="1149"/>
      <c r="E77" s="1149"/>
      <c r="F77" s="1149"/>
      <c r="G77" s="1149"/>
      <c r="H77" s="1149"/>
      <c r="I77" s="1149"/>
      <c r="J77" s="1149"/>
      <c r="K77" s="1149"/>
      <c r="L77" s="1149"/>
      <c r="M77" s="1149"/>
      <c r="N77" s="1149"/>
      <c r="O77" s="1149"/>
      <c r="P77" s="1149"/>
      <c r="Q77" s="1149"/>
      <c r="R77" s="1149"/>
      <c r="S77" s="1149"/>
      <c r="T77" s="1149"/>
      <c r="U77" s="1149"/>
    </row>
    <row r="78" spans="2:21" x14ac:dyDescent="0.55000000000000004">
      <c r="B78" s="1149"/>
      <c r="C78" s="1149"/>
      <c r="D78" s="1149"/>
      <c r="E78" s="1149"/>
      <c r="F78" s="1149"/>
      <c r="G78" s="1149"/>
      <c r="H78" s="1149"/>
      <c r="I78" s="1149"/>
      <c r="J78" s="1149"/>
      <c r="K78" s="1149"/>
      <c r="L78" s="1149"/>
      <c r="M78" s="1149"/>
      <c r="N78" s="1149"/>
      <c r="O78" s="1149"/>
      <c r="P78" s="1149"/>
      <c r="Q78" s="1149"/>
      <c r="R78" s="1149"/>
      <c r="S78" s="1149"/>
      <c r="T78" s="1149"/>
      <c r="U78" s="1149"/>
    </row>
    <row r="79" spans="2:21" x14ac:dyDescent="0.55000000000000004">
      <c r="B79" s="1149"/>
      <c r="C79" s="1149"/>
      <c r="D79" s="1149"/>
      <c r="E79" s="1149"/>
      <c r="F79" s="1149"/>
      <c r="G79" s="1149"/>
      <c r="H79" s="1149"/>
      <c r="I79" s="1149"/>
      <c r="J79" s="1149"/>
      <c r="K79" s="1149"/>
      <c r="L79" s="1149"/>
      <c r="M79" s="1149"/>
      <c r="N79" s="1149"/>
      <c r="O79" s="1149"/>
      <c r="P79" s="1149"/>
      <c r="Q79" s="1149"/>
      <c r="R79" s="1149"/>
      <c r="S79" s="1149"/>
      <c r="T79" s="1149"/>
      <c r="U79" s="1149"/>
    </row>
    <row r="80" spans="2:21" x14ac:dyDescent="0.55000000000000004">
      <c r="B80" s="1149"/>
      <c r="C80" s="1149"/>
      <c r="D80" s="1149"/>
      <c r="E80" s="1149"/>
      <c r="F80" s="1149"/>
      <c r="G80" s="1149"/>
      <c r="H80" s="1149"/>
      <c r="I80" s="1149"/>
      <c r="J80" s="1149"/>
      <c r="K80" s="1149"/>
      <c r="L80" s="1149"/>
      <c r="M80" s="1149"/>
      <c r="N80" s="1149"/>
      <c r="O80" s="1149"/>
      <c r="P80" s="1149"/>
      <c r="Q80" s="1149"/>
      <c r="R80" s="1149"/>
      <c r="S80" s="1149"/>
      <c r="T80" s="1149"/>
      <c r="U80" s="1149"/>
    </row>
    <row r="81" spans="2:21" x14ac:dyDescent="0.55000000000000004">
      <c r="B81" s="1149"/>
      <c r="C81" s="1149"/>
      <c r="D81" s="1149"/>
      <c r="E81" s="1149"/>
      <c r="F81" s="1149"/>
      <c r="G81" s="1149"/>
      <c r="H81" s="1149"/>
      <c r="I81" s="1149"/>
      <c r="J81" s="1149"/>
      <c r="K81" s="1149"/>
      <c r="L81" s="1149"/>
      <c r="M81" s="1149"/>
      <c r="N81" s="1149"/>
      <c r="O81" s="1149"/>
      <c r="P81" s="1149"/>
      <c r="Q81" s="1149"/>
      <c r="R81" s="1149"/>
      <c r="S81" s="1149"/>
      <c r="T81" s="1149"/>
      <c r="U81" s="1149"/>
    </row>
    <row r="82" spans="2:21" x14ac:dyDescent="0.55000000000000004">
      <c r="B82" s="1149"/>
      <c r="C82" s="1149"/>
      <c r="D82" s="1149"/>
      <c r="E82" s="1149"/>
      <c r="F82" s="1149"/>
      <c r="G82" s="1149"/>
      <c r="H82" s="1149"/>
      <c r="I82" s="1149"/>
      <c r="J82" s="1149"/>
      <c r="K82" s="1149"/>
      <c r="L82" s="1149"/>
      <c r="M82" s="1149"/>
      <c r="N82" s="1149"/>
      <c r="O82" s="1149"/>
      <c r="P82" s="1149"/>
      <c r="Q82" s="1149"/>
      <c r="R82" s="1149"/>
      <c r="S82" s="1149"/>
      <c r="T82" s="1149"/>
      <c r="U82" s="1149"/>
    </row>
    <row r="83" spans="2:21" x14ac:dyDescent="0.55000000000000004">
      <c r="B83" s="1149"/>
      <c r="C83" s="1149"/>
      <c r="D83" s="1149"/>
      <c r="E83" s="1149"/>
      <c r="F83" s="1149"/>
      <c r="G83" s="1149"/>
      <c r="H83" s="1149"/>
      <c r="I83" s="1149"/>
      <c r="J83" s="1149"/>
      <c r="K83" s="1149"/>
      <c r="L83" s="1149"/>
      <c r="M83" s="1149"/>
      <c r="N83" s="1149"/>
      <c r="O83" s="1149"/>
      <c r="P83" s="1149"/>
      <c r="Q83" s="1149"/>
      <c r="R83" s="1149"/>
      <c r="S83" s="1149"/>
      <c r="T83" s="1149"/>
      <c r="U83" s="1149"/>
    </row>
    <row r="84" spans="2:21" x14ac:dyDescent="0.55000000000000004">
      <c r="B84" s="1149"/>
      <c r="C84" s="1149"/>
      <c r="D84" s="1149"/>
      <c r="E84" s="1149"/>
      <c r="F84" s="1149"/>
      <c r="G84" s="1149"/>
      <c r="H84" s="1149"/>
      <c r="I84" s="1149"/>
      <c r="J84" s="1149"/>
      <c r="K84" s="1149"/>
      <c r="L84" s="1149"/>
      <c r="M84" s="1149"/>
      <c r="N84" s="1149"/>
      <c r="O84" s="1149"/>
      <c r="P84" s="1149"/>
      <c r="Q84" s="1149"/>
      <c r="R84" s="1149"/>
      <c r="S84" s="1149"/>
      <c r="T84" s="1149"/>
      <c r="U84" s="1149"/>
    </row>
    <row r="85" spans="2:21" x14ac:dyDescent="0.55000000000000004">
      <c r="B85" s="1149"/>
      <c r="C85" s="1149"/>
      <c r="D85" s="1149"/>
      <c r="E85" s="1149"/>
      <c r="F85" s="1149"/>
      <c r="G85" s="1149"/>
      <c r="H85" s="1149"/>
      <c r="I85" s="1149"/>
      <c r="J85" s="1149"/>
      <c r="K85" s="1149"/>
      <c r="L85" s="1149"/>
      <c r="M85" s="1149"/>
      <c r="N85" s="1149"/>
      <c r="O85" s="1149"/>
      <c r="P85" s="1149"/>
      <c r="Q85" s="1149"/>
      <c r="R85" s="1149"/>
      <c r="S85" s="1149"/>
      <c r="T85" s="1149"/>
      <c r="U85" s="1149"/>
    </row>
    <row r="86" spans="2:21" x14ac:dyDescent="0.55000000000000004">
      <c r="B86" s="1149"/>
      <c r="C86" s="1149"/>
      <c r="D86" s="1149"/>
      <c r="E86" s="1149"/>
      <c r="F86" s="1149"/>
      <c r="G86" s="1149"/>
      <c r="H86" s="1149"/>
      <c r="I86" s="1149"/>
      <c r="J86" s="1149"/>
      <c r="K86" s="1149"/>
      <c r="L86" s="1149"/>
      <c r="M86" s="1149"/>
      <c r="N86" s="1149"/>
      <c r="O86" s="1149"/>
      <c r="P86" s="1149"/>
      <c r="Q86" s="1149"/>
      <c r="R86" s="1149"/>
      <c r="S86" s="1149"/>
      <c r="T86" s="1149"/>
      <c r="U86" s="1149"/>
    </row>
    <row r="87" spans="2:21" x14ac:dyDescent="0.55000000000000004">
      <c r="B87" s="1149"/>
      <c r="C87" s="1149"/>
      <c r="D87" s="1149"/>
      <c r="E87" s="1149"/>
      <c r="F87" s="1149"/>
      <c r="G87" s="1149"/>
      <c r="H87" s="1149"/>
      <c r="I87" s="1149"/>
      <c r="J87" s="1149"/>
      <c r="K87" s="1149"/>
      <c r="L87" s="1149"/>
      <c r="M87" s="1149"/>
      <c r="N87" s="1149"/>
      <c r="O87" s="1149"/>
      <c r="P87" s="1149"/>
      <c r="Q87" s="1149"/>
      <c r="R87" s="1149"/>
      <c r="S87" s="1149"/>
      <c r="T87" s="1149"/>
      <c r="U87" s="1149"/>
    </row>
    <row r="88" spans="2:21" x14ac:dyDescent="0.55000000000000004">
      <c r="B88" s="1149"/>
      <c r="C88" s="1149"/>
      <c r="D88" s="1149"/>
      <c r="E88" s="1149"/>
      <c r="F88" s="1149"/>
      <c r="G88" s="1149"/>
      <c r="H88" s="1149"/>
      <c r="I88" s="1149"/>
      <c r="J88" s="1149"/>
      <c r="K88" s="1149"/>
      <c r="L88" s="1149"/>
      <c r="M88" s="1149"/>
      <c r="N88" s="1149"/>
      <c r="O88" s="1149"/>
      <c r="P88" s="1149"/>
      <c r="Q88" s="1149"/>
      <c r="R88" s="1149"/>
      <c r="S88" s="1149"/>
      <c r="T88" s="1149"/>
      <c r="U88" s="1149"/>
    </row>
    <row r="89" spans="2:21" x14ac:dyDescent="0.55000000000000004">
      <c r="B89" s="1149"/>
      <c r="C89" s="1149"/>
      <c r="D89" s="1149"/>
      <c r="E89" s="1149"/>
      <c r="F89" s="1149"/>
      <c r="G89" s="1149"/>
      <c r="H89" s="1149"/>
      <c r="I89" s="1149"/>
      <c r="J89" s="1149"/>
      <c r="K89" s="1149"/>
      <c r="L89" s="1149"/>
      <c r="M89" s="1149"/>
      <c r="N89" s="1149"/>
      <c r="O89" s="1149"/>
      <c r="P89" s="1149"/>
      <c r="Q89" s="1149"/>
      <c r="R89" s="1149"/>
      <c r="S89" s="1149"/>
      <c r="T89" s="1149"/>
      <c r="U89" s="1149"/>
    </row>
    <row r="90" spans="2:21" x14ac:dyDescent="0.55000000000000004">
      <c r="B90" s="1149"/>
      <c r="C90" s="1149"/>
      <c r="D90" s="1149"/>
      <c r="E90" s="1149"/>
      <c r="F90" s="1149"/>
      <c r="G90" s="1149"/>
      <c r="H90" s="1149"/>
      <c r="I90" s="1149"/>
      <c r="J90" s="1149"/>
      <c r="K90" s="1149"/>
      <c r="L90" s="1149"/>
      <c r="M90" s="1149"/>
      <c r="N90" s="1149"/>
      <c r="O90" s="1149"/>
      <c r="P90" s="1149"/>
      <c r="Q90" s="1149"/>
      <c r="R90" s="1149"/>
      <c r="S90" s="1149"/>
      <c r="T90" s="1149"/>
      <c r="U90" s="1149"/>
    </row>
    <row r="91" spans="2:21" x14ac:dyDescent="0.55000000000000004">
      <c r="B91" s="1149"/>
      <c r="C91" s="1149"/>
      <c r="D91" s="1149"/>
      <c r="E91" s="1149"/>
      <c r="F91" s="1149"/>
      <c r="G91" s="1149"/>
      <c r="H91" s="1149"/>
      <c r="I91" s="1149"/>
      <c r="J91" s="1149"/>
      <c r="K91" s="1149"/>
      <c r="L91" s="1149"/>
      <c r="M91" s="1149"/>
      <c r="N91" s="1149"/>
      <c r="O91" s="1149"/>
      <c r="P91" s="1149"/>
      <c r="Q91" s="1149"/>
      <c r="R91" s="1149"/>
      <c r="S91" s="1149"/>
      <c r="T91" s="1149"/>
      <c r="U91" s="1149"/>
    </row>
    <row r="92" spans="2:21" x14ac:dyDescent="0.55000000000000004">
      <c r="B92" s="1149"/>
      <c r="C92" s="1149"/>
      <c r="D92" s="1149"/>
      <c r="E92" s="1149"/>
      <c r="F92" s="1149"/>
      <c r="G92" s="1149"/>
      <c r="H92" s="1149"/>
      <c r="I92" s="1149"/>
      <c r="J92" s="1149"/>
      <c r="K92" s="1149"/>
      <c r="L92" s="1149"/>
      <c r="M92" s="1149"/>
      <c r="N92" s="1149"/>
      <c r="O92" s="1149"/>
      <c r="P92" s="1149"/>
      <c r="Q92" s="1149"/>
      <c r="R92" s="1149"/>
      <c r="S92" s="1149"/>
      <c r="T92" s="1149"/>
      <c r="U92" s="1149"/>
    </row>
    <row r="93" spans="2:21" x14ac:dyDescent="0.55000000000000004">
      <c r="B93" s="1149"/>
      <c r="C93" s="1149"/>
      <c r="D93" s="1149"/>
      <c r="E93" s="1149"/>
      <c r="F93" s="1149"/>
      <c r="G93" s="1149"/>
      <c r="H93" s="1149"/>
      <c r="I93" s="1149"/>
      <c r="J93" s="1149"/>
      <c r="K93" s="1149"/>
      <c r="L93" s="1149"/>
      <c r="M93" s="1149"/>
      <c r="N93" s="1149"/>
      <c r="O93" s="1149"/>
      <c r="P93" s="1149"/>
      <c r="Q93" s="1149"/>
      <c r="R93" s="1149"/>
      <c r="S93" s="1149"/>
      <c r="T93" s="1149"/>
      <c r="U93" s="1149"/>
    </row>
    <row r="94" spans="2:21" x14ac:dyDescent="0.55000000000000004">
      <c r="B94" s="1149"/>
      <c r="C94" s="1149"/>
      <c r="D94" s="1149"/>
      <c r="E94" s="1149"/>
      <c r="F94" s="1149"/>
      <c r="G94" s="1149"/>
      <c r="H94" s="1149"/>
      <c r="I94" s="1149"/>
      <c r="J94" s="1149"/>
      <c r="K94" s="1149"/>
      <c r="L94" s="1149"/>
      <c r="M94" s="1149"/>
      <c r="N94" s="1149"/>
      <c r="O94" s="1149"/>
      <c r="P94" s="1149"/>
      <c r="Q94" s="1149"/>
      <c r="R94" s="1149"/>
      <c r="S94" s="1149"/>
      <c r="T94" s="1149"/>
      <c r="U94" s="1149"/>
    </row>
    <row r="95" spans="2:21" x14ac:dyDescent="0.55000000000000004">
      <c r="B95" s="1149"/>
      <c r="C95" s="1149"/>
      <c r="D95" s="1149"/>
      <c r="E95" s="1149"/>
      <c r="F95" s="1149"/>
      <c r="G95" s="1149"/>
      <c r="H95" s="1149"/>
      <c r="I95" s="1149"/>
      <c r="J95" s="1149"/>
      <c r="K95" s="1149"/>
      <c r="L95" s="1149"/>
      <c r="M95" s="1149"/>
      <c r="N95" s="1149"/>
      <c r="O95" s="1149"/>
      <c r="P95" s="1149"/>
      <c r="Q95" s="1149"/>
      <c r="R95" s="1149"/>
      <c r="S95" s="1149"/>
      <c r="T95" s="1149"/>
      <c r="U95" s="1149"/>
    </row>
    <row r="96" spans="2:21" x14ac:dyDescent="0.55000000000000004">
      <c r="B96" s="1149"/>
      <c r="C96" s="1149"/>
      <c r="D96" s="1149"/>
      <c r="E96" s="1149"/>
      <c r="F96" s="1149"/>
      <c r="G96" s="1149"/>
      <c r="H96" s="1149"/>
      <c r="I96" s="1149"/>
      <c r="J96" s="1149"/>
      <c r="K96" s="1149"/>
      <c r="L96" s="1149"/>
      <c r="M96" s="1149"/>
      <c r="N96" s="1149"/>
      <c r="O96" s="1149"/>
      <c r="P96" s="1149"/>
      <c r="Q96" s="1149"/>
      <c r="R96" s="1149"/>
      <c r="S96" s="1149"/>
      <c r="T96" s="1149"/>
      <c r="U96" s="1149"/>
    </row>
    <row r="97" spans="2:21" x14ac:dyDescent="0.55000000000000004">
      <c r="B97" s="1149"/>
      <c r="C97" s="1149"/>
      <c r="D97" s="1149"/>
      <c r="E97" s="1149"/>
      <c r="F97" s="1149"/>
      <c r="G97" s="1149"/>
      <c r="H97" s="1149"/>
      <c r="I97" s="1149"/>
      <c r="J97" s="1149"/>
      <c r="K97" s="1149"/>
      <c r="L97" s="1149"/>
      <c r="M97" s="1149"/>
      <c r="N97" s="1149"/>
      <c r="O97" s="1149"/>
      <c r="P97" s="1149"/>
      <c r="Q97" s="1149"/>
      <c r="R97" s="1149"/>
      <c r="S97" s="1149"/>
      <c r="T97" s="1149"/>
      <c r="U97" s="1149"/>
    </row>
    <row r="98" spans="2:21" x14ac:dyDescent="0.55000000000000004">
      <c r="B98" s="1149"/>
      <c r="C98" s="1149"/>
      <c r="D98" s="1149"/>
      <c r="E98" s="1149"/>
      <c r="F98" s="1149"/>
      <c r="G98" s="1149"/>
      <c r="H98" s="1149"/>
      <c r="I98" s="1149"/>
      <c r="J98" s="1149"/>
      <c r="K98" s="1149"/>
      <c r="L98" s="1149"/>
      <c r="M98" s="1149"/>
      <c r="N98" s="1149"/>
      <c r="O98" s="1149"/>
      <c r="P98" s="1149"/>
      <c r="Q98" s="1149"/>
      <c r="R98" s="1149"/>
      <c r="S98" s="1149"/>
      <c r="T98" s="1149"/>
      <c r="U98" s="1149"/>
    </row>
    <row r="99" spans="2:21" x14ac:dyDescent="0.55000000000000004">
      <c r="B99" s="1149"/>
      <c r="C99" s="1149"/>
      <c r="D99" s="1149"/>
      <c r="E99" s="1149"/>
      <c r="F99" s="1149"/>
      <c r="G99" s="1149"/>
      <c r="H99" s="1149"/>
      <c r="I99" s="1149"/>
      <c r="J99" s="1149"/>
      <c r="K99" s="1149"/>
      <c r="L99" s="1149"/>
      <c r="M99" s="1149"/>
      <c r="N99" s="1149"/>
      <c r="O99" s="1149"/>
      <c r="P99" s="1149"/>
      <c r="Q99" s="1149"/>
      <c r="R99" s="1149"/>
      <c r="S99" s="1149"/>
      <c r="T99" s="1149"/>
      <c r="U99" s="1149"/>
    </row>
    <row r="100" spans="2:21" x14ac:dyDescent="0.55000000000000004">
      <c r="B100" s="1149"/>
      <c r="C100" s="1149"/>
      <c r="D100" s="1149"/>
      <c r="E100" s="1149"/>
      <c r="F100" s="1149"/>
      <c r="G100" s="1149"/>
      <c r="H100" s="1149"/>
      <c r="I100" s="1149"/>
      <c r="J100" s="1149"/>
      <c r="K100" s="1149"/>
      <c r="L100" s="1149"/>
      <c r="M100" s="1149"/>
      <c r="N100" s="1149"/>
      <c r="O100" s="1149"/>
      <c r="P100" s="1149"/>
      <c r="Q100" s="1149"/>
      <c r="R100" s="1149"/>
      <c r="S100" s="1149"/>
      <c r="T100" s="1149"/>
      <c r="U100" s="1149"/>
    </row>
    <row r="101" spans="2:21" x14ac:dyDescent="0.55000000000000004">
      <c r="B101" s="1149"/>
      <c r="C101" s="1149"/>
      <c r="D101" s="1149"/>
      <c r="E101" s="1149"/>
      <c r="F101" s="1149"/>
      <c r="G101" s="1149"/>
      <c r="H101" s="1149"/>
      <c r="I101" s="1149"/>
      <c r="J101" s="1149"/>
      <c r="K101" s="1149"/>
      <c r="L101" s="1149"/>
      <c r="M101" s="1149"/>
      <c r="N101" s="1149"/>
      <c r="O101" s="1149"/>
      <c r="P101" s="1149"/>
      <c r="Q101" s="1149"/>
      <c r="R101" s="1149"/>
      <c r="S101" s="1149"/>
      <c r="T101" s="1149"/>
      <c r="U101" s="1149"/>
    </row>
    <row r="102" spans="2:21" x14ac:dyDescent="0.55000000000000004">
      <c r="B102" s="1149"/>
      <c r="C102" s="1149"/>
      <c r="D102" s="1149"/>
      <c r="E102" s="1149"/>
      <c r="F102" s="1149"/>
      <c r="G102" s="1149"/>
      <c r="H102" s="1149"/>
      <c r="I102" s="1149"/>
      <c r="J102" s="1149"/>
      <c r="K102" s="1149"/>
      <c r="L102" s="1149"/>
      <c r="M102" s="1149"/>
      <c r="N102" s="1149"/>
      <c r="O102" s="1149"/>
      <c r="P102" s="1149"/>
      <c r="Q102" s="1149"/>
      <c r="R102" s="1149"/>
      <c r="S102" s="1149"/>
      <c r="T102" s="1149"/>
      <c r="U102" s="1149"/>
    </row>
    <row r="103" spans="2:21" x14ac:dyDescent="0.55000000000000004">
      <c r="B103" s="1149"/>
      <c r="C103" s="1149"/>
      <c r="D103" s="1149"/>
      <c r="E103" s="1149"/>
      <c r="F103" s="1149"/>
      <c r="G103" s="1149"/>
      <c r="H103" s="1149"/>
      <c r="I103" s="1149"/>
      <c r="J103" s="1149"/>
      <c r="K103" s="1149"/>
      <c r="L103" s="1149"/>
      <c r="M103" s="1149"/>
      <c r="N103" s="1149"/>
      <c r="O103" s="1149"/>
      <c r="P103" s="1149"/>
      <c r="Q103" s="1149"/>
      <c r="R103" s="1149"/>
      <c r="S103" s="1149"/>
      <c r="T103" s="1149"/>
      <c r="U103" s="1149"/>
    </row>
    <row r="104" spans="2:21" x14ac:dyDescent="0.55000000000000004">
      <c r="B104" s="1149"/>
      <c r="C104" s="1149"/>
      <c r="D104" s="1149"/>
      <c r="E104" s="1149"/>
      <c r="F104" s="1149"/>
      <c r="G104" s="1149"/>
      <c r="H104" s="1149"/>
      <c r="I104" s="1149"/>
      <c r="J104" s="1149"/>
      <c r="K104" s="1149"/>
      <c r="L104" s="1149"/>
      <c r="M104" s="1149"/>
      <c r="N104" s="1149"/>
      <c r="O104" s="1149"/>
      <c r="P104" s="1149"/>
      <c r="Q104" s="1149"/>
      <c r="R104" s="1149"/>
      <c r="S104" s="1149"/>
      <c r="T104" s="1149"/>
      <c r="U104" s="1149"/>
    </row>
    <row r="105" spans="2:21" x14ac:dyDescent="0.55000000000000004">
      <c r="B105" s="1149"/>
      <c r="C105" s="1149"/>
      <c r="D105" s="1149"/>
      <c r="E105" s="1149"/>
      <c r="F105" s="1149"/>
      <c r="G105" s="1149"/>
      <c r="H105" s="1149"/>
      <c r="I105" s="1149"/>
      <c r="J105" s="1149"/>
      <c r="K105" s="1149"/>
      <c r="L105" s="1149"/>
      <c r="M105" s="1149"/>
      <c r="N105" s="1149"/>
      <c r="O105" s="1149"/>
      <c r="P105" s="1149"/>
      <c r="Q105" s="1149"/>
      <c r="R105" s="1149"/>
      <c r="S105" s="1149"/>
      <c r="T105" s="1149"/>
      <c r="U105" s="1149"/>
    </row>
    <row r="106" spans="2:21" x14ac:dyDescent="0.55000000000000004">
      <c r="B106" s="1149"/>
      <c r="C106" s="1149"/>
      <c r="D106" s="1149"/>
      <c r="E106" s="1149"/>
      <c r="F106" s="1149"/>
      <c r="G106" s="1149"/>
      <c r="H106" s="1149"/>
      <c r="I106" s="1149"/>
      <c r="J106" s="1149"/>
      <c r="K106" s="1149"/>
      <c r="L106" s="1149"/>
      <c r="M106" s="1149"/>
      <c r="N106" s="1149"/>
      <c r="O106" s="1149"/>
      <c r="P106" s="1149"/>
      <c r="Q106" s="1149"/>
      <c r="R106" s="1149"/>
      <c r="S106" s="1149"/>
      <c r="T106" s="1149"/>
      <c r="U106" s="1149"/>
    </row>
    <row r="107" spans="2:21" x14ac:dyDescent="0.55000000000000004">
      <c r="B107" s="1149"/>
      <c r="C107" s="1149"/>
      <c r="D107" s="1149"/>
      <c r="E107" s="1149"/>
      <c r="F107" s="1149"/>
      <c r="G107" s="1149"/>
      <c r="H107" s="1149"/>
      <c r="I107" s="1149"/>
      <c r="J107" s="1149"/>
      <c r="K107" s="1149"/>
      <c r="L107" s="1149"/>
      <c r="M107" s="1149"/>
      <c r="N107" s="1149"/>
      <c r="O107" s="1149"/>
      <c r="P107" s="1149"/>
      <c r="Q107" s="1149"/>
      <c r="R107" s="1149"/>
      <c r="S107" s="1149"/>
      <c r="T107" s="1149"/>
      <c r="U107" s="1149"/>
    </row>
    <row r="108" spans="2:21" x14ac:dyDescent="0.55000000000000004">
      <c r="B108" s="1149"/>
      <c r="C108" s="1149"/>
      <c r="D108" s="1149"/>
      <c r="E108" s="1149"/>
      <c r="F108" s="1149"/>
      <c r="G108" s="1149"/>
      <c r="H108" s="1149"/>
      <c r="I108" s="1149"/>
      <c r="J108" s="1149"/>
      <c r="K108" s="1149"/>
      <c r="L108" s="1149"/>
      <c r="M108" s="1149"/>
      <c r="N108" s="1149"/>
      <c r="O108" s="1149"/>
      <c r="P108" s="1149"/>
      <c r="Q108" s="1149"/>
      <c r="R108" s="1149"/>
      <c r="S108" s="1149"/>
      <c r="T108" s="1149"/>
      <c r="U108" s="1149"/>
    </row>
    <row r="109" spans="2:21" x14ac:dyDescent="0.55000000000000004">
      <c r="B109" s="1149"/>
      <c r="C109" s="1149"/>
      <c r="D109" s="1149"/>
      <c r="E109" s="1149"/>
      <c r="F109" s="1149"/>
      <c r="G109" s="1149"/>
      <c r="H109" s="1149"/>
      <c r="I109" s="1149"/>
      <c r="J109" s="1149"/>
      <c r="K109" s="1149"/>
      <c r="L109" s="1149"/>
      <c r="M109" s="1149"/>
      <c r="N109" s="1149"/>
      <c r="O109" s="1149"/>
      <c r="P109" s="1149"/>
      <c r="Q109" s="1149"/>
      <c r="R109" s="1149"/>
      <c r="S109" s="1149"/>
      <c r="T109" s="1149"/>
      <c r="U109" s="1149"/>
    </row>
    <row r="110" spans="2:21" x14ac:dyDescent="0.55000000000000004">
      <c r="B110" s="1149"/>
      <c r="C110" s="1149"/>
      <c r="D110" s="1149"/>
      <c r="E110" s="1149"/>
      <c r="F110" s="1149"/>
      <c r="G110" s="1149"/>
      <c r="H110" s="1149"/>
      <c r="I110" s="1149"/>
      <c r="J110" s="1149"/>
      <c r="K110" s="1149"/>
      <c r="L110" s="1149"/>
      <c r="M110" s="1149"/>
      <c r="N110" s="1149"/>
      <c r="O110" s="1149"/>
      <c r="P110" s="1149"/>
      <c r="Q110" s="1149"/>
      <c r="R110" s="1149"/>
      <c r="S110" s="1149"/>
      <c r="T110" s="1149"/>
      <c r="U110" s="1149"/>
    </row>
    <row r="111" spans="2:21" x14ac:dyDescent="0.55000000000000004">
      <c r="B111" s="1149"/>
      <c r="C111" s="1149"/>
      <c r="D111" s="1149"/>
      <c r="E111" s="1149"/>
      <c r="F111" s="1149"/>
      <c r="G111" s="1149"/>
      <c r="H111" s="1149"/>
      <c r="I111" s="1149"/>
      <c r="J111" s="1149"/>
      <c r="K111" s="1149"/>
      <c r="L111" s="1149"/>
      <c r="M111" s="1149"/>
      <c r="N111" s="1149"/>
      <c r="O111" s="1149"/>
      <c r="P111" s="1149"/>
      <c r="Q111" s="1149"/>
      <c r="R111" s="1149"/>
      <c r="S111" s="1149"/>
      <c r="T111" s="1149"/>
      <c r="U111" s="1149"/>
    </row>
    <row r="112" spans="2:21" x14ac:dyDescent="0.55000000000000004">
      <c r="B112" s="1149"/>
      <c r="C112" s="1149"/>
      <c r="D112" s="1149"/>
      <c r="E112" s="1149"/>
      <c r="F112" s="1149"/>
      <c r="G112" s="1149"/>
      <c r="H112" s="1149"/>
      <c r="I112" s="1149"/>
      <c r="J112" s="1149"/>
      <c r="K112" s="1149"/>
      <c r="L112" s="1149"/>
      <c r="M112" s="1149"/>
      <c r="N112" s="1149"/>
      <c r="O112" s="1149"/>
      <c r="P112" s="1149"/>
      <c r="Q112" s="1149"/>
      <c r="R112" s="1149"/>
      <c r="S112" s="1149"/>
      <c r="T112" s="1149"/>
      <c r="U112" s="1149"/>
    </row>
    <row r="113" spans="2:21" x14ac:dyDescent="0.55000000000000004">
      <c r="B113" s="1149"/>
      <c r="C113" s="1149"/>
      <c r="D113" s="1149"/>
      <c r="E113" s="1149"/>
      <c r="F113" s="1149"/>
      <c r="G113" s="1149"/>
      <c r="H113" s="1149"/>
      <c r="I113" s="1149"/>
      <c r="J113" s="1149"/>
      <c r="K113" s="1149"/>
      <c r="L113" s="1149"/>
      <c r="M113" s="1149"/>
      <c r="N113" s="1149"/>
      <c r="O113" s="1149"/>
      <c r="P113" s="1149"/>
      <c r="Q113" s="1149"/>
      <c r="R113" s="1149"/>
      <c r="S113" s="1149"/>
      <c r="T113" s="1149"/>
      <c r="U113" s="1149"/>
    </row>
    <row r="114" spans="2:21" x14ac:dyDescent="0.55000000000000004">
      <c r="B114" s="1149"/>
      <c r="C114" s="1149"/>
      <c r="D114" s="1149"/>
      <c r="E114" s="1149"/>
      <c r="F114" s="1149"/>
      <c r="G114" s="1149"/>
      <c r="H114" s="1149"/>
      <c r="I114" s="1149"/>
      <c r="J114" s="1149"/>
      <c r="K114" s="1149"/>
      <c r="L114" s="1149"/>
      <c r="M114" s="1149"/>
      <c r="N114" s="1149"/>
      <c r="O114" s="1149"/>
      <c r="P114" s="1149"/>
      <c r="Q114" s="1149"/>
      <c r="R114" s="1149"/>
      <c r="S114" s="1149"/>
      <c r="T114" s="1149"/>
      <c r="U114" s="1149"/>
    </row>
    <row r="115" spans="2:21" x14ac:dyDescent="0.55000000000000004">
      <c r="B115" s="1149"/>
      <c r="C115" s="1149"/>
      <c r="D115" s="1149"/>
      <c r="E115" s="1149"/>
      <c r="F115" s="1149"/>
      <c r="G115" s="1149"/>
      <c r="H115" s="1149"/>
      <c r="I115" s="1149"/>
      <c r="J115" s="1149"/>
      <c r="K115" s="1149"/>
      <c r="L115" s="1149"/>
      <c r="M115" s="1149"/>
      <c r="N115" s="1149"/>
      <c r="O115" s="1149"/>
      <c r="P115" s="1149"/>
      <c r="Q115" s="1149"/>
      <c r="R115" s="1149"/>
      <c r="S115" s="1149"/>
      <c r="T115" s="1149"/>
      <c r="U115" s="1149"/>
    </row>
    <row r="116" spans="2:21" x14ac:dyDescent="0.55000000000000004">
      <c r="B116" s="1149"/>
      <c r="C116" s="1149"/>
      <c r="D116" s="1149"/>
      <c r="E116" s="1149"/>
      <c r="F116" s="1149"/>
      <c r="G116" s="1149"/>
      <c r="H116" s="1149"/>
      <c r="I116" s="1149"/>
      <c r="J116" s="1149"/>
      <c r="K116" s="1149"/>
      <c r="L116" s="1149"/>
      <c r="M116" s="1149"/>
      <c r="N116" s="1149"/>
      <c r="O116" s="1149"/>
      <c r="P116" s="1149"/>
      <c r="Q116" s="1149"/>
      <c r="R116" s="1149"/>
      <c r="S116" s="1149"/>
      <c r="T116" s="1149"/>
      <c r="U116" s="1149"/>
    </row>
  </sheetData>
  <mergeCells count="8">
    <mergeCell ref="A3:S3"/>
    <mergeCell ref="A40:A41"/>
    <mergeCell ref="P5:S5"/>
    <mergeCell ref="A16:A25"/>
    <mergeCell ref="A27:A38"/>
    <mergeCell ref="A6:C6"/>
    <mergeCell ref="A7:A14"/>
    <mergeCell ref="F5:K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4" fitToHeight="0" orientation="landscape" r:id="rId1"/>
  <headerFooter scaleWithDoc="0">
    <oddFooter>&amp;R&amp;"-,기울임꼴"&amp;8&amp;P &amp; 페이지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pageSetUpPr fitToPage="1"/>
  </sheetPr>
  <dimension ref="A1:BE120"/>
  <sheetViews>
    <sheetView showGridLines="0" view="pageBreakPreview" zoomScale="70" zoomScaleNormal="100" zoomScaleSheetLayoutView="70" workbookViewId="0">
      <pane xSplit="3" ySplit="6" topLeftCell="D16" activePane="bottomRight" state="frozen"/>
      <selection activeCell="F34" sqref="F34:Q34"/>
      <selection pane="topRight" activeCell="F34" sqref="F34:Q34"/>
      <selection pane="bottomLeft" activeCell="F34" sqref="F34:Q34"/>
      <selection pane="bottomRight" activeCell="M1" sqref="M1:N2"/>
    </sheetView>
  </sheetViews>
  <sheetFormatPr defaultColWidth="9.140625" defaultRowHeight="15" outlineLevelCol="1" x14ac:dyDescent="0.55000000000000004"/>
  <cols>
    <col min="1" max="1" width="9.85546875" style="559" customWidth="1"/>
    <col min="2" max="2" width="10.92578125" style="559" customWidth="1"/>
    <col min="3" max="3" width="12.42578125" style="559" customWidth="1"/>
    <col min="4" max="6" width="12.5" style="559" customWidth="1"/>
    <col min="7" max="11" width="12.5" style="559" customWidth="1" outlineLevel="1"/>
    <col min="12" max="12" width="12.5" style="559" customWidth="1"/>
    <col min="13" max="14" width="12.5" style="559" customWidth="1" outlineLevel="1"/>
    <col min="15" max="20" width="12.5" style="559" customWidth="1"/>
    <col min="21" max="24" width="3.7109375" style="559" customWidth="1"/>
    <col min="25" max="37" width="8.640625" style="559" hidden="1" customWidth="1"/>
    <col min="38" max="38" width="7.42578125" style="559" hidden="1" customWidth="1"/>
    <col min="39" max="16384" width="9.140625" style="559"/>
  </cols>
  <sheetData>
    <row r="1" spans="1:57" x14ac:dyDescent="0.55000000000000004">
      <c r="C1" s="840"/>
      <c r="D1" s="840" t="s">
        <v>619</v>
      </c>
      <c r="E1" s="840" t="s">
        <v>449</v>
      </c>
      <c r="F1" s="843" t="s">
        <v>440</v>
      </c>
      <c r="G1" s="843" t="s">
        <v>439</v>
      </c>
      <c r="H1" s="843" t="s">
        <v>441</v>
      </c>
      <c r="I1" s="843" t="s">
        <v>620</v>
      </c>
      <c r="J1" s="843" t="s">
        <v>601</v>
      </c>
      <c r="K1" s="843" t="s">
        <v>605</v>
      </c>
      <c r="L1" s="840" t="s">
        <v>619</v>
      </c>
      <c r="M1" s="843" t="s">
        <v>685</v>
      </c>
      <c r="N1" s="843" t="s">
        <v>446</v>
      </c>
      <c r="O1" s="842" t="s">
        <v>1214</v>
      </c>
      <c r="P1" s="842" t="s">
        <v>1215</v>
      </c>
      <c r="Q1" s="840" t="s">
        <v>1208</v>
      </c>
      <c r="R1" s="840" t="s">
        <v>1216</v>
      </c>
      <c r="S1" s="840" t="s">
        <v>1217</v>
      </c>
      <c r="T1" s="840" t="s">
        <v>1218</v>
      </c>
      <c r="U1" s="840"/>
      <c r="V1" s="840"/>
      <c r="W1" s="844"/>
      <c r="X1" s="844"/>
    </row>
    <row r="2" spans="1:57" ht="15.45" thickBot="1" x14ac:dyDescent="0.6">
      <c r="C2" s="840"/>
      <c r="D2" s="840"/>
      <c r="E2" s="840"/>
      <c r="F2" s="843" t="s">
        <v>440</v>
      </c>
      <c r="G2" s="843" t="s">
        <v>439</v>
      </c>
      <c r="H2" s="843" t="s">
        <v>441</v>
      </c>
      <c r="I2" s="843" t="s">
        <v>620</v>
      </c>
      <c r="J2" s="843" t="s">
        <v>601</v>
      </c>
      <c r="K2" s="843" t="s">
        <v>605</v>
      </c>
      <c r="L2" s="840"/>
      <c r="M2" s="843" t="s">
        <v>685</v>
      </c>
      <c r="N2" s="843" t="s">
        <v>446</v>
      </c>
    </row>
    <row r="3" spans="1:57" ht="60" customHeight="1" thickTop="1" thickBot="1" x14ac:dyDescent="0.6">
      <c r="A3" s="7061" t="s">
        <v>844</v>
      </c>
      <c r="B3" s="7061"/>
      <c r="C3" s="7061"/>
      <c r="D3" s="7061"/>
      <c r="E3" s="7061"/>
      <c r="F3" s="7061"/>
      <c r="G3" s="7061"/>
      <c r="H3" s="7061"/>
      <c r="I3" s="7061"/>
      <c r="J3" s="7061"/>
      <c r="K3" s="7061"/>
      <c r="L3" s="7061"/>
      <c r="M3" s="7061"/>
      <c r="N3" s="7061"/>
      <c r="O3" s="7061"/>
      <c r="P3" s="7061"/>
      <c r="Q3" s="7061"/>
      <c r="R3" s="7061"/>
      <c r="S3" s="7061"/>
      <c r="T3" s="7061"/>
    </row>
    <row r="4" spans="1:57" s="561" customFormat="1" ht="15.55" customHeight="1" thickTop="1" thickBot="1" x14ac:dyDescent="0.6">
      <c r="A4" s="564"/>
      <c r="B4" s="845"/>
      <c r="C4" s="845"/>
      <c r="D4" s="845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AB4" s="562"/>
      <c r="AD4" s="562"/>
      <c r="AE4" s="562"/>
      <c r="AF4" s="563"/>
      <c r="AH4" s="562"/>
      <c r="AI4" s="563"/>
      <c r="BA4" s="566"/>
      <c r="BB4" s="566"/>
      <c r="BC4" s="566"/>
      <c r="BD4" s="566"/>
      <c r="BE4" s="566"/>
    </row>
    <row r="5" spans="1:57" ht="18" customHeight="1" thickBot="1" x14ac:dyDescent="0.6">
      <c r="B5" s="567"/>
      <c r="C5" s="567"/>
      <c r="D5" s="567"/>
      <c r="E5" s="567"/>
      <c r="F5" s="7278" t="s">
        <v>1050</v>
      </c>
      <c r="G5" s="7279"/>
      <c r="H5" s="7279"/>
      <c r="I5" s="7279"/>
      <c r="J5" s="7279"/>
      <c r="K5" s="7326"/>
      <c r="L5" s="567"/>
      <c r="M5" s="7239" t="s">
        <v>1159</v>
      </c>
      <c r="N5" s="7192"/>
      <c r="O5" s="7192"/>
      <c r="P5" s="7193"/>
      <c r="Q5" s="7071" t="str">
        <f>"연간누적실적(~"&amp;MONTH('※ 기타지표 세부데이터'!A1)&amp;"월)"</f>
        <v>연간누적실적(~2월)</v>
      </c>
      <c r="R5" s="7072"/>
      <c r="S5" s="7072"/>
      <c r="T5" s="7073"/>
      <c r="U5" s="846"/>
      <c r="V5" s="846"/>
      <c r="W5" s="846"/>
      <c r="X5" s="846"/>
    </row>
    <row r="6" spans="1:57" ht="16.75" thickBot="1" x14ac:dyDescent="0.6">
      <c r="A6" s="7487" t="s">
        <v>124</v>
      </c>
      <c r="B6" s="7323"/>
      <c r="C6" s="7324"/>
      <c r="D6" s="847" t="s">
        <v>829</v>
      </c>
      <c r="E6" s="848" t="s">
        <v>1213</v>
      </c>
      <c r="F6" s="849" t="str" cm="1">
        <f t="array" aca="1" ref="F6" ca="1">INDIRECT("'※ 기타지표 세부데이터'!"&amp;F$1&amp;$U6, TRUE)</f>
        <v>'25.1월</v>
      </c>
      <c r="G6" s="558" t="str" cm="1">
        <f t="array" aca="1" ref="G6" ca="1">INDIRECT("'※ 기타지표 세부데이터'!"&amp;G$1&amp;$U6, TRUE)</f>
        <v>'25.2월</v>
      </c>
      <c r="H6" s="558" t="str" cm="1">
        <f t="array" aca="1" ref="H6" ca="1">INDIRECT("'※ 기타지표 세부데이터'!"&amp;H$1&amp;$U6, TRUE)</f>
        <v>'25.3월</v>
      </c>
      <c r="I6" s="558" t="str" cm="1">
        <f t="array" aca="1" ref="I6" ca="1">INDIRECT("'※ 기타지표 세부데이터'!"&amp;I$1&amp;$U6, TRUE)</f>
        <v>'25.4월</v>
      </c>
      <c r="J6" s="558" t="str" cm="1">
        <f t="array" aca="1" ref="J6" ca="1">INDIRECT("'※ 기타지표 세부데이터'!"&amp;J$1&amp;$U6, TRUE)</f>
        <v>'25.5월</v>
      </c>
      <c r="K6" s="6257" t="str" cm="1">
        <f t="array" aca="1" ref="K6" ca="1">INDIRECT("'※ 기타지표 세부데이터'!"&amp;K$1&amp;$U6, TRUE)</f>
        <v>'25.6월</v>
      </c>
      <c r="L6" s="6304" t="s">
        <v>1210</v>
      </c>
      <c r="M6" s="1155" t="str" cm="1">
        <f t="array" aca="1" ref="M6" ca="1">INDIRECT("'※ 기타지표 세부데이터'!"&amp;M$1&amp;$U6, TRUE)</f>
        <v>'26.1월</v>
      </c>
      <c r="N6" s="558" t="str" cm="1">
        <f t="array" aca="1" ref="N6" ca="1">INDIRECT("'※ 기타지표 세부데이터'!"&amp;N$1&amp;$U6, TRUE)</f>
        <v>'26.2월</v>
      </c>
      <c r="O6" s="850" t="s">
        <v>130</v>
      </c>
      <c r="P6" s="851" t="s">
        <v>443</v>
      </c>
      <c r="Q6" s="852" t="s">
        <v>44</v>
      </c>
      <c r="R6" s="846" t="s">
        <v>569</v>
      </c>
      <c r="S6" s="853" t="s">
        <v>45</v>
      </c>
      <c r="T6" s="854" t="s">
        <v>11</v>
      </c>
      <c r="U6" s="855">
        <f>ROW('※ 기타지표 세부데이터'!J3)</f>
        <v>3</v>
      </c>
      <c r="V6" s="856"/>
      <c r="W6" s="856"/>
      <c r="X6" s="856"/>
      <c r="Y6" s="570" t="s">
        <v>575</v>
      </c>
      <c r="Z6" s="570" t="s">
        <v>553</v>
      </c>
      <c r="AA6" s="570" t="s">
        <v>574</v>
      </c>
      <c r="AB6" s="570" t="s">
        <v>555</v>
      </c>
      <c r="AC6" s="570" t="s">
        <v>556</v>
      </c>
      <c r="AD6" s="570" t="s">
        <v>557</v>
      </c>
      <c r="AE6" s="570" t="s">
        <v>558</v>
      </c>
      <c r="AF6" s="570" t="s">
        <v>559</v>
      </c>
      <c r="AG6" s="570" t="s">
        <v>560</v>
      </c>
      <c r="AH6" s="570" t="s">
        <v>561</v>
      </c>
      <c r="AI6" s="570" t="s">
        <v>562</v>
      </c>
      <c r="AJ6" s="570" t="s">
        <v>563</v>
      </c>
      <c r="AK6" s="570" t="s">
        <v>564</v>
      </c>
    </row>
    <row r="7" spans="1:57" x14ac:dyDescent="0.55000000000000004">
      <c r="A7" s="7513" t="s">
        <v>275</v>
      </c>
      <c r="B7" s="857" t="s">
        <v>274</v>
      </c>
      <c r="C7" s="858"/>
      <c r="D7" s="859" cm="1">
        <f t="array" aca="1" ref="D7" ca="1">INDIRECT("'※ 기타지표 세부데이터'!"&amp;D$1&amp;$U7, TRUE)</f>
        <v>97.5</v>
      </c>
      <c r="E7" s="859" cm="1">
        <f t="array" aca="1" ref="E7" ca="1">INDIRECT("'※ 기타지표 세부데이터'!"&amp;E$1&amp;$U7, TRUE)</f>
        <v>98.383333333333326</v>
      </c>
      <c r="F7" s="860" cm="1">
        <f t="array" aca="1" ref="F7" ca="1">INDIRECT("'※ 기타지표 세부데이터'!"&amp;F$1&amp;$U7, TRUE)</f>
        <v>98.3</v>
      </c>
      <c r="G7" s="861" cm="1">
        <f t="array" aca="1" ref="G7" ca="1">INDIRECT("'※ 기타지표 세부데이터'!"&amp;G$1&amp;$U7, TRUE)</f>
        <v>98.3</v>
      </c>
      <c r="H7" s="861" cm="1">
        <f t="array" aca="1" ref="H7" ca="1">INDIRECT("'※ 기타지표 세부데이터'!"&amp;H$1&amp;$U7, TRUE)</f>
        <v>98.4</v>
      </c>
      <c r="I7" s="861" cm="1">
        <f t="array" aca="1" ref="I7" ca="1">INDIRECT("'※ 기타지표 세부데이터'!"&amp;I$1&amp;$U7, TRUE)</f>
        <v>98.6</v>
      </c>
      <c r="J7" s="861" cm="1">
        <f t="array" aca="1" ref="J7" ca="1">INDIRECT("'※ 기타지표 세부데이터'!"&amp;J$1&amp;$U7, TRUE)</f>
        <v>98.2</v>
      </c>
      <c r="K7" s="861" cm="1">
        <f t="array" aca="1" ref="K7" ca="1">INDIRECT("'※ 기타지표 세부데이터'!"&amp;K$1&amp;$U7, TRUE)</f>
        <v>98.4</v>
      </c>
      <c r="L7" s="6305" cm="1">
        <f t="array" aca="1" ref="L7" ca="1">INDIRECT("'※ 기타지표 세부데이터'!"&amp;L$1&amp;$U7, TRUE)</f>
        <v>97.5</v>
      </c>
      <c r="M7" s="861" cm="1">
        <f t="array" aca="1" ref="M7" ca="1">INDIRECT("'※ 기타지표 세부데이터'!"&amp;M$1&amp;$U7, TRUE)</f>
        <v>98.5</v>
      </c>
      <c r="N7" s="861" cm="1">
        <f t="array" aca="1" ref="N7" ca="1">INDIRECT("'※ 기타지표 세부데이터'!"&amp;N$1&amp;$U7, TRUE)</f>
        <v>98.6</v>
      </c>
      <c r="O7" s="862" cm="1">
        <f t="array" aca="1" ref="O7" ca="1">INDIRECT("'※ 기타지표 세부데이터'!"&amp;O$1&amp;$U7, TRUE)</f>
        <v>9.9999999999994316E-2</v>
      </c>
      <c r="P7" s="863" cm="1">
        <f t="array" aca="1" ref="P7" ca="1">INDIRECT("'※ 기타지표 세부데이터'!"&amp;P$1&amp;$U7, TRUE)</f>
        <v>0.29999999999999716</v>
      </c>
      <c r="Q7" s="864" cm="1">
        <f t="array" aca="1" ref="Q7" ca="1">INDIRECT("'※ 기타지표 세부데이터'!"&amp;Q$1&amp;$U7, TRUE)</f>
        <v>98.55</v>
      </c>
      <c r="R7" s="865" cm="1">
        <f t="array" aca="1" ref="R7" ca="1">INDIRECT("'※ 기타지표 세부데이터'!"&amp;R$1&amp;$U7, TRUE)</f>
        <v>0.5</v>
      </c>
      <c r="S7" s="862" cm="1">
        <f t="array" aca="1" ref="S7" ca="1">INDIRECT("'※ 기타지표 세부데이터'!"&amp;S$1&amp;$U7, TRUE)</f>
        <v>98.55</v>
      </c>
      <c r="T7" s="866" cm="1">
        <f t="array" aca="1" ref="T7" ca="1">INDIRECT("'※ 기타지표 세부데이터'!"&amp;T$1&amp;$U7, TRUE)</f>
        <v>0.1666666666666714</v>
      </c>
      <c r="U7" s="855">
        <f>ROW('※ 기타지표 세부데이터'!J4)</f>
        <v>4</v>
      </c>
      <c r="V7" s="867"/>
      <c r="W7" s="867"/>
      <c r="X7" s="867"/>
      <c r="Y7" s="868">
        <v>98.399443716211621</v>
      </c>
      <c r="Z7" s="868">
        <v>98.68915370632196</v>
      </c>
      <c r="AA7" s="868">
        <v>97.776355596928084</v>
      </c>
      <c r="AB7" s="868">
        <v>98.709973954343496</v>
      </c>
      <c r="AC7" s="868">
        <v>98.676118578530662</v>
      </c>
      <c r="AD7" s="868">
        <v>98.227590591226956</v>
      </c>
      <c r="AE7" s="868">
        <v>98.428591489959274</v>
      </c>
      <c r="AF7" s="868">
        <v>98.389112003569835</v>
      </c>
      <c r="AG7" s="868">
        <v>97.647587990554371</v>
      </c>
      <c r="AH7" s="868">
        <v>98.363116511794132</v>
      </c>
      <c r="AI7" s="868">
        <v>98.641300286461572</v>
      </c>
      <c r="AJ7" s="868">
        <v>99.157969885773625</v>
      </c>
      <c r="AK7" s="868">
        <v>98.08645399907536</v>
      </c>
    </row>
    <row r="8" spans="1:57" x14ac:dyDescent="0.55000000000000004">
      <c r="A8" s="7514"/>
      <c r="B8" s="869" t="s">
        <v>577</v>
      </c>
      <c r="C8" s="867"/>
      <c r="D8" s="870" cm="1">
        <f t="array" aca="1" ref="D8" ca="1">INDIRECT("'※ 기타지표 세부데이터'!"&amp;D$1&amp;$U8, TRUE)</f>
        <v>96.733333333333334</v>
      </c>
      <c r="E8" s="870" cm="1">
        <f t="array" aca="1" ref="E8" ca="1">INDIRECT("'※ 기타지표 세부데이터'!"&amp;E$1&amp;$U8, TRUE)</f>
        <v>97.600286026481555</v>
      </c>
      <c r="F8" s="871" cm="1">
        <f t="array" aca="1" ref="F8" ca="1">INDIRECT("'※ 기타지표 세부데이터'!"&amp;F$1&amp;$U8, TRUE)</f>
        <v>97.5</v>
      </c>
      <c r="G8" s="872" cm="1">
        <f t="array" aca="1" ref="G8" ca="1">INDIRECT("'※ 기타지표 세부데이터'!"&amp;G$1&amp;$U8, TRUE)</f>
        <v>97.7</v>
      </c>
      <c r="H8" s="872" cm="1">
        <f t="array" aca="1" ref="H8" ca="1">INDIRECT("'※ 기타지표 세부데이터'!"&amp;H$1&amp;$U8, TRUE)</f>
        <v>97.7</v>
      </c>
      <c r="I8" s="872" cm="1">
        <f t="array" aca="1" ref="I8" ca="1">INDIRECT("'※ 기타지표 세부데이터'!"&amp;I$1&amp;$U8, TRUE)</f>
        <v>97.8</v>
      </c>
      <c r="J8" s="872" cm="1">
        <f t="array" aca="1" ref="J8" ca="1">INDIRECT("'※ 기타지표 세부데이터'!"&amp;J$1&amp;$U8, TRUE)</f>
        <v>97.4</v>
      </c>
      <c r="K8" s="872" cm="1">
        <f t="array" aca="1" ref="K8" ca="1">INDIRECT("'※ 기타지표 세부데이터'!"&amp;K$1&amp;$U8, TRUE)</f>
        <v>97.6</v>
      </c>
      <c r="L8" s="6306" cm="1">
        <f t="array" aca="1" ref="L8" ca="1">INDIRECT("'※ 기타지표 세부데이터'!"&amp;L$1&amp;$U8, TRUE)</f>
        <v>96.733333333333334</v>
      </c>
      <c r="M8" s="872" cm="1">
        <f t="array" aca="1" ref="M8" ca="1">INDIRECT("'※ 기타지표 세부데이터'!"&amp;M$1&amp;$U8, TRUE)</f>
        <v>97.6</v>
      </c>
      <c r="N8" s="872" cm="1">
        <f t="array" aca="1" ref="N8" ca="1">INDIRECT("'※ 기타지표 세부데이터'!"&amp;N$1&amp;$U8, TRUE)</f>
        <v>97.5</v>
      </c>
      <c r="O8" s="873" cm="1">
        <f t="array" aca="1" ref="O8" ca="1">INDIRECT("'※ 기타지표 세부데이터'!"&amp;O$1&amp;$U8, TRUE)</f>
        <v>-9.9999999999994316E-2</v>
      </c>
      <c r="P8" s="874" cm="1">
        <f t="array" aca="1" ref="P8" ca="1">INDIRECT("'※ 기타지표 세부데이터'!"&amp;P$1&amp;$U8, TRUE)</f>
        <v>-0.20000000000000284</v>
      </c>
      <c r="Q8" s="875" cm="1">
        <f t="array" aca="1" ref="Q8" ca="1">INDIRECT("'※ 기타지표 세부데이터'!"&amp;Q$1&amp;$U8, TRUE)</f>
        <v>97.55</v>
      </c>
      <c r="R8" s="876" cm="1">
        <f t="array" aca="1" ref="R8" ca="1">INDIRECT("'※ 기타지표 세부데이터'!"&amp;R$1&amp;$U8, TRUE)</f>
        <v>-9.9999999999994316E-2</v>
      </c>
      <c r="S8" s="877" cm="1">
        <f t="array" aca="1" ref="S8" ca="1">INDIRECT("'※ 기타지표 세부데이터'!"&amp;S$1&amp;$U8, TRUE)</f>
        <v>97.55</v>
      </c>
      <c r="T8" s="878" cm="1">
        <f t="array" aca="1" ref="T8" ca="1">INDIRECT("'※ 기타지표 세부데이터'!"&amp;T$1&amp;$U8, TRUE)</f>
        <v>-5.028602648155811E-2</v>
      </c>
      <c r="U8" s="855">
        <f>ROW('※ 기타지표 세부데이터'!J5)</f>
        <v>5</v>
      </c>
      <c r="V8" s="867"/>
      <c r="W8" s="867"/>
      <c r="X8" s="867"/>
      <c r="Y8" s="868">
        <v>95.345346447535178</v>
      </c>
      <c r="Z8" s="868">
        <v>95.459761321909426</v>
      </c>
      <c r="AA8" s="868">
        <v>94.60164194421121</v>
      </c>
      <c r="AB8" s="868">
        <v>95.525611501836067</v>
      </c>
      <c r="AC8" s="868">
        <v>95.177967348139433</v>
      </c>
      <c r="AD8" s="868">
        <v>94.847599830076462</v>
      </c>
      <c r="AE8" s="868">
        <v>94.777662277662273</v>
      </c>
      <c r="AF8" s="868">
        <v>94.870935716058568</v>
      </c>
      <c r="AG8" s="868">
        <v>94.193355581013094</v>
      </c>
      <c r="AH8" s="868">
        <v>94.905660377358487</v>
      </c>
      <c r="AI8" s="868">
        <v>96.904410593917518</v>
      </c>
      <c r="AJ8" s="868">
        <v>97.942293126301834</v>
      </c>
      <c r="AK8" s="868">
        <v>94.937257751937977</v>
      </c>
    </row>
    <row r="9" spans="1:57" x14ac:dyDescent="0.55000000000000004">
      <c r="A9" s="7514"/>
      <c r="B9" s="869" t="s">
        <v>576</v>
      </c>
      <c r="C9" s="867"/>
      <c r="D9" s="870" cm="1">
        <f t="array" aca="1" ref="D9" ca="1">INDIRECT("'※ 기타지표 세부데이터'!"&amp;D$1&amp;$U9, TRUE)</f>
        <v>96.483333333333334</v>
      </c>
      <c r="E9" s="870" cm="1">
        <f t="array" aca="1" ref="E9" ca="1">INDIRECT("'※ 기타지표 세부데이터'!"&amp;E$1&amp;$U9, TRUE)</f>
        <v>97.298111272025096</v>
      </c>
      <c r="F9" s="871" cm="1">
        <f t="array" aca="1" ref="F9" ca="1">INDIRECT("'※ 기타지표 세부데이터'!"&amp;F$1&amp;$U9, TRUE)</f>
        <v>97.3</v>
      </c>
      <c r="G9" s="872" cm="1">
        <f t="array" aca="1" ref="G9" ca="1">INDIRECT("'※ 기타지표 세부데이터'!"&amp;G$1&amp;$U9, TRUE)</f>
        <v>97.4</v>
      </c>
      <c r="H9" s="872" cm="1">
        <f t="array" aca="1" ref="H9" ca="1">INDIRECT("'※ 기타지표 세부데이터'!"&amp;H$1&amp;$U9, TRUE)</f>
        <v>97.5</v>
      </c>
      <c r="I9" s="872" cm="1">
        <f t="array" aca="1" ref="I9" ca="1">INDIRECT("'※ 기타지표 세부데이터'!"&amp;I$1&amp;$U9, TRUE)</f>
        <v>97.5</v>
      </c>
      <c r="J9" s="872" cm="1">
        <f t="array" aca="1" ref="J9" ca="1">INDIRECT("'※ 기타지표 세부데이터'!"&amp;J$1&amp;$U9, TRUE)</f>
        <v>97.1</v>
      </c>
      <c r="K9" s="872" cm="1">
        <f t="array" aca="1" ref="K9" ca="1">INDIRECT("'※ 기타지표 세부데이터'!"&amp;K$1&amp;$U9, TRUE)</f>
        <v>97.3</v>
      </c>
      <c r="L9" s="6306" cm="1">
        <f t="array" aca="1" ref="L9" ca="1">INDIRECT("'※ 기타지표 세부데이터'!"&amp;L$1&amp;$U9, TRUE)</f>
        <v>96.483333333333334</v>
      </c>
      <c r="M9" s="872" cm="1">
        <f t="array" aca="1" ref="M9" ca="1">INDIRECT("'※ 기타지표 세부데이터'!"&amp;M$1&amp;$U9, TRUE)</f>
        <v>97.2</v>
      </c>
      <c r="N9" s="872" cm="1">
        <f t="array" aca="1" ref="N9" ca="1">INDIRECT("'※ 기타지표 세부데이터'!"&amp;N$1&amp;$U9, TRUE)</f>
        <v>97.2</v>
      </c>
      <c r="O9" s="873" cm="1">
        <f t="array" aca="1" ref="O9" ca="1">INDIRECT("'※ 기타지표 세부데이터'!"&amp;O$1&amp;$U9, TRUE)</f>
        <v>0</v>
      </c>
      <c r="P9" s="874" cm="1">
        <f t="array" aca="1" ref="P9" ca="1">INDIRECT("'※ 기타지표 세부데이터'!"&amp;P$1&amp;$U9, TRUE)</f>
        <v>-0.20000000000000284</v>
      </c>
      <c r="Q9" s="875" cm="1">
        <f t="array" aca="1" ref="Q9" ca="1">INDIRECT("'※ 기타지표 세부데이터'!"&amp;Q$1&amp;$U9, TRUE)</f>
        <v>97.2</v>
      </c>
      <c r="R9" s="876" cm="1">
        <f t="array" aca="1" ref="R9" ca="1">INDIRECT("'※ 기타지표 세부데이터'!"&amp;R$1&amp;$U9, TRUE)</f>
        <v>-0.29999999999998295</v>
      </c>
      <c r="S9" s="877" cm="1">
        <f t="array" aca="1" ref="S9" ca="1">INDIRECT("'※ 기타지표 세부데이터'!"&amp;S$1&amp;$U9, TRUE)</f>
        <v>97.2</v>
      </c>
      <c r="T9" s="878" cm="1">
        <f t="array" aca="1" ref="T9" ca="1">INDIRECT("'※ 기타지표 세부데이터'!"&amp;T$1&amp;$U9, TRUE)</f>
        <v>-9.8111272025093399E-2</v>
      </c>
      <c r="U9" s="855">
        <f>ROW('※ 기타지표 세부데이터'!J6)</f>
        <v>6</v>
      </c>
      <c r="V9" s="867"/>
      <c r="W9" s="867"/>
      <c r="X9" s="867"/>
      <c r="Y9" s="868">
        <v>93.278423287341823</v>
      </c>
      <c r="Z9" s="868">
        <v>93.490949390469154</v>
      </c>
      <c r="AA9" s="868">
        <v>92.477421364061044</v>
      </c>
      <c r="AB9" s="868">
        <v>93.346960167714883</v>
      </c>
      <c r="AC9" s="868">
        <v>92.851720337945395</v>
      </c>
      <c r="AD9" s="868">
        <v>92.423634539983581</v>
      </c>
      <c r="AE9" s="868">
        <v>92.227562530652278</v>
      </c>
      <c r="AF9" s="868">
        <v>92.352815926753962</v>
      </c>
      <c r="AG9" s="868">
        <v>91.446709585121596</v>
      </c>
      <c r="AH9" s="868">
        <v>92.618147448015122</v>
      </c>
      <c r="AI9" s="868">
        <v>95.614594894561591</v>
      </c>
      <c r="AJ9" s="868">
        <v>97.24441132637854</v>
      </c>
      <c r="AK9" s="868">
        <v>93.246151936444889</v>
      </c>
    </row>
    <row r="10" spans="1:57" x14ac:dyDescent="0.55000000000000004">
      <c r="A10" s="7514"/>
      <c r="B10" s="594" t="s">
        <v>277</v>
      </c>
      <c r="C10" s="594"/>
      <c r="D10" s="879" cm="1">
        <f t="array" aca="1" ref="D10" ca="1">INDIRECT("'※ 기타지표 세부데이터'!"&amp;D$1&amp;$U10, TRUE)</f>
        <v>96.683333333333351</v>
      </c>
      <c r="E10" s="879" cm="1">
        <f t="array" aca="1" ref="E10" ca="1">INDIRECT("'※ 기타지표 세부데이터'!"&amp;E$1&amp;$U10, TRUE)</f>
        <v>98.316666666666663</v>
      </c>
      <c r="F10" s="880" cm="1">
        <f t="array" aca="1" ref="F10" ca="1">INDIRECT("'※ 기타지표 세부데이터'!"&amp;F$1&amp;$U10, TRUE)</f>
        <v>98.3</v>
      </c>
      <c r="G10" s="881" cm="1">
        <f t="array" aca="1" ref="G10" ca="1">INDIRECT("'※ 기타지표 세부데이터'!"&amp;G$1&amp;$U10, TRUE)</f>
        <v>98</v>
      </c>
      <c r="H10" s="881" cm="1">
        <f t="array" aca="1" ref="H10" ca="1">INDIRECT("'※ 기타지표 세부데이터'!"&amp;H$1&amp;$U10, TRUE)</f>
        <v>98.7</v>
      </c>
      <c r="I10" s="881" cm="1">
        <f t="array" aca="1" ref="I10" ca="1">INDIRECT("'※ 기타지표 세부데이터'!"&amp;I$1&amp;$U10, TRUE)</f>
        <v>98.7</v>
      </c>
      <c r="J10" s="881" cm="1">
        <f t="array" aca="1" ref="J10" ca="1">INDIRECT("'※ 기타지표 세부데이터'!"&amp;J$1&amp;$U10, TRUE)</f>
        <v>97.6</v>
      </c>
      <c r="K10" s="881" cm="1">
        <f t="array" aca="1" ref="K10" ca="1">INDIRECT("'※ 기타지표 세부데이터'!"&amp;K$1&amp;$U10, TRUE)</f>
        <v>97.8</v>
      </c>
      <c r="L10" s="6307" cm="1">
        <f t="array" aca="1" ref="L10" ca="1">INDIRECT("'※ 기타지표 세부데이터'!"&amp;L$1&amp;$U10, TRUE)</f>
        <v>96.683333333333351</v>
      </c>
      <c r="M10" s="881" cm="1">
        <f t="array" aca="1" ref="M10" ca="1">INDIRECT("'※ 기타지표 세부데이터'!"&amp;M$1&amp;$U10, TRUE)</f>
        <v>98.1</v>
      </c>
      <c r="N10" s="881" cm="1">
        <f t="array" aca="1" ref="N10" ca="1">INDIRECT("'※ 기타지표 세부데이터'!"&amp;N$1&amp;$U10, TRUE)</f>
        <v>99</v>
      </c>
      <c r="O10" s="597" cm="1">
        <f t="array" aca="1" ref="O10" ca="1">INDIRECT("'※ 기타지표 세부데이터'!"&amp;O$1&amp;$U10, TRUE)</f>
        <v>0.90000000000000568</v>
      </c>
      <c r="P10" s="882" cm="1">
        <f t="array" aca="1" ref="P10" ca="1">INDIRECT("'※ 기타지표 세부데이터'!"&amp;P$1&amp;$U10, TRUE)</f>
        <v>1</v>
      </c>
      <c r="Q10" s="883" cm="1">
        <f t="array" aca="1" ref="Q10" ca="1">INDIRECT("'※ 기타지표 세부데이터'!"&amp;Q$1&amp;$U10, TRUE)</f>
        <v>98.55</v>
      </c>
      <c r="R10" s="598" cm="1">
        <f t="array" aca="1" ref="R10" ca="1">INDIRECT("'※ 기타지표 세부데이터'!"&amp;R$1&amp;$U10, TRUE)</f>
        <v>0.79999999999998295</v>
      </c>
      <c r="S10" s="884" cm="1">
        <f t="array" aca="1" ref="S10" ca="1">INDIRECT("'※ 기타지표 세부데이터'!"&amp;S$1&amp;$U10, TRUE)</f>
        <v>98.55</v>
      </c>
      <c r="T10" s="885" cm="1">
        <f t="array" aca="1" ref="T10" ca="1">INDIRECT("'※ 기타지표 세부데이터'!"&amp;T$1&amp;$U10, TRUE)</f>
        <v>0.23333333333333428</v>
      </c>
      <c r="U10" s="855">
        <f>ROW('※ 기타지표 세부데이터'!J7)</f>
        <v>7</v>
      </c>
      <c r="V10" s="886"/>
      <c r="W10" s="886"/>
      <c r="X10" s="886"/>
      <c r="Y10" s="868">
        <v>97.894890942135774</v>
      </c>
      <c r="Z10" s="868">
        <v>97.932011331444755</v>
      </c>
      <c r="AA10" s="868">
        <v>97.078651685393254</v>
      </c>
      <c r="AB10" s="868">
        <v>98.288888888888891</v>
      </c>
      <c r="AC10" s="868">
        <v>98.935361216730044</v>
      </c>
      <c r="AD10" s="868">
        <v>98.019943019943014</v>
      </c>
      <c r="AE10" s="868">
        <v>98.336025848142171</v>
      </c>
      <c r="AF10" s="868">
        <v>97.755834829443444</v>
      </c>
      <c r="AG10" s="868">
        <v>96.869983948635635</v>
      </c>
      <c r="AH10" s="868">
        <v>97.752808988764045</v>
      </c>
      <c r="AI10" s="868">
        <v>97.906930693069313</v>
      </c>
      <c r="AJ10" s="868">
        <v>98.762633996937211</v>
      </c>
      <c r="AK10" s="868">
        <v>97.099616858237553</v>
      </c>
    </row>
    <row r="11" spans="1:57" x14ac:dyDescent="0.55000000000000004">
      <c r="A11" s="7514"/>
      <c r="B11" s="594" t="s">
        <v>278</v>
      </c>
      <c r="C11" s="594"/>
      <c r="D11" s="879" cm="1">
        <f t="array" aca="1" ref="D11" ca="1">INDIRECT("'※ 기타지표 세부데이터'!"&amp;D$1&amp;$U11, TRUE)</f>
        <v>97.141666666666666</v>
      </c>
      <c r="E11" s="879" cm="1">
        <f t="array" aca="1" ref="E11" ca="1">INDIRECT("'※ 기타지표 세부데이터'!"&amp;E$1&amp;$U11, TRUE)</f>
        <v>98.233333333333306</v>
      </c>
      <c r="F11" s="880" cm="1">
        <f t="array" aca="1" ref="F11" ca="1">INDIRECT("'※ 기타지표 세부데이터'!"&amp;F$1&amp;$U11, TRUE)</f>
        <v>98</v>
      </c>
      <c r="G11" s="881" cm="1">
        <f t="array" aca="1" ref="G11" ca="1">INDIRECT("'※ 기타지표 세부데이터'!"&amp;G$1&amp;$U11, TRUE)</f>
        <v>98.1</v>
      </c>
      <c r="H11" s="881" cm="1">
        <f t="array" aca="1" ref="H11" ca="1">INDIRECT("'※ 기타지표 세부데이터'!"&amp;H$1&amp;$U11, TRUE)</f>
        <v>98.3</v>
      </c>
      <c r="I11" s="881" cm="1">
        <f t="array" aca="1" ref="I11" ca="1">INDIRECT("'※ 기타지표 세부데이터'!"&amp;I$1&amp;$U11, TRUE)</f>
        <v>98.7</v>
      </c>
      <c r="J11" s="881" cm="1">
        <f t="array" aca="1" ref="J11" ca="1">INDIRECT("'※ 기타지표 세부데이터'!"&amp;J$1&amp;$U11, TRUE)</f>
        <v>98.2</v>
      </c>
      <c r="K11" s="881" cm="1">
        <f t="array" aca="1" ref="K11" ca="1">INDIRECT("'※ 기타지표 세부데이터'!"&amp;K$1&amp;$U11, TRUE)</f>
        <v>98.3</v>
      </c>
      <c r="L11" s="6307" cm="1">
        <f t="array" aca="1" ref="L11" ca="1">INDIRECT("'※ 기타지표 세부데이터'!"&amp;L$1&amp;$U11, TRUE)</f>
        <v>97.141666666666666</v>
      </c>
      <c r="M11" s="881" cm="1">
        <f t="array" aca="1" ref="M11" ca="1">INDIRECT("'※ 기타지표 세부데이터'!"&amp;M$1&amp;$U11, TRUE)</f>
        <v>98.6</v>
      </c>
      <c r="N11" s="881" cm="1">
        <f t="array" aca="1" ref="N11" ca="1">INDIRECT("'※ 기타지표 세부데이터'!"&amp;N$1&amp;$U11, TRUE)</f>
        <v>98.6</v>
      </c>
      <c r="O11" s="597" cm="1">
        <f t="array" aca="1" ref="O11" ca="1">INDIRECT("'※ 기타지표 세부데이터'!"&amp;O$1&amp;$U11, TRUE)</f>
        <v>0</v>
      </c>
      <c r="P11" s="882" cm="1">
        <f t="array" aca="1" ref="P11" ca="1">INDIRECT("'※ 기타지표 세부데이터'!"&amp;P$1&amp;$U11, TRUE)</f>
        <v>0.5</v>
      </c>
      <c r="Q11" s="883" cm="1">
        <f t="array" aca="1" ref="Q11" ca="1">INDIRECT("'※ 기타지표 세부데이터'!"&amp;Q$1&amp;$U11, TRUE)</f>
        <v>98.6</v>
      </c>
      <c r="R11" s="598" cm="1">
        <f t="array" aca="1" ref="R11" ca="1">INDIRECT("'※ 기타지표 세부데이터'!"&amp;R$1&amp;$U11, TRUE)</f>
        <v>1.0999999999999943</v>
      </c>
      <c r="S11" s="884" cm="1">
        <f t="array" aca="1" ref="S11" ca="1">INDIRECT("'※ 기타지표 세부데이터'!"&amp;S$1&amp;$U11, TRUE)</f>
        <v>98.6</v>
      </c>
      <c r="T11" s="885" cm="1">
        <f t="array" aca="1" ref="T11" ca="1">INDIRECT("'※ 기타지표 세부데이터'!"&amp;T$1&amp;$U11, TRUE)</f>
        <v>0.36666666666668846</v>
      </c>
      <c r="U11" s="855">
        <f>ROW('※ 기타지표 세부데이터'!J8)</f>
        <v>8</v>
      </c>
      <c r="V11" s="886"/>
      <c r="W11" s="886"/>
      <c r="X11" s="886"/>
      <c r="Y11" s="868">
        <v>97.786365556312319</v>
      </c>
      <c r="Z11" s="868">
        <v>98.914549653579684</v>
      </c>
      <c r="AA11" s="868">
        <v>96.642958748221901</v>
      </c>
      <c r="AB11" s="868">
        <v>97.76</v>
      </c>
      <c r="AC11" s="868">
        <v>98.050458715596335</v>
      </c>
      <c r="AD11" s="868">
        <v>97.541729893778452</v>
      </c>
      <c r="AE11" s="868">
        <v>98.427876823338735</v>
      </c>
      <c r="AF11" s="868">
        <v>97.583333333333329</v>
      </c>
      <c r="AG11" s="868">
        <v>97.206851119894594</v>
      </c>
      <c r="AH11" s="868">
        <v>97.896440129449843</v>
      </c>
      <c r="AI11" s="868">
        <v>98.072968490878935</v>
      </c>
      <c r="AJ11" s="868">
        <v>98.131672597864764</v>
      </c>
      <c r="AK11" s="868">
        <v>97.20754716981132</v>
      </c>
    </row>
    <row r="12" spans="1:57" x14ac:dyDescent="0.55000000000000004">
      <c r="A12" s="7514"/>
      <c r="B12" s="594" t="s">
        <v>279</v>
      </c>
      <c r="C12" s="594"/>
      <c r="D12" s="879" cm="1">
        <f t="array" aca="1" ref="D12" ca="1">INDIRECT("'※ 기타지표 세부데이터'!"&amp;D$1&amp;$U12, TRUE)</f>
        <v>97.183333333333337</v>
      </c>
      <c r="E12" s="879" cm="1">
        <f t="array" aca="1" ref="E12" ca="1">INDIRECT("'※ 기타지표 세부데이터'!"&amp;E$1&amp;$U12, TRUE)</f>
        <v>97.958333333333329</v>
      </c>
      <c r="F12" s="880" cm="1">
        <f t="array" aca="1" ref="F12" ca="1">INDIRECT("'※ 기타지표 세부데이터'!"&amp;F$1&amp;$U12, TRUE)</f>
        <v>98.6</v>
      </c>
      <c r="G12" s="881" cm="1">
        <f t="array" aca="1" ref="G12" ca="1">INDIRECT("'※ 기타지표 세부데이터'!"&amp;G$1&amp;$U12, TRUE)</f>
        <v>97.1</v>
      </c>
      <c r="H12" s="881" cm="1">
        <f t="array" aca="1" ref="H12" ca="1">INDIRECT("'※ 기타지표 세부데이터'!"&amp;H$1&amp;$U12, TRUE)</f>
        <v>98.2</v>
      </c>
      <c r="I12" s="881" cm="1">
        <f t="array" aca="1" ref="I12" ca="1">INDIRECT("'※ 기타지표 세부데이터'!"&amp;I$1&amp;$U12, TRUE)</f>
        <v>97.7</v>
      </c>
      <c r="J12" s="881" cm="1">
        <f t="array" aca="1" ref="J12" ca="1">INDIRECT("'※ 기타지표 세부데이터'!"&amp;J$1&amp;$U12, TRUE)</f>
        <v>98</v>
      </c>
      <c r="K12" s="881" cm="1">
        <f t="array" aca="1" ref="K12" ca="1">INDIRECT("'※ 기타지표 세부데이터'!"&amp;K$1&amp;$U12, TRUE)</f>
        <v>97.8</v>
      </c>
      <c r="L12" s="6307" cm="1">
        <f t="array" aca="1" ref="L12" ca="1">INDIRECT("'※ 기타지표 세부데이터'!"&amp;L$1&amp;$U12, TRUE)</f>
        <v>97.183333333333337</v>
      </c>
      <c r="M12" s="881" cm="1">
        <f t="array" aca="1" ref="M12" ca="1">INDIRECT("'※ 기타지표 세부데이터'!"&amp;M$1&amp;$U12, TRUE)</f>
        <v>98.4</v>
      </c>
      <c r="N12" s="881" cm="1">
        <f t="array" aca="1" ref="N12" ca="1">INDIRECT("'※ 기타지표 세부데이터'!"&amp;N$1&amp;$U12, TRUE)</f>
        <v>98.9</v>
      </c>
      <c r="O12" s="597" cm="1">
        <f t="array" aca="1" ref="O12" ca="1">INDIRECT("'※ 기타지표 세부데이터'!"&amp;O$1&amp;$U12, TRUE)</f>
        <v>0.5</v>
      </c>
      <c r="P12" s="882" cm="1">
        <f t="array" aca="1" ref="P12" ca="1">INDIRECT("'※ 기타지표 세부데이터'!"&amp;P$1&amp;$U12, TRUE)</f>
        <v>1.8000000000000114</v>
      </c>
      <c r="Q12" s="883" cm="1">
        <f t="array" aca="1" ref="Q12" ca="1">INDIRECT("'※ 기타지표 세부데이터'!"&amp;Q$1&amp;$U12, TRUE)</f>
        <v>98.65</v>
      </c>
      <c r="R12" s="598" cm="1">
        <f t="array" aca="1" ref="R12" ca="1">INDIRECT("'※ 기타지표 세부데이터'!"&amp;R$1&amp;$U12, TRUE)</f>
        <v>1.6000000000000227</v>
      </c>
      <c r="S12" s="884" cm="1">
        <f t="array" aca="1" ref="S12" ca="1">INDIRECT("'※ 기타지표 세부데이터'!"&amp;S$1&amp;$U12, TRUE)</f>
        <v>98.65</v>
      </c>
      <c r="T12" s="885" cm="1">
        <f t="array" aca="1" ref="T12" ca="1">INDIRECT("'※ 기타지표 세부데이터'!"&amp;T$1&amp;$U12, TRUE)</f>
        <v>0.69166666666667709</v>
      </c>
      <c r="U12" s="855">
        <f>ROW('※ 기타지표 세부데이터'!J9)</f>
        <v>9</v>
      </c>
      <c r="V12" s="886"/>
      <c r="W12" s="886"/>
      <c r="X12" s="886"/>
      <c r="Y12" s="868">
        <v>98.53148159899979</v>
      </c>
      <c r="Z12" s="868">
        <v>98.876080691642656</v>
      </c>
      <c r="AA12" s="868">
        <v>99.034369885433719</v>
      </c>
      <c r="AB12" s="868">
        <v>98.919491525423723</v>
      </c>
      <c r="AC12" s="868">
        <v>98.297872340425528</v>
      </c>
      <c r="AD12" s="868">
        <v>98.158319870759286</v>
      </c>
      <c r="AE12" s="868">
        <v>98.760162601626021</v>
      </c>
      <c r="AF12" s="868">
        <v>98.615384615384613</v>
      </c>
      <c r="AG12" s="868">
        <v>98.415545590433481</v>
      </c>
      <c r="AH12" s="868">
        <v>98.903654485049827</v>
      </c>
      <c r="AI12" s="868">
        <v>96.861460957178835</v>
      </c>
      <c r="AJ12" s="868">
        <v>99.396092362344589</v>
      </c>
      <c r="AK12" s="868">
        <v>98.139344262295083</v>
      </c>
    </row>
    <row r="13" spans="1:57" x14ac:dyDescent="0.55000000000000004">
      <c r="A13" s="7514"/>
      <c r="B13" s="594" t="s">
        <v>280</v>
      </c>
      <c r="C13" s="886"/>
      <c r="D13" s="879" cm="1">
        <f t="array" aca="1" ref="D13" ca="1">INDIRECT("'※ 기타지표 세부데이터'!"&amp;D$1&amp;$U13, TRUE)</f>
        <v>97.333333333333329</v>
      </c>
      <c r="E13" s="879" cm="1">
        <f t="array" aca="1" ref="E13" ca="1">INDIRECT("'※ 기타지표 세부데이터'!"&amp;E$1&amp;$U13, TRUE)</f>
        <v>98.341666666666654</v>
      </c>
      <c r="F13" s="880" cm="1">
        <f t="array" aca="1" ref="F13" ca="1">INDIRECT("'※ 기타지표 세부데이터'!"&amp;F$1&amp;$U13, TRUE)</f>
        <v>98.4</v>
      </c>
      <c r="G13" s="881" cm="1">
        <f t="array" aca="1" ref="G13" ca="1">INDIRECT("'※ 기타지표 세부데이터'!"&amp;G$1&amp;$U13, TRUE)</f>
        <v>98.1</v>
      </c>
      <c r="H13" s="881" cm="1">
        <f t="array" aca="1" ref="H13" ca="1">INDIRECT("'※ 기타지표 세부데이터'!"&amp;H$1&amp;$U13, TRUE)</f>
        <v>98.7</v>
      </c>
      <c r="I13" s="881" cm="1">
        <f t="array" aca="1" ref="I13" ca="1">INDIRECT("'※ 기타지표 세부데이터'!"&amp;I$1&amp;$U13, TRUE)</f>
        <v>98.4</v>
      </c>
      <c r="J13" s="881" cm="1">
        <f t="array" aca="1" ref="J13" ca="1">INDIRECT("'※ 기타지표 세부데이터'!"&amp;J$1&amp;$U13, TRUE)</f>
        <v>98.7</v>
      </c>
      <c r="K13" s="881" cm="1">
        <f t="array" aca="1" ref="K13" ca="1">INDIRECT("'※ 기타지표 세부데이터'!"&amp;K$1&amp;$U13, TRUE)</f>
        <v>97.9</v>
      </c>
      <c r="L13" s="6307" cm="1">
        <f t="array" aca="1" ref="L13" ca="1">INDIRECT("'※ 기타지표 세부데이터'!"&amp;L$1&amp;$U13, TRUE)</f>
        <v>97.333333333333329</v>
      </c>
      <c r="M13" s="881" cm="1">
        <f t="array" aca="1" ref="M13" ca="1">INDIRECT("'※ 기타지표 세부데이터'!"&amp;M$1&amp;$U13, TRUE)</f>
        <v>98.9</v>
      </c>
      <c r="N13" s="881" cm="1">
        <f t="array" aca="1" ref="N13" ca="1">INDIRECT("'※ 기타지표 세부데이터'!"&amp;N$1&amp;$U13, TRUE)</f>
        <v>98.6</v>
      </c>
      <c r="O13" s="597" cm="1">
        <f t="array" aca="1" ref="O13" ca="1">INDIRECT("'※ 기타지표 세부데이터'!"&amp;O$1&amp;$U13, TRUE)</f>
        <v>-0.30000000000001137</v>
      </c>
      <c r="P13" s="882" cm="1">
        <f t="array" aca="1" ref="P13" ca="1">INDIRECT("'※ 기타지표 세부데이터'!"&amp;P$1&amp;$U13, TRUE)</f>
        <v>0.5</v>
      </c>
      <c r="Q13" s="883" cm="1">
        <f t="array" aca="1" ref="Q13" ca="1">INDIRECT("'※ 기타지표 세부데이터'!"&amp;Q$1&amp;$U13, TRUE)</f>
        <v>98.75</v>
      </c>
      <c r="R13" s="598" cm="1">
        <f t="array" aca="1" ref="R13" ca="1">INDIRECT("'※ 기타지표 세부데이터'!"&amp;R$1&amp;$U13, TRUE)</f>
        <v>1</v>
      </c>
      <c r="S13" s="884" cm="1">
        <f t="array" aca="1" ref="S13" ca="1">INDIRECT("'※ 기타지표 세부데이터'!"&amp;S$1&amp;$U13, TRUE)</f>
        <v>98.75</v>
      </c>
      <c r="T13" s="885" cm="1">
        <f t="array" aca="1" ref="T13" ca="1">INDIRECT("'※ 기타지표 세부데이터'!"&amp;T$1&amp;$U13, TRUE)</f>
        <v>0.40833333333334565</v>
      </c>
      <c r="U13" s="855">
        <f>ROW('※ 기타지표 세부데이터'!J10)</f>
        <v>10</v>
      </c>
      <c r="V13" s="886"/>
      <c r="W13" s="886"/>
      <c r="X13" s="886"/>
      <c r="Y13" s="868">
        <v>98.88991512061375</v>
      </c>
      <c r="Z13" s="868">
        <v>98.793103448275858</v>
      </c>
      <c r="AA13" s="868">
        <v>98.857493857493864</v>
      </c>
      <c r="AB13" s="868">
        <v>99.157212317666122</v>
      </c>
      <c r="AC13" s="868">
        <v>98.637873754152821</v>
      </c>
      <c r="AD13" s="868">
        <v>98.585485854858547</v>
      </c>
      <c r="AE13" s="868">
        <v>98.995633187772924</v>
      </c>
      <c r="AF13" s="868">
        <v>99.194187582562748</v>
      </c>
      <c r="AG13" s="868">
        <v>98.638373121131735</v>
      </c>
      <c r="AH13" s="868">
        <v>99.009009009009006</v>
      </c>
      <c r="AI13" s="868">
        <v>99.034207525655646</v>
      </c>
      <c r="AJ13" s="868">
        <v>99.318885448916404</v>
      </c>
      <c r="AK13" s="868">
        <v>98.457516339869287</v>
      </c>
    </row>
    <row r="14" spans="1:57" x14ac:dyDescent="0.55000000000000004">
      <c r="A14" s="7514"/>
      <c r="B14" s="594" t="s">
        <v>281</v>
      </c>
      <c r="C14" s="886"/>
      <c r="D14" s="879" cm="1">
        <f t="array" aca="1" ref="D14" ca="1">INDIRECT("'※ 기타지표 세부데이터'!"&amp;D$1&amp;$U14, TRUE)</f>
        <v>98.40833333333336</v>
      </c>
      <c r="E14" s="879" cm="1">
        <f t="array" aca="1" ref="E14" ca="1">INDIRECT("'※ 기타지표 세부데이터'!"&amp;E$1&amp;$U14, TRUE)</f>
        <v>98.949999999999989</v>
      </c>
      <c r="F14" s="880" cm="1">
        <f t="array" aca="1" ref="F14" ca="1">INDIRECT("'※ 기타지표 세부데이터'!"&amp;F$1&amp;$U14, TRUE)</f>
        <v>98.9</v>
      </c>
      <c r="G14" s="881" cm="1">
        <f t="array" aca="1" ref="G14" ca="1">INDIRECT("'※ 기타지표 세부데이터'!"&amp;G$1&amp;$U14, TRUE)</f>
        <v>99.4</v>
      </c>
      <c r="H14" s="881" cm="1">
        <f t="array" aca="1" ref="H14" ca="1">INDIRECT("'※ 기타지표 세부데이터'!"&amp;H$1&amp;$U14, TRUE)</f>
        <v>98.7</v>
      </c>
      <c r="I14" s="881" cm="1">
        <f t="array" aca="1" ref="I14" ca="1">INDIRECT("'※ 기타지표 세부데이터'!"&amp;I$1&amp;$U14, TRUE)</f>
        <v>99.2</v>
      </c>
      <c r="J14" s="881" cm="1">
        <f t="array" aca="1" ref="J14" ca="1">INDIRECT("'※ 기타지표 세부데이터'!"&amp;J$1&amp;$U14, TRUE)</f>
        <v>98.1</v>
      </c>
      <c r="K14" s="881" cm="1">
        <f t="array" aca="1" ref="K14" ca="1">INDIRECT("'※ 기타지표 세부데이터'!"&amp;K$1&amp;$U14, TRUE)</f>
        <v>98.8</v>
      </c>
      <c r="L14" s="6307" cm="1">
        <f t="array" aca="1" ref="L14" ca="1">INDIRECT("'※ 기타지표 세부데이터'!"&amp;L$1&amp;$U14, TRUE)</f>
        <v>98.40833333333336</v>
      </c>
      <c r="M14" s="881" cm="1">
        <f t="array" aca="1" ref="M14" ca="1">INDIRECT("'※ 기타지표 세부데이터'!"&amp;M$1&amp;$U14, TRUE)</f>
        <v>99.4</v>
      </c>
      <c r="N14" s="881" cm="1">
        <f t="array" aca="1" ref="N14" ca="1">INDIRECT("'※ 기타지표 세부데이터'!"&amp;N$1&amp;$U14, TRUE)</f>
        <v>99.2</v>
      </c>
      <c r="O14" s="597" cm="1">
        <f t="array" aca="1" ref="O14" ca="1">INDIRECT("'※ 기타지표 세부데이터'!"&amp;O$1&amp;$U14, TRUE)</f>
        <v>-0.20000000000000284</v>
      </c>
      <c r="P14" s="882" cm="1">
        <f t="array" aca="1" ref="P14" ca="1">INDIRECT("'※ 기타지표 세부데이터'!"&amp;P$1&amp;$U14, TRUE)</f>
        <v>-0.20000000000000284</v>
      </c>
      <c r="Q14" s="883" cm="1">
        <f t="array" aca="1" ref="Q14" ca="1">INDIRECT("'※ 기타지표 세부데이터'!"&amp;Q$1&amp;$U14, TRUE)</f>
        <v>99.300000000000011</v>
      </c>
      <c r="R14" s="598" cm="1">
        <f t="array" aca="1" ref="R14" ca="1">INDIRECT("'※ 기타지표 세부데이터'!"&amp;R$1&amp;$U14, TRUE)</f>
        <v>0.30000000000001137</v>
      </c>
      <c r="S14" s="884" cm="1">
        <f t="array" aca="1" ref="S14" ca="1">INDIRECT("'※ 기타지표 세부데이터'!"&amp;S$1&amp;$U14, TRUE)</f>
        <v>99.300000000000011</v>
      </c>
      <c r="T14" s="885" cm="1">
        <f t="array" aca="1" ref="T14" ca="1">INDIRECT("'※ 기타지표 세부데이터'!"&amp;T$1&amp;$U14, TRUE)</f>
        <v>0.35000000000002274</v>
      </c>
      <c r="U14" s="855">
        <f>ROW('※ 기타지표 세부데이터'!J11)</f>
        <v>11</v>
      </c>
      <c r="V14" s="886"/>
      <c r="W14" s="886"/>
      <c r="X14" s="886"/>
      <c r="Y14" s="868">
        <v>99.47116495250674</v>
      </c>
      <c r="Z14" s="868">
        <v>99.468599033816432</v>
      </c>
      <c r="AA14" s="868">
        <v>99.258181818181825</v>
      </c>
      <c r="AB14" s="868">
        <v>99.50629235237173</v>
      </c>
      <c r="AC14" s="868">
        <v>99.537037037037038</v>
      </c>
      <c r="AD14" s="868">
        <v>99.576271186440678</v>
      </c>
      <c r="AE14" s="868">
        <v>99.444891391794044</v>
      </c>
      <c r="AF14" s="868">
        <v>99.401778496362169</v>
      </c>
      <c r="AG14" s="868">
        <v>99.450171821305844</v>
      </c>
      <c r="AH14" s="868">
        <v>99.572107765451662</v>
      </c>
      <c r="AI14" s="868">
        <v>99.455319148936169</v>
      </c>
      <c r="AJ14" s="868">
        <v>99.694319880418533</v>
      </c>
      <c r="AK14" s="868">
        <v>99.289009497964727</v>
      </c>
    </row>
    <row r="15" spans="1:57" x14ac:dyDescent="0.55000000000000004">
      <c r="A15" s="7514"/>
      <c r="B15" s="594" t="s">
        <v>282</v>
      </c>
      <c r="C15" s="886"/>
      <c r="D15" s="879" cm="1">
        <f t="array" aca="1" ref="D15" ca="1">INDIRECT("'※ 기타지표 세부데이터'!"&amp;D$1&amp;$U15, TRUE)</f>
        <v>97.225000000000009</v>
      </c>
      <c r="E15" s="879" cm="1">
        <f t="array" aca="1" ref="E15" ca="1">INDIRECT("'※ 기타지표 세부데이터'!"&amp;E$1&amp;$U15, TRUE)</f>
        <v>98.158333333333346</v>
      </c>
      <c r="F15" s="880" cm="1">
        <f t="array" aca="1" ref="F15" ca="1">INDIRECT("'※ 기타지표 세부데이터'!"&amp;F$1&amp;$U15, TRUE)</f>
        <v>97.6</v>
      </c>
      <c r="G15" s="881" cm="1">
        <f t="array" aca="1" ref="G15" ca="1">INDIRECT("'※ 기타지표 세부데이터'!"&amp;G$1&amp;$U15, TRUE)</f>
        <v>98.3</v>
      </c>
      <c r="H15" s="881" cm="1">
        <f t="array" aca="1" ref="H15" ca="1">INDIRECT("'※ 기타지표 세부데이터'!"&amp;H$1&amp;$U15, TRUE)</f>
        <v>98.1</v>
      </c>
      <c r="I15" s="881" cm="1">
        <f t="array" aca="1" ref="I15" ca="1">INDIRECT("'※ 기타지표 세부데이터'!"&amp;I$1&amp;$U15, TRUE)</f>
        <v>98.7</v>
      </c>
      <c r="J15" s="881" cm="1">
        <f t="array" aca="1" ref="J15" ca="1">INDIRECT("'※ 기타지표 세부데이터'!"&amp;J$1&amp;$U15, TRUE)</f>
        <v>98.4</v>
      </c>
      <c r="K15" s="881" cm="1">
        <f t="array" aca="1" ref="K15" ca="1">INDIRECT("'※ 기타지표 세부데이터'!"&amp;K$1&amp;$U15, TRUE)</f>
        <v>98.2</v>
      </c>
      <c r="L15" s="6307" cm="1">
        <f t="array" aca="1" ref="L15" ca="1">INDIRECT("'※ 기타지표 세부데이터'!"&amp;L$1&amp;$U15, TRUE)</f>
        <v>97.225000000000009</v>
      </c>
      <c r="M15" s="881" cm="1">
        <f t="array" aca="1" ref="M15" ca="1">INDIRECT("'※ 기타지표 세부데이터'!"&amp;M$1&amp;$U15, TRUE)</f>
        <v>98.7</v>
      </c>
      <c r="N15" s="881" cm="1">
        <f t="array" aca="1" ref="N15" ca="1">INDIRECT("'※ 기타지표 세부데이터'!"&amp;N$1&amp;$U15, TRUE)</f>
        <v>98.9</v>
      </c>
      <c r="O15" s="597" cm="1">
        <f t="array" aca="1" ref="O15" ca="1">INDIRECT("'※ 기타지표 세부데이터'!"&amp;O$1&amp;$U15, TRUE)</f>
        <v>0.20000000000000284</v>
      </c>
      <c r="P15" s="882" cm="1">
        <f t="array" aca="1" ref="P15" ca="1">INDIRECT("'※ 기타지표 세부데이터'!"&amp;P$1&amp;$U15, TRUE)</f>
        <v>0.60000000000000853</v>
      </c>
      <c r="Q15" s="883" cm="1">
        <f t="array" aca="1" ref="Q15" ca="1">INDIRECT("'※ 기타지표 세부데이터'!"&amp;Q$1&amp;$U15, TRUE)</f>
        <v>98.800000000000011</v>
      </c>
      <c r="R15" s="598" cm="1">
        <f t="array" aca="1" ref="R15" ca="1">INDIRECT("'※ 기타지표 세부데이터'!"&amp;R$1&amp;$U15, TRUE)</f>
        <v>1.7000000000000455</v>
      </c>
      <c r="S15" s="884" cm="1">
        <f t="array" aca="1" ref="S15" ca="1">INDIRECT("'※ 기타지표 세부데이터'!"&amp;S$1&amp;$U15, TRUE)</f>
        <v>98.800000000000011</v>
      </c>
      <c r="T15" s="885" cm="1">
        <f t="array" aca="1" ref="T15" ca="1">INDIRECT("'※ 기타지표 세부데이터'!"&amp;T$1&amp;$U15, TRUE)</f>
        <v>0.64166666666666572</v>
      </c>
      <c r="U15" s="855">
        <f>ROW('※ 기타지표 세부데이터'!J12)</f>
        <v>12</v>
      </c>
      <c r="V15" s="886"/>
      <c r="W15" s="886"/>
      <c r="X15" s="886"/>
      <c r="Y15" s="868">
        <v>98.302352843224526</v>
      </c>
      <c r="Z15" s="868">
        <v>98.508287292817684</v>
      </c>
      <c r="AA15" s="868">
        <v>97.517146776406037</v>
      </c>
      <c r="AB15" s="868">
        <v>98.606811145510832</v>
      </c>
      <c r="AC15" s="868">
        <v>98.764705882352942</v>
      </c>
      <c r="AD15" s="868">
        <v>98.297872340425528</v>
      </c>
      <c r="AE15" s="868">
        <v>98.414814814814818</v>
      </c>
      <c r="AF15" s="868">
        <v>97.917448405253282</v>
      </c>
      <c r="AG15" s="868">
        <v>97.006060606060601</v>
      </c>
      <c r="AH15" s="868">
        <v>98.70069605568446</v>
      </c>
      <c r="AI15" s="868">
        <v>98.941031941031937</v>
      </c>
      <c r="AJ15" s="868">
        <v>99.071005917159766</v>
      </c>
      <c r="AK15" s="868">
        <v>97.882352941176464</v>
      </c>
    </row>
    <row r="16" spans="1:57" x14ac:dyDescent="0.55000000000000004">
      <c r="A16" s="7514"/>
      <c r="B16" s="594" t="s">
        <v>283</v>
      </c>
      <c r="C16" s="886"/>
      <c r="D16" s="879" cm="1">
        <f t="array" aca="1" ref="D16" ca="1">INDIRECT("'※ 기타지표 세부데이터'!"&amp;D$1&amp;$U16, TRUE)</f>
        <v>97.183333333333323</v>
      </c>
      <c r="E16" s="879" cm="1">
        <f t="array" aca="1" ref="E16" ca="1">INDIRECT("'※ 기타지표 세부데이터'!"&amp;E$1&amp;$U16, TRUE)</f>
        <v>98.27500000000002</v>
      </c>
      <c r="F16" s="880" cm="1">
        <f t="array" aca="1" ref="F16" ca="1">INDIRECT("'※ 기타지표 세부데이터'!"&amp;F$1&amp;$U16, TRUE)</f>
        <v>98.5</v>
      </c>
      <c r="G16" s="881" cm="1">
        <f t="array" aca="1" ref="G16" ca="1">INDIRECT("'※ 기타지표 세부데이터'!"&amp;G$1&amp;$U16, TRUE)</f>
        <v>98.3</v>
      </c>
      <c r="H16" s="881" cm="1">
        <f t="array" aca="1" ref="H16" ca="1">INDIRECT("'※ 기타지표 세부데이터'!"&amp;H$1&amp;$U16, TRUE)</f>
        <v>98.1</v>
      </c>
      <c r="I16" s="881" cm="1">
        <f t="array" aca="1" ref="I16" ca="1">INDIRECT("'※ 기타지표 세부데이터'!"&amp;I$1&amp;$U16, TRUE)</f>
        <v>98.4</v>
      </c>
      <c r="J16" s="881" cm="1">
        <f t="array" aca="1" ref="J16" ca="1">INDIRECT("'※ 기타지표 세부데이터'!"&amp;J$1&amp;$U16, TRUE)</f>
        <v>98.3</v>
      </c>
      <c r="K16" s="881" cm="1">
        <f t="array" aca="1" ref="K16" ca="1">INDIRECT("'※ 기타지표 세부데이터'!"&amp;K$1&amp;$U16, TRUE)</f>
        <v>98.9</v>
      </c>
      <c r="L16" s="6307" cm="1">
        <f t="array" aca="1" ref="L16" ca="1">INDIRECT("'※ 기타지표 세부데이터'!"&amp;L$1&amp;$U16, TRUE)</f>
        <v>97.183333333333323</v>
      </c>
      <c r="M16" s="881" cm="1">
        <f t="array" aca="1" ref="M16" ca="1">INDIRECT("'※ 기타지표 세부데이터'!"&amp;M$1&amp;$U16, TRUE)</f>
        <v>98.4</v>
      </c>
      <c r="N16" s="881" cm="1">
        <f t="array" aca="1" ref="N16" ca="1">INDIRECT("'※ 기타지표 세부데이터'!"&amp;N$1&amp;$U16, TRUE)</f>
        <v>98.3</v>
      </c>
      <c r="O16" s="597" cm="1">
        <f t="array" aca="1" ref="O16" ca="1">INDIRECT("'※ 기타지표 세부데이터'!"&amp;O$1&amp;$U16, TRUE)</f>
        <v>-0.10000000000000853</v>
      </c>
      <c r="P16" s="882" cm="1">
        <f t="array" aca="1" ref="P16" ca="1">INDIRECT("'※ 기타지표 세부데이터'!"&amp;P$1&amp;$U16, TRUE)</f>
        <v>0</v>
      </c>
      <c r="Q16" s="883" cm="1">
        <f t="array" aca="1" ref="Q16" ca="1">INDIRECT("'※ 기타지표 세부데이터'!"&amp;Q$1&amp;$U16, TRUE)</f>
        <v>98.35</v>
      </c>
      <c r="R16" s="598" cm="1">
        <f t="array" aca="1" ref="R16" ca="1">INDIRECT("'※ 기타지표 세부데이터'!"&amp;R$1&amp;$U16, TRUE)</f>
        <v>-0.10000000000002274</v>
      </c>
      <c r="S16" s="884" cm="1">
        <f t="array" aca="1" ref="S16" ca="1">INDIRECT("'※ 기타지표 세부데이터'!"&amp;S$1&amp;$U16, TRUE)</f>
        <v>98.35</v>
      </c>
      <c r="T16" s="885" cm="1">
        <f t="array" aca="1" ref="T16" ca="1">INDIRECT("'※ 기타지표 세부데이터'!"&amp;T$1&amp;$U16, TRUE)</f>
        <v>7.499999999997442E-2</v>
      </c>
      <c r="U16" s="855">
        <f>ROW('※ 기타지표 세부데이터'!J13)</f>
        <v>13</v>
      </c>
      <c r="V16" s="886"/>
      <c r="W16" s="886"/>
      <c r="X16" s="886"/>
      <c r="Y16" s="868">
        <v>97.869736963094581</v>
      </c>
      <c r="Z16" s="868">
        <v>98.8</v>
      </c>
      <c r="AA16" s="868">
        <v>96.499517839922859</v>
      </c>
      <c r="AB16" s="868">
        <v>98.799149840595106</v>
      </c>
      <c r="AC16" s="868">
        <v>98.739054290718045</v>
      </c>
      <c r="AD16" s="868">
        <v>97.729789590254711</v>
      </c>
      <c r="AE16" s="868">
        <v>97.975308641975303</v>
      </c>
      <c r="AF16" s="868">
        <v>97.875968992248062</v>
      </c>
      <c r="AG16" s="868">
        <v>95.056320400500624</v>
      </c>
      <c r="AH16" s="868">
        <v>97.376237623762378</v>
      </c>
      <c r="AI16" s="868">
        <v>98.135294117647064</v>
      </c>
      <c r="AJ16" s="868">
        <v>99.414959928762244</v>
      </c>
      <c r="AK16" s="868">
        <v>98.035242290748897</v>
      </c>
    </row>
    <row r="17" spans="1:37" x14ac:dyDescent="0.55000000000000004">
      <c r="A17" s="7514"/>
      <c r="B17" s="594" t="s">
        <v>284</v>
      </c>
      <c r="C17" s="886"/>
      <c r="D17" s="879" cm="1">
        <f t="array" aca="1" ref="D17" ca="1">INDIRECT("'※ 기타지표 세부데이터'!"&amp;D$1&amp;$U17, TRUE)</f>
        <v>97.55</v>
      </c>
      <c r="E17" s="879" cm="1">
        <f t="array" aca="1" ref="E17" ca="1">INDIRECT("'※ 기타지표 세부데이터'!"&amp;E$1&amp;$U17, TRUE)</f>
        <v>98.175000000000011</v>
      </c>
      <c r="F17" s="880" cm="1">
        <f t="array" aca="1" ref="F17" ca="1">INDIRECT("'※ 기타지표 세부데이터'!"&amp;F$1&amp;$U17, TRUE)</f>
        <v>98.1</v>
      </c>
      <c r="G17" s="881" cm="1">
        <f t="array" aca="1" ref="G17" ca="1">INDIRECT("'※ 기타지표 세부데이터'!"&amp;G$1&amp;$U17, TRUE)</f>
        <v>98</v>
      </c>
      <c r="H17" s="881" cm="1">
        <f t="array" aca="1" ref="H17" ca="1">INDIRECT("'※ 기타지표 세부데이터'!"&amp;H$1&amp;$U17, TRUE)</f>
        <v>98.4</v>
      </c>
      <c r="I17" s="881" cm="1">
        <f t="array" aca="1" ref="I17" ca="1">INDIRECT("'※ 기타지표 세부데이터'!"&amp;I$1&amp;$U17, TRUE)</f>
        <v>98.8</v>
      </c>
      <c r="J17" s="881" cm="1">
        <f t="array" aca="1" ref="J17" ca="1">INDIRECT("'※ 기타지표 세부데이터'!"&amp;J$1&amp;$U17, TRUE)</f>
        <v>97.6</v>
      </c>
      <c r="K17" s="881" cm="1">
        <f t="array" aca="1" ref="K17" ca="1">INDIRECT("'※ 기타지표 세부데이터'!"&amp;K$1&amp;$U17, TRUE)</f>
        <v>98.3</v>
      </c>
      <c r="L17" s="6307" cm="1">
        <f t="array" aca="1" ref="L17" ca="1">INDIRECT("'※ 기타지표 세부데이터'!"&amp;L$1&amp;$U17, TRUE)</f>
        <v>97.55</v>
      </c>
      <c r="M17" s="881" cm="1">
        <f t="array" aca="1" ref="M17" ca="1">INDIRECT("'※ 기타지표 세부데이터'!"&amp;M$1&amp;$U17, TRUE)</f>
        <v>97.8</v>
      </c>
      <c r="N17" s="881" cm="1">
        <f t="array" aca="1" ref="N17" ca="1">INDIRECT("'※ 기타지표 세부데이터'!"&amp;N$1&amp;$U17, TRUE)</f>
        <v>98.6</v>
      </c>
      <c r="O17" s="597" cm="1">
        <f t="array" aca="1" ref="O17" ca="1">INDIRECT("'※ 기타지표 세부데이터'!"&amp;O$1&amp;$U17, TRUE)</f>
        <v>0.79999999999999716</v>
      </c>
      <c r="P17" s="882" cm="1">
        <f t="array" aca="1" ref="P17" ca="1">INDIRECT("'※ 기타지표 세부데이터'!"&amp;P$1&amp;$U17, TRUE)</f>
        <v>0.59999999999999432</v>
      </c>
      <c r="Q17" s="883" cm="1">
        <f t="array" aca="1" ref="Q17" ca="1">INDIRECT("'※ 기타지표 세부데이터'!"&amp;Q$1&amp;$U17, TRUE)</f>
        <v>98.199999999999989</v>
      </c>
      <c r="R17" s="598" cm="1">
        <f t="array" aca="1" ref="R17" ca="1">INDIRECT("'※ 기타지표 세부데이터'!"&amp;R$1&amp;$U17, TRUE)</f>
        <v>0.29999999999998295</v>
      </c>
      <c r="S17" s="884" cm="1">
        <f t="array" aca="1" ref="S17" ca="1">INDIRECT("'※ 기타지표 세부데이터'!"&amp;S$1&amp;$U17, TRUE)</f>
        <v>98.199999999999989</v>
      </c>
      <c r="T17" s="885" cm="1">
        <f t="array" aca="1" ref="T17" ca="1">INDIRECT("'※ 기타지표 세부데이터'!"&amp;T$1&amp;$U17, TRUE)</f>
        <v>2.4999999999977263E-2</v>
      </c>
      <c r="U17" s="855">
        <f>ROW('※ 기타지표 세부데이터'!J14)</f>
        <v>14</v>
      </c>
      <c r="V17" s="886"/>
      <c r="W17" s="886"/>
      <c r="X17" s="886"/>
      <c r="Y17" s="868">
        <v>98.01588101932704</v>
      </c>
      <c r="Z17" s="868">
        <v>98.519924098671723</v>
      </c>
      <c r="AA17" s="868">
        <v>97.319485657764588</v>
      </c>
      <c r="AB17" s="868">
        <v>98.428372739916554</v>
      </c>
      <c r="AC17" s="868">
        <v>98.545150501672239</v>
      </c>
      <c r="AD17" s="868">
        <v>97.247058823529414</v>
      </c>
      <c r="AE17" s="868">
        <v>97.776315789473685</v>
      </c>
      <c r="AF17" s="868">
        <v>97.745098039215691</v>
      </c>
      <c r="AG17" s="868">
        <v>96.960580912863065</v>
      </c>
      <c r="AH17" s="868">
        <v>97.544642857142861</v>
      </c>
      <c r="AI17" s="868">
        <v>98.978444236176202</v>
      </c>
      <c r="AJ17" s="868">
        <v>99.321794871794879</v>
      </c>
      <c r="AK17" s="868">
        <v>97.803703703703704</v>
      </c>
    </row>
    <row r="18" spans="1:37" x14ac:dyDescent="0.55000000000000004">
      <c r="A18" s="7514"/>
      <c r="B18" s="594" t="s">
        <v>285</v>
      </c>
      <c r="C18" s="886"/>
      <c r="D18" s="879" cm="1">
        <f t="array" aca="1" ref="D18" ca="1">INDIRECT("'※ 기타지표 세부데이터'!"&amp;D$1&amp;$U18, TRUE)</f>
        <v>97.366666666666674</v>
      </c>
      <c r="E18" s="879" cm="1">
        <f t="array" aca="1" ref="E18" ca="1">INDIRECT("'※ 기타지표 세부데이터'!"&amp;E$1&amp;$U18, TRUE)</f>
        <v>98.716666666666683</v>
      </c>
      <c r="F18" s="880" cm="1">
        <f t="array" aca="1" ref="F18" ca="1">INDIRECT("'※ 기타지표 세부데이터'!"&amp;F$1&amp;$U18, TRUE)</f>
        <v>98.3</v>
      </c>
      <c r="G18" s="881" cm="1">
        <f t="array" aca="1" ref="G18" ca="1">INDIRECT("'※ 기타지표 세부데이터'!"&amp;G$1&amp;$U18, TRUE)</f>
        <v>98.4</v>
      </c>
      <c r="H18" s="881" cm="1">
        <f t="array" aca="1" ref="H18" ca="1">INDIRECT("'※ 기타지표 세부데이터'!"&amp;H$1&amp;$U18, TRUE)</f>
        <v>98.8</v>
      </c>
      <c r="I18" s="881" cm="1">
        <f t="array" aca="1" ref="I18" ca="1">INDIRECT("'※ 기타지표 세부데이터'!"&amp;I$1&amp;$U18, TRUE)</f>
        <v>99.2</v>
      </c>
      <c r="J18" s="881" cm="1">
        <f t="array" aca="1" ref="J18" ca="1">INDIRECT("'※ 기타지표 세부데이터'!"&amp;J$1&amp;$U18, TRUE)</f>
        <v>98.8</v>
      </c>
      <c r="K18" s="881" cm="1">
        <f t="array" aca="1" ref="K18" ca="1">INDIRECT("'※ 기타지표 세부데이터'!"&amp;K$1&amp;$U18, TRUE)</f>
        <v>98.9</v>
      </c>
      <c r="L18" s="6307" cm="1">
        <f t="array" aca="1" ref="L18" ca="1">INDIRECT("'※ 기타지표 세부데이터'!"&amp;L$1&amp;$U18, TRUE)</f>
        <v>97.366666666666674</v>
      </c>
      <c r="M18" s="881" cm="1">
        <f t="array" aca="1" ref="M18" ca="1">INDIRECT("'※ 기타지표 세부데이터'!"&amp;M$1&amp;$U18, TRUE)</f>
        <v>98.1</v>
      </c>
      <c r="N18" s="881" cm="1">
        <f t="array" aca="1" ref="N18" ca="1">INDIRECT("'※ 기타지표 세부데이터'!"&amp;N$1&amp;$U18, TRUE)</f>
        <v>98.8</v>
      </c>
      <c r="O18" s="597" cm="1">
        <f t="array" aca="1" ref="O18" ca="1">INDIRECT("'※ 기타지표 세부데이터'!"&amp;O$1&amp;$U18, TRUE)</f>
        <v>0.70000000000000284</v>
      </c>
      <c r="P18" s="882" cm="1">
        <f t="array" aca="1" ref="P18" ca="1">INDIRECT("'※ 기타지표 세부데이터'!"&amp;P$1&amp;$U18, TRUE)</f>
        <v>0.39999999999999147</v>
      </c>
      <c r="Q18" s="883" cm="1">
        <f t="array" aca="1" ref="Q18" ca="1">INDIRECT("'※ 기타지표 세부데이터'!"&amp;Q$1&amp;$U18, TRUE)</f>
        <v>98.449999999999989</v>
      </c>
      <c r="R18" s="598" cm="1">
        <f t="array" aca="1" ref="R18" ca="1">INDIRECT("'※ 기타지표 세부데이터'!"&amp;R$1&amp;$U18, TRUE)</f>
        <v>0.19999999999998863</v>
      </c>
      <c r="S18" s="884" cm="1">
        <f t="array" aca="1" ref="S18" ca="1">INDIRECT("'※ 기타지표 세부데이터'!"&amp;S$1&amp;$U18, TRUE)</f>
        <v>98.449999999999989</v>
      </c>
      <c r="T18" s="885" cm="1">
        <f t="array" aca="1" ref="T18" ca="1">INDIRECT("'※ 기타지표 세부데이터'!"&amp;T$1&amp;$U18, TRUE)</f>
        <v>-0.26666666666669414</v>
      </c>
      <c r="U18" s="855">
        <f>ROW('※ 기타지표 세부데이터'!J15)</f>
        <v>15</v>
      </c>
      <c r="V18" s="886"/>
      <c r="W18" s="886"/>
      <c r="X18" s="886"/>
      <c r="Y18" s="868">
        <v>98.376403610593059</v>
      </c>
      <c r="Z18" s="868">
        <v>98.187919463087255</v>
      </c>
      <c r="AA18" s="868">
        <v>97.790563866513239</v>
      </c>
      <c r="AB18" s="868">
        <v>98.590163934426229</v>
      </c>
      <c r="AC18" s="868">
        <v>98.370883882149045</v>
      </c>
      <c r="AD18" s="868">
        <v>98.759036144578317</v>
      </c>
      <c r="AE18" s="868">
        <v>98.489116517285538</v>
      </c>
      <c r="AF18" s="868">
        <v>98.326474622770917</v>
      </c>
      <c r="AG18" s="868">
        <v>97.371349095966622</v>
      </c>
      <c r="AH18" s="868">
        <v>98.21052631578948</v>
      </c>
      <c r="AI18" s="868">
        <v>98.579234972677597</v>
      </c>
      <c r="AJ18" s="868">
        <v>99.234355828220856</v>
      </c>
      <c r="AK18" s="868">
        <v>98.607218683651809</v>
      </c>
    </row>
    <row r="19" spans="1:37" ht="15.45" thickBot="1" x14ac:dyDescent="0.6">
      <c r="A19" s="7515"/>
      <c r="B19" s="887" t="s">
        <v>286</v>
      </c>
      <c r="C19" s="888"/>
      <c r="D19" s="889" cm="1">
        <f t="array" aca="1" ref="D19" ca="1">INDIRECT("'※ 기타지표 세부데이터'!"&amp;D$1&amp;$U19, TRUE)</f>
        <v>97.108333333333334</v>
      </c>
      <c r="E19" s="889" cm="1">
        <f t="array" aca="1" ref="E19" ca="1">INDIRECT("'※ 기타지표 세부데이터'!"&amp;E$1&amp;$U19, TRUE)</f>
        <v>98.250000000000014</v>
      </c>
      <c r="F19" s="890" cm="1">
        <f t="array" aca="1" ref="F19" ca="1">INDIRECT("'※ 기타지표 세부데이터'!"&amp;F$1&amp;$U19, TRUE)</f>
        <v>98.1</v>
      </c>
      <c r="G19" s="891" cm="1">
        <f t="array" aca="1" ref="G19" ca="1">INDIRECT("'※ 기타지표 세부데이터'!"&amp;G$1&amp;$U19, TRUE)</f>
        <v>98.4</v>
      </c>
      <c r="H19" s="891" cm="1">
        <f t="array" aca="1" ref="H19" ca="1">INDIRECT("'※ 기타지표 세부데이터'!"&amp;H$1&amp;$U19, TRUE)</f>
        <v>98.1</v>
      </c>
      <c r="I19" s="891" cm="1">
        <f t="array" aca="1" ref="I19" ca="1">INDIRECT("'※ 기타지표 세부데이터'!"&amp;I$1&amp;$U19, TRUE)</f>
        <v>97.8</v>
      </c>
      <c r="J19" s="891" cm="1">
        <f t="array" aca="1" ref="J19" ca="1">INDIRECT("'※ 기타지표 세부데이터'!"&amp;J$1&amp;$U19, TRUE)</f>
        <v>97.7</v>
      </c>
      <c r="K19" s="891" cm="1">
        <f t="array" aca="1" ref="K19" ca="1">INDIRECT("'※ 기타지표 세부데이터'!"&amp;K$1&amp;$U19, TRUE)</f>
        <v>98.2</v>
      </c>
      <c r="L19" s="6308" cm="1">
        <f t="array" aca="1" ref="L19" ca="1">INDIRECT("'※ 기타지표 세부데이터'!"&amp;L$1&amp;$U19, TRUE)</f>
        <v>97.108333333333334</v>
      </c>
      <c r="M19" s="891" cm="1">
        <f t="array" aca="1" ref="M19" ca="1">INDIRECT("'※ 기타지표 세부데이터'!"&amp;M$1&amp;$U19, TRUE)</f>
        <v>98.5</v>
      </c>
      <c r="N19" s="891" cm="1">
        <f t="array" aca="1" ref="N19" ca="1">INDIRECT("'※ 기타지표 세부데이터'!"&amp;N$1&amp;$U19, TRUE)</f>
        <v>96.5</v>
      </c>
      <c r="O19" s="892" cm="1">
        <f t="array" aca="1" ref="O19" ca="1">INDIRECT("'※ 기타지표 세부데이터'!"&amp;O$1&amp;$U19, TRUE)</f>
        <v>-2</v>
      </c>
      <c r="P19" s="893" cm="1">
        <f t="array" aca="1" ref="P19" ca="1">INDIRECT("'※ 기타지표 세부데이터'!"&amp;P$1&amp;$U19, TRUE)</f>
        <v>-1.9000000000000057</v>
      </c>
      <c r="Q19" s="894" cm="1">
        <f t="array" aca="1" ref="Q19" ca="1">INDIRECT("'※ 기타지표 세부데이터'!"&amp;Q$1&amp;$U19, TRUE)</f>
        <v>97.5</v>
      </c>
      <c r="R19" s="895" cm="1">
        <f t="array" aca="1" ref="R19" ca="1">INDIRECT("'※ 기타지표 세부데이터'!"&amp;R$1&amp;$U19, TRUE)</f>
        <v>-1.5</v>
      </c>
      <c r="S19" s="896" cm="1">
        <f t="array" aca="1" ref="S19" ca="1">INDIRECT("'※ 기타지표 세부데이터'!"&amp;S$1&amp;$U19, TRUE)</f>
        <v>97.5</v>
      </c>
      <c r="T19" s="897" cm="1">
        <f t="array" aca="1" ref="T19" ca="1">INDIRECT("'※ 기타지표 세부데이터'!"&amp;T$1&amp;$U19, TRUE)</f>
        <v>-0.75000000000001421</v>
      </c>
      <c r="U19" s="855">
        <f>ROW('※ 기타지표 세부데이터'!J16)</f>
        <v>16</v>
      </c>
      <c r="V19" s="886"/>
      <c r="W19" s="886"/>
      <c r="X19" s="886"/>
      <c r="Y19" s="868">
        <v>97.637452660640236</v>
      </c>
      <c r="Z19" s="868">
        <v>97.93413173652695</v>
      </c>
      <c r="AA19" s="868">
        <v>97.177615571776158</v>
      </c>
      <c r="AB19" s="868">
        <v>98.200371057513919</v>
      </c>
      <c r="AC19" s="868">
        <v>97.95148247978436</v>
      </c>
      <c r="AD19" s="868">
        <v>97.483443708609272</v>
      </c>
      <c r="AE19" s="868">
        <v>96.292906178489702</v>
      </c>
      <c r="AF19" s="868">
        <v>97.993197278911566</v>
      </c>
      <c r="AG19" s="868">
        <v>97.671232876712324</v>
      </c>
      <c r="AH19" s="868">
        <v>97.964824120603012</v>
      </c>
      <c r="AI19" s="868">
        <v>98.451986754966882</v>
      </c>
      <c r="AJ19" s="868">
        <v>98.171532846715323</v>
      </c>
      <c r="AK19" s="868">
        <v>96.356707317073173</v>
      </c>
    </row>
    <row r="20" spans="1:37" ht="6.65" customHeight="1" x14ac:dyDescent="0.55000000000000004">
      <c r="D20" s="581"/>
      <c r="E20" s="581"/>
      <c r="F20" s="898"/>
      <c r="G20" s="898"/>
      <c r="H20" s="898"/>
      <c r="I20" s="898"/>
      <c r="J20" s="898"/>
      <c r="K20" s="898"/>
      <c r="L20" s="6309"/>
      <c r="M20" s="898"/>
      <c r="N20" s="898"/>
      <c r="O20" s="898"/>
      <c r="P20" s="898"/>
      <c r="Q20" s="581"/>
      <c r="R20" s="581"/>
      <c r="S20" s="581"/>
      <c r="T20" s="581"/>
      <c r="U20" s="855"/>
    </row>
    <row r="21" spans="1:37" ht="8.4" customHeight="1" thickBot="1" x14ac:dyDescent="0.6">
      <c r="D21" s="581"/>
      <c r="E21" s="581"/>
      <c r="F21" s="898"/>
      <c r="G21" s="898"/>
      <c r="H21" s="898"/>
      <c r="I21" s="898"/>
      <c r="J21" s="898"/>
      <c r="K21" s="898"/>
      <c r="L21" s="6309"/>
      <c r="M21" s="898"/>
      <c r="N21" s="898"/>
      <c r="O21" s="898"/>
      <c r="P21" s="898"/>
      <c r="Q21" s="581"/>
      <c r="R21" s="581"/>
      <c r="S21" s="581"/>
      <c r="T21" s="581"/>
      <c r="U21" s="855"/>
    </row>
    <row r="22" spans="1:37" ht="16" customHeight="1" x14ac:dyDescent="0.55000000000000004">
      <c r="A22" s="7510" t="s">
        <v>312</v>
      </c>
      <c r="B22" s="7518" t="s">
        <v>308</v>
      </c>
      <c r="C22" s="858" t="s">
        <v>879</v>
      </c>
      <c r="D22" s="6322" cm="1">
        <f t="array" aca="1" ref="D22" ca="1">INDIRECT("'※ 기타지표 세부데이터'!"&amp;D$1&amp;$U22, TRUE)</f>
        <v>46.166666666666664</v>
      </c>
      <c r="E22" s="6322" cm="1">
        <f t="array" aca="1" ref="E22" ca="1">INDIRECT("'※ 기타지표 세부데이터'!"&amp;E$1&amp;$U22, TRUE)</f>
        <v>81.25</v>
      </c>
      <c r="F22" s="899" cm="1">
        <f t="array" aca="1" ref="F22" ca="1">INDIRECT("'※ 기타지표 세부데이터'!"&amp;F$1&amp;$U22, TRUE)</f>
        <v>25</v>
      </c>
      <c r="G22" s="900" cm="1">
        <f t="array" aca="1" ref="G22" ca="1">INDIRECT("'※ 기타지표 세부데이터'!"&amp;G$1&amp;$U22, TRUE)</f>
        <v>49</v>
      </c>
      <c r="H22" s="900" cm="1">
        <f t="array" aca="1" ref="H22" ca="1">INDIRECT("'※ 기타지표 세부데이터'!"&amp;H$1&amp;$U22, TRUE)</f>
        <v>75</v>
      </c>
      <c r="I22" s="900" cm="1">
        <f t="array" aca="1" ref="I22" ca="1">INDIRECT("'※ 기타지표 세부데이터'!"&amp;I$1&amp;$U22, TRUE)</f>
        <v>114</v>
      </c>
      <c r="J22" s="900" cm="1">
        <f t="array" aca="1" ref="J22" ca="1">INDIRECT("'※ 기타지표 세부데이터'!"&amp;J$1&amp;$U22, TRUE)</f>
        <v>112</v>
      </c>
      <c r="K22" s="900" cm="1">
        <f t="array" aca="1" ref="K22" ca="1">INDIRECT("'※ 기타지표 세부데이터'!"&amp;K$1&amp;$U22, TRUE)</f>
        <v>103</v>
      </c>
      <c r="L22" s="6319" cm="1">
        <f t="array" aca="1" ref="L22" ca="1">INDIRECT("'※ 기타지표 세부데이터'!"&amp;L$1&amp;$U22, TRUE)</f>
        <v>46.166666666666664</v>
      </c>
      <c r="M22" s="900" cm="1">
        <f t="array" aca="1" ref="M22" ca="1">INDIRECT("'※ 기타지표 세부데이터'!"&amp;M$1&amp;$U22, TRUE)</f>
        <v>53</v>
      </c>
      <c r="N22" s="900" cm="1">
        <f t="array" aca="1" ref="N22" ca="1">INDIRECT("'※ 기타지표 세부데이터'!"&amp;N$1&amp;$U22, TRUE)</f>
        <v>67</v>
      </c>
      <c r="O22" s="901" cm="1">
        <f t="array" aca="1" ref="O22" ca="1">INDIRECT("'※ 기타지표 세부데이터'!"&amp;O$1&amp;$U22, TRUE)</f>
        <v>14</v>
      </c>
      <c r="P22" s="902" cm="1">
        <f t="array" aca="1" ref="P22" ca="1">INDIRECT("'※ 기타지표 세부데이터'!"&amp;P$1&amp;$U22, TRUE)</f>
        <v>18</v>
      </c>
      <c r="Q22" s="902" cm="1">
        <f t="array" aca="1" ref="Q22" ca="1">INDIRECT("'※ 기타지표 세부데이터'!"&amp;Q$1&amp;$U22, TRUE)</f>
        <v>120</v>
      </c>
      <c r="R22" s="903" cm="1">
        <f t="array" aca="1" ref="R22" ca="1">INDIRECT("'※ 기타지표 세부데이터'!"&amp;R$1&amp;$U22, TRUE)</f>
        <v>46</v>
      </c>
      <c r="S22" s="904" cm="1">
        <f t="array" aca="1" ref="S22" ca="1">INDIRECT("'※ 기타지표 세부데이터'!"&amp;S$1&amp;$U22, TRUE)</f>
        <v>60</v>
      </c>
      <c r="T22" s="903" cm="1">
        <f t="array" aca="1" ref="T22" ca="1">INDIRECT("'※ 기타지표 세부데이터'!"&amp;T$1&amp;$U22, TRUE)</f>
        <v>-21.25</v>
      </c>
      <c r="U22" s="855">
        <f>ROW('※ 기타지표 세부데이터'!J41)</f>
        <v>41</v>
      </c>
      <c r="V22" s="867"/>
      <c r="W22" s="867"/>
      <c r="X22" s="867"/>
      <c r="Y22" s="905">
        <v>11.1</v>
      </c>
      <c r="AB22" s="559">
        <v>5</v>
      </c>
      <c r="AC22" s="559">
        <v>2</v>
      </c>
      <c r="AD22" s="559">
        <v>10</v>
      </c>
      <c r="AE22" s="559">
        <v>15</v>
      </c>
      <c r="AF22" s="559">
        <v>17</v>
      </c>
      <c r="AG22" s="559">
        <v>19</v>
      </c>
      <c r="AH22" s="559">
        <v>10</v>
      </c>
      <c r="AI22" s="559">
        <v>6</v>
      </c>
      <c r="AJ22" s="559">
        <v>16</v>
      </c>
      <c r="AK22" s="559">
        <v>11</v>
      </c>
    </row>
    <row r="23" spans="1:37" ht="16" customHeight="1" x14ac:dyDescent="0.55000000000000004">
      <c r="A23" s="7511"/>
      <c r="B23" s="7519"/>
      <c r="C23" s="867" t="s">
        <v>309</v>
      </c>
      <c r="D23" s="6323" cm="1">
        <f t="array" aca="1" ref="D23" ca="1">INDIRECT("'※ 기타지표 세부데이터'!"&amp;D$1&amp;$U23, TRUE)</f>
        <v>657.66666666666663</v>
      </c>
      <c r="E23" s="6323" cm="1">
        <f t="array" aca="1" ref="E23" ca="1">INDIRECT("'※ 기타지표 세부데이터'!"&amp;E$1&amp;$U23, TRUE)</f>
        <v>1184.8333333333333</v>
      </c>
      <c r="F23" s="906" cm="1">
        <f t="array" aca="1" ref="F23" ca="1">INDIRECT("'※ 기타지표 세부데이터'!"&amp;F$1&amp;$U23, TRUE)</f>
        <v>364</v>
      </c>
      <c r="G23" s="907" cm="1">
        <f t="array" aca="1" ref="G23" ca="1">INDIRECT("'※ 기타지표 세부데이터'!"&amp;G$1&amp;$U23, TRUE)</f>
        <v>761</v>
      </c>
      <c r="H23" s="907" cm="1">
        <f t="array" aca="1" ref="H23" ca="1">INDIRECT("'※ 기타지표 세부데이터'!"&amp;H$1&amp;$U23, TRUE)</f>
        <v>1122</v>
      </c>
      <c r="I23" s="907" cm="1">
        <f t="array" aca="1" ref="I23" ca="1">INDIRECT("'※ 기타지표 세부데이터'!"&amp;I$1&amp;$U23, TRUE)</f>
        <v>1576</v>
      </c>
      <c r="J23" s="907" cm="1">
        <f t="array" aca="1" ref="J23" ca="1">INDIRECT("'※ 기타지표 세부데이터'!"&amp;J$1&amp;$U23, TRUE)</f>
        <v>1575</v>
      </c>
      <c r="K23" s="907" cm="1">
        <f t="array" aca="1" ref="K23" ca="1">INDIRECT("'※ 기타지표 세부데이터'!"&amp;K$1&amp;$U23, TRUE)</f>
        <v>1536</v>
      </c>
      <c r="L23" s="6320" cm="1">
        <f t="array" aca="1" ref="L23" ca="1">INDIRECT("'※ 기타지표 세부데이터'!"&amp;L$1&amp;$U23, TRUE)</f>
        <v>657.66666666666663</v>
      </c>
      <c r="M23" s="907" cm="1">
        <f t="array" aca="1" ref="M23" ca="1">INDIRECT("'※ 기타지표 세부데이터'!"&amp;M$1&amp;$U23, TRUE)</f>
        <v>655</v>
      </c>
      <c r="N23" s="907" cm="1">
        <f t="array" aca="1" ref="N23" ca="1">INDIRECT("'※ 기타지표 세부데이터'!"&amp;N$1&amp;$U23, TRUE)</f>
        <v>793</v>
      </c>
      <c r="O23" s="908" cm="1">
        <f t="array" aca="1" ref="O23" ca="1">INDIRECT("'※ 기타지표 세부데이터'!"&amp;O$1&amp;$U23, TRUE)</f>
        <v>138</v>
      </c>
      <c r="P23" s="909" cm="1">
        <f t="array" aca="1" ref="P23" ca="1">INDIRECT("'※ 기타지표 세부데이터'!"&amp;P$1&amp;$U23, TRUE)</f>
        <v>32</v>
      </c>
      <c r="Q23" s="910" cm="1">
        <f t="array" aca="1" ref="Q23" ca="1">INDIRECT("'※ 기타지표 세부데이터'!"&amp;Q$1&amp;$U23, TRUE)</f>
        <v>1448</v>
      </c>
      <c r="R23" s="911" cm="1">
        <f t="array" aca="1" ref="R23" ca="1">INDIRECT("'※ 기타지표 세부데이터'!"&amp;R$1&amp;$U23, TRUE)</f>
        <v>323</v>
      </c>
      <c r="S23" s="908" cm="1">
        <f t="array" aca="1" ref="S23" ca="1">INDIRECT("'※ 기타지표 세부데이터'!"&amp;S$1&amp;$U23, TRUE)</f>
        <v>724</v>
      </c>
      <c r="T23" s="912" cm="1">
        <f t="array" aca="1" ref="T23" ca="1">INDIRECT("'※ 기타지표 세부데이터'!"&amp;T$1&amp;$U23, TRUE)</f>
        <v>-460.83333333333326</v>
      </c>
      <c r="U23" s="855">
        <f>ROW('※ 기타지표 세부데이터'!J42)</f>
        <v>42</v>
      </c>
      <c r="V23" s="867"/>
      <c r="W23" s="867"/>
      <c r="X23" s="867"/>
      <c r="Y23" s="905">
        <v>188.8</v>
      </c>
      <c r="AB23" s="559">
        <v>86</v>
      </c>
      <c r="AC23" s="559">
        <v>25</v>
      </c>
      <c r="AD23" s="559">
        <v>126</v>
      </c>
      <c r="AE23" s="559">
        <v>267</v>
      </c>
      <c r="AF23" s="559">
        <v>337</v>
      </c>
      <c r="AG23" s="559">
        <v>325</v>
      </c>
      <c r="AH23" s="559">
        <v>173</v>
      </c>
      <c r="AI23" s="559">
        <v>111</v>
      </c>
      <c r="AJ23" s="559">
        <v>287</v>
      </c>
      <c r="AK23" s="559">
        <v>151</v>
      </c>
    </row>
    <row r="24" spans="1:37" ht="16" customHeight="1" x14ac:dyDescent="0.55000000000000004">
      <c r="A24" s="7511"/>
      <c r="B24" s="7520" t="s">
        <v>939</v>
      </c>
      <c r="C24" s="913" t="s">
        <v>879</v>
      </c>
      <c r="D24" s="6324" cm="1">
        <f t="array" aca="1" ref="D24" ca="1">INDIRECT("'※ 기타지표 세부데이터'!"&amp;D$1&amp;$U24, TRUE)</f>
        <v>40.333333333333336</v>
      </c>
      <c r="E24" s="6324" cm="1">
        <f t="array" aca="1" ref="E24" ca="1">INDIRECT("'※ 기타지표 세부데이터'!"&amp;E$1&amp;$U24, TRUE)</f>
        <v>52.25</v>
      </c>
      <c r="F24" s="699" cm="1">
        <f t="array" aca="1" ref="F24" ca="1">INDIRECT("'※ 기타지표 세부데이터'!"&amp;F$1&amp;$U24, TRUE)</f>
        <v>21</v>
      </c>
      <c r="G24" s="898" cm="1">
        <f t="array" aca="1" ref="G24" ca="1">INDIRECT("'※ 기타지표 세부데이터'!"&amp;G$1&amp;$U24, TRUE)</f>
        <v>41</v>
      </c>
      <c r="H24" s="898" cm="1">
        <f t="array" aca="1" ref="H24" ca="1">INDIRECT("'※ 기타지표 세부데이터'!"&amp;H$1&amp;$U24, TRUE)</f>
        <v>49</v>
      </c>
      <c r="I24" s="898" cm="1">
        <f t="array" aca="1" ref="I24" ca="1">INDIRECT("'※ 기타지표 세부데이터'!"&amp;I$1&amp;$U24, TRUE)</f>
        <v>84</v>
      </c>
      <c r="J24" s="898" cm="1">
        <f t="array" aca="1" ref="J24" ca="1">INDIRECT("'※ 기타지표 세부데이터'!"&amp;J$1&amp;$U24, TRUE)</f>
        <v>74</v>
      </c>
      <c r="K24" s="898" cm="1">
        <f t="array" aca="1" ref="K24" ca="1">INDIRECT("'※ 기타지표 세부데이터'!"&amp;K$1&amp;$U24, TRUE)</f>
        <v>56</v>
      </c>
      <c r="L24" s="6312" cm="1">
        <f t="array" aca="1" ref="L24" ca="1">INDIRECT("'※ 기타지표 세부데이터'!"&amp;L$1&amp;$U24, TRUE)</f>
        <v>40.333333333333336</v>
      </c>
      <c r="M24" s="898" cm="1">
        <f t="array" aca="1" ref="M24" ca="1">INDIRECT("'※ 기타지표 세부데이터'!"&amp;M$1&amp;$U24, TRUE)</f>
        <v>38</v>
      </c>
      <c r="N24" s="898" cm="1">
        <f t="array" aca="1" ref="N24" ca="1">INDIRECT("'※ 기타지표 세부데이터'!"&amp;N$1&amp;$U24, TRUE)</f>
        <v>43</v>
      </c>
      <c r="O24" s="914" cm="1">
        <f t="array" aca="1" ref="O24" ca="1">INDIRECT("'※ 기타지표 세부데이터'!"&amp;O$1&amp;$U24, TRUE)</f>
        <v>5</v>
      </c>
      <c r="P24" s="915" cm="1">
        <f t="array" aca="1" ref="P24" ca="1">INDIRECT("'※ 기타지표 세부데이터'!"&amp;P$1&amp;$U24, TRUE)</f>
        <v>2</v>
      </c>
      <c r="Q24" s="916" cm="1">
        <f t="array" aca="1" ref="Q24" ca="1">INDIRECT("'※ 기타지표 세부데이터'!"&amp;Q$1&amp;$U24, TRUE)</f>
        <v>81</v>
      </c>
      <c r="R24" s="917" cm="1">
        <f t="array" aca="1" ref="R24" ca="1">INDIRECT("'※ 기타지표 세부데이터'!"&amp;R$1&amp;$U24, TRUE)</f>
        <v>19</v>
      </c>
      <c r="S24" s="914" cm="1">
        <f t="array" aca="1" ref="S24" ca="1">INDIRECT("'※ 기타지표 세부데이터'!"&amp;S$1&amp;$U24, TRUE)</f>
        <v>40.5</v>
      </c>
      <c r="T24" s="918" cm="1">
        <f t="array" aca="1" ref="T24" ca="1">INDIRECT("'※ 기타지표 세부데이터'!"&amp;T$1&amp;$U24, TRUE)</f>
        <v>-11.75</v>
      </c>
      <c r="U24" s="855">
        <f>ROW('※ 기타지표 세부데이터'!J43)</f>
        <v>43</v>
      </c>
      <c r="V24" s="886"/>
      <c r="W24" s="886"/>
      <c r="X24" s="886"/>
      <c r="Y24" s="905">
        <v>11.1</v>
      </c>
      <c r="AB24" s="559">
        <v>5</v>
      </c>
      <c r="AC24" s="559">
        <v>2</v>
      </c>
      <c r="AD24" s="559">
        <v>10</v>
      </c>
      <c r="AE24" s="559">
        <v>15</v>
      </c>
      <c r="AF24" s="559">
        <v>17</v>
      </c>
      <c r="AG24" s="559">
        <v>19</v>
      </c>
      <c r="AH24" s="559">
        <v>10</v>
      </c>
      <c r="AI24" s="559">
        <v>6</v>
      </c>
      <c r="AJ24" s="559">
        <v>16</v>
      </c>
      <c r="AK24" s="559">
        <v>11</v>
      </c>
    </row>
    <row r="25" spans="1:37" ht="16" customHeight="1" x14ac:dyDescent="0.55000000000000004">
      <c r="A25" s="7511"/>
      <c r="B25" s="7521"/>
      <c r="C25" s="886" t="s">
        <v>309</v>
      </c>
      <c r="D25" s="6324" cm="1">
        <f t="array" aca="1" ref="D25" ca="1">INDIRECT("'※ 기타지표 세부데이터'!"&amp;D$1&amp;$U25, TRUE)</f>
        <v>583.5</v>
      </c>
      <c r="E25" s="6324" cm="1">
        <f t="array" aca="1" ref="E25" ca="1">INDIRECT("'※ 기타지표 세부데이터'!"&amp;E$1&amp;$U25, TRUE)</f>
        <v>791.75</v>
      </c>
      <c r="F25" s="699" cm="1">
        <f t="array" aca="1" ref="F25" ca="1">INDIRECT("'※ 기타지표 세부데이터'!"&amp;F$1&amp;$U25, TRUE)</f>
        <v>313</v>
      </c>
      <c r="G25" s="898" cm="1">
        <f t="array" aca="1" ref="G25" ca="1">INDIRECT("'※ 기타지표 세부데이터'!"&amp;G$1&amp;$U25, TRUE)</f>
        <v>669</v>
      </c>
      <c r="H25" s="898" cm="1">
        <f t="array" aca="1" ref="H25" ca="1">INDIRECT("'※ 기타지표 세부데이터'!"&amp;H$1&amp;$U25, TRUE)</f>
        <v>803</v>
      </c>
      <c r="I25" s="898" cm="1">
        <f t="array" aca="1" ref="I25" ca="1">INDIRECT("'※ 기타지표 세부데이터'!"&amp;I$1&amp;$U25, TRUE)</f>
        <v>1178</v>
      </c>
      <c r="J25" s="898" cm="1">
        <f t="array" aca="1" ref="J25" ca="1">INDIRECT("'※ 기타지표 세부데이터'!"&amp;J$1&amp;$U25, TRUE)</f>
        <v>1081</v>
      </c>
      <c r="K25" s="898" cm="1">
        <f t="array" aca="1" ref="K25" ca="1">INDIRECT("'※ 기타지표 세부데이터'!"&amp;K$1&amp;$U25, TRUE)</f>
        <v>883</v>
      </c>
      <c r="L25" s="6312" cm="1">
        <f t="array" aca="1" ref="L25" ca="1">INDIRECT("'※ 기타지표 세부데이터'!"&amp;L$1&amp;$U25, TRUE)</f>
        <v>583.5</v>
      </c>
      <c r="M25" s="898" cm="1">
        <f t="array" aca="1" ref="M25" ca="1">INDIRECT("'※ 기타지표 세부데이터'!"&amp;M$1&amp;$U25, TRUE)</f>
        <v>482</v>
      </c>
      <c r="N25" s="898" cm="1">
        <f t="array" aca="1" ref="N25" ca="1">INDIRECT("'※ 기타지표 세부데이터'!"&amp;N$1&amp;$U25, TRUE)</f>
        <v>512</v>
      </c>
      <c r="O25" s="914" cm="1">
        <f t="array" aca="1" ref="O25" ca="1">INDIRECT("'※ 기타지표 세부데이터'!"&amp;O$1&amp;$U25, TRUE)</f>
        <v>30</v>
      </c>
      <c r="P25" s="915" cm="1">
        <f t="array" aca="1" ref="P25" ca="1">INDIRECT("'※ 기타지표 세부데이터'!"&amp;P$1&amp;$U25, TRUE)</f>
        <v>-157</v>
      </c>
      <c r="Q25" s="916" cm="1">
        <f t="array" aca="1" ref="Q25" ca="1">INDIRECT("'※ 기타지표 세부데이터'!"&amp;Q$1&amp;$U25, TRUE)</f>
        <v>994</v>
      </c>
      <c r="R25" s="917" cm="1">
        <f t="array" aca="1" ref="R25" ca="1">INDIRECT("'※ 기타지표 세부데이터'!"&amp;R$1&amp;$U25, TRUE)</f>
        <v>12</v>
      </c>
      <c r="S25" s="914" cm="1">
        <f t="array" aca="1" ref="S25" ca="1">INDIRECT("'※ 기타지표 세부데이터'!"&amp;S$1&amp;$U25, TRUE)</f>
        <v>497</v>
      </c>
      <c r="T25" s="918" cm="1">
        <f t="array" aca="1" ref="T25" ca="1">INDIRECT("'※ 기타지표 세부데이터'!"&amp;T$1&amp;$U25, TRUE)</f>
        <v>-294.75</v>
      </c>
      <c r="U25" s="855">
        <f>ROW('※ 기타지표 세부데이터'!J44)</f>
        <v>44</v>
      </c>
      <c r="V25" s="886"/>
      <c r="W25" s="886"/>
      <c r="X25" s="886"/>
      <c r="Y25" s="905">
        <v>188.8</v>
      </c>
      <c r="AB25" s="559">
        <v>86</v>
      </c>
      <c r="AC25" s="559">
        <v>25</v>
      </c>
      <c r="AD25" s="559">
        <v>126</v>
      </c>
      <c r="AE25" s="559">
        <v>267</v>
      </c>
      <c r="AF25" s="559">
        <v>337</v>
      </c>
      <c r="AG25" s="559">
        <v>325</v>
      </c>
      <c r="AH25" s="559">
        <v>173</v>
      </c>
      <c r="AI25" s="559">
        <v>111</v>
      </c>
      <c r="AJ25" s="559">
        <v>287</v>
      </c>
      <c r="AK25" s="559">
        <v>151</v>
      </c>
    </row>
    <row r="26" spans="1:37" ht="16" customHeight="1" x14ac:dyDescent="0.55000000000000004">
      <c r="A26" s="7511"/>
      <c r="B26" s="7522" t="s">
        <v>310</v>
      </c>
      <c r="C26" s="919" t="s">
        <v>879</v>
      </c>
      <c r="D26" s="6325" cm="1">
        <f t="array" aca="1" ref="D26" ca="1">INDIRECT("'※ 기타지표 세부데이터'!"&amp;D$1&amp;$U26, TRUE)</f>
        <v>5.416666666666667</v>
      </c>
      <c r="E26" s="6325" cm="1">
        <f t="array" aca="1" ref="E26" ca="1">INDIRECT("'※ 기타지표 세부데이터'!"&amp;E$1&amp;$U26, TRUE)</f>
        <v>29</v>
      </c>
      <c r="F26" s="920" cm="1">
        <f t="array" aca="1" ref="F26" ca="1">INDIRECT("'※ 기타지표 세부데이터'!"&amp;F$1&amp;$U26, TRUE)</f>
        <v>4</v>
      </c>
      <c r="G26" s="921" cm="1">
        <f t="array" aca="1" ref="G26" ca="1">INDIRECT("'※ 기타지표 세부데이터'!"&amp;G$1&amp;$U26, TRUE)</f>
        <v>8</v>
      </c>
      <c r="H26" s="921" cm="1">
        <f t="array" aca="1" ref="H26" ca="1">INDIRECT("'※ 기타지표 세부데이터'!"&amp;H$1&amp;$U26, TRUE)</f>
        <v>26</v>
      </c>
      <c r="I26" s="921" cm="1">
        <f t="array" aca="1" ref="I26" ca="1">INDIRECT("'※ 기타지표 세부데이터'!"&amp;I$1&amp;$U26, TRUE)</f>
        <v>30</v>
      </c>
      <c r="J26" s="921" cm="1">
        <f t="array" aca="1" ref="J26" ca="1">INDIRECT("'※ 기타지표 세부데이터'!"&amp;J$1&amp;$U26, TRUE)</f>
        <v>38</v>
      </c>
      <c r="K26" s="921" cm="1">
        <f t="array" aca="1" ref="K26" ca="1">INDIRECT("'※ 기타지표 세부데이터'!"&amp;K$1&amp;$U26, TRUE)</f>
        <v>47</v>
      </c>
      <c r="L26" s="6310" cm="1">
        <f t="array" aca="1" ref="L26" ca="1">INDIRECT("'※ 기타지표 세부데이터'!"&amp;L$1&amp;$U26, TRUE)</f>
        <v>5.416666666666667</v>
      </c>
      <c r="M26" s="921" cm="1">
        <f t="array" aca="1" ref="M26" ca="1">INDIRECT("'※ 기타지표 세부데이터'!"&amp;M$1&amp;$U26, TRUE)</f>
        <v>15</v>
      </c>
      <c r="N26" s="921" cm="1">
        <f t="array" aca="1" ref="N26" ca="1">INDIRECT("'※ 기타지표 세부데이터'!"&amp;N$1&amp;$U26, TRUE)</f>
        <v>24</v>
      </c>
      <c r="O26" s="922" cm="1">
        <f t="array" aca="1" ref="O26" ca="1">INDIRECT("'※ 기타지표 세부데이터'!"&amp;O$1&amp;$U26, TRUE)</f>
        <v>9</v>
      </c>
      <c r="P26" s="923" cm="1">
        <f t="array" aca="1" ref="P26" ca="1">INDIRECT("'※ 기타지표 세부데이터'!"&amp;P$1&amp;$U26, TRUE)</f>
        <v>16</v>
      </c>
      <c r="Q26" s="924" cm="1">
        <f t="array" aca="1" ref="Q26" ca="1">INDIRECT("'※ 기타지표 세부데이터'!"&amp;Q$1&amp;$U26, TRUE)</f>
        <v>39</v>
      </c>
      <c r="R26" s="925" cm="1">
        <f t="array" aca="1" ref="R26" ca="1">INDIRECT("'※ 기타지표 세부데이터'!"&amp;R$1&amp;$U26, TRUE)</f>
        <v>27</v>
      </c>
      <c r="S26" s="922" cm="1">
        <f t="array" aca="1" ref="S26" ca="1">INDIRECT("'※ 기타지표 세부데이터'!"&amp;S$1&amp;$U26, TRUE)</f>
        <v>19.5</v>
      </c>
      <c r="T26" s="926" cm="1">
        <f t="array" aca="1" ref="T26" ca="1">INDIRECT("'※ 기타지표 세부데이터'!"&amp;T$1&amp;$U26, TRUE)</f>
        <v>-9.5</v>
      </c>
      <c r="U26" s="855">
        <f>ROW('※ 기타지표 세부데이터'!J45)</f>
        <v>45</v>
      </c>
      <c r="V26" s="886"/>
      <c r="W26" s="886"/>
      <c r="X26" s="886"/>
      <c r="Y26" s="905">
        <v>0</v>
      </c>
    </row>
    <row r="27" spans="1:37" ht="16" customHeight="1" x14ac:dyDescent="0.55000000000000004">
      <c r="A27" s="7511"/>
      <c r="B27" s="7523"/>
      <c r="C27" s="927" t="s">
        <v>309</v>
      </c>
      <c r="D27" s="6326" cm="1">
        <f t="array" aca="1" ref="D27" ca="1">INDIRECT("'※ 기타지표 세부데이터'!"&amp;D$1&amp;$U27, TRUE)</f>
        <v>64.416666666666671</v>
      </c>
      <c r="E27" s="6326" cm="1">
        <f t="array" aca="1" ref="E27" ca="1">INDIRECT("'※ 기타지표 세부데이터'!"&amp;E$1&amp;$U27, TRUE)</f>
        <v>393.08333333333331</v>
      </c>
      <c r="F27" s="928" cm="1">
        <f t="array" aca="1" ref="F27" ca="1">INDIRECT("'※ 기타지표 세부데이터'!"&amp;F$1&amp;$U27, TRUE)</f>
        <v>51</v>
      </c>
      <c r="G27" s="929" cm="1">
        <f t="array" aca="1" ref="G27" ca="1">INDIRECT("'※ 기타지표 세부데이터'!"&amp;G$1&amp;$U27, TRUE)</f>
        <v>92</v>
      </c>
      <c r="H27" s="929" cm="1">
        <f t="array" aca="1" ref="H27" ca="1">INDIRECT("'※ 기타지표 세부데이터'!"&amp;H$1&amp;$U27, TRUE)</f>
        <v>319</v>
      </c>
      <c r="I27" s="929" cm="1">
        <f t="array" aca="1" ref="I27" ca="1">INDIRECT("'※ 기타지표 세부데이터'!"&amp;I$1&amp;$U27, TRUE)</f>
        <v>398</v>
      </c>
      <c r="J27" s="929" cm="1">
        <f t="array" aca="1" ref="J27" ca="1">INDIRECT("'※ 기타지표 세부데이터'!"&amp;J$1&amp;$U27, TRUE)</f>
        <v>494</v>
      </c>
      <c r="K27" s="929" cm="1">
        <f t="array" aca="1" ref="K27" ca="1">INDIRECT("'※ 기타지표 세부데이터'!"&amp;K$1&amp;$U27, TRUE)</f>
        <v>653</v>
      </c>
      <c r="L27" s="6311" cm="1">
        <f t="array" aca="1" ref="L27" ca="1">INDIRECT("'※ 기타지표 세부데이터'!"&amp;L$1&amp;$U27, TRUE)</f>
        <v>64.416666666666671</v>
      </c>
      <c r="M27" s="929" cm="1">
        <f t="array" aca="1" ref="M27" ca="1">INDIRECT("'※ 기타지표 세부데이터'!"&amp;M$1&amp;$U27, TRUE)</f>
        <v>173</v>
      </c>
      <c r="N27" s="929" cm="1">
        <f t="array" aca="1" ref="N27" ca="1">INDIRECT("'※ 기타지표 세부데이터'!"&amp;N$1&amp;$U27, TRUE)</f>
        <v>281</v>
      </c>
      <c r="O27" s="930" cm="1">
        <f t="array" aca="1" ref="O27" ca="1">INDIRECT("'※ 기타지표 세부데이터'!"&amp;O$1&amp;$U27, TRUE)</f>
        <v>108</v>
      </c>
      <c r="P27" s="931" cm="1">
        <f t="array" aca="1" ref="P27" ca="1">INDIRECT("'※ 기타지표 세부데이터'!"&amp;P$1&amp;$U27, TRUE)</f>
        <v>189</v>
      </c>
      <c r="Q27" s="932" cm="1">
        <f t="array" aca="1" ref="Q27" ca="1">INDIRECT("'※ 기타지표 세부데이터'!"&amp;Q$1&amp;$U27, TRUE)</f>
        <v>454</v>
      </c>
      <c r="R27" s="933" cm="1">
        <f t="array" aca="1" ref="R27" ca="1">INDIRECT("'※ 기타지표 세부데이터'!"&amp;R$1&amp;$U27, TRUE)</f>
        <v>311</v>
      </c>
      <c r="S27" s="930" cm="1">
        <f t="array" aca="1" ref="S27" ca="1">INDIRECT("'※ 기타지표 세부데이터'!"&amp;S$1&amp;$U27, TRUE)</f>
        <v>227</v>
      </c>
      <c r="T27" s="934" cm="1">
        <f t="array" aca="1" ref="T27" ca="1">INDIRECT("'※ 기타지표 세부데이터'!"&amp;T$1&amp;$U27, TRUE)</f>
        <v>-166.08333333333331</v>
      </c>
      <c r="U27" s="855">
        <f>ROW('※ 기타지표 세부데이터'!J46)</f>
        <v>46</v>
      </c>
      <c r="V27" s="886"/>
      <c r="W27" s="886"/>
      <c r="X27" s="886"/>
      <c r="Y27" s="905">
        <v>0</v>
      </c>
    </row>
    <row r="28" spans="1:37" ht="16" customHeight="1" x14ac:dyDescent="0.55000000000000004">
      <c r="A28" s="7511"/>
      <c r="B28" s="7522" t="s">
        <v>66</v>
      </c>
      <c r="C28" s="919" t="s">
        <v>879</v>
      </c>
      <c r="D28" s="6324" cm="1">
        <f t="array" aca="1" ref="D28" ca="1">INDIRECT("'※ 기타지표 세부데이터'!"&amp;D$1&amp;$U28, TRUE)</f>
        <v>0</v>
      </c>
      <c r="E28" s="6324" cm="1">
        <f t="array" aca="1" ref="E28" ca="1">INDIRECT("'※ 기타지표 세부데이터'!"&amp;E$1&amp;$U28, TRUE)</f>
        <v>0</v>
      </c>
      <c r="F28" s="699" cm="1">
        <f t="array" aca="1" ref="F28" ca="1">INDIRECT("'※ 기타지표 세부데이터'!"&amp;F$1&amp;$U28, TRUE)</f>
        <v>0</v>
      </c>
      <c r="G28" s="898" cm="1">
        <f t="array" aca="1" ref="G28" ca="1">INDIRECT("'※ 기타지표 세부데이터'!"&amp;G$1&amp;$U28, TRUE)</f>
        <v>0</v>
      </c>
      <c r="H28" s="898" cm="1">
        <f t="array" aca="1" ref="H28" ca="1">INDIRECT("'※ 기타지표 세부데이터'!"&amp;H$1&amp;$U28, TRUE)</f>
        <v>0</v>
      </c>
      <c r="I28" s="898" cm="1">
        <f t="array" aca="1" ref="I28" ca="1">INDIRECT("'※ 기타지표 세부데이터'!"&amp;I$1&amp;$U28, TRUE)</f>
        <v>0</v>
      </c>
      <c r="J28" s="898" cm="1">
        <f t="array" aca="1" ref="J28" ca="1">INDIRECT("'※ 기타지표 세부데이터'!"&amp;J$1&amp;$U28, TRUE)</f>
        <v>0</v>
      </c>
      <c r="K28" s="898" cm="1">
        <f t="array" aca="1" ref="K28" ca="1">INDIRECT("'※ 기타지표 세부데이터'!"&amp;K$1&amp;$U28, TRUE)</f>
        <v>0</v>
      </c>
      <c r="L28" s="6312" cm="1">
        <f t="array" aca="1" ref="L28" ca="1">INDIRECT("'※ 기타지표 세부데이터'!"&amp;L$1&amp;$U28, TRUE)</f>
        <v>0</v>
      </c>
      <c r="M28" s="898" cm="1">
        <f t="array" aca="1" ref="M28" ca="1">INDIRECT("'※ 기타지표 세부데이터'!"&amp;M$1&amp;$U28, TRUE)</f>
        <v>0</v>
      </c>
      <c r="N28" s="898" cm="1">
        <f t="array" aca="1" ref="N28" ca="1">INDIRECT("'※ 기타지표 세부데이터'!"&amp;N$1&amp;$U28, TRUE)</f>
        <v>0</v>
      </c>
      <c r="O28" s="914" cm="1">
        <f t="array" aca="1" ref="O28" ca="1">INDIRECT("'※ 기타지표 세부데이터'!"&amp;O$1&amp;$U28, TRUE)</f>
        <v>0</v>
      </c>
      <c r="P28" s="915" cm="1">
        <f t="array" aca="1" ref="P28" ca="1">INDIRECT("'※ 기타지표 세부데이터'!"&amp;P$1&amp;$U28, TRUE)</f>
        <v>0</v>
      </c>
      <c r="Q28" s="916" cm="1">
        <f t="array" aca="1" ref="Q28" ca="1">INDIRECT("'※ 기타지표 세부데이터'!"&amp;Q$1&amp;$U28, TRUE)</f>
        <v>0</v>
      </c>
      <c r="R28" s="917" cm="1">
        <f t="array" aca="1" ref="R28" ca="1">INDIRECT("'※ 기타지표 세부데이터'!"&amp;R$1&amp;$U28, TRUE)</f>
        <v>0</v>
      </c>
      <c r="S28" s="914" cm="1">
        <f t="array" aca="1" ref="S28" ca="1">INDIRECT("'※ 기타지표 세부데이터'!"&amp;S$1&amp;$U28, TRUE)</f>
        <v>0</v>
      </c>
      <c r="T28" s="918" cm="1">
        <f t="array" aca="1" ref="T28" ca="1">INDIRECT("'※ 기타지표 세부데이터'!"&amp;T$1&amp;$U28, TRUE)</f>
        <v>0</v>
      </c>
      <c r="U28" s="855">
        <f>ROW('※ 기타지표 세부데이터'!J47)</f>
        <v>47</v>
      </c>
      <c r="V28" s="886"/>
      <c r="W28" s="886"/>
      <c r="X28" s="886"/>
      <c r="Y28" s="905">
        <v>0</v>
      </c>
    </row>
    <row r="29" spans="1:37" ht="16" customHeight="1" x14ac:dyDescent="0.55000000000000004">
      <c r="A29" s="7511"/>
      <c r="B29" s="7523"/>
      <c r="C29" s="927" t="s">
        <v>309</v>
      </c>
      <c r="D29" s="6324" cm="1">
        <f t="array" aca="1" ref="D29" ca="1">INDIRECT("'※ 기타지표 세부데이터'!"&amp;D$1&amp;$U29, TRUE)</f>
        <v>0</v>
      </c>
      <c r="E29" s="6324" cm="1">
        <f t="array" aca="1" ref="E29" ca="1">INDIRECT("'※ 기타지표 세부데이터'!"&amp;E$1&amp;$U29, TRUE)</f>
        <v>0</v>
      </c>
      <c r="F29" s="699" cm="1">
        <f t="array" aca="1" ref="F29" ca="1">INDIRECT("'※ 기타지표 세부데이터'!"&amp;F$1&amp;$U29, TRUE)</f>
        <v>0</v>
      </c>
      <c r="G29" s="898" cm="1">
        <f t="array" aca="1" ref="G29" ca="1">INDIRECT("'※ 기타지표 세부데이터'!"&amp;G$1&amp;$U29, TRUE)</f>
        <v>0</v>
      </c>
      <c r="H29" s="898" cm="1">
        <f t="array" aca="1" ref="H29" ca="1">INDIRECT("'※ 기타지표 세부데이터'!"&amp;H$1&amp;$U29, TRUE)</f>
        <v>0</v>
      </c>
      <c r="I29" s="898" cm="1">
        <f t="array" aca="1" ref="I29" ca="1">INDIRECT("'※ 기타지표 세부데이터'!"&amp;I$1&amp;$U29, TRUE)</f>
        <v>0</v>
      </c>
      <c r="J29" s="898" cm="1">
        <f t="array" aca="1" ref="J29" ca="1">INDIRECT("'※ 기타지표 세부데이터'!"&amp;J$1&amp;$U29, TRUE)</f>
        <v>0</v>
      </c>
      <c r="K29" s="898" cm="1">
        <f t="array" aca="1" ref="K29" ca="1">INDIRECT("'※ 기타지표 세부데이터'!"&amp;K$1&amp;$U29, TRUE)</f>
        <v>0</v>
      </c>
      <c r="L29" s="6312" cm="1">
        <f t="array" aca="1" ref="L29" ca="1">INDIRECT("'※ 기타지표 세부데이터'!"&amp;L$1&amp;$U29, TRUE)</f>
        <v>0</v>
      </c>
      <c r="M29" s="898" cm="1">
        <f t="array" aca="1" ref="M29" ca="1">INDIRECT("'※ 기타지표 세부데이터'!"&amp;M$1&amp;$U29, TRUE)</f>
        <v>0</v>
      </c>
      <c r="N29" s="898" cm="1">
        <f t="array" aca="1" ref="N29" ca="1">INDIRECT("'※ 기타지표 세부데이터'!"&amp;N$1&amp;$U29, TRUE)</f>
        <v>0</v>
      </c>
      <c r="O29" s="914" cm="1">
        <f t="array" aca="1" ref="O29" ca="1">INDIRECT("'※ 기타지표 세부데이터'!"&amp;O$1&amp;$U29, TRUE)</f>
        <v>0</v>
      </c>
      <c r="P29" s="915" cm="1">
        <f t="array" aca="1" ref="P29" ca="1">INDIRECT("'※ 기타지표 세부데이터'!"&amp;P$1&amp;$U29, TRUE)</f>
        <v>0</v>
      </c>
      <c r="Q29" s="916" cm="1">
        <f t="array" aca="1" ref="Q29" ca="1">INDIRECT("'※ 기타지표 세부데이터'!"&amp;Q$1&amp;$U29, TRUE)</f>
        <v>0</v>
      </c>
      <c r="R29" s="917" cm="1">
        <f t="array" aca="1" ref="R29" ca="1">INDIRECT("'※ 기타지표 세부데이터'!"&amp;R$1&amp;$U29, TRUE)</f>
        <v>0</v>
      </c>
      <c r="S29" s="914" cm="1">
        <f t="array" aca="1" ref="S29" ca="1">INDIRECT("'※ 기타지표 세부데이터'!"&amp;S$1&amp;$U29, TRUE)</f>
        <v>0</v>
      </c>
      <c r="T29" s="918" cm="1">
        <f t="array" aca="1" ref="T29" ca="1">INDIRECT("'※ 기타지표 세부데이터'!"&amp;T$1&amp;$U29, TRUE)</f>
        <v>0</v>
      </c>
      <c r="U29" s="855">
        <f>ROW('※ 기타지표 세부데이터'!J48)</f>
        <v>48</v>
      </c>
      <c r="V29" s="886"/>
      <c r="W29" s="886"/>
      <c r="X29" s="886"/>
      <c r="Y29" s="905">
        <v>0</v>
      </c>
    </row>
    <row r="30" spans="1:37" ht="16" customHeight="1" x14ac:dyDescent="0.55000000000000004">
      <c r="A30" s="7511"/>
      <c r="B30" s="7522" t="s">
        <v>755</v>
      </c>
      <c r="C30" s="919" t="s">
        <v>879</v>
      </c>
      <c r="D30" s="6325" cm="1">
        <f t="array" aca="1" ref="D30" ca="1">INDIRECT("'※ 기타지표 세부데이터'!"&amp;D$1&amp;$U30, TRUE)</f>
        <v>0.41666666666666669</v>
      </c>
      <c r="E30" s="6325" cm="1">
        <f t="array" aca="1" ref="E30" ca="1">INDIRECT("'※ 기타지표 세부데이터'!"&amp;E$1&amp;$U30, TRUE)</f>
        <v>0</v>
      </c>
      <c r="F30" s="920" cm="1">
        <f t="array" aca="1" ref="F30" ca="1">INDIRECT("'※ 기타지표 세부데이터'!"&amp;F$1&amp;$U30, TRUE)</f>
        <v>0</v>
      </c>
      <c r="G30" s="921" cm="1">
        <f t="array" aca="1" ref="G30" ca="1">INDIRECT("'※ 기타지표 세부데이터'!"&amp;G$1&amp;$U30, TRUE)</f>
        <v>0</v>
      </c>
      <c r="H30" s="921" cm="1">
        <f t="array" aca="1" ref="H30" ca="1">INDIRECT("'※ 기타지표 세부데이터'!"&amp;H$1&amp;$U30, TRUE)</f>
        <v>0</v>
      </c>
      <c r="I30" s="921" cm="1">
        <f t="array" aca="1" ref="I30" ca="1">INDIRECT("'※ 기타지표 세부데이터'!"&amp;I$1&amp;$U30, TRUE)</f>
        <v>0</v>
      </c>
      <c r="J30" s="921" cm="1">
        <f t="array" aca="1" ref="J30" ca="1">INDIRECT("'※ 기타지표 세부데이터'!"&amp;J$1&amp;$U30, TRUE)</f>
        <v>0</v>
      </c>
      <c r="K30" s="921" cm="1">
        <f t="array" aca="1" ref="K30" ca="1">INDIRECT("'※ 기타지표 세부데이터'!"&amp;K$1&amp;$U30, TRUE)</f>
        <v>0</v>
      </c>
      <c r="L30" s="6310" cm="1">
        <f t="array" aca="1" ref="L30" ca="1">INDIRECT("'※ 기타지표 세부데이터'!"&amp;L$1&amp;$U30, TRUE)</f>
        <v>0.41666666666666669</v>
      </c>
      <c r="M30" s="921" cm="1">
        <f t="array" aca="1" ref="M30" ca="1">INDIRECT("'※ 기타지표 세부데이터'!"&amp;M$1&amp;$U30, TRUE)</f>
        <v>0</v>
      </c>
      <c r="N30" s="921" cm="1">
        <f t="array" aca="1" ref="N30" ca="1">INDIRECT("'※ 기타지표 세부데이터'!"&amp;N$1&amp;$U30, TRUE)</f>
        <v>0</v>
      </c>
      <c r="O30" s="922" cm="1">
        <f t="array" aca="1" ref="O30" ca="1">INDIRECT("'※ 기타지표 세부데이터'!"&amp;O$1&amp;$U30, TRUE)</f>
        <v>0</v>
      </c>
      <c r="P30" s="923" cm="1">
        <f t="array" aca="1" ref="P30" ca="1">INDIRECT("'※ 기타지표 세부데이터'!"&amp;P$1&amp;$U30, TRUE)</f>
        <v>0</v>
      </c>
      <c r="Q30" s="924" cm="1">
        <f t="array" aca="1" ref="Q30" ca="1">INDIRECT("'※ 기타지표 세부데이터'!"&amp;Q$1&amp;$U30, TRUE)</f>
        <v>0</v>
      </c>
      <c r="R30" s="925" cm="1">
        <f t="array" aca="1" ref="R30" ca="1">INDIRECT("'※ 기타지표 세부데이터'!"&amp;R$1&amp;$U30, TRUE)</f>
        <v>0</v>
      </c>
      <c r="S30" s="922" cm="1">
        <f t="array" aca="1" ref="S30" ca="1">INDIRECT("'※ 기타지표 세부데이터'!"&amp;S$1&amp;$U30, TRUE)</f>
        <v>0</v>
      </c>
      <c r="T30" s="926" cm="1">
        <f t="array" aca="1" ref="T30" ca="1">INDIRECT("'※ 기타지표 세부데이터'!"&amp;T$1&amp;$U30, TRUE)</f>
        <v>0</v>
      </c>
      <c r="U30" s="855">
        <f>ROW('※ 기타지표 세부데이터'!J49)</f>
        <v>49</v>
      </c>
      <c r="V30" s="886"/>
      <c r="W30" s="886"/>
      <c r="X30" s="886"/>
      <c r="Y30" s="905">
        <v>0</v>
      </c>
    </row>
    <row r="31" spans="1:37" ht="16" customHeight="1" x14ac:dyDescent="0.55000000000000004">
      <c r="A31" s="7511"/>
      <c r="B31" s="7523"/>
      <c r="C31" s="927" t="s">
        <v>309</v>
      </c>
      <c r="D31" s="6326" cm="1">
        <f t="array" aca="1" ref="D31" ca="1">INDIRECT("'※ 기타지표 세부데이터'!"&amp;D$1&amp;$U31, TRUE)</f>
        <v>9.75</v>
      </c>
      <c r="E31" s="6326" cm="1">
        <f t="array" aca="1" ref="E31" ca="1">INDIRECT("'※ 기타지표 세부데이터'!"&amp;E$1&amp;$U31, TRUE)</f>
        <v>0</v>
      </c>
      <c r="F31" s="928" cm="1">
        <f t="array" aca="1" ref="F31" ca="1">INDIRECT("'※ 기타지표 세부데이터'!"&amp;F$1&amp;$U31, TRUE)</f>
        <v>0</v>
      </c>
      <c r="G31" s="929" cm="1">
        <f t="array" aca="1" ref="G31" ca="1">INDIRECT("'※ 기타지표 세부데이터'!"&amp;G$1&amp;$U31, TRUE)</f>
        <v>0</v>
      </c>
      <c r="H31" s="929" cm="1">
        <f t="array" aca="1" ref="H31" ca="1">INDIRECT("'※ 기타지표 세부데이터'!"&amp;H$1&amp;$U31, TRUE)</f>
        <v>0</v>
      </c>
      <c r="I31" s="929" cm="1">
        <f t="array" aca="1" ref="I31" ca="1">INDIRECT("'※ 기타지표 세부데이터'!"&amp;I$1&amp;$U31, TRUE)</f>
        <v>0</v>
      </c>
      <c r="J31" s="929" cm="1">
        <f t="array" aca="1" ref="J31" ca="1">INDIRECT("'※ 기타지표 세부데이터'!"&amp;J$1&amp;$U31, TRUE)</f>
        <v>0</v>
      </c>
      <c r="K31" s="929" cm="1">
        <f t="array" aca="1" ref="K31" ca="1">INDIRECT("'※ 기타지표 세부데이터'!"&amp;K$1&amp;$U31, TRUE)</f>
        <v>0</v>
      </c>
      <c r="L31" s="6311" cm="1">
        <f t="array" aca="1" ref="L31" ca="1">INDIRECT("'※ 기타지표 세부데이터'!"&amp;L$1&amp;$U31, TRUE)</f>
        <v>9.75</v>
      </c>
      <c r="M31" s="929" cm="1">
        <f t="array" aca="1" ref="M31" ca="1">INDIRECT("'※ 기타지표 세부데이터'!"&amp;M$1&amp;$U31, TRUE)</f>
        <v>0</v>
      </c>
      <c r="N31" s="929" cm="1">
        <f t="array" aca="1" ref="N31" ca="1">INDIRECT("'※ 기타지표 세부데이터'!"&amp;N$1&amp;$U31, TRUE)</f>
        <v>0</v>
      </c>
      <c r="O31" s="930" cm="1">
        <f t="array" aca="1" ref="O31" ca="1">INDIRECT("'※ 기타지표 세부데이터'!"&amp;O$1&amp;$U31, TRUE)</f>
        <v>0</v>
      </c>
      <c r="P31" s="931" cm="1">
        <f t="array" aca="1" ref="P31" ca="1">INDIRECT("'※ 기타지표 세부데이터'!"&amp;P$1&amp;$U31, TRUE)</f>
        <v>0</v>
      </c>
      <c r="Q31" s="932" cm="1">
        <f t="array" aca="1" ref="Q31" ca="1">INDIRECT("'※ 기타지표 세부데이터'!"&amp;Q$1&amp;$U31, TRUE)</f>
        <v>0</v>
      </c>
      <c r="R31" s="933" cm="1">
        <f t="array" aca="1" ref="R31" ca="1">INDIRECT("'※ 기타지표 세부데이터'!"&amp;R$1&amp;$U31, TRUE)</f>
        <v>0</v>
      </c>
      <c r="S31" s="930" cm="1">
        <f t="array" aca="1" ref="S31" ca="1">INDIRECT("'※ 기타지표 세부데이터'!"&amp;S$1&amp;$U31, TRUE)</f>
        <v>0</v>
      </c>
      <c r="T31" s="934" cm="1">
        <f t="array" aca="1" ref="T31" ca="1">INDIRECT("'※ 기타지표 세부데이터'!"&amp;T$1&amp;$U31, TRUE)</f>
        <v>0</v>
      </c>
      <c r="U31" s="855">
        <f>ROW('※ 기타지표 세부데이터'!J50)</f>
        <v>50</v>
      </c>
      <c r="V31" s="886"/>
      <c r="W31" s="886"/>
      <c r="X31" s="886"/>
      <c r="Y31" s="905">
        <v>0</v>
      </c>
    </row>
    <row r="32" spans="1:37" ht="16" customHeight="1" x14ac:dyDescent="0.55000000000000004">
      <c r="A32" s="7511"/>
      <c r="B32" s="7524" t="s">
        <v>754</v>
      </c>
      <c r="C32" s="886" t="s">
        <v>879</v>
      </c>
      <c r="D32" s="6324" cm="1">
        <f t="array" aca="1" ref="D32" ca="1">INDIRECT("'※ 기타지표 세부데이터'!"&amp;D$1&amp;$U32, TRUE)</f>
        <v>0</v>
      </c>
      <c r="E32" s="6324" cm="1">
        <f t="array" aca="1" ref="E32" ca="1">INDIRECT("'※ 기타지표 세부데이터'!"&amp;E$1&amp;$U32, TRUE)</f>
        <v>0</v>
      </c>
      <c r="F32" s="699" cm="1">
        <f t="array" aca="1" ref="F32" ca="1">INDIRECT("'※ 기타지표 세부데이터'!"&amp;F$1&amp;$U32, TRUE)</f>
        <v>0</v>
      </c>
      <c r="G32" s="898" cm="1">
        <f t="array" aca="1" ref="G32" ca="1">INDIRECT("'※ 기타지표 세부데이터'!"&amp;G$1&amp;$U32, TRUE)</f>
        <v>0</v>
      </c>
      <c r="H32" s="898" cm="1">
        <f t="array" aca="1" ref="H32" ca="1">INDIRECT("'※ 기타지표 세부데이터'!"&amp;H$1&amp;$U32, TRUE)</f>
        <v>0</v>
      </c>
      <c r="I32" s="898" cm="1">
        <f t="array" aca="1" ref="I32" ca="1">INDIRECT("'※ 기타지표 세부데이터'!"&amp;I$1&amp;$U32, TRUE)</f>
        <v>0</v>
      </c>
      <c r="J32" s="898" cm="1">
        <f t="array" aca="1" ref="J32" ca="1">INDIRECT("'※ 기타지표 세부데이터'!"&amp;J$1&amp;$U32, TRUE)</f>
        <v>0</v>
      </c>
      <c r="K32" s="898" cm="1">
        <f t="array" aca="1" ref="K32" ca="1">INDIRECT("'※ 기타지표 세부데이터'!"&amp;K$1&amp;$U32, TRUE)</f>
        <v>0</v>
      </c>
      <c r="L32" s="6312" cm="1">
        <f t="array" aca="1" ref="L32" ca="1">INDIRECT("'※ 기타지표 세부데이터'!"&amp;L$1&amp;$U32, TRUE)</f>
        <v>0</v>
      </c>
      <c r="M32" s="898" cm="1">
        <f t="array" aca="1" ref="M32" ca="1">INDIRECT("'※ 기타지표 세부데이터'!"&amp;M$1&amp;$U32, TRUE)</f>
        <v>0</v>
      </c>
      <c r="N32" s="898" cm="1">
        <f t="array" aca="1" ref="N32" ca="1">INDIRECT("'※ 기타지표 세부데이터'!"&amp;N$1&amp;$U32, TRUE)</f>
        <v>0</v>
      </c>
      <c r="O32" s="914" cm="1">
        <f t="array" aca="1" ref="O32" ca="1">INDIRECT("'※ 기타지표 세부데이터'!"&amp;O$1&amp;$U32, TRUE)</f>
        <v>0</v>
      </c>
      <c r="P32" s="915" cm="1">
        <f t="array" aca="1" ref="P32" ca="1">INDIRECT("'※ 기타지표 세부데이터'!"&amp;P$1&amp;$U32, TRUE)</f>
        <v>0</v>
      </c>
      <c r="Q32" s="916" cm="1">
        <f t="array" aca="1" ref="Q32" ca="1">INDIRECT("'※ 기타지표 세부데이터'!"&amp;Q$1&amp;$U32, TRUE)</f>
        <v>0</v>
      </c>
      <c r="R32" s="917" cm="1">
        <f t="array" aca="1" ref="R32" ca="1">INDIRECT("'※ 기타지표 세부데이터'!"&amp;R$1&amp;$U32, TRUE)</f>
        <v>0</v>
      </c>
      <c r="S32" s="914" cm="1">
        <f t="array" aca="1" ref="S32" ca="1">INDIRECT("'※ 기타지표 세부데이터'!"&amp;S$1&amp;$U32, TRUE)</f>
        <v>0</v>
      </c>
      <c r="T32" s="918" cm="1">
        <f t="array" aca="1" ref="T32" ca="1">INDIRECT("'※ 기타지표 세부데이터'!"&amp;T$1&amp;$U32, TRUE)</f>
        <v>0</v>
      </c>
      <c r="U32" s="855">
        <f>ROW('※ 기타지표 세부데이터'!J51)</f>
        <v>51</v>
      </c>
      <c r="V32" s="886"/>
      <c r="W32" s="886"/>
      <c r="X32" s="886"/>
      <c r="Y32" s="905">
        <v>0</v>
      </c>
    </row>
    <row r="33" spans="1:37" ht="16" customHeight="1" x14ac:dyDescent="0.55000000000000004">
      <c r="A33" s="7511"/>
      <c r="B33" s="7517"/>
      <c r="C33" s="935" t="s">
        <v>309</v>
      </c>
      <c r="D33" s="6324" cm="1">
        <f t="array" aca="1" ref="D33" ca="1">INDIRECT("'※ 기타지표 세부데이터'!"&amp;D$1&amp;$U33, TRUE)</f>
        <v>0</v>
      </c>
      <c r="E33" s="6324" cm="1">
        <f t="array" aca="1" ref="E33" ca="1">INDIRECT("'※ 기타지표 세부데이터'!"&amp;E$1&amp;$U33, TRUE)</f>
        <v>0</v>
      </c>
      <c r="F33" s="699" cm="1">
        <f t="array" aca="1" ref="F33" ca="1">INDIRECT("'※ 기타지표 세부데이터'!"&amp;F$1&amp;$U33, TRUE)</f>
        <v>0</v>
      </c>
      <c r="G33" s="898" cm="1">
        <f t="array" aca="1" ref="G33" ca="1">INDIRECT("'※ 기타지표 세부데이터'!"&amp;G$1&amp;$U33, TRUE)</f>
        <v>0</v>
      </c>
      <c r="H33" s="898" cm="1">
        <f t="array" aca="1" ref="H33" ca="1">INDIRECT("'※ 기타지표 세부데이터'!"&amp;H$1&amp;$U33, TRUE)</f>
        <v>0</v>
      </c>
      <c r="I33" s="898" cm="1">
        <f t="array" aca="1" ref="I33" ca="1">INDIRECT("'※ 기타지표 세부데이터'!"&amp;I$1&amp;$U33, TRUE)</f>
        <v>0</v>
      </c>
      <c r="J33" s="898" cm="1">
        <f t="array" aca="1" ref="J33" ca="1">INDIRECT("'※ 기타지표 세부데이터'!"&amp;J$1&amp;$U33, TRUE)</f>
        <v>0</v>
      </c>
      <c r="K33" s="898" cm="1">
        <f t="array" aca="1" ref="K33" ca="1">INDIRECT("'※ 기타지표 세부데이터'!"&amp;K$1&amp;$U33, TRUE)</f>
        <v>0</v>
      </c>
      <c r="L33" s="6312" cm="1">
        <f t="array" aca="1" ref="L33" ca="1">INDIRECT("'※ 기타지표 세부데이터'!"&amp;L$1&amp;$U33, TRUE)</f>
        <v>0</v>
      </c>
      <c r="M33" s="898" cm="1">
        <f t="array" aca="1" ref="M33" ca="1">INDIRECT("'※ 기타지표 세부데이터'!"&amp;M$1&amp;$U33, TRUE)</f>
        <v>0</v>
      </c>
      <c r="N33" s="898" cm="1">
        <f t="array" aca="1" ref="N33" ca="1">INDIRECT("'※ 기타지표 세부데이터'!"&amp;N$1&amp;$U33, TRUE)</f>
        <v>0</v>
      </c>
      <c r="O33" s="914" cm="1">
        <f t="array" aca="1" ref="O33" ca="1">INDIRECT("'※ 기타지표 세부데이터'!"&amp;O$1&amp;$U33, TRUE)</f>
        <v>0</v>
      </c>
      <c r="P33" s="915" cm="1">
        <f t="array" aca="1" ref="P33" ca="1">INDIRECT("'※ 기타지표 세부데이터'!"&amp;P$1&amp;$U33, TRUE)</f>
        <v>0</v>
      </c>
      <c r="Q33" s="916" cm="1">
        <f t="array" aca="1" ref="Q33" ca="1">INDIRECT("'※ 기타지표 세부데이터'!"&amp;Q$1&amp;$U33, TRUE)</f>
        <v>0</v>
      </c>
      <c r="R33" s="917" cm="1">
        <f t="array" aca="1" ref="R33" ca="1">INDIRECT("'※ 기타지표 세부데이터'!"&amp;R$1&amp;$U33, TRUE)</f>
        <v>0</v>
      </c>
      <c r="S33" s="914" cm="1">
        <f t="array" aca="1" ref="S33" ca="1">INDIRECT("'※ 기타지표 세부데이터'!"&amp;S$1&amp;$U33, TRUE)</f>
        <v>0</v>
      </c>
      <c r="T33" s="918" cm="1">
        <f t="array" aca="1" ref="T33" ca="1">INDIRECT("'※ 기타지표 세부데이터'!"&amp;T$1&amp;$U33, TRUE)</f>
        <v>0</v>
      </c>
      <c r="U33" s="855">
        <f>ROW('※ 기타지표 세부데이터'!J52)</f>
        <v>52</v>
      </c>
      <c r="V33" s="886"/>
      <c r="W33" s="886"/>
      <c r="X33" s="886"/>
      <c r="Y33" s="905">
        <v>0</v>
      </c>
    </row>
    <row r="34" spans="1:37" ht="16" customHeight="1" x14ac:dyDescent="0.55000000000000004">
      <c r="A34" s="7511"/>
      <c r="B34" s="936" t="s">
        <v>311</v>
      </c>
      <c r="C34" s="937"/>
      <c r="D34" s="6327" cm="1">
        <f t="array" aca="1" ref="D34" ca="1">INDIRECT("'※ 기타지표 세부데이터'!"&amp;D$1&amp;$U34, TRUE)</f>
        <v>5.75</v>
      </c>
      <c r="E34" s="6327" cm="1">
        <f t="array" aca="1" ref="E34" ca="1">INDIRECT("'※ 기타지표 세부데이터'!"&amp;E$1&amp;$U34, TRUE)</f>
        <v>3.1666666666666665</v>
      </c>
      <c r="F34" s="938" cm="1">
        <f t="array" aca="1" ref="F34" ca="1">INDIRECT("'※ 기타지표 세부데이터'!"&amp;F$1&amp;$U34, TRUE)</f>
        <v>1</v>
      </c>
      <c r="G34" s="939" cm="1">
        <f t="array" aca="1" ref="G34" ca="1">INDIRECT("'※ 기타지표 세부데이터'!"&amp;G$1&amp;$U34, TRUE)</f>
        <v>2</v>
      </c>
      <c r="H34" s="939" cm="1">
        <f t="array" aca="1" ref="H34" ca="1">INDIRECT("'※ 기타지표 세부데이터'!"&amp;H$1&amp;$U34, TRUE)</f>
        <v>8</v>
      </c>
      <c r="I34" s="939" cm="1">
        <f t="array" aca="1" ref="I34" ca="1">INDIRECT("'※ 기타지표 세부데이터'!"&amp;I$1&amp;$U34, TRUE)</f>
        <v>3</v>
      </c>
      <c r="J34" s="939" cm="1">
        <f t="array" aca="1" ref="J34" ca="1">INDIRECT("'※ 기타지표 세부데이터'!"&amp;J$1&amp;$U34, TRUE)</f>
        <v>15</v>
      </c>
      <c r="K34" s="939" cm="1">
        <f t="array" aca="1" ref="K34" ca="1">INDIRECT("'※ 기타지표 세부데이터'!"&amp;K$1&amp;$U34, TRUE)</f>
        <v>0</v>
      </c>
      <c r="L34" s="6314" cm="1">
        <f t="array" aca="1" ref="L34" ca="1">INDIRECT("'※ 기타지표 세부데이터'!"&amp;L$1&amp;$U34, TRUE)</f>
        <v>5.75</v>
      </c>
      <c r="M34" s="939" cm="1">
        <f t="array" aca="1" ref="M34" ca="1">INDIRECT("'※ 기타지표 세부데이터'!"&amp;M$1&amp;$U34, TRUE)</f>
        <v>2</v>
      </c>
      <c r="N34" s="939" cm="1">
        <f t="array" aca="1" ref="N34" ca="1">INDIRECT("'※ 기타지표 세부데이터'!"&amp;N$1&amp;$U34, TRUE)</f>
        <v>1</v>
      </c>
      <c r="O34" s="940" cm="1">
        <f t="array" aca="1" ref="O34" ca="1">INDIRECT("'※ 기타지표 세부데이터'!"&amp;O$1&amp;$U34, TRUE)</f>
        <v>-1</v>
      </c>
      <c r="P34" s="941" cm="1">
        <f t="array" aca="1" ref="P34" ca="1">INDIRECT("'※ 기타지표 세부데이터'!"&amp;P$1&amp;$U34, TRUE)</f>
        <v>-1</v>
      </c>
      <c r="Q34" s="942" cm="1">
        <f t="array" aca="1" ref="Q34" ca="1">INDIRECT("'※ 기타지표 세부데이터'!"&amp;Q$1&amp;$U34, TRUE)</f>
        <v>3</v>
      </c>
      <c r="R34" s="943" cm="1">
        <f t="array" aca="1" ref="R34" ca="1">INDIRECT("'※ 기타지표 세부데이터'!"&amp;R$1&amp;$U34, TRUE)</f>
        <v>0</v>
      </c>
      <c r="S34" s="940" cm="1">
        <f t="array" aca="1" ref="S34" ca="1">INDIRECT("'※ 기타지표 세부데이터'!"&amp;S$1&amp;$U34, TRUE)</f>
        <v>1.5</v>
      </c>
      <c r="T34" s="944" cm="1">
        <f t="array" aca="1" ref="T34" ca="1">INDIRECT("'※ 기타지표 세부데이터'!"&amp;T$1&amp;$U34, TRUE)</f>
        <v>-1.6666666666666665</v>
      </c>
      <c r="U34" s="855">
        <f>ROW('※ 기타지표 세부데이터'!J53)</f>
        <v>53</v>
      </c>
      <c r="V34" s="867"/>
      <c r="W34" s="867"/>
      <c r="X34" s="867"/>
      <c r="Y34" s="905">
        <v>1.25</v>
      </c>
      <c r="Z34" s="559">
        <v>1</v>
      </c>
      <c r="AA34" s="559">
        <v>0</v>
      </c>
      <c r="AB34" s="559">
        <v>0</v>
      </c>
      <c r="AC34" s="559">
        <v>2</v>
      </c>
      <c r="AD34" s="559">
        <v>4</v>
      </c>
      <c r="AE34" s="559">
        <v>0</v>
      </c>
      <c r="AF34" s="559">
        <v>1</v>
      </c>
      <c r="AG34" s="559">
        <v>0</v>
      </c>
      <c r="AH34" s="559">
        <v>3</v>
      </c>
      <c r="AI34" s="559">
        <v>1</v>
      </c>
      <c r="AJ34" s="559">
        <v>3</v>
      </c>
      <c r="AK34" s="559">
        <v>0</v>
      </c>
    </row>
    <row r="35" spans="1:37" ht="16" customHeight="1" x14ac:dyDescent="0.55000000000000004">
      <c r="A35" s="7511"/>
      <c r="B35" s="945" t="s">
        <v>939</v>
      </c>
      <c r="C35" s="886"/>
      <c r="D35" s="6324" cm="1">
        <f t="array" aca="1" ref="D35" ca="1">INDIRECT("'※ 기타지표 세부데이터'!"&amp;D$1&amp;$U35, TRUE)</f>
        <v>5.333333333333333</v>
      </c>
      <c r="E35" s="6324" cm="1">
        <f t="array" aca="1" ref="E35" ca="1">INDIRECT("'※ 기타지표 세부데이터'!"&amp;E$1&amp;$U35, TRUE)</f>
        <v>3.1666666666666665</v>
      </c>
      <c r="F35" s="699" cm="1">
        <f t="array" aca="1" ref="F35" ca="1">INDIRECT("'※ 기타지표 세부데이터'!"&amp;F$1&amp;$U35, TRUE)</f>
        <v>1</v>
      </c>
      <c r="G35" s="898" cm="1">
        <f t="array" aca="1" ref="G35" ca="1">INDIRECT("'※ 기타지표 세부데이터'!"&amp;G$1&amp;$U35, TRUE)</f>
        <v>2</v>
      </c>
      <c r="H35" s="898" cm="1">
        <f t="array" aca="1" ref="H35" ca="1">INDIRECT("'※ 기타지표 세부데이터'!"&amp;H$1&amp;$U35, TRUE)</f>
        <v>8</v>
      </c>
      <c r="I35" s="898" cm="1">
        <f t="array" aca="1" ref="I35" ca="1">INDIRECT("'※ 기타지표 세부데이터'!"&amp;I$1&amp;$U35, TRUE)</f>
        <v>3</v>
      </c>
      <c r="J35" s="898" cm="1">
        <f t="array" aca="1" ref="J35" ca="1">INDIRECT("'※ 기타지표 세부데이터'!"&amp;J$1&amp;$U35, TRUE)</f>
        <v>15</v>
      </c>
      <c r="K35" s="898" cm="1">
        <f t="array" aca="1" ref="K35" ca="1">INDIRECT("'※ 기타지표 세부데이터'!"&amp;K$1&amp;$U35, TRUE)</f>
        <v>0</v>
      </c>
      <c r="L35" s="6312" cm="1">
        <f t="array" aca="1" ref="L35" ca="1">INDIRECT("'※ 기타지표 세부데이터'!"&amp;L$1&amp;$U35, TRUE)</f>
        <v>5.333333333333333</v>
      </c>
      <c r="M35" s="898" cm="1">
        <f t="array" aca="1" ref="M35" ca="1">INDIRECT("'※ 기타지표 세부데이터'!"&amp;M$1&amp;$U35, TRUE)</f>
        <v>2</v>
      </c>
      <c r="N35" s="898" cm="1">
        <f t="array" aca="1" ref="N35" ca="1">INDIRECT("'※ 기타지표 세부데이터'!"&amp;N$1&amp;$U35, TRUE)</f>
        <v>1</v>
      </c>
      <c r="O35" s="914" cm="1">
        <f t="array" aca="1" ref="O35" ca="1">INDIRECT("'※ 기타지표 세부데이터'!"&amp;O$1&amp;$U35, TRUE)</f>
        <v>-1</v>
      </c>
      <c r="P35" s="915" cm="1">
        <f t="array" aca="1" ref="P35" ca="1">INDIRECT("'※ 기타지표 세부데이터'!"&amp;P$1&amp;$U35, TRUE)</f>
        <v>-1</v>
      </c>
      <c r="Q35" s="916" cm="1">
        <f t="array" aca="1" ref="Q35" ca="1">INDIRECT("'※ 기타지표 세부데이터'!"&amp;Q$1&amp;$U35, TRUE)</f>
        <v>3</v>
      </c>
      <c r="R35" s="917" cm="1">
        <f t="array" aca="1" ref="R35" ca="1">INDIRECT("'※ 기타지표 세부데이터'!"&amp;R$1&amp;$U35, TRUE)</f>
        <v>0</v>
      </c>
      <c r="S35" s="914" cm="1">
        <f t="array" aca="1" ref="S35" ca="1">INDIRECT("'※ 기타지표 세부데이터'!"&amp;S$1&amp;$U35, TRUE)</f>
        <v>1.5</v>
      </c>
      <c r="T35" s="918" cm="1">
        <f t="array" aca="1" ref="T35" ca="1">INDIRECT("'※ 기타지표 세부데이터'!"&amp;T$1&amp;$U35, TRUE)</f>
        <v>-1.6666666666666665</v>
      </c>
      <c r="U35" s="855">
        <f>ROW('※ 기타지표 세부데이터'!J54)</f>
        <v>54</v>
      </c>
      <c r="V35" s="886"/>
      <c r="W35" s="886"/>
      <c r="X35" s="886"/>
      <c r="Y35" s="905">
        <v>1.25</v>
      </c>
      <c r="Z35" s="559">
        <v>1</v>
      </c>
      <c r="AA35" s="559">
        <v>0</v>
      </c>
      <c r="AB35" s="559">
        <v>0</v>
      </c>
      <c r="AC35" s="559">
        <v>2</v>
      </c>
      <c r="AD35" s="559">
        <v>4</v>
      </c>
      <c r="AE35" s="559">
        <v>0</v>
      </c>
      <c r="AF35" s="559">
        <v>1</v>
      </c>
      <c r="AG35" s="559">
        <v>0</v>
      </c>
      <c r="AH35" s="559">
        <v>3</v>
      </c>
      <c r="AI35" s="559">
        <v>1</v>
      </c>
      <c r="AJ35" s="559">
        <v>3</v>
      </c>
      <c r="AK35" s="559">
        <v>0</v>
      </c>
    </row>
    <row r="36" spans="1:37" ht="16" customHeight="1" x14ac:dyDescent="0.55000000000000004">
      <c r="A36" s="7511"/>
      <c r="B36" s="946" t="s">
        <v>22</v>
      </c>
      <c r="C36" s="947"/>
      <c r="D36" s="6328" cm="1">
        <f t="array" aca="1" ref="D36" ca="1">INDIRECT("'※ 기타지표 세부데이터'!"&amp;D$1&amp;$U36, TRUE)</f>
        <v>0</v>
      </c>
      <c r="E36" s="6328" cm="1">
        <f t="array" aca="1" ref="E36" ca="1">INDIRECT("'※ 기타지표 세부데이터'!"&amp;E$1&amp;$U36, TRUE)</f>
        <v>0</v>
      </c>
      <c r="F36" s="948" cm="1">
        <f t="array" aca="1" ref="F36" ca="1">INDIRECT("'※ 기타지표 세부데이터'!"&amp;F$1&amp;$U36, TRUE)</f>
        <v>0</v>
      </c>
      <c r="G36" s="949" cm="1">
        <f t="array" aca="1" ref="G36" ca="1">INDIRECT("'※ 기타지표 세부데이터'!"&amp;G$1&amp;$U36, TRUE)</f>
        <v>0</v>
      </c>
      <c r="H36" s="949" cm="1">
        <f t="array" aca="1" ref="H36" ca="1">INDIRECT("'※ 기타지표 세부데이터'!"&amp;H$1&amp;$U36, TRUE)</f>
        <v>0</v>
      </c>
      <c r="I36" s="949" cm="1">
        <f t="array" aca="1" ref="I36" ca="1">INDIRECT("'※ 기타지표 세부데이터'!"&amp;I$1&amp;$U36, TRUE)</f>
        <v>0</v>
      </c>
      <c r="J36" s="949" cm="1">
        <f t="array" aca="1" ref="J36" ca="1">INDIRECT("'※ 기타지표 세부데이터'!"&amp;J$1&amp;$U36, TRUE)</f>
        <v>0</v>
      </c>
      <c r="K36" s="949" cm="1">
        <f t="array" aca="1" ref="K36" ca="1">INDIRECT("'※ 기타지표 세부데이터'!"&amp;K$1&amp;$U36, TRUE)</f>
        <v>0</v>
      </c>
      <c r="L36" s="6321" cm="1">
        <f t="array" aca="1" ref="L36" ca="1">INDIRECT("'※ 기타지표 세부데이터'!"&amp;L$1&amp;$U36, TRUE)</f>
        <v>0</v>
      </c>
      <c r="M36" s="949" cm="1">
        <f t="array" aca="1" ref="M36" ca="1">INDIRECT("'※ 기타지표 세부데이터'!"&amp;M$1&amp;$U36, TRUE)</f>
        <v>0</v>
      </c>
      <c r="N36" s="949" cm="1">
        <f t="array" aca="1" ref="N36" ca="1">INDIRECT("'※ 기타지표 세부데이터'!"&amp;N$1&amp;$U36, TRUE)</f>
        <v>0</v>
      </c>
      <c r="O36" s="950" cm="1">
        <f t="array" aca="1" ref="O36" ca="1">INDIRECT("'※ 기타지표 세부데이터'!"&amp;O$1&amp;$U36, TRUE)</f>
        <v>0</v>
      </c>
      <c r="P36" s="951" cm="1">
        <f t="array" aca="1" ref="P36" ca="1">INDIRECT("'※ 기타지표 세부데이터'!"&amp;P$1&amp;$U36, TRUE)</f>
        <v>0</v>
      </c>
      <c r="Q36" s="952" cm="1">
        <f t="array" aca="1" ref="Q36" ca="1">INDIRECT("'※ 기타지표 세부데이터'!"&amp;Q$1&amp;$U36, TRUE)</f>
        <v>0</v>
      </c>
      <c r="R36" s="953" cm="1">
        <f t="array" aca="1" ref="R36" ca="1">INDIRECT("'※ 기타지표 세부데이터'!"&amp;R$1&amp;$U36, TRUE)</f>
        <v>0</v>
      </c>
      <c r="S36" s="950" cm="1">
        <f t="array" aca="1" ref="S36" ca="1">INDIRECT("'※ 기타지표 세부데이터'!"&amp;S$1&amp;$U36, TRUE)</f>
        <v>0</v>
      </c>
      <c r="T36" s="954" cm="1">
        <f t="array" aca="1" ref="T36" ca="1">INDIRECT("'※ 기타지표 세부데이터'!"&amp;T$1&amp;$U36, TRUE)</f>
        <v>0</v>
      </c>
      <c r="U36" s="855">
        <f>ROW('※ 기타지표 세부데이터'!J55)</f>
        <v>55</v>
      </c>
      <c r="V36" s="886"/>
      <c r="W36" s="886"/>
      <c r="X36" s="886"/>
      <c r="Y36" s="905">
        <v>0</v>
      </c>
    </row>
    <row r="37" spans="1:37" ht="16" customHeight="1" x14ac:dyDescent="0.55000000000000004">
      <c r="A37" s="7511"/>
      <c r="B37" s="955" t="s">
        <v>66</v>
      </c>
      <c r="C37" s="886"/>
      <c r="D37" s="6324" cm="1">
        <f t="array" aca="1" ref="D37" ca="1">INDIRECT("'※ 기타지표 세부데이터'!"&amp;D$1&amp;$U37, TRUE)</f>
        <v>0.41666666666666669</v>
      </c>
      <c r="E37" s="6324" cm="1">
        <f t="array" aca="1" ref="E37" ca="1">INDIRECT("'※ 기타지표 세부데이터'!"&amp;E$1&amp;$U37, TRUE)</f>
        <v>0</v>
      </c>
      <c r="F37" s="699" cm="1">
        <f t="array" aca="1" ref="F37" ca="1">INDIRECT("'※ 기타지표 세부데이터'!"&amp;F$1&amp;$U37, TRUE)</f>
        <v>0</v>
      </c>
      <c r="G37" s="898" cm="1">
        <f t="array" aca="1" ref="G37" ca="1">INDIRECT("'※ 기타지표 세부데이터'!"&amp;G$1&amp;$U37, TRUE)</f>
        <v>0</v>
      </c>
      <c r="H37" s="898" cm="1">
        <f t="array" aca="1" ref="H37" ca="1">INDIRECT("'※ 기타지표 세부데이터'!"&amp;H$1&amp;$U37, TRUE)</f>
        <v>0</v>
      </c>
      <c r="I37" s="898" cm="1">
        <f t="array" aca="1" ref="I37" ca="1">INDIRECT("'※ 기타지표 세부데이터'!"&amp;I$1&amp;$U37, TRUE)</f>
        <v>0</v>
      </c>
      <c r="J37" s="898" cm="1">
        <f t="array" aca="1" ref="J37" ca="1">INDIRECT("'※ 기타지표 세부데이터'!"&amp;J$1&amp;$U37, TRUE)</f>
        <v>0</v>
      </c>
      <c r="K37" s="898" cm="1">
        <f t="array" aca="1" ref="K37" ca="1">INDIRECT("'※ 기타지표 세부데이터'!"&amp;K$1&amp;$U37, TRUE)</f>
        <v>0</v>
      </c>
      <c r="L37" s="6312" cm="1">
        <f t="array" aca="1" ref="L37" ca="1">INDIRECT("'※ 기타지표 세부데이터'!"&amp;L$1&amp;$U37, TRUE)</f>
        <v>0.41666666666666669</v>
      </c>
      <c r="M37" s="898" cm="1">
        <f t="array" aca="1" ref="M37" ca="1">INDIRECT("'※ 기타지표 세부데이터'!"&amp;M$1&amp;$U37, TRUE)</f>
        <v>0</v>
      </c>
      <c r="N37" s="898" cm="1">
        <f t="array" aca="1" ref="N37" ca="1">INDIRECT("'※ 기타지표 세부데이터'!"&amp;N$1&amp;$U37, TRUE)</f>
        <v>0</v>
      </c>
      <c r="O37" s="914" cm="1">
        <f t="array" aca="1" ref="O37" ca="1">INDIRECT("'※ 기타지표 세부데이터'!"&amp;O$1&amp;$U37, TRUE)</f>
        <v>0</v>
      </c>
      <c r="P37" s="915" cm="1">
        <f t="array" aca="1" ref="P37" ca="1">INDIRECT("'※ 기타지표 세부데이터'!"&amp;P$1&amp;$U37, TRUE)</f>
        <v>0</v>
      </c>
      <c r="Q37" s="916" cm="1">
        <f t="array" aca="1" ref="Q37" ca="1">INDIRECT("'※ 기타지표 세부데이터'!"&amp;Q$1&amp;$U37, TRUE)</f>
        <v>0</v>
      </c>
      <c r="R37" s="917" cm="1">
        <f t="array" aca="1" ref="R37" ca="1">INDIRECT("'※ 기타지표 세부데이터'!"&amp;R$1&amp;$U37, TRUE)</f>
        <v>0</v>
      </c>
      <c r="S37" s="914" cm="1">
        <f t="array" aca="1" ref="S37" ca="1">INDIRECT("'※ 기타지표 세부데이터'!"&amp;S$1&amp;$U37, TRUE)</f>
        <v>0</v>
      </c>
      <c r="T37" s="918" cm="1">
        <f t="array" aca="1" ref="T37" ca="1">INDIRECT("'※ 기타지표 세부데이터'!"&amp;T$1&amp;$U37, TRUE)</f>
        <v>0</v>
      </c>
      <c r="U37" s="855">
        <f>ROW('※ 기타지표 세부데이터'!J56)</f>
        <v>56</v>
      </c>
      <c r="V37" s="886"/>
      <c r="W37" s="886"/>
      <c r="X37" s="886"/>
      <c r="Y37" s="905">
        <v>0</v>
      </c>
    </row>
    <row r="38" spans="1:37" ht="16" customHeight="1" x14ac:dyDescent="0.55000000000000004">
      <c r="A38" s="7511"/>
      <c r="B38" s="936" t="s">
        <v>546</v>
      </c>
      <c r="C38" s="937"/>
      <c r="D38" s="6327" cm="1">
        <f t="array" aca="1" ref="D38" ca="1">INDIRECT("'※ 기타지표 세부데이터'!"&amp;D$1&amp;$U38, TRUE)</f>
        <v>266.91666666666669</v>
      </c>
      <c r="E38" s="6327" cm="1">
        <f t="array" aca="1" ref="E38" ca="1">INDIRECT("'※ 기타지표 세부데이터'!"&amp;E$1&amp;$U38, TRUE)</f>
        <v>1451.1666666666667</v>
      </c>
      <c r="F38" s="938" cm="1">
        <f t="array" aca="1" ref="F38" ca="1">INDIRECT("'※ 기타지표 세부데이터'!"&amp;F$1&amp;$U38, TRUE)</f>
        <v>184</v>
      </c>
      <c r="G38" s="939" cm="1">
        <f t="array" aca="1" ref="G38" ca="1">INDIRECT("'※ 기타지표 세부데이터'!"&amp;G$1&amp;$U38, TRUE)</f>
        <v>547</v>
      </c>
      <c r="H38" s="939" cm="1">
        <f t="array" aca="1" ref="H38" ca="1">INDIRECT("'※ 기타지표 세부데이터'!"&amp;H$1&amp;$U38, TRUE)</f>
        <v>1273</v>
      </c>
      <c r="I38" s="939" cm="1">
        <f t="array" aca="1" ref="I38" ca="1">INDIRECT("'※ 기타지표 세부데이터'!"&amp;I$1&amp;$U38, TRUE)</f>
        <v>1370</v>
      </c>
      <c r="J38" s="939" cm="1">
        <f t="array" aca="1" ref="J38" ca="1">INDIRECT("'※ 기타지표 세부데이터'!"&amp;J$1&amp;$U38, TRUE)</f>
        <v>1299</v>
      </c>
      <c r="K38" s="939" cm="1">
        <f t="array" aca="1" ref="K38" ca="1">INDIRECT("'※ 기타지표 세부데이터'!"&amp;K$1&amp;$U38, TRUE)</f>
        <v>1366</v>
      </c>
      <c r="L38" s="6314" cm="1">
        <f t="array" aca="1" ref="L38" ca="1">INDIRECT("'※ 기타지표 세부데이터'!"&amp;L$1&amp;$U38, TRUE)</f>
        <v>266.91666666666669</v>
      </c>
      <c r="M38" s="939" cm="1">
        <f t="array" aca="1" ref="M38" ca="1">INDIRECT("'※ 기타지표 세부데이터'!"&amp;M$1&amp;$U38, TRUE)</f>
        <v>1470</v>
      </c>
      <c r="N38" s="939" cm="1">
        <f t="array" aca="1" ref="N38" ca="1">INDIRECT("'※ 기타지표 세부데이터'!"&amp;N$1&amp;$U38, TRUE)</f>
        <v>1310</v>
      </c>
      <c r="O38" s="940" cm="1">
        <f t="array" aca="1" ref="O38" ca="1">INDIRECT("'※ 기타지표 세부데이터'!"&amp;O$1&amp;$U38, TRUE)</f>
        <v>-160</v>
      </c>
      <c r="P38" s="941" cm="1">
        <f t="array" aca="1" ref="P38" ca="1">INDIRECT("'※ 기타지표 세부데이터'!"&amp;P$1&amp;$U38, TRUE)</f>
        <v>763</v>
      </c>
      <c r="Q38" s="942" cm="1">
        <f t="array" aca="1" ref="Q38" ca="1">INDIRECT("'※ 기타지표 세부데이터'!"&amp;Q$1&amp;$U38, TRUE)</f>
        <v>2780</v>
      </c>
      <c r="R38" s="943" cm="1">
        <f t="array" aca="1" ref="R38" ca="1">INDIRECT("'※ 기타지표 세부데이터'!"&amp;R$1&amp;$U38, TRUE)</f>
        <v>2049</v>
      </c>
      <c r="S38" s="940" cm="1">
        <f t="array" aca="1" ref="S38" ca="1">INDIRECT("'※ 기타지표 세부데이터'!"&amp;S$1&amp;$U38, TRUE)</f>
        <v>1390</v>
      </c>
      <c r="T38" s="944" cm="1">
        <f t="array" aca="1" ref="T38" ca="1">INDIRECT("'※ 기타지표 세부데이터'!"&amp;T$1&amp;$U38, TRUE)</f>
        <v>-61.166666666666742</v>
      </c>
      <c r="U38" s="855">
        <f>ROW('※ 기타지표 세부데이터'!J57)</f>
        <v>57</v>
      </c>
      <c r="V38" s="867"/>
      <c r="W38" s="867"/>
      <c r="X38" s="867"/>
      <c r="Y38" s="905">
        <v>302.83333333333331</v>
      </c>
      <c r="Z38" s="559">
        <v>175</v>
      </c>
      <c r="AA38" s="559">
        <v>233</v>
      </c>
      <c r="AB38" s="559">
        <v>342</v>
      </c>
      <c r="AC38" s="559">
        <v>263</v>
      </c>
      <c r="AD38" s="559">
        <v>363</v>
      </c>
      <c r="AE38" s="559">
        <v>312</v>
      </c>
      <c r="AF38" s="559">
        <v>355</v>
      </c>
      <c r="AG38" s="559">
        <v>343</v>
      </c>
      <c r="AH38" s="559">
        <v>271</v>
      </c>
      <c r="AI38" s="559">
        <v>293</v>
      </c>
      <c r="AJ38" s="559">
        <v>372</v>
      </c>
      <c r="AK38" s="559">
        <v>312</v>
      </c>
    </row>
    <row r="39" spans="1:37" ht="16" customHeight="1" x14ac:dyDescent="0.55000000000000004">
      <c r="A39" s="7511"/>
      <c r="B39" s="956" t="s">
        <v>544</v>
      </c>
      <c r="C39" s="867"/>
      <c r="D39" s="6323" cm="1">
        <f t="array" aca="1" ref="D39" ca="1">INDIRECT("'※ 기타지표 세부데이터'!"&amp;D$1&amp;$U39, TRUE)</f>
        <v>258.41666666666669</v>
      </c>
      <c r="E39" s="6323" cm="1">
        <f t="array" aca="1" ref="E39" ca="1">INDIRECT("'※ 기타지표 세부데이터'!"&amp;E$1&amp;$U39, TRUE)</f>
        <v>150.66666666666666</v>
      </c>
      <c r="F39" s="906" cm="1">
        <f t="array" aca="1" ref="F39" ca="1">INDIRECT("'※ 기타지표 세부데이터'!"&amp;F$1&amp;$U39, TRUE)</f>
        <v>141</v>
      </c>
      <c r="G39" s="907" cm="1">
        <f t="array" aca="1" ref="G39" ca="1">INDIRECT("'※ 기타지표 세부데이터'!"&amp;G$1&amp;$U39, TRUE)</f>
        <v>150</v>
      </c>
      <c r="H39" s="907" cm="1">
        <f t="array" aca="1" ref="H39" ca="1">INDIRECT("'※ 기타지표 세부데이터'!"&amp;H$1&amp;$U39, TRUE)</f>
        <v>235</v>
      </c>
      <c r="I39" s="907" cm="1">
        <f t="array" aca="1" ref="I39" ca="1">INDIRECT("'※ 기타지표 세부데이터'!"&amp;I$1&amp;$U39, TRUE)</f>
        <v>168</v>
      </c>
      <c r="J39" s="907" cm="1">
        <f t="array" aca="1" ref="J39" ca="1">INDIRECT("'※ 기타지표 세부데이터'!"&amp;J$1&amp;$U39, TRUE)</f>
        <v>241</v>
      </c>
      <c r="K39" s="907" cm="1">
        <f t="array" aca="1" ref="K39" ca="1">INDIRECT("'※ 기타지표 세부데이터'!"&amp;K$1&amp;$U39, TRUE)</f>
        <v>168</v>
      </c>
      <c r="L39" s="6320" cm="1">
        <f t="array" aca="1" ref="L39" ca="1">INDIRECT("'※ 기타지표 세부데이터'!"&amp;L$1&amp;$U39, TRUE)</f>
        <v>258.41666666666669</v>
      </c>
      <c r="M39" s="907" cm="1">
        <f t="array" aca="1" ref="M39" ca="1">INDIRECT("'※ 기타지표 세부데이터'!"&amp;M$1&amp;$U39, TRUE)</f>
        <v>93</v>
      </c>
      <c r="N39" s="907" cm="1">
        <f t="array" aca="1" ref="N39" ca="1">INDIRECT("'※ 기타지표 세부데이터'!"&amp;N$1&amp;$U39, TRUE)</f>
        <v>87</v>
      </c>
      <c r="O39" s="908" cm="1">
        <f t="array" aca="1" ref="O39" ca="1">INDIRECT("'※ 기타지표 세부데이터'!"&amp;O$1&amp;$U39, TRUE)</f>
        <v>-6</v>
      </c>
      <c r="P39" s="909" cm="1">
        <f t="array" aca="1" ref="P39" ca="1">INDIRECT("'※ 기타지표 세부데이터'!"&amp;P$1&amp;$U39, TRUE)</f>
        <v>-63</v>
      </c>
      <c r="Q39" s="910" cm="1">
        <f t="array" aca="1" ref="Q39" ca="1">INDIRECT("'※ 기타지표 세부데이터'!"&amp;Q$1&amp;$U39, TRUE)</f>
        <v>180</v>
      </c>
      <c r="R39" s="911" cm="1">
        <f t="array" aca="1" ref="R39" ca="1">INDIRECT("'※ 기타지표 세부데이터'!"&amp;R$1&amp;$U39, TRUE)</f>
        <v>-111</v>
      </c>
      <c r="S39" s="908" cm="1">
        <f t="array" aca="1" ref="S39" ca="1">INDIRECT("'※ 기타지표 세부데이터'!"&amp;S$1&amp;$U39, TRUE)</f>
        <v>90</v>
      </c>
      <c r="T39" s="912" cm="1">
        <f t="array" aca="1" ref="T39" ca="1">INDIRECT("'※ 기타지표 세부데이터'!"&amp;T$1&amp;$U39, TRUE)</f>
        <v>-60.666666666666657</v>
      </c>
      <c r="U39" s="855">
        <f>ROW('※ 기타지표 세부데이터'!J58)</f>
        <v>58</v>
      </c>
      <c r="V39" s="867"/>
      <c r="W39" s="867"/>
      <c r="X39" s="867"/>
      <c r="Y39" s="905">
        <v>302.83333333333331</v>
      </c>
      <c r="Z39" s="559">
        <v>175</v>
      </c>
      <c r="AA39" s="559">
        <v>233</v>
      </c>
      <c r="AB39" s="559">
        <v>342</v>
      </c>
      <c r="AC39" s="559">
        <v>263</v>
      </c>
      <c r="AD39" s="559">
        <v>363</v>
      </c>
      <c r="AE39" s="559">
        <v>312</v>
      </c>
      <c r="AF39" s="559">
        <v>355</v>
      </c>
      <c r="AG39" s="559">
        <v>343</v>
      </c>
      <c r="AH39" s="559">
        <v>271</v>
      </c>
      <c r="AI39" s="559">
        <v>293</v>
      </c>
      <c r="AJ39" s="559">
        <v>372</v>
      </c>
      <c r="AK39" s="559">
        <v>312</v>
      </c>
    </row>
    <row r="40" spans="1:37" ht="16" customHeight="1" x14ac:dyDescent="0.55000000000000004">
      <c r="A40" s="7511"/>
      <c r="B40" s="956" t="s">
        <v>545</v>
      </c>
      <c r="C40" s="867"/>
      <c r="D40" s="6323" cm="1">
        <f t="array" aca="1" ref="D40" ca="1">INDIRECT("'※ 기타지표 세부데이터'!"&amp;D$1&amp;$U40, TRUE)</f>
        <v>8.5</v>
      </c>
      <c r="E40" s="6323" cm="1">
        <f t="array" aca="1" ref="E40" ca="1">INDIRECT("'※ 기타지표 세부데이터'!"&amp;E$1&amp;$U40, TRUE)</f>
        <v>1307.3333333333333</v>
      </c>
      <c r="F40" s="906" cm="1">
        <f t="array" aca="1" ref="F40" ca="1">INDIRECT("'※ 기타지표 세부데이터'!"&amp;F$1&amp;$U40, TRUE)</f>
        <v>43</v>
      </c>
      <c r="G40" s="907" cm="1">
        <f t="array" aca="1" ref="G40" ca="1">INDIRECT("'※ 기타지표 세부데이터'!"&amp;G$1&amp;$U40, TRUE)</f>
        <v>397</v>
      </c>
      <c r="H40" s="907" cm="1">
        <f t="array" aca="1" ref="H40" ca="1">INDIRECT("'※ 기타지표 세부데이터'!"&amp;H$1&amp;$U40, TRUE)</f>
        <v>1038</v>
      </c>
      <c r="I40" s="907" cm="1">
        <f t="array" aca="1" ref="I40" ca="1">INDIRECT("'※ 기타지표 세부데이터'!"&amp;I$1&amp;$U40, TRUE)</f>
        <v>1202</v>
      </c>
      <c r="J40" s="907" cm="1">
        <f t="array" aca="1" ref="J40" ca="1">INDIRECT("'※ 기타지표 세부데이터'!"&amp;J$1&amp;$U40, TRUE)</f>
        <v>1058</v>
      </c>
      <c r="K40" s="907" cm="1">
        <f t="array" aca="1" ref="K40" ca="1">INDIRECT("'※ 기타지표 세부데이터'!"&amp;K$1&amp;$U40, TRUE)</f>
        <v>1198</v>
      </c>
      <c r="L40" s="6320" cm="1">
        <f t="array" aca="1" ref="L40" ca="1">INDIRECT("'※ 기타지표 세부데이터'!"&amp;L$1&amp;$U40, TRUE)</f>
        <v>8.5</v>
      </c>
      <c r="M40" s="907" cm="1">
        <f t="array" aca="1" ref="M40" ca="1">INDIRECT("'※ 기타지표 세부데이터'!"&amp;M$1&amp;$U40, TRUE)</f>
        <v>1377</v>
      </c>
      <c r="N40" s="907" cm="1">
        <f t="array" aca="1" ref="N40" ca="1">INDIRECT("'※ 기타지표 세부데이터'!"&amp;N$1&amp;$U40, TRUE)</f>
        <v>1223</v>
      </c>
      <c r="O40" s="908" cm="1">
        <f t="array" aca="1" ref="O40" ca="1">INDIRECT("'※ 기타지표 세부데이터'!"&amp;O$1&amp;$U40, TRUE)</f>
        <v>-154</v>
      </c>
      <c r="P40" s="909" cm="1">
        <f t="array" aca="1" ref="P40" ca="1">INDIRECT("'※ 기타지표 세부데이터'!"&amp;P$1&amp;$U40, TRUE)</f>
        <v>826</v>
      </c>
      <c r="Q40" s="910" cm="1">
        <f t="array" aca="1" ref="Q40" ca="1">INDIRECT("'※ 기타지표 세부데이터'!"&amp;Q$1&amp;$U40, TRUE)</f>
        <v>2600</v>
      </c>
      <c r="R40" s="911" cm="1">
        <f t="array" aca="1" ref="R40" ca="1">INDIRECT("'※ 기타지표 세부데이터'!"&amp;R$1&amp;$U40, TRUE)</f>
        <v>2160</v>
      </c>
      <c r="S40" s="908" cm="1">
        <f t="array" aca="1" ref="S40" ca="1">INDIRECT("'※ 기타지표 세부데이터'!"&amp;S$1&amp;$U40, TRUE)</f>
        <v>1300</v>
      </c>
      <c r="T40" s="912" cm="1">
        <f t="array" aca="1" ref="T40" ca="1">INDIRECT("'※ 기타지표 세부데이터'!"&amp;T$1&amp;$U40, TRUE)</f>
        <v>-7.3333333333332575</v>
      </c>
      <c r="U40" s="855">
        <f>ROW('※ 기타지표 세부데이터'!J59)</f>
        <v>59</v>
      </c>
      <c r="V40" s="867"/>
      <c r="W40" s="867"/>
      <c r="X40" s="867"/>
      <c r="Y40" s="905">
        <v>0</v>
      </c>
    </row>
    <row r="41" spans="1:37" ht="16" customHeight="1" x14ac:dyDescent="0.55000000000000004">
      <c r="A41" s="7511"/>
      <c r="B41" s="7520" t="s">
        <v>939</v>
      </c>
      <c r="C41" s="913" t="s">
        <v>548</v>
      </c>
      <c r="D41" s="6324" cm="1">
        <f t="array" aca="1" ref="D41" ca="1">INDIRECT("'※ 기타지표 세부데이터'!"&amp;D$1&amp;$U41, TRUE)</f>
        <v>258.25</v>
      </c>
      <c r="E41" s="6324" cm="1">
        <f t="array" aca="1" ref="E41" ca="1">INDIRECT("'※ 기타지표 세부데이터'!"&amp;E$1&amp;$U41, TRUE)</f>
        <v>110.58333333333333</v>
      </c>
      <c r="F41" s="699" cm="1">
        <f t="array" aca="1" ref="F41" ca="1">INDIRECT("'※ 기타지표 세부데이터'!"&amp;F$1&amp;$U41, TRUE)</f>
        <v>141</v>
      </c>
      <c r="G41" s="898" cm="1">
        <f t="array" aca="1" ref="G41" ca="1">INDIRECT("'※ 기타지표 세부데이터'!"&amp;G$1&amp;$U41, TRUE)</f>
        <v>132</v>
      </c>
      <c r="H41" s="898" cm="1">
        <f t="array" aca="1" ref="H41" ca="1">INDIRECT("'※ 기타지표 세부데이터'!"&amp;H$1&amp;$U41, TRUE)</f>
        <v>212</v>
      </c>
      <c r="I41" s="898" cm="1">
        <f t="array" aca="1" ref="I41" ca="1">INDIRECT("'※ 기타지표 세부데이터'!"&amp;I$1&amp;$U41, TRUE)</f>
        <v>128</v>
      </c>
      <c r="J41" s="898" cm="1">
        <f t="array" aca="1" ref="J41" ca="1">INDIRECT("'※ 기타지표 세부데이터'!"&amp;J$1&amp;$U41, TRUE)</f>
        <v>177</v>
      </c>
      <c r="K41" s="898" cm="1">
        <f t="array" aca="1" ref="K41" ca="1">INDIRECT("'※ 기타지표 세부데이터'!"&amp;K$1&amp;$U41, TRUE)</f>
        <v>98</v>
      </c>
      <c r="L41" s="6312" cm="1">
        <f t="array" aca="1" ref="L41" ca="1">INDIRECT("'※ 기타지표 세부데이터'!"&amp;L$1&amp;$U41, TRUE)</f>
        <v>258.25</v>
      </c>
      <c r="M41" s="898" cm="1">
        <f t="array" aca="1" ref="M41" ca="1">INDIRECT("'※ 기타지표 세부데이터'!"&amp;M$1&amp;$U41, TRUE)</f>
        <v>50</v>
      </c>
      <c r="N41" s="898" cm="1">
        <f t="array" aca="1" ref="N41" ca="1">INDIRECT("'※ 기타지표 세부데이터'!"&amp;N$1&amp;$U41, TRUE)</f>
        <v>49</v>
      </c>
      <c r="O41" s="914" cm="1">
        <f t="array" aca="1" ref="O41" ca="1">INDIRECT("'※ 기타지표 세부데이터'!"&amp;O$1&amp;$U41, TRUE)</f>
        <v>-1</v>
      </c>
      <c r="P41" s="915" cm="1">
        <f t="array" aca="1" ref="P41" ca="1">INDIRECT("'※ 기타지표 세부데이터'!"&amp;P$1&amp;$U41, TRUE)</f>
        <v>-83</v>
      </c>
      <c r="Q41" s="916" cm="1">
        <f t="array" aca="1" ref="Q41" ca="1">INDIRECT("'※ 기타지표 세부데이터'!"&amp;Q$1&amp;$U41, TRUE)</f>
        <v>99</v>
      </c>
      <c r="R41" s="917" cm="1">
        <f t="array" aca="1" ref="R41" ca="1">INDIRECT("'※ 기타지표 세부데이터'!"&amp;R$1&amp;$U41, TRUE)</f>
        <v>-174</v>
      </c>
      <c r="S41" s="914" cm="1">
        <f t="array" aca="1" ref="S41" ca="1">INDIRECT("'※ 기타지표 세부데이터'!"&amp;S$1&amp;$U41, TRUE)</f>
        <v>49.5</v>
      </c>
      <c r="T41" s="918" cm="1">
        <f t="array" aca="1" ref="T41" ca="1">INDIRECT("'※ 기타지표 세부데이터'!"&amp;T$1&amp;$U41, TRUE)</f>
        <v>-61.083333333333329</v>
      </c>
      <c r="U41" s="855">
        <f>ROW('※ 기타지표 세부데이터'!J60)</f>
        <v>60</v>
      </c>
      <c r="V41" s="886"/>
      <c r="W41" s="886"/>
      <c r="X41" s="886"/>
      <c r="Y41" s="905">
        <v>302.83333333333331</v>
      </c>
      <c r="Z41" s="559">
        <v>175</v>
      </c>
      <c r="AA41" s="559">
        <v>233</v>
      </c>
      <c r="AB41" s="559">
        <v>342</v>
      </c>
      <c r="AC41" s="559">
        <v>263</v>
      </c>
      <c r="AD41" s="559">
        <v>363</v>
      </c>
      <c r="AE41" s="559">
        <v>312</v>
      </c>
      <c r="AF41" s="559">
        <v>355</v>
      </c>
      <c r="AG41" s="559">
        <v>343</v>
      </c>
      <c r="AH41" s="559">
        <v>271</v>
      </c>
      <c r="AI41" s="559">
        <v>293</v>
      </c>
      <c r="AJ41" s="559">
        <v>372</v>
      </c>
      <c r="AK41" s="559">
        <v>312</v>
      </c>
    </row>
    <row r="42" spans="1:37" ht="16" customHeight="1" x14ac:dyDescent="0.55000000000000004">
      <c r="A42" s="7511"/>
      <c r="B42" s="7521"/>
      <c r="C42" s="886" t="s">
        <v>550</v>
      </c>
      <c r="D42" s="6324" cm="1">
        <f t="array" aca="1" ref="D42" ca="1">INDIRECT("'※ 기타지표 세부데이터'!"&amp;D$1&amp;$U42, TRUE)</f>
        <v>8.5</v>
      </c>
      <c r="E42" s="6324" cm="1">
        <f t="array" aca="1" ref="E42" ca="1">INDIRECT("'※ 기타지표 세부데이터'!"&amp;E$1&amp;$U42, TRUE)</f>
        <v>1302.6666666666667</v>
      </c>
      <c r="F42" s="699" cm="1">
        <f t="array" aca="1" ref="F42" ca="1">INDIRECT("'※ 기타지표 세부데이터'!"&amp;F$1&amp;$U42, TRUE)</f>
        <v>43</v>
      </c>
      <c r="G42" s="898" cm="1">
        <f t="array" aca="1" ref="G42" ca="1">INDIRECT("'※ 기타지표 세부데이터'!"&amp;G$1&amp;$U42, TRUE)</f>
        <v>393</v>
      </c>
      <c r="H42" s="898" cm="1">
        <f t="array" aca="1" ref="H42" ca="1">INDIRECT("'※ 기타지표 세부데이터'!"&amp;H$1&amp;$U42, TRUE)</f>
        <v>1038</v>
      </c>
      <c r="I42" s="898" cm="1">
        <f t="array" aca="1" ref="I42" ca="1">INDIRECT("'※ 기타지표 세부데이터'!"&amp;I$1&amp;$U42, TRUE)</f>
        <v>1202</v>
      </c>
      <c r="J42" s="898" cm="1">
        <f t="array" aca="1" ref="J42" ca="1">INDIRECT("'※ 기타지표 세부데이터'!"&amp;J$1&amp;$U42, TRUE)</f>
        <v>1046</v>
      </c>
      <c r="K42" s="898" cm="1">
        <f t="array" aca="1" ref="K42" ca="1">INDIRECT("'※ 기타지표 세부데이터'!"&amp;K$1&amp;$U42, TRUE)</f>
        <v>1168</v>
      </c>
      <c r="L42" s="6312" cm="1">
        <f t="array" aca="1" ref="L42" ca="1">INDIRECT("'※ 기타지표 세부데이터'!"&amp;L$1&amp;$U42, TRUE)</f>
        <v>8.5</v>
      </c>
      <c r="M42" s="898" cm="1">
        <f t="array" aca="1" ref="M42" ca="1">INDIRECT("'※ 기타지표 세부데이터'!"&amp;M$1&amp;$U42, TRUE)</f>
        <v>1368</v>
      </c>
      <c r="N42" s="898" cm="1">
        <f t="array" aca="1" ref="N42" ca="1">INDIRECT("'※ 기타지표 세부데이터'!"&amp;N$1&amp;$U42, TRUE)</f>
        <v>1209</v>
      </c>
      <c r="O42" s="914" cm="1">
        <f t="array" aca="1" ref="O42" ca="1">INDIRECT("'※ 기타지표 세부데이터'!"&amp;O$1&amp;$U42, TRUE)</f>
        <v>-159</v>
      </c>
      <c r="P42" s="915" cm="1">
        <f t="array" aca="1" ref="P42" ca="1">INDIRECT("'※ 기타지표 세부데이터'!"&amp;P$1&amp;$U42, TRUE)</f>
        <v>816</v>
      </c>
      <c r="Q42" s="916" cm="1">
        <f t="array" aca="1" ref="Q42" ca="1">INDIRECT("'※ 기타지표 세부데이터'!"&amp;Q$1&amp;$U42, TRUE)</f>
        <v>2577</v>
      </c>
      <c r="R42" s="917" cm="1">
        <f t="array" aca="1" ref="R42" ca="1">INDIRECT("'※ 기타지표 세부데이터'!"&amp;R$1&amp;$U42, TRUE)</f>
        <v>2141</v>
      </c>
      <c r="S42" s="914" cm="1">
        <f t="array" aca="1" ref="S42" ca="1">INDIRECT("'※ 기타지표 세부데이터'!"&amp;S$1&amp;$U42, TRUE)</f>
        <v>1288.5</v>
      </c>
      <c r="T42" s="918" cm="1">
        <f t="array" aca="1" ref="T42" ca="1">INDIRECT("'※ 기타지표 세부데이터'!"&amp;T$1&amp;$U42, TRUE)</f>
        <v>-14.166666666666742</v>
      </c>
      <c r="U42" s="855">
        <f>ROW('※ 기타지표 세부데이터'!J61)</f>
        <v>61</v>
      </c>
      <c r="V42" s="886"/>
      <c r="W42" s="886"/>
      <c r="X42" s="886"/>
      <c r="Y42" s="905">
        <v>0</v>
      </c>
    </row>
    <row r="43" spans="1:37" ht="16" customHeight="1" x14ac:dyDescent="0.55000000000000004">
      <c r="A43" s="7511"/>
      <c r="B43" s="7522" t="s">
        <v>310</v>
      </c>
      <c r="C43" s="919" t="s">
        <v>547</v>
      </c>
      <c r="D43" s="6325" cm="1">
        <f t="array" aca="1" ref="D43" ca="1">INDIRECT("'※ 기타지표 세부데이터'!"&amp;D$1&amp;$U43, TRUE)</f>
        <v>0</v>
      </c>
      <c r="E43" s="6325" cm="1">
        <f t="array" aca="1" ref="E43" ca="1">INDIRECT("'※ 기타지표 세부데이터'!"&amp;E$1&amp;$U43, TRUE)</f>
        <v>40.083333333333336</v>
      </c>
      <c r="F43" s="920" cm="1">
        <f t="array" aca="1" ref="F43" ca="1">INDIRECT("'※ 기타지표 세부데이터'!"&amp;F$1&amp;$U43, TRUE)</f>
        <v>0</v>
      </c>
      <c r="G43" s="921" cm="1">
        <f t="array" aca="1" ref="G43" ca="1">INDIRECT("'※ 기타지표 세부데이터'!"&amp;G$1&amp;$U43, TRUE)</f>
        <v>18</v>
      </c>
      <c r="H43" s="921" cm="1">
        <f t="array" aca="1" ref="H43" ca="1">INDIRECT("'※ 기타지표 세부데이터'!"&amp;H$1&amp;$U43, TRUE)</f>
        <v>23</v>
      </c>
      <c r="I43" s="921" cm="1">
        <f t="array" aca="1" ref="I43" ca="1">INDIRECT("'※ 기타지표 세부데이터'!"&amp;I$1&amp;$U43, TRUE)</f>
        <v>40</v>
      </c>
      <c r="J43" s="921" cm="1">
        <f t="array" aca="1" ref="J43" ca="1">INDIRECT("'※ 기타지표 세부데이터'!"&amp;J$1&amp;$U43, TRUE)</f>
        <v>64</v>
      </c>
      <c r="K43" s="921" cm="1">
        <f t="array" aca="1" ref="K43" ca="1">INDIRECT("'※ 기타지표 세부데이터'!"&amp;K$1&amp;$U43, TRUE)</f>
        <v>70</v>
      </c>
      <c r="L43" s="6310" cm="1">
        <f t="array" aca="1" ref="L43" ca="1">INDIRECT("'※ 기타지표 세부데이터'!"&amp;L$1&amp;$U43, TRUE)</f>
        <v>0</v>
      </c>
      <c r="M43" s="921" cm="1">
        <f t="array" aca="1" ref="M43" ca="1">INDIRECT("'※ 기타지표 세부데이터'!"&amp;M$1&amp;$U43, TRUE)</f>
        <v>43</v>
      </c>
      <c r="N43" s="921" cm="1">
        <f t="array" aca="1" ref="N43" ca="1">INDIRECT("'※ 기타지표 세부데이터'!"&amp;N$1&amp;$U43, TRUE)</f>
        <v>38</v>
      </c>
      <c r="O43" s="922" cm="1">
        <f t="array" aca="1" ref="O43" ca="1">INDIRECT("'※ 기타지표 세부데이터'!"&amp;O$1&amp;$U43, TRUE)</f>
        <v>-5</v>
      </c>
      <c r="P43" s="923" cm="1">
        <f t="array" aca="1" ref="P43" ca="1">INDIRECT("'※ 기타지표 세부데이터'!"&amp;P$1&amp;$U43, TRUE)</f>
        <v>20</v>
      </c>
      <c r="Q43" s="924" cm="1">
        <f t="array" aca="1" ref="Q43" ca="1">INDIRECT("'※ 기타지표 세부데이터'!"&amp;Q$1&amp;$U43, TRUE)</f>
        <v>81</v>
      </c>
      <c r="R43" s="925" cm="1">
        <f t="array" aca="1" ref="R43" ca="1">INDIRECT("'※ 기타지표 세부데이터'!"&amp;R$1&amp;$U43, TRUE)</f>
        <v>63</v>
      </c>
      <c r="S43" s="922" cm="1">
        <f t="array" aca="1" ref="S43" ca="1">INDIRECT("'※ 기타지표 세부데이터'!"&amp;S$1&amp;$U43, TRUE)</f>
        <v>40.5</v>
      </c>
      <c r="T43" s="926" cm="1">
        <f t="array" aca="1" ref="T43" ca="1">INDIRECT("'※ 기타지표 세부데이터'!"&amp;T$1&amp;$U43, TRUE)</f>
        <v>0.4166666666666643</v>
      </c>
      <c r="U43" s="855">
        <f>ROW('※ 기타지표 세부데이터'!J62)</f>
        <v>62</v>
      </c>
      <c r="V43" s="886"/>
      <c r="W43" s="886"/>
      <c r="X43" s="886"/>
      <c r="Y43" s="905">
        <v>0</v>
      </c>
    </row>
    <row r="44" spans="1:37" ht="16" customHeight="1" x14ac:dyDescent="0.55000000000000004">
      <c r="A44" s="7511"/>
      <c r="B44" s="7523"/>
      <c r="C44" s="927" t="s">
        <v>549</v>
      </c>
      <c r="D44" s="6326" cm="1">
        <f t="array" aca="1" ref="D44" ca="1">INDIRECT("'※ 기타지표 세부데이터'!"&amp;D$1&amp;$U44, TRUE)</f>
        <v>0</v>
      </c>
      <c r="E44" s="6326" cm="1">
        <f t="array" aca="1" ref="E44" ca="1">INDIRECT("'※ 기타지표 세부데이터'!"&amp;E$1&amp;$U44, TRUE)</f>
        <v>4.666666666666667</v>
      </c>
      <c r="F44" s="928" cm="1">
        <f t="array" aca="1" ref="F44" ca="1">INDIRECT("'※ 기타지표 세부데이터'!"&amp;F$1&amp;$U44, TRUE)</f>
        <v>0</v>
      </c>
      <c r="G44" s="929" cm="1">
        <f t="array" aca="1" ref="G44" ca="1">INDIRECT("'※ 기타지표 세부데이터'!"&amp;G$1&amp;$U44, TRUE)</f>
        <v>4</v>
      </c>
      <c r="H44" s="929" cm="1">
        <f t="array" aca="1" ref="H44" ca="1">INDIRECT("'※ 기타지표 세부데이터'!"&amp;H$1&amp;$U44, TRUE)</f>
        <v>0</v>
      </c>
      <c r="I44" s="929" cm="1">
        <f t="array" aca="1" ref="I44" ca="1">INDIRECT("'※ 기타지표 세부데이터'!"&amp;I$1&amp;$U44, TRUE)</f>
        <v>0</v>
      </c>
      <c r="J44" s="929" cm="1">
        <f t="array" aca="1" ref="J44" ca="1">INDIRECT("'※ 기타지표 세부데이터'!"&amp;J$1&amp;$U44, TRUE)</f>
        <v>12</v>
      </c>
      <c r="K44" s="929" cm="1">
        <f t="array" aca="1" ref="K44" ca="1">INDIRECT("'※ 기타지표 세부데이터'!"&amp;K$1&amp;$U44, TRUE)</f>
        <v>30</v>
      </c>
      <c r="L44" s="6311" cm="1">
        <f t="array" aca="1" ref="L44" ca="1">INDIRECT("'※ 기타지표 세부데이터'!"&amp;L$1&amp;$U44, TRUE)</f>
        <v>0</v>
      </c>
      <c r="M44" s="929" cm="1">
        <f t="array" aca="1" ref="M44" ca="1">INDIRECT("'※ 기타지표 세부데이터'!"&amp;M$1&amp;$U44, TRUE)</f>
        <v>9</v>
      </c>
      <c r="N44" s="929" cm="1">
        <f t="array" aca="1" ref="N44" ca="1">INDIRECT("'※ 기타지표 세부데이터'!"&amp;N$1&amp;$U44, TRUE)</f>
        <v>14</v>
      </c>
      <c r="O44" s="930" cm="1">
        <f t="array" aca="1" ref="O44" ca="1">INDIRECT("'※ 기타지표 세부데이터'!"&amp;O$1&amp;$U44, TRUE)</f>
        <v>5</v>
      </c>
      <c r="P44" s="931" cm="1">
        <f t="array" aca="1" ref="P44" ca="1">INDIRECT("'※ 기타지표 세부데이터'!"&amp;P$1&amp;$U44, TRUE)</f>
        <v>10</v>
      </c>
      <c r="Q44" s="932" cm="1">
        <f t="array" aca="1" ref="Q44" ca="1">INDIRECT("'※ 기타지표 세부데이터'!"&amp;Q$1&amp;$U44, TRUE)</f>
        <v>23</v>
      </c>
      <c r="R44" s="933" cm="1">
        <f t="array" aca="1" ref="R44" ca="1">INDIRECT("'※ 기타지표 세부데이터'!"&amp;R$1&amp;$U44, TRUE)</f>
        <v>19</v>
      </c>
      <c r="S44" s="930" cm="1">
        <f t="array" aca="1" ref="S44" ca="1">INDIRECT("'※ 기타지표 세부데이터'!"&amp;S$1&amp;$U44, TRUE)</f>
        <v>11.5</v>
      </c>
      <c r="T44" s="934" cm="1">
        <f t="array" aca="1" ref="T44" ca="1">INDIRECT("'※ 기타지표 세부데이터'!"&amp;T$1&amp;$U44, TRUE)</f>
        <v>6.833333333333333</v>
      </c>
      <c r="U44" s="855">
        <f>ROW('※ 기타지표 세부데이터'!J63)</f>
        <v>63</v>
      </c>
      <c r="V44" s="886"/>
      <c r="W44" s="886"/>
      <c r="X44" s="886"/>
      <c r="Y44" s="905">
        <v>0</v>
      </c>
    </row>
    <row r="45" spans="1:37" ht="16" customHeight="1" x14ac:dyDescent="0.55000000000000004">
      <c r="A45" s="7511"/>
      <c r="B45" s="7516" t="s">
        <v>66</v>
      </c>
      <c r="C45" s="886" t="s">
        <v>547</v>
      </c>
      <c r="D45" s="6324" cm="1">
        <f t="array" aca="1" ref="D45" ca="1">INDIRECT("'※ 기타지표 세부데이터'!"&amp;D$1&amp;$U45, TRUE)</f>
        <v>0.16666666666666666</v>
      </c>
      <c r="E45" s="6324" cm="1">
        <f t="array" aca="1" ref="E45" ca="1">INDIRECT("'※ 기타지표 세부데이터'!"&amp;E$1&amp;$U45, TRUE)</f>
        <v>0</v>
      </c>
      <c r="F45" s="699" cm="1">
        <f t="array" aca="1" ref="F45" ca="1">INDIRECT("'※ 기타지표 세부데이터'!"&amp;F$1&amp;$U45, TRUE)</f>
        <v>0</v>
      </c>
      <c r="G45" s="898" cm="1">
        <f t="array" aca="1" ref="G45" ca="1">INDIRECT("'※ 기타지표 세부데이터'!"&amp;G$1&amp;$U45, TRUE)</f>
        <v>0</v>
      </c>
      <c r="H45" s="898" cm="1">
        <f t="array" aca="1" ref="H45" ca="1">INDIRECT("'※ 기타지표 세부데이터'!"&amp;H$1&amp;$U45, TRUE)</f>
        <v>0</v>
      </c>
      <c r="I45" s="898" cm="1">
        <f t="array" aca="1" ref="I45" ca="1">INDIRECT("'※ 기타지표 세부데이터'!"&amp;I$1&amp;$U45, TRUE)</f>
        <v>0</v>
      </c>
      <c r="J45" s="898" cm="1">
        <f t="array" aca="1" ref="J45" ca="1">INDIRECT("'※ 기타지표 세부데이터'!"&amp;J$1&amp;$U45, TRUE)</f>
        <v>0</v>
      </c>
      <c r="K45" s="898" cm="1">
        <f t="array" aca="1" ref="K45" ca="1">INDIRECT("'※ 기타지표 세부데이터'!"&amp;K$1&amp;$U45, TRUE)</f>
        <v>0</v>
      </c>
      <c r="L45" s="6312" cm="1">
        <f t="array" aca="1" ref="L45" ca="1">INDIRECT("'※ 기타지표 세부데이터'!"&amp;L$1&amp;$U45, TRUE)</f>
        <v>0.16666666666666666</v>
      </c>
      <c r="M45" s="898" cm="1">
        <f t="array" aca="1" ref="M45" ca="1">INDIRECT("'※ 기타지표 세부데이터'!"&amp;M$1&amp;$U45, TRUE)</f>
        <v>0</v>
      </c>
      <c r="N45" s="898" cm="1">
        <f t="array" aca="1" ref="N45" ca="1">INDIRECT("'※ 기타지표 세부데이터'!"&amp;N$1&amp;$U45, TRUE)</f>
        <v>0</v>
      </c>
      <c r="O45" s="914" cm="1">
        <f t="array" aca="1" ref="O45" ca="1">INDIRECT("'※ 기타지표 세부데이터'!"&amp;O$1&amp;$U45, TRUE)</f>
        <v>0</v>
      </c>
      <c r="P45" s="915" cm="1">
        <f t="array" aca="1" ref="P45" ca="1">INDIRECT("'※ 기타지표 세부데이터'!"&amp;P$1&amp;$U45, TRUE)</f>
        <v>0</v>
      </c>
      <c r="Q45" s="916" cm="1">
        <f t="array" aca="1" ref="Q45" ca="1">INDIRECT("'※ 기타지표 세부데이터'!"&amp;Q$1&amp;$U45, TRUE)</f>
        <v>0</v>
      </c>
      <c r="R45" s="917" cm="1">
        <f t="array" aca="1" ref="R45" ca="1">INDIRECT("'※ 기타지표 세부데이터'!"&amp;R$1&amp;$U45, TRUE)</f>
        <v>0</v>
      </c>
      <c r="S45" s="914" cm="1">
        <f t="array" aca="1" ref="S45" ca="1">INDIRECT("'※ 기타지표 세부데이터'!"&amp;S$1&amp;$U45, TRUE)</f>
        <v>0</v>
      </c>
      <c r="T45" s="918" cm="1">
        <f t="array" aca="1" ref="T45" ca="1">INDIRECT("'※ 기타지표 세부데이터'!"&amp;T$1&amp;$U45, TRUE)</f>
        <v>0</v>
      </c>
      <c r="U45" s="855">
        <f>ROW('※ 기타지표 세부데이터'!J64)</f>
        <v>64</v>
      </c>
      <c r="V45" s="886"/>
      <c r="W45" s="886"/>
      <c r="X45" s="886"/>
      <c r="Y45" s="905">
        <v>0</v>
      </c>
    </row>
    <row r="46" spans="1:37" ht="16" customHeight="1" x14ac:dyDescent="0.55000000000000004">
      <c r="A46" s="7511"/>
      <c r="B46" s="7517"/>
      <c r="C46" s="935" t="s">
        <v>549</v>
      </c>
      <c r="D46" s="6329" cm="1">
        <f t="array" aca="1" ref="D46" ca="1">INDIRECT("'※ 기타지표 세부데이터'!"&amp;D$1&amp;$U46, TRUE)</f>
        <v>0</v>
      </c>
      <c r="E46" s="6329" cm="1">
        <f t="array" aca="1" ref="E46" ca="1">INDIRECT("'※ 기타지표 세부데이터'!"&amp;E$1&amp;$U46, TRUE)</f>
        <v>0</v>
      </c>
      <c r="F46" s="957" cm="1">
        <f t="array" aca="1" ref="F46" ca="1">INDIRECT("'※ 기타지표 세부데이터'!"&amp;F$1&amp;$U46, TRUE)</f>
        <v>0</v>
      </c>
      <c r="G46" s="958" cm="1">
        <f t="array" aca="1" ref="G46" ca="1">INDIRECT("'※ 기타지표 세부데이터'!"&amp;G$1&amp;$U46, TRUE)</f>
        <v>0</v>
      </c>
      <c r="H46" s="958" cm="1">
        <f t="array" aca="1" ref="H46" ca="1">INDIRECT("'※ 기타지표 세부데이터'!"&amp;H$1&amp;$U46, TRUE)</f>
        <v>0</v>
      </c>
      <c r="I46" s="958" cm="1">
        <f t="array" aca="1" ref="I46" ca="1">INDIRECT("'※ 기타지표 세부데이터'!"&amp;I$1&amp;$U46, TRUE)</f>
        <v>0</v>
      </c>
      <c r="J46" s="958" cm="1">
        <f t="array" aca="1" ref="J46" ca="1">INDIRECT("'※ 기타지표 세부데이터'!"&amp;J$1&amp;$U46, TRUE)</f>
        <v>0</v>
      </c>
      <c r="K46" s="958" cm="1">
        <f t="array" aca="1" ref="K46" ca="1">INDIRECT("'※ 기타지표 세부데이터'!"&amp;K$1&amp;$U46, TRUE)</f>
        <v>0</v>
      </c>
      <c r="L46" s="6313" cm="1">
        <f t="array" aca="1" ref="L46" ca="1">INDIRECT("'※ 기타지표 세부데이터'!"&amp;L$1&amp;$U46, TRUE)</f>
        <v>0</v>
      </c>
      <c r="M46" s="958" cm="1">
        <f t="array" aca="1" ref="M46" ca="1">INDIRECT("'※ 기타지표 세부데이터'!"&amp;M$1&amp;$U46, TRUE)</f>
        <v>0</v>
      </c>
      <c r="N46" s="958" cm="1">
        <f t="array" aca="1" ref="N46" ca="1">INDIRECT("'※ 기타지표 세부데이터'!"&amp;N$1&amp;$U46, TRUE)</f>
        <v>0</v>
      </c>
      <c r="O46" s="959" cm="1">
        <f t="array" aca="1" ref="O46" ca="1">INDIRECT("'※ 기타지표 세부데이터'!"&amp;O$1&amp;$U46, TRUE)</f>
        <v>0</v>
      </c>
      <c r="P46" s="960" cm="1">
        <f t="array" aca="1" ref="P46" ca="1">INDIRECT("'※ 기타지표 세부데이터'!"&amp;P$1&amp;$U46, TRUE)</f>
        <v>0</v>
      </c>
      <c r="Q46" s="961" cm="1">
        <f t="array" aca="1" ref="Q46" ca="1">INDIRECT("'※ 기타지표 세부데이터'!"&amp;Q$1&amp;$U46, TRUE)</f>
        <v>0</v>
      </c>
      <c r="R46" s="962" cm="1">
        <f t="array" aca="1" ref="R46" ca="1">INDIRECT("'※ 기타지표 세부데이터'!"&amp;R$1&amp;$U46, TRUE)</f>
        <v>0</v>
      </c>
      <c r="S46" s="959" cm="1">
        <f t="array" aca="1" ref="S46" ca="1">INDIRECT("'※ 기타지표 세부데이터'!"&amp;S$1&amp;$U46, TRUE)</f>
        <v>0</v>
      </c>
      <c r="T46" s="963" cm="1">
        <f t="array" aca="1" ref="T46" ca="1">INDIRECT("'※ 기타지표 세부데이터'!"&amp;T$1&amp;$U46, TRUE)</f>
        <v>0</v>
      </c>
      <c r="U46" s="855">
        <f>ROW('※ 기타지표 세부데이터'!J65)</f>
        <v>65</v>
      </c>
      <c r="V46" s="886"/>
      <c r="W46" s="886"/>
      <c r="X46" s="886"/>
      <c r="Y46" s="905">
        <v>0</v>
      </c>
    </row>
    <row r="47" spans="1:37" ht="16" customHeight="1" x14ac:dyDescent="0.55000000000000004">
      <c r="A47" s="7511"/>
      <c r="B47" s="936" t="s">
        <v>551</v>
      </c>
      <c r="C47" s="937"/>
      <c r="D47" s="6327" cm="1">
        <f t="array" aca="1" ref="D47" ca="1">INDIRECT("'※ 기타지표 세부데이터'!"&amp;D$1&amp;$U47, TRUE)</f>
        <v>0</v>
      </c>
      <c r="E47" s="6327" cm="1">
        <f t="array" aca="1" ref="E47" ca="1">INDIRECT("'※ 기타지표 세부데이터'!"&amp;E$1&amp;$U47, TRUE)</f>
        <v>0</v>
      </c>
      <c r="F47" s="938" cm="1">
        <f t="array" aca="1" ref="F47" ca="1">INDIRECT("'※ 기타지표 세부데이터'!"&amp;F$1&amp;$U47, TRUE)</f>
        <v>0</v>
      </c>
      <c r="G47" s="939" cm="1">
        <f t="array" aca="1" ref="G47" ca="1">INDIRECT("'※ 기타지표 세부데이터'!"&amp;G$1&amp;$U47, TRUE)</f>
        <v>0</v>
      </c>
      <c r="H47" s="939" cm="1">
        <f t="array" aca="1" ref="H47" ca="1">INDIRECT("'※ 기타지표 세부데이터'!"&amp;H$1&amp;$U47, TRUE)</f>
        <v>0</v>
      </c>
      <c r="I47" s="939" cm="1">
        <f t="array" aca="1" ref="I47" ca="1">INDIRECT("'※ 기타지표 세부데이터'!"&amp;I$1&amp;$U47, TRUE)</f>
        <v>0</v>
      </c>
      <c r="J47" s="939" cm="1">
        <f t="array" aca="1" ref="J47" ca="1">INDIRECT("'※ 기타지표 세부데이터'!"&amp;J$1&amp;$U47, TRUE)</f>
        <v>0</v>
      </c>
      <c r="K47" s="939" cm="1">
        <f t="array" aca="1" ref="K47" ca="1">INDIRECT("'※ 기타지표 세부데이터'!"&amp;K$1&amp;$U47, TRUE)</f>
        <v>0</v>
      </c>
      <c r="L47" s="6314" cm="1">
        <f t="array" aca="1" ref="L47" ca="1">INDIRECT("'※ 기타지표 세부데이터'!"&amp;L$1&amp;$U47, TRUE)</f>
        <v>0</v>
      </c>
      <c r="M47" s="939" cm="1">
        <f t="array" aca="1" ref="M47" ca="1">INDIRECT("'※ 기타지표 세부데이터'!"&amp;M$1&amp;$U47, TRUE)</f>
        <v>0</v>
      </c>
      <c r="N47" s="939" cm="1">
        <f t="array" aca="1" ref="N47" ca="1">INDIRECT("'※ 기타지표 세부데이터'!"&amp;N$1&amp;$U47, TRUE)</f>
        <v>0</v>
      </c>
      <c r="O47" s="940" cm="1">
        <f t="array" aca="1" ref="O47" ca="1">INDIRECT("'※ 기타지표 세부데이터'!"&amp;O$1&amp;$U47, TRUE)</f>
        <v>0</v>
      </c>
      <c r="P47" s="964"/>
      <c r="Q47" s="942" cm="1">
        <f t="array" aca="1" ref="Q47" ca="1">INDIRECT("'※ 기타지표 세부데이터'!"&amp;Q$1&amp;$U47, TRUE)</f>
        <v>0</v>
      </c>
      <c r="R47" s="965"/>
      <c r="S47" s="940" cm="1">
        <f t="array" aca="1" ref="S47" ca="1">INDIRECT("'※ 기타지표 세부데이터'!"&amp;S$1&amp;$U47, TRUE)</f>
        <v>0</v>
      </c>
      <c r="T47" s="966"/>
      <c r="U47" s="855">
        <f>ROW('※ 기타지표 세부데이터'!J66)</f>
        <v>66</v>
      </c>
      <c r="V47" s="867"/>
      <c r="W47" s="867"/>
      <c r="X47" s="867"/>
      <c r="Y47" s="905">
        <v>0</v>
      </c>
    </row>
    <row r="48" spans="1:37" ht="16" customHeight="1" x14ac:dyDescent="0.55000000000000004">
      <c r="A48" s="7511"/>
      <c r="B48" s="967" t="s">
        <v>939</v>
      </c>
      <c r="C48" s="927"/>
      <c r="D48" s="6326" cm="1">
        <f t="array" aca="1" ref="D48" ca="1">INDIRECT("'※ 기타지표 세부데이터'!"&amp;D$1&amp;$U48, TRUE)</f>
        <v>0</v>
      </c>
      <c r="E48" s="6326" cm="1">
        <f t="array" aca="1" ref="E48" ca="1">INDIRECT("'※ 기타지표 세부데이터'!"&amp;E$1&amp;$U48, TRUE)</f>
        <v>0</v>
      </c>
      <c r="F48" s="928" cm="1">
        <f t="array" aca="1" ref="F48" ca="1">INDIRECT("'※ 기타지표 세부데이터'!"&amp;F$1&amp;$U48, TRUE)</f>
        <v>0</v>
      </c>
      <c r="G48" s="929" cm="1">
        <f t="array" aca="1" ref="G48" ca="1">INDIRECT("'※ 기타지표 세부데이터'!"&amp;G$1&amp;$U48, TRUE)</f>
        <v>0</v>
      </c>
      <c r="H48" s="929" cm="1">
        <f t="array" aca="1" ref="H48" ca="1">INDIRECT("'※ 기타지표 세부데이터'!"&amp;H$1&amp;$U48, TRUE)</f>
        <v>0</v>
      </c>
      <c r="I48" s="929" cm="1">
        <f t="array" aca="1" ref="I48" ca="1">INDIRECT("'※ 기타지표 세부데이터'!"&amp;I$1&amp;$U48, TRUE)</f>
        <v>0</v>
      </c>
      <c r="J48" s="929" cm="1">
        <f t="array" aca="1" ref="J48" ca="1">INDIRECT("'※ 기타지표 세부데이터'!"&amp;J$1&amp;$U48, TRUE)</f>
        <v>0</v>
      </c>
      <c r="K48" s="929" cm="1">
        <f t="array" aca="1" ref="K48" ca="1">INDIRECT("'※ 기타지표 세부데이터'!"&amp;K$1&amp;$U48, TRUE)</f>
        <v>0</v>
      </c>
      <c r="L48" s="6311" cm="1">
        <f t="array" aca="1" ref="L48" ca="1">INDIRECT("'※ 기타지표 세부데이터'!"&amp;L$1&amp;$U48, TRUE)</f>
        <v>0</v>
      </c>
      <c r="M48" s="929" cm="1">
        <f t="array" aca="1" ref="M48" ca="1">INDIRECT("'※ 기타지표 세부데이터'!"&amp;M$1&amp;$U48, TRUE)</f>
        <v>0</v>
      </c>
      <c r="N48" s="929" cm="1">
        <f t="array" aca="1" ref="N48" ca="1">INDIRECT("'※ 기타지표 세부데이터'!"&amp;N$1&amp;$U48, TRUE)</f>
        <v>0</v>
      </c>
      <c r="O48" s="930" cm="1">
        <f t="array" aca="1" ref="O48" ca="1">INDIRECT("'※ 기타지표 세부데이터'!"&amp;O$1&amp;$U48, TRUE)</f>
        <v>0</v>
      </c>
      <c r="P48" s="968"/>
      <c r="Q48" s="932" cm="1">
        <f t="array" aca="1" ref="Q48" ca="1">INDIRECT("'※ 기타지표 세부데이터'!"&amp;Q$1&amp;$U48, TRUE)</f>
        <v>0</v>
      </c>
      <c r="R48" s="969"/>
      <c r="S48" s="930" cm="1">
        <f t="array" aca="1" ref="S48" ca="1">INDIRECT("'※ 기타지표 세부데이터'!"&amp;S$1&amp;$U48, TRUE)</f>
        <v>0</v>
      </c>
      <c r="T48" s="970"/>
      <c r="U48" s="855">
        <f>ROW('※ 기타지표 세부데이터'!J67)</f>
        <v>67</v>
      </c>
      <c r="V48" s="886"/>
      <c r="W48" s="886"/>
      <c r="X48" s="886"/>
      <c r="Y48" s="905">
        <v>0</v>
      </c>
    </row>
    <row r="49" spans="1:37" ht="16" customHeight="1" x14ac:dyDescent="0.55000000000000004">
      <c r="A49" s="7511"/>
      <c r="B49" s="945" t="s">
        <v>310</v>
      </c>
      <c r="C49" s="673"/>
      <c r="D49" s="6330" cm="1">
        <f t="array" aca="1" ref="D49" ca="1">INDIRECT("'※ 기타지표 세부데이터'!"&amp;D$1&amp;$U49, TRUE)</f>
        <v>0</v>
      </c>
      <c r="E49" s="6330" cm="1">
        <f t="array" aca="1" ref="E49" ca="1">INDIRECT("'※ 기타지표 세부데이터'!"&amp;E$1&amp;$U49, TRUE)</f>
        <v>0</v>
      </c>
      <c r="F49" s="971" cm="1">
        <f t="array" aca="1" ref="F49" ca="1">INDIRECT("'※ 기타지표 세부데이터'!"&amp;F$1&amp;$U49, TRUE)</f>
        <v>0</v>
      </c>
      <c r="G49" s="972" cm="1">
        <f t="array" aca="1" ref="G49" ca="1">INDIRECT("'※ 기타지표 세부데이터'!"&amp;G$1&amp;$U49, TRUE)</f>
        <v>0</v>
      </c>
      <c r="H49" s="972" cm="1">
        <f t="array" aca="1" ref="H49" ca="1">INDIRECT("'※ 기타지표 세부데이터'!"&amp;H$1&amp;$U49, TRUE)</f>
        <v>0</v>
      </c>
      <c r="I49" s="972" cm="1">
        <f t="array" aca="1" ref="I49" ca="1">INDIRECT("'※ 기타지표 세부데이터'!"&amp;I$1&amp;$U49, TRUE)</f>
        <v>0</v>
      </c>
      <c r="J49" s="972" cm="1">
        <f t="array" aca="1" ref="J49" ca="1">INDIRECT("'※ 기타지표 세부데이터'!"&amp;J$1&amp;$U49, TRUE)</f>
        <v>0</v>
      </c>
      <c r="K49" s="972" cm="1">
        <f t="array" aca="1" ref="K49" ca="1">INDIRECT("'※ 기타지표 세부데이터'!"&amp;K$1&amp;$U49, TRUE)</f>
        <v>0</v>
      </c>
      <c r="L49" s="6315" cm="1">
        <f t="array" aca="1" ref="L49" ca="1">INDIRECT("'※ 기타지표 세부데이터'!"&amp;L$1&amp;$U49, TRUE)</f>
        <v>0</v>
      </c>
      <c r="M49" s="972" cm="1">
        <f t="array" aca="1" ref="M49" ca="1">INDIRECT("'※ 기타지표 세부데이터'!"&amp;M$1&amp;$U49, TRUE)</f>
        <v>0</v>
      </c>
      <c r="N49" s="972" cm="1">
        <f t="array" aca="1" ref="N49" ca="1">INDIRECT("'※ 기타지표 세부데이터'!"&amp;N$1&amp;$U49, TRUE)</f>
        <v>0</v>
      </c>
      <c r="O49" s="973" cm="1">
        <f t="array" aca="1" ref="O49" ca="1">INDIRECT("'※ 기타지표 세부데이터'!"&amp;O$1&amp;$U49, TRUE)</f>
        <v>0</v>
      </c>
      <c r="P49" s="974"/>
      <c r="Q49" s="975" cm="1">
        <f t="array" aca="1" ref="Q49" ca="1">INDIRECT("'※ 기타지표 세부데이터'!"&amp;Q$1&amp;$U49, TRUE)</f>
        <v>0</v>
      </c>
      <c r="R49" s="976"/>
      <c r="S49" s="973" cm="1">
        <f t="array" aca="1" ref="S49" ca="1">INDIRECT("'※ 기타지표 세부데이터'!"&amp;S$1&amp;$U49, TRUE)</f>
        <v>0</v>
      </c>
      <c r="T49" s="977"/>
      <c r="U49" s="978">
        <f>ROW('※ 기타지표 세부데이터'!J68)</f>
        <v>68</v>
      </c>
      <c r="V49" s="673"/>
      <c r="W49" s="886"/>
      <c r="X49" s="886"/>
      <c r="Y49" s="905">
        <v>0</v>
      </c>
    </row>
    <row r="50" spans="1:37" ht="16" customHeight="1" x14ac:dyDescent="0.55000000000000004">
      <c r="A50" s="7511"/>
      <c r="B50" s="979" t="s">
        <v>552</v>
      </c>
      <c r="C50" s="980"/>
      <c r="D50" s="6331" cm="1">
        <f t="array" aca="1" ref="D50" ca="1">INDIRECT("'※ 기타지표 세부데이터'!"&amp;D$1&amp;$U50, TRUE)</f>
        <v>12.833333333333334</v>
      </c>
      <c r="E50" s="6331" cm="1">
        <f t="array" aca="1" ref="E50" ca="1">INDIRECT("'※ 기타지표 세부데이터'!"&amp;E$1&amp;$U50, TRUE)</f>
        <v>10.5</v>
      </c>
      <c r="F50" s="981" cm="1">
        <f t="array" aca="1" ref="F50" ca="1">INDIRECT("'※ 기타지표 세부데이터'!"&amp;F$1&amp;$U50, TRUE)</f>
        <v>3</v>
      </c>
      <c r="G50" s="982" cm="1">
        <f t="array" aca="1" ref="G50" ca="1">INDIRECT("'※ 기타지표 세부데이터'!"&amp;G$1&amp;$U50, TRUE)</f>
        <v>19</v>
      </c>
      <c r="H50" s="982" cm="1">
        <f t="array" aca="1" ref="H50" ca="1">INDIRECT("'※ 기타지표 세부데이터'!"&amp;H$1&amp;$U50, TRUE)</f>
        <v>14</v>
      </c>
      <c r="I50" s="982" cm="1">
        <f t="array" aca="1" ref="I50" ca="1">INDIRECT("'※ 기타지표 세부데이터'!"&amp;I$1&amp;$U50, TRUE)</f>
        <v>14</v>
      </c>
      <c r="J50" s="982" cm="1">
        <f t="array" aca="1" ref="J50" ca="1">INDIRECT("'※ 기타지표 세부데이터'!"&amp;J$1&amp;$U50, TRUE)</f>
        <v>11</v>
      </c>
      <c r="K50" s="982" cm="1">
        <f t="array" aca="1" ref="K50" ca="1">INDIRECT("'※ 기타지표 세부데이터'!"&amp;K$1&amp;$U50, TRUE)</f>
        <v>14</v>
      </c>
      <c r="L50" s="6316" cm="1">
        <f t="array" aca="1" ref="L50" ca="1">INDIRECT("'※ 기타지표 세부데이터'!"&amp;L$1&amp;$U50, TRUE)</f>
        <v>12.833333333333334</v>
      </c>
      <c r="M50" s="982" cm="1">
        <f t="array" aca="1" ref="M50" ca="1">INDIRECT("'※ 기타지표 세부데이터'!"&amp;M$1&amp;$U50, TRUE)</f>
        <v>8</v>
      </c>
      <c r="N50" s="982" cm="1">
        <f t="array" aca="1" ref="N50" ca="1">INDIRECT("'※ 기타지표 세부데이터'!"&amp;N$1&amp;$U50, TRUE)</f>
        <v>7</v>
      </c>
      <c r="O50" s="983" cm="1">
        <f t="array" aca="1" ref="O50" ca="1">INDIRECT("'※ 기타지표 세부데이터'!"&amp;O$1&amp;$U50, TRUE)</f>
        <v>-1</v>
      </c>
      <c r="P50" s="984"/>
      <c r="Q50" s="985" cm="1">
        <f t="array" aca="1" ref="Q50" ca="1">INDIRECT("'※ 기타지표 세부데이터'!"&amp;Q$1&amp;$U50, TRUE)</f>
        <v>15</v>
      </c>
      <c r="R50" s="986"/>
      <c r="S50" s="983" cm="1">
        <f t="array" aca="1" ref="S50" ca="1">INDIRECT("'※ 기타지표 세부데이터'!"&amp;S$1&amp;$U50, TRUE)</f>
        <v>7.5</v>
      </c>
      <c r="T50" s="987" cm="1">
        <f t="array" aca="1" ref="T50" ca="1">INDIRECT("'※ 기타지표 세부데이터'!"&amp;T$1&amp;$U50, TRUE)</f>
        <v>-3</v>
      </c>
      <c r="U50" s="978">
        <f>ROW('※ 기타지표 세부데이터'!J69)</f>
        <v>69</v>
      </c>
      <c r="V50" s="988"/>
      <c r="W50" s="867"/>
      <c r="X50" s="867"/>
      <c r="Y50" s="905">
        <v>29.2</v>
      </c>
      <c r="AG50" s="559">
        <v>11</v>
      </c>
      <c r="AH50" s="559">
        <v>30</v>
      </c>
      <c r="AI50" s="559">
        <v>35</v>
      </c>
      <c r="AJ50" s="559">
        <v>21</v>
      </c>
      <c r="AK50" s="559">
        <v>49</v>
      </c>
    </row>
    <row r="51" spans="1:37" ht="16" customHeight="1" x14ac:dyDescent="0.55000000000000004">
      <c r="A51" s="7511"/>
      <c r="B51" s="967" t="s">
        <v>939</v>
      </c>
      <c r="C51" s="989"/>
      <c r="D51" s="6332" cm="1">
        <f t="array" aca="1" ref="D51" ca="1">INDIRECT("'※ 기타지표 세부데이터'!"&amp;D$1&amp;$U51, TRUE)</f>
        <v>12.583333333333334</v>
      </c>
      <c r="E51" s="6332" cm="1">
        <f t="array" aca="1" ref="E51" ca="1">INDIRECT("'※ 기타지표 세부데이터'!"&amp;E$1&amp;$U51, TRUE)</f>
        <v>9.9166666666666661</v>
      </c>
      <c r="F51" s="990" cm="1">
        <f t="array" aca="1" ref="F51" ca="1">INDIRECT("'※ 기타지표 세부데이터'!"&amp;F$1&amp;$U51, TRUE)</f>
        <v>3</v>
      </c>
      <c r="G51" s="991" cm="1">
        <f t="array" aca="1" ref="G51" ca="1">INDIRECT("'※ 기타지표 세부데이터'!"&amp;G$1&amp;$U51, TRUE)</f>
        <v>19</v>
      </c>
      <c r="H51" s="991" cm="1">
        <f t="array" aca="1" ref="H51" ca="1">INDIRECT("'※ 기타지표 세부데이터'!"&amp;H$1&amp;$U51, TRUE)</f>
        <v>14</v>
      </c>
      <c r="I51" s="991" cm="1">
        <f t="array" aca="1" ref="I51" ca="1">INDIRECT("'※ 기타지표 세부데이터'!"&amp;I$1&amp;$U51, TRUE)</f>
        <v>14</v>
      </c>
      <c r="J51" s="991" cm="1">
        <f t="array" aca="1" ref="J51" ca="1">INDIRECT("'※ 기타지표 세부데이터'!"&amp;J$1&amp;$U51, TRUE)</f>
        <v>11</v>
      </c>
      <c r="K51" s="991" cm="1">
        <f t="array" aca="1" ref="K51" ca="1">INDIRECT("'※ 기타지표 세부데이터'!"&amp;K$1&amp;$U51, TRUE)</f>
        <v>12</v>
      </c>
      <c r="L51" s="6317" cm="1">
        <f t="array" aca="1" ref="L51" ca="1">INDIRECT("'※ 기타지표 세부데이터'!"&amp;L$1&amp;$U51, TRUE)</f>
        <v>12.583333333333334</v>
      </c>
      <c r="M51" s="991" cm="1">
        <f t="array" aca="1" ref="M51" ca="1">INDIRECT("'※ 기타지표 세부데이터'!"&amp;M$1&amp;$U51, TRUE)</f>
        <v>6</v>
      </c>
      <c r="N51" s="991" cm="1">
        <f t="array" aca="1" ref="N51" ca="1">INDIRECT("'※ 기타지표 세부데이터'!"&amp;N$1&amp;$U51, TRUE)</f>
        <v>7</v>
      </c>
      <c r="O51" s="992" cm="1">
        <f t="array" aca="1" ref="O51" ca="1">INDIRECT("'※ 기타지표 세부데이터'!"&amp;O$1&amp;$U51, TRUE)</f>
        <v>1</v>
      </c>
      <c r="P51" s="993"/>
      <c r="Q51" s="994" cm="1">
        <f t="array" aca="1" ref="Q51" ca="1">INDIRECT("'※ 기타지표 세부데이터'!"&amp;Q$1&amp;$U51, TRUE)</f>
        <v>13</v>
      </c>
      <c r="R51" s="995"/>
      <c r="S51" s="992" cm="1">
        <f t="array" aca="1" ref="S51" ca="1">INDIRECT("'※ 기타지표 세부데이터'!"&amp;S$1&amp;$U51, TRUE)</f>
        <v>6.5</v>
      </c>
      <c r="T51" s="996" cm="1">
        <f t="array" aca="1" ref="T51" ca="1">INDIRECT("'※ 기타지표 세부데이터'!"&amp;T$1&amp;$U51, TRUE)</f>
        <v>-3.4166666666666661</v>
      </c>
      <c r="U51" s="978">
        <f>ROW('※ 기타지표 세부데이터'!J70)</f>
        <v>70</v>
      </c>
      <c r="V51" s="673"/>
      <c r="W51" s="886"/>
      <c r="X51" s="886"/>
      <c r="Y51" s="905">
        <v>29.2</v>
      </c>
      <c r="AG51" s="559">
        <v>11</v>
      </c>
      <c r="AH51" s="559">
        <v>30</v>
      </c>
      <c r="AI51" s="559">
        <v>35</v>
      </c>
      <c r="AJ51" s="559">
        <v>21</v>
      </c>
      <c r="AK51" s="559">
        <v>49</v>
      </c>
    </row>
    <row r="52" spans="1:37" ht="16" customHeight="1" thickBot="1" x14ac:dyDescent="0.6">
      <c r="A52" s="7511"/>
      <c r="B52" s="997" t="s">
        <v>310</v>
      </c>
      <c r="C52" s="998"/>
      <c r="D52" s="6333" cm="1">
        <f t="array" aca="1" ref="D52" ca="1">INDIRECT("'※ 기타지표 세부데이터'!"&amp;D$1&amp;$U52, TRUE)</f>
        <v>0.25</v>
      </c>
      <c r="E52" s="6333" cm="1">
        <f t="array" aca="1" ref="E52" ca="1">INDIRECT("'※ 기타지표 세부데이터'!"&amp;E$1&amp;$U52, TRUE)</f>
        <v>0.58333333333333337</v>
      </c>
      <c r="F52" s="999" cm="1">
        <f t="array" aca="1" ref="F52" ca="1">INDIRECT("'※ 기타지표 세부데이터'!"&amp;F$1&amp;$U52, TRUE)</f>
        <v>0</v>
      </c>
      <c r="G52" s="1000" cm="1">
        <f t="array" aca="1" ref="G52" ca="1">INDIRECT("'※ 기타지표 세부데이터'!"&amp;G$1&amp;$U52, TRUE)</f>
        <v>0</v>
      </c>
      <c r="H52" s="1000" cm="1">
        <f t="array" aca="1" ref="H52" ca="1">INDIRECT("'※ 기타지표 세부데이터'!"&amp;H$1&amp;$U52, TRUE)</f>
        <v>0</v>
      </c>
      <c r="I52" s="1000" cm="1">
        <f t="array" aca="1" ref="I52" ca="1">INDIRECT("'※ 기타지표 세부데이터'!"&amp;I$1&amp;$U52, TRUE)</f>
        <v>0</v>
      </c>
      <c r="J52" s="1000" cm="1">
        <f t="array" aca="1" ref="J52" ca="1">INDIRECT("'※ 기타지표 세부데이터'!"&amp;J$1&amp;$U52, TRUE)</f>
        <v>0</v>
      </c>
      <c r="K52" s="1000" cm="1">
        <f t="array" aca="1" ref="K52" ca="1">INDIRECT("'※ 기타지표 세부데이터'!"&amp;K$1&amp;$U52, TRUE)</f>
        <v>2</v>
      </c>
      <c r="L52" s="6318" cm="1">
        <f t="array" aca="1" ref="L52" ca="1">INDIRECT("'※ 기타지표 세부데이터'!"&amp;L$1&amp;$U52, TRUE)</f>
        <v>0.25</v>
      </c>
      <c r="M52" s="1000" cm="1">
        <f t="array" aca="1" ref="M52" ca="1">INDIRECT("'※ 기타지표 세부데이터'!"&amp;M$1&amp;$U52, TRUE)</f>
        <v>2</v>
      </c>
      <c r="N52" s="1000" cm="1">
        <f t="array" aca="1" ref="N52" ca="1">INDIRECT("'※ 기타지표 세부데이터'!"&amp;N$1&amp;$U52, TRUE)</f>
        <v>0</v>
      </c>
      <c r="O52" s="1001" cm="1">
        <f t="array" aca="1" ref="O52" ca="1">INDIRECT("'※ 기타지표 세부데이터'!"&amp;O$1&amp;$U52, TRUE)</f>
        <v>-2</v>
      </c>
      <c r="P52" s="1002"/>
      <c r="Q52" s="1003" cm="1">
        <f t="array" aca="1" ref="Q52" ca="1">INDIRECT("'※ 기타지표 세부데이터'!"&amp;Q$1&amp;$U52, TRUE)</f>
        <v>2</v>
      </c>
      <c r="R52" s="1004"/>
      <c r="S52" s="1001" cm="1">
        <f t="array" aca="1" ref="S52" ca="1">INDIRECT("'※ 기타지표 세부데이터'!"&amp;S$1&amp;$U52, TRUE)</f>
        <v>1</v>
      </c>
      <c r="T52" s="1005" cm="1">
        <f t="array" aca="1" ref="T52" ca="1">INDIRECT("'※ 기타지표 세부데이터'!"&amp;T$1&amp;$U52, TRUE)</f>
        <v>0.41666666666666663</v>
      </c>
      <c r="U52" s="978">
        <f>ROW('※ 기타지표 세부데이터'!J71)</f>
        <v>71</v>
      </c>
      <c r="V52" s="673"/>
      <c r="W52" s="886"/>
      <c r="X52" s="886"/>
      <c r="Y52" s="905">
        <v>0</v>
      </c>
    </row>
    <row r="53" spans="1:37" ht="16" customHeight="1" x14ac:dyDescent="0.55000000000000004">
      <c r="A53" s="7511"/>
      <c r="B53" s="979" t="s">
        <v>1034</v>
      </c>
      <c r="C53" s="980"/>
      <c r="D53" s="6331" cm="1">
        <f t="array" aca="1" ref="D53" ca="1">INDIRECT("'※ 기타지표 세부데이터'!"&amp;D$1&amp;$U53, TRUE)</f>
        <v>0.75</v>
      </c>
      <c r="E53" s="6331" cm="1">
        <f t="array" aca="1" ref="E53" ca="1">INDIRECT("'※ 기타지표 세부데이터'!"&amp;E$1&amp;$U53, TRUE)</f>
        <v>1.4166666666666667</v>
      </c>
      <c r="F53" s="981" cm="1">
        <f t="array" aca="1" ref="F53" ca="1">INDIRECT("'※ 기타지표 세부데이터'!"&amp;F$1&amp;$U53, TRUE)</f>
        <v>2</v>
      </c>
      <c r="G53" s="982" cm="1">
        <f t="array" aca="1" ref="G53" ca="1">INDIRECT("'※ 기타지표 세부데이터'!"&amp;G$1&amp;$U53, TRUE)</f>
        <v>0</v>
      </c>
      <c r="H53" s="982" cm="1">
        <f t="array" aca="1" ref="H53" ca="1">INDIRECT("'※ 기타지표 세부데이터'!"&amp;H$1&amp;$U53, TRUE)</f>
        <v>2</v>
      </c>
      <c r="I53" s="982" cm="1">
        <f t="array" aca="1" ref="I53" ca="1">INDIRECT("'※ 기타지표 세부데이터'!"&amp;I$1&amp;$U53, TRUE)</f>
        <v>2</v>
      </c>
      <c r="J53" s="982" cm="1">
        <f t="array" aca="1" ref="J53" ca="1">INDIRECT("'※ 기타지표 세부데이터'!"&amp;J$1&amp;$U53, TRUE)</f>
        <v>1</v>
      </c>
      <c r="K53" s="982" cm="1">
        <f t="array" aca="1" ref="K53" ca="1">INDIRECT("'※ 기타지표 세부데이터'!"&amp;K$1&amp;$U53, TRUE)</f>
        <v>0</v>
      </c>
      <c r="L53" s="6316" cm="1">
        <f t="array" aca="1" ref="L53" ca="1">INDIRECT("'※ 기타지표 세부데이터'!"&amp;L$1&amp;$U53, TRUE)</f>
        <v>0.75</v>
      </c>
      <c r="M53" s="982" cm="1">
        <f t="array" aca="1" ref="M53" ca="1">INDIRECT("'※ 기타지표 세부데이터'!"&amp;M$1&amp;$U53, TRUE)</f>
        <v>2</v>
      </c>
      <c r="N53" s="982" cm="1">
        <f t="array" aca="1" ref="N53" ca="1">INDIRECT("'※ 기타지표 세부데이터'!"&amp;N$1&amp;$U53, TRUE)</f>
        <v>0</v>
      </c>
      <c r="O53" s="983" cm="1">
        <f t="array" aca="1" ref="O53" ca="1">INDIRECT("'※ 기타지표 세부데이터'!"&amp;O$1&amp;$U53, TRUE)</f>
        <v>-2</v>
      </c>
      <c r="P53" s="984"/>
      <c r="Q53" s="985" cm="1">
        <f t="array" aca="1" ref="Q53" ca="1">INDIRECT("'※ 기타지표 세부데이터'!"&amp;Q$1&amp;$U53, TRUE)</f>
        <v>2</v>
      </c>
      <c r="R53" s="986"/>
      <c r="S53" s="983" cm="1">
        <f t="array" aca="1" ref="S53" ca="1">INDIRECT("'※ 기타지표 세부데이터'!"&amp;S$1&amp;$U53, TRUE)</f>
        <v>1</v>
      </c>
      <c r="T53" s="987" cm="1">
        <f t="array" aca="1" ref="T53" ca="1">INDIRECT("'※ 기타지표 세부데이터'!"&amp;T$1&amp;$U53, TRUE)</f>
        <v>-0.41666666666666674</v>
      </c>
      <c r="U53" s="978">
        <f>ROW('※ 기타지표 세부데이터'!J72)</f>
        <v>72</v>
      </c>
      <c r="V53" s="988"/>
      <c r="W53" s="867"/>
      <c r="X53" s="867"/>
      <c r="Y53" s="905">
        <v>29.2</v>
      </c>
      <c r="AG53" s="559">
        <v>11</v>
      </c>
      <c r="AH53" s="559">
        <v>30</v>
      </c>
      <c r="AI53" s="559">
        <v>35</v>
      </c>
      <c r="AJ53" s="559">
        <v>21</v>
      </c>
      <c r="AK53" s="559">
        <v>49</v>
      </c>
    </row>
    <row r="54" spans="1:37" ht="16" customHeight="1" x14ac:dyDescent="0.55000000000000004">
      <c r="A54" s="7511"/>
      <c r="B54" s="967" t="s">
        <v>939</v>
      </c>
      <c r="C54" s="989"/>
      <c r="D54" s="6332" cm="1">
        <f t="array" aca="1" ref="D54" ca="1">INDIRECT("'※ 기타지표 세부데이터'!"&amp;D$1&amp;$U54, TRUE)</f>
        <v>0.75</v>
      </c>
      <c r="E54" s="6332" cm="1">
        <f t="array" aca="1" ref="E54" ca="1">INDIRECT("'※ 기타지표 세부데이터'!"&amp;E$1&amp;$U54, TRUE)</f>
        <v>1.4166666666666667</v>
      </c>
      <c r="F54" s="990" cm="1">
        <f t="array" aca="1" ref="F54" ca="1">INDIRECT("'※ 기타지표 세부데이터'!"&amp;F$1&amp;$U54, TRUE)</f>
        <v>2</v>
      </c>
      <c r="G54" s="991" cm="1">
        <f t="array" aca="1" ref="G54" ca="1">INDIRECT("'※ 기타지표 세부데이터'!"&amp;G$1&amp;$U54, TRUE)</f>
        <v>0</v>
      </c>
      <c r="H54" s="991" cm="1">
        <f t="array" aca="1" ref="H54" ca="1">INDIRECT("'※ 기타지표 세부데이터'!"&amp;H$1&amp;$U54, TRUE)</f>
        <v>2</v>
      </c>
      <c r="I54" s="991" cm="1">
        <f t="array" aca="1" ref="I54" ca="1">INDIRECT("'※ 기타지표 세부데이터'!"&amp;I$1&amp;$U54, TRUE)</f>
        <v>2</v>
      </c>
      <c r="J54" s="991" cm="1">
        <f t="array" aca="1" ref="J54" ca="1">INDIRECT("'※ 기타지표 세부데이터'!"&amp;J$1&amp;$U54, TRUE)</f>
        <v>1</v>
      </c>
      <c r="K54" s="991" cm="1">
        <f t="array" aca="1" ref="K54" ca="1">INDIRECT("'※ 기타지표 세부데이터'!"&amp;K$1&amp;$U54, TRUE)</f>
        <v>0</v>
      </c>
      <c r="L54" s="6317" cm="1">
        <f t="array" aca="1" ref="L54" ca="1">INDIRECT("'※ 기타지표 세부데이터'!"&amp;L$1&amp;$U54, TRUE)</f>
        <v>0.75</v>
      </c>
      <c r="M54" s="991" cm="1">
        <f t="array" aca="1" ref="M54" ca="1">INDIRECT("'※ 기타지표 세부데이터'!"&amp;M$1&amp;$U54, TRUE)</f>
        <v>2</v>
      </c>
      <c r="N54" s="991" cm="1">
        <f t="array" aca="1" ref="N54" ca="1">INDIRECT("'※ 기타지표 세부데이터'!"&amp;N$1&amp;$U54, TRUE)</f>
        <v>0</v>
      </c>
      <c r="O54" s="992" cm="1">
        <f t="array" aca="1" ref="O54" ca="1">INDIRECT("'※ 기타지표 세부데이터'!"&amp;O$1&amp;$U54, TRUE)</f>
        <v>-2</v>
      </c>
      <c r="P54" s="993"/>
      <c r="Q54" s="994" cm="1">
        <f t="array" aca="1" ref="Q54" ca="1">INDIRECT("'※ 기타지표 세부데이터'!"&amp;Q$1&amp;$U54, TRUE)</f>
        <v>2</v>
      </c>
      <c r="R54" s="995"/>
      <c r="S54" s="992" cm="1">
        <f t="array" aca="1" ref="S54" ca="1">INDIRECT("'※ 기타지표 세부데이터'!"&amp;S$1&amp;$U54, TRUE)</f>
        <v>1</v>
      </c>
      <c r="T54" s="996" cm="1">
        <f t="array" aca="1" ref="T54" ca="1">INDIRECT("'※ 기타지표 세부데이터'!"&amp;T$1&amp;$U54, TRUE)</f>
        <v>-0.41666666666666674</v>
      </c>
      <c r="U54" s="978">
        <f>ROW('※ 기타지표 세부데이터'!J73)</f>
        <v>73</v>
      </c>
      <c r="V54" s="673"/>
      <c r="W54" s="886"/>
      <c r="X54" s="886"/>
      <c r="Y54" s="905">
        <v>29.2</v>
      </c>
      <c r="AG54" s="559">
        <v>11</v>
      </c>
      <c r="AH54" s="559">
        <v>30</v>
      </c>
      <c r="AI54" s="559">
        <v>35</v>
      </c>
      <c r="AJ54" s="559">
        <v>21</v>
      </c>
      <c r="AK54" s="559">
        <v>49</v>
      </c>
    </row>
    <row r="55" spans="1:37" ht="16" customHeight="1" thickBot="1" x14ac:dyDescent="0.6">
      <c r="A55" s="7512"/>
      <c r="B55" s="997" t="s">
        <v>310</v>
      </c>
      <c r="C55" s="998"/>
      <c r="D55" s="6333" cm="1">
        <f t="array" aca="1" ref="D55" ca="1">INDIRECT("'※ 기타지표 세부데이터'!"&amp;D$1&amp;$U55, TRUE)</f>
        <v>0</v>
      </c>
      <c r="E55" s="6333" cm="1">
        <f t="array" aca="1" ref="E55" ca="1">INDIRECT("'※ 기타지표 세부데이터'!"&amp;E$1&amp;$U55, TRUE)</f>
        <v>0</v>
      </c>
      <c r="F55" s="999" cm="1">
        <f t="array" aca="1" ref="F55" ca="1">INDIRECT("'※ 기타지표 세부데이터'!"&amp;F$1&amp;$U55, TRUE)</f>
        <v>0</v>
      </c>
      <c r="G55" s="1000" cm="1">
        <f t="array" aca="1" ref="G55" ca="1">INDIRECT("'※ 기타지표 세부데이터'!"&amp;G$1&amp;$U55, TRUE)</f>
        <v>0</v>
      </c>
      <c r="H55" s="1000" cm="1">
        <f t="array" aca="1" ref="H55" ca="1">INDIRECT("'※ 기타지표 세부데이터'!"&amp;H$1&amp;$U55, TRUE)</f>
        <v>0</v>
      </c>
      <c r="I55" s="1000" cm="1">
        <f t="array" aca="1" ref="I55" ca="1">INDIRECT("'※ 기타지표 세부데이터'!"&amp;I$1&amp;$U55, TRUE)</f>
        <v>0</v>
      </c>
      <c r="J55" s="1000" cm="1">
        <f t="array" aca="1" ref="J55" ca="1">INDIRECT("'※ 기타지표 세부데이터'!"&amp;J$1&amp;$U55, TRUE)</f>
        <v>0</v>
      </c>
      <c r="K55" s="1000" cm="1">
        <f t="array" aca="1" ref="K55" ca="1">INDIRECT("'※ 기타지표 세부데이터'!"&amp;K$1&amp;$U55, TRUE)</f>
        <v>0</v>
      </c>
      <c r="L55" s="6318" cm="1">
        <f t="array" aca="1" ref="L55" ca="1">INDIRECT("'※ 기타지표 세부데이터'!"&amp;L$1&amp;$U55, TRUE)</f>
        <v>0</v>
      </c>
      <c r="M55" s="1000" cm="1">
        <f t="array" aca="1" ref="M55" ca="1">INDIRECT("'※ 기타지표 세부데이터'!"&amp;M$1&amp;$U55, TRUE)</f>
        <v>0</v>
      </c>
      <c r="N55" s="1000" cm="1">
        <f t="array" aca="1" ref="N55" ca="1">INDIRECT("'※ 기타지표 세부데이터'!"&amp;N$1&amp;$U55, TRUE)</f>
        <v>0</v>
      </c>
      <c r="O55" s="1001" cm="1">
        <f t="array" aca="1" ref="O55" ca="1">INDIRECT("'※ 기타지표 세부데이터'!"&amp;O$1&amp;$U55, TRUE)</f>
        <v>0</v>
      </c>
      <c r="P55" s="1002"/>
      <c r="Q55" s="1003" cm="1">
        <f t="array" aca="1" ref="Q55" ca="1">INDIRECT("'※ 기타지표 세부데이터'!"&amp;Q$1&amp;$U55, TRUE)</f>
        <v>0</v>
      </c>
      <c r="R55" s="1004"/>
      <c r="S55" s="1001" cm="1">
        <f t="array" aca="1" ref="S55" ca="1">INDIRECT("'※ 기타지표 세부데이터'!"&amp;S$1&amp;$U55, TRUE)</f>
        <v>0</v>
      </c>
      <c r="T55" s="1005" cm="1">
        <f t="array" aca="1" ref="T55" ca="1">INDIRECT("'※ 기타지표 세부데이터'!"&amp;T$1&amp;$U55, TRUE)</f>
        <v>0</v>
      </c>
      <c r="U55" s="978">
        <f>ROW('※ 기타지표 세부데이터'!J74)</f>
        <v>74</v>
      </c>
      <c r="V55" s="673"/>
      <c r="W55" s="886"/>
      <c r="X55" s="886"/>
      <c r="Y55" s="905">
        <v>0</v>
      </c>
    </row>
    <row r="56" spans="1:37" x14ac:dyDescent="0.55000000000000004">
      <c r="B56" s="698"/>
      <c r="C56" s="698"/>
      <c r="D56" s="698"/>
      <c r="E56" s="698"/>
      <c r="F56" s="698"/>
      <c r="G56" s="698"/>
      <c r="H56" s="698"/>
      <c r="I56" s="698"/>
      <c r="J56" s="698"/>
      <c r="K56" s="698"/>
      <c r="L56" s="698"/>
      <c r="M56" s="698"/>
      <c r="N56" s="698"/>
      <c r="O56" s="698"/>
      <c r="P56" s="698"/>
      <c r="Q56" s="698"/>
      <c r="R56" s="698"/>
      <c r="S56" s="698"/>
      <c r="T56" s="698"/>
      <c r="U56" s="698"/>
      <c r="V56" s="698"/>
    </row>
    <row r="57" spans="1:37" x14ac:dyDescent="0.55000000000000004">
      <c r="B57" s="698"/>
      <c r="C57" s="698"/>
      <c r="D57" s="698"/>
      <c r="E57" s="698"/>
      <c r="F57" s="698"/>
      <c r="G57" s="698"/>
      <c r="H57" s="698"/>
      <c r="I57" s="698"/>
      <c r="J57" s="698"/>
      <c r="K57" s="698"/>
      <c r="L57" s="698"/>
      <c r="M57" s="698"/>
      <c r="N57" s="698"/>
      <c r="O57" s="698"/>
      <c r="P57" s="698"/>
      <c r="Q57" s="698"/>
      <c r="R57" s="698"/>
      <c r="S57" s="698"/>
      <c r="T57" s="698"/>
      <c r="U57" s="698"/>
      <c r="V57" s="698"/>
    </row>
    <row r="58" spans="1:37" x14ac:dyDescent="0.55000000000000004">
      <c r="B58" s="698"/>
      <c r="C58" s="698"/>
      <c r="D58" s="698"/>
      <c r="E58" s="698"/>
      <c r="F58" s="698"/>
      <c r="G58" s="698"/>
      <c r="H58" s="698"/>
      <c r="I58" s="698"/>
      <c r="J58" s="698"/>
      <c r="K58" s="698"/>
      <c r="L58" s="698"/>
      <c r="M58" s="698"/>
      <c r="N58" s="698"/>
      <c r="O58" s="698"/>
      <c r="P58" s="698"/>
      <c r="Q58" s="698"/>
      <c r="R58" s="698"/>
      <c r="S58" s="698"/>
      <c r="T58" s="698"/>
      <c r="U58" s="698"/>
      <c r="V58" s="698"/>
    </row>
    <row r="59" spans="1:37" x14ac:dyDescent="0.55000000000000004">
      <c r="B59" s="698"/>
      <c r="C59" s="698"/>
      <c r="D59" s="698"/>
      <c r="E59" s="698"/>
      <c r="F59" s="698"/>
      <c r="G59" s="698"/>
      <c r="H59" s="698"/>
      <c r="I59" s="698"/>
      <c r="J59" s="698"/>
      <c r="K59" s="698"/>
      <c r="L59" s="698"/>
      <c r="M59" s="698"/>
      <c r="N59" s="698"/>
      <c r="O59" s="698"/>
      <c r="P59" s="698"/>
      <c r="Q59" s="698"/>
      <c r="R59" s="698"/>
      <c r="S59" s="698"/>
      <c r="T59" s="698"/>
      <c r="U59" s="698"/>
      <c r="V59" s="698"/>
    </row>
    <row r="60" spans="1:37" x14ac:dyDescent="0.55000000000000004">
      <c r="B60" s="698"/>
      <c r="C60" s="698"/>
      <c r="D60" s="698"/>
      <c r="E60" s="698"/>
      <c r="F60" s="698"/>
      <c r="G60" s="698"/>
      <c r="H60" s="698"/>
      <c r="I60" s="698"/>
      <c r="J60" s="698"/>
      <c r="K60" s="698"/>
      <c r="L60" s="698"/>
      <c r="M60" s="698"/>
      <c r="N60" s="698"/>
      <c r="O60" s="698"/>
      <c r="P60" s="698"/>
      <c r="Q60" s="698"/>
      <c r="R60" s="698"/>
      <c r="S60" s="698"/>
      <c r="T60" s="698"/>
      <c r="U60" s="698"/>
      <c r="V60" s="698"/>
    </row>
    <row r="61" spans="1:37" x14ac:dyDescent="0.55000000000000004">
      <c r="B61" s="698"/>
      <c r="C61" s="698"/>
      <c r="D61" s="698"/>
      <c r="E61" s="698"/>
      <c r="F61" s="698"/>
      <c r="G61" s="698"/>
      <c r="H61" s="698"/>
      <c r="I61" s="698"/>
      <c r="J61" s="698"/>
      <c r="K61" s="698"/>
      <c r="L61" s="698"/>
      <c r="M61" s="698"/>
      <c r="N61" s="698"/>
      <c r="O61" s="698"/>
      <c r="P61" s="698"/>
      <c r="Q61" s="698"/>
      <c r="R61" s="698"/>
      <c r="S61" s="698"/>
      <c r="T61" s="698"/>
      <c r="U61" s="698"/>
      <c r="V61" s="698"/>
    </row>
    <row r="62" spans="1:37" x14ac:dyDescent="0.55000000000000004">
      <c r="B62" s="698"/>
      <c r="C62" s="698"/>
      <c r="D62" s="698"/>
      <c r="E62" s="698"/>
      <c r="F62" s="698"/>
      <c r="G62" s="698"/>
      <c r="H62" s="698"/>
      <c r="I62" s="698"/>
      <c r="J62" s="698"/>
      <c r="K62" s="698"/>
      <c r="L62" s="698"/>
      <c r="M62" s="698"/>
      <c r="N62" s="698"/>
      <c r="O62" s="698"/>
      <c r="P62" s="698"/>
      <c r="Q62" s="698"/>
      <c r="R62" s="698"/>
      <c r="S62" s="698"/>
      <c r="T62" s="698"/>
      <c r="U62" s="698"/>
      <c r="V62" s="698"/>
    </row>
    <row r="63" spans="1:37" x14ac:dyDescent="0.55000000000000004">
      <c r="B63" s="698"/>
      <c r="C63" s="698"/>
      <c r="D63" s="698"/>
      <c r="E63" s="698"/>
      <c r="F63" s="698"/>
      <c r="G63" s="698"/>
      <c r="H63" s="698"/>
      <c r="I63" s="698"/>
      <c r="J63" s="698"/>
      <c r="K63" s="698"/>
      <c r="L63" s="698"/>
      <c r="M63" s="698"/>
      <c r="N63" s="698"/>
      <c r="O63" s="698"/>
      <c r="P63" s="698"/>
      <c r="Q63" s="698"/>
      <c r="R63" s="698"/>
      <c r="S63" s="698"/>
      <c r="T63" s="698"/>
      <c r="U63" s="698"/>
      <c r="V63" s="698"/>
    </row>
    <row r="64" spans="1:37" x14ac:dyDescent="0.55000000000000004">
      <c r="B64" s="698"/>
      <c r="C64" s="698"/>
      <c r="D64" s="698"/>
      <c r="E64" s="698"/>
      <c r="F64" s="698"/>
      <c r="G64" s="698"/>
      <c r="H64" s="698"/>
      <c r="I64" s="698"/>
      <c r="J64" s="698"/>
      <c r="K64" s="698"/>
      <c r="L64" s="698"/>
      <c r="M64" s="698"/>
      <c r="N64" s="698"/>
      <c r="O64" s="698"/>
      <c r="P64" s="698"/>
      <c r="Q64" s="698"/>
      <c r="R64" s="698"/>
      <c r="S64" s="698"/>
      <c r="T64" s="698"/>
      <c r="U64" s="698"/>
      <c r="V64" s="698"/>
    </row>
    <row r="66" spans="2:22" x14ac:dyDescent="0.55000000000000004">
      <c r="B66" s="698"/>
      <c r="C66" s="698"/>
      <c r="D66" s="698"/>
      <c r="E66" s="698"/>
      <c r="F66" s="698"/>
      <c r="G66" s="698"/>
      <c r="H66" s="698"/>
      <c r="I66" s="698"/>
      <c r="J66" s="698"/>
      <c r="K66" s="698"/>
      <c r="L66" s="698"/>
      <c r="M66" s="698"/>
      <c r="N66" s="698"/>
      <c r="O66" s="698"/>
      <c r="P66" s="698"/>
      <c r="Q66" s="698"/>
      <c r="R66" s="698"/>
      <c r="S66" s="698"/>
      <c r="T66" s="698"/>
      <c r="U66" s="698"/>
      <c r="V66" s="698"/>
    </row>
    <row r="67" spans="2:22" x14ac:dyDescent="0.55000000000000004">
      <c r="B67" s="698"/>
      <c r="C67" s="698"/>
      <c r="D67" s="698"/>
      <c r="E67" s="698"/>
      <c r="F67" s="698"/>
      <c r="G67" s="698"/>
      <c r="H67" s="698"/>
      <c r="I67" s="698"/>
      <c r="J67" s="698"/>
      <c r="K67" s="698"/>
      <c r="L67" s="698"/>
      <c r="M67" s="698"/>
      <c r="N67" s="698"/>
      <c r="O67" s="698"/>
      <c r="P67" s="698"/>
      <c r="Q67" s="698"/>
      <c r="R67" s="698"/>
      <c r="S67" s="698"/>
      <c r="T67" s="698"/>
      <c r="U67" s="698"/>
      <c r="V67" s="698"/>
    </row>
    <row r="68" spans="2:22" x14ac:dyDescent="0.55000000000000004">
      <c r="B68" s="698"/>
      <c r="C68" s="698"/>
      <c r="D68" s="698"/>
      <c r="E68" s="698"/>
      <c r="F68" s="698"/>
      <c r="G68" s="698"/>
      <c r="H68" s="698"/>
      <c r="I68" s="698"/>
      <c r="J68" s="698"/>
      <c r="K68" s="698"/>
      <c r="L68" s="698"/>
      <c r="M68" s="698"/>
      <c r="N68" s="698"/>
      <c r="O68" s="698"/>
      <c r="P68" s="698"/>
      <c r="Q68" s="698"/>
      <c r="R68" s="698"/>
      <c r="S68" s="698"/>
      <c r="T68" s="698"/>
      <c r="U68" s="698"/>
      <c r="V68" s="698"/>
    </row>
    <row r="69" spans="2:22" x14ac:dyDescent="0.55000000000000004">
      <c r="B69" s="698"/>
      <c r="C69" s="698"/>
      <c r="D69" s="698"/>
      <c r="E69" s="698"/>
      <c r="F69" s="698"/>
      <c r="G69" s="698"/>
      <c r="H69" s="698"/>
      <c r="I69" s="698"/>
      <c r="J69" s="698"/>
      <c r="K69" s="698"/>
      <c r="L69" s="698"/>
      <c r="M69" s="698"/>
      <c r="N69" s="698"/>
      <c r="O69" s="698"/>
      <c r="P69" s="698"/>
      <c r="Q69" s="698"/>
      <c r="R69" s="698"/>
      <c r="S69" s="698"/>
      <c r="T69" s="698"/>
      <c r="U69" s="698"/>
      <c r="V69" s="698"/>
    </row>
    <row r="70" spans="2:22" x14ac:dyDescent="0.55000000000000004">
      <c r="B70" s="698"/>
      <c r="C70" s="698"/>
      <c r="D70" s="698"/>
      <c r="E70" s="698"/>
      <c r="F70" s="698"/>
      <c r="G70" s="698"/>
      <c r="H70" s="698"/>
      <c r="I70" s="698"/>
      <c r="J70" s="698"/>
      <c r="K70" s="698"/>
      <c r="L70" s="698"/>
      <c r="M70" s="698"/>
      <c r="N70" s="698"/>
      <c r="O70" s="698"/>
      <c r="P70" s="698"/>
      <c r="Q70" s="698"/>
      <c r="R70" s="698"/>
      <c r="S70" s="698"/>
      <c r="T70" s="698"/>
      <c r="U70" s="698"/>
      <c r="V70" s="698"/>
    </row>
    <row r="71" spans="2:22" x14ac:dyDescent="0.55000000000000004">
      <c r="B71" s="698"/>
      <c r="C71" s="698"/>
      <c r="D71" s="698"/>
      <c r="E71" s="698"/>
      <c r="F71" s="698"/>
      <c r="G71" s="698"/>
      <c r="H71" s="698"/>
      <c r="I71" s="698"/>
      <c r="J71" s="698"/>
      <c r="K71" s="698"/>
      <c r="L71" s="698"/>
      <c r="M71" s="698"/>
      <c r="N71" s="698"/>
      <c r="O71" s="698"/>
      <c r="P71" s="698"/>
      <c r="Q71" s="698"/>
      <c r="R71" s="698"/>
      <c r="S71" s="698"/>
      <c r="T71" s="698"/>
      <c r="U71" s="698"/>
      <c r="V71" s="698"/>
    </row>
    <row r="72" spans="2:22" x14ac:dyDescent="0.55000000000000004">
      <c r="B72" s="698"/>
      <c r="C72" s="698"/>
      <c r="D72" s="698"/>
      <c r="E72" s="698"/>
      <c r="F72" s="698"/>
      <c r="G72" s="698"/>
      <c r="H72" s="698"/>
      <c r="I72" s="698"/>
      <c r="J72" s="698"/>
      <c r="K72" s="698"/>
      <c r="L72" s="698"/>
      <c r="M72" s="698"/>
      <c r="N72" s="698"/>
      <c r="O72" s="698"/>
      <c r="P72" s="698"/>
      <c r="Q72" s="698"/>
      <c r="R72" s="698"/>
      <c r="S72" s="698"/>
      <c r="T72" s="698"/>
      <c r="U72" s="698"/>
      <c r="V72" s="698"/>
    </row>
    <row r="73" spans="2:22" x14ac:dyDescent="0.55000000000000004">
      <c r="B73" s="698"/>
      <c r="C73" s="698"/>
      <c r="D73" s="698"/>
      <c r="E73" s="698"/>
      <c r="F73" s="698"/>
      <c r="G73" s="698"/>
      <c r="H73" s="698"/>
      <c r="I73" s="698"/>
      <c r="J73" s="698"/>
      <c r="K73" s="698"/>
      <c r="L73" s="698"/>
      <c r="M73" s="698"/>
      <c r="N73" s="698"/>
      <c r="O73" s="698"/>
      <c r="P73" s="698"/>
      <c r="Q73" s="698"/>
      <c r="R73" s="698"/>
      <c r="S73" s="698"/>
      <c r="T73" s="698"/>
      <c r="U73" s="698"/>
      <c r="V73" s="698"/>
    </row>
    <row r="74" spans="2:22" x14ac:dyDescent="0.55000000000000004">
      <c r="B74" s="698"/>
      <c r="C74" s="698"/>
      <c r="D74" s="698"/>
      <c r="E74" s="698"/>
      <c r="F74" s="698"/>
      <c r="G74" s="698"/>
      <c r="H74" s="698"/>
      <c r="I74" s="698"/>
      <c r="J74" s="698"/>
      <c r="K74" s="698"/>
      <c r="L74" s="698"/>
      <c r="M74" s="698"/>
      <c r="N74" s="698"/>
      <c r="O74" s="698"/>
      <c r="P74" s="698"/>
      <c r="Q74" s="698"/>
      <c r="R74" s="698"/>
      <c r="S74" s="698"/>
      <c r="T74" s="698"/>
      <c r="U74" s="698"/>
      <c r="V74" s="698"/>
    </row>
    <row r="75" spans="2:22" x14ac:dyDescent="0.55000000000000004">
      <c r="B75" s="698"/>
      <c r="C75" s="698"/>
      <c r="D75" s="698"/>
      <c r="E75" s="698"/>
      <c r="F75" s="698"/>
      <c r="G75" s="698"/>
      <c r="H75" s="698"/>
      <c r="I75" s="698"/>
      <c r="J75" s="698"/>
      <c r="K75" s="698"/>
      <c r="L75" s="698"/>
      <c r="M75" s="698"/>
      <c r="N75" s="698"/>
      <c r="O75" s="698"/>
      <c r="P75" s="698"/>
      <c r="Q75" s="698"/>
      <c r="R75" s="698"/>
      <c r="S75" s="698"/>
      <c r="T75" s="698"/>
      <c r="U75" s="698"/>
      <c r="V75" s="698"/>
    </row>
    <row r="76" spans="2:22" x14ac:dyDescent="0.55000000000000004">
      <c r="B76" s="698"/>
      <c r="C76" s="698"/>
      <c r="D76" s="698"/>
      <c r="E76" s="698"/>
      <c r="F76" s="698"/>
      <c r="G76" s="698"/>
      <c r="H76" s="698"/>
      <c r="I76" s="698"/>
      <c r="J76" s="698"/>
      <c r="K76" s="698"/>
      <c r="L76" s="698"/>
      <c r="M76" s="698"/>
      <c r="N76" s="698"/>
      <c r="O76" s="698"/>
      <c r="P76" s="698"/>
      <c r="Q76" s="698"/>
      <c r="R76" s="698"/>
      <c r="S76" s="698"/>
      <c r="T76" s="698"/>
      <c r="U76" s="698"/>
      <c r="V76" s="698"/>
    </row>
    <row r="77" spans="2:22" x14ac:dyDescent="0.55000000000000004">
      <c r="B77" s="698"/>
      <c r="C77" s="698"/>
      <c r="D77" s="698"/>
      <c r="E77" s="698"/>
      <c r="F77" s="698"/>
      <c r="G77" s="698"/>
      <c r="H77" s="698"/>
      <c r="I77" s="698"/>
      <c r="J77" s="698"/>
      <c r="K77" s="698"/>
      <c r="L77" s="698"/>
      <c r="M77" s="698"/>
      <c r="N77" s="698"/>
      <c r="O77" s="698"/>
      <c r="P77" s="698"/>
      <c r="Q77" s="698"/>
      <c r="R77" s="698"/>
      <c r="S77" s="698"/>
      <c r="T77" s="698"/>
      <c r="U77" s="698"/>
      <c r="V77" s="698"/>
    </row>
    <row r="78" spans="2:22" x14ac:dyDescent="0.55000000000000004">
      <c r="B78" s="698"/>
      <c r="C78" s="698"/>
      <c r="D78" s="698"/>
      <c r="E78" s="698"/>
      <c r="F78" s="698"/>
      <c r="G78" s="698"/>
      <c r="H78" s="698"/>
      <c r="I78" s="698"/>
      <c r="J78" s="698"/>
      <c r="K78" s="698"/>
      <c r="L78" s="698"/>
      <c r="M78" s="698"/>
      <c r="N78" s="698"/>
      <c r="O78" s="698"/>
      <c r="P78" s="698"/>
      <c r="Q78" s="698"/>
      <c r="R78" s="698"/>
      <c r="S78" s="698"/>
      <c r="T78" s="698"/>
      <c r="U78" s="698"/>
      <c r="V78" s="698"/>
    </row>
    <row r="79" spans="2:22" x14ac:dyDescent="0.55000000000000004">
      <c r="B79" s="698"/>
      <c r="C79" s="698"/>
      <c r="D79" s="698"/>
      <c r="E79" s="698"/>
      <c r="F79" s="698"/>
      <c r="G79" s="698"/>
      <c r="H79" s="698"/>
      <c r="I79" s="698"/>
      <c r="J79" s="698"/>
      <c r="K79" s="698"/>
      <c r="L79" s="698"/>
      <c r="M79" s="698"/>
      <c r="N79" s="698"/>
      <c r="O79" s="698"/>
      <c r="P79" s="698"/>
      <c r="Q79" s="698"/>
      <c r="R79" s="698"/>
      <c r="S79" s="698"/>
      <c r="T79" s="698"/>
      <c r="U79" s="698"/>
      <c r="V79" s="698"/>
    </row>
    <row r="80" spans="2:22" x14ac:dyDescent="0.55000000000000004">
      <c r="B80" s="698"/>
      <c r="C80" s="698"/>
      <c r="D80" s="698"/>
      <c r="E80" s="698"/>
      <c r="F80" s="698"/>
      <c r="G80" s="698"/>
      <c r="H80" s="698"/>
      <c r="I80" s="698"/>
      <c r="J80" s="698"/>
      <c r="K80" s="698"/>
      <c r="L80" s="698"/>
      <c r="M80" s="698"/>
      <c r="N80" s="698"/>
      <c r="O80" s="698"/>
      <c r="P80" s="698"/>
      <c r="Q80" s="698"/>
      <c r="R80" s="698"/>
      <c r="S80" s="698"/>
      <c r="T80" s="698"/>
      <c r="U80" s="698"/>
      <c r="V80" s="698"/>
    </row>
    <row r="81" spans="2:22" x14ac:dyDescent="0.55000000000000004">
      <c r="B81" s="698"/>
      <c r="C81" s="698"/>
      <c r="D81" s="698"/>
      <c r="E81" s="698"/>
      <c r="F81" s="698"/>
      <c r="G81" s="698"/>
      <c r="H81" s="698"/>
      <c r="I81" s="698"/>
      <c r="J81" s="698"/>
      <c r="K81" s="698"/>
      <c r="L81" s="698"/>
      <c r="M81" s="698"/>
      <c r="N81" s="698"/>
      <c r="O81" s="698"/>
      <c r="P81" s="698"/>
      <c r="Q81" s="698"/>
      <c r="R81" s="698"/>
      <c r="S81" s="698"/>
      <c r="T81" s="698"/>
      <c r="U81" s="698"/>
      <c r="V81" s="698"/>
    </row>
    <row r="82" spans="2:22" x14ac:dyDescent="0.55000000000000004">
      <c r="B82" s="698"/>
      <c r="C82" s="698"/>
      <c r="D82" s="698"/>
      <c r="E82" s="698"/>
      <c r="F82" s="698"/>
      <c r="G82" s="698"/>
      <c r="H82" s="698"/>
      <c r="I82" s="698"/>
      <c r="J82" s="698"/>
      <c r="K82" s="698"/>
      <c r="L82" s="698"/>
      <c r="M82" s="698"/>
      <c r="N82" s="698"/>
      <c r="O82" s="698"/>
      <c r="P82" s="698"/>
      <c r="Q82" s="698"/>
      <c r="R82" s="698"/>
      <c r="S82" s="698"/>
      <c r="T82" s="698"/>
      <c r="U82" s="698"/>
      <c r="V82" s="698"/>
    </row>
    <row r="83" spans="2:22" x14ac:dyDescent="0.55000000000000004">
      <c r="B83" s="698"/>
      <c r="C83" s="698"/>
      <c r="D83" s="698"/>
      <c r="E83" s="698"/>
      <c r="F83" s="698"/>
      <c r="G83" s="698"/>
      <c r="H83" s="698"/>
      <c r="I83" s="698"/>
      <c r="J83" s="698"/>
      <c r="K83" s="698"/>
      <c r="L83" s="698"/>
      <c r="M83" s="698"/>
      <c r="N83" s="698"/>
      <c r="O83" s="698"/>
      <c r="P83" s="698"/>
      <c r="Q83" s="698"/>
      <c r="R83" s="698"/>
      <c r="S83" s="698"/>
      <c r="T83" s="698"/>
      <c r="U83" s="698"/>
      <c r="V83" s="698"/>
    </row>
    <row r="84" spans="2:22" x14ac:dyDescent="0.55000000000000004">
      <c r="B84" s="698"/>
      <c r="C84" s="698"/>
      <c r="D84" s="698"/>
      <c r="E84" s="698"/>
      <c r="F84" s="698"/>
      <c r="G84" s="698"/>
      <c r="H84" s="698"/>
      <c r="I84" s="698"/>
      <c r="J84" s="698"/>
      <c r="K84" s="698"/>
      <c r="L84" s="698"/>
      <c r="M84" s="698"/>
      <c r="N84" s="698"/>
      <c r="O84" s="698"/>
      <c r="P84" s="698"/>
      <c r="Q84" s="698"/>
      <c r="R84" s="698"/>
      <c r="S84" s="698"/>
      <c r="T84" s="698"/>
      <c r="U84" s="698"/>
      <c r="V84" s="698"/>
    </row>
    <row r="85" spans="2:22" x14ac:dyDescent="0.55000000000000004">
      <c r="B85" s="698"/>
      <c r="C85" s="698"/>
      <c r="D85" s="698"/>
      <c r="E85" s="698"/>
      <c r="F85" s="698"/>
      <c r="G85" s="698"/>
      <c r="H85" s="698"/>
      <c r="I85" s="698"/>
      <c r="J85" s="698"/>
      <c r="K85" s="698"/>
      <c r="L85" s="698"/>
      <c r="M85" s="698"/>
      <c r="N85" s="698"/>
      <c r="O85" s="698"/>
      <c r="P85" s="698"/>
      <c r="Q85" s="698"/>
      <c r="R85" s="698"/>
      <c r="S85" s="698"/>
      <c r="T85" s="698"/>
      <c r="U85" s="698"/>
      <c r="V85" s="698"/>
    </row>
    <row r="86" spans="2:22" x14ac:dyDescent="0.55000000000000004">
      <c r="B86" s="698"/>
      <c r="C86" s="698"/>
      <c r="D86" s="698"/>
      <c r="E86" s="698"/>
      <c r="F86" s="698"/>
      <c r="G86" s="698"/>
      <c r="H86" s="698"/>
      <c r="I86" s="698"/>
      <c r="J86" s="698"/>
      <c r="K86" s="698"/>
      <c r="L86" s="698"/>
      <c r="M86" s="698"/>
      <c r="N86" s="698"/>
      <c r="O86" s="698"/>
      <c r="P86" s="698"/>
      <c r="Q86" s="698"/>
      <c r="R86" s="698"/>
      <c r="S86" s="698"/>
      <c r="T86" s="698"/>
      <c r="U86" s="698"/>
      <c r="V86" s="698"/>
    </row>
    <row r="87" spans="2:22" x14ac:dyDescent="0.55000000000000004">
      <c r="B87" s="698"/>
      <c r="C87" s="698"/>
      <c r="D87" s="698"/>
      <c r="E87" s="698"/>
      <c r="F87" s="698"/>
      <c r="G87" s="698"/>
      <c r="H87" s="698"/>
      <c r="I87" s="698"/>
      <c r="J87" s="698"/>
      <c r="K87" s="698"/>
      <c r="L87" s="698"/>
      <c r="M87" s="698"/>
      <c r="N87" s="698"/>
      <c r="O87" s="698"/>
      <c r="P87" s="698"/>
      <c r="Q87" s="698"/>
      <c r="R87" s="698"/>
      <c r="S87" s="698"/>
      <c r="T87" s="698"/>
      <c r="U87" s="698"/>
      <c r="V87" s="698"/>
    </row>
    <row r="88" spans="2:22" x14ac:dyDescent="0.55000000000000004"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698"/>
      <c r="O88" s="698"/>
      <c r="P88" s="698"/>
      <c r="Q88" s="698"/>
      <c r="R88" s="698"/>
      <c r="S88" s="698"/>
      <c r="T88" s="698"/>
      <c r="U88" s="698"/>
      <c r="V88" s="698"/>
    </row>
    <row r="89" spans="2:22" x14ac:dyDescent="0.55000000000000004">
      <c r="B89" s="698"/>
      <c r="C89" s="698"/>
      <c r="D89" s="698"/>
      <c r="E89" s="698"/>
      <c r="F89" s="698"/>
      <c r="G89" s="698"/>
      <c r="H89" s="698"/>
      <c r="I89" s="698"/>
      <c r="J89" s="698"/>
      <c r="K89" s="698"/>
      <c r="L89" s="698"/>
      <c r="M89" s="698"/>
      <c r="N89" s="698"/>
      <c r="O89" s="698"/>
      <c r="P89" s="698"/>
      <c r="Q89" s="698"/>
      <c r="R89" s="698"/>
      <c r="S89" s="698"/>
      <c r="T89" s="698"/>
      <c r="U89" s="698"/>
      <c r="V89" s="698"/>
    </row>
    <row r="90" spans="2:22" x14ac:dyDescent="0.55000000000000004">
      <c r="B90" s="698"/>
      <c r="C90" s="698"/>
      <c r="D90" s="698"/>
      <c r="E90" s="698"/>
      <c r="F90" s="698"/>
      <c r="G90" s="698"/>
      <c r="H90" s="698"/>
      <c r="I90" s="698"/>
      <c r="J90" s="698"/>
      <c r="K90" s="698"/>
      <c r="L90" s="698"/>
      <c r="M90" s="698"/>
      <c r="N90" s="698"/>
      <c r="O90" s="698"/>
      <c r="P90" s="698"/>
      <c r="Q90" s="698"/>
      <c r="R90" s="698"/>
      <c r="S90" s="698"/>
      <c r="T90" s="698"/>
      <c r="U90" s="698"/>
      <c r="V90" s="698"/>
    </row>
    <row r="91" spans="2:22" x14ac:dyDescent="0.55000000000000004">
      <c r="B91" s="698"/>
      <c r="C91" s="698"/>
      <c r="D91" s="698"/>
      <c r="E91" s="698"/>
      <c r="F91" s="698"/>
      <c r="G91" s="698"/>
      <c r="H91" s="698"/>
      <c r="I91" s="698"/>
      <c r="J91" s="698"/>
      <c r="K91" s="698"/>
      <c r="L91" s="698"/>
      <c r="M91" s="698"/>
      <c r="N91" s="698"/>
      <c r="O91" s="698"/>
      <c r="P91" s="698"/>
      <c r="Q91" s="698"/>
      <c r="R91" s="698"/>
      <c r="S91" s="698"/>
      <c r="T91" s="698"/>
      <c r="U91" s="698"/>
      <c r="V91" s="698"/>
    </row>
    <row r="92" spans="2:22" x14ac:dyDescent="0.55000000000000004">
      <c r="B92" s="698"/>
      <c r="C92" s="698"/>
      <c r="D92" s="698"/>
      <c r="E92" s="698"/>
      <c r="F92" s="698"/>
      <c r="G92" s="698"/>
      <c r="H92" s="698"/>
      <c r="I92" s="698"/>
      <c r="J92" s="698"/>
      <c r="K92" s="698"/>
      <c r="L92" s="698"/>
      <c r="M92" s="698"/>
      <c r="N92" s="698"/>
      <c r="O92" s="698"/>
      <c r="P92" s="698"/>
      <c r="Q92" s="698"/>
      <c r="R92" s="698"/>
      <c r="S92" s="698"/>
      <c r="T92" s="698"/>
      <c r="U92" s="698"/>
      <c r="V92" s="698"/>
    </row>
    <row r="93" spans="2:22" x14ac:dyDescent="0.55000000000000004">
      <c r="B93" s="698"/>
      <c r="C93" s="698"/>
      <c r="D93" s="698"/>
      <c r="E93" s="698"/>
      <c r="F93" s="698"/>
      <c r="G93" s="698"/>
      <c r="H93" s="698"/>
      <c r="I93" s="698"/>
      <c r="J93" s="698"/>
      <c r="K93" s="698"/>
      <c r="L93" s="698"/>
      <c r="M93" s="698"/>
      <c r="N93" s="698"/>
      <c r="O93" s="698"/>
      <c r="P93" s="698"/>
      <c r="Q93" s="698"/>
      <c r="R93" s="698"/>
      <c r="S93" s="698"/>
      <c r="T93" s="698"/>
      <c r="U93" s="698"/>
      <c r="V93" s="698"/>
    </row>
    <row r="94" spans="2:22" x14ac:dyDescent="0.55000000000000004">
      <c r="B94" s="698"/>
      <c r="C94" s="698"/>
      <c r="D94" s="698"/>
      <c r="E94" s="698"/>
      <c r="F94" s="698"/>
      <c r="G94" s="698"/>
      <c r="H94" s="698"/>
      <c r="I94" s="698"/>
      <c r="J94" s="698"/>
      <c r="K94" s="698"/>
      <c r="L94" s="698"/>
      <c r="M94" s="698"/>
      <c r="N94" s="698"/>
      <c r="O94" s="698"/>
      <c r="P94" s="698"/>
      <c r="Q94" s="698"/>
      <c r="R94" s="698"/>
      <c r="S94" s="698"/>
      <c r="T94" s="698"/>
      <c r="U94" s="698"/>
      <c r="V94" s="698"/>
    </row>
    <row r="95" spans="2:22" x14ac:dyDescent="0.55000000000000004">
      <c r="B95" s="698"/>
      <c r="C95" s="698"/>
      <c r="D95" s="698"/>
      <c r="E95" s="698"/>
      <c r="F95" s="698"/>
      <c r="G95" s="698"/>
      <c r="H95" s="698"/>
      <c r="I95" s="698"/>
      <c r="J95" s="698"/>
      <c r="K95" s="698"/>
      <c r="L95" s="698"/>
      <c r="M95" s="698"/>
      <c r="N95" s="698"/>
      <c r="O95" s="698"/>
      <c r="P95" s="698"/>
      <c r="Q95" s="698"/>
      <c r="R95" s="698"/>
      <c r="S95" s="698"/>
      <c r="T95" s="698"/>
      <c r="U95" s="698"/>
      <c r="V95" s="698"/>
    </row>
    <row r="96" spans="2:22" x14ac:dyDescent="0.55000000000000004">
      <c r="B96" s="698"/>
      <c r="C96" s="698"/>
      <c r="D96" s="698"/>
      <c r="E96" s="698"/>
      <c r="F96" s="698"/>
      <c r="G96" s="698"/>
      <c r="H96" s="698"/>
      <c r="I96" s="698"/>
      <c r="J96" s="698"/>
      <c r="K96" s="698"/>
      <c r="L96" s="698"/>
      <c r="M96" s="698"/>
      <c r="N96" s="698"/>
      <c r="O96" s="698"/>
      <c r="P96" s="698"/>
      <c r="Q96" s="698"/>
      <c r="R96" s="698"/>
      <c r="S96" s="698"/>
      <c r="T96" s="698"/>
      <c r="U96" s="698"/>
      <c r="V96" s="698"/>
    </row>
    <row r="97" spans="2:22" x14ac:dyDescent="0.55000000000000004"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8"/>
      <c r="Q97" s="698"/>
      <c r="R97" s="698"/>
      <c r="S97" s="698"/>
      <c r="T97" s="698"/>
      <c r="U97" s="698"/>
      <c r="V97" s="698"/>
    </row>
    <row r="98" spans="2:22" x14ac:dyDescent="0.55000000000000004">
      <c r="B98" s="698"/>
      <c r="C98" s="698"/>
      <c r="D98" s="698"/>
      <c r="E98" s="698"/>
      <c r="F98" s="698"/>
      <c r="G98" s="698"/>
      <c r="H98" s="698"/>
      <c r="I98" s="698"/>
      <c r="J98" s="698"/>
      <c r="K98" s="698"/>
      <c r="L98" s="698"/>
      <c r="M98" s="698"/>
      <c r="N98" s="698"/>
      <c r="O98" s="698"/>
      <c r="P98" s="698"/>
      <c r="Q98" s="698"/>
      <c r="R98" s="698"/>
      <c r="S98" s="698"/>
      <c r="T98" s="698"/>
      <c r="U98" s="698"/>
      <c r="V98" s="698"/>
    </row>
    <row r="99" spans="2:22" x14ac:dyDescent="0.55000000000000004">
      <c r="B99" s="698"/>
      <c r="C99" s="698"/>
      <c r="D99" s="698"/>
      <c r="E99" s="698"/>
      <c r="F99" s="698"/>
      <c r="G99" s="698"/>
      <c r="H99" s="698"/>
      <c r="I99" s="698"/>
      <c r="J99" s="698"/>
      <c r="K99" s="698"/>
      <c r="L99" s="698"/>
      <c r="M99" s="698"/>
      <c r="N99" s="698"/>
      <c r="O99" s="698"/>
      <c r="P99" s="698"/>
      <c r="Q99" s="698"/>
      <c r="R99" s="698"/>
      <c r="S99" s="698"/>
      <c r="T99" s="698"/>
      <c r="U99" s="698"/>
      <c r="V99" s="698"/>
    </row>
    <row r="100" spans="2:22" x14ac:dyDescent="0.55000000000000004"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698"/>
      <c r="O100" s="698"/>
      <c r="P100" s="698"/>
      <c r="Q100" s="698"/>
      <c r="R100" s="698"/>
      <c r="S100" s="698"/>
      <c r="T100" s="698"/>
      <c r="U100" s="698"/>
      <c r="V100" s="698"/>
    </row>
    <row r="101" spans="2:22" x14ac:dyDescent="0.55000000000000004">
      <c r="B101" s="698"/>
      <c r="C101" s="698"/>
      <c r="D101" s="698"/>
      <c r="E101" s="698"/>
      <c r="F101" s="698"/>
      <c r="G101" s="698"/>
      <c r="H101" s="698"/>
      <c r="I101" s="698"/>
      <c r="J101" s="698"/>
      <c r="K101" s="698"/>
      <c r="L101" s="698"/>
      <c r="M101" s="698"/>
      <c r="N101" s="698"/>
      <c r="O101" s="698"/>
      <c r="P101" s="698"/>
      <c r="Q101" s="698"/>
      <c r="R101" s="698"/>
      <c r="S101" s="698"/>
      <c r="T101" s="698"/>
      <c r="U101" s="698"/>
      <c r="V101" s="698"/>
    </row>
    <row r="102" spans="2:22" x14ac:dyDescent="0.55000000000000004">
      <c r="B102" s="698"/>
      <c r="C102" s="698"/>
      <c r="D102" s="698"/>
      <c r="E102" s="698"/>
      <c r="F102" s="698"/>
      <c r="G102" s="698"/>
      <c r="H102" s="698"/>
      <c r="I102" s="698"/>
      <c r="J102" s="698"/>
      <c r="K102" s="698"/>
      <c r="L102" s="698"/>
      <c r="M102" s="698"/>
      <c r="N102" s="698"/>
      <c r="O102" s="698"/>
      <c r="P102" s="698"/>
      <c r="Q102" s="698"/>
      <c r="R102" s="698"/>
      <c r="S102" s="698"/>
      <c r="T102" s="698"/>
      <c r="U102" s="698"/>
      <c r="V102" s="698"/>
    </row>
    <row r="103" spans="2:22" x14ac:dyDescent="0.55000000000000004">
      <c r="B103" s="698"/>
      <c r="C103" s="698"/>
      <c r="D103" s="698"/>
      <c r="E103" s="698"/>
      <c r="F103" s="698"/>
      <c r="G103" s="698"/>
      <c r="H103" s="698"/>
      <c r="I103" s="698"/>
      <c r="J103" s="698"/>
      <c r="K103" s="698"/>
      <c r="L103" s="698"/>
      <c r="M103" s="698"/>
      <c r="N103" s="698"/>
      <c r="O103" s="698"/>
      <c r="P103" s="698"/>
      <c r="Q103" s="698"/>
      <c r="R103" s="698"/>
      <c r="S103" s="698"/>
      <c r="T103" s="698"/>
      <c r="U103" s="698"/>
      <c r="V103" s="698"/>
    </row>
    <row r="104" spans="2:22" x14ac:dyDescent="0.55000000000000004">
      <c r="B104" s="698"/>
      <c r="C104" s="698"/>
      <c r="D104" s="698"/>
      <c r="E104" s="698"/>
      <c r="F104" s="698"/>
      <c r="G104" s="698"/>
      <c r="H104" s="698"/>
      <c r="I104" s="698"/>
      <c r="J104" s="698"/>
      <c r="K104" s="698"/>
      <c r="L104" s="698"/>
      <c r="M104" s="698"/>
      <c r="N104" s="698"/>
      <c r="O104" s="698"/>
      <c r="P104" s="698"/>
      <c r="Q104" s="698"/>
      <c r="R104" s="698"/>
      <c r="S104" s="698"/>
      <c r="T104" s="698"/>
      <c r="U104" s="698"/>
      <c r="V104" s="698"/>
    </row>
    <row r="105" spans="2:22" x14ac:dyDescent="0.55000000000000004">
      <c r="B105" s="698"/>
      <c r="C105" s="698"/>
      <c r="D105" s="698"/>
      <c r="E105" s="698"/>
      <c r="F105" s="698"/>
      <c r="G105" s="698"/>
      <c r="H105" s="698"/>
      <c r="I105" s="698"/>
      <c r="J105" s="698"/>
      <c r="K105" s="698"/>
      <c r="L105" s="698"/>
      <c r="M105" s="698"/>
      <c r="N105" s="698"/>
      <c r="O105" s="698"/>
      <c r="P105" s="698"/>
      <c r="Q105" s="698"/>
      <c r="R105" s="698"/>
      <c r="S105" s="698"/>
      <c r="T105" s="698"/>
      <c r="U105" s="698"/>
      <c r="V105" s="698"/>
    </row>
    <row r="106" spans="2:22" x14ac:dyDescent="0.55000000000000004">
      <c r="B106" s="698"/>
      <c r="C106" s="698"/>
      <c r="D106" s="698"/>
      <c r="E106" s="698"/>
      <c r="F106" s="698"/>
      <c r="G106" s="698"/>
      <c r="H106" s="698"/>
      <c r="I106" s="698"/>
      <c r="J106" s="698"/>
      <c r="K106" s="698"/>
      <c r="L106" s="698"/>
      <c r="M106" s="698"/>
      <c r="N106" s="698"/>
      <c r="O106" s="698"/>
      <c r="P106" s="698"/>
      <c r="Q106" s="698"/>
      <c r="R106" s="698"/>
      <c r="S106" s="698"/>
      <c r="T106" s="698"/>
      <c r="U106" s="698"/>
      <c r="V106" s="698"/>
    </row>
    <row r="107" spans="2:22" x14ac:dyDescent="0.55000000000000004">
      <c r="B107" s="698"/>
      <c r="C107" s="698"/>
      <c r="D107" s="698"/>
      <c r="E107" s="698"/>
      <c r="F107" s="698"/>
      <c r="G107" s="698"/>
      <c r="H107" s="698"/>
      <c r="I107" s="698"/>
      <c r="J107" s="698"/>
      <c r="K107" s="698"/>
      <c r="L107" s="698"/>
      <c r="M107" s="698"/>
      <c r="N107" s="698"/>
      <c r="O107" s="698"/>
      <c r="P107" s="698"/>
      <c r="Q107" s="698"/>
      <c r="R107" s="698"/>
      <c r="S107" s="698"/>
      <c r="T107" s="698"/>
      <c r="U107" s="698"/>
      <c r="V107" s="698"/>
    </row>
    <row r="108" spans="2:22" x14ac:dyDescent="0.55000000000000004">
      <c r="B108" s="698"/>
      <c r="C108" s="698"/>
      <c r="D108" s="698"/>
      <c r="E108" s="698"/>
      <c r="F108" s="698"/>
      <c r="G108" s="698"/>
      <c r="H108" s="698"/>
      <c r="I108" s="698"/>
      <c r="J108" s="698"/>
      <c r="K108" s="698"/>
      <c r="L108" s="698"/>
      <c r="M108" s="698"/>
      <c r="N108" s="698"/>
      <c r="O108" s="698"/>
      <c r="P108" s="698"/>
      <c r="Q108" s="698"/>
      <c r="R108" s="698"/>
      <c r="S108" s="698"/>
      <c r="T108" s="698"/>
      <c r="U108" s="698"/>
      <c r="V108" s="698"/>
    </row>
    <row r="109" spans="2:22" x14ac:dyDescent="0.55000000000000004">
      <c r="B109" s="698"/>
      <c r="C109" s="698"/>
      <c r="D109" s="698"/>
      <c r="E109" s="698"/>
      <c r="F109" s="698"/>
      <c r="G109" s="698"/>
      <c r="H109" s="698"/>
      <c r="I109" s="698"/>
      <c r="J109" s="698"/>
      <c r="K109" s="698"/>
      <c r="L109" s="698"/>
      <c r="M109" s="698"/>
      <c r="N109" s="698"/>
      <c r="O109" s="698"/>
      <c r="P109" s="698"/>
      <c r="Q109" s="698"/>
      <c r="R109" s="698"/>
      <c r="S109" s="698"/>
      <c r="T109" s="698"/>
      <c r="U109" s="698"/>
      <c r="V109" s="698"/>
    </row>
    <row r="110" spans="2:22" x14ac:dyDescent="0.55000000000000004">
      <c r="B110" s="698"/>
      <c r="C110" s="698"/>
      <c r="D110" s="698"/>
      <c r="E110" s="698"/>
      <c r="F110" s="698"/>
      <c r="G110" s="698"/>
      <c r="H110" s="698"/>
      <c r="I110" s="698"/>
      <c r="J110" s="698"/>
      <c r="K110" s="698"/>
      <c r="L110" s="698"/>
      <c r="M110" s="698"/>
      <c r="N110" s="698"/>
      <c r="O110" s="698"/>
      <c r="P110" s="698"/>
      <c r="Q110" s="698"/>
      <c r="R110" s="698"/>
      <c r="S110" s="698"/>
      <c r="T110" s="698"/>
      <c r="U110" s="698"/>
      <c r="V110" s="698"/>
    </row>
    <row r="111" spans="2:22" x14ac:dyDescent="0.55000000000000004">
      <c r="B111" s="698"/>
      <c r="C111" s="698"/>
      <c r="D111" s="698"/>
      <c r="E111" s="698"/>
      <c r="F111" s="698"/>
      <c r="G111" s="698"/>
      <c r="H111" s="698"/>
      <c r="I111" s="698"/>
      <c r="J111" s="698"/>
      <c r="K111" s="698"/>
      <c r="L111" s="698"/>
      <c r="M111" s="698"/>
      <c r="N111" s="698"/>
      <c r="O111" s="698"/>
      <c r="P111" s="698"/>
      <c r="Q111" s="698"/>
      <c r="R111" s="698"/>
      <c r="S111" s="698"/>
      <c r="T111" s="698"/>
      <c r="U111" s="698"/>
      <c r="V111" s="698"/>
    </row>
    <row r="112" spans="2:22" x14ac:dyDescent="0.55000000000000004">
      <c r="B112" s="698"/>
      <c r="C112" s="698"/>
      <c r="D112" s="698"/>
      <c r="E112" s="698"/>
      <c r="F112" s="698"/>
      <c r="G112" s="698"/>
      <c r="H112" s="698"/>
      <c r="I112" s="698"/>
      <c r="J112" s="698"/>
      <c r="K112" s="698"/>
      <c r="L112" s="698"/>
      <c r="M112" s="698"/>
      <c r="N112" s="698"/>
      <c r="O112" s="698"/>
      <c r="P112" s="698"/>
      <c r="Q112" s="698"/>
      <c r="R112" s="698"/>
      <c r="S112" s="698"/>
      <c r="T112" s="698"/>
      <c r="U112" s="698"/>
      <c r="V112" s="698"/>
    </row>
    <row r="113" spans="2:22" x14ac:dyDescent="0.55000000000000004">
      <c r="B113" s="698"/>
      <c r="C113" s="698"/>
      <c r="D113" s="698"/>
      <c r="E113" s="698"/>
      <c r="F113" s="698"/>
      <c r="G113" s="698"/>
      <c r="H113" s="698"/>
      <c r="I113" s="698"/>
      <c r="J113" s="698"/>
      <c r="K113" s="698"/>
      <c r="L113" s="698"/>
      <c r="M113" s="698"/>
      <c r="N113" s="698"/>
      <c r="O113" s="698"/>
      <c r="P113" s="698"/>
      <c r="Q113" s="698"/>
      <c r="R113" s="698"/>
      <c r="S113" s="698"/>
      <c r="T113" s="698"/>
      <c r="U113" s="698"/>
      <c r="V113" s="698"/>
    </row>
    <row r="114" spans="2:22" x14ac:dyDescent="0.55000000000000004">
      <c r="B114" s="698"/>
      <c r="C114" s="698"/>
      <c r="D114" s="698"/>
      <c r="E114" s="698"/>
      <c r="F114" s="698"/>
      <c r="G114" s="698"/>
      <c r="H114" s="698"/>
      <c r="I114" s="698"/>
      <c r="J114" s="698"/>
      <c r="K114" s="698"/>
      <c r="L114" s="698"/>
      <c r="M114" s="698"/>
      <c r="N114" s="698"/>
      <c r="O114" s="698"/>
      <c r="P114" s="698"/>
      <c r="Q114" s="698"/>
      <c r="R114" s="698"/>
      <c r="S114" s="698"/>
      <c r="T114" s="698"/>
      <c r="U114" s="698"/>
      <c r="V114" s="698"/>
    </row>
    <row r="115" spans="2:22" x14ac:dyDescent="0.55000000000000004">
      <c r="B115" s="698"/>
      <c r="C115" s="698"/>
      <c r="D115" s="698"/>
      <c r="E115" s="698"/>
      <c r="F115" s="698"/>
      <c r="G115" s="698"/>
      <c r="H115" s="698"/>
      <c r="I115" s="698"/>
      <c r="J115" s="698"/>
      <c r="K115" s="698"/>
      <c r="L115" s="698"/>
      <c r="M115" s="698"/>
      <c r="N115" s="698"/>
      <c r="O115" s="698"/>
      <c r="P115" s="698"/>
      <c r="Q115" s="698"/>
      <c r="R115" s="698"/>
      <c r="S115" s="698"/>
      <c r="T115" s="698"/>
      <c r="U115" s="698"/>
      <c r="V115" s="698"/>
    </row>
    <row r="116" spans="2:22" x14ac:dyDescent="0.55000000000000004">
      <c r="B116" s="698"/>
      <c r="C116" s="698"/>
      <c r="D116" s="698"/>
      <c r="E116" s="698"/>
      <c r="F116" s="698"/>
      <c r="G116" s="698"/>
      <c r="H116" s="698"/>
      <c r="I116" s="698"/>
      <c r="J116" s="698"/>
      <c r="K116" s="698"/>
      <c r="L116" s="698"/>
      <c r="M116" s="698"/>
      <c r="N116" s="698"/>
      <c r="O116" s="698"/>
      <c r="P116" s="698"/>
      <c r="Q116" s="698"/>
      <c r="R116" s="698"/>
      <c r="S116" s="698"/>
      <c r="T116" s="698"/>
      <c r="U116" s="698"/>
      <c r="V116" s="698"/>
    </row>
    <row r="117" spans="2:22" x14ac:dyDescent="0.55000000000000004">
      <c r="B117" s="698"/>
      <c r="C117" s="698"/>
      <c r="D117" s="698"/>
      <c r="E117" s="698"/>
      <c r="F117" s="698"/>
      <c r="G117" s="698"/>
      <c r="H117" s="698"/>
      <c r="I117" s="698"/>
      <c r="J117" s="698"/>
      <c r="K117" s="698"/>
      <c r="L117" s="698"/>
      <c r="M117" s="698"/>
      <c r="N117" s="698"/>
      <c r="O117" s="698"/>
      <c r="P117" s="698"/>
      <c r="Q117" s="698"/>
      <c r="R117" s="698"/>
      <c r="S117" s="698"/>
      <c r="T117" s="698"/>
      <c r="U117" s="698"/>
      <c r="V117" s="698"/>
    </row>
    <row r="118" spans="2:22" x14ac:dyDescent="0.55000000000000004">
      <c r="B118" s="698"/>
      <c r="C118" s="698"/>
      <c r="D118" s="698"/>
      <c r="E118" s="698"/>
      <c r="F118" s="698"/>
      <c r="G118" s="698"/>
      <c r="H118" s="698"/>
      <c r="I118" s="698"/>
      <c r="J118" s="698"/>
      <c r="K118" s="698"/>
      <c r="L118" s="698"/>
      <c r="M118" s="698"/>
      <c r="N118" s="698"/>
      <c r="O118" s="698"/>
      <c r="P118" s="698"/>
      <c r="Q118" s="698"/>
      <c r="R118" s="698"/>
      <c r="S118" s="698"/>
      <c r="T118" s="698"/>
      <c r="U118" s="698"/>
      <c r="V118" s="698"/>
    </row>
    <row r="119" spans="2:22" x14ac:dyDescent="0.55000000000000004">
      <c r="B119" s="698"/>
      <c r="C119" s="698"/>
      <c r="D119" s="698"/>
      <c r="E119" s="698"/>
      <c r="F119" s="698"/>
      <c r="G119" s="698"/>
      <c r="H119" s="698"/>
      <c r="I119" s="698"/>
      <c r="J119" s="698"/>
      <c r="K119" s="698"/>
      <c r="L119" s="698"/>
      <c r="M119" s="698"/>
      <c r="N119" s="698"/>
      <c r="O119" s="698"/>
      <c r="P119" s="698"/>
      <c r="Q119" s="698"/>
      <c r="R119" s="698"/>
      <c r="S119" s="698"/>
      <c r="T119" s="698"/>
      <c r="U119" s="698"/>
      <c r="V119" s="698"/>
    </row>
    <row r="120" spans="2:22" x14ac:dyDescent="0.55000000000000004">
      <c r="B120" s="698"/>
      <c r="C120" s="698"/>
      <c r="D120" s="698"/>
      <c r="E120" s="698"/>
      <c r="F120" s="698"/>
      <c r="G120" s="698"/>
      <c r="H120" s="698"/>
      <c r="I120" s="698"/>
      <c r="J120" s="698"/>
      <c r="K120" s="698"/>
      <c r="L120" s="698"/>
      <c r="M120" s="698"/>
      <c r="N120" s="698"/>
      <c r="O120" s="698"/>
      <c r="P120" s="698"/>
      <c r="Q120" s="698"/>
      <c r="R120" s="698"/>
      <c r="S120" s="698"/>
      <c r="T120" s="698"/>
      <c r="U120" s="698"/>
      <c r="V120" s="698"/>
    </row>
  </sheetData>
  <mergeCells count="16">
    <mergeCell ref="M5:P5"/>
    <mergeCell ref="A22:A55"/>
    <mergeCell ref="A3:T3"/>
    <mergeCell ref="Q5:T5"/>
    <mergeCell ref="A7:A19"/>
    <mergeCell ref="B45:B46"/>
    <mergeCell ref="B22:B23"/>
    <mergeCell ref="B24:B25"/>
    <mergeCell ref="B26:B27"/>
    <mergeCell ref="B28:B29"/>
    <mergeCell ref="B41:B42"/>
    <mergeCell ref="B43:B44"/>
    <mergeCell ref="A6:C6"/>
    <mergeCell ref="B30:B31"/>
    <mergeCell ref="B32:B33"/>
    <mergeCell ref="F5:K5"/>
  </mergeCells>
  <phoneticPr fontId="1" type="noConversion"/>
  <printOptions horizontalCentered="1"/>
  <pageMargins left="0.23622047244094491" right="0.23622047244094491" top="0.39370078740157483" bottom="0" header="0.31496062992125984" footer="0.19685039370078741"/>
  <pageSetup paperSize="9" scale="53" fitToHeight="0" orientation="landscape" r:id="rId1"/>
  <headerFooter scaleWithDoc="0">
    <oddFooter>&amp;R&amp;"-,기울임꼴"&amp;8&amp;P &amp; 페이지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6E11-5E70-404F-BF7B-1989B161B5B2}">
  <sheetPr codeName="Sheet25">
    <tabColor theme="9" tint="0.79998168889431442"/>
  </sheetPr>
  <dimension ref="A1:BR111"/>
  <sheetViews>
    <sheetView showGridLines="0" topLeftCell="A41" zoomScale="70" zoomScaleNormal="70" workbookViewId="0">
      <pane xSplit="3" topLeftCell="AU1" activePane="topRight" state="frozen"/>
      <selection activeCell="V54" sqref="V54"/>
      <selection pane="topRight" activeCell="AY12" sqref="AY12"/>
    </sheetView>
  </sheetViews>
  <sheetFormatPr defaultRowHeight="17.600000000000001" outlineLevelCol="1" x14ac:dyDescent="0.55000000000000004"/>
  <cols>
    <col min="1" max="1" width="11.42578125" customWidth="1"/>
    <col min="2" max="2" width="19.85546875" bestFit="1" customWidth="1"/>
    <col min="3" max="3" width="13" bestFit="1" customWidth="1"/>
    <col min="4" max="15" width="8.640625" customWidth="1" outlineLevel="1"/>
    <col min="16" max="16" width="9.85546875" customWidth="1"/>
    <col min="18" max="18" width="5.7109375" customWidth="1"/>
    <col min="19" max="26" width="8.640625" customWidth="1" outlineLevel="1"/>
    <col min="27" max="27" width="10.140625" customWidth="1" outlineLevel="1"/>
    <col min="28" max="30" width="8.640625" customWidth="1" outlineLevel="1"/>
    <col min="42" max="42" width="10.140625" customWidth="1"/>
    <col min="57" max="57" width="10.140625" customWidth="1"/>
    <col min="64" max="64" width="12.5703125" customWidth="1"/>
    <col min="65" max="65" width="15.7109375" customWidth="1"/>
    <col min="66" max="66" width="22.7109375" customWidth="1"/>
    <col min="67" max="67" width="12.140625" customWidth="1"/>
    <col min="68" max="68" width="9.140625" customWidth="1"/>
  </cols>
  <sheetData>
    <row r="1" spans="1:68" x14ac:dyDescent="0.55000000000000004">
      <c r="A1" s="4516">
        <f>'0. 개요'!AE2</f>
        <v>46054</v>
      </c>
      <c r="B1" s="544"/>
      <c r="BI1" s="559" t="str">
        <f t="shared" ref="BI1:BJ1" si="0">SUBSTITUTE(ADDRESS(1,COLUMN(),4),"1","")</f>
        <v>BI</v>
      </c>
      <c r="BJ1" s="559" t="str">
        <f t="shared" si="0"/>
        <v>BJ</v>
      </c>
      <c r="BL1" s="559" t="str">
        <f>SUBSTITUTE(ADDRESS(1,COLUMN(),4),"1","")</f>
        <v>BL</v>
      </c>
      <c r="BM1" s="559" t="str">
        <f>SUBSTITUTE(ADDRESS(1,COLUMN(),4),"1","")</f>
        <v>BM</v>
      </c>
      <c r="BN1" s="559" t="str">
        <f t="shared" ref="BN1:BO1" si="1">SUBSTITUTE(ADDRESS(1,COLUMN(),4),"1","")</f>
        <v>BN</v>
      </c>
      <c r="BO1" s="559" t="str">
        <f t="shared" si="1"/>
        <v>BO</v>
      </c>
    </row>
    <row r="2" spans="1:68" ht="18" thickBot="1" x14ac:dyDescent="0.6">
      <c r="D2" s="445">
        <v>1.0009999999999999</v>
      </c>
      <c r="E2" s="445">
        <v>2.0009999999999999</v>
      </c>
      <c r="F2" s="445">
        <v>3.0009999999999999</v>
      </c>
      <c r="G2" s="445">
        <v>4.0010000000000003</v>
      </c>
      <c r="H2" s="445">
        <v>5.0010000000000003</v>
      </c>
      <c r="I2" s="445">
        <v>6.0010000000000003</v>
      </c>
      <c r="J2" s="445">
        <v>7.0010000000000003</v>
      </c>
      <c r="K2" s="445">
        <v>8.0009999999999994</v>
      </c>
      <c r="L2" s="445">
        <v>9.0009999999999994</v>
      </c>
      <c r="M2" s="445">
        <v>10.000999999999999</v>
      </c>
      <c r="N2" s="445">
        <v>11.000999999999999</v>
      </c>
      <c r="O2" s="445">
        <v>12.000999999999999</v>
      </c>
      <c r="S2" s="445">
        <v>1.0009999999999999</v>
      </c>
      <c r="T2" s="445">
        <v>2.0009999999999999</v>
      </c>
      <c r="U2" s="445">
        <v>3.0009999999999999</v>
      </c>
      <c r="V2" s="445">
        <v>4.0010000000000003</v>
      </c>
      <c r="W2" s="445">
        <v>5.0010000000000003</v>
      </c>
      <c r="X2" s="445">
        <v>6.0010000000000003</v>
      </c>
      <c r="Y2" s="445">
        <v>7.0010000000000003</v>
      </c>
      <c r="Z2" s="445">
        <v>8.0009999999999994</v>
      </c>
      <c r="AA2" s="445">
        <v>9.0009999999999994</v>
      </c>
      <c r="AB2" s="445">
        <v>10.000999999999999</v>
      </c>
      <c r="AC2" s="445">
        <v>11.000999999999999</v>
      </c>
      <c r="AD2" s="445">
        <v>12.000999999999999</v>
      </c>
      <c r="AH2" s="5616">
        <v>45658</v>
      </c>
      <c r="AI2" s="5616">
        <v>45689</v>
      </c>
      <c r="AJ2" s="5616">
        <v>45717</v>
      </c>
      <c r="AK2" s="5616">
        <v>45748</v>
      </c>
      <c r="AL2" s="5616">
        <v>45778</v>
      </c>
      <c r="AM2" s="5616">
        <v>45809</v>
      </c>
      <c r="AN2" s="5616">
        <v>45839</v>
      </c>
      <c r="AO2" s="5616">
        <v>45870</v>
      </c>
      <c r="AP2" s="5616">
        <v>45901</v>
      </c>
      <c r="AQ2" s="5616">
        <v>45931</v>
      </c>
      <c r="AR2" s="5616">
        <v>45962</v>
      </c>
      <c r="AS2" s="5616">
        <v>45992</v>
      </c>
      <c r="AW2" s="4477">
        <v>46023</v>
      </c>
      <c r="AX2" s="4477">
        <v>46054</v>
      </c>
      <c r="AY2" s="4477">
        <v>46082</v>
      </c>
      <c r="AZ2" s="4477">
        <v>46113</v>
      </c>
      <c r="BA2" s="4477">
        <v>46143</v>
      </c>
      <c r="BB2" s="4477">
        <v>46174</v>
      </c>
      <c r="BC2" s="4477">
        <v>46204</v>
      </c>
      <c r="BD2" s="4477">
        <v>46235</v>
      </c>
      <c r="BE2" s="4477">
        <v>46266</v>
      </c>
      <c r="BF2" s="4477">
        <v>46296</v>
      </c>
      <c r="BG2" s="4477">
        <v>46327</v>
      </c>
      <c r="BH2" s="4477">
        <v>46357</v>
      </c>
    </row>
    <row r="3" spans="1:68" ht="18" thickBot="1" x14ac:dyDescent="0.6">
      <c r="D3" s="323" t="s">
        <v>621</v>
      </c>
      <c r="E3" s="323" t="s">
        <v>622</v>
      </c>
      <c r="F3" s="323" t="s">
        <v>623</v>
      </c>
      <c r="G3" s="323" t="s">
        <v>624</v>
      </c>
      <c r="H3" s="323" t="s">
        <v>625</v>
      </c>
      <c r="I3" s="323" t="s">
        <v>626</v>
      </c>
      <c r="J3" s="323" t="s">
        <v>627</v>
      </c>
      <c r="K3" s="323" t="s">
        <v>628</v>
      </c>
      <c r="L3" s="323" t="s">
        <v>629</v>
      </c>
      <c r="M3" s="323" t="s">
        <v>630</v>
      </c>
      <c r="N3" s="323" t="s">
        <v>631</v>
      </c>
      <c r="O3" s="323" t="s">
        <v>632</v>
      </c>
      <c r="P3" s="323" t="s">
        <v>393</v>
      </c>
      <c r="Q3" s="323" t="s">
        <v>610</v>
      </c>
      <c r="S3" s="322" t="s">
        <v>2</v>
      </c>
      <c r="T3" s="322" t="s">
        <v>608</v>
      </c>
      <c r="U3" s="322" t="s">
        <v>503</v>
      </c>
      <c r="V3" s="322" t="s">
        <v>341</v>
      </c>
      <c r="W3" s="322" t="s">
        <v>342</v>
      </c>
      <c r="X3" s="322" t="s">
        <v>343</v>
      </c>
      <c r="Y3" s="322" t="s">
        <v>344</v>
      </c>
      <c r="Z3" s="322" t="s">
        <v>345</v>
      </c>
      <c r="AA3" s="322" t="s">
        <v>346</v>
      </c>
      <c r="AB3" s="322" t="s">
        <v>347</v>
      </c>
      <c r="AC3" s="322" t="s">
        <v>348</v>
      </c>
      <c r="AD3" s="322" t="s">
        <v>349</v>
      </c>
      <c r="AE3" s="323" t="s">
        <v>609</v>
      </c>
      <c r="AF3" s="323" t="s">
        <v>610</v>
      </c>
      <c r="AH3" s="4839" t="s">
        <v>940</v>
      </c>
      <c r="AI3" s="4823" t="s">
        <v>942</v>
      </c>
      <c r="AJ3" s="4823" t="s">
        <v>944</v>
      </c>
      <c r="AK3" s="4823" t="s">
        <v>945</v>
      </c>
      <c r="AL3" s="4823" t="s">
        <v>946</v>
      </c>
      <c r="AM3" s="4823" t="s">
        <v>947</v>
      </c>
      <c r="AN3" s="4823" t="s">
        <v>948</v>
      </c>
      <c r="AO3" s="4823" t="s">
        <v>949</v>
      </c>
      <c r="AP3" s="4823" t="s">
        <v>950</v>
      </c>
      <c r="AQ3" s="4823" t="s">
        <v>951</v>
      </c>
      <c r="AR3" s="4823" t="s">
        <v>952</v>
      </c>
      <c r="AS3" s="4823" t="s">
        <v>953</v>
      </c>
      <c r="AT3" s="323" t="s">
        <v>971</v>
      </c>
      <c r="AU3" s="323" t="s">
        <v>610</v>
      </c>
      <c r="AW3" s="4685" t="s">
        <v>1122</v>
      </c>
      <c r="AX3" s="1155" t="s">
        <v>1072</v>
      </c>
      <c r="AY3" s="1155" t="s">
        <v>1073</v>
      </c>
      <c r="AZ3" s="1155" t="s">
        <v>1074</v>
      </c>
      <c r="BA3" s="1155" t="s">
        <v>1075</v>
      </c>
      <c r="BB3" s="1155" t="s">
        <v>1076</v>
      </c>
      <c r="BC3" s="1155" t="s">
        <v>1077</v>
      </c>
      <c r="BD3" s="1155" t="s">
        <v>1078</v>
      </c>
      <c r="BE3" s="1155" t="s">
        <v>1079</v>
      </c>
      <c r="BF3" s="1155" t="s">
        <v>1080</v>
      </c>
      <c r="BG3" s="1155" t="s">
        <v>1081</v>
      </c>
      <c r="BH3" s="1155" t="s">
        <v>1082</v>
      </c>
      <c r="BI3" s="323" t="s">
        <v>1154</v>
      </c>
      <c r="BJ3" s="323" t="s">
        <v>610</v>
      </c>
      <c r="BL3" s="168" t="s">
        <v>444</v>
      </c>
      <c r="BM3" s="168" t="s">
        <v>445</v>
      </c>
      <c r="BN3" s="416" t="s">
        <v>450</v>
      </c>
      <c r="BO3" s="168" t="s">
        <v>130</v>
      </c>
    </row>
    <row r="4" spans="1:68" ht="18" thickTop="1" x14ac:dyDescent="0.55000000000000004">
      <c r="A4" s="7529" t="s">
        <v>275</v>
      </c>
      <c r="B4" s="36" t="s">
        <v>274</v>
      </c>
      <c r="C4" s="30"/>
      <c r="D4" s="332">
        <v>98.68915370632196</v>
      </c>
      <c r="E4" s="332">
        <v>97.776355596928084</v>
      </c>
      <c r="F4" s="332">
        <v>98.709973954343496</v>
      </c>
      <c r="G4" s="332">
        <v>98.676118578530662</v>
      </c>
      <c r="H4" s="332">
        <v>98.227590591226956</v>
      </c>
      <c r="I4" s="332">
        <v>98.428591489959274</v>
      </c>
      <c r="J4" s="332">
        <v>98.389112003569835</v>
      </c>
      <c r="K4" s="332">
        <v>97.647587990554371</v>
      </c>
      <c r="L4" s="332">
        <v>98.363116511794132</v>
      </c>
      <c r="M4" s="332">
        <v>98.641300286461572</v>
      </c>
      <c r="N4" s="332">
        <v>99.157969885773625</v>
      </c>
      <c r="O4" s="332">
        <v>98.08645399907536</v>
      </c>
      <c r="P4" s="332">
        <f>Q4</f>
        <v>98.399443716211621</v>
      </c>
      <c r="Q4" s="332">
        <f>AVERAGE(D4:O4)</f>
        <v>98.399443716211621</v>
      </c>
      <c r="S4" s="30">
        <v>97.9</v>
      </c>
      <c r="T4" s="30">
        <v>98.5</v>
      </c>
      <c r="U4" s="30">
        <v>96.3</v>
      </c>
      <c r="V4" s="30">
        <v>93.7</v>
      </c>
      <c r="W4" s="30">
        <v>95.5</v>
      </c>
      <c r="X4" s="30">
        <v>98.2</v>
      </c>
      <c r="Y4" s="397">
        <v>98.3</v>
      </c>
      <c r="Z4" s="30">
        <v>98.4</v>
      </c>
      <c r="AA4" s="30">
        <v>98.2</v>
      </c>
      <c r="AB4" s="30">
        <v>98.1</v>
      </c>
      <c r="AC4" s="30">
        <v>98.4</v>
      </c>
      <c r="AD4" s="30">
        <v>98.5</v>
      </c>
      <c r="AE4" s="369">
        <f>AF4</f>
        <v>97.5</v>
      </c>
      <c r="AF4" s="369">
        <f>AVERAGE(S4:AD4)</f>
        <v>97.5</v>
      </c>
      <c r="AH4" s="30">
        <v>98.3</v>
      </c>
      <c r="AI4" s="30">
        <v>98.3</v>
      </c>
      <c r="AJ4" s="30">
        <v>98.4</v>
      </c>
      <c r="AK4" s="30">
        <v>98.6</v>
      </c>
      <c r="AL4" s="30">
        <v>98.2</v>
      </c>
      <c r="AM4" s="30">
        <v>98.4</v>
      </c>
      <c r="AN4" s="397">
        <v>98.3</v>
      </c>
      <c r="AO4" s="30">
        <v>98.4</v>
      </c>
      <c r="AP4" s="30">
        <v>98.3</v>
      </c>
      <c r="AQ4" s="30">
        <v>98.1</v>
      </c>
      <c r="AR4" s="30">
        <v>98.6</v>
      </c>
      <c r="AS4" s="30">
        <v>98.7</v>
      </c>
      <c r="AT4" s="369">
        <f>AU4</f>
        <v>98.383333333333326</v>
      </c>
      <c r="AU4" s="369">
        <f>AVERAGE(AH4:AS4)</f>
        <v>98.383333333333326</v>
      </c>
      <c r="AW4" s="6">
        <v>98.5</v>
      </c>
      <c r="AX4" s="7">
        <v>98.6</v>
      </c>
      <c r="AY4" s="30"/>
      <c r="AZ4" s="30"/>
      <c r="BA4" s="30"/>
      <c r="BB4" s="30"/>
      <c r="BC4" s="397"/>
      <c r="BD4" s="30"/>
      <c r="BE4" s="30"/>
      <c r="BF4" s="30"/>
      <c r="BG4" s="30"/>
      <c r="BH4" s="30"/>
      <c r="BI4" s="369">
        <f>BJ4</f>
        <v>98.55</v>
      </c>
      <c r="BJ4" s="369">
        <f>AVERAGE(AW4:BH4)</f>
        <v>98.55</v>
      </c>
      <c r="BL4" s="3286">
        <f>IFERROR(_xlfn.XLOOKUP($A$1,$2:$2,4:4)-_xlfn.XLOOKUP(EDATE($A$1,-12),$2:$2,4:4),"")</f>
        <v>0.29999999999999716</v>
      </c>
      <c r="BM4" s="3286">
        <f>BJ4-AU4</f>
        <v>0.1666666666666714</v>
      </c>
      <c r="BN4" s="4773">
        <f>IFERROR(
  SUM(
    _xlfn.XLOOKUP(DATE(YEAR($A$1),1,1),$2:$2,4:4):
    _xlfn.XLOOKUP($A$1,$2:$2,4:4)
  )
 -SUM(
    _xlfn.XLOOKUP(DATE(YEAR($A$1)-1,1,1),$2:$2,4:4):
    _xlfn.XLOOKUP(EDATE($A$1,-12),$2:$2,4:4)
  ),"")</f>
        <v>0.5</v>
      </c>
      <c r="BO4" s="2860">
        <f>IFERROR(
  _xlfn.XLOOKUP($A$1,$2:$2,4:4)
 -_xlfn.XLOOKUP(EDATE($A$1,-1),$2:$2,4:4),"")</f>
        <v>9.9999999999994316E-2</v>
      </c>
      <c r="BP4" s="278"/>
    </row>
    <row r="5" spans="1:68" x14ac:dyDescent="0.55000000000000004">
      <c r="A5" s="7530"/>
      <c r="B5" s="37" t="s">
        <v>577</v>
      </c>
      <c r="C5" s="7"/>
      <c r="D5" s="333">
        <v>95.459761321909426</v>
      </c>
      <c r="E5" s="333">
        <v>94.60164194421121</v>
      </c>
      <c r="F5" s="333">
        <v>95.525611501836067</v>
      </c>
      <c r="G5" s="333">
        <v>95.177967348139433</v>
      </c>
      <c r="H5" s="333">
        <v>94.847599830076462</v>
      </c>
      <c r="I5" s="333">
        <v>94.777662277662273</v>
      </c>
      <c r="J5" s="333">
        <v>94.870935716058568</v>
      </c>
      <c r="K5" s="333">
        <v>94.193355581013094</v>
      </c>
      <c r="L5" s="333">
        <v>94.905660377358487</v>
      </c>
      <c r="M5" s="333">
        <v>96.904410593917518</v>
      </c>
      <c r="N5" s="333">
        <v>97.942293126301834</v>
      </c>
      <c r="O5" s="333">
        <v>94.937257751937977</v>
      </c>
      <c r="P5" s="343">
        <f t="shared" ref="P5:P16" si="2">Q5</f>
        <v>95.345346447535178</v>
      </c>
      <c r="Q5" s="343">
        <f t="shared" ref="Q5:Q23" si="3">AVERAGE(D5:O5)</f>
        <v>95.345346447535178</v>
      </c>
      <c r="S5" s="7">
        <v>96.1</v>
      </c>
      <c r="T5" s="7">
        <v>96.9</v>
      </c>
      <c r="U5" s="7">
        <v>94.7</v>
      </c>
      <c r="V5" s="7">
        <v>93.4</v>
      </c>
      <c r="W5" s="7">
        <v>94.9</v>
      </c>
      <c r="X5" s="7">
        <v>97.7</v>
      </c>
      <c r="Y5" s="398">
        <v>97.9</v>
      </c>
      <c r="Z5" s="263">
        <v>97.9</v>
      </c>
      <c r="AA5" s="263">
        <v>97.9</v>
      </c>
      <c r="AB5" s="263">
        <v>97.7</v>
      </c>
      <c r="AC5" s="7">
        <v>97.9</v>
      </c>
      <c r="AD5" s="7">
        <v>97.8</v>
      </c>
      <c r="AE5" s="370">
        <f t="shared" ref="AE5:AE16" si="4">AF5</f>
        <v>96.733333333333334</v>
      </c>
      <c r="AF5" s="370">
        <f t="shared" ref="AF5:AF16" si="5">AVERAGE(S5:AD5)</f>
        <v>96.733333333333334</v>
      </c>
      <c r="AH5" s="7">
        <v>97.5</v>
      </c>
      <c r="AI5" s="7">
        <v>97.7</v>
      </c>
      <c r="AJ5" s="263">
        <v>97.7</v>
      </c>
      <c r="AK5" s="7">
        <v>97.8</v>
      </c>
      <c r="AL5" s="263">
        <v>97.4</v>
      </c>
      <c r="AM5" s="263">
        <v>97.6</v>
      </c>
      <c r="AN5" s="398">
        <v>97.703432317778635</v>
      </c>
      <c r="AO5" s="263">
        <v>97.4</v>
      </c>
      <c r="AP5" s="263">
        <v>97.7</v>
      </c>
      <c r="AQ5" s="263">
        <v>97.3</v>
      </c>
      <c r="AR5" s="7">
        <v>97.7</v>
      </c>
      <c r="AS5" s="7">
        <v>97.7</v>
      </c>
      <c r="AT5" s="370">
        <f t="shared" ref="AT5:AT16" si="6">AU5</f>
        <v>97.600286026481555</v>
      </c>
      <c r="AU5" s="370">
        <f t="shared" ref="AU5:AU16" si="7">AVERAGE(AH5:AS5)</f>
        <v>97.600286026481555</v>
      </c>
      <c r="AW5" s="7">
        <v>97.6</v>
      </c>
      <c r="AX5" s="7">
        <v>97.5</v>
      </c>
      <c r="AY5" s="263"/>
      <c r="AZ5" s="7"/>
      <c r="BA5" s="263"/>
      <c r="BB5" s="263"/>
      <c r="BC5" s="398"/>
      <c r="BD5" s="263"/>
      <c r="BE5" s="263"/>
      <c r="BF5" s="263"/>
      <c r="BG5" s="7"/>
      <c r="BH5" s="7"/>
      <c r="BI5" s="370">
        <f t="shared" ref="BI5:BI16" si="8">BJ5</f>
        <v>97.55</v>
      </c>
      <c r="BJ5" s="370">
        <f t="shared" ref="BJ5:BJ16" si="9">AVERAGE(AW5:BH5)</f>
        <v>97.55</v>
      </c>
      <c r="BL5" s="3286">
        <f t="shared" ref="BL5:BL68" si="10">IFERROR(_xlfn.XLOOKUP($A$1,$2:$2,5:5)-_xlfn.XLOOKUP(EDATE($A$1,-12),$2:$2,5:5),"")</f>
        <v>-0.20000000000000284</v>
      </c>
      <c r="BM5" s="3286">
        <f t="shared" ref="BM5:BM68" si="11">BJ5-AU5</f>
        <v>-5.028602648155811E-2</v>
      </c>
      <c r="BN5" s="4773">
        <f>IFERROR(
  SUM(
    _xlfn.XLOOKUP(DATE(YEAR($A$1),1,1),$2:$2,5:5):
    _xlfn.XLOOKUP($A$1,$2:$2,5:5)
  )
 -SUM(
    _xlfn.XLOOKUP(DATE(YEAR($A$1)-1,1,1),$2:$2,5:5):
    _xlfn.XLOOKUP(EDATE($A$1,-12),$2:$2,5:5)
  ),"")</f>
        <v>-9.9999999999994316E-2</v>
      </c>
      <c r="BO5" s="2860">
        <f t="shared" ref="BO5:BO68" si="12">IFERROR(
  _xlfn.XLOOKUP($A$1,$2:$2,5:5)
 -_xlfn.XLOOKUP(EDATE($A$1,-1),$2:$2,5:5),"")</f>
        <v>-9.9999999999994316E-2</v>
      </c>
    </row>
    <row r="6" spans="1:68" x14ac:dyDescent="0.55000000000000004">
      <c r="A6" s="7530"/>
      <c r="B6" s="37" t="s">
        <v>576</v>
      </c>
      <c r="C6" s="7"/>
      <c r="D6" s="333">
        <v>93.490949390469154</v>
      </c>
      <c r="E6" s="333">
        <v>92.477421364061044</v>
      </c>
      <c r="F6" s="333">
        <v>93.346960167714883</v>
      </c>
      <c r="G6" s="333">
        <v>92.851720337945395</v>
      </c>
      <c r="H6" s="333">
        <v>92.423634539983581</v>
      </c>
      <c r="I6" s="333">
        <v>92.227562530652278</v>
      </c>
      <c r="J6" s="333">
        <v>92.352815926753962</v>
      </c>
      <c r="K6" s="333">
        <v>91.446709585121596</v>
      </c>
      <c r="L6" s="333">
        <v>92.618147448015122</v>
      </c>
      <c r="M6" s="333">
        <v>95.614594894561591</v>
      </c>
      <c r="N6" s="333">
        <v>97.24441132637854</v>
      </c>
      <c r="O6" s="333">
        <v>93.246151936444889</v>
      </c>
      <c r="P6" s="343">
        <f t="shared" si="2"/>
        <v>93.278423287341823</v>
      </c>
      <c r="Q6" s="343">
        <f t="shared" si="3"/>
        <v>93.278423287341823</v>
      </c>
      <c r="S6" s="7">
        <v>95.1</v>
      </c>
      <c r="T6" s="7">
        <v>96.3</v>
      </c>
      <c r="U6" s="7">
        <v>94.2</v>
      </c>
      <c r="V6" s="7">
        <v>93.3</v>
      </c>
      <c r="W6" s="7">
        <v>94.8</v>
      </c>
      <c r="X6" s="7">
        <v>97.6</v>
      </c>
      <c r="Y6" s="398">
        <v>97.8</v>
      </c>
      <c r="Z6" s="263">
        <v>97.8</v>
      </c>
      <c r="AA6" s="263">
        <v>97.8</v>
      </c>
      <c r="AB6" s="263">
        <v>97.6</v>
      </c>
      <c r="AC6" s="7">
        <v>97.8</v>
      </c>
      <c r="AD6" s="7">
        <v>97.7</v>
      </c>
      <c r="AE6" s="370">
        <f t="shared" si="4"/>
        <v>96.483333333333334</v>
      </c>
      <c r="AF6" s="370">
        <f t="shared" si="5"/>
        <v>96.483333333333334</v>
      </c>
      <c r="AH6" s="7">
        <v>97.3</v>
      </c>
      <c r="AI6" s="7">
        <v>97.4</v>
      </c>
      <c r="AJ6" s="263">
        <v>97.5</v>
      </c>
      <c r="AK6" s="7">
        <v>97.5</v>
      </c>
      <c r="AL6" s="263">
        <v>97.1</v>
      </c>
      <c r="AM6" s="263">
        <v>97.3</v>
      </c>
      <c r="AN6" s="398">
        <v>97.277335264301229</v>
      </c>
      <c r="AO6" s="263">
        <v>97.1</v>
      </c>
      <c r="AP6" s="263">
        <v>97.4</v>
      </c>
      <c r="AQ6" s="263">
        <v>97</v>
      </c>
      <c r="AR6" s="7">
        <v>97.3</v>
      </c>
      <c r="AS6" s="7">
        <v>97.4</v>
      </c>
      <c r="AT6" s="370">
        <f t="shared" si="6"/>
        <v>97.298111272025096</v>
      </c>
      <c r="AU6" s="370">
        <f t="shared" si="7"/>
        <v>97.298111272025096</v>
      </c>
      <c r="AW6" s="7">
        <v>97.2</v>
      </c>
      <c r="AX6" s="7">
        <v>97.2</v>
      </c>
      <c r="AY6" s="263"/>
      <c r="AZ6" s="7"/>
      <c r="BA6" s="263"/>
      <c r="BB6" s="263"/>
      <c r="BC6" s="398"/>
      <c r="BD6" s="263"/>
      <c r="BE6" s="263"/>
      <c r="BF6" s="263"/>
      <c r="BG6" s="7"/>
      <c r="BH6" s="7"/>
      <c r="BI6" s="370">
        <f t="shared" si="8"/>
        <v>97.2</v>
      </c>
      <c r="BJ6" s="370">
        <f t="shared" si="9"/>
        <v>97.2</v>
      </c>
      <c r="BL6" s="3286">
        <f t="shared" si="10"/>
        <v>-0.20000000000000284</v>
      </c>
      <c r="BM6" s="3286">
        <f t="shared" si="11"/>
        <v>-9.8111272025093399E-2</v>
      </c>
      <c r="BN6" s="4773">
        <f>IFERROR(
  SUM(
    _xlfn.XLOOKUP(DATE(YEAR($A$1),1,1),$2:$2,6:6):
    _xlfn.XLOOKUP($A$1,$2:$2,6:6)
  )
 -SUM(
    _xlfn.XLOOKUP(DATE(YEAR($A$1)-1,1,1),$2:$2,6:6):
    _xlfn.XLOOKUP(EDATE($A$1,-12),$2:$2,6:6)
  ),"")</f>
        <v>-0.29999999999998295</v>
      </c>
      <c r="BO6" s="2860">
        <f t="shared" si="12"/>
        <v>0</v>
      </c>
    </row>
    <row r="7" spans="1:68" x14ac:dyDescent="0.55000000000000004">
      <c r="A7" s="7530"/>
      <c r="B7" s="16" t="s">
        <v>277</v>
      </c>
      <c r="C7" s="1"/>
      <c r="D7" s="334">
        <v>97.932011331444755</v>
      </c>
      <c r="E7" s="334">
        <v>97.078651685393254</v>
      </c>
      <c r="F7" s="334">
        <v>98.288888888888891</v>
      </c>
      <c r="G7" s="334">
        <v>98.935361216730044</v>
      </c>
      <c r="H7" s="334">
        <v>98.019943019943014</v>
      </c>
      <c r="I7" s="334">
        <v>98.336025848142171</v>
      </c>
      <c r="J7" s="334">
        <v>97.755834829443444</v>
      </c>
      <c r="K7" s="334">
        <v>96.869983948635635</v>
      </c>
      <c r="L7" s="334">
        <v>97.752808988764045</v>
      </c>
      <c r="M7" s="334">
        <v>97.906930693069313</v>
      </c>
      <c r="N7" s="334">
        <v>98.762633996937211</v>
      </c>
      <c r="O7" s="334">
        <v>97.099616858237553</v>
      </c>
      <c r="P7" s="344">
        <f t="shared" si="2"/>
        <v>97.894890942135774</v>
      </c>
      <c r="Q7" s="344">
        <f t="shared" si="3"/>
        <v>97.894890942135774</v>
      </c>
      <c r="S7" s="1">
        <v>97.9</v>
      </c>
      <c r="T7" s="1">
        <v>98.1</v>
      </c>
      <c r="U7" s="1">
        <v>90</v>
      </c>
      <c r="V7" s="1">
        <v>93.5</v>
      </c>
      <c r="W7" s="1">
        <v>95.1</v>
      </c>
      <c r="X7" s="1">
        <v>98.2</v>
      </c>
      <c r="Y7" s="399">
        <v>97.7</v>
      </c>
      <c r="Z7">
        <v>98.2</v>
      </c>
      <c r="AA7">
        <v>97.9</v>
      </c>
      <c r="AB7" s="301">
        <v>97.5</v>
      </c>
      <c r="AC7" s="1">
        <v>98.4</v>
      </c>
      <c r="AD7" s="1">
        <v>97.7</v>
      </c>
      <c r="AE7" s="371">
        <f t="shared" si="4"/>
        <v>96.683333333333351</v>
      </c>
      <c r="AF7" s="371">
        <f t="shared" si="5"/>
        <v>96.683333333333351</v>
      </c>
      <c r="AH7" s="1">
        <v>98.3</v>
      </c>
      <c r="AI7" s="1">
        <v>98</v>
      </c>
      <c r="AJ7">
        <v>98.7</v>
      </c>
      <c r="AK7" s="1">
        <v>98.7</v>
      </c>
      <c r="AL7">
        <v>97.6</v>
      </c>
      <c r="AM7">
        <v>97.8</v>
      </c>
      <c r="AN7" s="399">
        <v>97.6</v>
      </c>
      <c r="AO7">
        <v>97.9</v>
      </c>
      <c r="AP7">
        <v>99.1</v>
      </c>
      <c r="AQ7" s="301">
        <v>98.3</v>
      </c>
      <c r="AR7" s="1">
        <v>98.9</v>
      </c>
      <c r="AS7" s="1">
        <v>98.9</v>
      </c>
      <c r="AT7" s="371">
        <f t="shared" si="6"/>
        <v>98.316666666666663</v>
      </c>
      <c r="AU7" s="371">
        <f t="shared" si="7"/>
        <v>98.316666666666663</v>
      </c>
      <c r="AW7" s="1">
        <v>98.1</v>
      </c>
      <c r="AX7" s="1">
        <v>99</v>
      </c>
      <c r="AZ7" s="1"/>
      <c r="BC7" s="399"/>
      <c r="BF7" s="301"/>
      <c r="BG7" s="1"/>
      <c r="BH7" s="1"/>
      <c r="BI7" s="371">
        <f t="shared" si="8"/>
        <v>98.55</v>
      </c>
      <c r="BJ7" s="371">
        <f t="shared" si="9"/>
        <v>98.55</v>
      </c>
      <c r="BL7" s="3286">
        <f t="shared" si="10"/>
        <v>1</v>
      </c>
      <c r="BM7" s="3286">
        <f t="shared" si="11"/>
        <v>0.23333333333333428</v>
      </c>
      <c r="BN7" s="4773">
        <f>IFERROR(
  SUM(
    _xlfn.XLOOKUP(DATE(YEAR($A$1),1,1),$2:$2,7:7):
    _xlfn.XLOOKUP($A$1,$2:$2,7:7)
  )
 -SUM(
    _xlfn.XLOOKUP(DATE(YEAR($A$1)-1,1,1),$2:$2,7:7):
    _xlfn.XLOOKUP(EDATE($A$1,-12),$2:$2,7:7)
  ),"")</f>
        <v>0.79999999999998295</v>
      </c>
      <c r="BO7" s="2860">
        <f t="shared" si="12"/>
        <v>0.90000000000000568</v>
      </c>
    </row>
    <row r="8" spans="1:68" x14ac:dyDescent="0.55000000000000004">
      <c r="A8" s="7530"/>
      <c r="B8" s="16" t="s">
        <v>278</v>
      </c>
      <c r="C8" s="1"/>
      <c r="D8" s="334">
        <v>98.914549653579684</v>
      </c>
      <c r="E8" s="334">
        <v>96.642958748221901</v>
      </c>
      <c r="F8" s="334">
        <v>97.76</v>
      </c>
      <c r="G8" s="334">
        <v>98.050458715596335</v>
      </c>
      <c r="H8" s="334">
        <v>97.541729893778452</v>
      </c>
      <c r="I8" s="334">
        <v>98.427876823338735</v>
      </c>
      <c r="J8" s="334">
        <v>97.583333333333329</v>
      </c>
      <c r="K8" s="334">
        <v>97.206851119894594</v>
      </c>
      <c r="L8" s="334">
        <v>97.896440129449843</v>
      </c>
      <c r="M8" s="334">
        <v>98.072968490878935</v>
      </c>
      <c r="N8" s="334">
        <v>98.131672597864764</v>
      </c>
      <c r="O8" s="334">
        <v>97.20754716981132</v>
      </c>
      <c r="P8" s="344">
        <f t="shared" si="2"/>
        <v>97.786365556312319</v>
      </c>
      <c r="Q8" s="344">
        <f t="shared" si="3"/>
        <v>97.786365556312319</v>
      </c>
      <c r="S8" s="1">
        <v>97.6</v>
      </c>
      <c r="T8" s="1">
        <v>97.8</v>
      </c>
      <c r="U8" s="1">
        <v>91.8</v>
      </c>
      <c r="V8" s="1">
        <v>93.3</v>
      </c>
      <c r="W8" s="1">
        <v>96.6</v>
      </c>
      <c r="X8" s="1">
        <v>98.5</v>
      </c>
      <c r="Y8" s="399">
        <v>98.5</v>
      </c>
      <c r="Z8">
        <v>98.4</v>
      </c>
      <c r="AA8">
        <v>97.9</v>
      </c>
      <c r="AB8" s="301">
        <v>98.5</v>
      </c>
      <c r="AC8" s="1">
        <v>98.8</v>
      </c>
      <c r="AD8" s="1">
        <v>98</v>
      </c>
      <c r="AE8" s="371">
        <f t="shared" si="4"/>
        <v>97.141666666666666</v>
      </c>
      <c r="AF8" s="371">
        <f t="shared" si="5"/>
        <v>97.141666666666666</v>
      </c>
      <c r="AH8" s="1">
        <v>98</v>
      </c>
      <c r="AI8" s="1">
        <v>98.1</v>
      </c>
      <c r="AJ8">
        <v>98.3</v>
      </c>
      <c r="AK8" s="1">
        <v>98.7</v>
      </c>
      <c r="AL8">
        <v>98.2</v>
      </c>
      <c r="AM8">
        <v>98.3</v>
      </c>
      <c r="AN8" s="399">
        <v>98.4</v>
      </c>
      <c r="AO8">
        <v>98</v>
      </c>
      <c r="AP8">
        <v>98.3</v>
      </c>
      <c r="AQ8" s="301">
        <v>97.8</v>
      </c>
      <c r="AR8" s="1">
        <v>98.4</v>
      </c>
      <c r="AS8" s="1">
        <v>98.3</v>
      </c>
      <c r="AT8" s="371">
        <f t="shared" si="6"/>
        <v>98.233333333333306</v>
      </c>
      <c r="AU8" s="371">
        <f t="shared" si="7"/>
        <v>98.233333333333306</v>
      </c>
      <c r="AW8" s="1">
        <v>98.6</v>
      </c>
      <c r="AX8" s="1">
        <v>98.6</v>
      </c>
      <c r="AZ8" s="1"/>
      <c r="BC8" s="399"/>
      <c r="BF8" s="301"/>
      <c r="BG8" s="1"/>
      <c r="BH8" s="1"/>
      <c r="BI8" s="371">
        <f t="shared" si="8"/>
        <v>98.6</v>
      </c>
      <c r="BJ8" s="371">
        <f t="shared" si="9"/>
        <v>98.6</v>
      </c>
      <c r="BL8" s="3286">
        <f t="shared" si="10"/>
        <v>0.5</v>
      </c>
      <c r="BM8" s="3286">
        <f t="shared" si="11"/>
        <v>0.36666666666668846</v>
      </c>
      <c r="BN8" s="4773">
        <f>IFERROR(
  SUM(
    _xlfn.XLOOKUP(DATE(YEAR($A$1),1,1),$2:$2,8:8):
    _xlfn.XLOOKUP($A$1,$2:$2,8:8)
  )
 -SUM(
    _xlfn.XLOOKUP(DATE(YEAR($A$1)-1,1,1),$2:$2,8:8):
    _xlfn.XLOOKUP(EDATE($A$1,-12),$2:$2,8:8)
  ),"")</f>
        <v>1.0999999999999943</v>
      </c>
      <c r="BO8" s="2860">
        <f t="shared" si="12"/>
        <v>0</v>
      </c>
    </row>
    <row r="9" spans="1:68" x14ac:dyDescent="0.55000000000000004">
      <c r="A9" s="7530"/>
      <c r="B9" s="16" t="s">
        <v>279</v>
      </c>
      <c r="C9" s="1"/>
      <c r="D9" s="334">
        <v>98.876080691642656</v>
      </c>
      <c r="E9" s="334">
        <v>99.034369885433719</v>
      </c>
      <c r="F9" s="334">
        <v>98.919491525423723</v>
      </c>
      <c r="G9" s="334">
        <v>98.297872340425528</v>
      </c>
      <c r="H9" s="334">
        <v>98.158319870759286</v>
      </c>
      <c r="I9" s="334">
        <v>98.760162601626021</v>
      </c>
      <c r="J9" s="334">
        <v>98.615384615384613</v>
      </c>
      <c r="K9" s="334">
        <v>98.415545590433481</v>
      </c>
      <c r="L9" s="334">
        <v>98.903654485049827</v>
      </c>
      <c r="M9" s="334">
        <v>96.861460957178835</v>
      </c>
      <c r="N9" s="334">
        <v>99.396092362344589</v>
      </c>
      <c r="O9" s="334">
        <v>98.139344262295083</v>
      </c>
      <c r="P9" s="344">
        <f t="shared" si="2"/>
        <v>98.53148159899979</v>
      </c>
      <c r="Q9" s="344">
        <f t="shared" si="3"/>
        <v>98.53148159899979</v>
      </c>
      <c r="S9" s="1">
        <v>97.8</v>
      </c>
      <c r="T9" s="1">
        <v>98.8</v>
      </c>
      <c r="U9" s="1">
        <v>97.2</v>
      </c>
      <c r="V9" s="1">
        <v>91.7</v>
      </c>
      <c r="W9" s="1">
        <v>93.9</v>
      </c>
      <c r="X9" s="1">
        <v>97</v>
      </c>
      <c r="Y9" s="399">
        <v>98.3</v>
      </c>
      <c r="Z9">
        <v>98.9</v>
      </c>
      <c r="AA9">
        <v>97.6</v>
      </c>
      <c r="AB9" s="301">
        <v>97.5</v>
      </c>
      <c r="AC9" s="1">
        <v>98.6</v>
      </c>
      <c r="AD9" s="1">
        <v>98.9</v>
      </c>
      <c r="AE9" s="371">
        <f t="shared" si="4"/>
        <v>97.183333333333337</v>
      </c>
      <c r="AF9" s="371">
        <f t="shared" si="5"/>
        <v>97.183333333333337</v>
      </c>
      <c r="AH9" s="1">
        <v>98.6</v>
      </c>
      <c r="AI9" s="1">
        <v>97.1</v>
      </c>
      <c r="AJ9">
        <v>98.2</v>
      </c>
      <c r="AK9" s="1">
        <v>97.7</v>
      </c>
      <c r="AL9">
        <v>98</v>
      </c>
      <c r="AM9">
        <v>97.8</v>
      </c>
      <c r="AN9" s="399">
        <v>98.2</v>
      </c>
      <c r="AO9">
        <v>98.6</v>
      </c>
      <c r="AP9">
        <v>96.4</v>
      </c>
      <c r="AQ9" s="301">
        <v>97.6</v>
      </c>
      <c r="AR9" s="1">
        <v>98.5</v>
      </c>
      <c r="AS9" s="1">
        <v>98.8</v>
      </c>
      <c r="AT9" s="371">
        <f t="shared" si="6"/>
        <v>97.958333333333329</v>
      </c>
      <c r="AU9" s="371">
        <f t="shared" si="7"/>
        <v>97.958333333333329</v>
      </c>
      <c r="AW9" s="1">
        <v>98.4</v>
      </c>
      <c r="AX9" s="1">
        <v>98.9</v>
      </c>
      <c r="AZ9" s="1"/>
      <c r="BC9" s="399"/>
      <c r="BF9" s="301"/>
      <c r="BG9" s="1"/>
      <c r="BH9" s="1"/>
      <c r="BI9" s="371">
        <f t="shared" si="8"/>
        <v>98.65</v>
      </c>
      <c r="BJ9" s="371">
        <f t="shared" si="9"/>
        <v>98.65</v>
      </c>
      <c r="BL9" s="3286">
        <f t="shared" si="10"/>
        <v>1.8000000000000114</v>
      </c>
      <c r="BM9" s="3286">
        <f t="shared" si="11"/>
        <v>0.69166666666667709</v>
      </c>
      <c r="BN9" s="4773">
        <f>IFERROR(
  SUM(
    _xlfn.XLOOKUP(DATE(YEAR($A$1),1,1),$2:$2,9:9):
    _xlfn.XLOOKUP($A$1,$2:$2,9:9)
  )
 -SUM(
    _xlfn.XLOOKUP(DATE(YEAR($A$1)-1,1,1),$2:$2,9:9):
    _xlfn.XLOOKUP(EDATE($A$1,-12),$2:$2,9:9)
  ),"")</f>
        <v>1.6000000000000227</v>
      </c>
      <c r="BO9" s="2860">
        <f t="shared" si="12"/>
        <v>0.5</v>
      </c>
    </row>
    <row r="10" spans="1:68" x14ac:dyDescent="0.55000000000000004">
      <c r="A10" s="7530"/>
      <c r="B10" s="16" t="s">
        <v>280</v>
      </c>
      <c r="C10" s="3"/>
      <c r="D10" s="335">
        <v>98.793103448275858</v>
      </c>
      <c r="E10" s="335">
        <v>98.857493857493864</v>
      </c>
      <c r="F10" s="335">
        <v>99.157212317666122</v>
      </c>
      <c r="G10" s="335">
        <v>98.637873754152821</v>
      </c>
      <c r="H10" s="335">
        <v>98.585485854858547</v>
      </c>
      <c r="I10" s="335">
        <v>98.995633187772924</v>
      </c>
      <c r="J10" s="335">
        <v>99.194187582562748</v>
      </c>
      <c r="K10" s="335">
        <v>98.638373121131735</v>
      </c>
      <c r="L10" s="335">
        <v>99.009009009009006</v>
      </c>
      <c r="M10" s="335">
        <v>99.034207525655646</v>
      </c>
      <c r="N10" s="335">
        <v>99.318885448916404</v>
      </c>
      <c r="O10" s="335">
        <v>98.457516339869287</v>
      </c>
      <c r="P10" s="345">
        <f t="shared" si="2"/>
        <v>98.88991512061375</v>
      </c>
      <c r="Q10" s="345">
        <f t="shared" si="3"/>
        <v>98.88991512061375</v>
      </c>
      <c r="S10" s="3">
        <v>97.6</v>
      </c>
      <c r="T10" s="3">
        <v>98.5</v>
      </c>
      <c r="U10" s="3">
        <v>97.4</v>
      </c>
      <c r="V10" s="3">
        <v>92.1</v>
      </c>
      <c r="W10" s="3">
        <v>93.7</v>
      </c>
      <c r="X10" s="3">
        <v>97.2</v>
      </c>
      <c r="Y10" s="400">
        <v>99</v>
      </c>
      <c r="Z10">
        <v>98.6</v>
      </c>
      <c r="AA10">
        <v>98.5</v>
      </c>
      <c r="AB10" s="301">
        <v>98.3</v>
      </c>
      <c r="AC10" s="3">
        <v>98.3</v>
      </c>
      <c r="AD10" s="3">
        <v>98.8</v>
      </c>
      <c r="AE10" s="372">
        <f t="shared" si="4"/>
        <v>97.333333333333329</v>
      </c>
      <c r="AF10" s="372">
        <f t="shared" si="5"/>
        <v>97.333333333333329</v>
      </c>
      <c r="AH10" s="3">
        <v>98.4</v>
      </c>
      <c r="AI10" s="3">
        <v>98.1</v>
      </c>
      <c r="AJ10">
        <v>98.7</v>
      </c>
      <c r="AK10" s="3">
        <v>98.4</v>
      </c>
      <c r="AL10">
        <v>98.7</v>
      </c>
      <c r="AM10">
        <v>97.9</v>
      </c>
      <c r="AN10" s="400">
        <v>98.9</v>
      </c>
      <c r="AO10">
        <v>98.4</v>
      </c>
      <c r="AP10">
        <v>98.1</v>
      </c>
      <c r="AQ10" s="301">
        <v>98.4</v>
      </c>
      <c r="AR10" s="3">
        <v>97.8</v>
      </c>
      <c r="AS10" s="3">
        <v>98.3</v>
      </c>
      <c r="AT10" s="372">
        <f t="shared" si="6"/>
        <v>98.341666666666654</v>
      </c>
      <c r="AU10" s="372">
        <f t="shared" si="7"/>
        <v>98.341666666666654</v>
      </c>
      <c r="AW10" s="3">
        <v>98.9</v>
      </c>
      <c r="AX10" s="3">
        <v>98.6</v>
      </c>
      <c r="AZ10" s="3"/>
      <c r="BC10" s="400"/>
      <c r="BF10" s="301"/>
      <c r="BG10" s="3"/>
      <c r="BH10" s="3"/>
      <c r="BI10" s="372">
        <f t="shared" si="8"/>
        <v>98.75</v>
      </c>
      <c r="BJ10" s="372">
        <f t="shared" si="9"/>
        <v>98.75</v>
      </c>
      <c r="BL10" s="3286">
        <f t="shared" si="10"/>
        <v>0.5</v>
      </c>
      <c r="BM10" s="3286">
        <f t="shared" si="11"/>
        <v>0.40833333333334565</v>
      </c>
      <c r="BN10" s="4773">
        <f>IFERROR(
  SUM(
    _xlfn.XLOOKUP(DATE(YEAR($A$1),1,1),$2:$2,10:10):
    _xlfn.XLOOKUP($A$1,$2:$2,10:10)
  )
 -SUM(
    _xlfn.XLOOKUP(DATE(YEAR($A$1)-1,1,1),$2:$2,10:10):
    _xlfn.XLOOKUP(EDATE($A$1,-12),$2:$2,10:10)
  ),"")</f>
        <v>1</v>
      </c>
      <c r="BO10" s="2860">
        <f t="shared" si="12"/>
        <v>-0.30000000000001137</v>
      </c>
    </row>
    <row r="11" spans="1:68" x14ac:dyDescent="0.55000000000000004">
      <c r="A11" s="7530"/>
      <c r="B11" s="16" t="s">
        <v>281</v>
      </c>
      <c r="C11" s="3"/>
      <c r="D11" s="335">
        <v>99.468599033816432</v>
      </c>
      <c r="E11" s="335">
        <v>99.258181818181825</v>
      </c>
      <c r="F11" s="335">
        <v>99.50629235237173</v>
      </c>
      <c r="G11" s="335">
        <v>99.537037037037038</v>
      </c>
      <c r="H11" s="335">
        <v>99.576271186440678</v>
      </c>
      <c r="I11" s="335">
        <v>99.444891391794044</v>
      </c>
      <c r="J11" s="335">
        <v>99.401778496362169</v>
      </c>
      <c r="K11" s="335">
        <v>99.450171821305844</v>
      </c>
      <c r="L11" s="335">
        <v>99.572107765451662</v>
      </c>
      <c r="M11" s="335">
        <v>99.455319148936169</v>
      </c>
      <c r="N11" s="335">
        <v>99.694319880418533</v>
      </c>
      <c r="O11" s="335">
        <v>99.289009497964727</v>
      </c>
      <c r="P11" s="345">
        <f t="shared" si="2"/>
        <v>99.47116495250674</v>
      </c>
      <c r="Q11" s="345">
        <f t="shared" si="3"/>
        <v>99.47116495250674</v>
      </c>
      <c r="S11" s="3">
        <v>99.3</v>
      </c>
      <c r="T11" s="3">
        <v>99.2</v>
      </c>
      <c r="U11" s="3">
        <v>98.3</v>
      </c>
      <c r="V11" s="3">
        <v>93.8</v>
      </c>
      <c r="W11" s="3">
        <v>97.3</v>
      </c>
      <c r="X11" s="3">
        <v>99.5</v>
      </c>
      <c r="Y11" s="400">
        <v>99.1</v>
      </c>
      <c r="Z11">
        <v>99.1</v>
      </c>
      <c r="AA11" s="301">
        <v>99</v>
      </c>
      <c r="AB11" s="301">
        <v>98.7</v>
      </c>
      <c r="AC11" s="3">
        <v>98.9</v>
      </c>
      <c r="AD11" s="3">
        <v>98.7</v>
      </c>
      <c r="AE11" s="372">
        <f t="shared" si="4"/>
        <v>98.40833333333336</v>
      </c>
      <c r="AF11" s="372">
        <f t="shared" si="5"/>
        <v>98.40833333333336</v>
      </c>
      <c r="AH11" s="3">
        <v>98.9</v>
      </c>
      <c r="AI11" s="3">
        <v>99.4</v>
      </c>
      <c r="AJ11">
        <v>98.7</v>
      </c>
      <c r="AK11" s="3">
        <v>99.2</v>
      </c>
      <c r="AL11">
        <v>98.1</v>
      </c>
      <c r="AM11">
        <v>98.8</v>
      </c>
      <c r="AN11" s="400">
        <v>98.8</v>
      </c>
      <c r="AO11">
        <v>99.3</v>
      </c>
      <c r="AP11" s="301">
        <v>98.9</v>
      </c>
      <c r="AQ11" s="301">
        <v>99</v>
      </c>
      <c r="AR11" s="3">
        <v>99.4</v>
      </c>
      <c r="AS11" s="3">
        <v>98.9</v>
      </c>
      <c r="AT11" s="372">
        <f t="shared" si="6"/>
        <v>98.949999999999989</v>
      </c>
      <c r="AU11" s="372">
        <f t="shared" si="7"/>
        <v>98.949999999999989</v>
      </c>
      <c r="AW11" s="3">
        <v>99.4</v>
      </c>
      <c r="AX11" s="3">
        <v>99.2</v>
      </c>
      <c r="AZ11" s="3"/>
      <c r="BC11" s="400"/>
      <c r="BE11" s="301"/>
      <c r="BF11" s="301"/>
      <c r="BG11" s="3"/>
      <c r="BH11" s="3"/>
      <c r="BI11" s="372">
        <f t="shared" si="8"/>
        <v>99.300000000000011</v>
      </c>
      <c r="BJ11" s="372">
        <f t="shared" si="9"/>
        <v>99.300000000000011</v>
      </c>
      <c r="BL11" s="3286">
        <f t="shared" si="10"/>
        <v>-0.20000000000000284</v>
      </c>
      <c r="BM11" s="3286">
        <f t="shared" si="11"/>
        <v>0.35000000000002274</v>
      </c>
      <c r="BN11" s="4773">
        <f>IFERROR(
  SUM(
    _xlfn.XLOOKUP(DATE(YEAR($A$1),1,1),$2:$2,11:11):
    _xlfn.XLOOKUP($A$1,$2:$2,11:11)
  )
 -SUM(
    _xlfn.XLOOKUP(DATE(YEAR($A$1)-1,1,1),$2:$2,11:11):
    _xlfn.XLOOKUP(EDATE($A$1,-12),$2:$2,11:11)
  ),"")</f>
        <v>0.30000000000001137</v>
      </c>
      <c r="BO11" s="2860">
        <f t="shared" si="12"/>
        <v>-0.20000000000000284</v>
      </c>
    </row>
    <row r="12" spans="1:68" x14ac:dyDescent="0.55000000000000004">
      <c r="A12" s="7530"/>
      <c r="B12" s="16" t="s">
        <v>282</v>
      </c>
      <c r="C12" s="3"/>
      <c r="D12" s="335">
        <v>98.508287292817684</v>
      </c>
      <c r="E12" s="335">
        <v>97.517146776406037</v>
      </c>
      <c r="F12" s="335">
        <v>98.606811145510832</v>
      </c>
      <c r="G12" s="335">
        <v>98.764705882352942</v>
      </c>
      <c r="H12" s="335">
        <v>98.297872340425528</v>
      </c>
      <c r="I12" s="335">
        <v>98.414814814814818</v>
      </c>
      <c r="J12" s="335">
        <v>97.917448405253282</v>
      </c>
      <c r="K12" s="335">
        <v>97.006060606060601</v>
      </c>
      <c r="L12" s="335">
        <v>98.70069605568446</v>
      </c>
      <c r="M12" s="335">
        <v>98.941031941031937</v>
      </c>
      <c r="N12" s="335">
        <v>99.071005917159766</v>
      </c>
      <c r="O12" s="335">
        <v>97.882352941176464</v>
      </c>
      <c r="P12" s="345">
        <f t="shared" si="2"/>
        <v>98.302352843224526</v>
      </c>
      <c r="Q12" s="345">
        <f t="shared" si="3"/>
        <v>98.302352843224526</v>
      </c>
      <c r="S12" s="3">
        <v>97.9</v>
      </c>
      <c r="T12" s="3">
        <v>98.4</v>
      </c>
      <c r="U12" s="3">
        <v>96.6</v>
      </c>
      <c r="V12" s="3">
        <v>93.4</v>
      </c>
      <c r="W12" s="3">
        <v>94.1</v>
      </c>
      <c r="X12" s="463">
        <v>98</v>
      </c>
      <c r="Y12" s="400">
        <v>97.4</v>
      </c>
      <c r="Z12" s="301">
        <v>98</v>
      </c>
      <c r="AA12">
        <v>97.7</v>
      </c>
      <c r="AB12" s="301">
        <v>98.6</v>
      </c>
      <c r="AC12" s="3">
        <v>98.2</v>
      </c>
      <c r="AD12" s="3">
        <v>98.4</v>
      </c>
      <c r="AE12" s="372">
        <f t="shared" si="4"/>
        <v>97.225000000000009</v>
      </c>
      <c r="AF12" s="372">
        <f t="shared" si="5"/>
        <v>97.225000000000009</v>
      </c>
      <c r="AH12" s="3">
        <v>97.6</v>
      </c>
      <c r="AI12" s="3">
        <v>98.3</v>
      </c>
      <c r="AJ12">
        <v>98.1</v>
      </c>
      <c r="AK12" s="3">
        <v>98.7</v>
      </c>
      <c r="AL12">
        <v>98.4</v>
      </c>
      <c r="AM12" s="301">
        <v>98.2</v>
      </c>
      <c r="AN12" s="400">
        <v>98.5</v>
      </c>
      <c r="AO12" s="301">
        <v>98.1</v>
      </c>
      <c r="AP12">
        <v>97.7</v>
      </c>
      <c r="AQ12" s="301">
        <v>97.5</v>
      </c>
      <c r="AR12" s="3">
        <v>98</v>
      </c>
      <c r="AS12" s="3">
        <v>98.8</v>
      </c>
      <c r="AT12" s="372">
        <f t="shared" si="6"/>
        <v>98.158333333333346</v>
      </c>
      <c r="AU12" s="372">
        <f t="shared" si="7"/>
        <v>98.158333333333346</v>
      </c>
      <c r="AW12" s="3">
        <v>98.7</v>
      </c>
      <c r="AX12" s="3">
        <v>98.9</v>
      </c>
      <c r="AZ12" s="3"/>
      <c r="BB12" s="301"/>
      <c r="BC12" s="400"/>
      <c r="BD12" s="301"/>
      <c r="BF12" s="301"/>
      <c r="BG12" s="3"/>
      <c r="BH12" s="3"/>
      <c r="BI12" s="372">
        <f t="shared" si="8"/>
        <v>98.800000000000011</v>
      </c>
      <c r="BJ12" s="372">
        <f t="shared" si="9"/>
        <v>98.800000000000011</v>
      </c>
      <c r="BL12" s="3286">
        <f t="shared" si="10"/>
        <v>0.60000000000000853</v>
      </c>
      <c r="BM12" s="3286">
        <f t="shared" si="11"/>
        <v>0.64166666666666572</v>
      </c>
      <c r="BN12" s="4773">
        <f>IFERROR(
  SUM(
    _xlfn.XLOOKUP(DATE(YEAR($A$1),1,1),$2:$2,12:12):
    _xlfn.XLOOKUP($A$1,$2:$2,12:12)
  )
 -SUM(
    _xlfn.XLOOKUP(DATE(YEAR($A$1)-1,1,1),$2:$2,12:12):
    _xlfn.XLOOKUP(EDATE($A$1,-12),$2:$2,12:12)
  ),"")</f>
        <v>1.7000000000000455</v>
      </c>
      <c r="BO12" s="2860">
        <f t="shared" si="12"/>
        <v>0.20000000000000284</v>
      </c>
    </row>
    <row r="13" spans="1:68" x14ac:dyDescent="0.55000000000000004">
      <c r="A13" s="7530"/>
      <c r="B13" s="16" t="s">
        <v>283</v>
      </c>
      <c r="C13" s="3"/>
      <c r="D13" s="335">
        <v>98.8</v>
      </c>
      <c r="E13" s="335">
        <v>96.499517839922859</v>
      </c>
      <c r="F13" s="335">
        <v>98.799149840595106</v>
      </c>
      <c r="G13" s="335">
        <v>98.739054290718045</v>
      </c>
      <c r="H13" s="335">
        <v>97.729789590254711</v>
      </c>
      <c r="I13" s="335">
        <v>97.975308641975303</v>
      </c>
      <c r="J13" s="335">
        <v>97.875968992248062</v>
      </c>
      <c r="K13" s="335">
        <v>95.056320400500624</v>
      </c>
      <c r="L13" s="335">
        <v>97.376237623762378</v>
      </c>
      <c r="M13" s="335">
        <v>98.135294117647064</v>
      </c>
      <c r="N13" s="335">
        <v>99.414959928762244</v>
      </c>
      <c r="O13" s="335">
        <v>98.035242290748897</v>
      </c>
      <c r="P13" s="345">
        <f t="shared" si="2"/>
        <v>97.869736963094581</v>
      </c>
      <c r="Q13" s="345">
        <f t="shared" si="3"/>
        <v>97.869736963094581</v>
      </c>
      <c r="S13" s="3">
        <v>96.5</v>
      </c>
      <c r="T13" s="3">
        <v>97.9</v>
      </c>
      <c r="U13" s="3">
        <v>92.9</v>
      </c>
      <c r="V13" s="3">
        <v>95.1</v>
      </c>
      <c r="W13" s="3">
        <v>96.5</v>
      </c>
      <c r="X13" s="3">
        <v>98.3</v>
      </c>
      <c r="Y13" s="400">
        <v>98.4</v>
      </c>
      <c r="Z13">
        <v>97.9</v>
      </c>
      <c r="AA13">
        <v>98.4</v>
      </c>
      <c r="AB13" s="301">
        <v>98</v>
      </c>
      <c r="AC13" s="3">
        <v>97.6</v>
      </c>
      <c r="AD13" s="3">
        <v>98.7</v>
      </c>
      <c r="AE13" s="372">
        <f t="shared" si="4"/>
        <v>97.183333333333323</v>
      </c>
      <c r="AF13" s="372">
        <f t="shared" si="5"/>
        <v>97.183333333333323</v>
      </c>
      <c r="AH13" s="3">
        <v>98.5</v>
      </c>
      <c r="AI13" s="3">
        <v>98.3</v>
      </c>
      <c r="AJ13">
        <v>98.1</v>
      </c>
      <c r="AK13" s="3">
        <v>98.4</v>
      </c>
      <c r="AL13">
        <v>98.3</v>
      </c>
      <c r="AM13">
        <v>98.9</v>
      </c>
      <c r="AN13" s="400">
        <v>98.2</v>
      </c>
      <c r="AO13">
        <v>97.8</v>
      </c>
      <c r="AP13">
        <v>97.8</v>
      </c>
      <c r="AQ13" s="301">
        <v>97.6</v>
      </c>
      <c r="AR13" s="3">
        <v>98.5</v>
      </c>
      <c r="AS13" s="3">
        <v>98.9</v>
      </c>
      <c r="AT13" s="372">
        <f t="shared" si="6"/>
        <v>98.27500000000002</v>
      </c>
      <c r="AU13" s="372">
        <f t="shared" si="7"/>
        <v>98.27500000000002</v>
      </c>
      <c r="AW13" s="3">
        <v>98.4</v>
      </c>
      <c r="AX13" s="3">
        <v>98.3</v>
      </c>
      <c r="AZ13" s="3"/>
      <c r="BC13" s="400"/>
      <c r="BF13" s="301"/>
      <c r="BG13" s="3"/>
      <c r="BH13" s="3"/>
      <c r="BI13" s="372">
        <f t="shared" si="8"/>
        <v>98.35</v>
      </c>
      <c r="BJ13" s="372">
        <f t="shared" si="9"/>
        <v>98.35</v>
      </c>
      <c r="BL13" s="3286">
        <f t="shared" si="10"/>
        <v>0</v>
      </c>
      <c r="BM13" s="3286">
        <f t="shared" si="11"/>
        <v>7.499999999997442E-2</v>
      </c>
      <c r="BN13" s="4773">
        <f>IFERROR(
  SUM(
    _xlfn.XLOOKUP(DATE(YEAR($A$1),1,1),$2:$2,13:13):
    _xlfn.XLOOKUP($A$1,$2:$2,13:13)
  )
 -SUM(
    _xlfn.XLOOKUP(DATE(YEAR($A$1)-1,1,1),$2:$2,13:13):
    _xlfn.XLOOKUP(EDATE($A$1,-12),$2:$2,13:13)
  ),"")</f>
        <v>-0.10000000000002274</v>
      </c>
      <c r="BO13" s="2860">
        <f t="shared" si="12"/>
        <v>-0.10000000000000853</v>
      </c>
    </row>
    <row r="14" spans="1:68" x14ac:dyDescent="0.55000000000000004">
      <c r="A14" s="7530"/>
      <c r="B14" s="16" t="s">
        <v>284</v>
      </c>
      <c r="C14" s="3"/>
      <c r="D14" s="335">
        <v>98.519924098671723</v>
      </c>
      <c r="E14" s="335">
        <v>97.319485657764588</v>
      </c>
      <c r="F14" s="335">
        <v>98.428372739916554</v>
      </c>
      <c r="G14" s="335">
        <v>98.545150501672239</v>
      </c>
      <c r="H14" s="335">
        <v>97.247058823529414</v>
      </c>
      <c r="I14" s="335">
        <v>97.776315789473685</v>
      </c>
      <c r="J14" s="335">
        <v>97.745098039215691</v>
      </c>
      <c r="K14" s="335">
        <v>96.960580912863065</v>
      </c>
      <c r="L14" s="335">
        <v>97.544642857142861</v>
      </c>
      <c r="M14" s="335">
        <v>98.978444236176202</v>
      </c>
      <c r="N14" s="335">
        <v>99.321794871794879</v>
      </c>
      <c r="O14" s="335">
        <v>97.803703703703704</v>
      </c>
      <c r="P14" s="345">
        <f t="shared" si="2"/>
        <v>98.01588101932704</v>
      </c>
      <c r="Q14" s="345">
        <f t="shared" si="3"/>
        <v>98.01588101932704</v>
      </c>
      <c r="S14" s="3">
        <v>98.2</v>
      </c>
      <c r="T14" s="3">
        <v>98.4</v>
      </c>
      <c r="U14" s="3">
        <v>98</v>
      </c>
      <c r="V14" s="3">
        <v>93.4</v>
      </c>
      <c r="W14" s="3">
        <v>94.6</v>
      </c>
      <c r="X14" s="3">
        <v>98.1</v>
      </c>
      <c r="Y14" s="400">
        <v>98</v>
      </c>
      <c r="Z14">
        <v>98.5</v>
      </c>
      <c r="AA14">
        <v>98.5</v>
      </c>
      <c r="AB14" s="301">
        <v>98</v>
      </c>
      <c r="AC14" s="3">
        <v>98.1</v>
      </c>
      <c r="AD14" s="3">
        <v>98.8</v>
      </c>
      <c r="AE14" s="372">
        <f t="shared" si="4"/>
        <v>97.55</v>
      </c>
      <c r="AF14" s="372">
        <f t="shared" si="5"/>
        <v>97.55</v>
      </c>
      <c r="AH14" s="3">
        <v>98.1</v>
      </c>
      <c r="AI14" s="3">
        <v>98</v>
      </c>
      <c r="AJ14">
        <v>98.4</v>
      </c>
      <c r="AK14" s="3">
        <v>98.8</v>
      </c>
      <c r="AL14">
        <v>97.6</v>
      </c>
      <c r="AM14">
        <v>98.3</v>
      </c>
      <c r="AN14" s="400">
        <v>98.1</v>
      </c>
      <c r="AO14">
        <v>98.1</v>
      </c>
      <c r="AP14">
        <v>98.1</v>
      </c>
      <c r="AQ14" s="301">
        <v>97.9</v>
      </c>
      <c r="AR14" s="3">
        <v>98</v>
      </c>
      <c r="AS14" s="3">
        <v>98.7</v>
      </c>
      <c r="AT14" s="372">
        <f t="shared" si="6"/>
        <v>98.175000000000011</v>
      </c>
      <c r="AU14" s="372">
        <f t="shared" si="7"/>
        <v>98.175000000000011</v>
      </c>
      <c r="AW14" s="3">
        <v>97.8</v>
      </c>
      <c r="AX14" s="3">
        <v>98.6</v>
      </c>
      <c r="AZ14" s="3"/>
      <c r="BC14" s="400"/>
      <c r="BF14" s="301"/>
      <c r="BG14" s="3"/>
      <c r="BH14" s="3"/>
      <c r="BI14" s="372">
        <f t="shared" si="8"/>
        <v>98.199999999999989</v>
      </c>
      <c r="BJ14" s="372">
        <f t="shared" si="9"/>
        <v>98.199999999999989</v>
      </c>
      <c r="BL14" s="3286">
        <f t="shared" si="10"/>
        <v>0.59999999999999432</v>
      </c>
      <c r="BM14" s="3286">
        <f t="shared" si="11"/>
        <v>2.4999999999977263E-2</v>
      </c>
      <c r="BN14" s="4773">
        <f>IFERROR(
  SUM(
    _xlfn.XLOOKUP(DATE(YEAR($A$1),1,1),$2:$2,14:14):
    _xlfn.XLOOKUP($A$1,$2:$2,14:14)
  )
 -SUM(
    _xlfn.XLOOKUP(DATE(YEAR($A$1)-1,1,1),$2:$2,14:14):
    _xlfn.XLOOKUP(EDATE($A$1,-12),$2:$2,14:14)
  ),"")</f>
        <v>0.29999999999998295</v>
      </c>
      <c r="BO14" s="2860">
        <f t="shared" si="12"/>
        <v>0.79999999999999716</v>
      </c>
    </row>
    <row r="15" spans="1:68" x14ac:dyDescent="0.55000000000000004">
      <c r="A15" s="7530"/>
      <c r="B15" s="16" t="s">
        <v>285</v>
      </c>
      <c r="C15" s="3"/>
      <c r="D15" s="335">
        <v>98.187919463087255</v>
      </c>
      <c r="E15" s="335">
        <v>97.790563866513239</v>
      </c>
      <c r="F15" s="335">
        <v>98.590163934426229</v>
      </c>
      <c r="G15" s="335">
        <v>98.370883882149045</v>
      </c>
      <c r="H15" s="335">
        <v>98.759036144578317</v>
      </c>
      <c r="I15" s="335">
        <v>98.489116517285538</v>
      </c>
      <c r="J15" s="335">
        <v>98.326474622770917</v>
      </c>
      <c r="K15" s="335">
        <v>97.371349095966622</v>
      </c>
      <c r="L15" s="335">
        <v>98.21052631578948</v>
      </c>
      <c r="M15" s="335">
        <v>98.579234972677597</v>
      </c>
      <c r="N15" s="335">
        <v>99.234355828220856</v>
      </c>
      <c r="O15" s="335">
        <v>98.607218683651809</v>
      </c>
      <c r="P15" s="345">
        <f t="shared" si="2"/>
        <v>98.376403610593059</v>
      </c>
      <c r="Q15" s="345">
        <f t="shared" si="3"/>
        <v>98.376403610593059</v>
      </c>
      <c r="S15" s="3">
        <v>98.4</v>
      </c>
      <c r="T15" s="3">
        <v>98.6</v>
      </c>
      <c r="U15" s="3">
        <v>94.1</v>
      </c>
      <c r="V15" s="3">
        <v>94.3</v>
      </c>
      <c r="W15" s="3">
        <v>95.5</v>
      </c>
      <c r="X15" s="3">
        <v>98.1</v>
      </c>
      <c r="Y15" s="400">
        <v>98.5</v>
      </c>
      <c r="Z15">
        <v>98.2</v>
      </c>
      <c r="AA15">
        <v>98.3</v>
      </c>
      <c r="AB15" s="301">
        <v>97.2</v>
      </c>
      <c r="AC15" s="3">
        <v>98.5</v>
      </c>
      <c r="AD15" s="3">
        <v>98.7</v>
      </c>
      <c r="AE15" s="372">
        <f t="shared" si="4"/>
        <v>97.366666666666674</v>
      </c>
      <c r="AF15" s="372">
        <f t="shared" si="5"/>
        <v>97.366666666666674</v>
      </c>
      <c r="AH15" s="3">
        <v>98.3</v>
      </c>
      <c r="AI15" s="3">
        <v>98.4</v>
      </c>
      <c r="AJ15">
        <v>98.8</v>
      </c>
      <c r="AK15" s="3">
        <v>99.2</v>
      </c>
      <c r="AL15">
        <v>98.8</v>
      </c>
      <c r="AM15">
        <v>98.9</v>
      </c>
      <c r="AN15" s="400">
        <v>98.5</v>
      </c>
      <c r="AO15">
        <v>98.6</v>
      </c>
      <c r="AP15">
        <v>98.6</v>
      </c>
      <c r="AQ15" s="301">
        <v>98.8</v>
      </c>
      <c r="AR15" s="3">
        <v>98.8</v>
      </c>
      <c r="AS15" s="3">
        <v>98.9</v>
      </c>
      <c r="AT15" s="372">
        <f t="shared" si="6"/>
        <v>98.716666666666683</v>
      </c>
      <c r="AU15" s="372">
        <f t="shared" si="7"/>
        <v>98.716666666666683</v>
      </c>
      <c r="AW15" s="3">
        <v>98.1</v>
      </c>
      <c r="AX15" s="3">
        <v>98.8</v>
      </c>
      <c r="AZ15" s="3"/>
      <c r="BC15" s="400"/>
      <c r="BF15" s="301"/>
      <c r="BG15" s="3"/>
      <c r="BH15" s="3"/>
      <c r="BI15" s="372">
        <f t="shared" si="8"/>
        <v>98.449999999999989</v>
      </c>
      <c r="BJ15" s="372">
        <f t="shared" si="9"/>
        <v>98.449999999999989</v>
      </c>
      <c r="BL15" s="3286">
        <f t="shared" si="10"/>
        <v>0.39999999999999147</v>
      </c>
      <c r="BM15" s="3286">
        <f t="shared" si="11"/>
        <v>-0.26666666666669414</v>
      </c>
      <c r="BN15" s="4773">
        <f>IFERROR(
  SUM(
    _xlfn.XLOOKUP(DATE(YEAR($A$1),1,1),$2:$2,15:15):
    _xlfn.XLOOKUP($A$1,$2:$2,15:15)
  )
 -SUM(
    _xlfn.XLOOKUP(DATE(YEAR($A$1)-1,1,1),$2:$2,15:15):
    _xlfn.XLOOKUP(EDATE($A$1,-12),$2:$2,15:15)
  ),"")</f>
        <v>0.19999999999998863</v>
      </c>
      <c r="BO15" s="2860">
        <f t="shared" si="12"/>
        <v>0.70000000000000284</v>
      </c>
    </row>
    <row r="16" spans="1:68" ht="18" thickBot="1" x14ac:dyDescent="0.6">
      <c r="A16" s="7531"/>
      <c r="B16" s="35" t="s">
        <v>286</v>
      </c>
      <c r="C16" s="34"/>
      <c r="D16" s="336">
        <v>97.93413173652695</v>
      </c>
      <c r="E16" s="336">
        <v>97.177615571776158</v>
      </c>
      <c r="F16" s="336">
        <v>98.200371057513919</v>
      </c>
      <c r="G16" s="336">
        <v>97.95148247978436</v>
      </c>
      <c r="H16" s="336">
        <v>97.483443708609272</v>
      </c>
      <c r="I16" s="336">
        <v>96.292906178489702</v>
      </c>
      <c r="J16" s="336">
        <v>97.993197278911566</v>
      </c>
      <c r="K16" s="336">
        <v>97.671232876712324</v>
      </c>
      <c r="L16" s="336">
        <v>97.964824120603012</v>
      </c>
      <c r="M16" s="336">
        <v>98.451986754966882</v>
      </c>
      <c r="N16" s="336">
        <v>98.171532846715323</v>
      </c>
      <c r="O16" s="336">
        <v>96.356707317073173</v>
      </c>
      <c r="P16" s="346">
        <f t="shared" si="2"/>
        <v>97.637452660640236</v>
      </c>
      <c r="Q16" s="346">
        <f t="shared" si="3"/>
        <v>97.637452660640236</v>
      </c>
      <c r="S16" s="34">
        <v>96.6</v>
      </c>
      <c r="T16" s="34">
        <v>98.6</v>
      </c>
      <c r="U16" s="34">
        <v>95.4</v>
      </c>
      <c r="V16" s="34">
        <v>93.4</v>
      </c>
      <c r="W16" s="34">
        <v>94.8</v>
      </c>
      <c r="X16" s="34">
        <v>98.1</v>
      </c>
      <c r="Y16" s="401">
        <v>97.9</v>
      </c>
      <c r="Z16" s="2">
        <v>97.4</v>
      </c>
      <c r="AA16" s="2">
        <v>97.6</v>
      </c>
      <c r="AB16" s="420">
        <v>98.1</v>
      </c>
      <c r="AC16" s="34">
        <v>98.4</v>
      </c>
      <c r="AD16" s="464">
        <v>99</v>
      </c>
      <c r="AE16" s="373">
        <f t="shared" si="4"/>
        <v>97.108333333333334</v>
      </c>
      <c r="AF16" s="373">
        <f t="shared" si="5"/>
        <v>97.108333333333334</v>
      </c>
      <c r="AH16" s="34">
        <v>98.1</v>
      </c>
      <c r="AI16" s="34">
        <v>98.4</v>
      </c>
      <c r="AJ16" s="2">
        <v>98.1</v>
      </c>
      <c r="AK16" s="34">
        <v>97.8</v>
      </c>
      <c r="AL16" s="2">
        <v>97.7</v>
      </c>
      <c r="AM16" s="2">
        <v>98.2</v>
      </c>
      <c r="AN16" s="401">
        <v>98.2</v>
      </c>
      <c r="AO16" s="2">
        <v>98.7</v>
      </c>
      <c r="AP16" s="2">
        <v>98.3</v>
      </c>
      <c r="AQ16" s="420">
        <v>97.7</v>
      </c>
      <c r="AR16" s="34">
        <v>99.1</v>
      </c>
      <c r="AS16" s="464">
        <v>98.7</v>
      </c>
      <c r="AT16" s="373">
        <f t="shared" si="6"/>
        <v>98.250000000000014</v>
      </c>
      <c r="AU16" s="373">
        <f t="shared" si="7"/>
        <v>98.250000000000014</v>
      </c>
      <c r="AW16" s="34">
        <v>98.5</v>
      </c>
      <c r="AX16" s="34">
        <v>96.5</v>
      </c>
      <c r="AY16" s="2"/>
      <c r="AZ16" s="34"/>
      <c r="BA16" s="2"/>
      <c r="BB16" s="2"/>
      <c r="BC16" s="401"/>
      <c r="BD16" s="2"/>
      <c r="BE16" s="2"/>
      <c r="BF16" s="420"/>
      <c r="BG16" s="34"/>
      <c r="BH16" s="464"/>
      <c r="BI16" s="373">
        <f t="shared" si="8"/>
        <v>97.5</v>
      </c>
      <c r="BJ16" s="373">
        <f t="shared" si="9"/>
        <v>97.5</v>
      </c>
      <c r="BL16" s="3286">
        <f t="shared" si="10"/>
        <v>-1.9000000000000057</v>
      </c>
      <c r="BM16" s="3286">
        <f t="shared" si="11"/>
        <v>-0.75000000000001421</v>
      </c>
      <c r="BN16" s="4773">
        <f>IFERROR(
  SUM(
    _xlfn.XLOOKUP(DATE(YEAR($A$1),1,1),$2:$2,16:16):
    _xlfn.XLOOKUP($A$1,$2:$2,16:16)
  )
 -SUM(
    _xlfn.XLOOKUP(DATE(YEAR($A$1)-1,1,1),$2:$2,16:16):
    _xlfn.XLOOKUP(EDATE($A$1,-12),$2:$2,16:16)
  ),"")</f>
        <v>-1.5</v>
      </c>
      <c r="BO16" s="2860">
        <f t="shared" si="12"/>
        <v>-2</v>
      </c>
    </row>
    <row r="17" spans="1:70" ht="18" thickBot="1" x14ac:dyDescent="0.6">
      <c r="AR17" s="545"/>
      <c r="BG17" s="545"/>
      <c r="BL17" s="3286">
        <f t="shared" si="10"/>
        <v>0</v>
      </c>
      <c r="BM17" s="3286">
        <f t="shared" si="11"/>
        <v>0</v>
      </c>
      <c r="BN17" s="4773">
        <f>IFERROR(
  SUM(
    _xlfn.XLOOKUP(DATE(YEAR($A$1),1,1),$2:$2,17:17):
    _xlfn.XLOOKUP($A$1,$2:$2,17:17)
  )
 -SUM(
    _xlfn.XLOOKUP(DATE(YEAR($A$1)-1,1,1),$2:$2,17:17):
    _xlfn.XLOOKUP(EDATE($A$1,-12),$2:$2,17:17)
  ),"")</f>
        <v>0</v>
      </c>
      <c r="BO17" s="2860">
        <f t="shared" si="12"/>
        <v>0</v>
      </c>
      <c r="BP17" s="396"/>
      <c r="BQ17" s="396"/>
      <c r="BR17" s="396"/>
    </row>
    <row r="18" spans="1:70" ht="18" hidden="1" thickBot="1" x14ac:dyDescent="0.6">
      <c r="A18" s="7532" t="s">
        <v>313</v>
      </c>
      <c r="B18" s="25" t="s">
        <v>246</v>
      </c>
      <c r="C18" s="24"/>
      <c r="D18" s="24">
        <v>4044</v>
      </c>
      <c r="E18" s="24">
        <v>6293</v>
      </c>
      <c r="F18" s="24">
        <v>4082</v>
      </c>
      <c r="G18" s="24">
        <v>3828</v>
      </c>
      <c r="H18" s="24">
        <v>5373</v>
      </c>
      <c r="I18" s="24">
        <v>4861</v>
      </c>
      <c r="J18" s="24">
        <v>4364</v>
      </c>
      <c r="K18" s="24">
        <v>7455</v>
      </c>
      <c r="L18" s="24">
        <v>2693</v>
      </c>
      <c r="M18" s="24">
        <v>16731</v>
      </c>
      <c r="N18" s="24">
        <v>4833</v>
      </c>
      <c r="O18" s="24">
        <v>3634</v>
      </c>
      <c r="P18" s="347">
        <f t="shared" ref="P18:P23" si="13">SUM(D18:O18)</f>
        <v>68191</v>
      </c>
      <c r="Q18" s="348">
        <f t="shared" si="3"/>
        <v>5682.583333333333</v>
      </c>
      <c r="S18" s="347">
        <v>9400</v>
      </c>
      <c r="T18" s="347">
        <v>7026</v>
      </c>
      <c r="U18" s="347">
        <v>5089</v>
      </c>
      <c r="V18" s="347">
        <v>7031</v>
      </c>
      <c r="W18" s="347">
        <v>6737</v>
      </c>
      <c r="X18" s="347">
        <v>4348</v>
      </c>
      <c r="Y18" s="24">
        <v>9529</v>
      </c>
      <c r="Z18" s="406">
        <f>SUM(Z19:Z21)</f>
        <v>6899</v>
      </c>
      <c r="AA18" s="406">
        <f>SUM(AA19:AA21)</f>
        <v>20154</v>
      </c>
      <c r="AB18" s="406">
        <f>SUM(AB19:AB21)</f>
        <v>15127</v>
      </c>
      <c r="AC18" s="24"/>
      <c r="AD18" s="24"/>
      <c r="AE18" s="348">
        <f t="shared" ref="AE18:AE39" si="14">SUM(S18:AD18)</f>
        <v>91340</v>
      </c>
      <c r="AF18" s="348">
        <f t="shared" ref="AF18:AF39" si="15">AVERAGE(S18:AD18)</f>
        <v>9134</v>
      </c>
      <c r="AH18" s="347"/>
      <c r="AI18" s="347"/>
      <c r="AJ18" s="347"/>
      <c r="AK18" s="347"/>
      <c r="AL18" s="347"/>
      <c r="AM18" s="347"/>
      <c r="AN18" s="24"/>
      <c r="AO18" s="406"/>
      <c r="AP18" s="406"/>
      <c r="AQ18" s="406"/>
      <c r="AR18" s="24"/>
      <c r="AS18" s="24"/>
      <c r="AT18" s="348">
        <f t="shared" ref="AT18:AT26" si="16">SUM(AH18:AS18)</f>
        <v>0</v>
      </c>
      <c r="AU18" s="348" t="e">
        <f t="shared" ref="AU18:AU26" si="17">AVERAGE(AH18:AS18)</f>
        <v>#DIV/0!</v>
      </c>
      <c r="AW18" s="347"/>
      <c r="AX18" s="347"/>
      <c r="AY18" s="347"/>
      <c r="AZ18" s="347"/>
      <c r="BA18" s="347"/>
      <c r="BB18" s="347"/>
      <c r="BC18" s="24"/>
      <c r="BD18" s="406"/>
      <c r="BE18" s="406"/>
      <c r="BF18" s="406"/>
      <c r="BG18" s="24"/>
      <c r="BH18" s="24"/>
      <c r="BI18" s="348">
        <f t="shared" ref="BI18:BI26" si="18">SUM(AW18:BH18)</f>
        <v>0</v>
      </c>
      <c r="BJ18" s="348" t="e">
        <f t="shared" ref="BJ18:BJ26" si="19">AVERAGE(AW18:BH18)</f>
        <v>#DIV/0!</v>
      </c>
      <c r="BL18" s="3286">
        <f t="shared" si="10"/>
        <v>0</v>
      </c>
      <c r="BM18" s="3286" t="e">
        <f t="shared" si="11"/>
        <v>#DIV/0!</v>
      </c>
      <c r="BN18" s="4773">
        <f>IFERROR(
  SUM(
    _xlfn.XLOOKUP(DATE(YEAR($A$1),1,1),$2:$2,18:18):
    _xlfn.XLOOKUP($A$1,$2:$2,18:18)
  )
 -SUM(
    _xlfn.XLOOKUP(DATE(YEAR($A$1)-1,1,1),$2:$2,18:18):
    _xlfn.XLOOKUP(EDATE($A$1,-12),$2:$2,18:18)
  ),"")</f>
        <v>0</v>
      </c>
      <c r="BO18" s="2860">
        <f t="shared" si="12"/>
        <v>0</v>
      </c>
    </row>
    <row r="19" spans="1:70" ht="18" hidden="1" thickBot="1" x14ac:dyDescent="0.6">
      <c r="A19" s="7533"/>
      <c r="B19" s="27"/>
      <c r="C19" s="1" t="s">
        <v>313</v>
      </c>
      <c r="D19" s="1">
        <v>2256</v>
      </c>
      <c r="E19" s="1">
        <v>2712</v>
      </c>
      <c r="F19" s="1">
        <v>1734</v>
      </c>
      <c r="G19" s="1">
        <v>2194</v>
      </c>
      <c r="H19" s="1">
        <v>3300</v>
      </c>
      <c r="I19" s="1">
        <v>2558</v>
      </c>
      <c r="J19" s="1">
        <v>2134</v>
      </c>
      <c r="K19" s="1">
        <v>4555</v>
      </c>
      <c r="L19" s="1">
        <v>1830</v>
      </c>
      <c r="M19" s="1">
        <v>14944</v>
      </c>
      <c r="N19" s="1">
        <v>4000</v>
      </c>
      <c r="O19" s="1">
        <v>2520</v>
      </c>
      <c r="P19" s="1">
        <f t="shared" si="13"/>
        <v>44737</v>
      </c>
      <c r="Q19" s="328">
        <f t="shared" si="3"/>
        <v>3728.0833333333335</v>
      </c>
      <c r="S19" s="324">
        <v>7410</v>
      </c>
      <c r="T19" s="324">
        <v>5611</v>
      </c>
      <c r="U19" s="324">
        <v>3529</v>
      </c>
      <c r="V19" s="324">
        <v>5237</v>
      </c>
      <c r="W19" s="324">
        <v>5041</v>
      </c>
      <c r="X19" s="324">
        <v>3190</v>
      </c>
      <c r="Y19" s="1">
        <v>8450</v>
      </c>
      <c r="Z19" s="253">
        <v>5618</v>
      </c>
      <c r="AA19" s="253">
        <v>19347</v>
      </c>
      <c r="AB19" s="253">
        <v>14326</v>
      </c>
      <c r="AC19" s="1"/>
      <c r="AD19" s="1"/>
      <c r="AE19" s="328">
        <f t="shared" si="14"/>
        <v>77759</v>
      </c>
      <c r="AF19" s="328">
        <f t="shared" si="15"/>
        <v>7775.9</v>
      </c>
      <c r="AH19" s="324"/>
      <c r="AI19" s="324"/>
      <c r="AJ19" s="324"/>
      <c r="AK19" s="324"/>
      <c r="AL19" s="324"/>
      <c r="AM19" s="324"/>
      <c r="AN19" s="1"/>
      <c r="AO19" s="253"/>
      <c r="AP19" s="253"/>
      <c r="AQ19" s="253"/>
      <c r="AR19" s="1"/>
      <c r="AS19" s="1"/>
      <c r="AT19" s="328">
        <f t="shared" si="16"/>
        <v>0</v>
      </c>
      <c r="AU19" s="328" t="e">
        <f t="shared" si="17"/>
        <v>#DIV/0!</v>
      </c>
      <c r="AW19" s="324"/>
      <c r="AX19" s="324"/>
      <c r="AY19" s="324"/>
      <c r="AZ19" s="324"/>
      <c r="BA19" s="324"/>
      <c r="BB19" s="324"/>
      <c r="BC19" s="1"/>
      <c r="BD19" s="253"/>
      <c r="BE19" s="253"/>
      <c r="BF19" s="253"/>
      <c r="BG19" s="1"/>
      <c r="BH19" s="1"/>
      <c r="BI19" s="328">
        <f t="shared" si="18"/>
        <v>0</v>
      </c>
      <c r="BJ19" s="328" t="e">
        <f t="shared" si="19"/>
        <v>#DIV/0!</v>
      </c>
      <c r="BL19" s="3286">
        <f t="shared" si="10"/>
        <v>0</v>
      </c>
      <c r="BM19" s="3286" t="e">
        <f t="shared" si="11"/>
        <v>#DIV/0!</v>
      </c>
      <c r="BN19" s="4773">
        <f>IFERROR(
  SUM(
    _xlfn.XLOOKUP(DATE(YEAR($A$1),1,1),$2:$2,19:19):
    _xlfn.XLOOKUP($A$1,$2:$2,19:19)
  )
 -SUM(
    _xlfn.XLOOKUP(DATE(YEAR($A$1)-1,1,1),$2:$2,19:19):
    _xlfn.XLOOKUP(EDATE($A$1,-12),$2:$2,19:19)
  ),"")</f>
        <v>0</v>
      </c>
      <c r="BO19" s="2860">
        <f t="shared" si="12"/>
        <v>0</v>
      </c>
    </row>
    <row r="20" spans="1:70" ht="18" hidden="1" thickBot="1" x14ac:dyDescent="0.6">
      <c r="A20" s="7533"/>
      <c r="B20" s="27"/>
      <c r="C20" s="1" t="s">
        <v>336</v>
      </c>
      <c r="D20" s="1">
        <v>695</v>
      </c>
      <c r="E20" s="1">
        <v>1803</v>
      </c>
      <c r="F20" s="1">
        <v>1118</v>
      </c>
      <c r="G20" s="1">
        <v>880</v>
      </c>
      <c r="H20" s="1">
        <v>761</v>
      </c>
      <c r="I20" s="1">
        <v>765</v>
      </c>
      <c r="J20" s="1">
        <v>676</v>
      </c>
      <c r="K20" s="1">
        <v>742</v>
      </c>
      <c r="L20" s="1">
        <v>376</v>
      </c>
      <c r="M20" s="1">
        <v>787</v>
      </c>
      <c r="N20" s="1">
        <v>296</v>
      </c>
      <c r="O20" s="1">
        <v>427</v>
      </c>
      <c r="P20" s="1">
        <f t="shared" si="13"/>
        <v>9326</v>
      </c>
      <c r="Q20" s="328">
        <f t="shared" si="3"/>
        <v>777.16666666666663</v>
      </c>
      <c r="S20" s="324">
        <v>605</v>
      </c>
      <c r="T20" s="324">
        <v>407</v>
      </c>
      <c r="U20" s="324">
        <v>380</v>
      </c>
      <c r="V20" s="324">
        <v>411</v>
      </c>
      <c r="W20" s="324">
        <v>220</v>
      </c>
      <c r="X20" s="324">
        <v>310</v>
      </c>
      <c r="Y20" s="1">
        <v>7</v>
      </c>
      <c r="Z20" s="253">
        <v>0</v>
      </c>
      <c r="AA20" s="253">
        <v>0</v>
      </c>
      <c r="AB20" s="418">
        <v>0</v>
      </c>
      <c r="AC20" s="1"/>
      <c r="AD20" s="1"/>
      <c r="AE20" s="328">
        <f t="shared" si="14"/>
        <v>2340</v>
      </c>
      <c r="AF20" s="328">
        <f t="shared" si="15"/>
        <v>234</v>
      </c>
      <c r="AH20" s="324"/>
      <c r="AI20" s="324"/>
      <c r="AJ20" s="324"/>
      <c r="AK20" s="324"/>
      <c r="AL20" s="324"/>
      <c r="AM20" s="324"/>
      <c r="AN20" s="1"/>
      <c r="AO20" s="253"/>
      <c r="AP20" s="253"/>
      <c r="AQ20" s="418"/>
      <c r="AR20" s="1"/>
      <c r="AS20" s="1"/>
      <c r="AT20" s="328">
        <f t="shared" si="16"/>
        <v>0</v>
      </c>
      <c r="AU20" s="328" t="e">
        <f t="shared" si="17"/>
        <v>#DIV/0!</v>
      </c>
      <c r="AW20" s="324"/>
      <c r="AX20" s="324"/>
      <c r="AY20" s="324"/>
      <c r="AZ20" s="324"/>
      <c r="BA20" s="324"/>
      <c r="BB20" s="324"/>
      <c r="BC20" s="1"/>
      <c r="BD20" s="253"/>
      <c r="BE20" s="253"/>
      <c r="BF20" s="418"/>
      <c r="BG20" s="1"/>
      <c r="BH20" s="1"/>
      <c r="BI20" s="328">
        <f t="shared" si="18"/>
        <v>0</v>
      </c>
      <c r="BJ20" s="328" t="e">
        <f t="shared" si="19"/>
        <v>#DIV/0!</v>
      </c>
      <c r="BL20" s="3286">
        <f t="shared" si="10"/>
        <v>0</v>
      </c>
      <c r="BM20" s="3286" t="e">
        <f t="shared" si="11"/>
        <v>#DIV/0!</v>
      </c>
      <c r="BN20" s="4773">
        <f>IFERROR(
  SUM(
    _xlfn.XLOOKUP(DATE(YEAR($A$1),1,1),$2:$2,20:20):
    _xlfn.XLOOKUP($A$1,$2:$2,20:20)
  )
 -SUM(
    _xlfn.XLOOKUP(DATE(YEAR($A$1)-1,1,1),$2:$2,20:20):
    _xlfn.XLOOKUP(EDATE($A$1,-12),$2:$2,20:20)
  ),"")</f>
        <v>0</v>
      </c>
      <c r="BO20" s="2860">
        <f t="shared" si="12"/>
        <v>0</v>
      </c>
    </row>
    <row r="21" spans="1:70" ht="18" hidden="1" thickBot="1" x14ac:dyDescent="0.6">
      <c r="A21" s="7533"/>
      <c r="B21" s="27"/>
      <c r="C21" s="3" t="s">
        <v>337</v>
      </c>
      <c r="D21" s="3">
        <v>1093</v>
      </c>
      <c r="E21" s="3">
        <v>1778</v>
      </c>
      <c r="F21" s="3">
        <v>1230</v>
      </c>
      <c r="G21" s="3">
        <v>754</v>
      </c>
      <c r="H21" s="3">
        <v>1312</v>
      </c>
      <c r="I21" s="3">
        <v>1538</v>
      </c>
      <c r="J21" s="3">
        <v>1554</v>
      </c>
      <c r="K21" s="3">
        <v>2158</v>
      </c>
      <c r="L21" s="3">
        <v>487</v>
      </c>
      <c r="M21" s="3">
        <v>1000</v>
      </c>
      <c r="N21" s="3">
        <v>537</v>
      </c>
      <c r="O21" s="3">
        <v>687</v>
      </c>
      <c r="P21" s="3">
        <f t="shared" si="13"/>
        <v>14128</v>
      </c>
      <c r="Q21" s="329">
        <f t="shared" si="3"/>
        <v>1177.3333333333333</v>
      </c>
      <c r="S21" s="325">
        <v>1385</v>
      </c>
      <c r="T21" s="325">
        <v>1008</v>
      </c>
      <c r="U21" s="325">
        <v>1180</v>
      </c>
      <c r="V21" s="325">
        <v>1383</v>
      </c>
      <c r="W21" s="325">
        <v>1476</v>
      </c>
      <c r="X21" s="325">
        <v>848</v>
      </c>
      <c r="Y21" s="3">
        <v>1072</v>
      </c>
      <c r="Z21" s="140">
        <v>1281</v>
      </c>
      <c r="AA21" s="140">
        <v>807</v>
      </c>
      <c r="AB21" s="140">
        <v>801</v>
      </c>
      <c r="AC21" s="3"/>
      <c r="AD21" s="3"/>
      <c r="AE21" s="329">
        <f t="shared" si="14"/>
        <v>11241</v>
      </c>
      <c r="AF21" s="329">
        <f t="shared" si="15"/>
        <v>1124.0999999999999</v>
      </c>
      <c r="AH21" s="325"/>
      <c r="AI21" s="325"/>
      <c r="AJ21" s="325"/>
      <c r="AK21" s="325"/>
      <c r="AL21" s="325"/>
      <c r="AM21" s="325"/>
      <c r="AN21" s="3"/>
      <c r="AO21" s="140"/>
      <c r="AP21" s="140"/>
      <c r="AQ21" s="140"/>
      <c r="AR21" s="3"/>
      <c r="AS21" s="3"/>
      <c r="AT21" s="329">
        <f t="shared" si="16"/>
        <v>0</v>
      </c>
      <c r="AU21" s="329" t="e">
        <f t="shared" si="17"/>
        <v>#DIV/0!</v>
      </c>
      <c r="AW21" s="325"/>
      <c r="AX21" s="325"/>
      <c r="AY21" s="325"/>
      <c r="AZ21" s="325"/>
      <c r="BA21" s="325"/>
      <c r="BB21" s="325"/>
      <c r="BC21" s="3"/>
      <c r="BD21" s="140"/>
      <c r="BE21" s="140"/>
      <c r="BF21" s="140"/>
      <c r="BG21" s="3"/>
      <c r="BH21" s="3"/>
      <c r="BI21" s="329">
        <f t="shared" si="18"/>
        <v>0</v>
      </c>
      <c r="BJ21" s="329" t="e">
        <f t="shared" si="19"/>
        <v>#DIV/0!</v>
      </c>
      <c r="BL21" s="3286">
        <f t="shared" si="10"/>
        <v>0</v>
      </c>
      <c r="BM21" s="3286" t="e">
        <f t="shared" si="11"/>
        <v>#DIV/0!</v>
      </c>
      <c r="BN21" s="4773">
        <f>IFERROR(
  SUM(
    _xlfn.XLOOKUP(DATE(YEAR($A$1),1,1),$2:$2,21:21):
    _xlfn.XLOOKUP($A$1,$2:$2,21:21)
  )
 -SUM(
    _xlfn.XLOOKUP(DATE(YEAR($A$1)-1,1,1),$2:$2,21:21):
    _xlfn.XLOOKUP(EDATE($A$1,-12),$2:$2,21:21)
  ),"")</f>
        <v>0</v>
      </c>
      <c r="BO21" s="2860">
        <f t="shared" si="12"/>
        <v>0</v>
      </c>
    </row>
    <row r="22" spans="1:70" ht="18" hidden="1" thickBot="1" x14ac:dyDescent="0.6">
      <c r="A22" s="7533"/>
      <c r="B22" s="26" t="s">
        <v>423</v>
      </c>
      <c r="C22" s="5"/>
      <c r="D22" s="5">
        <v>26</v>
      </c>
      <c r="E22" s="5">
        <v>32</v>
      </c>
      <c r="F22" s="5">
        <v>18</v>
      </c>
      <c r="G22" s="5">
        <v>8</v>
      </c>
      <c r="H22" s="5">
        <v>27</v>
      </c>
      <c r="I22" s="5">
        <v>33</v>
      </c>
      <c r="J22" s="5">
        <v>19</v>
      </c>
      <c r="K22" s="5">
        <v>30</v>
      </c>
      <c r="L22" s="5">
        <v>34</v>
      </c>
      <c r="M22" s="5">
        <v>60</v>
      </c>
      <c r="N22" s="5">
        <v>27</v>
      </c>
      <c r="O22" s="5">
        <v>27</v>
      </c>
      <c r="P22" s="5">
        <f t="shared" si="13"/>
        <v>341</v>
      </c>
      <c r="Q22" s="349">
        <f t="shared" si="3"/>
        <v>28.416666666666668</v>
      </c>
      <c r="S22" s="363">
        <v>86</v>
      </c>
      <c r="T22" s="363">
        <v>52</v>
      </c>
      <c r="U22" s="363">
        <v>145</v>
      </c>
      <c r="V22" s="363">
        <v>161</v>
      </c>
      <c r="W22" s="363">
        <v>261</v>
      </c>
      <c r="X22" s="363">
        <v>196</v>
      </c>
      <c r="Y22" s="5">
        <v>103</v>
      </c>
      <c r="Z22" s="142">
        <v>108</v>
      </c>
      <c r="AA22" s="142">
        <v>63</v>
      </c>
      <c r="AB22" s="255">
        <v>52</v>
      </c>
      <c r="AC22" s="5"/>
      <c r="AD22" s="5"/>
      <c r="AE22" s="349">
        <f t="shared" si="14"/>
        <v>1227</v>
      </c>
      <c r="AF22" s="349">
        <f t="shared" si="15"/>
        <v>122.7</v>
      </c>
      <c r="AH22" s="363"/>
      <c r="AI22" s="363"/>
      <c r="AJ22" s="363"/>
      <c r="AK22" s="363"/>
      <c r="AL22" s="363"/>
      <c r="AM22" s="363"/>
      <c r="AN22" s="5"/>
      <c r="AO22" s="142"/>
      <c r="AP22" s="142"/>
      <c r="AQ22" s="255"/>
      <c r="AR22" s="5"/>
      <c r="AS22" s="5"/>
      <c r="AT22" s="349">
        <f t="shared" si="16"/>
        <v>0</v>
      </c>
      <c r="AU22" s="349" t="e">
        <f t="shared" si="17"/>
        <v>#DIV/0!</v>
      </c>
      <c r="AW22" s="363"/>
      <c r="AX22" s="363"/>
      <c r="AY22" s="363"/>
      <c r="AZ22" s="363"/>
      <c r="BA22" s="363"/>
      <c r="BB22" s="363"/>
      <c r="BC22" s="5"/>
      <c r="BD22" s="142"/>
      <c r="BE22" s="142"/>
      <c r="BF22" s="255"/>
      <c r="BG22" s="5"/>
      <c r="BH22" s="5"/>
      <c r="BI22" s="349">
        <f t="shared" si="18"/>
        <v>0</v>
      </c>
      <c r="BJ22" s="349" t="e">
        <f t="shared" si="19"/>
        <v>#DIV/0!</v>
      </c>
      <c r="BL22" s="3286">
        <f t="shared" si="10"/>
        <v>0</v>
      </c>
      <c r="BM22" s="3286" t="e">
        <f t="shared" si="11"/>
        <v>#DIV/0!</v>
      </c>
      <c r="BN22" s="4773">
        <f>IFERROR(
  SUM(
    _xlfn.XLOOKUP(DATE(YEAR($A$1),1,1),$2:$2,22:22):
    _xlfn.XLOOKUP($A$1,$2:$2,22:22)
  )
 -SUM(
    _xlfn.XLOOKUP(DATE(YEAR($A$1)-1,1,1),$2:$2,22:22):
    _xlfn.XLOOKUP(EDATE($A$1,-12),$2:$2,22:22)
  ),"")</f>
        <v>0</v>
      </c>
      <c r="BO22" s="2860">
        <f t="shared" si="12"/>
        <v>0</v>
      </c>
    </row>
    <row r="23" spans="1:70" ht="18" hidden="1" thickBot="1" x14ac:dyDescent="0.6">
      <c r="A23" s="7533"/>
      <c r="B23" s="48" t="s">
        <v>338</v>
      </c>
      <c r="C23" s="49"/>
      <c r="D23" s="49">
        <v>81</v>
      </c>
      <c r="E23" s="49">
        <v>228</v>
      </c>
      <c r="F23" s="49">
        <v>86</v>
      </c>
      <c r="G23" s="49">
        <v>67</v>
      </c>
      <c r="H23" s="49">
        <v>44</v>
      </c>
      <c r="I23" s="49">
        <v>37</v>
      </c>
      <c r="J23" s="49">
        <v>31</v>
      </c>
      <c r="K23" s="49">
        <v>179</v>
      </c>
      <c r="L23" s="49">
        <v>37</v>
      </c>
      <c r="M23" s="49">
        <v>5</v>
      </c>
      <c r="N23" s="49">
        <v>1</v>
      </c>
      <c r="O23" s="49">
        <v>1</v>
      </c>
      <c r="P23" s="49">
        <f t="shared" si="13"/>
        <v>797</v>
      </c>
      <c r="Q23" s="350">
        <f t="shared" si="3"/>
        <v>66.416666666666671</v>
      </c>
      <c r="S23" s="364">
        <v>71</v>
      </c>
      <c r="T23" s="364">
        <v>116</v>
      </c>
      <c r="U23" s="364">
        <v>190</v>
      </c>
      <c r="V23" s="364">
        <v>96</v>
      </c>
      <c r="W23" s="364">
        <v>100</v>
      </c>
      <c r="X23" s="364">
        <v>100</v>
      </c>
      <c r="Y23" s="49">
        <v>44</v>
      </c>
      <c r="Z23" s="407">
        <v>113</v>
      </c>
      <c r="AA23" s="407">
        <v>13</v>
      </c>
      <c r="AB23" s="49">
        <v>4</v>
      </c>
      <c r="AC23" s="49"/>
      <c r="AD23" s="49"/>
      <c r="AE23" s="350">
        <f t="shared" si="14"/>
        <v>847</v>
      </c>
      <c r="AF23" s="350">
        <f t="shared" si="15"/>
        <v>84.7</v>
      </c>
      <c r="AH23" s="364"/>
      <c r="AI23" s="364"/>
      <c r="AJ23" s="364"/>
      <c r="AK23" s="364"/>
      <c r="AL23" s="364"/>
      <c r="AM23" s="364"/>
      <c r="AN23" s="49"/>
      <c r="AO23" s="407"/>
      <c r="AP23" s="407"/>
      <c r="AQ23" s="49"/>
      <c r="AR23" s="49"/>
      <c r="AS23" s="49"/>
      <c r="AT23" s="350">
        <f t="shared" si="16"/>
        <v>0</v>
      </c>
      <c r="AU23" s="350" t="e">
        <f t="shared" si="17"/>
        <v>#DIV/0!</v>
      </c>
      <c r="AW23" s="364"/>
      <c r="AX23" s="364"/>
      <c r="AY23" s="364"/>
      <c r="AZ23" s="364"/>
      <c r="BA23" s="364"/>
      <c r="BB23" s="364"/>
      <c r="BC23" s="49"/>
      <c r="BD23" s="407"/>
      <c r="BE23" s="407"/>
      <c r="BF23" s="49"/>
      <c r="BG23" s="49"/>
      <c r="BH23" s="49"/>
      <c r="BI23" s="350">
        <f t="shared" si="18"/>
        <v>0</v>
      </c>
      <c r="BJ23" s="350" t="e">
        <f t="shared" si="19"/>
        <v>#DIV/0!</v>
      </c>
      <c r="BL23" s="3286">
        <f t="shared" si="10"/>
        <v>0</v>
      </c>
      <c r="BM23" s="3286" t="e">
        <f t="shared" si="11"/>
        <v>#DIV/0!</v>
      </c>
      <c r="BN23" s="4773">
        <f>IFERROR(
  SUM(
    _xlfn.XLOOKUP(DATE(YEAR($A$1),1,1),$2:$2,23:23):
    _xlfn.XLOOKUP($A$1,$2:$2,23:23)
  )
 -SUM(
    _xlfn.XLOOKUP(DATE(YEAR($A$1)-1,1,1),$2:$2,23:23):
    _xlfn.XLOOKUP(EDATE($A$1,-12),$2:$2,23:23)
  ),"")</f>
        <v>0</v>
      </c>
      <c r="BO23" s="2860">
        <f t="shared" si="12"/>
        <v>0</v>
      </c>
    </row>
    <row r="24" spans="1:70" ht="18" hidden="1" thickBot="1" x14ac:dyDescent="0.6">
      <c r="A24" s="7533"/>
      <c r="B24" s="32" t="s">
        <v>339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S24" s="326">
        <v>3939</v>
      </c>
      <c r="T24" s="326">
        <v>4644</v>
      </c>
      <c r="U24" s="326">
        <v>3292</v>
      </c>
      <c r="V24" s="326">
        <v>2954</v>
      </c>
      <c r="W24" s="326">
        <v>2871</v>
      </c>
      <c r="X24" s="326">
        <v>2630</v>
      </c>
      <c r="Y24" s="7">
        <v>4884</v>
      </c>
      <c r="Z24" s="239">
        <f>SUM(Z25:Z26)</f>
        <v>2924</v>
      </c>
      <c r="AA24" s="239">
        <f>SUM(AA25:AA26)</f>
        <v>4049</v>
      </c>
      <c r="AB24" s="239">
        <f>SUM(AB25:AB26)</f>
        <v>3967</v>
      </c>
      <c r="AC24" s="7"/>
      <c r="AD24" s="7"/>
      <c r="AE24" s="374">
        <f t="shared" si="14"/>
        <v>36154</v>
      </c>
      <c r="AF24" s="374">
        <f t="shared" si="15"/>
        <v>3615.4</v>
      </c>
      <c r="AH24" s="326"/>
      <c r="AI24" s="326"/>
      <c r="AJ24" s="326"/>
      <c r="AK24" s="326"/>
      <c r="AL24" s="326"/>
      <c r="AM24" s="326"/>
      <c r="AN24" s="7"/>
      <c r="AO24" s="239"/>
      <c r="AP24" s="239"/>
      <c r="AQ24" s="239"/>
      <c r="AR24" s="7"/>
      <c r="AS24" s="7"/>
      <c r="AT24" s="374">
        <f t="shared" si="16"/>
        <v>0</v>
      </c>
      <c r="AU24" s="374" t="e">
        <f t="shared" si="17"/>
        <v>#DIV/0!</v>
      </c>
      <c r="AW24" s="326"/>
      <c r="AX24" s="326"/>
      <c r="AY24" s="326"/>
      <c r="AZ24" s="326"/>
      <c r="BA24" s="326"/>
      <c r="BB24" s="326"/>
      <c r="BC24" s="7"/>
      <c r="BD24" s="239"/>
      <c r="BE24" s="239"/>
      <c r="BF24" s="239"/>
      <c r="BG24" s="7"/>
      <c r="BH24" s="7"/>
      <c r="BI24" s="374">
        <f t="shared" si="18"/>
        <v>0</v>
      </c>
      <c r="BJ24" s="374" t="e">
        <f t="shared" si="19"/>
        <v>#DIV/0!</v>
      </c>
      <c r="BL24" s="3286">
        <f t="shared" si="10"/>
        <v>0</v>
      </c>
      <c r="BM24" s="3286" t="e">
        <f t="shared" si="11"/>
        <v>#DIV/0!</v>
      </c>
      <c r="BN24" s="4773">
        <f>IFERROR(
  SUM(
    _xlfn.XLOOKUP(DATE(YEAR($A$1),1,1),$2:$2,24:24):
    _xlfn.XLOOKUP($A$1,$2:$2,24:24)
  )
 -SUM(
    _xlfn.XLOOKUP(DATE(YEAR($A$1)-1,1,1),$2:$2,24:24):
    _xlfn.XLOOKUP(EDATE($A$1,-12),$2:$2,24:24)
  ),"")</f>
        <v>0</v>
      </c>
      <c r="BO24" s="2860">
        <f t="shared" si="12"/>
        <v>0</v>
      </c>
    </row>
    <row r="25" spans="1:70" ht="18" hidden="1" thickBot="1" x14ac:dyDescent="0.6">
      <c r="A25" s="7533"/>
      <c r="B25" s="27"/>
      <c r="C25" s="3" t="s">
        <v>246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S25" s="325">
        <v>3375</v>
      </c>
      <c r="T25" s="325">
        <v>3079</v>
      </c>
      <c r="U25" s="325">
        <v>1393</v>
      </c>
      <c r="V25" s="325">
        <v>1209</v>
      </c>
      <c r="W25" s="325">
        <v>915</v>
      </c>
      <c r="X25" s="325">
        <v>825</v>
      </c>
      <c r="Y25" s="3">
        <v>2743</v>
      </c>
      <c r="Z25" s="140">
        <v>1072</v>
      </c>
      <c r="AA25" s="140">
        <v>2649</v>
      </c>
      <c r="AB25" s="140">
        <v>1918</v>
      </c>
      <c r="AC25" s="3"/>
      <c r="AD25" s="3"/>
      <c r="AE25" s="329">
        <f t="shared" si="14"/>
        <v>19178</v>
      </c>
      <c r="AF25" s="329">
        <f t="shared" si="15"/>
        <v>1917.8</v>
      </c>
      <c r="AH25" s="325"/>
      <c r="AI25" s="325"/>
      <c r="AJ25" s="325"/>
      <c r="AK25" s="325"/>
      <c r="AL25" s="325"/>
      <c r="AM25" s="325"/>
      <c r="AN25" s="3"/>
      <c r="AO25" s="140"/>
      <c r="AP25" s="140"/>
      <c r="AQ25" s="140"/>
      <c r="AR25" s="3"/>
      <c r="AS25" s="3"/>
      <c r="AT25" s="329">
        <f t="shared" si="16"/>
        <v>0</v>
      </c>
      <c r="AU25" s="329" t="e">
        <f t="shared" si="17"/>
        <v>#DIV/0!</v>
      </c>
      <c r="AW25" s="325"/>
      <c r="AX25" s="325"/>
      <c r="AY25" s="325"/>
      <c r="AZ25" s="325"/>
      <c r="BA25" s="325"/>
      <c r="BB25" s="325"/>
      <c r="BC25" s="3"/>
      <c r="BD25" s="140"/>
      <c r="BE25" s="140"/>
      <c r="BF25" s="140"/>
      <c r="BG25" s="3"/>
      <c r="BH25" s="3"/>
      <c r="BI25" s="329">
        <f t="shared" si="18"/>
        <v>0</v>
      </c>
      <c r="BJ25" s="329" t="e">
        <f t="shared" si="19"/>
        <v>#DIV/0!</v>
      </c>
      <c r="BL25" s="3286">
        <f t="shared" si="10"/>
        <v>0</v>
      </c>
      <c r="BM25" s="3286" t="e">
        <f t="shared" si="11"/>
        <v>#DIV/0!</v>
      </c>
      <c r="BN25" s="4773">
        <f>IFERROR(
  SUM(
    _xlfn.XLOOKUP(DATE(YEAR($A$1),1,1),$2:$2,25:25):
    _xlfn.XLOOKUP($A$1,$2:$2,25:25)
  )
 -SUM(
    _xlfn.XLOOKUP(DATE(YEAR($A$1)-1,1,1),$2:$2,25:25):
    _xlfn.XLOOKUP(EDATE($A$1,-12),$2:$2,25:25)
  ),"")</f>
        <v>0</v>
      </c>
      <c r="BO25" s="2860">
        <f t="shared" si="12"/>
        <v>0</v>
      </c>
    </row>
    <row r="26" spans="1:70" ht="18" hidden="1" thickBot="1" x14ac:dyDescent="0.6">
      <c r="A26" s="7534"/>
      <c r="B26" s="33"/>
      <c r="C26" s="10" t="s">
        <v>340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S26" s="365">
        <v>564</v>
      </c>
      <c r="T26" s="365">
        <v>1565</v>
      </c>
      <c r="U26" s="365">
        <v>1899</v>
      </c>
      <c r="V26" s="365">
        <v>1745</v>
      </c>
      <c r="W26" s="365">
        <v>1956</v>
      </c>
      <c r="X26" s="365">
        <v>1805</v>
      </c>
      <c r="Y26" s="10">
        <v>2141</v>
      </c>
      <c r="Z26" s="173">
        <v>1852</v>
      </c>
      <c r="AA26" s="173">
        <v>1400</v>
      </c>
      <c r="AB26" s="173">
        <v>2049</v>
      </c>
      <c r="AC26" s="10"/>
      <c r="AD26" s="10"/>
      <c r="AE26" s="375">
        <f t="shared" si="14"/>
        <v>16976</v>
      </c>
      <c r="AF26" s="375">
        <f t="shared" si="15"/>
        <v>1697.6</v>
      </c>
      <c r="AH26" s="365"/>
      <c r="AI26" s="365"/>
      <c r="AJ26" s="365"/>
      <c r="AK26" s="365"/>
      <c r="AL26" s="365"/>
      <c r="AM26" s="365"/>
      <c r="AN26" s="10"/>
      <c r="AO26" s="173"/>
      <c r="AP26" s="173"/>
      <c r="AQ26" s="173"/>
      <c r="AR26" s="10"/>
      <c r="AS26" s="10"/>
      <c r="AT26" s="375">
        <f t="shared" si="16"/>
        <v>0</v>
      </c>
      <c r="AU26" s="375" t="e">
        <f t="shared" si="17"/>
        <v>#DIV/0!</v>
      </c>
      <c r="AW26" s="365"/>
      <c r="AX26" s="365"/>
      <c r="AY26" s="365"/>
      <c r="AZ26" s="365"/>
      <c r="BA26" s="365"/>
      <c r="BB26" s="365"/>
      <c r="BC26" s="10"/>
      <c r="BD26" s="173"/>
      <c r="BE26" s="173"/>
      <c r="BF26" s="173"/>
      <c r="BG26" s="10"/>
      <c r="BH26" s="10"/>
      <c r="BI26" s="375">
        <f t="shared" si="18"/>
        <v>0</v>
      </c>
      <c r="BJ26" s="375" t="e">
        <f t="shared" si="19"/>
        <v>#DIV/0!</v>
      </c>
      <c r="BL26" s="3286">
        <f t="shared" si="10"/>
        <v>0</v>
      </c>
      <c r="BM26" s="3286" t="e">
        <f t="shared" si="11"/>
        <v>#DIV/0!</v>
      </c>
      <c r="BN26" s="4773">
        <f>IFERROR(
  SUM(
    _xlfn.XLOOKUP(DATE(YEAR($A$1),1,1),$2:$2,26:26):
    _xlfn.XLOOKUP($A$1,$2:$2,26:26)
  )
 -SUM(
    _xlfn.XLOOKUP(DATE(YEAR($A$1)-1,1,1),$2:$2,26:26):
    _xlfn.XLOOKUP(EDATE($A$1,-12),$2:$2,26:26)
  ),"")</f>
        <v>0</v>
      </c>
      <c r="BO26" s="2860">
        <f t="shared" si="12"/>
        <v>0</v>
      </c>
    </row>
    <row r="27" spans="1:70" ht="18" hidden="1" thickBot="1" x14ac:dyDescent="0.6">
      <c r="BL27" s="3286">
        <f t="shared" si="10"/>
        <v>0</v>
      </c>
      <c r="BM27" s="3286">
        <f t="shared" si="11"/>
        <v>0</v>
      </c>
      <c r="BN27" s="4773">
        <f>IFERROR(
  SUM(
    _xlfn.XLOOKUP(DATE(YEAR($A$1),1,1),$2:$2,27:27):
    _xlfn.XLOOKUP($A$1,$2:$2,27:27)
  )
 -SUM(
    _xlfn.XLOOKUP(DATE(YEAR($A$1)-1,1,1),$2:$2,27:27):
    _xlfn.XLOOKUP(EDATE($A$1,-12),$2:$2,27:27)
  ),"")</f>
        <v>0</v>
      </c>
      <c r="BO27" s="2860">
        <f t="shared" si="12"/>
        <v>0</v>
      </c>
    </row>
    <row r="28" spans="1:70" ht="18" hidden="1" thickBot="1" x14ac:dyDescent="0.6">
      <c r="A28" s="7535" t="s">
        <v>271</v>
      </c>
      <c r="B28" s="50" t="s">
        <v>264</v>
      </c>
      <c r="C28" s="38"/>
      <c r="D28" s="337">
        <v>58890</v>
      </c>
      <c r="E28" s="337">
        <v>60833</v>
      </c>
      <c r="F28" s="337">
        <v>80715</v>
      </c>
      <c r="G28" s="337">
        <v>71492</v>
      </c>
      <c r="H28" s="337">
        <v>72494</v>
      </c>
      <c r="I28" s="337">
        <v>74033</v>
      </c>
      <c r="J28" s="337">
        <v>57433</v>
      </c>
      <c r="K28" s="337">
        <v>75686</v>
      </c>
      <c r="L28" s="337">
        <v>75723</v>
      </c>
      <c r="M28" s="337">
        <v>60038</v>
      </c>
      <c r="N28" s="337">
        <v>69426</v>
      </c>
      <c r="O28" s="337">
        <v>63431</v>
      </c>
      <c r="P28" s="351">
        <f t="shared" ref="P28:P44" si="20">SUM(D28:O28)</f>
        <v>820194</v>
      </c>
      <c r="Q28" s="351">
        <f t="shared" ref="Q28:Q44" si="21">AVERAGE(D28:O28)</f>
        <v>68349.5</v>
      </c>
      <c r="S28" s="280">
        <v>65946</v>
      </c>
      <c r="T28" s="280">
        <v>86100</v>
      </c>
      <c r="U28" s="280">
        <v>67184</v>
      </c>
      <c r="V28" s="280">
        <v>64001</v>
      </c>
      <c r="W28" s="280">
        <v>67176</v>
      </c>
      <c r="X28" s="280">
        <v>71505</v>
      </c>
      <c r="Y28" s="384">
        <v>69084</v>
      </c>
      <c r="Z28" s="384">
        <v>69084</v>
      </c>
      <c r="AA28" s="384">
        <v>81579</v>
      </c>
      <c r="AB28" s="419">
        <f>AA34</f>
        <v>69549</v>
      </c>
      <c r="AC28" s="38"/>
      <c r="AD28" s="38"/>
      <c r="AE28" s="351">
        <f>AF28</f>
        <v>71120.800000000003</v>
      </c>
      <c r="AF28" s="351">
        <f t="shared" si="15"/>
        <v>71120.800000000003</v>
      </c>
      <c r="AH28" s="280"/>
      <c r="AI28" s="280"/>
      <c r="AJ28" s="280"/>
      <c r="AK28" s="280"/>
      <c r="AL28" s="280"/>
      <c r="AM28" s="280"/>
      <c r="AN28" s="384"/>
      <c r="AO28" s="384"/>
      <c r="AP28" s="384"/>
      <c r="AQ28" s="419"/>
      <c r="AR28" s="38"/>
      <c r="AS28" s="38"/>
      <c r="AT28" s="351" t="e">
        <f>AU28</f>
        <v>#DIV/0!</v>
      </c>
      <c r="AU28" s="351" t="e">
        <f t="shared" ref="AU28:AU39" si="22">AVERAGE(AH28:AS28)</f>
        <v>#DIV/0!</v>
      </c>
      <c r="AW28" s="280"/>
      <c r="AX28" s="280"/>
      <c r="AY28" s="280"/>
      <c r="AZ28" s="280"/>
      <c r="BA28" s="280"/>
      <c r="BB28" s="280"/>
      <c r="BC28" s="384"/>
      <c r="BD28" s="384"/>
      <c r="BE28" s="384"/>
      <c r="BF28" s="419"/>
      <c r="BG28" s="38"/>
      <c r="BH28" s="38"/>
      <c r="BI28" s="351" t="e">
        <f>BJ28</f>
        <v>#DIV/0!</v>
      </c>
      <c r="BJ28" s="351" t="e">
        <f t="shared" ref="BJ28:BJ39" si="23">AVERAGE(AW28:BH28)</f>
        <v>#DIV/0!</v>
      </c>
      <c r="BL28" s="3286">
        <f t="shared" si="10"/>
        <v>0</v>
      </c>
      <c r="BM28" s="3286" t="e">
        <f t="shared" si="11"/>
        <v>#DIV/0!</v>
      </c>
      <c r="BN28" s="4773">
        <f>IFERROR(
  SUM(
    _xlfn.XLOOKUP(DATE(YEAR($A$1),1,1),$2:$2,28:28):
    _xlfn.XLOOKUP($A$1,$2:$2,28:28)
  )
 -SUM(
    _xlfn.XLOOKUP(DATE(YEAR($A$1)-1,1,1),$2:$2,28:28):
    _xlfn.XLOOKUP(EDATE($A$1,-12),$2:$2,28:28)
  ),"")</f>
        <v>0</v>
      </c>
      <c r="BO28" s="2860">
        <f t="shared" si="12"/>
        <v>0</v>
      </c>
    </row>
    <row r="29" spans="1:70" ht="18" hidden="1" thickBot="1" x14ac:dyDescent="0.6">
      <c r="A29" s="7536"/>
      <c r="B29" s="21" t="s">
        <v>265</v>
      </c>
      <c r="C29" s="8"/>
      <c r="D29" s="327">
        <v>49419</v>
      </c>
      <c r="E29" s="327">
        <v>80096</v>
      </c>
      <c r="F29" s="327">
        <v>36611</v>
      </c>
      <c r="G29" s="327">
        <v>42953</v>
      </c>
      <c r="H29" s="327">
        <v>45498</v>
      </c>
      <c r="I29" s="327">
        <v>30133</v>
      </c>
      <c r="J29" s="327">
        <v>60591</v>
      </c>
      <c r="K29" s="327">
        <v>75198</v>
      </c>
      <c r="L29" s="327">
        <v>24226</v>
      </c>
      <c r="M29" s="327">
        <v>72057</v>
      </c>
      <c r="N29" s="327">
        <v>38862</v>
      </c>
      <c r="O29" s="327">
        <v>33036</v>
      </c>
      <c r="P29" s="352">
        <f t="shared" si="20"/>
        <v>588680</v>
      </c>
      <c r="Q29" s="327">
        <f t="shared" si="21"/>
        <v>49056.666666666664</v>
      </c>
      <c r="S29" s="138">
        <v>84990</v>
      </c>
      <c r="T29" s="138">
        <v>31041</v>
      </c>
      <c r="U29" s="138">
        <v>37075</v>
      </c>
      <c r="V29" s="138">
        <v>39918</v>
      </c>
      <c r="W29" s="138">
        <v>41906</v>
      </c>
      <c r="X29" s="138">
        <v>46423</v>
      </c>
      <c r="Y29" s="138">
        <f>Y30+Y31+Y32</f>
        <v>69198</v>
      </c>
      <c r="Z29" s="138">
        <f>Z30+Z31+Z32</f>
        <v>69198</v>
      </c>
      <c r="AA29" s="138">
        <f>AA30+AA31+AA32</f>
        <v>93489</v>
      </c>
      <c r="AB29" s="138">
        <f>AB30+AB31+AB32</f>
        <v>60925</v>
      </c>
      <c r="AC29" s="8"/>
      <c r="AD29" s="8"/>
      <c r="AE29" s="352">
        <f t="shared" ref="AE29:AE36" si="24">AF29</f>
        <v>57416.3</v>
      </c>
      <c r="AF29" s="352">
        <f t="shared" si="15"/>
        <v>57416.3</v>
      </c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8"/>
      <c r="AS29" s="8"/>
      <c r="AT29" s="352" t="e">
        <f t="shared" ref="AT29:AT36" si="25">AU29</f>
        <v>#DIV/0!</v>
      </c>
      <c r="AU29" s="352" t="e">
        <f t="shared" si="22"/>
        <v>#DIV/0!</v>
      </c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8"/>
      <c r="BH29" s="8"/>
      <c r="BI29" s="352" t="e">
        <f t="shared" ref="BI29:BI36" si="26">BJ29</f>
        <v>#DIV/0!</v>
      </c>
      <c r="BJ29" s="352" t="e">
        <f t="shared" si="23"/>
        <v>#DIV/0!</v>
      </c>
      <c r="BL29" s="3286">
        <f t="shared" si="10"/>
        <v>0</v>
      </c>
      <c r="BM29" s="3286" t="e">
        <f t="shared" si="11"/>
        <v>#DIV/0!</v>
      </c>
      <c r="BN29" s="4773">
        <f>IFERROR(
  SUM(
    _xlfn.XLOOKUP(DATE(YEAR($A$1),1,1),$2:$2,29:29):
    _xlfn.XLOOKUP($A$1,$2:$2,29:29)
  )
 -SUM(
    _xlfn.XLOOKUP(DATE(YEAR($A$1)-1,1,1),$2:$2,29:29):
    _xlfn.XLOOKUP(EDATE($A$1,-12),$2:$2,29:29)
  ),"")</f>
        <v>0</v>
      </c>
      <c r="BO29" s="2860">
        <f t="shared" si="12"/>
        <v>0</v>
      </c>
    </row>
    <row r="30" spans="1:70" ht="18" hidden="1" thickBot="1" x14ac:dyDescent="0.6">
      <c r="A30" s="7536"/>
      <c r="B30" s="8"/>
      <c r="C30" s="4" t="s">
        <v>266</v>
      </c>
      <c r="D30" s="338">
        <v>40126</v>
      </c>
      <c r="E30" s="338">
        <v>60861</v>
      </c>
      <c r="F30" s="338">
        <v>28960</v>
      </c>
      <c r="G30" s="338">
        <v>33616</v>
      </c>
      <c r="H30" s="338">
        <v>32474</v>
      </c>
      <c r="I30" s="338">
        <v>19647</v>
      </c>
      <c r="J30" s="338">
        <v>52508</v>
      </c>
      <c r="K30" s="338">
        <v>54405</v>
      </c>
      <c r="L30" s="338">
        <v>17596</v>
      </c>
      <c r="M30" s="338">
        <v>61623</v>
      </c>
      <c r="N30" s="338">
        <v>23394</v>
      </c>
      <c r="O30" s="338">
        <v>25050</v>
      </c>
      <c r="P30" s="353">
        <f t="shared" si="20"/>
        <v>450260</v>
      </c>
      <c r="Q30" s="338">
        <f t="shared" si="21"/>
        <v>37521.666666666664</v>
      </c>
      <c r="S30" s="167">
        <v>66849</v>
      </c>
      <c r="T30" s="167">
        <v>14670</v>
      </c>
      <c r="U30" s="167">
        <v>22558</v>
      </c>
      <c r="V30" s="167">
        <v>26183</v>
      </c>
      <c r="W30" s="167">
        <v>25236</v>
      </c>
      <c r="X30" s="167">
        <v>37339</v>
      </c>
      <c r="Y30" s="167">
        <v>51756</v>
      </c>
      <c r="Z30" s="167">
        <v>51756</v>
      </c>
      <c r="AA30" s="167">
        <v>75030</v>
      </c>
      <c r="AB30" s="167">
        <v>38858</v>
      </c>
      <c r="AC30" s="4"/>
      <c r="AD30" s="4"/>
      <c r="AE30" s="353">
        <f t="shared" si="24"/>
        <v>41023.5</v>
      </c>
      <c r="AF30" s="353">
        <f t="shared" si="15"/>
        <v>41023.5</v>
      </c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4"/>
      <c r="AS30" s="4"/>
      <c r="AT30" s="353" t="e">
        <f t="shared" si="25"/>
        <v>#DIV/0!</v>
      </c>
      <c r="AU30" s="353" t="e">
        <f t="shared" si="22"/>
        <v>#DIV/0!</v>
      </c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4"/>
      <c r="BH30" s="4"/>
      <c r="BI30" s="353" t="e">
        <f t="shared" si="26"/>
        <v>#DIV/0!</v>
      </c>
      <c r="BJ30" s="353" t="e">
        <f t="shared" si="23"/>
        <v>#DIV/0!</v>
      </c>
      <c r="BL30" s="3286">
        <f t="shared" si="10"/>
        <v>0</v>
      </c>
      <c r="BM30" s="3286" t="e">
        <f t="shared" si="11"/>
        <v>#DIV/0!</v>
      </c>
      <c r="BN30" s="4773">
        <f>IFERROR(
  SUM(
    _xlfn.XLOOKUP(DATE(YEAR($A$1),1,1),$2:$2,30:30):
    _xlfn.XLOOKUP($A$1,$2:$2,30:30)
  )
 -SUM(
    _xlfn.XLOOKUP(DATE(YEAR($A$1)-1,1,1),$2:$2,30:30):
    _xlfn.XLOOKUP(EDATE($A$1,-12),$2:$2,30:30)
  ),"")</f>
        <v>0</v>
      </c>
      <c r="BO30" s="2860">
        <f t="shared" si="12"/>
        <v>0</v>
      </c>
    </row>
    <row r="31" spans="1:70" ht="18" hidden="1" thickBot="1" x14ac:dyDescent="0.6">
      <c r="A31" s="7536"/>
      <c r="B31" s="8"/>
      <c r="C31" s="4" t="s">
        <v>267</v>
      </c>
      <c r="D31" s="338">
        <v>2753</v>
      </c>
      <c r="E31" s="338">
        <v>15075</v>
      </c>
      <c r="F31" s="338">
        <v>7491</v>
      </c>
      <c r="G31" s="338">
        <v>7757</v>
      </c>
      <c r="H31" s="338">
        <v>10154</v>
      </c>
      <c r="I31" s="338">
        <v>9846</v>
      </c>
      <c r="J31" s="338">
        <v>6513</v>
      </c>
      <c r="K31" s="338">
        <v>20443</v>
      </c>
      <c r="L31" s="338">
        <v>6633</v>
      </c>
      <c r="M31" s="338">
        <v>1424</v>
      </c>
      <c r="N31" s="338">
        <v>6388</v>
      </c>
      <c r="O31" s="338">
        <v>7256</v>
      </c>
      <c r="P31" s="353">
        <f t="shared" si="20"/>
        <v>101733</v>
      </c>
      <c r="Q31" s="338">
        <f t="shared" si="21"/>
        <v>8477.75</v>
      </c>
      <c r="S31" s="167">
        <v>15081</v>
      </c>
      <c r="T31" s="167">
        <v>15851</v>
      </c>
      <c r="U31" s="167">
        <v>12547</v>
      </c>
      <c r="V31" s="167">
        <v>12015</v>
      </c>
      <c r="W31" s="167">
        <v>15120</v>
      </c>
      <c r="X31" s="167">
        <v>8884</v>
      </c>
      <c r="Y31" s="167">
        <f>8281+4751</f>
        <v>13032</v>
      </c>
      <c r="Z31" s="167">
        <f>8281+4751</f>
        <v>13032</v>
      </c>
      <c r="AA31" s="167">
        <f>3019+4369</f>
        <v>7388</v>
      </c>
      <c r="AB31" s="167">
        <v>5997</v>
      </c>
      <c r="AC31" s="4"/>
      <c r="AD31" s="4"/>
      <c r="AE31" s="353">
        <f t="shared" si="24"/>
        <v>11894.7</v>
      </c>
      <c r="AF31" s="353">
        <f t="shared" si="15"/>
        <v>11894.7</v>
      </c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4"/>
      <c r="AS31" s="4"/>
      <c r="AT31" s="353" t="e">
        <f t="shared" si="25"/>
        <v>#DIV/0!</v>
      </c>
      <c r="AU31" s="353" t="e">
        <f t="shared" si="22"/>
        <v>#DIV/0!</v>
      </c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4"/>
      <c r="BH31" s="4"/>
      <c r="BI31" s="353" t="e">
        <f t="shared" si="26"/>
        <v>#DIV/0!</v>
      </c>
      <c r="BJ31" s="353" t="e">
        <f t="shared" si="23"/>
        <v>#DIV/0!</v>
      </c>
      <c r="BL31" s="3286">
        <f t="shared" si="10"/>
        <v>0</v>
      </c>
      <c r="BM31" s="3286" t="e">
        <f t="shared" si="11"/>
        <v>#DIV/0!</v>
      </c>
      <c r="BN31" s="4773">
        <f>IFERROR(
  SUM(
    _xlfn.XLOOKUP(DATE(YEAR($A$1),1,1),$2:$2,31:31):
    _xlfn.XLOOKUP($A$1,$2:$2,31:31)
  )
 -SUM(
    _xlfn.XLOOKUP(DATE(YEAR($A$1)-1,1,1),$2:$2,31:31):
    _xlfn.XLOOKUP(EDATE($A$1,-12),$2:$2,31:31)
  ),"")</f>
        <v>0</v>
      </c>
      <c r="BO31" s="2860">
        <f t="shared" si="12"/>
        <v>0</v>
      </c>
    </row>
    <row r="32" spans="1:70" ht="18" hidden="1" thickBot="1" x14ac:dyDescent="0.6">
      <c r="A32" s="7536"/>
      <c r="B32" s="8"/>
      <c r="C32" s="4" t="s">
        <v>268</v>
      </c>
      <c r="D32" s="338">
        <v>6540</v>
      </c>
      <c r="E32" s="338">
        <v>4160</v>
      </c>
      <c r="F32" s="338">
        <v>160</v>
      </c>
      <c r="G32" s="338">
        <v>1580</v>
      </c>
      <c r="H32" s="338">
        <v>2870</v>
      </c>
      <c r="I32" s="338">
        <v>640</v>
      </c>
      <c r="J32" s="338">
        <v>1570</v>
      </c>
      <c r="K32" s="338">
        <v>350</v>
      </c>
      <c r="L32" s="338">
        <v>-3</v>
      </c>
      <c r="M32" s="338">
        <v>9010</v>
      </c>
      <c r="N32" s="338">
        <v>9080</v>
      </c>
      <c r="O32" s="338">
        <v>730</v>
      </c>
      <c r="P32" s="353">
        <f t="shared" si="20"/>
        <v>36687</v>
      </c>
      <c r="Q32" s="338">
        <f t="shared" si="21"/>
        <v>3057.25</v>
      </c>
      <c r="S32" s="167">
        <v>3060</v>
      </c>
      <c r="T32" s="167">
        <v>520</v>
      </c>
      <c r="U32" s="167">
        <v>1970</v>
      </c>
      <c r="V32" s="167">
        <v>1720</v>
      </c>
      <c r="W32" s="167">
        <v>1550</v>
      </c>
      <c r="X32" s="167">
        <v>200</v>
      </c>
      <c r="Y32" s="167">
        <v>4410</v>
      </c>
      <c r="Z32" s="167">
        <v>4410</v>
      </c>
      <c r="AA32" s="167">
        <v>11071</v>
      </c>
      <c r="AB32" s="167">
        <v>16070</v>
      </c>
      <c r="AC32" s="4"/>
      <c r="AD32" s="4"/>
      <c r="AE32" s="353">
        <f t="shared" si="24"/>
        <v>4498.1000000000004</v>
      </c>
      <c r="AF32" s="353">
        <f t="shared" si="15"/>
        <v>4498.1000000000004</v>
      </c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4"/>
      <c r="AS32" s="4"/>
      <c r="AT32" s="353" t="e">
        <f t="shared" si="25"/>
        <v>#DIV/0!</v>
      </c>
      <c r="AU32" s="353" t="e">
        <f t="shared" si="22"/>
        <v>#DIV/0!</v>
      </c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4"/>
      <c r="BH32" s="4"/>
      <c r="BI32" s="353" t="e">
        <f t="shared" si="26"/>
        <v>#DIV/0!</v>
      </c>
      <c r="BJ32" s="353" t="e">
        <f t="shared" si="23"/>
        <v>#DIV/0!</v>
      </c>
      <c r="BL32" s="3286">
        <f t="shared" si="10"/>
        <v>0</v>
      </c>
      <c r="BM32" s="3286" t="e">
        <f t="shared" si="11"/>
        <v>#DIV/0!</v>
      </c>
      <c r="BN32" s="4773">
        <f>IFERROR(
  SUM(
    _xlfn.XLOOKUP(DATE(YEAR($A$1),1,1),$2:$2,32:32):
    _xlfn.XLOOKUP($A$1,$2:$2,32:32)
  )
 -SUM(
    _xlfn.XLOOKUP(DATE(YEAR($A$1)-1,1,1),$2:$2,32:32):
    _xlfn.XLOOKUP(EDATE($A$1,-12),$2:$2,32:32)
  ),"")</f>
        <v>0</v>
      </c>
      <c r="BO32" s="2860">
        <f t="shared" si="12"/>
        <v>0</v>
      </c>
    </row>
    <row r="33" spans="1:67" ht="18" hidden="1" thickBot="1" x14ac:dyDescent="0.6">
      <c r="A33" s="7536"/>
      <c r="B33" s="20" t="s">
        <v>580</v>
      </c>
      <c r="C33" s="1"/>
      <c r="D33" s="324">
        <v>47476</v>
      </c>
      <c r="E33" s="324">
        <v>60214</v>
      </c>
      <c r="F33" s="324">
        <v>45834</v>
      </c>
      <c r="G33" s="324">
        <v>41951</v>
      </c>
      <c r="H33" s="324">
        <v>43959</v>
      </c>
      <c r="I33" s="324">
        <v>46733</v>
      </c>
      <c r="J33" s="324">
        <v>42338</v>
      </c>
      <c r="K33" s="324">
        <v>75161</v>
      </c>
      <c r="L33" s="324">
        <v>39911</v>
      </c>
      <c r="M33" s="324">
        <v>62669</v>
      </c>
      <c r="N33" s="324">
        <v>44857</v>
      </c>
      <c r="O33" s="324">
        <v>30521</v>
      </c>
      <c r="P33" s="328">
        <f t="shared" si="20"/>
        <v>581624</v>
      </c>
      <c r="Q33" s="324">
        <f t="shared" si="21"/>
        <v>48468.666666666664</v>
      </c>
      <c r="S33" s="140">
        <v>64836</v>
      </c>
      <c r="T33" s="140">
        <v>49957</v>
      </c>
      <c r="U33" s="140">
        <v>40258</v>
      </c>
      <c r="V33" s="140">
        <v>36743</v>
      </c>
      <c r="W33" s="140">
        <v>37577</v>
      </c>
      <c r="X33" s="140">
        <v>48844</v>
      </c>
      <c r="Y33" s="253">
        <f>Y28+Y29-Y34</f>
        <v>56703</v>
      </c>
      <c r="Z33" s="253">
        <f>Z28+Z29-Z34</f>
        <v>56703</v>
      </c>
      <c r="AA33" s="253">
        <f>AA28+AA29-AA34</f>
        <v>105519</v>
      </c>
      <c r="AB33" s="253">
        <f>AB28+AB29-AB34</f>
        <v>42343</v>
      </c>
      <c r="AC33" s="1"/>
      <c r="AD33" s="1"/>
      <c r="AE33" s="328">
        <f t="shared" si="24"/>
        <v>53948.3</v>
      </c>
      <c r="AF33" s="328">
        <f t="shared" si="15"/>
        <v>53948.3</v>
      </c>
      <c r="AH33" s="140"/>
      <c r="AI33" s="140"/>
      <c r="AJ33" s="140"/>
      <c r="AK33" s="140"/>
      <c r="AL33" s="140"/>
      <c r="AM33" s="140"/>
      <c r="AN33" s="253"/>
      <c r="AO33" s="253"/>
      <c r="AP33" s="253"/>
      <c r="AQ33" s="253"/>
      <c r="AR33" s="1"/>
      <c r="AS33" s="1"/>
      <c r="AT33" s="328" t="e">
        <f t="shared" si="25"/>
        <v>#DIV/0!</v>
      </c>
      <c r="AU33" s="328" t="e">
        <f t="shared" si="22"/>
        <v>#DIV/0!</v>
      </c>
      <c r="AW33" s="140"/>
      <c r="AX33" s="140"/>
      <c r="AY33" s="140"/>
      <c r="AZ33" s="140"/>
      <c r="BA33" s="140"/>
      <c r="BB33" s="140"/>
      <c r="BC33" s="253"/>
      <c r="BD33" s="253"/>
      <c r="BE33" s="253"/>
      <c r="BF33" s="253"/>
      <c r="BG33" s="1"/>
      <c r="BH33" s="1"/>
      <c r="BI33" s="328" t="e">
        <f t="shared" si="26"/>
        <v>#DIV/0!</v>
      </c>
      <c r="BJ33" s="328" t="e">
        <f t="shared" si="23"/>
        <v>#DIV/0!</v>
      </c>
      <c r="BL33" s="3286">
        <f t="shared" si="10"/>
        <v>0</v>
      </c>
      <c r="BM33" s="3286" t="e">
        <f t="shared" si="11"/>
        <v>#DIV/0!</v>
      </c>
      <c r="BN33" s="4773">
        <f>IFERROR(
  SUM(
    _xlfn.XLOOKUP(DATE(YEAR($A$1),1,1),$2:$2,33:33):
    _xlfn.XLOOKUP($A$1,$2:$2,33:33)
  )
 -SUM(
    _xlfn.XLOOKUP(DATE(YEAR($A$1)-1,1,1),$2:$2,33:33):
    _xlfn.XLOOKUP(EDATE($A$1,-12),$2:$2,33:33)
  ),"")</f>
        <v>0</v>
      </c>
      <c r="BO33" s="2860">
        <f t="shared" si="12"/>
        <v>0</v>
      </c>
    </row>
    <row r="34" spans="1:67" ht="18" hidden="1" thickBot="1" x14ac:dyDescent="0.6">
      <c r="A34" s="7536"/>
      <c r="B34" s="51" t="s">
        <v>269</v>
      </c>
      <c r="C34" s="29"/>
      <c r="D34" s="339">
        <v>60833</v>
      </c>
      <c r="E34" s="339">
        <v>80715</v>
      </c>
      <c r="F34" s="339">
        <v>71492</v>
      </c>
      <c r="G34" s="339">
        <v>72494</v>
      </c>
      <c r="H34" s="339">
        <v>74033</v>
      </c>
      <c r="I34" s="339">
        <v>57433</v>
      </c>
      <c r="J34" s="339">
        <v>75686</v>
      </c>
      <c r="K34" s="339">
        <v>75723</v>
      </c>
      <c r="L34" s="339">
        <v>60038</v>
      </c>
      <c r="M34" s="339">
        <v>69426</v>
      </c>
      <c r="N34" s="339">
        <v>63431</v>
      </c>
      <c r="O34" s="339"/>
      <c r="P34" s="354">
        <f t="shared" si="20"/>
        <v>761304</v>
      </c>
      <c r="Q34" s="339">
        <f t="shared" si="21"/>
        <v>69209.454545454544</v>
      </c>
      <c r="S34" s="279">
        <v>86100</v>
      </c>
      <c r="T34" s="279">
        <v>67184</v>
      </c>
      <c r="U34" s="279">
        <v>64001</v>
      </c>
      <c r="V34" s="279">
        <v>67176</v>
      </c>
      <c r="W34" s="279">
        <v>71505</v>
      </c>
      <c r="X34" s="279">
        <v>69084</v>
      </c>
      <c r="Y34" s="279">
        <v>81579</v>
      </c>
      <c r="Z34" s="279">
        <v>81579</v>
      </c>
      <c r="AA34" s="279">
        <v>69549</v>
      </c>
      <c r="AB34" s="279">
        <v>88131</v>
      </c>
      <c r="AC34" s="29"/>
      <c r="AD34" s="29"/>
      <c r="AE34" s="354">
        <f t="shared" si="24"/>
        <v>74588.800000000003</v>
      </c>
      <c r="AF34" s="354">
        <f t="shared" si="15"/>
        <v>74588.800000000003</v>
      </c>
      <c r="AH34" s="279"/>
      <c r="AI34" s="279"/>
      <c r="AJ34" s="279"/>
      <c r="AK34" s="279"/>
      <c r="AL34" s="279"/>
      <c r="AM34" s="279"/>
      <c r="AN34" s="279"/>
      <c r="AO34" s="279"/>
      <c r="AP34" s="279"/>
      <c r="AQ34" s="279"/>
      <c r="AR34" s="29"/>
      <c r="AS34" s="29"/>
      <c r="AT34" s="354" t="e">
        <f t="shared" si="25"/>
        <v>#DIV/0!</v>
      </c>
      <c r="AU34" s="354" t="e">
        <f t="shared" si="22"/>
        <v>#DIV/0!</v>
      </c>
      <c r="AW34" s="279"/>
      <c r="AX34" s="279"/>
      <c r="AY34" s="279"/>
      <c r="AZ34" s="279"/>
      <c r="BA34" s="279"/>
      <c r="BB34" s="279"/>
      <c r="BC34" s="279"/>
      <c r="BD34" s="279"/>
      <c r="BE34" s="279"/>
      <c r="BF34" s="279"/>
      <c r="BG34" s="29"/>
      <c r="BH34" s="29"/>
      <c r="BI34" s="354" t="e">
        <f t="shared" si="26"/>
        <v>#DIV/0!</v>
      </c>
      <c r="BJ34" s="354" t="e">
        <f t="shared" si="23"/>
        <v>#DIV/0!</v>
      </c>
      <c r="BL34" s="3286">
        <f t="shared" si="10"/>
        <v>0</v>
      </c>
      <c r="BM34" s="3286" t="e">
        <f t="shared" si="11"/>
        <v>#DIV/0!</v>
      </c>
      <c r="BN34" s="4773">
        <f>IFERROR(
  SUM(
    _xlfn.XLOOKUP(DATE(YEAR($A$1),1,1),$2:$2,34:34):
    _xlfn.XLOOKUP($A$1,$2:$2,34:34)
  )
 -SUM(
    _xlfn.XLOOKUP(DATE(YEAR($A$1)-1,1,1),$2:$2,34:34):
    _xlfn.XLOOKUP(EDATE($A$1,-12),$2:$2,34:34)
  ),"")</f>
        <v>0</v>
      </c>
      <c r="BO34" s="2860">
        <f t="shared" si="12"/>
        <v>0</v>
      </c>
    </row>
    <row r="35" spans="1:67" ht="18" hidden="1" thickBot="1" x14ac:dyDescent="0.6">
      <c r="A35" s="7536"/>
      <c r="B35" s="29"/>
      <c r="C35" s="40" t="s">
        <v>276</v>
      </c>
      <c r="D35" s="340">
        <v>818.45056848000002</v>
      </c>
      <c r="E35" s="340">
        <v>1015.3829696499999</v>
      </c>
      <c r="F35" s="340">
        <v>764.9</v>
      </c>
      <c r="G35" s="340">
        <v>720</v>
      </c>
      <c r="H35" s="340">
        <v>722.4</v>
      </c>
      <c r="I35" s="340">
        <v>566.29999999999995</v>
      </c>
      <c r="J35" s="340">
        <v>761.7</v>
      </c>
      <c r="K35" s="340">
        <v>754.1</v>
      </c>
      <c r="L35" s="340">
        <v>585.1</v>
      </c>
      <c r="M35" s="340">
        <v>840.7</v>
      </c>
      <c r="N35" s="340">
        <v>756.2</v>
      </c>
      <c r="O35" s="340">
        <v>719.4</v>
      </c>
      <c r="P35" s="355">
        <f t="shared" si="20"/>
        <v>9024.6335381299996</v>
      </c>
      <c r="Q35" s="340">
        <f t="shared" si="21"/>
        <v>752.05279484416667</v>
      </c>
      <c r="S35" s="368">
        <v>955.5</v>
      </c>
      <c r="T35" s="321">
        <v>732</v>
      </c>
      <c r="U35" s="321">
        <v>654</v>
      </c>
      <c r="V35" s="321">
        <v>654.1</v>
      </c>
      <c r="W35" s="368">
        <v>682.5</v>
      </c>
      <c r="X35" s="368">
        <v>613</v>
      </c>
      <c r="Y35" s="321">
        <v>819</v>
      </c>
      <c r="Z35" s="321">
        <v>819</v>
      </c>
      <c r="AA35" s="321">
        <v>636</v>
      </c>
      <c r="AB35" s="321">
        <v>1053</v>
      </c>
      <c r="AC35" s="40"/>
      <c r="AD35" s="40"/>
      <c r="AE35" s="368">
        <f t="shared" si="24"/>
        <v>761.81000000000006</v>
      </c>
      <c r="AF35" s="368">
        <f t="shared" si="15"/>
        <v>761.81000000000006</v>
      </c>
      <c r="AH35" s="368"/>
      <c r="AI35" s="321"/>
      <c r="AJ35" s="321"/>
      <c r="AK35" s="321"/>
      <c r="AL35" s="368"/>
      <c r="AM35" s="368"/>
      <c r="AN35" s="321"/>
      <c r="AO35" s="321"/>
      <c r="AP35" s="321"/>
      <c r="AQ35" s="321"/>
      <c r="AR35" s="40"/>
      <c r="AS35" s="40"/>
      <c r="AT35" s="368" t="e">
        <f t="shared" si="25"/>
        <v>#DIV/0!</v>
      </c>
      <c r="AU35" s="368" t="e">
        <f t="shared" si="22"/>
        <v>#DIV/0!</v>
      </c>
      <c r="AW35" s="368"/>
      <c r="AX35" s="321"/>
      <c r="AY35" s="321"/>
      <c r="AZ35" s="321"/>
      <c r="BA35" s="368"/>
      <c r="BB35" s="368"/>
      <c r="BC35" s="321"/>
      <c r="BD35" s="321"/>
      <c r="BE35" s="321"/>
      <c r="BF35" s="321"/>
      <c r="BG35" s="40"/>
      <c r="BH35" s="40"/>
      <c r="BI35" s="368" t="e">
        <f t="shared" si="26"/>
        <v>#DIV/0!</v>
      </c>
      <c r="BJ35" s="368" t="e">
        <f t="shared" si="23"/>
        <v>#DIV/0!</v>
      </c>
      <c r="BL35" s="3286">
        <f t="shared" si="10"/>
        <v>0</v>
      </c>
      <c r="BM35" s="3286" t="e">
        <f t="shared" si="11"/>
        <v>#DIV/0!</v>
      </c>
      <c r="BN35" s="4773">
        <f>IFERROR(
  SUM(
    _xlfn.XLOOKUP(DATE(YEAR($A$1),1,1),$2:$2,35:35):
    _xlfn.XLOOKUP($A$1,$2:$2,35:35)
  )
 -SUM(
    _xlfn.XLOOKUP(DATE(YEAR($A$1)-1,1,1),$2:$2,35:35):
    _xlfn.XLOOKUP(EDATE($A$1,-12),$2:$2,35:35)
  ),"")</f>
        <v>0</v>
      </c>
      <c r="BO35" s="2860">
        <f t="shared" si="12"/>
        <v>0</v>
      </c>
    </row>
    <row r="36" spans="1:67" ht="18" hidden="1" thickBot="1" x14ac:dyDescent="0.6">
      <c r="A36" s="7537"/>
      <c r="B36" s="39"/>
      <c r="C36" s="41" t="s">
        <v>270</v>
      </c>
      <c r="D36" s="341">
        <v>42.86253608200559</v>
      </c>
      <c r="E36" s="341">
        <v>35.300126517032943</v>
      </c>
      <c r="F36" s="341">
        <v>45.788438494277095</v>
      </c>
      <c r="G36" s="341">
        <v>49.41200527105012</v>
      </c>
      <c r="H36" s="341">
        <v>48.139929521332384</v>
      </c>
      <c r="I36" s="341">
        <v>37.833820074218835</v>
      </c>
      <c r="J36" s="341">
        <v>53.780136154216429</v>
      </c>
      <c r="K36" s="341">
        <v>31.343138302133685</v>
      </c>
      <c r="L36" s="341">
        <v>47.956227701155548</v>
      </c>
      <c r="M36" s="341">
        <v>30.192416144101678</v>
      </c>
      <c r="N36" s="341">
        <v>43.2</v>
      </c>
      <c r="O36" s="341">
        <v>60.9</v>
      </c>
      <c r="P36" s="356">
        <f t="shared" si="20"/>
        <v>526.70877426152435</v>
      </c>
      <c r="Q36" s="341">
        <f t="shared" si="21"/>
        <v>43.89239785512703</v>
      </c>
      <c r="S36" s="281">
        <v>39.6</v>
      </c>
      <c r="T36" s="281">
        <v>44.2</v>
      </c>
      <c r="U36" s="281">
        <v>55.4</v>
      </c>
      <c r="V36" s="281">
        <v>52.1</v>
      </c>
      <c r="W36" s="41">
        <v>59.5</v>
      </c>
      <c r="X36" s="41">
        <v>58.2</v>
      </c>
      <c r="Y36" s="385">
        <v>42</v>
      </c>
      <c r="Z36" s="385">
        <v>42</v>
      </c>
      <c r="AA36" s="385">
        <v>12.6</v>
      </c>
      <c r="AB36" s="385">
        <v>69.400000000000006</v>
      </c>
      <c r="AC36" s="41"/>
      <c r="AD36" s="41"/>
      <c r="AE36" s="376">
        <f t="shared" si="24"/>
        <v>47.5</v>
      </c>
      <c r="AF36" s="376">
        <f t="shared" si="15"/>
        <v>47.5</v>
      </c>
      <c r="AH36" s="281"/>
      <c r="AI36" s="281"/>
      <c r="AJ36" s="281"/>
      <c r="AK36" s="281"/>
      <c r="AL36" s="41"/>
      <c r="AM36" s="41"/>
      <c r="AN36" s="385"/>
      <c r="AO36" s="385"/>
      <c r="AP36" s="385"/>
      <c r="AQ36" s="385"/>
      <c r="AR36" s="41"/>
      <c r="AS36" s="41"/>
      <c r="AT36" s="376" t="e">
        <f t="shared" si="25"/>
        <v>#DIV/0!</v>
      </c>
      <c r="AU36" s="376" t="e">
        <f t="shared" si="22"/>
        <v>#DIV/0!</v>
      </c>
      <c r="AW36" s="281"/>
      <c r="AX36" s="281"/>
      <c r="AY36" s="281"/>
      <c r="AZ36" s="281"/>
      <c r="BA36" s="41"/>
      <c r="BB36" s="41"/>
      <c r="BC36" s="385"/>
      <c r="BD36" s="385"/>
      <c r="BE36" s="385"/>
      <c r="BF36" s="385"/>
      <c r="BG36" s="41"/>
      <c r="BH36" s="41"/>
      <c r="BI36" s="376" t="e">
        <f t="shared" si="26"/>
        <v>#DIV/0!</v>
      </c>
      <c r="BJ36" s="376" t="e">
        <f t="shared" si="23"/>
        <v>#DIV/0!</v>
      </c>
      <c r="BL36" s="3286">
        <f t="shared" si="10"/>
        <v>0</v>
      </c>
      <c r="BM36" s="3286" t="e">
        <f t="shared" si="11"/>
        <v>#DIV/0!</v>
      </c>
      <c r="BN36" s="4773">
        <f>IFERROR(
  SUM(
    _xlfn.XLOOKUP(DATE(YEAR($A$1),1,1),$2:$2,36:36):
    _xlfn.XLOOKUP($A$1,$2:$2,36:36)
  )
 -SUM(
    _xlfn.XLOOKUP(DATE(YEAR($A$1)-1,1,1),$2:$2,36:36):
    _xlfn.XLOOKUP(EDATE($A$1,-12),$2:$2,36:36)
  ),"")</f>
        <v>0</v>
      </c>
      <c r="BO36" s="2860">
        <f t="shared" si="12"/>
        <v>0</v>
      </c>
    </row>
    <row r="37" spans="1:67" ht="18" hidden="1" thickBot="1" x14ac:dyDescent="0.6">
      <c r="A37" s="7538" t="s">
        <v>272</v>
      </c>
      <c r="B37" s="20" t="s">
        <v>273</v>
      </c>
      <c r="C37" s="1"/>
      <c r="D37" s="324">
        <v>6.56933202</v>
      </c>
      <c r="E37" s="324">
        <v>6.7807421999999899</v>
      </c>
      <c r="F37" s="324">
        <v>2.0568258799999999</v>
      </c>
      <c r="G37" s="324">
        <v>2.4629884899999999</v>
      </c>
      <c r="H37" s="324">
        <v>3.4574422499999997</v>
      </c>
      <c r="I37" s="324">
        <v>1.8708617799999985</v>
      </c>
      <c r="J37" s="324">
        <v>3.6522360499999973</v>
      </c>
      <c r="K37" s="324">
        <v>5.7572299899999999</v>
      </c>
      <c r="L37" s="324">
        <v>1.2986999999999997</v>
      </c>
      <c r="M37" s="324">
        <v>7.6272242700000001</v>
      </c>
      <c r="N37" s="324">
        <v>7.8071589599999998</v>
      </c>
      <c r="O37" s="324">
        <v>1.99546599</v>
      </c>
      <c r="P37" s="328">
        <f t="shared" si="20"/>
        <v>51.336207879999982</v>
      </c>
      <c r="Q37" s="324">
        <f t="shared" si="21"/>
        <v>4.2780173233333318</v>
      </c>
      <c r="S37" s="361">
        <v>8.1312701099999991</v>
      </c>
      <c r="T37" s="282">
        <v>2.6240245479999995</v>
      </c>
      <c r="U37" s="282">
        <v>2.7850913099999999</v>
      </c>
      <c r="V37" s="282">
        <v>3.2351797900000001</v>
      </c>
      <c r="W37" s="361">
        <v>3.3</v>
      </c>
      <c r="X37" s="361">
        <v>1.3699999999999999</v>
      </c>
      <c r="Y37" s="282">
        <f>Y38+Y39</f>
        <v>5.0399999999999991</v>
      </c>
      <c r="Z37" s="282">
        <f>Z38+Z39</f>
        <v>5.0399999999999991</v>
      </c>
      <c r="AA37" s="282">
        <f>AA38+AA39</f>
        <v>8.6300000000000008</v>
      </c>
      <c r="AB37" s="282">
        <f>AB38+AB39</f>
        <v>13.93</v>
      </c>
      <c r="AC37" s="1"/>
      <c r="AD37" s="1"/>
      <c r="AE37" s="361">
        <f t="shared" si="14"/>
        <v>54.085565758000001</v>
      </c>
      <c r="AF37" s="361">
        <f t="shared" si="15"/>
        <v>5.4085565758000005</v>
      </c>
      <c r="AH37" s="361"/>
      <c r="AI37" s="282"/>
      <c r="AJ37" s="282"/>
      <c r="AK37" s="282"/>
      <c r="AL37" s="361"/>
      <c r="AM37" s="361"/>
      <c r="AN37" s="282"/>
      <c r="AO37" s="282"/>
      <c r="AP37" s="282"/>
      <c r="AQ37" s="282"/>
      <c r="AR37" s="1"/>
      <c r="AS37" s="1"/>
      <c r="AT37" s="361">
        <f t="shared" ref="AT37:AT39" si="27">SUM(AH37:AS37)</f>
        <v>0</v>
      </c>
      <c r="AU37" s="361" t="e">
        <f t="shared" si="22"/>
        <v>#DIV/0!</v>
      </c>
      <c r="AW37" s="361"/>
      <c r="AX37" s="282"/>
      <c r="AY37" s="282"/>
      <c r="AZ37" s="282"/>
      <c r="BA37" s="361"/>
      <c r="BB37" s="361"/>
      <c r="BC37" s="282"/>
      <c r="BD37" s="282"/>
      <c r="BE37" s="282"/>
      <c r="BF37" s="282"/>
      <c r="BG37" s="1"/>
      <c r="BH37" s="1"/>
      <c r="BI37" s="361">
        <f t="shared" ref="BI37:BI39" si="28">SUM(AW37:BH37)</f>
        <v>0</v>
      </c>
      <c r="BJ37" s="361" t="e">
        <f t="shared" si="23"/>
        <v>#DIV/0!</v>
      </c>
      <c r="BL37" s="3286">
        <f t="shared" si="10"/>
        <v>0</v>
      </c>
      <c r="BM37" s="3286" t="e">
        <f t="shared" si="11"/>
        <v>#DIV/0!</v>
      </c>
      <c r="BN37" s="4773">
        <f>IFERROR(
  SUM(
    _xlfn.XLOOKUP(DATE(YEAR($A$1),1,1),$2:$2,37:37):
    _xlfn.XLOOKUP($A$1,$2:$2,37:37)
  )
 -SUM(
    _xlfn.XLOOKUP(DATE(YEAR($A$1)-1,1,1),$2:$2,37:37):
    _xlfn.XLOOKUP(EDATE($A$1,-12),$2:$2,37:37)
  ),"")</f>
        <v>0</v>
      </c>
      <c r="BO37" s="2860">
        <f t="shared" si="12"/>
        <v>0</v>
      </c>
    </row>
    <row r="38" spans="1:67" ht="18" hidden="1" thickBot="1" x14ac:dyDescent="0.6">
      <c r="A38" s="7536"/>
      <c r="B38" s="1"/>
      <c r="C38" s="4" t="s">
        <v>257</v>
      </c>
      <c r="D38" s="338">
        <v>1.1629799999999999</v>
      </c>
      <c r="E38" s="338">
        <v>4.7969999999999997</v>
      </c>
      <c r="F38" s="338">
        <v>1.9702799999999998</v>
      </c>
      <c r="G38" s="338">
        <v>1.2284999999999999</v>
      </c>
      <c r="H38" s="338">
        <v>1.53738</v>
      </c>
      <c r="I38" s="338">
        <v>1.5467399999999998</v>
      </c>
      <c r="J38" s="338">
        <v>2.9624399999999995</v>
      </c>
      <c r="K38" s="338">
        <v>5.5902599999999998</v>
      </c>
      <c r="L38" s="338">
        <v>1.2986999999999997</v>
      </c>
      <c r="M38" s="338">
        <v>0.36971999999999999</v>
      </c>
      <c r="N38" s="338">
        <v>1.6871399999999996</v>
      </c>
      <c r="O38" s="338">
        <v>1.3899599999999999</v>
      </c>
      <c r="P38" s="353">
        <f t="shared" si="20"/>
        <v>25.541099999999997</v>
      </c>
      <c r="Q38" s="338">
        <f t="shared" si="21"/>
        <v>2.1284249999999996</v>
      </c>
      <c r="S38" s="362">
        <v>5.6253599999999997</v>
      </c>
      <c r="T38" s="283">
        <v>2.30958</v>
      </c>
      <c r="U38" s="283">
        <v>1.6309799999999999</v>
      </c>
      <c r="V38" s="283">
        <v>1.7386199999999998</v>
      </c>
      <c r="W38" s="362">
        <v>2.2999999999999998</v>
      </c>
      <c r="X38" s="362">
        <v>1.2</v>
      </c>
      <c r="Y38" s="283">
        <v>4.5599999999999996</v>
      </c>
      <c r="Z38" s="283">
        <v>4.5599999999999996</v>
      </c>
      <c r="AA38" s="283">
        <v>1.1000000000000001</v>
      </c>
      <c r="AB38" s="283">
        <v>1.23</v>
      </c>
      <c r="AC38" s="4"/>
      <c r="AD38" s="4"/>
      <c r="AE38" s="362">
        <f t="shared" si="14"/>
        <v>26.254539999999995</v>
      </c>
      <c r="AF38" s="362">
        <f t="shared" si="15"/>
        <v>2.6254539999999995</v>
      </c>
      <c r="AH38" s="362"/>
      <c r="AI38" s="283"/>
      <c r="AJ38" s="283"/>
      <c r="AK38" s="283"/>
      <c r="AL38" s="362"/>
      <c r="AM38" s="362"/>
      <c r="AN38" s="283"/>
      <c r="AO38" s="283"/>
      <c r="AP38" s="283"/>
      <c r="AQ38" s="283"/>
      <c r="AR38" s="4"/>
      <c r="AS38" s="4"/>
      <c r="AT38" s="362">
        <f t="shared" si="27"/>
        <v>0</v>
      </c>
      <c r="AU38" s="362" t="e">
        <f t="shared" si="22"/>
        <v>#DIV/0!</v>
      </c>
      <c r="AW38" s="362"/>
      <c r="AX38" s="283"/>
      <c r="AY38" s="283"/>
      <c r="AZ38" s="283"/>
      <c r="BA38" s="362"/>
      <c r="BB38" s="362"/>
      <c r="BC38" s="283"/>
      <c r="BD38" s="283"/>
      <c r="BE38" s="283"/>
      <c r="BF38" s="283"/>
      <c r="BG38" s="4"/>
      <c r="BH38" s="4"/>
      <c r="BI38" s="362">
        <f t="shared" si="28"/>
        <v>0</v>
      </c>
      <c r="BJ38" s="362" t="e">
        <f t="shared" si="23"/>
        <v>#DIV/0!</v>
      </c>
      <c r="BL38" s="3286">
        <f t="shared" si="10"/>
        <v>0</v>
      </c>
      <c r="BM38" s="3286" t="e">
        <f t="shared" si="11"/>
        <v>#DIV/0!</v>
      </c>
      <c r="BN38" s="4773">
        <f>IFERROR(
  SUM(
    _xlfn.XLOOKUP(DATE(YEAR($A$1),1,1),$2:$2,38:38):
    _xlfn.XLOOKUP($A$1,$2:$2,38:38)
  )
 -SUM(
    _xlfn.XLOOKUP(DATE(YEAR($A$1)-1,1,1),$2:$2,38:38):
    _xlfn.XLOOKUP(EDATE($A$1,-12),$2:$2,38:38)
  ),"")</f>
        <v>0</v>
      </c>
      <c r="BO38" s="2860">
        <f t="shared" si="12"/>
        <v>0</v>
      </c>
    </row>
    <row r="39" spans="1:67" ht="18" hidden="1" thickBot="1" x14ac:dyDescent="0.6">
      <c r="A39" s="7539"/>
      <c r="B39" s="31"/>
      <c r="C39" s="42" t="s">
        <v>258</v>
      </c>
      <c r="D39" s="342">
        <v>5.4063520199999999</v>
      </c>
      <c r="E39" s="342">
        <v>1.9837421999999905</v>
      </c>
      <c r="F39" s="342">
        <v>8.6545880000000006E-2</v>
      </c>
      <c r="G39" s="342">
        <v>1.2344884899999999</v>
      </c>
      <c r="H39" s="342">
        <v>1.92006225</v>
      </c>
      <c r="I39" s="342">
        <v>0.3241217799999988</v>
      </c>
      <c r="J39" s="342">
        <v>0.68979604999999766</v>
      </c>
      <c r="K39" s="342">
        <v>0.16696999000000001</v>
      </c>
      <c r="L39" s="342">
        <v>0</v>
      </c>
      <c r="M39" s="342">
        <v>7.2575042700000001</v>
      </c>
      <c r="N39" s="342">
        <v>6.1200189600000003</v>
      </c>
      <c r="O39" s="342">
        <v>0.60550599000000005</v>
      </c>
      <c r="P39" s="357">
        <f t="shared" si="20"/>
        <v>25.795107879999989</v>
      </c>
      <c r="Q39" s="342">
        <f t="shared" si="21"/>
        <v>2.1495923233333323</v>
      </c>
      <c r="S39" s="284">
        <v>2.5059101099999999</v>
      </c>
      <c r="T39" s="284">
        <v>0.31444454799999955</v>
      </c>
      <c r="U39" s="284">
        <v>1.15411131</v>
      </c>
      <c r="V39" s="284">
        <v>1.4965597900000001</v>
      </c>
      <c r="W39" s="284">
        <v>1</v>
      </c>
      <c r="X39" s="284">
        <v>0.17</v>
      </c>
      <c r="Y39" s="284">
        <v>0.48</v>
      </c>
      <c r="Z39" s="284">
        <v>0.48</v>
      </c>
      <c r="AA39" s="284">
        <v>7.53</v>
      </c>
      <c r="AB39" s="284">
        <v>12.7</v>
      </c>
      <c r="AC39" s="42"/>
      <c r="AD39" s="42"/>
      <c r="AE39" s="284">
        <f t="shared" si="14"/>
        <v>27.831025757999999</v>
      </c>
      <c r="AF39" s="284">
        <f t="shared" si="15"/>
        <v>2.7831025758000001</v>
      </c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42"/>
      <c r="AS39" s="42"/>
      <c r="AT39" s="284">
        <f t="shared" si="27"/>
        <v>0</v>
      </c>
      <c r="AU39" s="284" t="e">
        <f t="shared" si="22"/>
        <v>#DIV/0!</v>
      </c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42"/>
      <c r="BH39" s="42"/>
      <c r="BI39" s="284">
        <f t="shared" si="28"/>
        <v>0</v>
      </c>
      <c r="BJ39" s="284" t="e">
        <f t="shared" si="23"/>
        <v>#DIV/0!</v>
      </c>
      <c r="BL39" s="3286">
        <f t="shared" si="10"/>
        <v>0</v>
      </c>
      <c r="BM39" s="3286" t="e">
        <f t="shared" si="11"/>
        <v>#DIV/0!</v>
      </c>
      <c r="BN39" s="4773">
        <f>IFERROR(
  SUM(
    _xlfn.XLOOKUP(DATE(YEAR($A$1),1,1),$2:$2,39:39):
    _xlfn.XLOOKUP($A$1,$2:$2,39:39)
  )
 -SUM(
    _xlfn.XLOOKUP(DATE(YEAR($A$1)-1,1,1),$2:$2,39:39):
    _xlfn.XLOOKUP(EDATE($A$1,-12),$2:$2,39:39)
  ),"")</f>
        <v>0</v>
      </c>
      <c r="BO39" s="2860">
        <f t="shared" si="12"/>
        <v>0</v>
      </c>
    </row>
    <row r="40" spans="1:67" ht="18" hidden="1" thickBot="1" x14ac:dyDescent="0.6">
      <c r="S40" s="1"/>
      <c r="AB40" t="s">
        <v>718</v>
      </c>
      <c r="AH40" s="1"/>
      <c r="AW40" s="1"/>
      <c r="BL40" s="3286">
        <f t="shared" si="10"/>
        <v>0</v>
      </c>
      <c r="BM40" s="3286">
        <f t="shared" si="11"/>
        <v>0</v>
      </c>
      <c r="BN40" s="4773">
        <f>IFERROR(
  SUM(
    _xlfn.XLOOKUP(DATE(YEAR($A$1),1,1),$2:$2,40:40):
    _xlfn.XLOOKUP($A$1,$2:$2,40:40)
  )
 -SUM(
    _xlfn.XLOOKUP(DATE(YEAR($A$1)-1,1,1),$2:$2,40:40):
    _xlfn.XLOOKUP(EDATE($A$1,-12),$2:$2,40:40)
  ),"")</f>
        <v>0</v>
      </c>
      <c r="BO40" s="2860">
        <f t="shared" si="12"/>
        <v>0</v>
      </c>
    </row>
    <row r="41" spans="1:67" ht="17.8" customHeight="1" x14ac:dyDescent="0.55000000000000004">
      <c r="A41" s="7547" t="s">
        <v>312</v>
      </c>
      <c r="B41" s="7540" t="s">
        <v>308</v>
      </c>
      <c r="C41" s="30" t="s">
        <v>879</v>
      </c>
      <c r="D41" s="30"/>
      <c r="E41" s="30"/>
      <c r="F41" s="30">
        <v>5</v>
      </c>
      <c r="G41" s="30">
        <v>2</v>
      </c>
      <c r="H41" s="30">
        <v>10</v>
      </c>
      <c r="I41" s="30">
        <v>15</v>
      </c>
      <c r="J41" s="30">
        <v>17</v>
      </c>
      <c r="K41" s="30">
        <v>19</v>
      </c>
      <c r="L41" s="30">
        <v>10</v>
      </c>
      <c r="M41" s="30">
        <v>6</v>
      </c>
      <c r="N41" s="30">
        <v>16</v>
      </c>
      <c r="O41" s="30">
        <v>11</v>
      </c>
      <c r="P41" s="358">
        <f t="shared" si="20"/>
        <v>111</v>
      </c>
      <c r="Q41" s="331">
        <f t="shared" si="21"/>
        <v>11.1</v>
      </c>
      <c r="R41" s="1"/>
      <c r="S41" s="30">
        <v>12</v>
      </c>
      <c r="T41" s="30">
        <v>19</v>
      </c>
      <c r="U41" s="30">
        <v>34</v>
      </c>
      <c r="V41" s="30">
        <v>53</v>
      </c>
      <c r="W41" s="30">
        <v>59</v>
      </c>
      <c r="X41" s="367">
        <v>62</v>
      </c>
      <c r="Y41" s="367">
        <v>59</v>
      </c>
      <c r="Z41" s="367">
        <v>61</v>
      </c>
      <c r="AA41" s="367">
        <v>36</v>
      </c>
      <c r="AB41" s="367">
        <v>73</v>
      </c>
      <c r="AC41" s="30">
        <v>51</v>
      </c>
      <c r="AD41" s="30">
        <v>35</v>
      </c>
      <c r="AE41" s="358">
        <f>SUM(S41:AD41)</f>
        <v>554</v>
      </c>
      <c r="AF41" s="358">
        <f>AVERAGE(S41:AD41)</f>
        <v>46.166666666666664</v>
      </c>
      <c r="AH41" s="30">
        <v>25</v>
      </c>
      <c r="AI41" s="30">
        <v>49</v>
      </c>
      <c r="AJ41" s="30">
        <v>75</v>
      </c>
      <c r="AK41" s="30">
        <v>114</v>
      </c>
      <c r="AL41" s="30">
        <v>112</v>
      </c>
      <c r="AM41" s="367">
        <v>103</v>
      </c>
      <c r="AN41" s="367">
        <v>96</v>
      </c>
      <c r="AO41" s="367">
        <v>93</v>
      </c>
      <c r="AP41" s="367">
        <v>124</v>
      </c>
      <c r="AQ41" s="367">
        <v>63</v>
      </c>
      <c r="AR41" s="30">
        <v>64</v>
      </c>
      <c r="AS41" s="30">
        <v>57</v>
      </c>
      <c r="AT41" s="358">
        <f>SUM(AH41:AS41)</f>
        <v>975</v>
      </c>
      <c r="AU41" s="358">
        <f>AVERAGE(AH41:AS41)</f>
        <v>81.25</v>
      </c>
      <c r="AW41" s="30">
        <v>53</v>
      </c>
      <c r="AX41" s="30">
        <v>67</v>
      </c>
      <c r="AY41" s="30"/>
      <c r="AZ41" s="30"/>
      <c r="BA41" s="30"/>
      <c r="BB41" s="367"/>
      <c r="BC41" s="367"/>
      <c r="BD41" s="367"/>
      <c r="BE41" s="367"/>
      <c r="BF41" s="367"/>
      <c r="BG41" s="30"/>
      <c r="BH41" s="30"/>
      <c r="BI41" s="358">
        <f>SUM(AW41:BH41)</f>
        <v>120</v>
      </c>
      <c r="BJ41" s="358">
        <f>AVERAGE(AW41:BH41)</f>
        <v>60</v>
      </c>
      <c r="BL41" s="3286">
        <f t="shared" si="10"/>
        <v>18</v>
      </c>
      <c r="BM41" s="3286">
        <f t="shared" si="11"/>
        <v>-21.25</v>
      </c>
      <c r="BN41" s="4773">
        <f>IFERROR(
  SUM(
    _xlfn.XLOOKUP(DATE(YEAR($A$1),1,1),$2:$2,41:41):
    _xlfn.XLOOKUP($A$1,$2:$2,41:41)
  )
 -SUM(
    _xlfn.XLOOKUP(DATE(YEAR($A$1)-1,1,1),$2:$2,41:41):
    _xlfn.XLOOKUP(EDATE($A$1,-12),$2:$2,41:41)
  ),"")</f>
        <v>46</v>
      </c>
      <c r="BO41" s="2860">
        <f t="shared" si="12"/>
        <v>14</v>
      </c>
    </row>
    <row r="42" spans="1:67" ht="17.8" customHeight="1" x14ac:dyDescent="0.55000000000000004">
      <c r="A42" s="7548"/>
      <c r="B42" s="7541"/>
      <c r="C42" s="7" t="s">
        <v>309</v>
      </c>
      <c r="D42" s="7"/>
      <c r="E42" s="7"/>
      <c r="F42" s="7">
        <v>86</v>
      </c>
      <c r="G42" s="7">
        <v>25</v>
      </c>
      <c r="H42" s="7">
        <v>126</v>
      </c>
      <c r="I42" s="7">
        <v>267</v>
      </c>
      <c r="J42" s="7">
        <v>337</v>
      </c>
      <c r="K42" s="7">
        <v>325</v>
      </c>
      <c r="L42" s="7">
        <v>173</v>
      </c>
      <c r="M42" s="7">
        <v>111</v>
      </c>
      <c r="N42" s="7">
        <v>287</v>
      </c>
      <c r="O42" s="7">
        <v>151</v>
      </c>
      <c r="P42" s="326">
        <f t="shared" si="20"/>
        <v>1888</v>
      </c>
      <c r="Q42" s="326">
        <f t="shared" si="21"/>
        <v>188.8</v>
      </c>
      <c r="R42" s="1"/>
      <c r="S42" s="7">
        <v>115</v>
      </c>
      <c r="T42" s="7">
        <v>314</v>
      </c>
      <c r="U42" s="7">
        <v>492</v>
      </c>
      <c r="V42" s="7">
        <v>802</v>
      </c>
      <c r="W42" s="7">
        <v>724</v>
      </c>
      <c r="X42" s="7">
        <v>934</v>
      </c>
      <c r="Y42" s="7">
        <v>785</v>
      </c>
      <c r="Z42" s="7">
        <v>870</v>
      </c>
      <c r="AA42" s="7">
        <v>573</v>
      </c>
      <c r="AB42" s="7">
        <v>1083</v>
      </c>
      <c r="AC42" s="7">
        <v>745</v>
      </c>
      <c r="AD42" s="7">
        <v>455</v>
      </c>
      <c r="AE42" s="374">
        <f>SUM(S42:AD42)</f>
        <v>7892</v>
      </c>
      <c r="AF42" s="374">
        <f t="shared" ref="AF42:AF52" si="29">AVERAGE(S42:AD42)</f>
        <v>657.66666666666663</v>
      </c>
      <c r="AG42" s="474">
        <f>AU42/AF42</f>
        <v>1.8015712113532691</v>
      </c>
      <c r="AH42" s="263">
        <v>364</v>
      </c>
      <c r="AI42" s="263">
        <v>761</v>
      </c>
      <c r="AJ42" s="263">
        <v>1122</v>
      </c>
      <c r="AK42" s="263">
        <v>1576</v>
      </c>
      <c r="AL42" s="263">
        <v>1575</v>
      </c>
      <c r="AM42" s="263">
        <v>1536</v>
      </c>
      <c r="AN42" s="7">
        <v>1390</v>
      </c>
      <c r="AO42" s="7">
        <v>1297</v>
      </c>
      <c r="AP42" s="7">
        <v>1898</v>
      </c>
      <c r="AQ42" s="263">
        <v>930</v>
      </c>
      <c r="AR42" s="7">
        <v>940</v>
      </c>
      <c r="AS42" s="554">
        <v>829</v>
      </c>
      <c r="AT42" s="374">
        <f>SUM(AH42:AS42)</f>
        <v>14218</v>
      </c>
      <c r="AU42" s="374">
        <f t="shared" ref="AU42:AU74" si="30">AVERAGE(AH42:AS42)</f>
        <v>1184.8333333333333</v>
      </c>
      <c r="AV42" s="474"/>
      <c r="AW42" s="263">
        <v>655</v>
      </c>
      <c r="AX42" s="263">
        <v>793</v>
      </c>
      <c r="AY42" s="263"/>
      <c r="AZ42" s="263"/>
      <c r="BA42" s="263"/>
      <c r="BB42" s="263"/>
      <c r="BC42" s="7"/>
      <c r="BD42" s="7"/>
      <c r="BE42" s="7"/>
      <c r="BF42" s="263"/>
      <c r="BG42" s="7"/>
      <c r="BH42" s="554"/>
      <c r="BI42" s="374">
        <f>SUM(AW42:BH42)</f>
        <v>1448</v>
      </c>
      <c r="BJ42" s="374">
        <f t="shared" ref="BJ42:BJ74" si="31">AVERAGE(AW42:BH42)</f>
        <v>724</v>
      </c>
      <c r="BK42" s="302"/>
      <c r="BL42" s="3286">
        <f t="shared" si="10"/>
        <v>32</v>
      </c>
      <c r="BM42" s="3286">
        <f t="shared" si="11"/>
        <v>-460.83333333333326</v>
      </c>
      <c r="BN42" s="4773">
        <f>IFERROR(
  SUM(
    _xlfn.XLOOKUP(DATE(YEAR($A$1),1,1),$2:$2,42:42):
    _xlfn.XLOOKUP($A$1,$2:$2,42:42)
  )
 -SUM(
    _xlfn.XLOOKUP(DATE(YEAR($A$1)-1,1,1),$2:$2,42:42):
    _xlfn.XLOOKUP(EDATE($A$1,-12),$2:$2,42:42)
  ),"")</f>
        <v>323</v>
      </c>
      <c r="BO42" s="2860">
        <f t="shared" si="12"/>
        <v>138</v>
      </c>
    </row>
    <row r="43" spans="1:67" ht="17.8" customHeight="1" x14ac:dyDescent="0.55000000000000004">
      <c r="A43" s="7548"/>
      <c r="B43" s="7542" t="s">
        <v>939</v>
      </c>
      <c r="C43" s="44" t="s">
        <v>879</v>
      </c>
      <c r="D43" s="44"/>
      <c r="E43" s="44"/>
      <c r="F43" s="44">
        <v>5</v>
      </c>
      <c r="G43" s="44">
        <v>2</v>
      </c>
      <c r="H43" s="44">
        <v>10</v>
      </c>
      <c r="I43" s="44">
        <v>15</v>
      </c>
      <c r="J43" s="44">
        <v>17</v>
      </c>
      <c r="K43" s="44">
        <v>19</v>
      </c>
      <c r="L43" s="44">
        <v>10</v>
      </c>
      <c r="M43" s="44">
        <v>6</v>
      </c>
      <c r="N43" s="44">
        <v>16</v>
      </c>
      <c r="O43" s="44">
        <v>11</v>
      </c>
      <c r="P43" s="359">
        <f t="shared" si="20"/>
        <v>111</v>
      </c>
      <c r="Q43" s="359">
        <f t="shared" si="21"/>
        <v>11.1</v>
      </c>
      <c r="R43" s="1"/>
      <c r="S43" s="1">
        <v>10</v>
      </c>
      <c r="T43" s="1">
        <v>15</v>
      </c>
      <c r="U43" s="1">
        <v>20</v>
      </c>
      <c r="V43" s="1">
        <v>39</v>
      </c>
      <c r="W43" s="1">
        <v>47</v>
      </c>
      <c r="X43" s="1">
        <v>57</v>
      </c>
      <c r="Y43" s="417">
        <v>51</v>
      </c>
      <c r="Z43" s="417">
        <v>57</v>
      </c>
      <c r="AA43" s="417">
        <v>33</v>
      </c>
      <c r="AB43" s="417">
        <v>71</v>
      </c>
      <c r="AC43" s="417">
        <v>49</v>
      </c>
      <c r="AD43" s="417">
        <v>35</v>
      </c>
      <c r="AE43" s="377">
        <f t="shared" ref="AE43:AE52" si="32">SUM(S43:AD43)</f>
        <v>484</v>
      </c>
      <c r="AF43" s="377">
        <f t="shared" si="29"/>
        <v>40.333333333333336</v>
      </c>
      <c r="AH43">
        <v>21</v>
      </c>
      <c r="AI43">
        <v>41</v>
      </c>
      <c r="AJ43">
        <v>49</v>
      </c>
      <c r="AK43">
        <v>84</v>
      </c>
      <c r="AL43">
        <v>74</v>
      </c>
      <c r="AM43">
        <v>56</v>
      </c>
      <c r="AN43" s="44">
        <v>50</v>
      </c>
      <c r="AO43" s="44">
        <v>49</v>
      </c>
      <c r="AP43" s="44">
        <v>77</v>
      </c>
      <c r="AQ43" s="417">
        <v>51</v>
      </c>
      <c r="AR43" s="44">
        <v>41</v>
      </c>
      <c r="AS43" s="44">
        <v>34</v>
      </c>
      <c r="AT43" s="377">
        <f t="shared" ref="AT43:AT52" si="33">SUM(AH43:AS43)</f>
        <v>627</v>
      </c>
      <c r="AU43" s="377">
        <f t="shared" si="30"/>
        <v>52.25</v>
      </c>
      <c r="AW43">
        <v>38</v>
      </c>
      <c r="AX43">
        <v>43</v>
      </c>
      <c r="BC43" s="44"/>
      <c r="BD43" s="44"/>
      <c r="BE43" s="44"/>
      <c r="BF43" s="417"/>
      <c r="BG43" s="44"/>
      <c r="BH43" s="44"/>
      <c r="BI43" s="377">
        <f t="shared" ref="BI43:BI52" si="34">SUM(AW43:BH43)</f>
        <v>81</v>
      </c>
      <c r="BJ43" s="377">
        <f t="shared" si="31"/>
        <v>40.5</v>
      </c>
      <c r="BL43" s="3286">
        <f t="shared" si="10"/>
        <v>2</v>
      </c>
      <c r="BM43" s="3286">
        <f t="shared" si="11"/>
        <v>-11.75</v>
      </c>
      <c r="BN43" s="4773">
        <f>IFERROR(
  SUM(
    _xlfn.XLOOKUP(DATE(YEAR($A$1),1,1),$2:$2,43:43):
    _xlfn.XLOOKUP($A$1,$2:$2,43:43)
  )
 -SUM(
    _xlfn.XLOOKUP(DATE(YEAR($A$1)-1,1,1),$2:$2,43:43):
    _xlfn.XLOOKUP(EDATE($A$1,-12),$2:$2,43:43)
  ),"")</f>
        <v>19</v>
      </c>
      <c r="BO43" s="2860">
        <f t="shared" si="12"/>
        <v>5</v>
      </c>
    </row>
    <row r="44" spans="1:67" ht="17.8" customHeight="1" x14ac:dyDescent="0.55000000000000004">
      <c r="A44" s="7548"/>
      <c r="B44" s="7543"/>
      <c r="C44" s="3" t="s">
        <v>309</v>
      </c>
      <c r="D44" s="3"/>
      <c r="E44" s="3"/>
      <c r="F44" s="3">
        <v>86</v>
      </c>
      <c r="G44" s="3">
        <v>25</v>
      </c>
      <c r="H44" s="3">
        <v>126</v>
      </c>
      <c r="I44" s="3">
        <v>267</v>
      </c>
      <c r="J44" s="3">
        <v>337</v>
      </c>
      <c r="K44" s="3">
        <v>325</v>
      </c>
      <c r="L44" s="3">
        <v>173</v>
      </c>
      <c r="M44" s="3">
        <v>111</v>
      </c>
      <c r="N44" s="3">
        <v>287</v>
      </c>
      <c r="O44" s="3">
        <v>151</v>
      </c>
      <c r="P44" s="325">
        <f t="shared" si="20"/>
        <v>1888</v>
      </c>
      <c r="Q44" s="325">
        <f t="shared" si="21"/>
        <v>188.8</v>
      </c>
      <c r="R44" s="1"/>
      <c r="S44" s="1">
        <v>115</v>
      </c>
      <c r="T44" s="1">
        <v>225</v>
      </c>
      <c r="U44" s="1">
        <v>335</v>
      </c>
      <c r="V44" s="1">
        <v>603</v>
      </c>
      <c r="W44" s="1">
        <v>613</v>
      </c>
      <c r="X44" s="1">
        <v>876</v>
      </c>
      <c r="Y44" s="1">
        <v>662</v>
      </c>
      <c r="Z44" s="1">
        <v>815</v>
      </c>
      <c r="AA44" s="1">
        <v>534</v>
      </c>
      <c r="AB44" s="1">
        <v>1051</v>
      </c>
      <c r="AC44" s="1">
        <v>718</v>
      </c>
      <c r="AD44" s="1">
        <v>455</v>
      </c>
      <c r="AE44" s="329">
        <f t="shared" si="32"/>
        <v>7002</v>
      </c>
      <c r="AF44" s="329">
        <f t="shared" si="29"/>
        <v>583.5</v>
      </c>
      <c r="AH44">
        <v>313</v>
      </c>
      <c r="AI44">
        <v>669</v>
      </c>
      <c r="AJ44">
        <v>803</v>
      </c>
      <c r="AK44">
        <v>1178</v>
      </c>
      <c r="AL44">
        <v>1081</v>
      </c>
      <c r="AM44">
        <v>883</v>
      </c>
      <c r="AN44" s="3">
        <v>768</v>
      </c>
      <c r="AO44" s="3">
        <v>661</v>
      </c>
      <c r="AP44" s="3">
        <v>1263</v>
      </c>
      <c r="AQ44">
        <v>748</v>
      </c>
      <c r="AR44" s="3">
        <v>591</v>
      </c>
      <c r="AS44" s="3">
        <v>543</v>
      </c>
      <c r="AT44" s="329">
        <f t="shared" si="33"/>
        <v>9501</v>
      </c>
      <c r="AU44" s="329">
        <f t="shared" si="30"/>
        <v>791.75</v>
      </c>
      <c r="AW44">
        <v>482</v>
      </c>
      <c r="AX44">
        <v>512</v>
      </c>
      <c r="BC44" s="3"/>
      <c r="BD44" s="3"/>
      <c r="BE44" s="3"/>
      <c r="BG44" s="3"/>
      <c r="BH44" s="3"/>
      <c r="BI44" s="329">
        <f t="shared" si="34"/>
        <v>994</v>
      </c>
      <c r="BJ44" s="329">
        <f t="shared" si="31"/>
        <v>497</v>
      </c>
      <c r="BL44" s="3286">
        <f t="shared" si="10"/>
        <v>-157</v>
      </c>
      <c r="BM44" s="3286">
        <f t="shared" si="11"/>
        <v>-294.75</v>
      </c>
      <c r="BN44" s="4773">
        <f>IFERROR(
  SUM(
    _xlfn.XLOOKUP(DATE(YEAR($A$1),1,1),$2:$2,44:44):
    _xlfn.XLOOKUP($A$1,$2:$2,44:44)
  )
 -SUM(
    _xlfn.XLOOKUP(DATE(YEAR($A$1)-1,1,1),$2:$2,44:44):
    _xlfn.XLOOKUP(EDATE($A$1,-12),$2:$2,44:44)
  ),"")</f>
        <v>12</v>
      </c>
      <c r="BO44" s="2860">
        <f t="shared" si="12"/>
        <v>30</v>
      </c>
    </row>
    <row r="45" spans="1:67" ht="17.8" customHeight="1" x14ac:dyDescent="0.55000000000000004">
      <c r="A45" s="7548"/>
      <c r="B45" s="7525" t="s">
        <v>310</v>
      </c>
      <c r="C45" s="273" t="s">
        <v>879</v>
      </c>
      <c r="D45" s="273"/>
      <c r="E45" s="273"/>
      <c r="F45" s="273">
        <v>0</v>
      </c>
      <c r="G45" s="273">
        <v>0</v>
      </c>
      <c r="H45" s="273">
        <v>0</v>
      </c>
      <c r="I45" s="273">
        <v>0</v>
      </c>
      <c r="J45" s="273">
        <v>0</v>
      </c>
      <c r="K45" s="273">
        <v>0</v>
      </c>
      <c r="L45" s="273">
        <v>0</v>
      </c>
      <c r="M45" s="273">
        <v>0</v>
      </c>
      <c r="N45" s="273">
        <v>0</v>
      </c>
      <c r="O45" s="273">
        <v>0</v>
      </c>
      <c r="P45" s="273">
        <v>0</v>
      </c>
      <c r="Q45" s="273">
        <v>0</v>
      </c>
      <c r="R45" s="1"/>
      <c r="S45" s="305">
        <v>2</v>
      </c>
      <c r="T45" s="305">
        <v>4</v>
      </c>
      <c r="U45" s="305">
        <v>12</v>
      </c>
      <c r="V45" s="305">
        <v>11</v>
      </c>
      <c r="W45" s="305">
        <v>12</v>
      </c>
      <c r="X45" s="305">
        <v>5</v>
      </c>
      <c r="Y45" s="305">
        <v>8</v>
      </c>
      <c r="Z45" s="305">
        <v>4</v>
      </c>
      <c r="AA45" s="305">
        <v>3</v>
      </c>
      <c r="AB45" s="305">
        <v>2</v>
      </c>
      <c r="AC45" s="305">
        <v>2</v>
      </c>
      <c r="AD45" s="305">
        <v>0</v>
      </c>
      <c r="AE45" s="378">
        <f t="shared" si="32"/>
        <v>65</v>
      </c>
      <c r="AF45" s="378">
        <f t="shared" si="29"/>
        <v>5.416666666666667</v>
      </c>
      <c r="AH45" s="305">
        <v>4</v>
      </c>
      <c r="AI45" s="305">
        <v>8</v>
      </c>
      <c r="AJ45" s="305">
        <v>26</v>
      </c>
      <c r="AK45" s="305">
        <v>30</v>
      </c>
      <c r="AL45" s="305">
        <v>38</v>
      </c>
      <c r="AM45" s="305">
        <v>47</v>
      </c>
      <c r="AN45" s="273">
        <v>46</v>
      </c>
      <c r="AO45" s="273">
        <v>44</v>
      </c>
      <c r="AP45" s="273">
        <v>47</v>
      </c>
      <c r="AQ45" s="305">
        <v>12</v>
      </c>
      <c r="AR45" s="273">
        <v>23</v>
      </c>
      <c r="AS45" s="273">
        <v>23</v>
      </c>
      <c r="AT45" s="378">
        <f t="shared" si="33"/>
        <v>348</v>
      </c>
      <c r="AU45" s="378">
        <f t="shared" si="30"/>
        <v>29</v>
      </c>
      <c r="AW45" s="305">
        <v>15</v>
      </c>
      <c r="AX45" s="305">
        <v>24</v>
      </c>
      <c r="AY45" s="305"/>
      <c r="AZ45" s="305"/>
      <c r="BA45" s="305"/>
      <c r="BB45" s="305"/>
      <c r="BC45" s="273"/>
      <c r="BD45" s="273"/>
      <c r="BE45" s="273"/>
      <c r="BF45" s="305"/>
      <c r="BG45" s="273"/>
      <c r="BH45" s="273"/>
      <c r="BI45" s="378">
        <f t="shared" si="34"/>
        <v>39</v>
      </c>
      <c r="BJ45" s="378">
        <f t="shared" si="31"/>
        <v>19.5</v>
      </c>
      <c r="BL45" s="3286">
        <f t="shared" si="10"/>
        <v>16</v>
      </c>
      <c r="BM45" s="3286">
        <f t="shared" si="11"/>
        <v>-9.5</v>
      </c>
      <c r="BN45" s="4773">
        <f>IFERROR(
  SUM(
    _xlfn.XLOOKUP(DATE(YEAR($A$1),1,1),$2:$2,45:45):
    _xlfn.XLOOKUP($A$1,$2:$2,45:45)
  )
 -SUM(
    _xlfn.XLOOKUP(DATE(YEAR($A$1)-1,1,1),$2:$2,45:45):
    _xlfn.XLOOKUP(EDATE($A$1,-12),$2:$2,45:45)
  ),"")</f>
        <v>27</v>
      </c>
      <c r="BO45" s="2860">
        <f t="shared" si="12"/>
        <v>9</v>
      </c>
    </row>
    <row r="46" spans="1:67" ht="17.8" customHeight="1" x14ac:dyDescent="0.55000000000000004">
      <c r="A46" s="7548"/>
      <c r="B46" s="7526"/>
      <c r="C46" s="274" t="s">
        <v>309</v>
      </c>
      <c r="D46" s="274"/>
      <c r="E46" s="274"/>
      <c r="F46" s="273">
        <v>0</v>
      </c>
      <c r="G46" s="273">
        <v>0</v>
      </c>
      <c r="H46" s="273">
        <v>0</v>
      </c>
      <c r="I46" s="273">
        <v>0</v>
      </c>
      <c r="J46" s="273">
        <v>0</v>
      </c>
      <c r="K46" s="273">
        <v>0</v>
      </c>
      <c r="L46" s="273">
        <v>0</v>
      </c>
      <c r="M46" s="273">
        <v>0</v>
      </c>
      <c r="N46" s="273">
        <v>0</v>
      </c>
      <c r="O46" s="273">
        <v>0</v>
      </c>
      <c r="P46" s="273">
        <v>0</v>
      </c>
      <c r="Q46" s="273">
        <v>0</v>
      </c>
      <c r="R46" s="1"/>
      <c r="S46" s="306">
        <v>0</v>
      </c>
      <c r="T46" s="306">
        <v>89</v>
      </c>
      <c r="U46" s="306">
        <v>119</v>
      </c>
      <c r="V46" s="306">
        <v>126</v>
      </c>
      <c r="W46" s="306">
        <v>105</v>
      </c>
      <c r="X46" s="306">
        <v>58</v>
      </c>
      <c r="Y46" s="306">
        <v>123</v>
      </c>
      <c r="Z46" s="306">
        <v>55</v>
      </c>
      <c r="AA46" s="306">
        <v>39</v>
      </c>
      <c r="AB46" s="306">
        <v>32</v>
      </c>
      <c r="AC46" s="306">
        <v>27</v>
      </c>
      <c r="AD46" s="306">
        <v>0</v>
      </c>
      <c r="AE46" s="379">
        <f t="shared" si="32"/>
        <v>773</v>
      </c>
      <c r="AF46" s="379">
        <f t="shared" si="29"/>
        <v>64.416666666666671</v>
      </c>
      <c r="AH46" s="306">
        <v>51</v>
      </c>
      <c r="AI46" s="306">
        <v>92</v>
      </c>
      <c r="AJ46" s="306">
        <v>319</v>
      </c>
      <c r="AK46" s="306">
        <v>398</v>
      </c>
      <c r="AL46" s="306">
        <v>494</v>
      </c>
      <c r="AM46" s="306">
        <v>653</v>
      </c>
      <c r="AN46" s="274">
        <v>622</v>
      </c>
      <c r="AO46" s="274">
        <v>636</v>
      </c>
      <c r="AP46" s="274">
        <v>635</v>
      </c>
      <c r="AQ46" s="306">
        <v>182</v>
      </c>
      <c r="AR46" s="274">
        <v>349</v>
      </c>
      <c r="AS46" s="274">
        <v>286</v>
      </c>
      <c r="AT46" s="379">
        <f t="shared" si="33"/>
        <v>4717</v>
      </c>
      <c r="AU46" s="379">
        <f t="shared" si="30"/>
        <v>393.08333333333331</v>
      </c>
      <c r="AW46" s="306">
        <v>173</v>
      </c>
      <c r="AX46" s="306">
        <v>281</v>
      </c>
      <c r="AY46" s="306"/>
      <c r="AZ46" s="306"/>
      <c r="BA46" s="306"/>
      <c r="BB46" s="306"/>
      <c r="BC46" s="274"/>
      <c r="BD46" s="274"/>
      <c r="BE46" s="274"/>
      <c r="BF46" s="306"/>
      <c r="BG46" s="274"/>
      <c r="BH46" s="274"/>
      <c r="BI46" s="379">
        <f t="shared" si="34"/>
        <v>454</v>
      </c>
      <c r="BJ46" s="379">
        <f t="shared" si="31"/>
        <v>227</v>
      </c>
      <c r="BL46" s="3286">
        <f t="shared" si="10"/>
        <v>189</v>
      </c>
      <c r="BM46" s="3286">
        <f t="shared" si="11"/>
        <v>-166.08333333333331</v>
      </c>
      <c r="BN46" s="4773">
        <f>IFERROR(
  SUM(
    _xlfn.XLOOKUP(DATE(YEAR($A$1),1,1),$2:$2,46:46):
    _xlfn.XLOOKUP($A$1,$2:$2,46:46)
  )
 -SUM(
    _xlfn.XLOOKUP(DATE(YEAR($A$1)-1,1,1),$2:$2,46:46):
    _xlfn.XLOOKUP(EDATE($A$1,-12),$2:$2,46:46)
  ),"")</f>
        <v>311</v>
      </c>
      <c r="BO46" s="2860">
        <f t="shared" si="12"/>
        <v>108</v>
      </c>
    </row>
    <row r="47" spans="1:67" ht="17.8" customHeight="1" x14ac:dyDescent="0.55000000000000004">
      <c r="A47" s="7548"/>
      <c r="B47" s="7527" t="s">
        <v>66</v>
      </c>
      <c r="C47" s="3" t="s">
        <v>879</v>
      </c>
      <c r="D47" s="3"/>
      <c r="E47" s="3"/>
      <c r="F47" s="273">
        <v>0</v>
      </c>
      <c r="G47" s="273">
        <v>0</v>
      </c>
      <c r="H47" s="273">
        <v>0</v>
      </c>
      <c r="I47" s="273">
        <v>0</v>
      </c>
      <c r="J47" s="273">
        <v>0</v>
      </c>
      <c r="K47" s="273">
        <v>0</v>
      </c>
      <c r="L47" s="273">
        <v>0</v>
      </c>
      <c r="M47" s="273">
        <v>0</v>
      </c>
      <c r="N47" s="273">
        <v>0</v>
      </c>
      <c r="O47" s="273">
        <v>0</v>
      </c>
      <c r="P47" s="273">
        <v>0</v>
      </c>
      <c r="Q47" s="273">
        <v>0</v>
      </c>
      <c r="R47" s="1"/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329">
        <f t="shared" si="32"/>
        <v>0</v>
      </c>
      <c r="AF47" s="329">
        <f t="shared" si="29"/>
        <v>0</v>
      </c>
      <c r="AG47" s="1"/>
      <c r="AH47">
        <v>0</v>
      </c>
      <c r="AI47">
        <v>0</v>
      </c>
      <c r="AJ47">
        <v>0</v>
      </c>
      <c r="AK47" s="1">
        <v>0</v>
      </c>
      <c r="AL47">
        <v>0</v>
      </c>
      <c r="AM47">
        <v>0</v>
      </c>
      <c r="AN47" s="3">
        <v>0</v>
      </c>
      <c r="AO47" s="3">
        <v>0</v>
      </c>
      <c r="AP47" s="3">
        <v>0</v>
      </c>
      <c r="AQ47">
        <v>0</v>
      </c>
      <c r="AR47" s="3">
        <v>0</v>
      </c>
      <c r="AS47" s="3">
        <v>0</v>
      </c>
      <c r="AT47" s="329">
        <f t="shared" si="33"/>
        <v>0</v>
      </c>
      <c r="AU47" s="329">
        <f t="shared" si="30"/>
        <v>0</v>
      </c>
      <c r="AV47" s="1"/>
      <c r="AW47">
        <v>0</v>
      </c>
      <c r="AX47">
        <v>0</v>
      </c>
      <c r="AZ47" s="1"/>
      <c r="BC47" s="3"/>
      <c r="BD47" s="3"/>
      <c r="BE47" s="3"/>
      <c r="BG47" s="3"/>
      <c r="BH47" s="3"/>
      <c r="BI47" s="329">
        <f t="shared" si="34"/>
        <v>0</v>
      </c>
      <c r="BJ47" s="329">
        <f t="shared" si="31"/>
        <v>0</v>
      </c>
      <c r="BL47" s="3286">
        <f t="shared" si="10"/>
        <v>0</v>
      </c>
      <c r="BM47" s="3286">
        <f t="shared" si="11"/>
        <v>0</v>
      </c>
      <c r="BN47" s="4773">
        <f>IFERROR(
  SUM(
    _xlfn.XLOOKUP(DATE(YEAR($A$1),1,1),$2:$2,47:47):
    _xlfn.XLOOKUP($A$1,$2:$2,47:47)
  )
 -SUM(
    _xlfn.XLOOKUP(DATE(YEAR($A$1)-1,1,1),$2:$2,47:47):
    _xlfn.XLOOKUP(EDATE($A$1,-12),$2:$2,47:47)
  ),"")</f>
        <v>0</v>
      </c>
      <c r="BO47" s="2860">
        <f t="shared" si="12"/>
        <v>0</v>
      </c>
    </row>
    <row r="48" spans="1:67" ht="17.8" customHeight="1" x14ac:dyDescent="0.55000000000000004">
      <c r="A48" s="7548"/>
      <c r="B48" s="7544"/>
      <c r="C48" s="519" t="s">
        <v>309</v>
      </c>
      <c r="D48" s="519"/>
      <c r="E48" s="519"/>
      <c r="F48" s="520">
        <v>0</v>
      </c>
      <c r="G48" s="520">
        <v>0</v>
      </c>
      <c r="H48" s="520">
        <v>0</v>
      </c>
      <c r="I48" s="520">
        <v>0</v>
      </c>
      <c r="J48" s="520">
        <v>0</v>
      </c>
      <c r="K48" s="520">
        <v>0</v>
      </c>
      <c r="L48" s="520">
        <v>0</v>
      </c>
      <c r="M48" s="520">
        <v>0</v>
      </c>
      <c r="N48" s="520">
        <v>0</v>
      </c>
      <c r="O48" s="520">
        <v>0</v>
      </c>
      <c r="P48" s="520">
        <v>0</v>
      </c>
      <c r="Q48" s="520">
        <v>0</v>
      </c>
      <c r="R48" s="521"/>
      <c r="S48" s="521">
        <v>0</v>
      </c>
      <c r="T48" s="521">
        <v>0</v>
      </c>
      <c r="U48" s="521">
        <v>0</v>
      </c>
      <c r="V48" s="521">
        <v>0</v>
      </c>
      <c r="W48" s="521">
        <v>0</v>
      </c>
      <c r="X48" s="521">
        <v>0</v>
      </c>
      <c r="Y48" s="521">
        <v>0</v>
      </c>
      <c r="Z48" s="521">
        <v>0</v>
      </c>
      <c r="AA48" s="521">
        <v>0</v>
      </c>
      <c r="AB48" s="521">
        <v>0</v>
      </c>
      <c r="AC48" s="521">
        <v>0</v>
      </c>
      <c r="AD48" s="521">
        <v>0</v>
      </c>
      <c r="AE48" s="522">
        <f t="shared" si="32"/>
        <v>0</v>
      </c>
      <c r="AF48" s="522">
        <f t="shared" si="29"/>
        <v>0</v>
      </c>
      <c r="AG48" s="521"/>
      <c r="AH48" s="521">
        <v>0</v>
      </c>
      <c r="AI48" s="521">
        <v>0</v>
      </c>
      <c r="AJ48" s="521">
        <v>0</v>
      </c>
      <c r="AK48" s="521">
        <v>0</v>
      </c>
      <c r="AL48" s="521">
        <v>0</v>
      </c>
      <c r="AM48" s="521">
        <v>0</v>
      </c>
      <c r="AN48" s="519">
        <v>0</v>
      </c>
      <c r="AO48" s="519">
        <v>0</v>
      </c>
      <c r="AP48" s="519">
        <v>0</v>
      </c>
      <c r="AQ48" s="521">
        <v>0</v>
      </c>
      <c r="AR48" s="519">
        <v>0</v>
      </c>
      <c r="AS48" s="519">
        <v>0</v>
      </c>
      <c r="AT48" s="522">
        <f t="shared" si="33"/>
        <v>0</v>
      </c>
      <c r="AU48" s="522">
        <f t="shared" si="30"/>
        <v>0</v>
      </c>
      <c r="AV48" s="521"/>
      <c r="AW48" s="521">
        <v>0</v>
      </c>
      <c r="AX48" s="521">
        <v>0</v>
      </c>
      <c r="AY48" s="521"/>
      <c r="AZ48" s="521"/>
      <c r="BA48" s="521"/>
      <c r="BB48" s="521"/>
      <c r="BC48" s="519"/>
      <c r="BD48" s="519"/>
      <c r="BE48" s="519"/>
      <c r="BF48" s="521"/>
      <c r="BG48" s="519"/>
      <c r="BH48" s="519"/>
      <c r="BI48" s="522">
        <f t="shared" si="34"/>
        <v>0</v>
      </c>
      <c r="BJ48" s="522">
        <f t="shared" si="31"/>
        <v>0</v>
      </c>
      <c r="BL48" s="3286">
        <f t="shared" si="10"/>
        <v>0</v>
      </c>
      <c r="BM48" s="3286">
        <f t="shared" si="11"/>
        <v>0</v>
      </c>
      <c r="BN48" s="4773">
        <f>IFERROR(
  SUM(
    _xlfn.XLOOKUP(DATE(YEAR($A$1),1,1),$2:$2,48:48):
    _xlfn.XLOOKUP($A$1,$2:$2,48:48)
  )
 -SUM(
    _xlfn.XLOOKUP(DATE(YEAR($A$1)-1,1,1),$2:$2,48:48):
    _xlfn.XLOOKUP(EDATE($A$1,-12),$2:$2,48:48)
  ),"")</f>
        <v>0</v>
      </c>
      <c r="BO48" s="2860">
        <f t="shared" si="12"/>
        <v>0</v>
      </c>
    </row>
    <row r="49" spans="1:67" ht="17.8" customHeight="1" x14ac:dyDescent="0.55000000000000004">
      <c r="A49" s="7548"/>
      <c r="B49" s="7545" t="s">
        <v>755</v>
      </c>
      <c r="C49" s="523" t="s">
        <v>1014</v>
      </c>
      <c r="D49" s="523"/>
      <c r="E49" s="523"/>
      <c r="F49" s="523">
        <v>0</v>
      </c>
      <c r="G49" s="523">
        <v>0</v>
      </c>
      <c r="H49" s="523">
        <v>0</v>
      </c>
      <c r="I49" s="523">
        <v>0</v>
      </c>
      <c r="J49" s="523">
        <v>0</v>
      </c>
      <c r="K49" s="523">
        <v>0</v>
      </c>
      <c r="L49" s="523">
        <v>0</v>
      </c>
      <c r="M49" s="523">
        <v>0</v>
      </c>
      <c r="N49" s="523">
        <v>0</v>
      </c>
      <c r="O49" s="523">
        <v>0</v>
      </c>
      <c r="P49" s="520">
        <v>0</v>
      </c>
      <c r="Q49" s="520">
        <v>0</v>
      </c>
      <c r="R49" s="524"/>
      <c r="S49" s="524">
        <v>0</v>
      </c>
      <c r="T49" s="524">
        <v>0</v>
      </c>
      <c r="U49" s="524">
        <v>2</v>
      </c>
      <c r="V49" s="524">
        <v>3</v>
      </c>
      <c r="W49" s="524">
        <v>0</v>
      </c>
      <c r="X49" s="524">
        <v>0</v>
      </c>
      <c r="Y49" s="524">
        <v>0</v>
      </c>
      <c r="Z49" s="524">
        <v>0</v>
      </c>
      <c r="AA49" s="524">
        <v>0</v>
      </c>
      <c r="AB49" s="524">
        <v>0</v>
      </c>
      <c r="AC49" s="524">
        <v>0</v>
      </c>
      <c r="AD49" s="524">
        <v>0</v>
      </c>
      <c r="AE49" s="525">
        <f t="shared" si="32"/>
        <v>5</v>
      </c>
      <c r="AF49" s="525">
        <f t="shared" si="29"/>
        <v>0.41666666666666669</v>
      </c>
      <c r="AG49" s="524"/>
      <c r="AH49" s="524">
        <v>0</v>
      </c>
      <c r="AI49" s="524">
        <v>0</v>
      </c>
      <c r="AJ49" s="524">
        <v>0</v>
      </c>
      <c r="AK49" s="524">
        <v>0</v>
      </c>
      <c r="AL49" s="524">
        <v>0</v>
      </c>
      <c r="AM49" s="524">
        <v>0</v>
      </c>
      <c r="AN49" s="523">
        <v>0</v>
      </c>
      <c r="AO49" s="523">
        <v>0</v>
      </c>
      <c r="AP49" s="523">
        <v>0</v>
      </c>
      <c r="AQ49" s="524">
        <v>0</v>
      </c>
      <c r="AR49" s="523">
        <v>0</v>
      </c>
      <c r="AS49" s="523">
        <v>0</v>
      </c>
      <c r="AT49" s="525">
        <f t="shared" si="33"/>
        <v>0</v>
      </c>
      <c r="AU49" s="525">
        <f t="shared" si="30"/>
        <v>0</v>
      </c>
      <c r="AV49" s="524"/>
      <c r="AW49" s="524">
        <v>0</v>
      </c>
      <c r="AX49" s="524">
        <v>0</v>
      </c>
      <c r="AY49" s="524"/>
      <c r="AZ49" s="524"/>
      <c r="BA49" s="524"/>
      <c r="BB49" s="524"/>
      <c r="BC49" s="523"/>
      <c r="BD49" s="523"/>
      <c r="BE49" s="523"/>
      <c r="BF49" s="524"/>
      <c r="BG49" s="523"/>
      <c r="BH49" s="523"/>
      <c r="BI49" s="525">
        <f t="shared" si="34"/>
        <v>0</v>
      </c>
      <c r="BJ49" s="525">
        <f t="shared" si="31"/>
        <v>0</v>
      </c>
      <c r="BL49" s="3286">
        <f t="shared" si="10"/>
        <v>0</v>
      </c>
      <c r="BM49" s="3286">
        <f t="shared" si="11"/>
        <v>0</v>
      </c>
      <c r="BN49" s="4773">
        <f>IFERROR(
  SUM(
    _xlfn.XLOOKUP(DATE(YEAR($A$1),1,1),$2:$2,49:49):
    _xlfn.XLOOKUP($A$1,$2:$2,49:49)
  )
 -SUM(
    _xlfn.XLOOKUP(DATE(YEAR($A$1)-1,1,1),$2:$2,49:49):
    _xlfn.XLOOKUP(EDATE($A$1,-12),$2:$2,49:49)
  ),"")</f>
        <v>0</v>
      </c>
      <c r="BO49" s="2860">
        <f t="shared" si="12"/>
        <v>0</v>
      </c>
    </row>
    <row r="50" spans="1:67" ht="17.8" customHeight="1" x14ac:dyDescent="0.55000000000000004">
      <c r="A50" s="7548"/>
      <c r="B50" s="7546"/>
      <c r="C50" s="519" t="s">
        <v>309</v>
      </c>
      <c r="D50" s="519"/>
      <c r="E50" s="519"/>
      <c r="F50" s="520">
        <v>0</v>
      </c>
      <c r="G50" s="520">
        <v>0</v>
      </c>
      <c r="H50" s="520">
        <v>0</v>
      </c>
      <c r="I50" s="520">
        <v>0</v>
      </c>
      <c r="J50" s="520">
        <v>0</v>
      </c>
      <c r="K50" s="520">
        <v>0</v>
      </c>
      <c r="L50" s="520">
        <v>0</v>
      </c>
      <c r="M50" s="520">
        <v>0</v>
      </c>
      <c r="N50" s="520">
        <v>0</v>
      </c>
      <c r="O50" s="520">
        <v>0</v>
      </c>
      <c r="P50" s="520">
        <v>0</v>
      </c>
      <c r="Q50" s="520">
        <v>0</v>
      </c>
      <c r="R50" s="521"/>
      <c r="S50" s="521">
        <v>0</v>
      </c>
      <c r="T50" s="521">
        <v>0</v>
      </c>
      <c r="U50" s="521">
        <v>38</v>
      </c>
      <c r="V50" s="521">
        <v>73</v>
      </c>
      <c r="W50" s="521">
        <v>6</v>
      </c>
      <c r="X50" s="521">
        <v>0</v>
      </c>
      <c r="Y50" s="521">
        <v>0</v>
      </c>
      <c r="Z50" s="521">
        <v>0</v>
      </c>
      <c r="AA50" s="521">
        <v>0</v>
      </c>
      <c r="AB50" s="521">
        <v>0</v>
      </c>
      <c r="AC50" s="521">
        <v>0</v>
      </c>
      <c r="AD50" s="521">
        <v>0</v>
      </c>
      <c r="AE50" s="522">
        <f t="shared" si="32"/>
        <v>117</v>
      </c>
      <c r="AF50" s="522">
        <f t="shared" si="29"/>
        <v>9.75</v>
      </c>
      <c r="AG50" s="521"/>
      <c r="AH50" s="521">
        <v>0</v>
      </c>
      <c r="AI50" s="521">
        <v>0</v>
      </c>
      <c r="AJ50" s="521">
        <v>0</v>
      </c>
      <c r="AK50" s="521">
        <v>0</v>
      </c>
      <c r="AL50" s="521">
        <v>0</v>
      </c>
      <c r="AM50" s="521">
        <v>0</v>
      </c>
      <c r="AN50" s="519">
        <v>0</v>
      </c>
      <c r="AO50" s="519">
        <v>0</v>
      </c>
      <c r="AP50" s="519">
        <v>0</v>
      </c>
      <c r="AQ50" s="521">
        <v>0</v>
      </c>
      <c r="AR50" s="519">
        <v>0</v>
      </c>
      <c r="AS50" s="519">
        <v>0</v>
      </c>
      <c r="AT50" s="522">
        <f t="shared" si="33"/>
        <v>0</v>
      </c>
      <c r="AU50" s="522">
        <f t="shared" si="30"/>
        <v>0</v>
      </c>
      <c r="AV50" s="521"/>
      <c r="AW50" s="521">
        <v>0</v>
      </c>
      <c r="AX50" s="521">
        <v>0</v>
      </c>
      <c r="AY50" s="521"/>
      <c r="AZ50" s="521"/>
      <c r="BA50" s="521"/>
      <c r="BB50" s="521"/>
      <c r="BC50" s="519"/>
      <c r="BD50" s="519"/>
      <c r="BE50" s="519"/>
      <c r="BF50" s="521"/>
      <c r="BG50" s="519"/>
      <c r="BH50" s="519"/>
      <c r="BI50" s="522">
        <f t="shared" si="34"/>
        <v>0</v>
      </c>
      <c r="BJ50" s="522">
        <f t="shared" si="31"/>
        <v>0</v>
      </c>
      <c r="BL50" s="3286">
        <f t="shared" si="10"/>
        <v>0</v>
      </c>
      <c r="BM50" s="3286">
        <f t="shared" si="11"/>
        <v>0</v>
      </c>
      <c r="BN50" s="4773">
        <f>IFERROR(
  SUM(
    _xlfn.XLOOKUP(DATE(YEAR($A$1),1,1),$2:$2,50:50):
    _xlfn.XLOOKUP($A$1,$2:$2,50:50)
  )
 -SUM(
    _xlfn.XLOOKUP(DATE(YEAR($A$1)-1,1,1),$2:$2,50:50):
    _xlfn.XLOOKUP(EDATE($A$1,-12),$2:$2,50:50)
  ),"")</f>
        <v>0</v>
      </c>
      <c r="BO50" s="2860">
        <f t="shared" si="12"/>
        <v>0</v>
      </c>
    </row>
    <row r="51" spans="1:67" ht="17.8" customHeight="1" x14ac:dyDescent="0.55000000000000004">
      <c r="A51" s="7548"/>
      <c r="B51" s="7527" t="s">
        <v>754</v>
      </c>
      <c r="C51" s="3" t="s">
        <v>879</v>
      </c>
      <c r="D51" s="3"/>
      <c r="E51" s="3"/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520">
        <v>0</v>
      </c>
      <c r="Q51" s="520">
        <v>0</v>
      </c>
      <c r="R51" s="1"/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329">
        <f t="shared" si="32"/>
        <v>0</v>
      </c>
      <c r="AF51" s="329">
        <f t="shared" si="29"/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s="3">
        <v>0</v>
      </c>
      <c r="AO51" s="3">
        <v>0</v>
      </c>
      <c r="AP51" s="3">
        <v>0</v>
      </c>
      <c r="AQ51">
        <v>0</v>
      </c>
      <c r="AR51" s="3">
        <v>0</v>
      </c>
      <c r="AS51" s="3">
        <v>0</v>
      </c>
      <c r="AT51" s="329">
        <f t="shared" si="33"/>
        <v>0</v>
      </c>
      <c r="AU51" s="329">
        <f t="shared" si="30"/>
        <v>0</v>
      </c>
      <c r="AW51">
        <v>0</v>
      </c>
      <c r="AX51">
        <v>0</v>
      </c>
      <c r="BC51" s="3"/>
      <c r="BD51" s="3"/>
      <c r="BE51" s="3"/>
      <c r="BG51" s="3"/>
      <c r="BH51" s="3"/>
      <c r="BI51" s="329">
        <f t="shared" si="34"/>
        <v>0</v>
      </c>
      <c r="BJ51" s="329">
        <f t="shared" si="31"/>
        <v>0</v>
      </c>
      <c r="BL51" s="3286">
        <f t="shared" si="10"/>
        <v>0</v>
      </c>
      <c r="BM51" s="3286">
        <f t="shared" si="11"/>
        <v>0</v>
      </c>
      <c r="BN51" s="4773">
        <f>IFERROR(
  SUM(
    _xlfn.XLOOKUP(DATE(YEAR($A$1),1,1),$2:$2,51:51):
    _xlfn.XLOOKUP($A$1,$2:$2,51:51)
  )
 -SUM(
    _xlfn.XLOOKUP(DATE(YEAR($A$1)-1,1,1),$2:$2,51:51):
    _xlfn.XLOOKUP(EDATE($A$1,-12),$2:$2,51:51)
  ),"")</f>
        <v>0</v>
      </c>
      <c r="BO51" s="2860">
        <f t="shared" si="12"/>
        <v>0</v>
      </c>
    </row>
    <row r="52" spans="1:67" ht="17.8" customHeight="1" x14ac:dyDescent="0.55000000000000004">
      <c r="A52" s="7548"/>
      <c r="B52" s="7528"/>
      <c r="C52" s="45" t="s">
        <v>309</v>
      </c>
      <c r="D52" s="45"/>
      <c r="E52" s="45"/>
      <c r="F52" s="273">
        <v>0</v>
      </c>
      <c r="G52" s="273">
        <v>0</v>
      </c>
      <c r="H52" s="273">
        <v>0</v>
      </c>
      <c r="I52" s="273">
        <v>0</v>
      </c>
      <c r="J52" s="273">
        <v>0</v>
      </c>
      <c r="K52" s="273">
        <v>0</v>
      </c>
      <c r="L52" s="273">
        <v>0</v>
      </c>
      <c r="M52" s="273">
        <v>0</v>
      </c>
      <c r="N52" s="273">
        <v>0</v>
      </c>
      <c r="O52" s="273">
        <v>0</v>
      </c>
      <c r="P52" s="520">
        <v>0</v>
      </c>
      <c r="Q52" s="520">
        <v>0</v>
      </c>
      <c r="R52" s="1"/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308">
        <v>0</v>
      </c>
      <c r="Z52" s="308">
        <v>0</v>
      </c>
      <c r="AA52" s="308">
        <v>0</v>
      </c>
      <c r="AB52" s="308">
        <v>0</v>
      </c>
      <c r="AC52" s="308">
        <v>0</v>
      </c>
      <c r="AD52" s="308">
        <v>0</v>
      </c>
      <c r="AE52" s="380">
        <f t="shared" si="32"/>
        <v>0</v>
      </c>
      <c r="AF52" s="380">
        <f t="shared" si="29"/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s="45">
        <v>0</v>
      </c>
      <c r="AO52" s="45">
        <v>0</v>
      </c>
      <c r="AP52" s="45">
        <v>0</v>
      </c>
      <c r="AQ52" s="308">
        <v>0</v>
      </c>
      <c r="AR52" s="45">
        <v>0</v>
      </c>
      <c r="AS52" s="45">
        <v>0</v>
      </c>
      <c r="AT52" s="380">
        <f t="shared" si="33"/>
        <v>0</v>
      </c>
      <c r="AU52" s="380">
        <f t="shared" si="30"/>
        <v>0</v>
      </c>
      <c r="AW52">
        <v>0</v>
      </c>
      <c r="AX52">
        <v>0</v>
      </c>
      <c r="BC52" s="45"/>
      <c r="BD52" s="45"/>
      <c r="BE52" s="45"/>
      <c r="BF52" s="308"/>
      <c r="BG52" s="45"/>
      <c r="BH52" s="45"/>
      <c r="BI52" s="380">
        <f t="shared" si="34"/>
        <v>0</v>
      </c>
      <c r="BJ52" s="380">
        <f t="shared" si="31"/>
        <v>0</v>
      </c>
      <c r="BL52" s="3286">
        <f t="shared" si="10"/>
        <v>0</v>
      </c>
      <c r="BM52" s="3286">
        <f t="shared" si="11"/>
        <v>0</v>
      </c>
      <c r="BN52" s="4773">
        <f>IFERROR(
  SUM(
    _xlfn.XLOOKUP(DATE(YEAR($A$1),1,1),$2:$2,52:52):
    _xlfn.XLOOKUP($A$1,$2:$2,52:52)
  )
 -SUM(
    _xlfn.XLOOKUP(DATE(YEAR($A$1)-1,1,1),$2:$2,52:52):
    _xlfn.XLOOKUP(EDATE($A$1,-12),$2:$2,52:52)
  ),"")</f>
        <v>0</v>
      </c>
      <c r="BO52" s="2860">
        <f t="shared" si="12"/>
        <v>0</v>
      </c>
    </row>
    <row r="53" spans="1:67" ht="17.8" customHeight="1" x14ac:dyDescent="0.55000000000000004">
      <c r="A53" s="7548"/>
      <c r="B53" s="52" t="s">
        <v>160</v>
      </c>
      <c r="C53" s="23"/>
      <c r="D53" s="23">
        <v>1</v>
      </c>
      <c r="E53" s="23">
        <v>0</v>
      </c>
      <c r="F53" s="23">
        <v>0</v>
      </c>
      <c r="G53" s="23">
        <v>2</v>
      </c>
      <c r="H53" s="23">
        <v>4</v>
      </c>
      <c r="I53" s="23">
        <v>0</v>
      </c>
      <c r="J53" s="23">
        <v>1</v>
      </c>
      <c r="K53" s="23">
        <v>0</v>
      </c>
      <c r="L53" s="23">
        <v>3</v>
      </c>
      <c r="M53" s="23">
        <v>1</v>
      </c>
      <c r="N53" s="23">
        <v>3</v>
      </c>
      <c r="O53" s="23">
        <v>0</v>
      </c>
      <c r="P53" s="360">
        <f>SUM(D53:O53)</f>
        <v>15</v>
      </c>
      <c r="Q53" s="360">
        <f>AVERAGE(D53:O53)</f>
        <v>1.25</v>
      </c>
      <c r="R53" s="1"/>
      <c r="S53" s="23">
        <v>0</v>
      </c>
      <c r="T53" s="23">
        <v>0</v>
      </c>
      <c r="U53" s="23">
        <v>1</v>
      </c>
      <c r="V53" s="23">
        <v>6</v>
      </c>
      <c r="W53" s="23">
        <v>2</v>
      </c>
      <c r="X53" s="23">
        <v>12</v>
      </c>
      <c r="Y53" s="23">
        <v>8</v>
      </c>
      <c r="Z53" s="23">
        <v>17</v>
      </c>
      <c r="AA53" s="23">
        <v>21</v>
      </c>
      <c r="AB53" s="23">
        <v>0</v>
      </c>
      <c r="AC53" s="23">
        <v>2</v>
      </c>
      <c r="AD53" s="23">
        <v>0</v>
      </c>
      <c r="AE53" s="381">
        <f t="shared" ref="AE53:AE74" si="35">SUM(S53:AD53)</f>
        <v>69</v>
      </c>
      <c r="AF53" s="381">
        <f t="shared" ref="AF53:AF74" si="36">AVERAGE(S53:AD53)</f>
        <v>5.75</v>
      </c>
      <c r="AH53" s="23">
        <v>1</v>
      </c>
      <c r="AI53" s="23">
        <v>2</v>
      </c>
      <c r="AJ53" s="23">
        <v>8</v>
      </c>
      <c r="AK53" s="23">
        <v>3</v>
      </c>
      <c r="AL53" s="23">
        <v>15</v>
      </c>
      <c r="AM53" s="23">
        <v>0</v>
      </c>
      <c r="AN53" s="23">
        <v>1</v>
      </c>
      <c r="AO53" s="23">
        <v>3</v>
      </c>
      <c r="AP53" s="23">
        <v>3</v>
      </c>
      <c r="AQ53" s="23">
        <v>0</v>
      </c>
      <c r="AR53" s="23">
        <v>2</v>
      </c>
      <c r="AS53" s="23">
        <v>0</v>
      </c>
      <c r="AT53" s="381">
        <f t="shared" ref="AT53:AT74" si="37">SUM(AH53:AS53)</f>
        <v>38</v>
      </c>
      <c r="AU53" s="381">
        <f t="shared" si="30"/>
        <v>3.1666666666666665</v>
      </c>
      <c r="AW53" s="23">
        <v>2</v>
      </c>
      <c r="AX53" s="23">
        <v>1</v>
      </c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381">
        <f t="shared" ref="BI53:BI74" si="38">SUM(AW53:BH53)</f>
        <v>3</v>
      </c>
      <c r="BJ53" s="381">
        <f t="shared" si="31"/>
        <v>1.5</v>
      </c>
      <c r="BL53" s="3286">
        <f t="shared" si="10"/>
        <v>-1</v>
      </c>
      <c r="BM53" s="3286">
        <f t="shared" si="11"/>
        <v>-1.6666666666666665</v>
      </c>
      <c r="BN53" s="4773">
        <f>IFERROR(
  SUM(
    _xlfn.XLOOKUP(DATE(YEAR($A$1),1,1),$2:$2,53:53):
    _xlfn.XLOOKUP($A$1,$2:$2,53:53)
  )
 -SUM(
    _xlfn.XLOOKUP(DATE(YEAR($A$1)-1,1,1),$2:$2,53:53):
    _xlfn.XLOOKUP(EDATE($A$1,-12),$2:$2,53:53)
  ),"")</f>
        <v>0</v>
      </c>
      <c r="BO53" s="2860">
        <f t="shared" si="12"/>
        <v>-1</v>
      </c>
    </row>
    <row r="54" spans="1:67" ht="17.8" customHeight="1" x14ac:dyDescent="0.55000000000000004">
      <c r="A54" s="7548"/>
      <c r="B54" s="43" t="s">
        <v>939</v>
      </c>
      <c r="C54" s="3"/>
      <c r="D54" s="3">
        <v>1</v>
      </c>
      <c r="E54" s="3">
        <v>0</v>
      </c>
      <c r="F54" s="3">
        <v>0</v>
      </c>
      <c r="G54" s="3">
        <v>2</v>
      </c>
      <c r="H54" s="3">
        <v>4</v>
      </c>
      <c r="I54" s="3">
        <v>0</v>
      </c>
      <c r="J54" s="3">
        <v>1</v>
      </c>
      <c r="K54" s="3">
        <v>0</v>
      </c>
      <c r="L54" s="3">
        <v>3</v>
      </c>
      <c r="M54" s="3">
        <v>1</v>
      </c>
      <c r="N54" s="3">
        <v>3</v>
      </c>
      <c r="O54" s="3">
        <v>0</v>
      </c>
      <c r="P54" s="3">
        <f>SUM(D54:O54)</f>
        <v>15</v>
      </c>
      <c r="Q54" s="325">
        <f>AVERAGE(D54:O54)</f>
        <v>1.25</v>
      </c>
      <c r="R54" s="1"/>
      <c r="S54" s="1">
        <v>0</v>
      </c>
      <c r="T54" s="1">
        <v>0</v>
      </c>
      <c r="U54" s="1">
        <v>1</v>
      </c>
      <c r="V54" s="1">
        <v>6</v>
      </c>
      <c r="W54" s="1">
        <v>2</v>
      </c>
      <c r="X54" s="1">
        <v>12</v>
      </c>
      <c r="Y54" s="3">
        <v>8</v>
      </c>
      <c r="Z54" s="3">
        <v>13</v>
      </c>
      <c r="AA54" s="3">
        <v>21</v>
      </c>
      <c r="AB54" s="1">
        <v>0</v>
      </c>
      <c r="AC54" s="3">
        <v>1</v>
      </c>
      <c r="AD54" s="3">
        <v>0</v>
      </c>
      <c r="AE54" s="329">
        <f t="shared" si="35"/>
        <v>64</v>
      </c>
      <c r="AF54" s="329">
        <f t="shared" si="36"/>
        <v>5.333333333333333</v>
      </c>
      <c r="AH54" s="1">
        <v>1</v>
      </c>
      <c r="AI54">
        <v>2</v>
      </c>
      <c r="AJ54">
        <v>8</v>
      </c>
      <c r="AK54">
        <v>3</v>
      </c>
      <c r="AL54">
        <v>15</v>
      </c>
      <c r="AM54">
        <v>0</v>
      </c>
      <c r="AN54" s="3">
        <v>1</v>
      </c>
      <c r="AO54" s="3">
        <v>3</v>
      </c>
      <c r="AP54" s="3">
        <v>3</v>
      </c>
      <c r="AQ54">
        <v>0</v>
      </c>
      <c r="AR54" s="3">
        <v>2</v>
      </c>
      <c r="AS54" s="3">
        <v>0</v>
      </c>
      <c r="AT54" s="329">
        <f t="shared" si="37"/>
        <v>38</v>
      </c>
      <c r="AU54" s="329">
        <f t="shared" si="30"/>
        <v>3.1666666666666665</v>
      </c>
      <c r="AW54" s="1">
        <v>2</v>
      </c>
      <c r="AX54">
        <v>1</v>
      </c>
      <c r="BC54" s="3"/>
      <c r="BD54" s="3"/>
      <c r="BE54" s="3"/>
      <c r="BG54" s="3"/>
      <c r="BH54" s="3"/>
      <c r="BI54" s="329">
        <f t="shared" si="38"/>
        <v>3</v>
      </c>
      <c r="BJ54" s="329">
        <f t="shared" si="31"/>
        <v>1.5</v>
      </c>
      <c r="BL54" s="3286">
        <f t="shared" si="10"/>
        <v>-1</v>
      </c>
      <c r="BM54" s="3286">
        <f t="shared" si="11"/>
        <v>-1.6666666666666665</v>
      </c>
      <c r="BN54" s="4773">
        <f>IFERROR(
  SUM(
    _xlfn.XLOOKUP(DATE(YEAR($A$1),1,1),$2:$2,54:54):
    _xlfn.XLOOKUP($A$1,$2:$2,54:54)
  )
 -SUM(
    _xlfn.XLOOKUP(DATE(YEAR($A$1)-1,1,1),$2:$2,54:54):
    _xlfn.XLOOKUP(EDATE($A$1,-12),$2:$2,54:54)
  ),"")</f>
        <v>0</v>
      </c>
      <c r="BO54" s="2860">
        <f t="shared" si="12"/>
        <v>-1</v>
      </c>
    </row>
    <row r="55" spans="1:67" ht="17.8" customHeight="1" x14ac:dyDescent="0.55000000000000004">
      <c r="A55" s="7548"/>
      <c r="B55" s="275" t="s">
        <v>22</v>
      </c>
      <c r="C55" s="276"/>
      <c r="D55" s="276"/>
      <c r="E55" s="276"/>
      <c r="F55" s="273">
        <v>0</v>
      </c>
      <c r="G55" s="273">
        <v>0</v>
      </c>
      <c r="H55" s="273">
        <v>0</v>
      </c>
      <c r="I55" s="273">
        <v>0</v>
      </c>
      <c r="J55" s="273">
        <v>0</v>
      </c>
      <c r="K55" s="273">
        <v>0</v>
      </c>
      <c r="L55" s="273">
        <v>0</v>
      </c>
      <c r="M55" s="273">
        <v>0</v>
      </c>
      <c r="N55" s="273">
        <v>0</v>
      </c>
      <c r="O55" s="273">
        <v>0</v>
      </c>
      <c r="P55" s="273">
        <v>0</v>
      </c>
      <c r="Q55" s="273">
        <v>0</v>
      </c>
      <c r="R55" s="1"/>
      <c r="S55" s="307">
        <v>0</v>
      </c>
      <c r="T55" s="307">
        <v>0</v>
      </c>
      <c r="U55" s="307">
        <v>0</v>
      </c>
      <c r="V55" s="307">
        <v>0</v>
      </c>
      <c r="W55" s="307">
        <v>0</v>
      </c>
      <c r="X55" s="307">
        <v>0</v>
      </c>
      <c r="Y55" s="276">
        <v>0</v>
      </c>
      <c r="Z55" s="276">
        <v>0</v>
      </c>
      <c r="AA55" s="276">
        <v>0</v>
      </c>
      <c r="AB55" s="307">
        <v>0</v>
      </c>
      <c r="AC55" s="276">
        <v>0</v>
      </c>
      <c r="AD55" s="276">
        <v>0</v>
      </c>
      <c r="AE55" s="382">
        <f t="shared" si="35"/>
        <v>0</v>
      </c>
      <c r="AF55" s="382">
        <f t="shared" si="36"/>
        <v>0</v>
      </c>
      <c r="AH55" s="307">
        <v>0</v>
      </c>
      <c r="AI55" s="307">
        <v>0</v>
      </c>
      <c r="AJ55" s="307">
        <v>0</v>
      </c>
      <c r="AK55" s="307">
        <v>0</v>
      </c>
      <c r="AL55" s="307">
        <v>0</v>
      </c>
      <c r="AM55" s="307">
        <v>0</v>
      </c>
      <c r="AN55" s="276">
        <v>0</v>
      </c>
      <c r="AO55" s="276">
        <v>0</v>
      </c>
      <c r="AP55" s="276">
        <v>0</v>
      </c>
      <c r="AQ55" s="307">
        <v>0</v>
      </c>
      <c r="AR55" s="276">
        <v>0</v>
      </c>
      <c r="AS55" s="276">
        <v>0</v>
      </c>
      <c r="AT55" s="382">
        <f t="shared" si="37"/>
        <v>0</v>
      </c>
      <c r="AU55" s="382">
        <f t="shared" si="30"/>
        <v>0</v>
      </c>
      <c r="AW55" s="307">
        <v>0</v>
      </c>
      <c r="AX55" s="307">
        <v>0</v>
      </c>
      <c r="AY55" s="307"/>
      <c r="AZ55" s="307"/>
      <c r="BA55" s="307"/>
      <c r="BB55" s="307"/>
      <c r="BC55" s="276"/>
      <c r="BD55" s="276"/>
      <c r="BE55" s="276"/>
      <c r="BF55" s="307"/>
      <c r="BG55" s="276"/>
      <c r="BH55" s="276"/>
      <c r="BI55" s="382">
        <f t="shared" si="38"/>
        <v>0</v>
      </c>
      <c r="BJ55" s="382">
        <f t="shared" si="31"/>
        <v>0</v>
      </c>
      <c r="BL55" s="3286">
        <f t="shared" si="10"/>
        <v>0</v>
      </c>
      <c r="BM55" s="3286">
        <f t="shared" si="11"/>
        <v>0</v>
      </c>
      <c r="BN55" s="4773">
        <f>IFERROR(
  SUM(
    _xlfn.XLOOKUP(DATE(YEAR($A$1),1,1),$2:$2,55:55):
    _xlfn.XLOOKUP($A$1,$2:$2,55:55)
  )
 -SUM(
    _xlfn.XLOOKUP(DATE(YEAR($A$1)-1,1,1),$2:$2,55:55):
    _xlfn.XLOOKUP(EDATE($A$1,-12),$2:$2,55:55)
  ),"")</f>
        <v>0</v>
      </c>
      <c r="BO55" s="2860">
        <f t="shared" si="12"/>
        <v>0</v>
      </c>
    </row>
    <row r="56" spans="1:67" ht="17.8" customHeight="1" x14ac:dyDescent="0.55000000000000004">
      <c r="A56" s="7548"/>
      <c r="B56" s="43" t="s">
        <v>66</v>
      </c>
      <c r="C56" s="3"/>
      <c r="D56" s="3"/>
      <c r="E56" s="3"/>
      <c r="F56" s="273">
        <v>0</v>
      </c>
      <c r="G56" s="273">
        <v>0</v>
      </c>
      <c r="H56" s="273">
        <v>0</v>
      </c>
      <c r="I56" s="273">
        <v>0</v>
      </c>
      <c r="J56" s="273">
        <v>0</v>
      </c>
      <c r="K56" s="273">
        <v>0</v>
      </c>
      <c r="L56" s="273">
        <v>0</v>
      </c>
      <c r="M56" s="273">
        <v>0</v>
      </c>
      <c r="N56" s="273">
        <v>0</v>
      </c>
      <c r="O56" s="273">
        <v>0</v>
      </c>
      <c r="P56" s="273">
        <v>0</v>
      </c>
      <c r="Q56" s="273">
        <v>0</v>
      </c>
      <c r="R56" s="1"/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3">
        <v>0</v>
      </c>
      <c r="Z56" s="3">
        <v>4</v>
      </c>
      <c r="AA56" s="3">
        <v>0</v>
      </c>
      <c r="AB56" s="1">
        <v>0</v>
      </c>
      <c r="AC56" s="3">
        <v>1</v>
      </c>
      <c r="AD56" s="3">
        <v>0</v>
      </c>
      <c r="AE56" s="329">
        <f t="shared" si="35"/>
        <v>5</v>
      </c>
      <c r="AF56" s="329">
        <f t="shared" si="36"/>
        <v>0.41666666666666669</v>
      </c>
      <c r="AH56" s="1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3">
        <v>0</v>
      </c>
      <c r="AO56" s="3">
        <v>0</v>
      </c>
      <c r="AP56" s="3">
        <v>0</v>
      </c>
      <c r="AQ56">
        <v>0</v>
      </c>
      <c r="AR56" s="3">
        <v>0</v>
      </c>
      <c r="AS56" s="3">
        <v>0</v>
      </c>
      <c r="AT56" s="329">
        <f t="shared" si="37"/>
        <v>0</v>
      </c>
      <c r="AU56" s="329">
        <f t="shared" si="30"/>
        <v>0</v>
      </c>
      <c r="AW56" s="1">
        <v>0</v>
      </c>
      <c r="AX56">
        <v>0</v>
      </c>
      <c r="BC56" s="3"/>
      <c r="BD56" s="3"/>
      <c r="BE56" s="3"/>
      <c r="BG56" s="3"/>
      <c r="BH56" s="3"/>
      <c r="BI56" s="329">
        <f t="shared" si="38"/>
        <v>0</v>
      </c>
      <c r="BJ56" s="329">
        <f t="shared" si="31"/>
        <v>0</v>
      </c>
      <c r="BL56" s="3286">
        <f t="shared" si="10"/>
        <v>0</v>
      </c>
      <c r="BM56" s="3286">
        <f t="shared" si="11"/>
        <v>0</v>
      </c>
      <c r="BN56" s="4773">
        <f>IFERROR(
  SUM(
    _xlfn.XLOOKUP(DATE(YEAR($A$1),1,1),$2:$2,56:56):
    _xlfn.XLOOKUP($A$1,$2:$2,56:56)
  )
 -SUM(
    _xlfn.XLOOKUP(DATE(YEAR($A$1)-1,1,1),$2:$2,56:56):
    _xlfn.XLOOKUP(EDATE($A$1,-12),$2:$2,56:56)
  ),"")</f>
        <v>0</v>
      </c>
      <c r="BO56" s="2860">
        <f t="shared" si="12"/>
        <v>0</v>
      </c>
    </row>
    <row r="57" spans="1:67" ht="17.8" customHeight="1" x14ac:dyDescent="0.55000000000000004">
      <c r="A57" s="7548"/>
      <c r="B57" s="52" t="s">
        <v>546</v>
      </c>
      <c r="C57" s="23"/>
      <c r="D57" s="23">
        <v>175</v>
      </c>
      <c r="E57" s="23">
        <v>233</v>
      </c>
      <c r="F57" s="23">
        <v>342</v>
      </c>
      <c r="G57" s="23">
        <v>263</v>
      </c>
      <c r="H57" s="23">
        <v>363</v>
      </c>
      <c r="I57" s="23">
        <v>312</v>
      </c>
      <c r="J57" s="23">
        <v>355</v>
      </c>
      <c r="K57" s="23">
        <v>343</v>
      </c>
      <c r="L57" s="23">
        <v>271</v>
      </c>
      <c r="M57" s="23">
        <v>293</v>
      </c>
      <c r="N57" s="23">
        <v>372</v>
      </c>
      <c r="O57" s="23">
        <v>312</v>
      </c>
      <c r="P57" s="360">
        <f>SUM(D57:O57)</f>
        <v>3634</v>
      </c>
      <c r="Q57" s="360">
        <f>AVERAGE(D57:O57)</f>
        <v>302.83333333333331</v>
      </c>
      <c r="R57" s="1"/>
      <c r="S57" s="23">
        <v>276</v>
      </c>
      <c r="T57" s="23">
        <v>269</v>
      </c>
      <c r="U57" s="23">
        <v>318</v>
      </c>
      <c r="V57" s="23">
        <v>355</v>
      </c>
      <c r="W57" s="23">
        <v>312</v>
      </c>
      <c r="X57" s="23">
        <v>233</v>
      </c>
      <c r="Y57" s="23">
        <v>256</v>
      </c>
      <c r="Z57" s="23">
        <v>244</v>
      </c>
      <c r="AA57" s="23">
        <v>226</v>
      </c>
      <c r="AB57" s="23">
        <v>217</v>
      </c>
      <c r="AC57" s="23">
        <v>210</v>
      </c>
      <c r="AD57" s="23">
        <v>287</v>
      </c>
      <c r="AE57" s="381">
        <f t="shared" si="35"/>
        <v>3203</v>
      </c>
      <c r="AF57" s="381">
        <f t="shared" si="36"/>
        <v>266.91666666666669</v>
      </c>
      <c r="AH57" s="23">
        <v>184</v>
      </c>
      <c r="AI57" s="23">
        <v>547</v>
      </c>
      <c r="AJ57" s="23">
        <v>1273</v>
      </c>
      <c r="AK57" s="23">
        <v>1370</v>
      </c>
      <c r="AL57" s="23">
        <v>1299</v>
      </c>
      <c r="AM57" s="23">
        <v>1366</v>
      </c>
      <c r="AN57" s="23">
        <v>2040</v>
      </c>
      <c r="AO57" s="23">
        <v>1586</v>
      </c>
      <c r="AP57" s="23">
        <v>2459</v>
      </c>
      <c r="AQ57" s="23">
        <v>2050</v>
      </c>
      <c r="AR57" s="23">
        <v>1839</v>
      </c>
      <c r="AS57" s="23">
        <v>1401</v>
      </c>
      <c r="AT57" s="381">
        <f t="shared" si="37"/>
        <v>17414</v>
      </c>
      <c r="AU57" s="381">
        <f t="shared" si="30"/>
        <v>1451.1666666666667</v>
      </c>
      <c r="AW57" s="23">
        <v>1470</v>
      </c>
      <c r="AX57" s="23">
        <v>1310</v>
      </c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381">
        <f t="shared" si="38"/>
        <v>2780</v>
      </c>
      <c r="BJ57" s="381">
        <f t="shared" si="31"/>
        <v>1390</v>
      </c>
      <c r="BL57" s="3286">
        <f t="shared" si="10"/>
        <v>763</v>
      </c>
      <c r="BM57" s="3286">
        <f t="shared" si="11"/>
        <v>-61.166666666666742</v>
      </c>
      <c r="BN57" s="4773">
        <f>IFERROR(
  SUM(
    _xlfn.XLOOKUP(DATE(YEAR($A$1),1,1),$2:$2,57:57):
    _xlfn.XLOOKUP($A$1,$2:$2,57:57)
  )
 -SUM(
    _xlfn.XLOOKUP(DATE(YEAR($A$1)-1,1,1),$2:$2,57:57):
    _xlfn.XLOOKUP(EDATE($A$1,-12),$2:$2,57:57)
  ),"")</f>
        <v>2049</v>
      </c>
      <c r="BO57" s="2860">
        <f t="shared" si="12"/>
        <v>-160</v>
      </c>
    </row>
    <row r="58" spans="1:67" ht="17.8" customHeight="1" x14ac:dyDescent="0.55000000000000004">
      <c r="A58" s="7548"/>
      <c r="B58" s="271" t="s">
        <v>544</v>
      </c>
      <c r="C58" s="7"/>
      <c r="D58" s="7">
        <v>175</v>
      </c>
      <c r="E58" s="7">
        <v>233</v>
      </c>
      <c r="F58" s="7">
        <v>342</v>
      </c>
      <c r="G58" s="7">
        <v>263</v>
      </c>
      <c r="H58" s="7">
        <v>363</v>
      </c>
      <c r="I58" s="7">
        <v>312</v>
      </c>
      <c r="J58" s="7">
        <v>355</v>
      </c>
      <c r="K58" s="7">
        <v>343</v>
      </c>
      <c r="L58" s="7">
        <v>271</v>
      </c>
      <c r="M58" s="7">
        <v>293</v>
      </c>
      <c r="N58" s="7">
        <v>372</v>
      </c>
      <c r="O58" s="7">
        <v>312</v>
      </c>
      <c r="P58" s="326">
        <f>SUM(D58:O58)</f>
        <v>3634</v>
      </c>
      <c r="Q58" s="326">
        <f>AVERAGE(D58:O58)</f>
        <v>302.83333333333331</v>
      </c>
      <c r="R58" s="1"/>
      <c r="S58" s="7">
        <v>276</v>
      </c>
      <c r="T58" s="7">
        <v>269</v>
      </c>
      <c r="U58" s="7">
        <v>318</v>
      </c>
      <c r="V58" s="7">
        <v>344</v>
      </c>
      <c r="W58" s="7">
        <v>288</v>
      </c>
      <c r="X58" s="7">
        <v>233</v>
      </c>
      <c r="Y58" s="7">
        <v>235</v>
      </c>
      <c r="Z58" s="7">
        <v>235</v>
      </c>
      <c r="AA58" s="7">
        <v>226</v>
      </c>
      <c r="AB58" s="7">
        <v>214</v>
      </c>
      <c r="AC58" s="7">
        <v>189</v>
      </c>
      <c r="AD58" s="7">
        <v>274</v>
      </c>
      <c r="AE58" s="374">
        <f t="shared" si="35"/>
        <v>3101</v>
      </c>
      <c r="AF58" s="374">
        <f t="shared" si="36"/>
        <v>258.41666666666669</v>
      </c>
      <c r="AH58" s="7">
        <v>141</v>
      </c>
      <c r="AI58" s="263">
        <v>150</v>
      </c>
      <c r="AJ58" s="263">
        <v>235</v>
      </c>
      <c r="AK58" s="263">
        <v>168</v>
      </c>
      <c r="AL58" s="263">
        <v>241</v>
      </c>
      <c r="AM58" s="263">
        <v>168</v>
      </c>
      <c r="AN58" s="7">
        <v>149</v>
      </c>
      <c r="AO58" s="7">
        <v>123</v>
      </c>
      <c r="AP58" s="7">
        <v>111</v>
      </c>
      <c r="AQ58" s="263">
        <v>114</v>
      </c>
      <c r="AR58" s="7">
        <v>118</v>
      </c>
      <c r="AS58" s="7">
        <v>90</v>
      </c>
      <c r="AT58" s="374">
        <f t="shared" si="37"/>
        <v>1808</v>
      </c>
      <c r="AU58" s="374">
        <f t="shared" si="30"/>
        <v>150.66666666666666</v>
      </c>
      <c r="AW58" s="7">
        <v>93</v>
      </c>
      <c r="AX58" s="263">
        <v>87</v>
      </c>
      <c r="AY58" s="263"/>
      <c r="AZ58" s="263"/>
      <c r="BA58" s="263"/>
      <c r="BB58" s="263"/>
      <c r="BC58" s="7"/>
      <c r="BD58" s="7"/>
      <c r="BE58" s="7"/>
      <c r="BF58" s="263"/>
      <c r="BG58" s="7"/>
      <c r="BH58" s="7"/>
      <c r="BI58" s="374">
        <f t="shared" si="38"/>
        <v>180</v>
      </c>
      <c r="BJ58" s="374">
        <f t="shared" si="31"/>
        <v>90</v>
      </c>
      <c r="BL58" s="3286">
        <f t="shared" si="10"/>
        <v>-63</v>
      </c>
      <c r="BM58" s="3286">
        <f t="shared" si="11"/>
        <v>-60.666666666666657</v>
      </c>
      <c r="BN58" s="4773">
        <f>IFERROR(
  SUM(
    _xlfn.XLOOKUP(DATE(YEAR($A$1),1,1),$2:$2,58:58):
    _xlfn.XLOOKUP($A$1,$2:$2,58:58)
  )
 -SUM(
    _xlfn.XLOOKUP(DATE(YEAR($A$1)-1,1,1),$2:$2,58:58):
    _xlfn.XLOOKUP(EDATE($A$1,-12),$2:$2,58:58)
  ),"")</f>
        <v>-111</v>
      </c>
      <c r="BO58" s="2860">
        <f t="shared" si="12"/>
        <v>-6</v>
      </c>
    </row>
    <row r="59" spans="1:67" ht="17.8" customHeight="1" x14ac:dyDescent="0.55000000000000004">
      <c r="A59" s="7548"/>
      <c r="B59" s="271" t="s">
        <v>545</v>
      </c>
      <c r="C59" s="7"/>
      <c r="D59" s="7"/>
      <c r="E59" s="7"/>
      <c r="F59" s="273">
        <v>0</v>
      </c>
      <c r="G59" s="273">
        <v>0</v>
      </c>
      <c r="H59" s="273">
        <v>0</v>
      </c>
      <c r="I59" s="273">
        <v>0</v>
      </c>
      <c r="J59" s="273">
        <v>0</v>
      </c>
      <c r="K59" s="273">
        <v>0</v>
      </c>
      <c r="L59" s="273">
        <v>0</v>
      </c>
      <c r="M59" s="273">
        <v>0</v>
      </c>
      <c r="N59" s="273">
        <v>0</v>
      </c>
      <c r="O59" s="273">
        <v>0</v>
      </c>
      <c r="P59" s="273">
        <v>0</v>
      </c>
      <c r="Q59" s="273">
        <v>0</v>
      </c>
      <c r="R59" s="1"/>
      <c r="S59" s="7">
        <v>0</v>
      </c>
      <c r="T59" s="7">
        <v>0</v>
      </c>
      <c r="U59" s="7">
        <v>0</v>
      </c>
      <c r="V59" s="7">
        <v>11</v>
      </c>
      <c r="W59" s="7">
        <v>24</v>
      </c>
      <c r="X59" s="7">
        <v>0</v>
      </c>
      <c r="Y59" s="7">
        <v>21</v>
      </c>
      <c r="Z59" s="7">
        <v>9</v>
      </c>
      <c r="AA59" s="7">
        <v>0</v>
      </c>
      <c r="AB59" s="7">
        <v>3</v>
      </c>
      <c r="AC59" s="7">
        <v>21</v>
      </c>
      <c r="AD59" s="7">
        <v>13</v>
      </c>
      <c r="AE59" s="374">
        <f t="shared" si="35"/>
        <v>102</v>
      </c>
      <c r="AF59" s="374">
        <f t="shared" si="36"/>
        <v>8.5</v>
      </c>
      <c r="AH59" s="7">
        <v>43</v>
      </c>
      <c r="AI59" s="263">
        <v>397</v>
      </c>
      <c r="AJ59" s="263">
        <v>1038</v>
      </c>
      <c r="AK59" s="263">
        <v>1202</v>
      </c>
      <c r="AL59" s="263">
        <v>1058</v>
      </c>
      <c r="AM59" s="263">
        <v>1198</v>
      </c>
      <c r="AN59" s="7">
        <v>1891</v>
      </c>
      <c r="AO59" s="7">
        <v>1463</v>
      </c>
      <c r="AP59" s="7">
        <v>2348</v>
      </c>
      <c r="AQ59" s="263">
        <v>1936</v>
      </c>
      <c r="AR59" s="7">
        <v>1803</v>
      </c>
      <c r="AS59" s="7">
        <v>1311</v>
      </c>
      <c r="AT59" s="374">
        <f t="shared" si="37"/>
        <v>15688</v>
      </c>
      <c r="AU59" s="374">
        <f t="shared" si="30"/>
        <v>1307.3333333333333</v>
      </c>
      <c r="AW59" s="7">
        <v>1377</v>
      </c>
      <c r="AX59" s="263">
        <v>1223</v>
      </c>
      <c r="AY59" s="263"/>
      <c r="AZ59" s="263"/>
      <c r="BA59" s="263"/>
      <c r="BB59" s="263"/>
      <c r="BC59" s="7"/>
      <c r="BD59" s="7"/>
      <c r="BE59" s="7"/>
      <c r="BF59" s="263"/>
      <c r="BG59" s="7"/>
      <c r="BH59" s="7"/>
      <c r="BI59" s="374">
        <f t="shared" si="38"/>
        <v>2600</v>
      </c>
      <c r="BJ59" s="374">
        <f t="shared" si="31"/>
        <v>1300</v>
      </c>
      <c r="BL59" s="3286">
        <f t="shared" si="10"/>
        <v>826</v>
      </c>
      <c r="BM59" s="3286">
        <f t="shared" si="11"/>
        <v>-7.3333333333332575</v>
      </c>
      <c r="BN59" s="4773">
        <f>IFERROR(
  SUM(
    _xlfn.XLOOKUP(DATE(YEAR($A$1),1,1),$2:$2,59:59):
    _xlfn.XLOOKUP($A$1,$2:$2,59:59)
  )
 -SUM(
    _xlfn.XLOOKUP(DATE(YEAR($A$1)-1,1,1),$2:$2,59:59):
    _xlfn.XLOOKUP(EDATE($A$1,-12),$2:$2,59:59)
  ),"")</f>
        <v>2160</v>
      </c>
      <c r="BO59" s="2860">
        <f t="shared" si="12"/>
        <v>-154</v>
      </c>
    </row>
    <row r="60" spans="1:67" ht="17.8" customHeight="1" x14ac:dyDescent="0.55000000000000004">
      <c r="A60" s="7548"/>
      <c r="B60" s="7542" t="s">
        <v>939</v>
      </c>
      <c r="C60" s="44" t="s">
        <v>548</v>
      </c>
      <c r="D60" s="44">
        <v>175</v>
      </c>
      <c r="E60" s="44">
        <v>233</v>
      </c>
      <c r="F60" s="44">
        <v>342</v>
      </c>
      <c r="G60" s="44">
        <v>263</v>
      </c>
      <c r="H60" s="44">
        <v>363</v>
      </c>
      <c r="I60" s="44">
        <v>312</v>
      </c>
      <c r="J60" s="44">
        <v>355</v>
      </c>
      <c r="K60" s="44">
        <v>343</v>
      </c>
      <c r="L60" s="44">
        <v>271</v>
      </c>
      <c r="M60" s="44">
        <v>293</v>
      </c>
      <c r="N60" s="44">
        <v>372</v>
      </c>
      <c r="O60" s="44">
        <v>312</v>
      </c>
      <c r="P60" s="359">
        <f>SUM(D60:O60)</f>
        <v>3634</v>
      </c>
      <c r="Q60" s="359">
        <f>AVERAGE(D60:O60)</f>
        <v>302.83333333333331</v>
      </c>
      <c r="R60" s="1"/>
      <c r="S60" s="1">
        <v>276</v>
      </c>
      <c r="T60" s="1">
        <v>269</v>
      </c>
      <c r="U60" s="1">
        <v>316</v>
      </c>
      <c r="V60" s="1">
        <v>344</v>
      </c>
      <c r="W60" s="1">
        <v>288</v>
      </c>
      <c r="X60" s="1">
        <v>233</v>
      </c>
      <c r="Y60" s="44">
        <v>235</v>
      </c>
      <c r="Z60" s="44">
        <v>235</v>
      </c>
      <c r="AA60" s="44">
        <v>226</v>
      </c>
      <c r="AB60" s="417">
        <v>214</v>
      </c>
      <c r="AC60" s="44">
        <v>189</v>
      </c>
      <c r="AD60" s="44">
        <v>274</v>
      </c>
      <c r="AE60" s="377">
        <f t="shared" si="35"/>
        <v>3099</v>
      </c>
      <c r="AF60" s="377">
        <f t="shared" si="36"/>
        <v>258.25</v>
      </c>
      <c r="AH60" s="1">
        <v>141</v>
      </c>
      <c r="AI60">
        <v>132</v>
      </c>
      <c r="AJ60">
        <v>212</v>
      </c>
      <c r="AK60">
        <v>128</v>
      </c>
      <c r="AL60">
        <v>177</v>
      </c>
      <c r="AM60">
        <v>98</v>
      </c>
      <c r="AN60" s="44">
        <v>82</v>
      </c>
      <c r="AO60" s="44">
        <v>65</v>
      </c>
      <c r="AP60" s="44">
        <v>78</v>
      </c>
      <c r="AQ60" s="417">
        <v>63</v>
      </c>
      <c r="AR60" s="44">
        <v>89</v>
      </c>
      <c r="AS60" s="44">
        <v>62</v>
      </c>
      <c r="AT60" s="377">
        <f t="shared" si="37"/>
        <v>1327</v>
      </c>
      <c r="AU60" s="377">
        <f t="shared" si="30"/>
        <v>110.58333333333333</v>
      </c>
      <c r="AW60" s="1">
        <v>50</v>
      </c>
      <c r="AX60">
        <v>49</v>
      </c>
      <c r="BC60" s="44"/>
      <c r="BD60" s="44"/>
      <c r="BE60" s="44"/>
      <c r="BF60" s="417"/>
      <c r="BG60" s="44"/>
      <c r="BH60" s="44"/>
      <c r="BI60" s="377">
        <f t="shared" si="38"/>
        <v>99</v>
      </c>
      <c r="BJ60" s="377">
        <f t="shared" si="31"/>
        <v>49.5</v>
      </c>
      <c r="BL60" s="3286">
        <f t="shared" si="10"/>
        <v>-83</v>
      </c>
      <c r="BM60" s="3286">
        <f t="shared" si="11"/>
        <v>-61.083333333333329</v>
      </c>
      <c r="BN60" s="4773">
        <f>IFERROR(
  SUM(
    _xlfn.XLOOKUP(DATE(YEAR($A$1),1,1),$2:$2,60:60):
    _xlfn.XLOOKUP($A$1,$2:$2,60:60)
  )
 -SUM(
    _xlfn.XLOOKUP(DATE(YEAR($A$1)-1,1,1),$2:$2,60:60):
    _xlfn.XLOOKUP(EDATE($A$1,-12),$2:$2,60:60)
  ),"")</f>
        <v>-174</v>
      </c>
      <c r="BO60" s="2860">
        <f t="shared" si="12"/>
        <v>-1</v>
      </c>
    </row>
    <row r="61" spans="1:67" ht="17.8" customHeight="1" x14ac:dyDescent="0.55000000000000004">
      <c r="A61" s="7548"/>
      <c r="B61" s="7543"/>
      <c r="C61" s="3" t="s">
        <v>550</v>
      </c>
      <c r="D61" s="3"/>
      <c r="E61" s="3"/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1"/>
      <c r="S61" s="1">
        <v>0</v>
      </c>
      <c r="T61" s="1">
        <v>0</v>
      </c>
      <c r="U61" s="1">
        <v>0</v>
      </c>
      <c r="V61" s="1">
        <v>11</v>
      </c>
      <c r="W61" s="1">
        <v>24</v>
      </c>
      <c r="X61" s="1">
        <v>0</v>
      </c>
      <c r="Y61" s="3">
        <v>21</v>
      </c>
      <c r="Z61" s="3">
        <v>9</v>
      </c>
      <c r="AA61" s="3">
        <v>0</v>
      </c>
      <c r="AB61" s="1">
        <v>3</v>
      </c>
      <c r="AC61" s="3">
        <v>21</v>
      </c>
      <c r="AD61" s="3">
        <v>13</v>
      </c>
      <c r="AE61" s="329">
        <f t="shared" si="35"/>
        <v>102</v>
      </c>
      <c r="AF61" s="329">
        <f t="shared" si="36"/>
        <v>8.5</v>
      </c>
      <c r="AH61" s="1">
        <v>43</v>
      </c>
      <c r="AI61">
        <v>393</v>
      </c>
      <c r="AJ61">
        <v>1038</v>
      </c>
      <c r="AK61">
        <v>1202</v>
      </c>
      <c r="AL61">
        <v>1046</v>
      </c>
      <c r="AM61">
        <v>1168</v>
      </c>
      <c r="AN61" s="3">
        <v>1891</v>
      </c>
      <c r="AO61" s="3">
        <v>1462</v>
      </c>
      <c r="AP61" s="3">
        <v>2348</v>
      </c>
      <c r="AQ61">
        <v>1927</v>
      </c>
      <c r="AR61" s="3">
        <v>1803</v>
      </c>
      <c r="AS61" s="3">
        <v>1311</v>
      </c>
      <c r="AT61" s="329">
        <f t="shared" si="37"/>
        <v>15632</v>
      </c>
      <c r="AU61" s="329">
        <f t="shared" si="30"/>
        <v>1302.6666666666667</v>
      </c>
      <c r="AW61" s="1">
        <v>1368</v>
      </c>
      <c r="AX61">
        <v>1209</v>
      </c>
      <c r="BC61" s="3"/>
      <c r="BD61" s="3"/>
      <c r="BE61" s="3"/>
      <c r="BG61" s="3"/>
      <c r="BH61" s="3"/>
      <c r="BI61" s="329">
        <f t="shared" si="38"/>
        <v>2577</v>
      </c>
      <c r="BJ61" s="329">
        <f t="shared" si="31"/>
        <v>1288.5</v>
      </c>
      <c r="BL61" s="3286">
        <f t="shared" si="10"/>
        <v>816</v>
      </c>
      <c r="BM61" s="3286">
        <f t="shared" si="11"/>
        <v>-14.166666666666742</v>
      </c>
      <c r="BN61" s="4773">
        <f>IFERROR(
  SUM(
    _xlfn.XLOOKUP(DATE(YEAR($A$1),1,1),$2:$2,61:61):
    _xlfn.XLOOKUP($A$1,$2:$2,61:61)
  )
 -SUM(
    _xlfn.XLOOKUP(DATE(YEAR($A$1)-1,1,1),$2:$2,61:61):
    _xlfn.XLOOKUP(EDATE($A$1,-12),$2:$2,61:61)
  ),"")</f>
        <v>2141</v>
      </c>
      <c r="BO61" s="2860">
        <f t="shared" si="12"/>
        <v>-159</v>
      </c>
    </row>
    <row r="62" spans="1:67" ht="17.8" customHeight="1" x14ac:dyDescent="0.55000000000000004">
      <c r="A62" s="7548"/>
      <c r="B62" s="7525" t="s">
        <v>310</v>
      </c>
      <c r="C62" s="273" t="s">
        <v>547</v>
      </c>
      <c r="D62" s="273"/>
      <c r="E62" s="273"/>
      <c r="F62" s="273">
        <v>0</v>
      </c>
      <c r="G62" s="273">
        <v>0</v>
      </c>
      <c r="H62" s="273">
        <v>0</v>
      </c>
      <c r="I62" s="273">
        <v>0</v>
      </c>
      <c r="J62" s="273">
        <v>0</v>
      </c>
      <c r="K62" s="273">
        <v>0</v>
      </c>
      <c r="L62" s="273">
        <v>0</v>
      </c>
      <c r="M62" s="273">
        <v>0</v>
      </c>
      <c r="N62" s="273">
        <v>0</v>
      </c>
      <c r="O62" s="273">
        <v>0</v>
      </c>
      <c r="P62" s="273">
        <v>0</v>
      </c>
      <c r="Q62" s="273">
        <v>0</v>
      </c>
      <c r="R62" s="1"/>
      <c r="S62" s="305">
        <v>0</v>
      </c>
      <c r="T62" s="305">
        <v>0</v>
      </c>
      <c r="U62" s="305">
        <v>0</v>
      </c>
      <c r="V62" s="305">
        <v>0</v>
      </c>
      <c r="W62" s="305">
        <v>0</v>
      </c>
      <c r="X62" s="305">
        <v>0</v>
      </c>
      <c r="Y62" s="273">
        <v>0</v>
      </c>
      <c r="Z62" s="273">
        <v>0</v>
      </c>
      <c r="AA62" s="273">
        <v>0</v>
      </c>
      <c r="AB62" s="305">
        <v>0</v>
      </c>
      <c r="AC62" s="273">
        <v>0</v>
      </c>
      <c r="AD62" s="273">
        <v>0</v>
      </c>
      <c r="AE62" s="378">
        <f t="shared" si="35"/>
        <v>0</v>
      </c>
      <c r="AF62" s="378">
        <f t="shared" si="36"/>
        <v>0</v>
      </c>
      <c r="AH62" s="305">
        <v>0</v>
      </c>
      <c r="AI62" s="305">
        <v>18</v>
      </c>
      <c r="AJ62" s="305">
        <v>23</v>
      </c>
      <c r="AK62" s="305">
        <v>40</v>
      </c>
      <c r="AL62" s="305">
        <v>64</v>
      </c>
      <c r="AM62" s="305">
        <v>70</v>
      </c>
      <c r="AN62" s="273">
        <v>67</v>
      </c>
      <c r="AO62" s="273">
        <v>58</v>
      </c>
      <c r="AP62" s="273">
        <v>33</v>
      </c>
      <c r="AQ62" s="305">
        <v>51</v>
      </c>
      <c r="AR62" s="273">
        <v>29</v>
      </c>
      <c r="AS62" s="273">
        <v>28</v>
      </c>
      <c r="AT62" s="378">
        <f t="shared" si="37"/>
        <v>481</v>
      </c>
      <c r="AU62" s="378">
        <f t="shared" si="30"/>
        <v>40.083333333333336</v>
      </c>
      <c r="AW62" s="305">
        <v>43</v>
      </c>
      <c r="AX62" s="305">
        <v>38</v>
      </c>
      <c r="AY62" s="305"/>
      <c r="AZ62" s="305"/>
      <c r="BA62" s="305"/>
      <c r="BB62" s="305"/>
      <c r="BC62" s="273"/>
      <c r="BD62" s="273"/>
      <c r="BE62" s="273"/>
      <c r="BF62" s="305"/>
      <c r="BG62" s="273"/>
      <c r="BH62" s="273"/>
      <c r="BI62" s="378">
        <f t="shared" si="38"/>
        <v>81</v>
      </c>
      <c r="BJ62" s="378">
        <f t="shared" si="31"/>
        <v>40.5</v>
      </c>
      <c r="BL62" s="3286">
        <f t="shared" si="10"/>
        <v>20</v>
      </c>
      <c r="BM62" s="3286">
        <f t="shared" si="11"/>
        <v>0.4166666666666643</v>
      </c>
      <c r="BN62" s="4773">
        <f>IFERROR(
  SUM(
    _xlfn.XLOOKUP(DATE(YEAR($A$1),1,1),$2:$2,62:62):
    _xlfn.XLOOKUP($A$1,$2:$2,62:62)
  )
 -SUM(
    _xlfn.XLOOKUP(DATE(YEAR($A$1)-1,1,1),$2:$2,62:62):
    _xlfn.XLOOKUP(EDATE($A$1,-12),$2:$2,62:62)
  ),"")</f>
        <v>63</v>
      </c>
      <c r="BO62" s="2860">
        <f t="shared" si="12"/>
        <v>-5</v>
      </c>
    </row>
    <row r="63" spans="1:67" ht="17.8" customHeight="1" x14ac:dyDescent="0.55000000000000004">
      <c r="A63" s="7548"/>
      <c r="B63" s="7526"/>
      <c r="C63" s="274" t="s">
        <v>549</v>
      </c>
      <c r="D63" s="274"/>
      <c r="E63" s="274"/>
      <c r="F63" s="274">
        <v>0</v>
      </c>
      <c r="G63" s="274">
        <v>0</v>
      </c>
      <c r="H63" s="274">
        <v>0</v>
      </c>
      <c r="I63" s="274">
        <v>0</v>
      </c>
      <c r="J63" s="274">
        <v>0</v>
      </c>
      <c r="K63" s="274">
        <v>0</v>
      </c>
      <c r="L63" s="274">
        <v>0</v>
      </c>
      <c r="M63" s="274">
        <v>0</v>
      </c>
      <c r="N63" s="274">
        <v>0</v>
      </c>
      <c r="O63" s="274">
        <v>0</v>
      </c>
      <c r="P63" s="274">
        <v>0</v>
      </c>
      <c r="Q63" s="274">
        <v>0</v>
      </c>
      <c r="R63" s="1"/>
      <c r="S63" s="306">
        <v>0</v>
      </c>
      <c r="T63" s="306">
        <v>0</v>
      </c>
      <c r="U63" s="306">
        <v>0</v>
      </c>
      <c r="V63" s="306">
        <v>0</v>
      </c>
      <c r="W63" s="306">
        <v>0</v>
      </c>
      <c r="X63" s="306">
        <v>0</v>
      </c>
      <c r="Y63" s="274">
        <v>0</v>
      </c>
      <c r="Z63" s="274">
        <v>0</v>
      </c>
      <c r="AA63" s="274">
        <v>0</v>
      </c>
      <c r="AB63" s="306">
        <v>0</v>
      </c>
      <c r="AC63" s="274">
        <v>0</v>
      </c>
      <c r="AD63" s="274">
        <v>0</v>
      </c>
      <c r="AE63" s="379">
        <f t="shared" si="35"/>
        <v>0</v>
      </c>
      <c r="AF63" s="379">
        <f t="shared" si="36"/>
        <v>0</v>
      </c>
      <c r="AH63" s="306">
        <v>0</v>
      </c>
      <c r="AI63" s="306">
        <v>4</v>
      </c>
      <c r="AJ63" s="306">
        <v>0</v>
      </c>
      <c r="AK63" s="306">
        <v>0</v>
      </c>
      <c r="AL63" s="306">
        <v>12</v>
      </c>
      <c r="AM63" s="306">
        <v>30</v>
      </c>
      <c r="AN63" s="274">
        <v>0</v>
      </c>
      <c r="AO63" s="274">
        <v>1</v>
      </c>
      <c r="AP63" s="274">
        <v>0</v>
      </c>
      <c r="AQ63" s="306">
        <v>9</v>
      </c>
      <c r="AR63" s="274">
        <v>0</v>
      </c>
      <c r="AS63" s="274">
        <v>0</v>
      </c>
      <c r="AT63" s="379">
        <f t="shared" si="37"/>
        <v>56</v>
      </c>
      <c r="AU63" s="379">
        <f t="shared" si="30"/>
        <v>4.666666666666667</v>
      </c>
      <c r="AW63" s="306">
        <v>9</v>
      </c>
      <c r="AX63" s="306">
        <v>14</v>
      </c>
      <c r="AY63" s="306"/>
      <c r="AZ63" s="306"/>
      <c r="BA63" s="306"/>
      <c r="BB63" s="306"/>
      <c r="BC63" s="274"/>
      <c r="BD63" s="274"/>
      <c r="BE63" s="274"/>
      <c r="BF63" s="306"/>
      <c r="BG63" s="274"/>
      <c r="BH63" s="274"/>
      <c r="BI63" s="379">
        <f t="shared" si="38"/>
        <v>23</v>
      </c>
      <c r="BJ63" s="379">
        <f t="shared" si="31"/>
        <v>11.5</v>
      </c>
      <c r="BL63" s="3286">
        <f t="shared" si="10"/>
        <v>10</v>
      </c>
      <c r="BM63" s="3286">
        <f t="shared" si="11"/>
        <v>6.833333333333333</v>
      </c>
      <c r="BN63" s="4773">
        <f>IFERROR(
  SUM(
    _xlfn.XLOOKUP(DATE(YEAR($A$1),1,1),$2:$2,63:63):
    _xlfn.XLOOKUP($A$1,$2:$2,63:63)
  )
 -SUM(
    _xlfn.XLOOKUP(DATE(YEAR($A$1)-1,1,1),$2:$2,63:63):
    _xlfn.XLOOKUP(EDATE($A$1,-12),$2:$2,63:63)
  ),"")</f>
        <v>19</v>
      </c>
      <c r="BO63" s="2860">
        <f t="shared" si="12"/>
        <v>5</v>
      </c>
    </row>
    <row r="64" spans="1:67" ht="17.8" customHeight="1" x14ac:dyDescent="0.55000000000000004">
      <c r="A64" s="7548"/>
      <c r="B64" s="7527" t="s">
        <v>66</v>
      </c>
      <c r="C64" s="3" t="s">
        <v>547</v>
      </c>
      <c r="D64" s="3"/>
      <c r="E64" s="3"/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1"/>
      <c r="S64" s="1">
        <v>0</v>
      </c>
      <c r="T64" s="1">
        <v>0</v>
      </c>
      <c r="U64" s="1">
        <v>2</v>
      </c>
      <c r="V64" s="1">
        <v>0</v>
      </c>
      <c r="W64" s="1">
        <v>0</v>
      </c>
      <c r="X64" s="1">
        <v>0</v>
      </c>
      <c r="Y64" s="3">
        <v>0</v>
      </c>
      <c r="Z64" s="3">
        <v>0</v>
      </c>
      <c r="AA64" s="3">
        <v>0</v>
      </c>
      <c r="AB64" s="1">
        <v>0</v>
      </c>
      <c r="AC64" s="3">
        <v>0</v>
      </c>
      <c r="AD64" s="3">
        <v>0</v>
      </c>
      <c r="AE64" s="329">
        <f t="shared" si="35"/>
        <v>2</v>
      </c>
      <c r="AF64" s="329">
        <f t="shared" si="36"/>
        <v>0.16666666666666666</v>
      </c>
      <c r="AH64" s="1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3">
        <v>0</v>
      </c>
      <c r="AO64" s="3">
        <v>0</v>
      </c>
      <c r="AP64" s="3">
        <v>0</v>
      </c>
      <c r="AQ64">
        <v>0</v>
      </c>
      <c r="AR64" s="3">
        <v>0</v>
      </c>
      <c r="AS64" s="3">
        <v>0</v>
      </c>
      <c r="AT64" s="329">
        <f t="shared" si="37"/>
        <v>0</v>
      </c>
      <c r="AU64" s="329">
        <f t="shared" si="30"/>
        <v>0</v>
      </c>
      <c r="AW64" s="1">
        <v>0</v>
      </c>
      <c r="AX64">
        <v>0</v>
      </c>
      <c r="BC64" s="3"/>
      <c r="BD64" s="3"/>
      <c r="BE64" s="3"/>
      <c r="BG64" s="3"/>
      <c r="BH64" s="3"/>
      <c r="BI64" s="329">
        <f t="shared" si="38"/>
        <v>0</v>
      </c>
      <c r="BJ64" s="329">
        <f t="shared" si="31"/>
        <v>0</v>
      </c>
      <c r="BL64" s="3286">
        <f t="shared" si="10"/>
        <v>0</v>
      </c>
      <c r="BM64" s="3286">
        <f t="shared" si="11"/>
        <v>0</v>
      </c>
      <c r="BN64" s="4773">
        <f>IFERROR(
  SUM(
    _xlfn.XLOOKUP(DATE(YEAR($A$1),1,1),$2:$2,64:64):
    _xlfn.XLOOKUP($A$1,$2:$2,64:64)
  )
 -SUM(
    _xlfn.XLOOKUP(DATE(YEAR($A$1)-1,1,1),$2:$2,64:64):
    _xlfn.XLOOKUP(EDATE($A$1,-12),$2:$2,64:64)
  ),"")</f>
        <v>0</v>
      </c>
      <c r="BO64" s="2860">
        <f t="shared" si="12"/>
        <v>0</v>
      </c>
    </row>
    <row r="65" spans="1:67" ht="17.8" customHeight="1" x14ac:dyDescent="0.55000000000000004">
      <c r="A65" s="7548"/>
      <c r="B65" s="7528"/>
      <c r="C65" s="45" t="s">
        <v>549</v>
      </c>
      <c r="D65" s="45"/>
      <c r="E65" s="45"/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1"/>
      <c r="S65" s="308">
        <v>0</v>
      </c>
      <c r="T65" s="308">
        <v>0</v>
      </c>
      <c r="U65" s="308">
        <v>0</v>
      </c>
      <c r="V65" s="308">
        <v>0</v>
      </c>
      <c r="W65" s="308">
        <v>0</v>
      </c>
      <c r="X65" s="308">
        <v>0</v>
      </c>
      <c r="Y65" s="45">
        <v>0</v>
      </c>
      <c r="Z65" s="45">
        <v>0</v>
      </c>
      <c r="AA65" s="45">
        <v>0</v>
      </c>
      <c r="AB65" s="308">
        <v>0</v>
      </c>
      <c r="AC65" s="45">
        <v>0</v>
      </c>
      <c r="AD65" s="45">
        <v>0</v>
      </c>
      <c r="AE65" s="380">
        <f t="shared" si="35"/>
        <v>0</v>
      </c>
      <c r="AF65" s="380">
        <f t="shared" si="36"/>
        <v>0</v>
      </c>
      <c r="AH65" s="308">
        <v>0</v>
      </c>
      <c r="AI65" s="308">
        <v>0</v>
      </c>
      <c r="AJ65" s="308">
        <v>0</v>
      </c>
      <c r="AK65" s="308">
        <v>0</v>
      </c>
      <c r="AL65" s="308">
        <v>0</v>
      </c>
      <c r="AM65" s="308">
        <v>0</v>
      </c>
      <c r="AN65" s="45">
        <v>0</v>
      </c>
      <c r="AO65" s="45">
        <v>0</v>
      </c>
      <c r="AP65" s="45">
        <v>0</v>
      </c>
      <c r="AQ65" s="308">
        <v>0</v>
      </c>
      <c r="AR65" s="45">
        <v>0</v>
      </c>
      <c r="AS65" s="45">
        <v>0</v>
      </c>
      <c r="AT65" s="380">
        <f t="shared" si="37"/>
        <v>0</v>
      </c>
      <c r="AU65" s="380">
        <f t="shared" si="30"/>
        <v>0</v>
      </c>
      <c r="AW65" s="308">
        <v>0</v>
      </c>
      <c r="AX65" s="308">
        <v>0</v>
      </c>
      <c r="AY65" s="308"/>
      <c r="AZ65" s="308"/>
      <c r="BA65" s="308"/>
      <c r="BB65" s="308"/>
      <c r="BC65" s="45"/>
      <c r="BD65" s="45"/>
      <c r="BE65" s="45"/>
      <c r="BF65" s="308"/>
      <c r="BG65" s="45"/>
      <c r="BH65" s="45"/>
      <c r="BI65" s="380">
        <f t="shared" si="38"/>
        <v>0</v>
      </c>
      <c r="BJ65" s="380">
        <f t="shared" si="31"/>
        <v>0</v>
      </c>
      <c r="BL65" s="3286">
        <f t="shared" si="10"/>
        <v>0</v>
      </c>
      <c r="BM65" s="3286">
        <f t="shared" si="11"/>
        <v>0</v>
      </c>
      <c r="BN65" s="4773">
        <f>IFERROR(
  SUM(
    _xlfn.XLOOKUP(DATE(YEAR($A$1),1,1),$2:$2,65:65):
    _xlfn.XLOOKUP($A$1,$2:$2,65:65)
  )
 -SUM(
    _xlfn.XLOOKUP(DATE(YEAR($A$1)-1,1,1),$2:$2,65:65):
    _xlfn.XLOOKUP(EDATE($A$1,-12),$2:$2,65:65)
  ),"")</f>
        <v>0</v>
      </c>
      <c r="BO65" s="2860">
        <f t="shared" si="12"/>
        <v>0</v>
      </c>
    </row>
    <row r="66" spans="1:67" ht="17.8" customHeight="1" x14ac:dyDescent="0.55000000000000004">
      <c r="A66" s="7548"/>
      <c r="B66" s="52" t="s">
        <v>551</v>
      </c>
      <c r="C66" s="23"/>
      <c r="D66" s="23"/>
      <c r="E66" s="23"/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1"/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381">
        <f t="shared" si="35"/>
        <v>0</v>
      </c>
      <c r="AF66" s="381">
        <f t="shared" si="36"/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381">
        <f t="shared" si="37"/>
        <v>0</v>
      </c>
      <c r="AU66" s="381">
        <f t="shared" si="30"/>
        <v>0</v>
      </c>
      <c r="AW66" s="23">
        <v>0</v>
      </c>
      <c r="AX66" s="23">
        <v>0</v>
      </c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381">
        <f t="shared" si="38"/>
        <v>0</v>
      </c>
      <c r="BJ66" s="381">
        <f t="shared" si="31"/>
        <v>0</v>
      </c>
      <c r="BL66" s="3286">
        <f t="shared" si="10"/>
        <v>0</v>
      </c>
      <c r="BM66" s="3286">
        <f t="shared" si="11"/>
        <v>0</v>
      </c>
      <c r="BN66" s="4773">
        <f>IFERROR(
  SUM(
    _xlfn.XLOOKUP(DATE(YEAR($A$1),1,1),$2:$2,66:66):
    _xlfn.XLOOKUP($A$1,$2:$2,66:66)
  )
 -SUM(
    _xlfn.XLOOKUP(DATE(YEAR($A$1)-1,1,1),$2:$2,66:66):
    _xlfn.XLOOKUP(EDATE($A$1,-12),$2:$2,66:66)
  ),"")</f>
        <v>0</v>
      </c>
      <c r="BO66" s="2860">
        <f t="shared" si="12"/>
        <v>0</v>
      </c>
    </row>
    <row r="67" spans="1:67" ht="17.8" customHeight="1" x14ac:dyDescent="0.55000000000000004">
      <c r="A67" s="7548"/>
      <c r="B67" s="277" t="s">
        <v>939</v>
      </c>
      <c r="C67" s="274"/>
      <c r="D67" s="274"/>
      <c r="E67" s="274"/>
      <c r="F67" s="274">
        <v>0</v>
      </c>
      <c r="G67" s="274">
        <v>0</v>
      </c>
      <c r="H67" s="274">
        <v>0</v>
      </c>
      <c r="I67" s="274">
        <v>0</v>
      </c>
      <c r="J67" s="274">
        <v>0</v>
      </c>
      <c r="K67" s="274">
        <v>0</v>
      </c>
      <c r="L67" s="274">
        <v>0</v>
      </c>
      <c r="M67" s="274">
        <v>0</v>
      </c>
      <c r="N67" s="274">
        <v>0</v>
      </c>
      <c r="O67" s="274">
        <v>0</v>
      </c>
      <c r="P67" s="274">
        <v>0</v>
      </c>
      <c r="Q67" s="274">
        <v>0</v>
      </c>
      <c r="R67" s="1"/>
      <c r="S67" s="306">
        <v>0</v>
      </c>
      <c r="T67" s="306">
        <v>0</v>
      </c>
      <c r="U67" s="306">
        <v>0</v>
      </c>
      <c r="V67" s="306">
        <v>0</v>
      </c>
      <c r="W67" s="306">
        <v>0</v>
      </c>
      <c r="X67" s="306">
        <v>0</v>
      </c>
      <c r="Y67" s="274">
        <v>0</v>
      </c>
      <c r="Z67" s="274">
        <v>0</v>
      </c>
      <c r="AA67" s="274">
        <v>0</v>
      </c>
      <c r="AB67" s="306">
        <v>0</v>
      </c>
      <c r="AC67" s="274">
        <v>0</v>
      </c>
      <c r="AD67" s="274">
        <v>0</v>
      </c>
      <c r="AE67" s="379">
        <f t="shared" si="35"/>
        <v>0</v>
      </c>
      <c r="AF67" s="379">
        <f t="shared" si="36"/>
        <v>0</v>
      </c>
      <c r="AH67" s="306">
        <v>0</v>
      </c>
      <c r="AI67" s="306">
        <v>0</v>
      </c>
      <c r="AJ67" s="306">
        <v>0</v>
      </c>
      <c r="AK67" s="306">
        <v>0</v>
      </c>
      <c r="AL67" s="306">
        <v>0</v>
      </c>
      <c r="AM67" s="306">
        <v>0</v>
      </c>
      <c r="AN67" s="274">
        <v>0</v>
      </c>
      <c r="AO67" s="274">
        <v>0</v>
      </c>
      <c r="AP67" s="274">
        <v>0</v>
      </c>
      <c r="AQ67" s="306">
        <v>0</v>
      </c>
      <c r="AR67" s="274">
        <v>0</v>
      </c>
      <c r="AS67" s="274">
        <v>0</v>
      </c>
      <c r="AT67" s="379">
        <f t="shared" si="37"/>
        <v>0</v>
      </c>
      <c r="AU67" s="379">
        <f t="shared" si="30"/>
        <v>0</v>
      </c>
      <c r="AW67" s="306">
        <v>0</v>
      </c>
      <c r="AX67" s="306">
        <v>0</v>
      </c>
      <c r="AY67" s="306"/>
      <c r="AZ67" s="306"/>
      <c r="BA67" s="306"/>
      <c r="BB67" s="306"/>
      <c r="BC67" s="274"/>
      <c r="BD67" s="274"/>
      <c r="BE67" s="274"/>
      <c r="BF67" s="306"/>
      <c r="BG67" s="274"/>
      <c r="BH67" s="274"/>
      <c r="BI67" s="379">
        <f t="shared" si="38"/>
        <v>0</v>
      </c>
      <c r="BJ67" s="379">
        <f t="shared" si="31"/>
        <v>0</v>
      </c>
      <c r="BL67" s="3286">
        <f t="shared" si="10"/>
        <v>0</v>
      </c>
      <c r="BM67" s="3286">
        <f t="shared" si="11"/>
        <v>0</v>
      </c>
      <c r="BN67" s="4773">
        <f>IFERROR(
  SUM(
    _xlfn.XLOOKUP(DATE(YEAR($A$1),1,1),$2:$2,67:67):
    _xlfn.XLOOKUP($A$1,$2:$2,67:67)
  )
 -SUM(
    _xlfn.XLOOKUP(DATE(YEAR($A$1)-1,1,1),$2:$2,67:67):
    _xlfn.XLOOKUP(EDATE($A$1,-12),$2:$2,67:67)
  ),"")</f>
        <v>0</v>
      </c>
      <c r="BO67" s="2860">
        <f t="shared" si="12"/>
        <v>0</v>
      </c>
    </row>
    <row r="68" spans="1:67" ht="17.8" customHeight="1" x14ac:dyDescent="0.55000000000000004">
      <c r="A68" s="7548"/>
      <c r="B68" s="43" t="s">
        <v>310</v>
      </c>
      <c r="C68" s="3"/>
      <c r="D68" s="3"/>
      <c r="E68" s="3"/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1"/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3">
        <v>0</v>
      </c>
      <c r="Z68" s="3">
        <v>0</v>
      </c>
      <c r="AA68" s="3">
        <v>0</v>
      </c>
      <c r="AB68" s="1">
        <v>0</v>
      </c>
      <c r="AC68" s="3">
        <v>0</v>
      </c>
      <c r="AD68" s="3">
        <v>0</v>
      </c>
      <c r="AE68" s="329">
        <f t="shared" si="35"/>
        <v>0</v>
      </c>
      <c r="AF68" s="329">
        <f t="shared" si="36"/>
        <v>0</v>
      </c>
      <c r="AH68" s="1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3">
        <v>0</v>
      </c>
      <c r="AO68" s="3">
        <v>0</v>
      </c>
      <c r="AP68" s="3">
        <v>0</v>
      </c>
      <c r="AQ68">
        <v>0</v>
      </c>
      <c r="AR68" s="3">
        <v>0</v>
      </c>
      <c r="AS68" s="3">
        <v>0</v>
      </c>
      <c r="AT68" s="329">
        <f t="shared" si="37"/>
        <v>0</v>
      </c>
      <c r="AU68" s="329">
        <f t="shared" si="30"/>
        <v>0</v>
      </c>
      <c r="AW68" s="1">
        <v>0</v>
      </c>
      <c r="AX68">
        <v>0</v>
      </c>
      <c r="BC68" s="3"/>
      <c r="BD68" s="3"/>
      <c r="BE68" s="3"/>
      <c r="BG68" s="3"/>
      <c r="BH68" s="3"/>
      <c r="BI68" s="329">
        <f t="shared" si="38"/>
        <v>0</v>
      </c>
      <c r="BJ68" s="329">
        <f t="shared" si="31"/>
        <v>0</v>
      </c>
      <c r="BL68" s="3286">
        <f t="shared" si="10"/>
        <v>0</v>
      </c>
      <c r="BM68" s="3286">
        <f t="shared" si="11"/>
        <v>0</v>
      </c>
      <c r="BN68" s="4773">
        <f>IFERROR(
  SUM(
    _xlfn.XLOOKUP(DATE(YEAR($A$1),1,1),$2:$2,68:68):
    _xlfn.XLOOKUP($A$1,$2:$2,68:68)
  )
 -SUM(
    _xlfn.XLOOKUP(DATE(YEAR($A$1)-1,1,1),$2:$2,68:68):
    _xlfn.XLOOKUP(EDATE($A$1,-12),$2:$2,68:68)
  ),"")</f>
        <v>0</v>
      </c>
      <c r="BO68" s="2860">
        <f t="shared" si="12"/>
        <v>0</v>
      </c>
    </row>
    <row r="69" spans="1:67" ht="17.8" customHeight="1" x14ac:dyDescent="0.55000000000000004">
      <c r="A69" s="7548"/>
      <c r="B69" s="52" t="s">
        <v>552</v>
      </c>
      <c r="C69" s="23"/>
      <c r="D69" s="23"/>
      <c r="E69" s="23"/>
      <c r="F69" s="23"/>
      <c r="G69" s="23"/>
      <c r="H69" s="23"/>
      <c r="I69" s="23"/>
      <c r="J69" s="23"/>
      <c r="K69" s="23">
        <v>11</v>
      </c>
      <c r="L69" s="23">
        <v>30</v>
      </c>
      <c r="M69" s="23">
        <v>35</v>
      </c>
      <c r="N69" s="23">
        <v>21</v>
      </c>
      <c r="O69" s="23">
        <v>49</v>
      </c>
      <c r="P69" s="360">
        <f>SUM(D69:O69)</f>
        <v>146</v>
      </c>
      <c r="Q69" s="360">
        <f>AVERAGE(D69:O69)</f>
        <v>29.2</v>
      </c>
      <c r="R69" s="1"/>
      <c r="S69" s="23">
        <v>32</v>
      </c>
      <c r="T69" s="23">
        <v>11</v>
      </c>
      <c r="U69" s="23">
        <v>21</v>
      </c>
      <c r="V69" s="23">
        <v>12</v>
      </c>
      <c r="W69" s="23">
        <v>14</v>
      </c>
      <c r="X69" s="23">
        <v>13</v>
      </c>
      <c r="Y69" s="23">
        <v>13</v>
      </c>
      <c r="Z69" s="23">
        <v>4</v>
      </c>
      <c r="AA69" s="23">
        <v>4</v>
      </c>
      <c r="AB69" s="23">
        <v>8</v>
      </c>
      <c r="AC69" s="23">
        <v>12</v>
      </c>
      <c r="AD69" s="23">
        <v>10</v>
      </c>
      <c r="AE69" s="381">
        <f t="shared" si="35"/>
        <v>154</v>
      </c>
      <c r="AF69" s="381">
        <f t="shared" si="36"/>
        <v>12.833333333333334</v>
      </c>
      <c r="AH69" s="23">
        <v>3</v>
      </c>
      <c r="AI69" s="23">
        <v>19</v>
      </c>
      <c r="AJ69" s="23">
        <v>14</v>
      </c>
      <c r="AK69" s="23">
        <v>14</v>
      </c>
      <c r="AL69" s="23">
        <v>11</v>
      </c>
      <c r="AM69" s="23">
        <v>14</v>
      </c>
      <c r="AN69" s="23">
        <v>11</v>
      </c>
      <c r="AO69" s="23">
        <v>10</v>
      </c>
      <c r="AP69" s="23">
        <v>7</v>
      </c>
      <c r="AQ69" s="23">
        <v>5</v>
      </c>
      <c r="AR69" s="23">
        <v>12</v>
      </c>
      <c r="AS69" s="23">
        <v>6</v>
      </c>
      <c r="AT69" s="381">
        <f t="shared" si="37"/>
        <v>126</v>
      </c>
      <c r="AU69" s="381">
        <f t="shared" si="30"/>
        <v>10.5</v>
      </c>
      <c r="AW69" s="23">
        <v>8</v>
      </c>
      <c r="AX69" s="23">
        <v>7</v>
      </c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381">
        <f t="shared" si="38"/>
        <v>15</v>
      </c>
      <c r="BJ69" s="381">
        <f t="shared" si="31"/>
        <v>7.5</v>
      </c>
      <c r="BL69" s="3286">
        <f t="shared" ref="BL69:BL74" si="39">IFERROR(_xlfn.XLOOKUP($A$1,$2:$2,69:69)-_xlfn.XLOOKUP(EDATE($A$1,-12),$2:$2,69:69),"")</f>
        <v>-12</v>
      </c>
      <c r="BM69" s="3286">
        <f t="shared" ref="BM69:BM74" si="40">BJ69-AU69</f>
        <v>-3</v>
      </c>
      <c r="BN69" s="4773">
        <f>IFERROR(
  SUM(
    _xlfn.XLOOKUP(DATE(YEAR($A$1),1,1),$2:$2,69:69):
    _xlfn.XLOOKUP($A$1,$2:$2,69:69)
  )
 -SUM(
    _xlfn.XLOOKUP(DATE(YEAR($A$1)-1,1,1),$2:$2,69:69):
    _xlfn.XLOOKUP(EDATE($A$1,-12),$2:$2,69:69)
  ),"")</f>
        <v>-7</v>
      </c>
      <c r="BO69" s="2860">
        <f t="shared" ref="BO69:BO74" si="41">IFERROR(
  _xlfn.XLOOKUP($A$1,$2:$2,69:69)
 -_xlfn.XLOOKUP(EDATE($A$1,-1),$2:$2,69:69),"")</f>
        <v>-1</v>
      </c>
    </row>
    <row r="70" spans="1:67" ht="17.8" customHeight="1" x14ac:dyDescent="0.55000000000000004">
      <c r="A70" s="7548"/>
      <c r="B70" s="277" t="s">
        <v>939</v>
      </c>
      <c r="C70" s="274"/>
      <c r="D70" s="274"/>
      <c r="E70" s="274"/>
      <c r="F70" s="274"/>
      <c r="G70" s="274"/>
      <c r="H70" s="274"/>
      <c r="I70" s="274"/>
      <c r="J70" s="274"/>
      <c r="K70" s="274">
        <v>11</v>
      </c>
      <c r="L70" s="274">
        <v>30</v>
      </c>
      <c r="M70" s="274">
        <v>35</v>
      </c>
      <c r="N70" s="274">
        <v>21</v>
      </c>
      <c r="O70" s="274">
        <v>49</v>
      </c>
      <c r="P70" s="274">
        <f>SUM(D70:O70)</f>
        <v>146</v>
      </c>
      <c r="Q70" s="274">
        <f>AVERAGE(D70:O70)</f>
        <v>29.2</v>
      </c>
      <c r="R70" s="1"/>
      <c r="S70" s="306">
        <v>32</v>
      </c>
      <c r="T70" s="306">
        <v>11</v>
      </c>
      <c r="U70" s="306">
        <v>21</v>
      </c>
      <c r="V70" s="306">
        <v>12</v>
      </c>
      <c r="W70" s="1">
        <v>14</v>
      </c>
      <c r="X70" s="306">
        <v>13</v>
      </c>
      <c r="Y70" s="274">
        <v>13</v>
      </c>
      <c r="Z70" s="274">
        <v>4</v>
      </c>
      <c r="AA70" s="274">
        <v>4</v>
      </c>
      <c r="AB70" s="306">
        <v>8</v>
      </c>
      <c r="AC70" s="274">
        <v>10</v>
      </c>
      <c r="AD70" s="274">
        <v>9</v>
      </c>
      <c r="AE70" s="379">
        <f t="shared" si="35"/>
        <v>151</v>
      </c>
      <c r="AF70" s="379">
        <f t="shared" si="36"/>
        <v>12.583333333333334</v>
      </c>
      <c r="AH70" s="306">
        <v>3</v>
      </c>
      <c r="AI70" s="306">
        <v>19</v>
      </c>
      <c r="AJ70" s="306">
        <v>14</v>
      </c>
      <c r="AK70" s="306">
        <v>14</v>
      </c>
      <c r="AL70">
        <v>11</v>
      </c>
      <c r="AM70" s="306">
        <v>12</v>
      </c>
      <c r="AN70" s="274">
        <v>10</v>
      </c>
      <c r="AO70" s="274">
        <v>7</v>
      </c>
      <c r="AP70" s="274">
        <v>7</v>
      </c>
      <c r="AQ70" s="306">
        <v>5</v>
      </c>
      <c r="AR70" s="274">
        <v>11</v>
      </c>
      <c r="AS70" s="274">
        <v>6</v>
      </c>
      <c r="AT70" s="379">
        <f t="shared" si="37"/>
        <v>119</v>
      </c>
      <c r="AU70" s="379">
        <f t="shared" si="30"/>
        <v>9.9166666666666661</v>
      </c>
      <c r="AW70" s="306">
        <v>6</v>
      </c>
      <c r="AX70" s="306">
        <v>7</v>
      </c>
      <c r="AY70" s="306"/>
      <c r="AZ70" s="306"/>
      <c r="BB70" s="306"/>
      <c r="BC70" s="274"/>
      <c r="BD70" s="274"/>
      <c r="BE70" s="274"/>
      <c r="BF70" s="306"/>
      <c r="BG70" s="274"/>
      <c r="BH70" s="274"/>
      <c r="BI70" s="379">
        <f t="shared" si="38"/>
        <v>13</v>
      </c>
      <c r="BJ70" s="379">
        <f t="shared" si="31"/>
        <v>6.5</v>
      </c>
      <c r="BL70" s="3286">
        <f t="shared" si="39"/>
        <v>-12</v>
      </c>
      <c r="BM70" s="3286">
        <f t="shared" si="40"/>
        <v>-3.4166666666666661</v>
      </c>
      <c r="BN70" s="4773">
        <f>IFERROR(
  SUM(
    _xlfn.XLOOKUP(DATE(YEAR($A$1),1,1),$2:$2,70:70):
    _xlfn.XLOOKUP($A$1,$2:$2,70:70)
  )
 -SUM(
    _xlfn.XLOOKUP(DATE(YEAR($A$1)-1,1,1),$2:$2,70:70):
    _xlfn.XLOOKUP(EDATE($A$1,-12),$2:$2,70:70)
  ),"")</f>
        <v>-9</v>
      </c>
      <c r="BO70" s="2860">
        <f t="shared" si="41"/>
        <v>1</v>
      </c>
    </row>
    <row r="71" spans="1:67" ht="18" customHeight="1" thickBot="1" x14ac:dyDescent="0.6">
      <c r="A71" s="7548"/>
      <c r="B71" s="272" t="s">
        <v>310</v>
      </c>
      <c r="C71" s="34"/>
      <c r="D71" s="34"/>
      <c r="E71" s="34"/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1"/>
      <c r="S71" s="2">
        <v>0</v>
      </c>
      <c r="T71" s="2">
        <v>0</v>
      </c>
      <c r="U71" s="2">
        <v>0</v>
      </c>
      <c r="V71" s="2">
        <v>0</v>
      </c>
      <c r="W71" s="366">
        <v>0</v>
      </c>
      <c r="X71" s="2">
        <v>0</v>
      </c>
      <c r="Y71" s="34">
        <v>0</v>
      </c>
      <c r="Z71" s="34">
        <v>0</v>
      </c>
      <c r="AA71" s="34">
        <v>0</v>
      </c>
      <c r="AB71" s="2">
        <v>0</v>
      </c>
      <c r="AC71" s="34">
        <v>2</v>
      </c>
      <c r="AD71" s="34">
        <v>1</v>
      </c>
      <c r="AE71" s="383">
        <f t="shared" si="35"/>
        <v>3</v>
      </c>
      <c r="AF71" s="383">
        <f t="shared" si="36"/>
        <v>0.25</v>
      </c>
      <c r="AH71" s="2">
        <v>0</v>
      </c>
      <c r="AI71" s="2">
        <v>0</v>
      </c>
      <c r="AJ71" s="2">
        <v>0</v>
      </c>
      <c r="AK71" s="2">
        <v>0</v>
      </c>
      <c r="AL71" s="366">
        <v>0</v>
      </c>
      <c r="AM71" s="2">
        <v>2</v>
      </c>
      <c r="AN71" s="34">
        <v>1</v>
      </c>
      <c r="AO71" s="34">
        <v>3</v>
      </c>
      <c r="AP71" s="34">
        <v>0</v>
      </c>
      <c r="AQ71" s="2">
        <v>0</v>
      </c>
      <c r="AR71" s="34">
        <v>1</v>
      </c>
      <c r="AS71" s="34">
        <v>0</v>
      </c>
      <c r="AT71" s="383">
        <f t="shared" si="37"/>
        <v>7</v>
      </c>
      <c r="AU71" s="383">
        <f t="shared" si="30"/>
        <v>0.58333333333333337</v>
      </c>
      <c r="AW71" s="2">
        <v>2</v>
      </c>
      <c r="AX71" s="2">
        <v>0</v>
      </c>
      <c r="AY71" s="2"/>
      <c r="AZ71" s="2"/>
      <c r="BA71" s="366"/>
      <c r="BB71" s="2"/>
      <c r="BC71" s="34"/>
      <c r="BD71" s="34"/>
      <c r="BE71" s="34"/>
      <c r="BF71" s="2"/>
      <c r="BG71" s="34"/>
      <c r="BH71" s="34"/>
      <c r="BI71" s="383">
        <f t="shared" si="38"/>
        <v>2</v>
      </c>
      <c r="BJ71" s="383">
        <f t="shared" si="31"/>
        <v>1</v>
      </c>
      <c r="BL71" s="3286">
        <f t="shared" si="39"/>
        <v>0</v>
      </c>
      <c r="BM71" s="3286">
        <f t="shared" si="40"/>
        <v>0.41666666666666663</v>
      </c>
      <c r="BN71" s="4773">
        <f>IFERROR(
  SUM(
    _xlfn.XLOOKUP(DATE(YEAR($A$1),1,1),$2:$2,71:71):
    _xlfn.XLOOKUP($A$1,$2:$2,71:71)
  )
 -SUM(
    _xlfn.XLOOKUP(DATE(YEAR($A$1)-1,1,1),$2:$2,71:71):
    _xlfn.XLOOKUP(EDATE($A$1,-12),$2:$2,71:71)
  ),"")</f>
        <v>2</v>
      </c>
      <c r="BO71" s="2860">
        <f t="shared" si="41"/>
        <v>-2</v>
      </c>
    </row>
    <row r="72" spans="1:67" x14ac:dyDescent="0.55000000000000004">
      <c r="A72" s="7548"/>
      <c r="B72" s="527" t="s">
        <v>1034</v>
      </c>
      <c r="C72" s="262"/>
      <c r="D72" s="262">
        <v>2</v>
      </c>
      <c r="E72" s="262">
        <v>2</v>
      </c>
      <c r="F72" s="262">
        <v>6</v>
      </c>
      <c r="G72" s="262">
        <v>4</v>
      </c>
      <c r="H72" s="262">
        <v>3</v>
      </c>
      <c r="I72" s="262">
        <v>6</v>
      </c>
      <c r="J72" s="262">
        <v>7</v>
      </c>
      <c r="K72" s="262">
        <v>0</v>
      </c>
      <c r="L72" s="262">
        <v>5</v>
      </c>
      <c r="M72" s="262">
        <v>1</v>
      </c>
      <c r="N72" s="262">
        <v>5</v>
      </c>
      <c r="O72" s="262">
        <v>5</v>
      </c>
      <c r="P72" s="381">
        <f t="shared" ref="P72:P74" si="42">SUM(D72:O72)</f>
        <v>46</v>
      </c>
      <c r="Q72" s="381">
        <f t="shared" ref="Q72:Q74" si="43">AVERAGE(D72:O72)</f>
        <v>3.8333333333333335</v>
      </c>
      <c r="S72" s="262">
        <v>0</v>
      </c>
      <c r="T72" s="262">
        <v>2</v>
      </c>
      <c r="U72" s="262">
        <v>0</v>
      </c>
      <c r="V72" s="262">
        <v>1</v>
      </c>
      <c r="W72" s="262">
        <v>1</v>
      </c>
      <c r="X72" s="262">
        <v>1</v>
      </c>
      <c r="Y72" s="262">
        <v>2</v>
      </c>
      <c r="Z72" s="262">
        <v>2</v>
      </c>
      <c r="AA72" s="262">
        <v>0</v>
      </c>
      <c r="AB72" s="262">
        <v>0</v>
      </c>
      <c r="AC72" s="262">
        <v>0</v>
      </c>
      <c r="AD72" s="262">
        <v>0</v>
      </c>
      <c r="AE72" s="381">
        <f t="shared" si="35"/>
        <v>9</v>
      </c>
      <c r="AF72" s="381">
        <f t="shared" si="36"/>
        <v>0.75</v>
      </c>
      <c r="AH72" s="262">
        <v>2</v>
      </c>
      <c r="AI72" s="262">
        <v>0</v>
      </c>
      <c r="AJ72" s="262">
        <v>2</v>
      </c>
      <c r="AK72" s="262">
        <v>2</v>
      </c>
      <c r="AL72" s="262">
        <v>1</v>
      </c>
      <c r="AM72" s="262">
        <v>0</v>
      </c>
      <c r="AN72" s="262">
        <v>1</v>
      </c>
      <c r="AO72" s="262">
        <v>4</v>
      </c>
      <c r="AP72" s="262">
        <v>5</v>
      </c>
      <c r="AQ72" s="262">
        <v>0</v>
      </c>
      <c r="AR72" s="262">
        <v>0</v>
      </c>
      <c r="AS72" s="262">
        <v>0</v>
      </c>
      <c r="AT72" s="381">
        <f t="shared" si="37"/>
        <v>17</v>
      </c>
      <c r="AU72" s="381">
        <f t="shared" si="30"/>
        <v>1.4166666666666667</v>
      </c>
      <c r="AW72" s="262">
        <v>2</v>
      </c>
      <c r="AX72" s="262">
        <v>0</v>
      </c>
      <c r="AY72" s="262"/>
      <c r="AZ72" s="262"/>
      <c r="BA72" s="262"/>
      <c r="BB72" s="262"/>
      <c r="BC72" s="262"/>
      <c r="BD72" s="262"/>
      <c r="BE72" s="262"/>
      <c r="BF72" s="262"/>
      <c r="BG72" s="262"/>
      <c r="BH72" s="262"/>
      <c r="BI72" s="381">
        <f t="shared" si="38"/>
        <v>2</v>
      </c>
      <c r="BJ72" s="381">
        <f t="shared" si="31"/>
        <v>1</v>
      </c>
      <c r="BL72" s="3286">
        <f t="shared" si="39"/>
        <v>0</v>
      </c>
      <c r="BM72" s="3286">
        <f t="shared" si="40"/>
        <v>-0.41666666666666674</v>
      </c>
      <c r="BN72" s="4773">
        <f>IFERROR(
  SUM(
    _xlfn.XLOOKUP(DATE(YEAR($A$1),1,1),$2:$2,72:72):
    _xlfn.XLOOKUP($A$1,$2:$2,72:72)
  )
 -SUM(
    _xlfn.XLOOKUP(DATE(YEAR($A$1)-1,1,1),$2:$2,72:72):
    _xlfn.XLOOKUP(EDATE($A$1,-12),$2:$2,72:72)
  ),"")</f>
        <v>0</v>
      </c>
      <c r="BO72" s="2860">
        <f t="shared" si="41"/>
        <v>-2</v>
      </c>
    </row>
    <row r="73" spans="1:67" x14ac:dyDescent="0.55000000000000004">
      <c r="A73" s="7548"/>
      <c r="B73" s="43" t="s">
        <v>939</v>
      </c>
      <c r="D73" s="306">
        <v>2</v>
      </c>
      <c r="E73" s="306">
        <v>2</v>
      </c>
      <c r="F73" s="306">
        <v>6</v>
      </c>
      <c r="G73" s="306">
        <v>4</v>
      </c>
      <c r="H73" s="306">
        <v>3</v>
      </c>
      <c r="I73" s="306">
        <v>6</v>
      </c>
      <c r="J73" s="306">
        <v>7</v>
      </c>
      <c r="K73" s="306">
        <v>0</v>
      </c>
      <c r="L73" s="306">
        <v>5</v>
      </c>
      <c r="M73" s="306">
        <v>1</v>
      </c>
      <c r="N73" s="306">
        <v>5</v>
      </c>
      <c r="O73" s="306">
        <v>5</v>
      </c>
      <c r="P73" s="533">
        <f t="shared" si="42"/>
        <v>46</v>
      </c>
      <c r="Q73" s="533">
        <f t="shared" si="43"/>
        <v>3.8333333333333335</v>
      </c>
      <c r="S73" s="306">
        <v>0</v>
      </c>
      <c r="T73" s="306">
        <v>2</v>
      </c>
      <c r="U73" s="306">
        <v>0</v>
      </c>
      <c r="V73" s="306">
        <v>1</v>
      </c>
      <c r="W73" s="306">
        <v>1</v>
      </c>
      <c r="X73" s="306">
        <v>1</v>
      </c>
      <c r="Y73" s="306">
        <v>2</v>
      </c>
      <c r="Z73" s="306">
        <v>2</v>
      </c>
      <c r="AA73" s="306">
        <v>0</v>
      </c>
      <c r="AB73" s="306">
        <v>0</v>
      </c>
      <c r="AC73" s="306">
        <v>0</v>
      </c>
      <c r="AD73" s="306">
        <v>0</v>
      </c>
      <c r="AE73" s="533">
        <f t="shared" si="35"/>
        <v>9</v>
      </c>
      <c r="AF73" s="533">
        <f t="shared" si="36"/>
        <v>0.75</v>
      </c>
      <c r="AH73">
        <v>2</v>
      </c>
      <c r="AI73">
        <v>0</v>
      </c>
      <c r="AJ73">
        <v>2</v>
      </c>
      <c r="AK73">
        <v>2</v>
      </c>
      <c r="AL73">
        <v>1</v>
      </c>
      <c r="AM73">
        <v>0</v>
      </c>
      <c r="AN73">
        <v>1</v>
      </c>
      <c r="AO73">
        <v>4</v>
      </c>
      <c r="AP73">
        <v>5</v>
      </c>
      <c r="AQ73">
        <v>0</v>
      </c>
      <c r="AR73">
        <v>0</v>
      </c>
      <c r="AS73">
        <v>0</v>
      </c>
      <c r="AT73" s="533">
        <f t="shared" si="37"/>
        <v>17</v>
      </c>
      <c r="AU73" s="533">
        <f t="shared" si="30"/>
        <v>1.4166666666666667</v>
      </c>
      <c r="AW73">
        <v>2</v>
      </c>
      <c r="AX73">
        <v>0</v>
      </c>
      <c r="BI73" s="533">
        <f t="shared" si="38"/>
        <v>2</v>
      </c>
      <c r="BJ73" s="533">
        <f t="shared" si="31"/>
        <v>1</v>
      </c>
      <c r="BL73" s="3286">
        <f t="shared" si="39"/>
        <v>0</v>
      </c>
      <c r="BM73" s="3286">
        <f t="shared" si="40"/>
        <v>-0.41666666666666674</v>
      </c>
      <c r="BN73" s="4773">
        <f>IFERROR(
  SUM(
    _xlfn.XLOOKUP(DATE(YEAR($A$1),1,1),$2:$2,73:73):
    _xlfn.XLOOKUP($A$1,$2:$2,73:73)
  )
 -SUM(
    _xlfn.XLOOKUP(DATE(YEAR($A$1)-1,1,1),$2:$2,73:73):
    _xlfn.XLOOKUP(EDATE($A$1,-12),$2:$2,73:73)
  ),"")</f>
        <v>0</v>
      </c>
      <c r="BO73" s="2860">
        <f t="shared" si="41"/>
        <v>-2</v>
      </c>
    </row>
    <row r="74" spans="1:67" ht="18" thickBot="1" x14ac:dyDescent="0.6">
      <c r="A74" s="7549"/>
      <c r="B74" s="534" t="s">
        <v>310</v>
      </c>
      <c r="C74" s="300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535">
        <f t="shared" si="42"/>
        <v>0</v>
      </c>
      <c r="Q74" s="535">
        <f t="shared" si="43"/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535">
        <f t="shared" si="35"/>
        <v>0</v>
      </c>
      <c r="AF74" s="535">
        <f t="shared" si="36"/>
        <v>0</v>
      </c>
      <c r="AH74" s="300">
        <v>0</v>
      </c>
      <c r="AI74" s="300">
        <v>0</v>
      </c>
      <c r="AJ74" s="300">
        <v>0</v>
      </c>
      <c r="AK74" s="300">
        <v>0</v>
      </c>
      <c r="AL74" s="300">
        <v>0</v>
      </c>
      <c r="AM74" s="300">
        <v>0</v>
      </c>
      <c r="AN74" s="300">
        <v>0</v>
      </c>
      <c r="AO74" s="300">
        <v>0</v>
      </c>
      <c r="AP74" s="300">
        <v>0</v>
      </c>
      <c r="AQ74" s="300">
        <v>0</v>
      </c>
      <c r="AR74" s="300">
        <v>0</v>
      </c>
      <c r="AS74" s="300">
        <v>0</v>
      </c>
      <c r="AT74" s="535">
        <f t="shared" si="37"/>
        <v>0</v>
      </c>
      <c r="AU74" s="535">
        <f t="shared" si="30"/>
        <v>0</v>
      </c>
      <c r="AW74" s="300">
        <v>0</v>
      </c>
      <c r="AX74" s="300">
        <v>0</v>
      </c>
      <c r="AY74" s="300"/>
      <c r="AZ74" s="300"/>
      <c r="BA74" s="300"/>
      <c r="BB74" s="300"/>
      <c r="BC74" s="300"/>
      <c r="BD74" s="300"/>
      <c r="BE74" s="300"/>
      <c r="BF74" s="300"/>
      <c r="BG74" s="300"/>
      <c r="BH74" s="300"/>
      <c r="BI74" s="535">
        <f t="shared" si="38"/>
        <v>0</v>
      </c>
      <c r="BJ74" s="535">
        <f t="shared" si="31"/>
        <v>0</v>
      </c>
      <c r="BL74" s="3286">
        <f t="shared" si="39"/>
        <v>0</v>
      </c>
      <c r="BM74" s="3286">
        <f t="shared" si="40"/>
        <v>0</v>
      </c>
      <c r="BN74" s="4773">
        <f>IFERROR(
  SUM(
    _xlfn.XLOOKUP(DATE(YEAR($A$1),1,1),$2:$2,74:74):
    _xlfn.XLOOKUP($A$1,$2:$2,74:74)
  )
 -SUM(
    _xlfn.XLOOKUP(DATE(YEAR($A$1)-1,1,1),$2:$2,74:74):
    _xlfn.XLOOKUP(EDATE($A$1,-12),$2:$2,74:74)
  ),"")</f>
        <v>0</v>
      </c>
      <c r="BO74" s="2860">
        <f t="shared" si="41"/>
        <v>0</v>
      </c>
    </row>
    <row r="75" spans="1:67" x14ac:dyDescent="0.55000000000000004">
      <c r="R75" s="1"/>
      <c r="BO75" s="278"/>
    </row>
    <row r="76" spans="1:67" x14ac:dyDescent="0.55000000000000004">
      <c r="R76" s="1"/>
      <c r="BO76" s="278"/>
    </row>
    <row r="77" spans="1:67" x14ac:dyDescent="0.55000000000000004">
      <c r="R77" s="1"/>
      <c r="BO77" s="278"/>
    </row>
    <row r="78" spans="1:67" x14ac:dyDescent="0.55000000000000004">
      <c r="R78" s="1"/>
      <c r="BO78" s="278"/>
    </row>
    <row r="79" spans="1:67" x14ac:dyDescent="0.55000000000000004">
      <c r="R79" s="1"/>
      <c r="BO79" s="278"/>
    </row>
    <row r="80" spans="1:67" x14ac:dyDescent="0.55000000000000004">
      <c r="R80" s="1"/>
    </row>
    <row r="81" spans="18:67" x14ac:dyDescent="0.55000000000000004">
      <c r="R81" s="1"/>
      <c r="BO81" s="278"/>
    </row>
    <row r="82" spans="18:67" x14ac:dyDescent="0.55000000000000004">
      <c r="R82" s="1"/>
      <c r="BO82" s="278"/>
    </row>
    <row r="83" spans="18:67" x14ac:dyDescent="0.55000000000000004">
      <c r="R83" s="1"/>
      <c r="BO83" s="278"/>
    </row>
    <row r="84" spans="18:67" x14ac:dyDescent="0.55000000000000004">
      <c r="R84" s="1"/>
      <c r="BO84" s="278"/>
    </row>
    <row r="85" spans="18:67" x14ac:dyDescent="0.55000000000000004">
      <c r="BO85" s="278"/>
    </row>
    <row r="86" spans="18:67" x14ac:dyDescent="0.55000000000000004">
      <c r="BO86" s="278"/>
    </row>
    <row r="87" spans="18:67" x14ac:dyDescent="0.55000000000000004">
      <c r="BO87" s="278"/>
    </row>
    <row r="88" spans="18:67" x14ac:dyDescent="0.55000000000000004">
      <c r="BO88" s="278"/>
    </row>
    <row r="89" spans="18:67" x14ac:dyDescent="0.55000000000000004">
      <c r="BO89" s="278"/>
    </row>
    <row r="90" spans="18:67" x14ac:dyDescent="0.55000000000000004">
      <c r="BO90" s="278"/>
    </row>
    <row r="92" spans="18:67" x14ac:dyDescent="0.55000000000000004">
      <c r="BO92" s="278"/>
    </row>
    <row r="93" spans="18:67" x14ac:dyDescent="0.55000000000000004">
      <c r="BO93" s="278"/>
    </row>
    <row r="94" spans="18:67" x14ac:dyDescent="0.55000000000000004">
      <c r="BO94" s="278"/>
    </row>
    <row r="95" spans="18:67" x14ac:dyDescent="0.55000000000000004">
      <c r="BO95" s="278"/>
    </row>
    <row r="96" spans="18:67" x14ac:dyDescent="0.55000000000000004">
      <c r="BO96" s="278"/>
    </row>
    <row r="97" spans="67:67" x14ac:dyDescent="0.55000000000000004">
      <c r="BO97" s="278"/>
    </row>
    <row r="98" spans="67:67" x14ac:dyDescent="0.55000000000000004">
      <c r="BO98" s="278"/>
    </row>
    <row r="99" spans="67:67" x14ac:dyDescent="0.55000000000000004">
      <c r="BO99" s="278"/>
    </row>
    <row r="100" spans="67:67" x14ac:dyDescent="0.55000000000000004">
      <c r="BO100" s="278"/>
    </row>
    <row r="101" spans="67:67" x14ac:dyDescent="0.55000000000000004">
      <c r="BO101" s="278"/>
    </row>
    <row r="102" spans="67:67" x14ac:dyDescent="0.55000000000000004">
      <c r="BO102" s="278"/>
    </row>
    <row r="103" spans="67:67" x14ac:dyDescent="0.55000000000000004">
      <c r="BO103" s="278"/>
    </row>
    <row r="104" spans="67:67" x14ac:dyDescent="0.55000000000000004">
      <c r="BO104" s="278"/>
    </row>
    <row r="105" spans="67:67" x14ac:dyDescent="0.55000000000000004">
      <c r="BO105" s="278"/>
    </row>
    <row r="106" spans="67:67" x14ac:dyDescent="0.55000000000000004">
      <c r="BO106" s="278"/>
    </row>
    <row r="107" spans="67:67" x14ac:dyDescent="0.55000000000000004">
      <c r="BO107" s="278"/>
    </row>
    <row r="108" spans="67:67" x14ac:dyDescent="0.55000000000000004">
      <c r="BO108" s="278"/>
    </row>
    <row r="109" spans="67:67" x14ac:dyDescent="0.55000000000000004">
      <c r="BO109" s="278"/>
    </row>
    <row r="110" spans="67:67" x14ac:dyDescent="0.55000000000000004">
      <c r="BO110" s="278"/>
    </row>
    <row r="111" spans="67:67" x14ac:dyDescent="0.55000000000000004">
      <c r="BO111" s="278"/>
    </row>
  </sheetData>
  <mergeCells count="14">
    <mergeCell ref="B62:B63"/>
    <mergeCell ref="B64:B65"/>
    <mergeCell ref="A4:A16"/>
    <mergeCell ref="A18:A26"/>
    <mergeCell ref="A28:A36"/>
    <mergeCell ref="A37:A39"/>
    <mergeCell ref="B41:B42"/>
    <mergeCell ref="B43:B44"/>
    <mergeCell ref="B45:B46"/>
    <mergeCell ref="B47:B48"/>
    <mergeCell ref="B60:B61"/>
    <mergeCell ref="B49:B50"/>
    <mergeCell ref="B51:B52"/>
    <mergeCell ref="A41:A7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26</vt:i4>
      </vt:variant>
    </vt:vector>
  </HeadingPairs>
  <TitlesOfParts>
    <vt:vector size="55" baseType="lpstr">
      <vt:lpstr>대시보드</vt:lpstr>
      <vt:lpstr>0. 개요</vt:lpstr>
      <vt:lpstr>0. 목차</vt:lpstr>
      <vt:lpstr>1.재무</vt:lpstr>
      <vt:lpstr>※ 재무_세부시트</vt:lpstr>
      <vt:lpstr>※ 수수료 기준_가입자</vt:lpstr>
      <vt:lpstr>2.무선가입자</vt:lpstr>
      <vt:lpstr>3-(1) 수수료 기준_가입자 (유선)</vt:lpstr>
      <vt:lpstr>2-(1) 수수료 기준_가입자(무선)</vt:lpstr>
      <vt:lpstr>3.유선가입자</vt:lpstr>
      <vt:lpstr>※ 영기팀 작성_가입자</vt:lpstr>
      <vt:lpstr>4. 디지털</vt:lpstr>
      <vt:lpstr>※ 디지털 세부데이터</vt:lpstr>
      <vt:lpstr>5. 소상공인</vt:lpstr>
      <vt:lpstr>6. B2B</vt:lpstr>
      <vt:lpstr>※ B2B 세부데이터</vt:lpstr>
      <vt:lpstr>※ 소상공인 세부데이터</vt:lpstr>
      <vt:lpstr>※ 유통플랫폼 세부데이터</vt:lpstr>
      <vt:lpstr>7.유통플랫폼사업</vt:lpstr>
      <vt:lpstr>※ 팀별 작성_인프라_인력</vt:lpstr>
      <vt:lpstr>8.인프라</vt:lpstr>
      <vt:lpstr>9.인력</vt:lpstr>
      <vt:lpstr>※ 인력 세부데이터</vt:lpstr>
      <vt:lpstr>10.영업품질</vt:lpstr>
      <vt:lpstr>※ 재고 세부데이터</vt:lpstr>
      <vt:lpstr>※ 영업품질 세부데이터</vt:lpstr>
      <vt:lpstr>11. 재고</vt:lpstr>
      <vt:lpstr>12.기타지표</vt:lpstr>
      <vt:lpstr>※ 기타지표 세부데이터</vt:lpstr>
      <vt:lpstr>'※ B2B 세부데이터'!Print_Area</vt:lpstr>
      <vt:lpstr>'※ 재무_세부시트'!Print_Area</vt:lpstr>
      <vt:lpstr>'0. 목차'!Print_Area</vt:lpstr>
      <vt:lpstr>'1.재무'!Print_Area</vt:lpstr>
      <vt:lpstr>'10.영업품질'!Print_Area</vt:lpstr>
      <vt:lpstr>'11. 재고'!Print_Area</vt:lpstr>
      <vt:lpstr>'12.기타지표'!Print_Area</vt:lpstr>
      <vt:lpstr>'2-(1) 수수료 기준_가입자(무선)'!Print_Area</vt:lpstr>
      <vt:lpstr>'2.무선가입자'!Print_Area</vt:lpstr>
      <vt:lpstr>'3-(1) 수수료 기준_가입자 (유선)'!Print_Area</vt:lpstr>
      <vt:lpstr>'3.유선가입자'!Print_Area</vt:lpstr>
      <vt:lpstr>'4. 디지털'!Print_Area</vt:lpstr>
      <vt:lpstr>'5. 소상공인'!Print_Area</vt:lpstr>
      <vt:lpstr>'6. B2B'!Print_Area</vt:lpstr>
      <vt:lpstr>'7.유통플랫폼사업'!Print_Area</vt:lpstr>
      <vt:lpstr>'8.인프라'!Print_Area</vt:lpstr>
      <vt:lpstr>'9.인력'!Print_Area</vt:lpstr>
      <vt:lpstr>'1.재무'!Print_Titles</vt:lpstr>
      <vt:lpstr>'10.영업품질'!Print_Titles</vt:lpstr>
      <vt:lpstr>'2-(1) 수수료 기준_가입자(무선)'!Print_Titles</vt:lpstr>
      <vt:lpstr>'2.무선가입자'!Print_Titles</vt:lpstr>
      <vt:lpstr>'3-(1) 수수료 기준_가입자 (유선)'!Print_Titles</vt:lpstr>
      <vt:lpstr>'3.유선가입자'!Print_Titles</vt:lpstr>
      <vt:lpstr>'5. 소상공인'!Print_Titles</vt:lpstr>
      <vt:lpstr>'8.인프라'!Print_Titles</vt:lpstr>
      <vt:lpstr>'9.인력'!Print_Titles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최소휘(경영기획팀)</cp:lastModifiedBy>
  <cp:lastPrinted>2026-03-26T14:14:31Z</cp:lastPrinted>
  <dcterms:created xsi:type="dcterms:W3CDTF">2024-02-14T05:23:42Z</dcterms:created>
  <dcterms:modified xsi:type="dcterms:W3CDTF">2026-03-27T07:09:07Z</dcterms:modified>
</cp:coreProperties>
</file>